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2021 Results\"/>
    </mc:Choice>
  </mc:AlternateContent>
  <xr:revisionPtr revIDLastSave="0" documentId="8_{69979D7A-D2FF-419F-B8F7-9E5DB6A5C93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etResults" sheetId="2" r:id="rId1"/>
    <sheet name="Lookup-DiverRoster" sheetId="4" state="hidden" r:id="rId2"/>
    <sheet name="Lookup-Schedule" sheetId="5" state="hidden" r:id="rId3"/>
    <sheet name="CJScoresSummary" sheetId="6" state="hidden" r:id="rId4"/>
    <sheet name="Lookup-Generic" sheetId="7" state="hidden" r:id="rId5"/>
    <sheet name="Lookup-ClubData" sheetId="8" state="hidden" r:id="rId6"/>
  </sheets>
  <externalReferences>
    <externalReference r:id="rId7"/>
  </externalReferences>
  <definedNames>
    <definedName name="D1_Participants10YO">#REF!</definedName>
    <definedName name="D1_Participants11YO">#REF!</definedName>
    <definedName name="D1_Participants12YO">#REF!</definedName>
    <definedName name="D1_Participants13YOA">#REF!</definedName>
    <definedName name="D1_Participants6YOU">#REF!</definedName>
    <definedName name="D1_Participants7YO">#REF!</definedName>
    <definedName name="D1_Participants8YO">#REF!</definedName>
    <definedName name="D1_Participants9Y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1" i="8" l="1"/>
  <c r="C101" i="8"/>
  <c r="F100" i="8"/>
  <c r="C100" i="8"/>
  <c r="F99" i="8"/>
  <c r="C99" i="8"/>
  <c r="F98" i="8"/>
  <c r="C98" i="8"/>
  <c r="F97" i="8"/>
  <c r="C97" i="8"/>
  <c r="F96" i="8"/>
  <c r="C96" i="8"/>
  <c r="F95" i="8"/>
  <c r="C95" i="8"/>
  <c r="F94" i="8"/>
  <c r="C94" i="8"/>
  <c r="F93" i="8"/>
  <c r="C93" i="8"/>
  <c r="F92" i="8"/>
  <c r="C92" i="8"/>
  <c r="F91" i="8"/>
  <c r="C91" i="8"/>
  <c r="F90" i="8"/>
  <c r="C90" i="8"/>
  <c r="F89" i="8"/>
  <c r="C89" i="8"/>
  <c r="F88" i="8"/>
  <c r="C88" i="8"/>
  <c r="F87" i="8"/>
  <c r="C87" i="8"/>
  <c r="F86" i="8"/>
  <c r="C86" i="8"/>
  <c r="F85" i="8"/>
  <c r="C85" i="8"/>
  <c r="F84" i="8"/>
  <c r="C84" i="8"/>
  <c r="F83" i="8"/>
  <c r="C83" i="8"/>
  <c r="F82" i="8"/>
  <c r="C82" i="8"/>
  <c r="F81" i="8"/>
  <c r="C81" i="8"/>
  <c r="F80" i="8"/>
  <c r="C80" i="8"/>
  <c r="F79" i="8"/>
  <c r="C79" i="8"/>
  <c r="F78" i="8"/>
  <c r="C78" i="8"/>
  <c r="F77" i="8"/>
  <c r="C77" i="8"/>
  <c r="F76" i="8"/>
  <c r="C76" i="8"/>
  <c r="F75" i="8"/>
  <c r="C75" i="8"/>
  <c r="F74" i="8"/>
  <c r="C74" i="8"/>
  <c r="F73" i="8"/>
  <c r="C73" i="8"/>
  <c r="F72" i="8"/>
  <c r="C72" i="8"/>
  <c r="F71" i="8"/>
  <c r="C71" i="8"/>
  <c r="F70" i="8"/>
  <c r="C70" i="8"/>
  <c r="F69" i="8"/>
  <c r="C69" i="8"/>
  <c r="F68" i="8"/>
  <c r="C68" i="8"/>
  <c r="F67" i="8"/>
  <c r="C67" i="8"/>
  <c r="F66" i="8"/>
  <c r="C66" i="8"/>
  <c r="F65" i="8"/>
  <c r="C65" i="8"/>
  <c r="F64" i="8"/>
  <c r="C64" i="8"/>
  <c r="F63" i="8"/>
  <c r="C63" i="8"/>
  <c r="F62" i="8"/>
  <c r="C62" i="8"/>
  <c r="F61" i="8"/>
  <c r="C61" i="8"/>
  <c r="F60" i="8"/>
  <c r="C60" i="8"/>
  <c r="F59" i="8"/>
  <c r="C59" i="8"/>
  <c r="F58" i="8"/>
  <c r="C58" i="8"/>
  <c r="F57" i="8"/>
  <c r="C57" i="8"/>
  <c r="F56" i="8"/>
  <c r="C56" i="8"/>
  <c r="F55" i="8"/>
  <c r="C55" i="8"/>
  <c r="F54" i="8"/>
  <c r="C54" i="8"/>
  <c r="F53" i="8"/>
  <c r="C53" i="8"/>
  <c r="F52" i="8"/>
  <c r="C52" i="8"/>
  <c r="F51" i="8"/>
  <c r="C51" i="8"/>
  <c r="O50" i="8"/>
  <c r="M50" i="8"/>
  <c r="L50" i="8"/>
  <c r="K50" i="8"/>
  <c r="J50" i="8"/>
  <c r="I50" i="8"/>
  <c r="H50" i="8"/>
  <c r="G50" i="8"/>
  <c r="F50" i="8"/>
  <c r="E50" i="8"/>
  <c r="D50" i="8"/>
  <c r="C50" i="8"/>
  <c r="B50" i="8"/>
  <c r="A50" i="8"/>
  <c r="L49" i="8"/>
  <c r="K49" i="8"/>
  <c r="J49" i="8"/>
  <c r="I49" i="8"/>
  <c r="H49" i="8"/>
  <c r="G49" i="8"/>
  <c r="F49" i="8"/>
  <c r="E49" i="8"/>
  <c r="D49" i="8"/>
  <c r="C49" i="8"/>
  <c r="B49" i="8"/>
  <c r="A49" i="8"/>
  <c r="L48" i="8"/>
  <c r="K48" i="8"/>
  <c r="J48" i="8"/>
  <c r="I48" i="8"/>
  <c r="G48" i="8"/>
  <c r="F48" i="8"/>
  <c r="E48" i="8"/>
  <c r="D48" i="8"/>
  <c r="C48" i="8"/>
  <c r="B48" i="8"/>
  <c r="A48" i="8"/>
  <c r="L47" i="8"/>
  <c r="K47" i="8"/>
  <c r="J47" i="8"/>
  <c r="I47" i="8"/>
  <c r="H47" i="8"/>
  <c r="G47" i="8"/>
  <c r="F47" i="8"/>
  <c r="E47" i="8"/>
  <c r="D47" i="8"/>
  <c r="C47" i="8"/>
  <c r="B47" i="8"/>
  <c r="A47" i="8"/>
  <c r="O46" i="8"/>
  <c r="M46" i="8"/>
  <c r="L46" i="8"/>
  <c r="J46" i="8"/>
  <c r="I46" i="8"/>
  <c r="H46" i="8"/>
  <c r="G46" i="8"/>
  <c r="F46" i="8"/>
  <c r="E46" i="8"/>
  <c r="D46" i="8"/>
  <c r="C46" i="8"/>
  <c r="B46" i="8"/>
  <c r="A46" i="8"/>
  <c r="O45" i="8"/>
  <c r="M45" i="8"/>
  <c r="L45" i="8"/>
  <c r="J45" i="8"/>
  <c r="I45" i="8"/>
  <c r="H45" i="8"/>
  <c r="G45" i="8"/>
  <c r="F45" i="8"/>
  <c r="E45" i="8"/>
  <c r="D45" i="8"/>
  <c r="C45" i="8"/>
  <c r="B45" i="8"/>
  <c r="A45" i="8"/>
  <c r="L44" i="8"/>
  <c r="K44" i="8"/>
  <c r="J44" i="8"/>
  <c r="I44" i="8"/>
  <c r="H44" i="8"/>
  <c r="G44" i="8"/>
  <c r="F44" i="8"/>
  <c r="E44" i="8"/>
  <c r="D44" i="8"/>
  <c r="C44" i="8"/>
  <c r="B44" i="8"/>
  <c r="A44" i="8"/>
  <c r="O43" i="8"/>
  <c r="N43" i="8"/>
  <c r="M43" i="8"/>
  <c r="L43" i="8"/>
  <c r="K43" i="8"/>
  <c r="J43" i="8"/>
  <c r="I43" i="8"/>
  <c r="F43" i="8"/>
  <c r="E43" i="8"/>
  <c r="D43" i="8"/>
  <c r="C43" i="8"/>
  <c r="B43" i="8"/>
  <c r="A43" i="8"/>
  <c r="O42" i="8"/>
  <c r="N42" i="8"/>
  <c r="M42" i="8"/>
  <c r="L42" i="8"/>
  <c r="K42" i="8"/>
  <c r="J42" i="8"/>
  <c r="I42" i="8"/>
  <c r="H42" i="8"/>
  <c r="G42" i="8"/>
  <c r="F42" i="8"/>
  <c r="E42" i="8"/>
  <c r="D42" i="8"/>
  <c r="C42" i="8"/>
  <c r="B42" i="8"/>
  <c r="A42" i="8"/>
  <c r="L41" i="8"/>
  <c r="K41" i="8"/>
  <c r="J41" i="8"/>
  <c r="I41" i="8"/>
  <c r="G41" i="8"/>
  <c r="F41" i="8"/>
  <c r="E41" i="8"/>
  <c r="D41" i="8"/>
  <c r="C41" i="8"/>
  <c r="B41" i="8"/>
  <c r="A41" i="8"/>
  <c r="L40" i="8"/>
  <c r="K40" i="8"/>
  <c r="J40" i="8"/>
  <c r="I40" i="8"/>
  <c r="H40" i="8"/>
  <c r="G40" i="8"/>
  <c r="F40" i="8"/>
  <c r="E40" i="8"/>
  <c r="D40" i="8"/>
  <c r="C40" i="8"/>
  <c r="B40" i="8"/>
  <c r="A40" i="8"/>
  <c r="O39" i="8"/>
  <c r="M39" i="8"/>
  <c r="L39" i="8"/>
  <c r="K39" i="8"/>
  <c r="J39" i="8"/>
  <c r="I39" i="8"/>
  <c r="H39" i="8"/>
  <c r="G39" i="8"/>
  <c r="F39" i="8"/>
  <c r="E39" i="8"/>
  <c r="D39" i="8"/>
  <c r="C39" i="8"/>
  <c r="B39" i="8"/>
  <c r="A39" i="8"/>
  <c r="L38" i="8"/>
  <c r="K38" i="8"/>
  <c r="J38" i="8"/>
  <c r="I38" i="8"/>
  <c r="H38" i="8"/>
  <c r="G38" i="8"/>
  <c r="F38" i="8"/>
  <c r="E38" i="8"/>
  <c r="D38" i="8"/>
  <c r="C38" i="8"/>
  <c r="B38" i="8"/>
  <c r="A38" i="8"/>
  <c r="O37" i="8"/>
  <c r="N37" i="8"/>
  <c r="M37" i="8"/>
  <c r="L37" i="8"/>
  <c r="K37" i="8"/>
  <c r="J37" i="8"/>
  <c r="I37" i="8"/>
  <c r="H37" i="8"/>
  <c r="G37" i="8"/>
  <c r="F37" i="8"/>
  <c r="E37" i="8"/>
  <c r="D37" i="8"/>
  <c r="C37" i="8"/>
  <c r="B37" i="8"/>
  <c r="A37" i="8"/>
  <c r="O36" i="8"/>
  <c r="L36" i="8"/>
  <c r="K36" i="8"/>
  <c r="J36" i="8"/>
  <c r="I36" i="8"/>
  <c r="H36" i="8"/>
  <c r="G36" i="8"/>
  <c r="F36" i="8"/>
  <c r="E36" i="8"/>
  <c r="D36" i="8"/>
  <c r="C36" i="8"/>
  <c r="B36" i="8"/>
  <c r="A36" i="8"/>
  <c r="O35" i="8"/>
  <c r="M35" i="8"/>
  <c r="L35" i="8"/>
  <c r="K35" i="8"/>
  <c r="J35" i="8"/>
  <c r="I35" i="8"/>
  <c r="H35" i="8"/>
  <c r="G35" i="8"/>
  <c r="F35" i="8"/>
  <c r="E35" i="8"/>
  <c r="D35" i="8"/>
  <c r="C35" i="8"/>
  <c r="B35" i="8"/>
  <c r="A35" i="8"/>
  <c r="O34" i="8"/>
  <c r="N34" i="8"/>
  <c r="M34" i="8"/>
  <c r="L34" i="8"/>
  <c r="K34" i="8"/>
  <c r="J34" i="8"/>
  <c r="I34" i="8"/>
  <c r="H34" i="8"/>
  <c r="G34" i="8"/>
  <c r="F34" i="8"/>
  <c r="E34" i="8"/>
  <c r="D34" i="8"/>
  <c r="C34" i="8"/>
  <c r="B34" i="8"/>
  <c r="A34" i="8"/>
  <c r="L33" i="8"/>
  <c r="K33" i="8"/>
  <c r="J33" i="8"/>
  <c r="I33" i="8"/>
  <c r="G33" i="8"/>
  <c r="F33" i="8"/>
  <c r="E33" i="8"/>
  <c r="D33" i="8"/>
  <c r="C33" i="8"/>
  <c r="B33" i="8"/>
  <c r="A33" i="8"/>
  <c r="O32" i="8"/>
  <c r="M32" i="8"/>
  <c r="L32" i="8"/>
  <c r="J32" i="8"/>
  <c r="I32" i="8"/>
  <c r="H32" i="8"/>
  <c r="G32" i="8"/>
  <c r="F32" i="8"/>
  <c r="E32" i="8"/>
  <c r="D32" i="8"/>
  <c r="C32" i="8"/>
  <c r="B32" i="8"/>
  <c r="A32" i="8"/>
  <c r="L31" i="8"/>
  <c r="K31" i="8"/>
  <c r="J31" i="8"/>
  <c r="I31" i="8"/>
  <c r="G31" i="8"/>
  <c r="F31" i="8"/>
  <c r="E31" i="8"/>
  <c r="D31" i="8"/>
  <c r="C31" i="8"/>
  <c r="B31" i="8"/>
  <c r="A31" i="8"/>
  <c r="O30" i="8"/>
  <c r="M30" i="8"/>
  <c r="L30" i="8"/>
  <c r="J30" i="8"/>
  <c r="I30" i="8"/>
  <c r="H30" i="8"/>
  <c r="G30" i="8"/>
  <c r="F30" i="8"/>
  <c r="E30" i="8"/>
  <c r="D30" i="8"/>
  <c r="C30" i="8"/>
  <c r="B30" i="8"/>
  <c r="A30" i="8"/>
  <c r="O29" i="8"/>
  <c r="N29" i="8"/>
  <c r="M29" i="8"/>
  <c r="L29" i="8"/>
  <c r="J29" i="8"/>
  <c r="I29" i="8"/>
  <c r="G29" i="8"/>
  <c r="F29" i="8"/>
  <c r="E29" i="8"/>
  <c r="D29" i="8"/>
  <c r="C29" i="8"/>
  <c r="B29" i="8"/>
  <c r="A29" i="8"/>
  <c r="L28" i="8"/>
  <c r="K28" i="8"/>
  <c r="J28" i="8"/>
  <c r="I28" i="8"/>
  <c r="H28" i="8"/>
  <c r="G28" i="8"/>
  <c r="F28" i="8"/>
  <c r="E28" i="8"/>
  <c r="D28" i="8"/>
  <c r="C28" i="8"/>
  <c r="B28" i="8"/>
  <c r="A28" i="8"/>
  <c r="O27" i="8"/>
  <c r="M27" i="8"/>
  <c r="L27" i="8"/>
  <c r="K27" i="8"/>
  <c r="J27" i="8"/>
  <c r="I27" i="8"/>
  <c r="H27" i="8"/>
  <c r="G27" i="8"/>
  <c r="F27" i="8"/>
  <c r="E27" i="8"/>
  <c r="D27" i="8"/>
  <c r="C27" i="8"/>
  <c r="B27" i="8"/>
  <c r="A27" i="8"/>
  <c r="L26" i="8"/>
  <c r="K26" i="8"/>
  <c r="J26" i="8"/>
  <c r="I26" i="8"/>
  <c r="H26" i="8"/>
  <c r="G26" i="8"/>
  <c r="F26" i="8"/>
  <c r="E26" i="8"/>
  <c r="D26" i="8"/>
  <c r="C26" i="8"/>
  <c r="B26" i="8"/>
  <c r="A26" i="8"/>
  <c r="O25" i="8"/>
  <c r="M25" i="8"/>
  <c r="L25" i="8"/>
  <c r="K25" i="8"/>
  <c r="J25" i="8"/>
  <c r="I25" i="8"/>
  <c r="H25" i="8"/>
  <c r="G25" i="8"/>
  <c r="F25" i="8"/>
  <c r="E25" i="8"/>
  <c r="D25" i="8"/>
  <c r="C25" i="8"/>
  <c r="B25" i="8"/>
  <c r="A25" i="8"/>
  <c r="O24" i="8"/>
  <c r="L24" i="8"/>
  <c r="J24" i="8"/>
  <c r="I24" i="8"/>
  <c r="H24" i="8"/>
  <c r="G24" i="8"/>
  <c r="F24" i="8"/>
  <c r="E24" i="8"/>
  <c r="D24" i="8"/>
  <c r="C24" i="8"/>
  <c r="B24" i="8"/>
  <c r="A24" i="8"/>
  <c r="O23" i="8"/>
  <c r="M23" i="8"/>
  <c r="L23" i="8"/>
  <c r="K23" i="8"/>
  <c r="J23" i="8"/>
  <c r="I23" i="8"/>
  <c r="H23" i="8"/>
  <c r="G23" i="8"/>
  <c r="F23" i="8"/>
  <c r="E23" i="8"/>
  <c r="D23" i="8"/>
  <c r="C23" i="8"/>
  <c r="B23" i="8"/>
  <c r="A23" i="8"/>
  <c r="L22" i="8"/>
  <c r="K22" i="8"/>
  <c r="J22" i="8"/>
  <c r="I22" i="8"/>
  <c r="H22" i="8"/>
  <c r="G22" i="8"/>
  <c r="F22" i="8"/>
  <c r="E22" i="8"/>
  <c r="D22" i="8"/>
  <c r="C22" i="8"/>
  <c r="B22" i="8"/>
  <c r="A22" i="8"/>
  <c r="L21" i="8"/>
  <c r="K21" i="8"/>
  <c r="J21" i="8"/>
  <c r="I21" i="8"/>
  <c r="G21" i="8"/>
  <c r="F21" i="8"/>
  <c r="E21" i="8"/>
  <c r="D21" i="8"/>
  <c r="C21" i="8"/>
  <c r="B21" i="8"/>
  <c r="A21" i="8"/>
  <c r="O20" i="8"/>
  <c r="N20" i="8"/>
  <c r="M20" i="8"/>
  <c r="L20" i="8"/>
  <c r="K20" i="8"/>
  <c r="J20" i="8"/>
  <c r="I20" i="8"/>
  <c r="G20" i="8"/>
  <c r="F20" i="8"/>
  <c r="E20" i="8"/>
  <c r="D20" i="8"/>
  <c r="C20" i="8"/>
  <c r="B20" i="8"/>
  <c r="A20" i="8"/>
  <c r="L19" i="8"/>
  <c r="K19" i="8"/>
  <c r="J19" i="8"/>
  <c r="I19" i="8"/>
  <c r="H19" i="8"/>
  <c r="G19" i="8"/>
  <c r="F19" i="8"/>
  <c r="E19" i="8"/>
  <c r="D19" i="8"/>
  <c r="C19" i="8"/>
  <c r="B19" i="8"/>
  <c r="A19" i="8"/>
  <c r="L18" i="8"/>
  <c r="K18" i="8"/>
  <c r="J18" i="8"/>
  <c r="I18" i="8"/>
  <c r="H18" i="8"/>
  <c r="G18" i="8"/>
  <c r="F18" i="8"/>
  <c r="E18" i="8"/>
  <c r="D18" i="8"/>
  <c r="C18" i="8"/>
  <c r="B18" i="8"/>
  <c r="A18" i="8"/>
  <c r="L17" i="8"/>
  <c r="K17" i="8"/>
  <c r="J17" i="8"/>
  <c r="I17" i="8"/>
  <c r="H17" i="8"/>
  <c r="G17" i="8"/>
  <c r="F17" i="8"/>
  <c r="E17" i="8"/>
  <c r="D17" i="8"/>
  <c r="C17" i="8"/>
  <c r="B17" i="8"/>
  <c r="A17" i="8"/>
  <c r="O16" i="8"/>
  <c r="M16" i="8"/>
  <c r="L16" i="8"/>
  <c r="K16" i="8"/>
  <c r="J16" i="8"/>
  <c r="I16" i="8"/>
  <c r="H16" i="8"/>
  <c r="G16" i="8"/>
  <c r="F16" i="8"/>
  <c r="E16" i="8"/>
  <c r="D16" i="8"/>
  <c r="C16" i="8"/>
  <c r="B16" i="8"/>
  <c r="A16" i="8"/>
  <c r="L15" i="8"/>
  <c r="K15" i="8"/>
  <c r="J15" i="8"/>
  <c r="I15" i="8"/>
  <c r="G15" i="8"/>
  <c r="F15" i="8"/>
  <c r="E15" i="8"/>
  <c r="D15" i="8"/>
  <c r="C15" i="8"/>
  <c r="B15" i="8"/>
  <c r="A15" i="8"/>
  <c r="L14" i="8"/>
  <c r="K14" i="8"/>
  <c r="J14" i="8"/>
  <c r="I14" i="8"/>
  <c r="H14" i="8"/>
  <c r="G14" i="8"/>
  <c r="F14" i="8"/>
  <c r="E14" i="8"/>
  <c r="D14" i="8"/>
  <c r="C14" i="8"/>
  <c r="B14" i="8"/>
  <c r="A14" i="8"/>
  <c r="O13" i="8"/>
  <c r="N13" i="8"/>
  <c r="M13" i="8"/>
  <c r="L13" i="8"/>
  <c r="K13" i="8"/>
  <c r="J13" i="8"/>
  <c r="I13" i="8"/>
  <c r="H13" i="8"/>
  <c r="G13" i="8"/>
  <c r="F13" i="8"/>
  <c r="E13" i="8"/>
  <c r="D13" i="8"/>
  <c r="C13" i="8"/>
  <c r="B13" i="8"/>
  <c r="A13" i="8"/>
  <c r="L12" i="8"/>
  <c r="J12" i="8"/>
  <c r="I12" i="8"/>
  <c r="H12" i="8"/>
  <c r="G12" i="8"/>
  <c r="F12" i="8"/>
  <c r="E12" i="8"/>
  <c r="D12" i="8"/>
  <c r="C12" i="8"/>
  <c r="B12" i="8"/>
  <c r="A12" i="8"/>
  <c r="O11" i="8"/>
  <c r="N11" i="8"/>
  <c r="M11" i="8"/>
  <c r="L11" i="8"/>
  <c r="K11" i="8"/>
  <c r="J11" i="8"/>
  <c r="I11" i="8"/>
  <c r="G11" i="8"/>
  <c r="F11" i="8"/>
  <c r="E11" i="8"/>
  <c r="D11" i="8"/>
  <c r="C11" i="8"/>
  <c r="B11" i="8"/>
  <c r="A11" i="8"/>
  <c r="L10" i="8"/>
  <c r="K10" i="8"/>
  <c r="J10" i="8"/>
  <c r="I10" i="8"/>
  <c r="H10" i="8"/>
  <c r="G10" i="8"/>
  <c r="F10" i="8"/>
  <c r="E10" i="8"/>
  <c r="D10" i="8"/>
  <c r="C10" i="8"/>
  <c r="B10" i="8"/>
  <c r="A10" i="8"/>
  <c r="L9" i="8"/>
  <c r="K9" i="8"/>
  <c r="J9" i="8"/>
  <c r="I9" i="8"/>
  <c r="G9" i="8"/>
  <c r="F9" i="8"/>
  <c r="E9" i="8"/>
  <c r="D9" i="8"/>
  <c r="C9" i="8"/>
  <c r="B9" i="8"/>
  <c r="A9" i="8"/>
  <c r="L8" i="8"/>
  <c r="J8" i="8"/>
  <c r="I8" i="8"/>
  <c r="H8" i="8"/>
  <c r="G8" i="8"/>
  <c r="F8" i="8"/>
  <c r="E8" i="8"/>
  <c r="D8" i="8"/>
  <c r="C8" i="8"/>
  <c r="B8" i="8"/>
  <c r="A8" i="8"/>
  <c r="L7" i="8"/>
  <c r="K7" i="8"/>
  <c r="J7" i="8"/>
  <c r="I7" i="8"/>
  <c r="H7" i="8"/>
  <c r="G7" i="8"/>
  <c r="F7" i="8"/>
  <c r="E7" i="8"/>
  <c r="D7" i="8"/>
  <c r="C7" i="8"/>
  <c r="B7" i="8"/>
  <c r="A7" i="8"/>
  <c r="L6" i="8"/>
  <c r="K6" i="8"/>
  <c r="J6" i="8"/>
  <c r="I6" i="8"/>
  <c r="H6" i="8"/>
  <c r="G6" i="8"/>
  <c r="F6" i="8"/>
  <c r="E6" i="8"/>
  <c r="D6" i="8"/>
  <c r="C6" i="8"/>
  <c r="B6" i="8"/>
  <c r="A6" i="8"/>
  <c r="O5" i="8"/>
  <c r="N5" i="8"/>
  <c r="M5" i="8"/>
  <c r="L5" i="8"/>
  <c r="J5" i="8"/>
  <c r="I5" i="8"/>
  <c r="H5" i="8"/>
  <c r="G5" i="8"/>
  <c r="F5" i="8"/>
  <c r="E5" i="8"/>
  <c r="D5" i="8"/>
  <c r="C5" i="8"/>
  <c r="B5" i="8"/>
  <c r="A5" i="8"/>
  <c r="L4" i="8"/>
  <c r="K4" i="8"/>
  <c r="J4" i="8"/>
  <c r="I4" i="8"/>
  <c r="H4" i="8"/>
  <c r="G4" i="8"/>
  <c r="F4" i="8"/>
  <c r="E4" i="8"/>
  <c r="D4" i="8"/>
  <c r="C4" i="8"/>
  <c r="B4" i="8"/>
  <c r="A4" i="8"/>
  <c r="O3" i="8"/>
  <c r="M3" i="8"/>
  <c r="L3" i="8"/>
  <c r="K3" i="8"/>
  <c r="I3" i="8"/>
  <c r="G3" i="8"/>
  <c r="F3" i="8"/>
  <c r="E3" i="8"/>
  <c r="D3" i="8"/>
  <c r="C3" i="8"/>
  <c r="B3" i="8"/>
  <c r="A3" i="8"/>
  <c r="O2" i="8"/>
  <c r="N2" i="8"/>
  <c r="M2" i="8"/>
  <c r="L2" i="8"/>
  <c r="K2" i="8"/>
  <c r="J2" i="8"/>
  <c r="I2" i="8"/>
  <c r="H2" i="8"/>
  <c r="G2" i="8"/>
  <c r="F2" i="8"/>
  <c r="E2" i="8"/>
  <c r="D2" i="8"/>
  <c r="C2" i="8"/>
  <c r="B2" i="8"/>
  <c r="A2" i="8"/>
  <c r="AA182" i="7"/>
  <c r="AE181" i="7"/>
  <c r="AD181" i="7"/>
  <c r="AC181" i="7"/>
  <c r="AB181" i="7"/>
  <c r="AA181" i="7"/>
  <c r="AE180" i="7"/>
  <c r="AD180" i="7"/>
  <c r="AC180" i="7"/>
  <c r="AB180" i="7"/>
  <c r="AA180" i="7"/>
  <c r="AE179" i="7"/>
  <c r="AD179" i="7"/>
  <c r="AC179" i="7"/>
  <c r="AB179" i="7"/>
  <c r="AA179" i="7"/>
  <c r="AE178" i="7"/>
  <c r="AD178" i="7"/>
  <c r="AC178" i="7"/>
  <c r="AB178" i="7"/>
  <c r="AA178" i="7"/>
  <c r="AE177" i="7"/>
  <c r="AD177" i="7"/>
  <c r="AC177" i="7"/>
  <c r="AB177" i="7"/>
  <c r="AA177" i="7"/>
  <c r="AE176" i="7"/>
  <c r="AD176" i="7"/>
  <c r="AC176" i="7"/>
  <c r="AB176" i="7"/>
  <c r="AA176" i="7"/>
  <c r="AE175" i="7"/>
  <c r="AD175" i="7"/>
  <c r="AC175" i="7"/>
  <c r="AB175" i="7"/>
  <c r="AA175" i="7"/>
  <c r="AE174" i="7"/>
  <c r="AD174" i="7"/>
  <c r="AC174" i="7"/>
  <c r="AB174" i="7"/>
  <c r="AA174" i="7"/>
  <c r="AE173" i="7"/>
  <c r="AD173" i="7"/>
  <c r="AC173" i="7"/>
  <c r="AB173" i="7"/>
  <c r="AA173" i="7"/>
  <c r="AE172" i="7"/>
  <c r="AD172" i="7"/>
  <c r="AC172" i="7"/>
  <c r="AB172" i="7"/>
  <c r="AA172" i="7"/>
  <c r="AE171" i="7"/>
  <c r="AD171" i="7"/>
  <c r="AC171" i="7"/>
  <c r="AB171" i="7"/>
  <c r="AA171" i="7"/>
  <c r="AE170" i="7"/>
  <c r="AD170" i="7"/>
  <c r="AC170" i="7"/>
  <c r="AB170" i="7"/>
  <c r="AA170" i="7"/>
  <c r="AE169" i="7"/>
  <c r="AD169" i="7"/>
  <c r="AC169" i="7"/>
  <c r="AB169" i="7"/>
  <c r="AA169" i="7"/>
  <c r="AE168" i="7"/>
  <c r="AD168" i="7"/>
  <c r="AC168" i="7"/>
  <c r="AB168" i="7"/>
  <c r="AA168" i="7"/>
  <c r="AE167" i="7"/>
  <c r="AD167" i="7"/>
  <c r="AC167" i="7"/>
  <c r="AB167" i="7"/>
  <c r="AA167" i="7"/>
  <c r="AE166" i="7"/>
  <c r="AD166" i="7"/>
  <c r="AC166" i="7"/>
  <c r="AB166" i="7"/>
  <c r="AA166" i="7"/>
  <c r="W166" i="7"/>
  <c r="V166" i="7"/>
  <c r="U166" i="7"/>
  <c r="AE165" i="7"/>
  <c r="AD165" i="7"/>
  <c r="AC165" i="7"/>
  <c r="AB165" i="7"/>
  <c r="AA165" i="7"/>
  <c r="W165" i="7"/>
  <c r="V165" i="7"/>
  <c r="U165" i="7"/>
  <c r="AE164" i="7"/>
  <c r="AD164" i="7"/>
  <c r="AC164" i="7"/>
  <c r="AB164" i="7"/>
  <c r="AA164" i="7"/>
  <c r="W164" i="7"/>
  <c r="V164" i="7"/>
  <c r="U164" i="7"/>
  <c r="AE163" i="7"/>
  <c r="AD163" i="7"/>
  <c r="AC163" i="7"/>
  <c r="AB163" i="7"/>
  <c r="AA163" i="7"/>
  <c r="U163" i="7"/>
  <c r="AE162" i="7"/>
  <c r="AD162" i="7"/>
  <c r="AC162" i="7"/>
  <c r="AB162" i="7"/>
  <c r="AA162" i="7"/>
  <c r="W162" i="7"/>
  <c r="V162" i="7"/>
  <c r="U162" i="7"/>
  <c r="AE161" i="7"/>
  <c r="AD161" i="7"/>
  <c r="AC161" i="7"/>
  <c r="AB161" i="7"/>
  <c r="AA161" i="7"/>
  <c r="W161" i="7"/>
  <c r="V161" i="7"/>
  <c r="U161" i="7"/>
  <c r="AE160" i="7"/>
  <c r="AD160" i="7"/>
  <c r="AC160" i="7"/>
  <c r="AB160" i="7"/>
  <c r="AA160" i="7"/>
  <c r="W160" i="7"/>
  <c r="V160" i="7"/>
  <c r="U160" i="7"/>
  <c r="AE159" i="7"/>
  <c r="AD159" i="7"/>
  <c r="AC159" i="7"/>
  <c r="AB159" i="7"/>
  <c r="AA159" i="7"/>
  <c r="U159" i="7"/>
  <c r="AE158" i="7"/>
  <c r="AD158" i="7"/>
  <c r="AC158" i="7"/>
  <c r="AB158" i="7"/>
  <c r="AA158" i="7"/>
  <c r="W158" i="7"/>
  <c r="V158" i="7"/>
  <c r="U158" i="7"/>
  <c r="AE157" i="7"/>
  <c r="AD157" i="7"/>
  <c r="AC157" i="7"/>
  <c r="AB157" i="7"/>
  <c r="AA157" i="7"/>
  <c r="W157" i="7"/>
  <c r="V157" i="7"/>
  <c r="U157" i="7"/>
  <c r="AE156" i="7"/>
  <c r="AD156" i="7"/>
  <c r="AC156" i="7"/>
  <c r="AB156" i="7"/>
  <c r="AA156" i="7"/>
  <c r="W156" i="7"/>
  <c r="V156" i="7"/>
  <c r="U156" i="7"/>
  <c r="AE155" i="7"/>
  <c r="AD155" i="7"/>
  <c r="AC155" i="7"/>
  <c r="AB155" i="7"/>
  <c r="AA155" i="7"/>
  <c r="U155" i="7"/>
  <c r="AE154" i="7"/>
  <c r="AD154" i="7"/>
  <c r="AC154" i="7"/>
  <c r="AB154" i="7"/>
  <c r="AA154" i="7"/>
  <c r="W154" i="7"/>
  <c r="V154" i="7"/>
  <c r="U154" i="7"/>
  <c r="AE153" i="7"/>
  <c r="AD153" i="7"/>
  <c r="AC153" i="7"/>
  <c r="AB153" i="7"/>
  <c r="AA153" i="7"/>
  <c r="W153" i="7"/>
  <c r="V153" i="7"/>
  <c r="U153" i="7"/>
  <c r="AE152" i="7"/>
  <c r="AD152" i="7"/>
  <c r="AC152" i="7"/>
  <c r="AB152" i="7"/>
  <c r="AA152" i="7"/>
  <c r="W152" i="7"/>
  <c r="V152" i="7"/>
  <c r="U152" i="7"/>
  <c r="AE151" i="7"/>
  <c r="AD151" i="7"/>
  <c r="AC151" i="7"/>
  <c r="AB151" i="7"/>
  <c r="AA151" i="7"/>
  <c r="U151" i="7"/>
  <c r="AE150" i="7"/>
  <c r="AD150" i="7"/>
  <c r="AC150" i="7"/>
  <c r="AB150" i="7"/>
  <c r="AA150" i="7"/>
  <c r="W150" i="7"/>
  <c r="V150" i="7"/>
  <c r="U150" i="7"/>
  <c r="AE149" i="7"/>
  <c r="AD149" i="7"/>
  <c r="AC149" i="7"/>
  <c r="AB149" i="7"/>
  <c r="AA149" i="7"/>
  <c r="W149" i="7"/>
  <c r="V149" i="7"/>
  <c r="U149" i="7"/>
  <c r="AE148" i="7"/>
  <c r="AD148" i="7"/>
  <c r="AC148" i="7"/>
  <c r="AB148" i="7"/>
  <c r="AA148" i="7"/>
  <c r="W148" i="7"/>
  <c r="V148" i="7"/>
  <c r="U148" i="7"/>
  <c r="AE147" i="7"/>
  <c r="AD147" i="7"/>
  <c r="AC147" i="7"/>
  <c r="AB147" i="7"/>
  <c r="AA147" i="7"/>
  <c r="U147" i="7"/>
  <c r="AE146" i="7"/>
  <c r="AD146" i="7"/>
  <c r="AC146" i="7"/>
  <c r="AB146" i="7"/>
  <c r="AA146" i="7"/>
  <c r="W146" i="7"/>
  <c r="V146" i="7"/>
  <c r="U146" i="7"/>
  <c r="AE145" i="7"/>
  <c r="AD145" i="7"/>
  <c r="AC145" i="7"/>
  <c r="AB145" i="7"/>
  <c r="AA145" i="7"/>
  <c r="W145" i="7"/>
  <c r="V145" i="7"/>
  <c r="U145" i="7"/>
  <c r="AE144" i="7"/>
  <c r="AD144" i="7"/>
  <c r="AC144" i="7"/>
  <c r="AB144" i="7"/>
  <c r="AA144" i="7"/>
  <c r="W144" i="7"/>
  <c r="V144" i="7"/>
  <c r="U144" i="7"/>
  <c r="AE143" i="7"/>
  <c r="AD143" i="7"/>
  <c r="AC143" i="7"/>
  <c r="AB143" i="7"/>
  <c r="AA143" i="7"/>
  <c r="U143" i="7"/>
  <c r="AE142" i="7"/>
  <c r="AD142" i="7"/>
  <c r="AC142" i="7"/>
  <c r="AB142" i="7"/>
  <c r="AA142" i="7"/>
  <c r="W142" i="7"/>
  <c r="V142" i="7"/>
  <c r="U142" i="7"/>
  <c r="AE141" i="7"/>
  <c r="AD141" i="7"/>
  <c r="AC141" i="7"/>
  <c r="AB141" i="7"/>
  <c r="AA141" i="7"/>
  <c r="W141" i="7"/>
  <c r="V141" i="7"/>
  <c r="U141" i="7"/>
  <c r="AE140" i="7"/>
  <c r="AD140" i="7"/>
  <c r="AC140" i="7"/>
  <c r="AB140" i="7"/>
  <c r="AA140" i="7"/>
  <c r="W140" i="7"/>
  <c r="V140" i="7"/>
  <c r="U140" i="7"/>
  <c r="AE139" i="7"/>
  <c r="AD139" i="7"/>
  <c r="AC139" i="7"/>
  <c r="AB139" i="7"/>
  <c r="AA139" i="7"/>
  <c r="U139" i="7"/>
  <c r="AE138" i="7"/>
  <c r="AD138" i="7"/>
  <c r="AC138" i="7"/>
  <c r="AB138" i="7"/>
  <c r="AA138" i="7"/>
  <c r="W138" i="7"/>
  <c r="V138" i="7"/>
  <c r="U138" i="7"/>
  <c r="AE137" i="7"/>
  <c r="AD137" i="7"/>
  <c r="AC137" i="7"/>
  <c r="AB137" i="7"/>
  <c r="AA137" i="7"/>
  <c r="W137" i="7"/>
  <c r="V137" i="7"/>
  <c r="U137" i="7"/>
  <c r="AE136" i="7"/>
  <c r="AD136" i="7"/>
  <c r="AC136" i="7"/>
  <c r="AB136" i="7"/>
  <c r="AA136" i="7"/>
  <c r="W136" i="7"/>
  <c r="V136" i="7"/>
  <c r="U136" i="7"/>
  <c r="AE135" i="7"/>
  <c r="AD135" i="7"/>
  <c r="AC135" i="7"/>
  <c r="AB135" i="7"/>
  <c r="AA135" i="7"/>
  <c r="W135" i="7"/>
  <c r="V135" i="7"/>
  <c r="U135" i="7"/>
  <c r="AE134" i="7"/>
  <c r="AD134" i="7"/>
  <c r="AC134" i="7"/>
  <c r="AB134" i="7"/>
  <c r="AA134" i="7"/>
  <c r="W134" i="7"/>
  <c r="V134" i="7"/>
  <c r="U134" i="7"/>
  <c r="AE133" i="7"/>
  <c r="AD133" i="7"/>
  <c r="AC133" i="7"/>
  <c r="AB133" i="7"/>
  <c r="AA133" i="7"/>
  <c r="W133" i="7"/>
  <c r="V133" i="7"/>
  <c r="U133" i="7"/>
  <c r="AE132" i="7"/>
  <c r="AD132" i="7"/>
  <c r="AC132" i="7"/>
  <c r="AB132" i="7"/>
  <c r="AA132" i="7"/>
  <c r="W132" i="7"/>
  <c r="V132" i="7"/>
  <c r="U132" i="7"/>
  <c r="AE131" i="7"/>
  <c r="AD131" i="7"/>
  <c r="AC131" i="7"/>
  <c r="AB131" i="7"/>
  <c r="AA131" i="7"/>
  <c r="U131" i="7"/>
  <c r="AE130" i="7"/>
  <c r="AD130" i="7"/>
  <c r="AC130" i="7"/>
  <c r="AB130" i="7"/>
  <c r="AA130" i="7"/>
  <c r="W130" i="7"/>
  <c r="V130" i="7"/>
  <c r="U130" i="7"/>
  <c r="AE129" i="7"/>
  <c r="AD129" i="7"/>
  <c r="AC129" i="7"/>
  <c r="AB129" i="7"/>
  <c r="AA129" i="7"/>
  <c r="W129" i="7"/>
  <c r="V129" i="7"/>
  <c r="U129" i="7"/>
  <c r="AE128" i="7"/>
  <c r="AD128" i="7"/>
  <c r="AC128" i="7"/>
  <c r="AB128" i="7"/>
  <c r="AA128" i="7"/>
  <c r="W128" i="7"/>
  <c r="V128" i="7"/>
  <c r="U128" i="7"/>
  <c r="AE127" i="7"/>
  <c r="AD127" i="7"/>
  <c r="AC127" i="7"/>
  <c r="AB127" i="7"/>
  <c r="AA127" i="7"/>
  <c r="U127" i="7"/>
  <c r="AE126" i="7"/>
  <c r="AD126" i="7"/>
  <c r="AC126" i="7"/>
  <c r="AB126" i="7"/>
  <c r="AA126" i="7"/>
  <c r="W126" i="7"/>
  <c r="V126" i="7"/>
  <c r="U126" i="7"/>
  <c r="AE125" i="7"/>
  <c r="AD125" i="7"/>
  <c r="AC125" i="7"/>
  <c r="AB125" i="7"/>
  <c r="AA125" i="7"/>
  <c r="W125" i="7"/>
  <c r="V125" i="7"/>
  <c r="U125" i="7"/>
  <c r="AE124" i="7"/>
  <c r="AD124" i="7"/>
  <c r="AC124" i="7"/>
  <c r="AB124" i="7"/>
  <c r="AA124" i="7"/>
  <c r="W124" i="7"/>
  <c r="V124" i="7"/>
  <c r="U124" i="7"/>
  <c r="AE123" i="7"/>
  <c r="AD123" i="7"/>
  <c r="AC123" i="7"/>
  <c r="AB123" i="7"/>
  <c r="AA123" i="7"/>
  <c r="U123" i="7"/>
  <c r="AE122" i="7"/>
  <c r="AD122" i="7"/>
  <c r="AC122" i="7"/>
  <c r="AB122" i="7"/>
  <c r="AA122" i="7"/>
  <c r="W122" i="7"/>
  <c r="V122" i="7"/>
  <c r="U122" i="7"/>
  <c r="AE121" i="7"/>
  <c r="AD121" i="7"/>
  <c r="AC121" i="7"/>
  <c r="AB121" i="7"/>
  <c r="AA121" i="7"/>
  <c r="W121" i="7"/>
  <c r="V121" i="7"/>
  <c r="U121" i="7"/>
  <c r="AE120" i="7"/>
  <c r="AD120" i="7"/>
  <c r="AC120" i="7"/>
  <c r="AB120" i="7"/>
  <c r="AA120" i="7"/>
  <c r="W120" i="7"/>
  <c r="V120" i="7"/>
  <c r="U120" i="7"/>
  <c r="AE119" i="7"/>
  <c r="AD119" i="7"/>
  <c r="AC119" i="7"/>
  <c r="AB119" i="7"/>
  <c r="AA119" i="7"/>
  <c r="U119" i="7"/>
  <c r="AE118" i="7"/>
  <c r="AD118" i="7"/>
  <c r="AC118" i="7"/>
  <c r="AB118" i="7"/>
  <c r="AA118" i="7"/>
  <c r="W118" i="7"/>
  <c r="V118" i="7"/>
  <c r="U118" i="7"/>
  <c r="AE117" i="7"/>
  <c r="AD117" i="7"/>
  <c r="AC117" i="7"/>
  <c r="AB117" i="7"/>
  <c r="AA117" i="7"/>
  <c r="W117" i="7"/>
  <c r="V117" i="7"/>
  <c r="U117" i="7"/>
  <c r="AE116" i="7"/>
  <c r="AD116" i="7"/>
  <c r="AC116" i="7"/>
  <c r="AB116" i="7"/>
  <c r="AA116" i="7"/>
  <c r="W116" i="7"/>
  <c r="V116" i="7"/>
  <c r="U116" i="7"/>
  <c r="AE115" i="7"/>
  <c r="AD115" i="7"/>
  <c r="AC115" i="7"/>
  <c r="AB115" i="7"/>
  <c r="AA115" i="7"/>
  <c r="U115" i="7"/>
  <c r="AE114" i="7"/>
  <c r="AD114" i="7"/>
  <c r="AC114" i="7"/>
  <c r="AB114" i="7"/>
  <c r="AA114" i="7"/>
  <c r="W114" i="7"/>
  <c r="V114" i="7"/>
  <c r="U114" i="7"/>
  <c r="AE113" i="7"/>
  <c r="AD113" i="7"/>
  <c r="AC113" i="7"/>
  <c r="AB113" i="7"/>
  <c r="AA113" i="7"/>
  <c r="W113" i="7"/>
  <c r="V113" i="7"/>
  <c r="U113" i="7"/>
  <c r="AE112" i="7"/>
  <c r="AD112" i="7"/>
  <c r="AC112" i="7"/>
  <c r="AB112" i="7"/>
  <c r="AA112" i="7"/>
  <c r="W112" i="7"/>
  <c r="V112" i="7"/>
  <c r="U112" i="7"/>
  <c r="AE111" i="7"/>
  <c r="AD111" i="7"/>
  <c r="AC111" i="7"/>
  <c r="AB111" i="7"/>
  <c r="AA111" i="7"/>
  <c r="U111" i="7"/>
  <c r="AE110" i="7"/>
  <c r="AD110" i="7"/>
  <c r="AC110" i="7"/>
  <c r="AB110" i="7"/>
  <c r="AA110" i="7"/>
  <c r="W110" i="7"/>
  <c r="V110" i="7"/>
  <c r="U110" i="7"/>
  <c r="AE109" i="7"/>
  <c r="AD109" i="7"/>
  <c r="AC109" i="7"/>
  <c r="AB109" i="7"/>
  <c r="AA109" i="7"/>
  <c r="W109" i="7"/>
  <c r="V109" i="7"/>
  <c r="U109" i="7"/>
  <c r="AE108" i="7"/>
  <c r="AD108" i="7"/>
  <c r="AC108" i="7"/>
  <c r="AB108" i="7"/>
  <c r="AA108" i="7"/>
  <c r="W108" i="7"/>
  <c r="V108" i="7"/>
  <c r="U108" i="7"/>
  <c r="AE107" i="7"/>
  <c r="AD107" i="7"/>
  <c r="AC107" i="7"/>
  <c r="AB107" i="7"/>
  <c r="AA107" i="7"/>
  <c r="U107" i="7"/>
  <c r="AE106" i="7"/>
  <c r="AD106" i="7"/>
  <c r="AC106" i="7"/>
  <c r="AB106" i="7"/>
  <c r="AA106" i="7"/>
  <c r="W106" i="7"/>
  <c r="V106" i="7"/>
  <c r="U106" i="7"/>
  <c r="AE105" i="7"/>
  <c r="AD105" i="7"/>
  <c r="AC105" i="7"/>
  <c r="AB105" i="7"/>
  <c r="AA105" i="7"/>
  <c r="W105" i="7"/>
  <c r="V105" i="7"/>
  <c r="U105" i="7"/>
  <c r="AE104" i="7"/>
  <c r="AD104" i="7"/>
  <c r="AC104" i="7"/>
  <c r="AB104" i="7"/>
  <c r="AA104" i="7"/>
  <c r="W104" i="7"/>
  <c r="V104" i="7"/>
  <c r="U104" i="7"/>
  <c r="AE103" i="7"/>
  <c r="AD103" i="7"/>
  <c r="AC103" i="7"/>
  <c r="AB103" i="7"/>
  <c r="AA103" i="7"/>
  <c r="W103" i="7"/>
  <c r="V103" i="7"/>
  <c r="U103" i="7"/>
  <c r="AE102" i="7"/>
  <c r="AD102" i="7"/>
  <c r="AC102" i="7"/>
  <c r="AB102" i="7"/>
  <c r="AA102" i="7"/>
  <c r="W102" i="7"/>
  <c r="V102" i="7"/>
  <c r="U102" i="7"/>
  <c r="AE101" i="7"/>
  <c r="AD101" i="7"/>
  <c r="AC101" i="7"/>
  <c r="AB101" i="7"/>
  <c r="AA101" i="7"/>
  <c r="W101" i="7"/>
  <c r="V101" i="7"/>
  <c r="U101" i="7"/>
  <c r="AE100" i="7"/>
  <c r="AD100" i="7"/>
  <c r="AC100" i="7"/>
  <c r="AB100" i="7"/>
  <c r="AA100" i="7"/>
  <c r="W100" i="7"/>
  <c r="V100" i="7"/>
  <c r="U100" i="7"/>
  <c r="AE99" i="7"/>
  <c r="AD99" i="7"/>
  <c r="AC99" i="7"/>
  <c r="AB99" i="7"/>
  <c r="AA99" i="7"/>
  <c r="U99" i="7"/>
  <c r="AE98" i="7"/>
  <c r="AD98" i="7"/>
  <c r="AC98" i="7"/>
  <c r="AB98" i="7"/>
  <c r="AA98" i="7"/>
  <c r="W98" i="7"/>
  <c r="V98" i="7"/>
  <c r="U98" i="7"/>
  <c r="AE97" i="7"/>
  <c r="AD97" i="7"/>
  <c r="AC97" i="7"/>
  <c r="AB97" i="7"/>
  <c r="AA97" i="7"/>
  <c r="W97" i="7"/>
  <c r="V97" i="7"/>
  <c r="U97" i="7"/>
  <c r="AE96" i="7"/>
  <c r="AD96" i="7"/>
  <c r="AC96" i="7"/>
  <c r="AB96" i="7"/>
  <c r="AA96" i="7"/>
  <c r="W96" i="7"/>
  <c r="V96" i="7"/>
  <c r="U96" i="7"/>
  <c r="AE95" i="7"/>
  <c r="AD95" i="7"/>
  <c r="AC95" i="7"/>
  <c r="AB95" i="7"/>
  <c r="AA95" i="7"/>
  <c r="U95" i="7"/>
  <c r="AE94" i="7"/>
  <c r="AD94" i="7"/>
  <c r="AC94" i="7"/>
  <c r="AB94" i="7"/>
  <c r="AA94" i="7"/>
  <c r="W94" i="7"/>
  <c r="V94" i="7"/>
  <c r="U94" i="7"/>
  <c r="AE93" i="7"/>
  <c r="AD93" i="7"/>
  <c r="AC93" i="7"/>
  <c r="AB93" i="7"/>
  <c r="AA93" i="7"/>
  <c r="W93" i="7"/>
  <c r="V93" i="7"/>
  <c r="U93" i="7"/>
  <c r="AE92" i="7"/>
  <c r="AD92" i="7"/>
  <c r="AC92" i="7"/>
  <c r="AB92" i="7"/>
  <c r="AA92" i="7"/>
  <c r="W92" i="7"/>
  <c r="V92" i="7"/>
  <c r="U92" i="7"/>
  <c r="AE91" i="7"/>
  <c r="AD91" i="7"/>
  <c r="AC91" i="7"/>
  <c r="AB91" i="7"/>
  <c r="AA91" i="7"/>
  <c r="U91" i="7"/>
  <c r="AE90" i="7"/>
  <c r="AD90" i="7"/>
  <c r="AC90" i="7"/>
  <c r="AB90" i="7"/>
  <c r="AA90" i="7"/>
  <c r="W90" i="7"/>
  <c r="V90" i="7"/>
  <c r="U90" i="7"/>
  <c r="AE89" i="7"/>
  <c r="AD89" i="7"/>
  <c r="AC89" i="7"/>
  <c r="AB89" i="7"/>
  <c r="AA89" i="7"/>
  <c r="W89" i="7"/>
  <c r="V89" i="7"/>
  <c r="U89" i="7"/>
  <c r="AE88" i="7"/>
  <c r="AD88" i="7"/>
  <c r="AC88" i="7"/>
  <c r="AB88" i="7"/>
  <c r="AA88" i="7"/>
  <c r="W88" i="7"/>
  <c r="V88" i="7"/>
  <c r="U88" i="7"/>
  <c r="AE87" i="7"/>
  <c r="AD87" i="7"/>
  <c r="AC87" i="7"/>
  <c r="AB87" i="7"/>
  <c r="AA87" i="7"/>
  <c r="U87" i="7"/>
  <c r="AE86" i="7"/>
  <c r="AD86" i="7"/>
  <c r="AC86" i="7"/>
  <c r="AB86" i="7"/>
  <c r="AA86" i="7"/>
  <c r="W86" i="7"/>
  <c r="V86" i="7"/>
  <c r="U86" i="7"/>
  <c r="AE85" i="7"/>
  <c r="AD85" i="7"/>
  <c r="AC85" i="7"/>
  <c r="AB85" i="7"/>
  <c r="AA85" i="7"/>
  <c r="W85" i="7"/>
  <c r="V85" i="7"/>
  <c r="U85" i="7"/>
  <c r="AE84" i="7"/>
  <c r="AD84" i="7"/>
  <c r="AC84" i="7"/>
  <c r="AB84" i="7"/>
  <c r="AA84" i="7"/>
  <c r="W84" i="7"/>
  <c r="V84" i="7"/>
  <c r="U84" i="7"/>
  <c r="AE83" i="7"/>
  <c r="AD83" i="7"/>
  <c r="AC83" i="7"/>
  <c r="AB83" i="7"/>
  <c r="AA83" i="7"/>
  <c r="U83" i="7"/>
  <c r="AE82" i="7"/>
  <c r="AD82" i="7"/>
  <c r="AC82" i="7"/>
  <c r="AB82" i="7"/>
  <c r="AA82" i="7"/>
  <c r="W82" i="7"/>
  <c r="V82" i="7"/>
  <c r="U82" i="7"/>
  <c r="AE81" i="7"/>
  <c r="AD81" i="7"/>
  <c r="AC81" i="7"/>
  <c r="AB81" i="7"/>
  <c r="AA81" i="7"/>
  <c r="W81" i="7"/>
  <c r="V81" i="7"/>
  <c r="U81" i="7"/>
  <c r="AE80" i="7"/>
  <c r="AD80" i="7"/>
  <c r="AC80" i="7"/>
  <c r="AB80" i="7"/>
  <c r="AA80" i="7"/>
  <c r="W80" i="7"/>
  <c r="V80" i="7"/>
  <c r="U80" i="7"/>
  <c r="AE79" i="7"/>
  <c r="AD79" i="7"/>
  <c r="AC79" i="7"/>
  <c r="AB79" i="7"/>
  <c r="AA79" i="7"/>
  <c r="U79" i="7"/>
  <c r="AE78" i="7"/>
  <c r="AD78" i="7"/>
  <c r="AC78" i="7"/>
  <c r="AB78" i="7"/>
  <c r="AA78" i="7"/>
  <c r="W78" i="7"/>
  <c r="V78" i="7"/>
  <c r="U78" i="7"/>
  <c r="AE77" i="7"/>
  <c r="AD77" i="7"/>
  <c r="AC77" i="7"/>
  <c r="AB77" i="7"/>
  <c r="AA77" i="7"/>
  <c r="W77" i="7"/>
  <c r="V77" i="7"/>
  <c r="U77" i="7"/>
  <c r="AE76" i="7"/>
  <c r="AD76" i="7"/>
  <c r="AC76" i="7"/>
  <c r="AB76" i="7"/>
  <c r="AA76" i="7"/>
  <c r="W76" i="7"/>
  <c r="V76" i="7"/>
  <c r="U76" i="7"/>
  <c r="AE75" i="7"/>
  <c r="AD75" i="7"/>
  <c r="AC75" i="7"/>
  <c r="AB75" i="7"/>
  <c r="AA75" i="7"/>
  <c r="U75" i="7"/>
  <c r="AE74" i="7"/>
  <c r="AD74" i="7"/>
  <c r="AC74" i="7"/>
  <c r="AB74" i="7"/>
  <c r="AA74" i="7"/>
  <c r="W74" i="7"/>
  <c r="V74" i="7"/>
  <c r="U74" i="7"/>
  <c r="AE73" i="7"/>
  <c r="AD73" i="7"/>
  <c r="AC73" i="7"/>
  <c r="AB73" i="7"/>
  <c r="AA73" i="7"/>
  <c r="W73" i="7"/>
  <c r="V73" i="7"/>
  <c r="U73" i="7"/>
  <c r="AE72" i="7"/>
  <c r="AD72" i="7"/>
  <c r="AC72" i="7"/>
  <c r="AB72" i="7"/>
  <c r="AA72" i="7"/>
  <c r="W72" i="7"/>
  <c r="V72" i="7"/>
  <c r="U72" i="7"/>
  <c r="AE71" i="7"/>
  <c r="AD71" i="7"/>
  <c r="AC71" i="7"/>
  <c r="AB71" i="7"/>
  <c r="AA71" i="7"/>
  <c r="W71" i="7"/>
  <c r="V71" i="7"/>
  <c r="U71" i="7"/>
  <c r="AE70" i="7"/>
  <c r="AD70" i="7"/>
  <c r="AC70" i="7"/>
  <c r="AB70" i="7"/>
  <c r="AA70" i="7"/>
  <c r="W70" i="7"/>
  <c r="V70" i="7"/>
  <c r="U70" i="7"/>
  <c r="AE69" i="7"/>
  <c r="AD69" i="7"/>
  <c r="AC69" i="7"/>
  <c r="AB69" i="7"/>
  <c r="AA69" i="7"/>
  <c r="W69" i="7"/>
  <c r="V69" i="7"/>
  <c r="U69" i="7"/>
  <c r="AE68" i="7"/>
  <c r="AD68" i="7"/>
  <c r="AC68" i="7"/>
  <c r="AB68" i="7"/>
  <c r="AA68" i="7"/>
  <c r="W68" i="7"/>
  <c r="V68" i="7"/>
  <c r="U68" i="7"/>
  <c r="AE67" i="7"/>
  <c r="AD67" i="7"/>
  <c r="AC67" i="7"/>
  <c r="AB67" i="7"/>
  <c r="AA67" i="7"/>
  <c r="U67" i="7"/>
  <c r="AE66" i="7"/>
  <c r="AD66" i="7"/>
  <c r="AC66" i="7"/>
  <c r="AB66" i="7"/>
  <c r="AA66" i="7"/>
  <c r="W66" i="7"/>
  <c r="V66" i="7"/>
  <c r="U66" i="7"/>
  <c r="AE65" i="7"/>
  <c r="AD65" i="7"/>
  <c r="AC65" i="7"/>
  <c r="AB65" i="7"/>
  <c r="AA65" i="7"/>
  <c r="W65" i="7"/>
  <c r="V65" i="7"/>
  <c r="U65" i="7"/>
  <c r="AE64" i="7"/>
  <c r="AD64" i="7"/>
  <c r="AC64" i="7"/>
  <c r="AB64" i="7"/>
  <c r="AA64" i="7"/>
  <c r="W64" i="7"/>
  <c r="V64" i="7"/>
  <c r="U64" i="7"/>
  <c r="AE63" i="7"/>
  <c r="AD63" i="7"/>
  <c r="AC63" i="7"/>
  <c r="AB63" i="7"/>
  <c r="AA63" i="7"/>
  <c r="U63" i="7"/>
  <c r="AE62" i="7"/>
  <c r="AD62" i="7"/>
  <c r="AC62" i="7"/>
  <c r="AB62" i="7"/>
  <c r="AA62" i="7"/>
  <c r="W62" i="7"/>
  <c r="V62" i="7"/>
  <c r="U62" i="7"/>
  <c r="AE61" i="7"/>
  <c r="AD61" i="7"/>
  <c r="AC61" i="7"/>
  <c r="AB61" i="7"/>
  <c r="AA61" i="7"/>
  <c r="W61" i="7"/>
  <c r="V61" i="7"/>
  <c r="U61" i="7"/>
  <c r="AE60" i="7"/>
  <c r="AD60" i="7"/>
  <c r="AC60" i="7"/>
  <c r="AB60" i="7"/>
  <c r="AA60" i="7"/>
  <c r="W60" i="7"/>
  <c r="V60" i="7"/>
  <c r="U60" i="7"/>
  <c r="AE59" i="7"/>
  <c r="AD59" i="7"/>
  <c r="AC59" i="7"/>
  <c r="AB59" i="7"/>
  <c r="AA59" i="7"/>
  <c r="U59" i="7"/>
  <c r="AE58" i="7"/>
  <c r="AD58" i="7"/>
  <c r="AC58" i="7"/>
  <c r="AB58" i="7"/>
  <c r="AA58" i="7"/>
  <c r="W58" i="7"/>
  <c r="V58" i="7"/>
  <c r="U58" i="7"/>
  <c r="AE57" i="7"/>
  <c r="AD57" i="7"/>
  <c r="AC57" i="7"/>
  <c r="AB57" i="7"/>
  <c r="AA57" i="7"/>
  <c r="W57" i="7"/>
  <c r="V57" i="7"/>
  <c r="U57" i="7"/>
  <c r="AE56" i="7"/>
  <c r="AD56" i="7"/>
  <c r="AC56" i="7"/>
  <c r="AB56" i="7"/>
  <c r="AA56" i="7"/>
  <c r="W56" i="7"/>
  <c r="V56" i="7"/>
  <c r="U56" i="7"/>
  <c r="AE55" i="7"/>
  <c r="AD55" i="7"/>
  <c r="AC55" i="7"/>
  <c r="AB55" i="7"/>
  <c r="AA55" i="7"/>
  <c r="U55" i="7"/>
  <c r="AE54" i="7"/>
  <c r="AD54" i="7"/>
  <c r="AC54" i="7"/>
  <c r="AB54" i="7"/>
  <c r="AA54" i="7"/>
  <c r="W54" i="7"/>
  <c r="V54" i="7"/>
  <c r="U54" i="7"/>
  <c r="E54" i="7"/>
  <c r="AE53" i="7"/>
  <c r="AD53" i="7"/>
  <c r="AC53" i="7"/>
  <c r="AB53" i="7"/>
  <c r="AA53" i="7"/>
  <c r="W53" i="7"/>
  <c r="V53" i="7"/>
  <c r="U53" i="7"/>
  <c r="E53" i="7"/>
  <c r="AE52" i="7"/>
  <c r="AD52" i="7"/>
  <c r="AC52" i="7"/>
  <c r="AB52" i="7"/>
  <c r="AA52" i="7"/>
  <c r="W52" i="7"/>
  <c r="V52" i="7"/>
  <c r="U52" i="7"/>
  <c r="E52" i="7"/>
  <c r="AE51" i="7"/>
  <c r="AD51" i="7"/>
  <c r="AC51" i="7"/>
  <c r="AB51" i="7"/>
  <c r="AA51" i="7"/>
  <c r="U51" i="7"/>
  <c r="E51" i="7"/>
  <c r="AE50" i="7"/>
  <c r="AD50" i="7"/>
  <c r="AC50" i="7"/>
  <c r="AB50" i="7"/>
  <c r="AA50" i="7"/>
  <c r="W50" i="7"/>
  <c r="V50" i="7"/>
  <c r="U50" i="7"/>
  <c r="E50" i="7"/>
  <c r="AE49" i="7"/>
  <c r="AD49" i="7"/>
  <c r="AC49" i="7"/>
  <c r="AB49" i="7"/>
  <c r="AA49" i="7"/>
  <c r="W49" i="7"/>
  <c r="V49" i="7"/>
  <c r="U49" i="7"/>
  <c r="E49" i="7"/>
  <c r="AE48" i="7"/>
  <c r="AD48" i="7"/>
  <c r="AC48" i="7"/>
  <c r="AB48" i="7"/>
  <c r="AA48" i="7"/>
  <c r="W48" i="7"/>
  <c r="V48" i="7"/>
  <c r="U48" i="7"/>
  <c r="E48" i="7"/>
  <c r="AE47" i="7"/>
  <c r="AD47" i="7"/>
  <c r="AC47" i="7"/>
  <c r="AB47" i="7"/>
  <c r="AA47" i="7"/>
  <c r="U47" i="7"/>
  <c r="E47" i="7"/>
  <c r="AE46" i="7"/>
  <c r="AD46" i="7"/>
  <c r="AC46" i="7"/>
  <c r="AB46" i="7"/>
  <c r="AA46" i="7"/>
  <c r="W46" i="7"/>
  <c r="V46" i="7"/>
  <c r="U46" i="7"/>
  <c r="E46" i="7"/>
  <c r="AE45" i="7"/>
  <c r="AD45" i="7"/>
  <c r="AC45" i="7"/>
  <c r="AB45" i="7"/>
  <c r="AA45" i="7"/>
  <c r="W45" i="7"/>
  <c r="V45" i="7"/>
  <c r="U45" i="7"/>
  <c r="E45" i="7"/>
  <c r="AE44" i="7"/>
  <c r="AD44" i="7"/>
  <c r="AC44" i="7"/>
  <c r="AB44" i="7"/>
  <c r="AA44" i="7"/>
  <c r="W44" i="7"/>
  <c r="V44" i="7"/>
  <c r="U44" i="7"/>
  <c r="E44" i="7"/>
  <c r="AE43" i="7"/>
  <c r="AD43" i="7"/>
  <c r="AC43" i="7"/>
  <c r="AB43" i="7"/>
  <c r="AA43" i="7"/>
  <c r="U43" i="7"/>
  <c r="E43" i="7"/>
  <c r="AE42" i="7"/>
  <c r="AD42" i="7"/>
  <c r="AC42" i="7"/>
  <c r="AB42" i="7"/>
  <c r="AA42" i="7"/>
  <c r="W42" i="7"/>
  <c r="V42" i="7"/>
  <c r="U42" i="7"/>
  <c r="E42" i="7"/>
  <c r="AE41" i="7"/>
  <c r="AD41" i="7"/>
  <c r="AC41" i="7"/>
  <c r="AB41" i="7"/>
  <c r="AA41" i="7"/>
  <c r="W41" i="7"/>
  <c r="V41" i="7"/>
  <c r="U41" i="7"/>
  <c r="E41" i="7"/>
  <c r="AE40" i="7"/>
  <c r="AD40" i="7"/>
  <c r="AC40" i="7"/>
  <c r="AB40" i="7"/>
  <c r="AA40" i="7"/>
  <c r="W40" i="7"/>
  <c r="V40" i="7"/>
  <c r="U40" i="7"/>
  <c r="E40" i="7"/>
  <c r="AE39" i="7"/>
  <c r="AD39" i="7"/>
  <c r="AC39" i="7"/>
  <c r="AB39" i="7"/>
  <c r="AA39" i="7"/>
  <c r="W39" i="7"/>
  <c r="V39" i="7"/>
  <c r="U39" i="7"/>
  <c r="E39" i="7"/>
  <c r="AE38" i="7"/>
  <c r="AD38" i="7"/>
  <c r="AC38" i="7"/>
  <c r="AB38" i="7"/>
  <c r="AA38" i="7"/>
  <c r="W38" i="7"/>
  <c r="V38" i="7"/>
  <c r="U38" i="7"/>
  <c r="E38" i="7"/>
  <c r="AE37" i="7"/>
  <c r="AD37" i="7"/>
  <c r="AC37" i="7"/>
  <c r="AB37" i="7"/>
  <c r="AA37" i="7"/>
  <c r="W37" i="7"/>
  <c r="V37" i="7"/>
  <c r="U37" i="7"/>
  <c r="E37" i="7"/>
  <c r="AE36" i="7"/>
  <c r="AD36" i="7"/>
  <c r="AC36" i="7"/>
  <c r="AB36" i="7"/>
  <c r="AA36" i="7"/>
  <c r="W36" i="7"/>
  <c r="V36" i="7"/>
  <c r="U36" i="7"/>
  <c r="E36" i="7"/>
  <c r="AE35" i="7"/>
  <c r="AD35" i="7"/>
  <c r="AC35" i="7"/>
  <c r="AB35" i="7"/>
  <c r="AA35" i="7"/>
  <c r="U35" i="7"/>
  <c r="E35" i="7"/>
  <c r="AE34" i="7"/>
  <c r="AD34" i="7"/>
  <c r="AC34" i="7"/>
  <c r="AB34" i="7"/>
  <c r="AA34" i="7"/>
  <c r="W34" i="7"/>
  <c r="V34" i="7"/>
  <c r="U34" i="7"/>
  <c r="E34" i="7"/>
  <c r="AE33" i="7"/>
  <c r="AD33" i="7"/>
  <c r="AC33" i="7"/>
  <c r="AB33" i="7"/>
  <c r="AA33" i="7"/>
  <c r="W33" i="7"/>
  <c r="V33" i="7"/>
  <c r="U33" i="7"/>
  <c r="E33" i="7"/>
  <c r="AE32" i="7"/>
  <c r="AD32" i="7"/>
  <c r="AC32" i="7"/>
  <c r="AB32" i="7"/>
  <c r="AA32" i="7"/>
  <c r="W32" i="7"/>
  <c r="V32" i="7"/>
  <c r="U32" i="7"/>
  <c r="E32" i="7"/>
  <c r="AE31" i="7"/>
  <c r="AD31" i="7"/>
  <c r="AC31" i="7"/>
  <c r="AB31" i="7"/>
  <c r="AA31" i="7"/>
  <c r="U31" i="7"/>
  <c r="E31" i="7"/>
  <c r="AE30" i="7"/>
  <c r="AD30" i="7"/>
  <c r="AC30" i="7"/>
  <c r="AB30" i="7"/>
  <c r="AA30" i="7"/>
  <c r="W30" i="7"/>
  <c r="V30" i="7"/>
  <c r="U30" i="7"/>
  <c r="E30" i="7"/>
  <c r="AE29" i="7"/>
  <c r="AD29" i="7"/>
  <c r="AC29" i="7"/>
  <c r="AB29" i="7"/>
  <c r="AA29" i="7"/>
  <c r="W29" i="7"/>
  <c r="V29" i="7"/>
  <c r="U29" i="7"/>
  <c r="E29" i="7"/>
  <c r="AE28" i="7"/>
  <c r="AD28" i="7"/>
  <c r="AC28" i="7"/>
  <c r="AB28" i="7"/>
  <c r="AA28" i="7"/>
  <c r="W28" i="7"/>
  <c r="V28" i="7"/>
  <c r="U28" i="7"/>
  <c r="E28" i="7"/>
  <c r="AE27" i="7"/>
  <c r="AD27" i="7"/>
  <c r="AC27" i="7"/>
  <c r="AB27" i="7"/>
  <c r="AA27" i="7"/>
  <c r="U27" i="7"/>
  <c r="E27" i="7"/>
  <c r="AE26" i="7"/>
  <c r="AD26" i="7"/>
  <c r="AC26" i="7"/>
  <c r="AB26" i="7"/>
  <c r="AA26" i="7"/>
  <c r="W26" i="7"/>
  <c r="V26" i="7"/>
  <c r="U26" i="7"/>
  <c r="E26" i="7"/>
  <c r="AE25" i="7"/>
  <c r="AD25" i="7"/>
  <c r="AC25" i="7"/>
  <c r="AB25" i="7"/>
  <c r="AA25" i="7"/>
  <c r="W25" i="7"/>
  <c r="V25" i="7"/>
  <c r="U25" i="7"/>
  <c r="E25" i="7"/>
  <c r="AE24" i="7"/>
  <c r="AD24" i="7"/>
  <c r="AC24" i="7"/>
  <c r="AB24" i="7"/>
  <c r="AA24" i="7"/>
  <c r="W24" i="7"/>
  <c r="V24" i="7"/>
  <c r="U24" i="7"/>
  <c r="E24" i="7"/>
  <c r="AE23" i="7"/>
  <c r="AD23" i="7"/>
  <c r="AC23" i="7"/>
  <c r="AB23" i="7"/>
  <c r="AA23" i="7"/>
  <c r="U23" i="7"/>
  <c r="H23" i="7"/>
  <c r="G23" i="7"/>
  <c r="E23" i="7"/>
  <c r="AE22" i="7"/>
  <c r="AD22" i="7"/>
  <c r="AC22" i="7"/>
  <c r="AB22" i="7"/>
  <c r="AA22" i="7"/>
  <c r="W22" i="7"/>
  <c r="V22" i="7"/>
  <c r="U22" i="7"/>
  <c r="H22" i="7"/>
  <c r="G22" i="7"/>
  <c r="E22" i="7"/>
  <c r="AE21" i="7"/>
  <c r="AD21" i="7"/>
  <c r="AC21" i="7"/>
  <c r="AB21" i="7"/>
  <c r="AA21" i="7"/>
  <c r="W21" i="7"/>
  <c r="V21" i="7"/>
  <c r="U21" i="7"/>
  <c r="H21" i="7"/>
  <c r="G21" i="7"/>
  <c r="E21" i="7"/>
  <c r="AE20" i="7"/>
  <c r="AD20" i="7"/>
  <c r="AC20" i="7"/>
  <c r="AB20" i="7"/>
  <c r="AA20" i="7"/>
  <c r="W20" i="7"/>
  <c r="V20" i="7"/>
  <c r="U20" i="7"/>
  <c r="H20" i="7"/>
  <c r="G20" i="7"/>
  <c r="E20" i="7"/>
  <c r="AE19" i="7"/>
  <c r="AD19" i="7"/>
  <c r="AC19" i="7"/>
  <c r="AB19" i="7"/>
  <c r="AA19" i="7"/>
  <c r="U19" i="7"/>
  <c r="H19" i="7"/>
  <c r="G19" i="7"/>
  <c r="E19" i="7"/>
  <c r="AE18" i="7"/>
  <c r="AD18" i="7"/>
  <c r="AC18" i="7"/>
  <c r="AB18" i="7"/>
  <c r="AA18" i="7"/>
  <c r="W18" i="7"/>
  <c r="V18" i="7"/>
  <c r="U18" i="7"/>
  <c r="H18" i="7"/>
  <c r="G18" i="7"/>
  <c r="E18" i="7"/>
  <c r="AE17" i="7"/>
  <c r="AD17" i="7"/>
  <c r="AC17" i="7"/>
  <c r="AB17" i="7"/>
  <c r="AA17" i="7"/>
  <c r="W17" i="7"/>
  <c r="V17" i="7"/>
  <c r="U17" i="7"/>
  <c r="Q17" i="7"/>
  <c r="H17" i="7"/>
  <c r="G17" i="7"/>
  <c r="E17" i="7"/>
  <c r="AE16" i="7"/>
  <c r="AD16" i="7"/>
  <c r="AC16" i="7"/>
  <c r="AB16" i="7"/>
  <c r="AA16" i="7"/>
  <c r="W16" i="7"/>
  <c r="V16" i="7"/>
  <c r="U16" i="7"/>
  <c r="Q16" i="7"/>
  <c r="H16" i="7"/>
  <c r="G16" i="7"/>
  <c r="E16" i="7"/>
  <c r="AE15" i="7"/>
  <c r="AD15" i="7"/>
  <c r="AC15" i="7"/>
  <c r="AB15" i="7"/>
  <c r="AA15" i="7"/>
  <c r="U15" i="7"/>
  <c r="Q15" i="7"/>
  <c r="H15" i="7"/>
  <c r="G15" i="7"/>
  <c r="E15" i="7"/>
  <c r="AE14" i="7"/>
  <c r="AD14" i="7"/>
  <c r="AC14" i="7"/>
  <c r="AB14" i="7"/>
  <c r="AA14" i="7"/>
  <c r="W14" i="7"/>
  <c r="V14" i="7"/>
  <c r="U14" i="7"/>
  <c r="H14" i="7"/>
  <c r="G14" i="7"/>
  <c r="E14" i="7"/>
  <c r="AE13" i="7"/>
  <c r="AD13" i="7"/>
  <c r="AC13" i="7"/>
  <c r="AB13" i="7"/>
  <c r="AA13" i="7"/>
  <c r="W13" i="7"/>
  <c r="V13" i="7"/>
  <c r="U13" i="7"/>
  <c r="H13" i="7"/>
  <c r="G13" i="7"/>
  <c r="E13" i="7"/>
  <c r="AE12" i="7"/>
  <c r="AD12" i="7"/>
  <c r="AC12" i="7"/>
  <c r="AB12" i="7"/>
  <c r="AA12" i="7"/>
  <c r="W12" i="7"/>
  <c r="V12" i="7"/>
  <c r="U12" i="7"/>
  <c r="R12" i="7"/>
  <c r="Q12" i="7"/>
  <c r="H12" i="7"/>
  <c r="G12" i="7"/>
  <c r="E12" i="7"/>
  <c r="AG11" i="7"/>
  <c r="AE11" i="7"/>
  <c r="AD11" i="7"/>
  <c r="AC11" i="7"/>
  <c r="AB11" i="7"/>
  <c r="AA11" i="7"/>
  <c r="U11" i="7"/>
  <c r="R11" i="7"/>
  <c r="Q11" i="7"/>
  <c r="N11" i="7"/>
  <c r="M11" i="7"/>
  <c r="H11" i="7"/>
  <c r="G11" i="7"/>
  <c r="E11" i="7"/>
  <c r="C11" i="7"/>
  <c r="B11" i="7"/>
  <c r="A11" i="7"/>
  <c r="AG10" i="7"/>
  <c r="AE10" i="7"/>
  <c r="AD10" i="7"/>
  <c r="AC10" i="7"/>
  <c r="AB10" i="7"/>
  <c r="AA10" i="7"/>
  <c r="W10" i="7"/>
  <c r="V10" i="7"/>
  <c r="U10" i="7"/>
  <c r="R10" i="7"/>
  <c r="Q10" i="7"/>
  <c r="N10" i="7"/>
  <c r="M10" i="7"/>
  <c r="L10" i="7"/>
  <c r="H10" i="7"/>
  <c r="G10" i="7"/>
  <c r="E10" i="7"/>
  <c r="C10" i="7"/>
  <c r="B10" i="7"/>
  <c r="A10" i="7"/>
  <c r="AG9" i="7"/>
  <c r="AE9" i="7"/>
  <c r="AD9" i="7"/>
  <c r="AC9" i="7"/>
  <c r="AB9" i="7"/>
  <c r="AA9" i="7"/>
  <c r="W9" i="7"/>
  <c r="V9" i="7"/>
  <c r="U9" i="7"/>
  <c r="R9" i="7"/>
  <c r="Q9" i="7"/>
  <c r="N9" i="7"/>
  <c r="M9" i="7"/>
  <c r="L9" i="7"/>
  <c r="H9" i="7"/>
  <c r="G9" i="7"/>
  <c r="E9" i="7"/>
  <c r="C9" i="7"/>
  <c r="B9" i="7"/>
  <c r="A9" i="7"/>
  <c r="AG8" i="7"/>
  <c r="AE8" i="7"/>
  <c r="AD8" i="7"/>
  <c r="AC8" i="7"/>
  <c r="AB8" i="7"/>
  <c r="AA8" i="7"/>
  <c r="W8" i="7"/>
  <c r="V8" i="7"/>
  <c r="U8" i="7"/>
  <c r="R8" i="7"/>
  <c r="Q8" i="7"/>
  <c r="P8" i="7"/>
  <c r="O8" i="7"/>
  <c r="N8" i="7"/>
  <c r="M8" i="7"/>
  <c r="L8" i="7"/>
  <c r="K8" i="7"/>
  <c r="H8" i="7"/>
  <c r="G8" i="7"/>
  <c r="E8" i="7"/>
  <c r="C8" i="7"/>
  <c r="B8" i="7"/>
  <c r="A8" i="7"/>
  <c r="AG7" i="7"/>
  <c r="AE7" i="7"/>
  <c r="AD7" i="7"/>
  <c r="AC7" i="7"/>
  <c r="AB7" i="7"/>
  <c r="AA7" i="7"/>
  <c r="W7" i="7"/>
  <c r="V7" i="7"/>
  <c r="U7" i="7"/>
  <c r="R7" i="7"/>
  <c r="Q7" i="7"/>
  <c r="P7" i="7"/>
  <c r="O7" i="7"/>
  <c r="N7" i="7"/>
  <c r="M7" i="7"/>
  <c r="L7" i="7"/>
  <c r="K7" i="7"/>
  <c r="J7" i="7"/>
  <c r="I7" i="7"/>
  <c r="H7" i="7"/>
  <c r="G7" i="7"/>
  <c r="E7" i="7"/>
  <c r="C7" i="7"/>
  <c r="B7" i="7"/>
  <c r="A7" i="7"/>
  <c r="R6" i="7"/>
  <c r="Q6" i="7"/>
  <c r="P6" i="7"/>
  <c r="O6" i="7"/>
  <c r="N6" i="7"/>
  <c r="M6" i="7"/>
  <c r="L6" i="7"/>
  <c r="K6" i="7"/>
  <c r="J6" i="7"/>
  <c r="I6" i="7"/>
  <c r="H6" i="7"/>
  <c r="G6" i="7"/>
  <c r="F6" i="7"/>
  <c r="E6" i="7"/>
  <c r="C6" i="7"/>
  <c r="B6" i="7"/>
  <c r="A6" i="7"/>
  <c r="AG5" i="7"/>
  <c r="AE5" i="7"/>
  <c r="AD5" i="7"/>
  <c r="AC5" i="7"/>
  <c r="AB5" i="7"/>
  <c r="AA5" i="7"/>
  <c r="W5" i="7"/>
  <c r="U5" i="7"/>
  <c r="R5" i="7"/>
  <c r="Q5" i="7"/>
  <c r="P5" i="7"/>
  <c r="O5" i="7"/>
  <c r="N5" i="7"/>
  <c r="M5" i="7"/>
  <c r="L5" i="7"/>
  <c r="K5" i="7"/>
  <c r="J5" i="7"/>
  <c r="I5" i="7"/>
  <c r="H5" i="7"/>
  <c r="G5" i="7"/>
  <c r="F5" i="7"/>
  <c r="E5" i="7"/>
  <c r="C5" i="7"/>
  <c r="B5" i="7"/>
  <c r="A5" i="7"/>
  <c r="AA4" i="7"/>
  <c r="U4" i="7"/>
  <c r="R4" i="7"/>
  <c r="Q4" i="7"/>
  <c r="P4" i="7"/>
  <c r="O4" i="7"/>
  <c r="N4" i="7"/>
  <c r="M4" i="7"/>
  <c r="L4" i="7"/>
  <c r="K4" i="7"/>
  <c r="J4" i="7"/>
  <c r="I4" i="7"/>
  <c r="H4" i="7"/>
  <c r="G4" i="7"/>
  <c r="F4" i="7"/>
  <c r="E4" i="7"/>
  <c r="D4" i="7"/>
  <c r="C4" i="7"/>
  <c r="B4" i="7"/>
  <c r="A4" i="7"/>
  <c r="W3" i="7"/>
  <c r="U3" i="7"/>
  <c r="R3" i="7"/>
  <c r="Q3" i="7"/>
  <c r="O3" i="7"/>
  <c r="N3" i="7"/>
  <c r="M3" i="7"/>
  <c r="L3" i="7"/>
  <c r="K3" i="7"/>
  <c r="J3" i="7"/>
  <c r="I3" i="7"/>
  <c r="H3" i="7"/>
  <c r="G3" i="7"/>
  <c r="F3" i="7"/>
  <c r="E3" i="7"/>
  <c r="D3" i="7"/>
  <c r="C3" i="7"/>
  <c r="B3" i="7"/>
  <c r="A3" i="7"/>
  <c r="G2393" i="6"/>
  <c r="F2393" i="6"/>
  <c r="E2393" i="6"/>
  <c r="D2393" i="6"/>
  <c r="C2393" i="6"/>
  <c r="B2393" i="6"/>
  <c r="G2392" i="6"/>
  <c r="F2392" i="6"/>
  <c r="E2392" i="6"/>
  <c r="D2392" i="6"/>
  <c r="C2392" i="6"/>
  <c r="B2392" i="6"/>
  <c r="G2391" i="6"/>
  <c r="F2391" i="6"/>
  <c r="E2391" i="6"/>
  <c r="D2391" i="6"/>
  <c r="C2391" i="6"/>
  <c r="B2391" i="6"/>
  <c r="G2390" i="6"/>
  <c r="F2390" i="6"/>
  <c r="E2390" i="6"/>
  <c r="D2390" i="6"/>
  <c r="C2390" i="6"/>
  <c r="B2390" i="6"/>
  <c r="G2389" i="6"/>
  <c r="F2389" i="6"/>
  <c r="E2389" i="6"/>
  <c r="D2389" i="6"/>
  <c r="C2389" i="6"/>
  <c r="B2389" i="6"/>
  <c r="G2388" i="6"/>
  <c r="F2388" i="6"/>
  <c r="E2388" i="6"/>
  <c r="D2388" i="6"/>
  <c r="C2388" i="6"/>
  <c r="B2388" i="6"/>
  <c r="G2387" i="6"/>
  <c r="F2387" i="6"/>
  <c r="E2387" i="6"/>
  <c r="D2387" i="6"/>
  <c r="C2387" i="6"/>
  <c r="B2387" i="6"/>
  <c r="G2386" i="6"/>
  <c r="F2386" i="6"/>
  <c r="E2386" i="6"/>
  <c r="D2386" i="6"/>
  <c r="C2386" i="6"/>
  <c r="B2386" i="6"/>
  <c r="G2385" i="6"/>
  <c r="F2385" i="6"/>
  <c r="E2385" i="6"/>
  <c r="D2385" i="6"/>
  <c r="C2385" i="6"/>
  <c r="B2385" i="6"/>
  <c r="G2384" i="6"/>
  <c r="F2384" i="6"/>
  <c r="E2384" i="6"/>
  <c r="D2384" i="6"/>
  <c r="C2384" i="6"/>
  <c r="B2384" i="6"/>
  <c r="G2383" i="6"/>
  <c r="F2383" i="6"/>
  <c r="E2383" i="6"/>
  <c r="D2383" i="6"/>
  <c r="C2383" i="6"/>
  <c r="B2383" i="6"/>
  <c r="G2382" i="6"/>
  <c r="F2382" i="6"/>
  <c r="E2382" i="6"/>
  <c r="D2382" i="6"/>
  <c r="C2382" i="6"/>
  <c r="B2382" i="6"/>
  <c r="G2381" i="6"/>
  <c r="F2381" i="6"/>
  <c r="E2381" i="6"/>
  <c r="D2381" i="6"/>
  <c r="C2381" i="6"/>
  <c r="B2381" i="6"/>
  <c r="G2380" i="6"/>
  <c r="F2380" i="6"/>
  <c r="E2380" i="6"/>
  <c r="D2380" i="6"/>
  <c r="C2380" i="6"/>
  <c r="B2380" i="6"/>
  <c r="G2379" i="6"/>
  <c r="F2379" i="6"/>
  <c r="E2379" i="6"/>
  <c r="D2379" i="6"/>
  <c r="C2379" i="6"/>
  <c r="B2379" i="6"/>
  <c r="G2378" i="6"/>
  <c r="F2378" i="6"/>
  <c r="E2378" i="6"/>
  <c r="D2378" i="6"/>
  <c r="C2378" i="6"/>
  <c r="B2378" i="6"/>
  <c r="G2377" i="6"/>
  <c r="F2377" i="6"/>
  <c r="E2377" i="6"/>
  <c r="D2377" i="6"/>
  <c r="C2377" i="6"/>
  <c r="B2377" i="6"/>
  <c r="G2376" i="6"/>
  <c r="F2376" i="6"/>
  <c r="E2376" i="6"/>
  <c r="D2376" i="6"/>
  <c r="C2376" i="6"/>
  <c r="B2376" i="6"/>
  <c r="G2375" i="6"/>
  <c r="F2375" i="6"/>
  <c r="E2375" i="6"/>
  <c r="D2375" i="6"/>
  <c r="C2375" i="6"/>
  <c r="B2375" i="6"/>
  <c r="G2374" i="6"/>
  <c r="F2374" i="6"/>
  <c r="E2374" i="6"/>
  <c r="D2374" i="6"/>
  <c r="C2374" i="6"/>
  <c r="B2374" i="6"/>
  <c r="G2373" i="6"/>
  <c r="F2373" i="6"/>
  <c r="E2373" i="6"/>
  <c r="D2373" i="6"/>
  <c r="C2373" i="6"/>
  <c r="B2373" i="6"/>
  <c r="G2372" i="6"/>
  <c r="F2372" i="6"/>
  <c r="E2372" i="6"/>
  <c r="D2372" i="6"/>
  <c r="C2372" i="6"/>
  <c r="B2372" i="6"/>
  <c r="G2371" i="6"/>
  <c r="F2371" i="6"/>
  <c r="E2371" i="6"/>
  <c r="D2371" i="6"/>
  <c r="C2371" i="6"/>
  <c r="B2371" i="6"/>
  <c r="G2370" i="6"/>
  <c r="F2370" i="6"/>
  <c r="E2370" i="6"/>
  <c r="D2370" i="6"/>
  <c r="C2370" i="6"/>
  <c r="B2370" i="6"/>
  <c r="G2369" i="6"/>
  <c r="F2369" i="6"/>
  <c r="E2369" i="6"/>
  <c r="D2369" i="6"/>
  <c r="C2369" i="6"/>
  <c r="B2369" i="6"/>
  <c r="G2368" i="6"/>
  <c r="F2368" i="6"/>
  <c r="E2368" i="6"/>
  <c r="D2368" i="6"/>
  <c r="C2368" i="6"/>
  <c r="B2368" i="6"/>
  <c r="G2367" i="6"/>
  <c r="F2367" i="6"/>
  <c r="E2367" i="6"/>
  <c r="D2367" i="6"/>
  <c r="C2367" i="6"/>
  <c r="B2367" i="6"/>
  <c r="G2366" i="6"/>
  <c r="F2366" i="6"/>
  <c r="E2366" i="6"/>
  <c r="D2366" i="6"/>
  <c r="C2366" i="6"/>
  <c r="B2366" i="6"/>
  <c r="G2365" i="6"/>
  <c r="F2365" i="6"/>
  <c r="E2365" i="6"/>
  <c r="D2365" i="6"/>
  <c r="C2365" i="6"/>
  <c r="B2365" i="6"/>
  <c r="G2364" i="6"/>
  <c r="F2364" i="6"/>
  <c r="E2364" i="6"/>
  <c r="D2364" i="6"/>
  <c r="C2364" i="6"/>
  <c r="B2364" i="6"/>
  <c r="G2363" i="6"/>
  <c r="F2363" i="6"/>
  <c r="E2363" i="6"/>
  <c r="D2363" i="6"/>
  <c r="C2363" i="6"/>
  <c r="B2363" i="6"/>
  <c r="G2362" i="6"/>
  <c r="F2362" i="6"/>
  <c r="E2362" i="6"/>
  <c r="D2362" i="6"/>
  <c r="C2362" i="6"/>
  <c r="B2362" i="6"/>
  <c r="G2361" i="6"/>
  <c r="F2361" i="6"/>
  <c r="E2361" i="6"/>
  <c r="D2361" i="6"/>
  <c r="C2361" i="6"/>
  <c r="B2361" i="6"/>
  <c r="G2360" i="6"/>
  <c r="F2360" i="6"/>
  <c r="E2360" i="6"/>
  <c r="D2360" i="6"/>
  <c r="C2360" i="6"/>
  <c r="B2360" i="6"/>
  <c r="G2359" i="6"/>
  <c r="F2359" i="6"/>
  <c r="E2359" i="6"/>
  <c r="D2359" i="6"/>
  <c r="C2359" i="6"/>
  <c r="B2359" i="6"/>
  <c r="G2358" i="6"/>
  <c r="F2358" i="6"/>
  <c r="E2358" i="6"/>
  <c r="D2358" i="6"/>
  <c r="C2358" i="6"/>
  <c r="B2358" i="6"/>
  <c r="G2357" i="6"/>
  <c r="F2357" i="6"/>
  <c r="E2357" i="6"/>
  <c r="D2357" i="6"/>
  <c r="C2357" i="6"/>
  <c r="B2357" i="6"/>
  <c r="G2356" i="6"/>
  <c r="F2356" i="6"/>
  <c r="E2356" i="6"/>
  <c r="D2356" i="6"/>
  <c r="C2356" i="6"/>
  <c r="B2356" i="6"/>
  <c r="G2355" i="6"/>
  <c r="F2355" i="6"/>
  <c r="E2355" i="6"/>
  <c r="D2355" i="6"/>
  <c r="C2355" i="6"/>
  <c r="B2355" i="6"/>
  <c r="G2354" i="6"/>
  <c r="F2354" i="6"/>
  <c r="E2354" i="6"/>
  <c r="D2354" i="6"/>
  <c r="C2354" i="6"/>
  <c r="B2354" i="6"/>
  <c r="G2353" i="6"/>
  <c r="F2353" i="6"/>
  <c r="E2353" i="6"/>
  <c r="D2353" i="6"/>
  <c r="C2353" i="6"/>
  <c r="B2353" i="6"/>
  <c r="G2352" i="6"/>
  <c r="F2352" i="6"/>
  <c r="E2352" i="6"/>
  <c r="D2352" i="6"/>
  <c r="C2352" i="6"/>
  <c r="B2352" i="6"/>
  <c r="G2351" i="6"/>
  <c r="F2351" i="6"/>
  <c r="E2351" i="6"/>
  <c r="D2351" i="6"/>
  <c r="C2351" i="6"/>
  <c r="B2351" i="6"/>
  <c r="G2350" i="6"/>
  <c r="F2350" i="6"/>
  <c r="E2350" i="6"/>
  <c r="D2350" i="6"/>
  <c r="C2350" i="6"/>
  <c r="B2350" i="6"/>
  <c r="G2349" i="6"/>
  <c r="F2349" i="6"/>
  <c r="E2349" i="6"/>
  <c r="D2349" i="6"/>
  <c r="C2349" i="6"/>
  <c r="B2349" i="6"/>
  <c r="G2348" i="6"/>
  <c r="F2348" i="6"/>
  <c r="E2348" i="6"/>
  <c r="D2348" i="6"/>
  <c r="C2348" i="6"/>
  <c r="B2348" i="6"/>
  <c r="G2347" i="6"/>
  <c r="F2347" i="6"/>
  <c r="E2347" i="6"/>
  <c r="D2347" i="6"/>
  <c r="C2347" i="6"/>
  <c r="B2347" i="6"/>
  <c r="G2346" i="6"/>
  <c r="F2346" i="6"/>
  <c r="E2346" i="6"/>
  <c r="D2346" i="6"/>
  <c r="C2346" i="6"/>
  <c r="B2346" i="6"/>
  <c r="G2345" i="6"/>
  <c r="F2345" i="6"/>
  <c r="E2345" i="6"/>
  <c r="D2345" i="6"/>
  <c r="C2345" i="6"/>
  <c r="B2345" i="6"/>
  <c r="G2344" i="6"/>
  <c r="F2344" i="6"/>
  <c r="E2344" i="6"/>
  <c r="D2344" i="6"/>
  <c r="C2344" i="6"/>
  <c r="B2344" i="6"/>
  <c r="G2343" i="6"/>
  <c r="F2343" i="6"/>
  <c r="E2343" i="6"/>
  <c r="D2343" i="6"/>
  <c r="C2343" i="6"/>
  <c r="B2343" i="6"/>
  <c r="G2342" i="6"/>
  <c r="F2342" i="6"/>
  <c r="E2342" i="6"/>
  <c r="D2342" i="6"/>
  <c r="C2342" i="6"/>
  <c r="B2342" i="6"/>
  <c r="G2341" i="6"/>
  <c r="F2341" i="6"/>
  <c r="E2341" i="6"/>
  <c r="D2341" i="6"/>
  <c r="C2341" i="6"/>
  <c r="B2341" i="6"/>
  <c r="G2340" i="6"/>
  <c r="F2340" i="6"/>
  <c r="E2340" i="6"/>
  <c r="D2340" i="6"/>
  <c r="C2340" i="6"/>
  <c r="B2340" i="6"/>
  <c r="G2339" i="6"/>
  <c r="F2339" i="6"/>
  <c r="E2339" i="6"/>
  <c r="D2339" i="6"/>
  <c r="C2339" i="6"/>
  <c r="B2339" i="6"/>
  <c r="G2338" i="6"/>
  <c r="F2338" i="6"/>
  <c r="E2338" i="6"/>
  <c r="D2338" i="6"/>
  <c r="C2338" i="6"/>
  <c r="B2338" i="6"/>
  <c r="G2337" i="6"/>
  <c r="F2337" i="6"/>
  <c r="E2337" i="6"/>
  <c r="D2337" i="6"/>
  <c r="C2337" i="6"/>
  <c r="B2337" i="6"/>
  <c r="G2336" i="6"/>
  <c r="F2336" i="6"/>
  <c r="E2336" i="6"/>
  <c r="D2336" i="6"/>
  <c r="C2336" i="6"/>
  <c r="B2336" i="6"/>
  <c r="G2335" i="6"/>
  <c r="F2335" i="6"/>
  <c r="E2335" i="6"/>
  <c r="D2335" i="6"/>
  <c r="C2335" i="6"/>
  <c r="B2335" i="6"/>
  <c r="A2335" i="6"/>
  <c r="G2334" i="6"/>
  <c r="F2334" i="6"/>
  <c r="E2334" i="6"/>
  <c r="D2334" i="6"/>
  <c r="C2334" i="6"/>
  <c r="B2334" i="6"/>
  <c r="A2334" i="6"/>
  <c r="G2333" i="6"/>
  <c r="F2333" i="6"/>
  <c r="E2333" i="6"/>
  <c r="D2333" i="6"/>
  <c r="C2333" i="6"/>
  <c r="B2333" i="6"/>
  <c r="A2333" i="6"/>
  <c r="G2332" i="6"/>
  <c r="F2332" i="6"/>
  <c r="E2332" i="6"/>
  <c r="D2332" i="6"/>
  <c r="C2332" i="6"/>
  <c r="B2332" i="6"/>
  <c r="A2332" i="6"/>
  <c r="G2331" i="6"/>
  <c r="F2331" i="6"/>
  <c r="E2331" i="6"/>
  <c r="D2331" i="6"/>
  <c r="C2331" i="6"/>
  <c r="B2331" i="6"/>
  <c r="A2331" i="6"/>
  <c r="G2330" i="6"/>
  <c r="F2330" i="6"/>
  <c r="E2330" i="6"/>
  <c r="D2330" i="6"/>
  <c r="C2330" i="6"/>
  <c r="B2330" i="6"/>
  <c r="A2330" i="6"/>
  <c r="G2329" i="6"/>
  <c r="F2329" i="6"/>
  <c r="E2329" i="6"/>
  <c r="D2329" i="6"/>
  <c r="C2329" i="6"/>
  <c r="B2329" i="6"/>
  <c r="A2329" i="6"/>
  <c r="G2328" i="6"/>
  <c r="F2328" i="6"/>
  <c r="E2328" i="6"/>
  <c r="D2328" i="6"/>
  <c r="C2328" i="6"/>
  <c r="B2328" i="6"/>
  <c r="A2328" i="6"/>
  <c r="G2327" i="6"/>
  <c r="F2327" i="6"/>
  <c r="E2327" i="6"/>
  <c r="D2327" i="6"/>
  <c r="C2327" i="6"/>
  <c r="B2327" i="6"/>
  <c r="A2327" i="6"/>
  <c r="G2326" i="6"/>
  <c r="F2326" i="6"/>
  <c r="E2326" i="6"/>
  <c r="D2326" i="6"/>
  <c r="C2326" i="6"/>
  <c r="B2326" i="6"/>
  <c r="A2326" i="6"/>
  <c r="G2325" i="6"/>
  <c r="F2325" i="6"/>
  <c r="E2325" i="6"/>
  <c r="D2325" i="6"/>
  <c r="C2325" i="6"/>
  <c r="B2325" i="6"/>
  <c r="A2325" i="6"/>
  <c r="G2324" i="6"/>
  <c r="F2324" i="6"/>
  <c r="E2324" i="6"/>
  <c r="D2324" i="6"/>
  <c r="C2324" i="6"/>
  <c r="B2324" i="6"/>
  <c r="A2324" i="6"/>
  <c r="G2323" i="6"/>
  <c r="F2323" i="6"/>
  <c r="E2323" i="6"/>
  <c r="D2323" i="6"/>
  <c r="C2323" i="6"/>
  <c r="B2323" i="6"/>
  <c r="A2323" i="6"/>
  <c r="G2322" i="6"/>
  <c r="F2322" i="6"/>
  <c r="E2322" i="6"/>
  <c r="D2322" i="6"/>
  <c r="C2322" i="6"/>
  <c r="B2322" i="6"/>
  <c r="A2322" i="6"/>
  <c r="G2321" i="6"/>
  <c r="F2321" i="6"/>
  <c r="E2321" i="6"/>
  <c r="D2321" i="6"/>
  <c r="C2321" i="6"/>
  <c r="B2321" i="6"/>
  <c r="A2321" i="6"/>
  <c r="G2320" i="6"/>
  <c r="F2320" i="6"/>
  <c r="E2320" i="6"/>
  <c r="D2320" i="6"/>
  <c r="C2320" i="6"/>
  <c r="B2320" i="6"/>
  <c r="A2320" i="6"/>
  <c r="G2319" i="6"/>
  <c r="F2319" i="6"/>
  <c r="E2319" i="6"/>
  <c r="D2319" i="6"/>
  <c r="C2319" i="6"/>
  <c r="B2319" i="6"/>
  <c r="A2319" i="6"/>
  <c r="G2318" i="6"/>
  <c r="F2318" i="6"/>
  <c r="E2318" i="6"/>
  <c r="D2318" i="6"/>
  <c r="C2318" i="6"/>
  <c r="B2318" i="6"/>
  <c r="A2318" i="6"/>
  <c r="G2317" i="6"/>
  <c r="F2317" i="6"/>
  <c r="E2317" i="6"/>
  <c r="D2317" i="6"/>
  <c r="C2317" i="6"/>
  <c r="B2317" i="6"/>
  <c r="A2317" i="6"/>
  <c r="G2316" i="6"/>
  <c r="F2316" i="6"/>
  <c r="E2316" i="6"/>
  <c r="D2316" i="6"/>
  <c r="C2316" i="6"/>
  <c r="B2316" i="6"/>
  <c r="A2316" i="6"/>
  <c r="G2315" i="6"/>
  <c r="F2315" i="6"/>
  <c r="E2315" i="6"/>
  <c r="D2315" i="6"/>
  <c r="C2315" i="6"/>
  <c r="B2315" i="6"/>
  <c r="A2315" i="6"/>
  <c r="G2314" i="6"/>
  <c r="F2314" i="6"/>
  <c r="E2314" i="6"/>
  <c r="D2314" i="6"/>
  <c r="C2314" i="6"/>
  <c r="B2314" i="6"/>
  <c r="A2314" i="6"/>
  <c r="G2313" i="6"/>
  <c r="F2313" i="6"/>
  <c r="E2313" i="6"/>
  <c r="D2313" i="6"/>
  <c r="C2313" i="6"/>
  <c r="B2313" i="6"/>
  <c r="A2313" i="6"/>
  <c r="G2312" i="6"/>
  <c r="F2312" i="6"/>
  <c r="E2312" i="6"/>
  <c r="D2312" i="6"/>
  <c r="C2312" i="6"/>
  <c r="B2312" i="6"/>
  <c r="A2312" i="6"/>
  <c r="G2311" i="6"/>
  <c r="F2311" i="6"/>
  <c r="E2311" i="6"/>
  <c r="D2311" i="6"/>
  <c r="C2311" i="6"/>
  <c r="B2311" i="6"/>
  <c r="A2311" i="6"/>
  <c r="G2310" i="6"/>
  <c r="F2310" i="6"/>
  <c r="E2310" i="6"/>
  <c r="D2310" i="6"/>
  <c r="C2310" i="6"/>
  <c r="B2310" i="6"/>
  <c r="A2310" i="6"/>
  <c r="G2309" i="6"/>
  <c r="F2309" i="6"/>
  <c r="E2309" i="6"/>
  <c r="D2309" i="6"/>
  <c r="C2309" i="6"/>
  <c r="B2309" i="6"/>
  <c r="A2309" i="6"/>
  <c r="G2308" i="6"/>
  <c r="F2308" i="6"/>
  <c r="E2308" i="6"/>
  <c r="D2308" i="6"/>
  <c r="C2308" i="6"/>
  <c r="B2308" i="6"/>
  <c r="A2308" i="6"/>
  <c r="G2307" i="6"/>
  <c r="F2307" i="6"/>
  <c r="E2307" i="6"/>
  <c r="D2307" i="6"/>
  <c r="C2307" i="6"/>
  <c r="B2307" i="6"/>
  <c r="A2307" i="6"/>
  <c r="G2306" i="6"/>
  <c r="F2306" i="6"/>
  <c r="E2306" i="6"/>
  <c r="D2306" i="6"/>
  <c r="C2306" i="6"/>
  <c r="B2306" i="6"/>
  <c r="A2306" i="6"/>
  <c r="G2305" i="6"/>
  <c r="F2305" i="6"/>
  <c r="E2305" i="6"/>
  <c r="D2305" i="6"/>
  <c r="C2305" i="6"/>
  <c r="B2305" i="6"/>
  <c r="A2305" i="6"/>
  <c r="G2304" i="6"/>
  <c r="F2304" i="6"/>
  <c r="E2304" i="6"/>
  <c r="D2304" i="6"/>
  <c r="C2304" i="6"/>
  <c r="B2304" i="6"/>
  <c r="A2304" i="6"/>
  <c r="G2303" i="6"/>
  <c r="F2303" i="6"/>
  <c r="E2303" i="6"/>
  <c r="D2303" i="6"/>
  <c r="C2303" i="6"/>
  <c r="B2303" i="6"/>
  <c r="A2303" i="6"/>
  <c r="G2302" i="6"/>
  <c r="F2302" i="6"/>
  <c r="E2302" i="6"/>
  <c r="D2302" i="6"/>
  <c r="C2302" i="6"/>
  <c r="B2302" i="6"/>
  <c r="A2302" i="6"/>
  <c r="G2301" i="6"/>
  <c r="F2301" i="6"/>
  <c r="E2301" i="6"/>
  <c r="D2301" i="6"/>
  <c r="C2301" i="6"/>
  <c r="B2301" i="6"/>
  <c r="A2301" i="6"/>
  <c r="G2300" i="6"/>
  <c r="F2300" i="6"/>
  <c r="E2300" i="6"/>
  <c r="D2300" i="6"/>
  <c r="C2300" i="6"/>
  <c r="B2300" i="6"/>
  <c r="A2300" i="6"/>
  <c r="G2299" i="6"/>
  <c r="F2299" i="6"/>
  <c r="E2299" i="6"/>
  <c r="D2299" i="6"/>
  <c r="C2299" i="6"/>
  <c r="B2299" i="6"/>
  <c r="A2299" i="6"/>
  <c r="G2298" i="6"/>
  <c r="F2298" i="6"/>
  <c r="E2298" i="6"/>
  <c r="D2298" i="6"/>
  <c r="C2298" i="6"/>
  <c r="B2298" i="6"/>
  <c r="A2298" i="6"/>
  <c r="G2297" i="6"/>
  <c r="F2297" i="6"/>
  <c r="E2297" i="6"/>
  <c r="D2297" i="6"/>
  <c r="C2297" i="6"/>
  <c r="B2297" i="6"/>
  <c r="A2297" i="6"/>
  <c r="G2296" i="6"/>
  <c r="F2296" i="6"/>
  <c r="E2296" i="6"/>
  <c r="D2296" i="6"/>
  <c r="C2296" i="6"/>
  <c r="B2296" i="6"/>
  <c r="A2296" i="6"/>
  <c r="G2295" i="6"/>
  <c r="F2295" i="6"/>
  <c r="E2295" i="6"/>
  <c r="D2295" i="6"/>
  <c r="C2295" i="6"/>
  <c r="B2295" i="6"/>
  <c r="A2295" i="6"/>
  <c r="G2294" i="6"/>
  <c r="F2294" i="6"/>
  <c r="E2294" i="6"/>
  <c r="D2294" i="6"/>
  <c r="C2294" i="6"/>
  <c r="B2294" i="6"/>
  <c r="A2294" i="6"/>
  <c r="G2293" i="6"/>
  <c r="F2293" i="6"/>
  <c r="E2293" i="6"/>
  <c r="D2293" i="6"/>
  <c r="C2293" i="6"/>
  <c r="B2293" i="6"/>
  <c r="A2293" i="6"/>
  <c r="G2292" i="6"/>
  <c r="F2292" i="6"/>
  <c r="E2292" i="6"/>
  <c r="D2292" i="6"/>
  <c r="C2292" i="6"/>
  <c r="B2292" i="6"/>
  <c r="A2292" i="6"/>
  <c r="G2291" i="6"/>
  <c r="F2291" i="6"/>
  <c r="E2291" i="6"/>
  <c r="D2291" i="6"/>
  <c r="C2291" i="6"/>
  <c r="B2291" i="6"/>
  <c r="A2291" i="6"/>
  <c r="G2290" i="6"/>
  <c r="F2290" i="6"/>
  <c r="E2290" i="6"/>
  <c r="D2290" i="6"/>
  <c r="C2290" i="6"/>
  <c r="B2290" i="6"/>
  <c r="A2290" i="6"/>
  <c r="G2289" i="6"/>
  <c r="F2289" i="6"/>
  <c r="E2289" i="6"/>
  <c r="D2289" i="6"/>
  <c r="C2289" i="6"/>
  <c r="B2289" i="6"/>
  <c r="A2289" i="6"/>
  <c r="G2288" i="6"/>
  <c r="F2288" i="6"/>
  <c r="E2288" i="6"/>
  <c r="D2288" i="6"/>
  <c r="C2288" i="6"/>
  <c r="B2288" i="6"/>
  <c r="A2288" i="6"/>
  <c r="G2287" i="6"/>
  <c r="F2287" i="6"/>
  <c r="E2287" i="6"/>
  <c r="D2287" i="6"/>
  <c r="C2287" i="6"/>
  <c r="B2287" i="6"/>
  <c r="A2287" i="6"/>
  <c r="G2286" i="6"/>
  <c r="F2286" i="6"/>
  <c r="E2286" i="6"/>
  <c r="D2286" i="6"/>
  <c r="C2286" i="6"/>
  <c r="B2286" i="6"/>
  <c r="A2286" i="6"/>
  <c r="G2285" i="6"/>
  <c r="F2285" i="6"/>
  <c r="E2285" i="6"/>
  <c r="D2285" i="6"/>
  <c r="C2285" i="6"/>
  <c r="B2285" i="6"/>
  <c r="A2285" i="6"/>
  <c r="G2284" i="6"/>
  <c r="F2284" i="6"/>
  <c r="E2284" i="6"/>
  <c r="D2284" i="6"/>
  <c r="C2284" i="6"/>
  <c r="B2284" i="6"/>
  <c r="A2284" i="6"/>
  <c r="G2283" i="6"/>
  <c r="F2283" i="6"/>
  <c r="E2283" i="6"/>
  <c r="D2283" i="6"/>
  <c r="C2283" i="6"/>
  <c r="B2283" i="6"/>
  <c r="A2283" i="6"/>
  <c r="G2282" i="6"/>
  <c r="F2282" i="6"/>
  <c r="E2282" i="6"/>
  <c r="D2282" i="6"/>
  <c r="C2282" i="6"/>
  <c r="B2282" i="6"/>
  <c r="A2282" i="6"/>
  <c r="G2281" i="6"/>
  <c r="F2281" i="6"/>
  <c r="E2281" i="6"/>
  <c r="D2281" i="6"/>
  <c r="C2281" i="6"/>
  <c r="B2281" i="6"/>
  <c r="A2281" i="6"/>
  <c r="G2280" i="6"/>
  <c r="F2280" i="6"/>
  <c r="E2280" i="6"/>
  <c r="D2280" i="6"/>
  <c r="C2280" i="6"/>
  <c r="B2280" i="6"/>
  <c r="A2280" i="6"/>
  <c r="G2279" i="6"/>
  <c r="F2279" i="6"/>
  <c r="E2279" i="6"/>
  <c r="D2279" i="6"/>
  <c r="C2279" i="6"/>
  <c r="B2279" i="6"/>
  <c r="A2279" i="6"/>
  <c r="G2278" i="6"/>
  <c r="F2278" i="6"/>
  <c r="E2278" i="6"/>
  <c r="D2278" i="6"/>
  <c r="C2278" i="6"/>
  <c r="B2278" i="6"/>
  <c r="A2278" i="6"/>
  <c r="G2277" i="6"/>
  <c r="F2277" i="6"/>
  <c r="E2277" i="6"/>
  <c r="D2277" i="6"/>
  <c r="C2277" i="6"/>
  <c r="B2277" i="6"/>
  <c r="A2277" i="6"/>
  <c r="G2276" i="6"/>
  <c r="F2276" i="6"/>
  <c r="E2276" i="6"/>
  <c r="D2276" i="6"/>
  <c r="C2276" i="6"/>
  <c r="B2276" i="6"/>
  <c r="A2276" i="6"/>
  <c r="G2275" i="6"/>
  <c r="F2275" i="6"/>
  <c r="E2275" i="6"/>
  <c r="D2275" i="6"/>
  <c r="C2275" i="6"/>
  <c r="B2275" i="6"/>
  <c r="A2275" i="6"/>
  <c r="G2274" i="6"/>
  <c r="F2274" i="6"/>
  <c r="E2274" i="6"/>
  <c r="D2274" i="6"/>
  <c r="C2274" i="6"/>
  <c r="B2274" i="6"/>
  <c r="A2274" i="6"/>
  <c r="G2273" i="6"/>
  <c r="F2273" i="6"/>
  <c r="E2273" i="6"/>
  <c r="D2273" i="6"/>
  <c r="C2273" i="6"/>
  <c r="B2273" i="6"/>
  <c r="A2273" i="6"/>
  <c r="G2272" i="6"/>
  <c r="F2272" i="6"/>
  <c r="E2272" i="6"/>
  <c r="D2272" i="6"/>
  <c r="C2272" i="6"/>
  <c r="B2272" i="6"/>
  <c r="A2272" i="6"/>
  <c r="G2271" i="6"/>
  <c r="F2271" i="6"/>
  <c r="E2271" i="6"/>
  <c r="D2271" i="6"/>
  <c r="C2271" i="6"/>
  <c r="B2271" i="6"/>
  <c r="A2271" i="6"/>
  <c r="G2270" i="6"/>
  <c r="F2270" i="6"/>
  <c r="E2270" i="6"/>
  <c r="D2270" i="6"/>
  <c r="C2270" i="6"/>
  <c r="B2270" i="6"/>
  <c r="A2270" i="6"/>
  <c r="G2269" i="6"/>
  <c r="F2269" i="6"/>
  <c r="E2269" i="6"/>
  <c r="D2269" i="6"/>
  <c r="C2269" i="6"/>
  <c r="B2269" i="6"/>
  <c r="A2269" i="6"/>
  <c r="G2268" i="6"/>
  <c r="F2268" i="6"/>
  <c r="E2268" i="6"/>
  <c r="D2268" i="6"/>
  <c r="C2268" i="6"/>
  <c r="B2268" i="6"/>
  <c r="A2268" i="6"/>
  <c r="G2267" i="6"/>
  <c r="F2267" i="6"/>
  <c r="E2267" i="6"/>
  <c r="D2267" i="6"/>
  <c r="C2267" i="6"/>
  <c r="B2267" i="6"/>
  <c r="A2267" i="6"/>
  <c r="G2266" i="6"/>
  <c r="F2266" i="6"/>
  <c r="E2266" i="6"/>
  <c r="D2266" i="6"/>
  <c r="C2266" i="6"/>
  <c r="B2266" i="6"/>
  <c r="A2266" i="6"/>
  <c r="G2265" i="6"/>
  <c r="F2265" i="6"/>
  <c r="E2265" i="6"/>
  <c r="D2265" i="6"/>
  <c r="C2265" i="6"/>
  <c r="B2265" i="6"/>
  <c r="A2265" i="6"/>
  <c r="G2264" i="6"/>
  <c r="F2264" i="6"/>
  <c r="E2264" i="6"/>
  <c r="D2264" i="6"/>
  <c r="C2264" i="6"/>
  <c r="B2264" i="6"/>
  <c r="A2264" i="6"/>
  <c r="G2263" i="6"/>
  <c r="F2263" i="6"/>
  <c r="E2263" i="6"/>
  <c r="D2263" i="6"/>
  <c r="C2263" i="6"/>
  <c r="B2263" i="6"/>
  <c r="A2263" i="6"/>
  <c r="G2262" i="6"/>
  <c r="F2262" i="6"/>
  <c r="E2262" i="6"/>
  <c r="D2262" i="6"/>
  <c r="C2262" i="6"/>
  <c r="B2262" i="6"/>
  <c r="A2262" i="6"/>
  <c r="G2261" i="6"/>
  <c r="F2261" i="6"/>
  <c r="E2261" i="6"/>
  <c r="D2261" i="6"/>
  <c r="C2261" i="6"/>
  <c r="B2261" i="6"/>
  <c r="A2261" i="6"/>
  <c r="G2260" i="6"/>
  <c r="F2260" i="6"/>
  <c r="E2260" i="6"/>
  <c r="D2260" i="6"/>
  <c r="C2260" i="6"/>
  <c r="B2260" i="6"/>
  <c r="A2260" i="6"/>
  <c r="G2259" i="6"/>
  <c r="F2259" i="6"/>
  <c r="E2259" i="6"/>
  <c r="D2259" i="6"/>
  <c r="C2259" i="6"/>
  <c r="B2259" i="6"/>
  <c r="A2259" i="6"/>
  <c r="G2258" i="6"/>
  <c r="F2258" i="6"/>
  <c r="E2258" i="6"/>
  <c r="D2258" i="6"/>
  <c r="C2258" i="6"/>
  <c r="B2258" i="6"/>
  <c r="A2258" i="6"/>
  <c r="G2257" i="6"/>
  <c r="F2257" i="6"/>
  <c r="E2257" i="6"/>
  <c r="D2257" i="6"/>
  <c r="C2257" i="6"/>
  <c r="B2257" i="6"/>
  <c r="A2257" i="6"/>
  <c r="G2256" i="6"/>
  <c r="F2256" i="6"/>
  <c r="E2256" i="6"/>
  <c r="D2256" i="6"/>
  <c r="C2256" i="6"/>
  <c r="B2256" i="6"/>
  <c r="A2256" i="6"/>
  <c r="G2255" i="6"/>
  <c r="F2255" i="6"/>
  <c r="E2255" i="6"/>
  <c r="D2255" i="6"/>
  <c r="C2255" i="6"/>
  <c r="B2255" i="6"/>
  <c r="A2255" i="6"/>
  <c r="G2254" i="6"/>
  <c r="F2254" i="6"/>
  <c r="E2254" i="6"/>
  <c r="D2254" i="6"/>
  <c r="C2254" i="6"/>
  <c r="B2254" i="6"/>
  <c r="A2254" i="6"/>
  <c r="G2253" i="6"/>
  <c r="F2253" i="6"/>
  <c r="E2253" i="6"/>
  <c r="D2253" i="6"/>
  <c r="C2253" i="6"/>
  <c r="B2253" i="6"/>
  <c r="A2253" i="6"/>
  <c r="G2252" i="6"/>
  <c r="F2252" i="6"/>
  <c r="E2252" i="6"/>
  <c r="D2252" i="6"/>
  <c r="C2252" i="6"/>
  <c r="B2252" i="6"/>
  <c r="A2252" i="6"/>
  <c r="G2251" i="6"/>
  <c r="F2251" i="6"/>
  <c r="E2251" i="6"/>
  <c r="D2251" i="6"/>
  <c r="C2251" i="6"/>
  <c r="B2251" i="6"/>
  <c r="A2251" i="6"/>
  <c r="G2250" i="6"/>
  <c r="F2250" i="6"/>
  <c r="E2250" i="6"/>
  <c r="D2250" i="6"/>
  <c r="C2250" i="6"/>
  <c r="B2250" i="6"/>
  <c r="A2250" i="6"/>
  <c r="G2249" i="6"/>
  <c r="F2249" i="6"/>
  <c r="E2249" i="6"/>
  <c r="D2249" i="6"/>
  <c r="C2249" i="6"/>
  <c r="B2249" i="6"/>
  <c r="A2249" i="6"/>
  <c r="G2248" i="6"/>
  <c r="F2248" i="6"/>
  <c r="E2248" i="6"/>
  <c r="D2248" i="6"/>
  <c r="C2248" i="6"/>
  <c r="B2248" i="6"/>
  <c r="A2248" i="6"/>
  <c r="G2247" i="6"/>
  <c r="F2247" i="6"/>
  <c r="E2247" i="6"/>
  <c r="D2247" i="6"/>
  <c r="C2247" i="6"/>
  <c r="B2247" i="6"/>
  <c r="A2247" i="6"/>
  <c r="G2246" i="6"/>
  <c r="F2246" i="6"/>
  <c r="E2246" i="6"/>
  <c r="D2246" i="6"/>
  <c r="C2246" i="6"/>
  <c r="B2246" i="6"/>
  <c r="A2246" i="6"/>
  <c r="G2245" i="6"/>
  <c r="F2245" i="6"/>
  <c r="E2245" i="6"/>
  <c r="D2245" i="6"/>
  <c r="C2245" i="6"/>
  <c r="B2245" i="6"/>
  <c r="A2245" i="6"/>
  <c r="G2244" i="6"/>
  <c r="F2244" i="6"/>
  <c r="E2244" i="6"/>
  <c r="D2244" i="6"/>
  <c r="C2244" i="6"/>
  <c r="B2244" i="6"/>
  <c r="A2244" i="6"/>
  <c r="G2243" i="6"/>
  <c r="F2243" i="6"/>
  <c r="E2243" i="6"/>
  <c r="D2243" i="6"/>
  <c r="C2243" i="6"/>
  <c r="B2243" i="6"/>
  <c r="A2243" i="6"/>
  <c r="G2242" i="6"/>
  <c r="F2242" i="6"/>
  <c r="E2242" i="6"/>
  <c r="D2242" i="6"/>
  <c r="C2242" i="6"/>
  <c r="B2242" i="6"/>
  <c r="A2242" i="6"/>
  <c r="G2241" i="6"/>
  <c r="F2241" i="6"/>
  <c r="E2241" i="6"/>
  <c r="D2241" i="6"/>
  <c r="C2241" i="6"/>
  <c r="B2241" i="6"/>
  <c r="A2241" i="6"/>
  <c r="G2240" i="6"/>
  <c r="F2240" i="6"/>
  <c r="E2240" i="6"/>
  <c r="D2240" i="6"/>
  <c r="C2240" i="6"/>
  <c r="B2240" i="6"/>
  <c r="A2240" i="6"/>
  <c r="G2239" i="6"/>
  <c r="F2239" i="6"/>
  <c r="E2239" i="6"/>
  <c r="D2239" i="6"/>
  <c r="C2239" i="6"/>
  <c r="B2239" i="6"/>
  <c r="A2239" i="6"/>
  <c r="G2238" i="6"/>
  <c r="F2238" i="6"/>
  <c r="E2238" i="6"/>
  <c r="D2238" i="6"/>
  <c r="C2238" i="6"/>
  <c r="B2238" i="6"/>
  <c r="A2238" i="6"/>
  <c r="G2237" i="6"/>
  <c r="F2237" i="6"/>
  <c r="E2237" i="6"/>
  <c r="D2237" i="6"/>
  <c r="C2237" i="6"/>
  <c r="B2237" i="6"/>
  <c r="A2237" i="6"/>
  <c r="G2236" i="6"/>
  <c r="F2236" i="6"/>
  <c r="E2236" i="6"/>
  <c r="D2236" i="6"/>
  <c r="C2236" i="6"/>
  <c r="B2236" i="6"/>
  <c r="A2236" i="6"/>
  <c r="G2235" i="6"/>
  <c r="F2235" i="6"/>
  <c r="E2235" i="6"/>
  <c r="D2235" i="6"/>
  <c r="C2235" i="6"/>
  <c r="B2235" i="6"/>
  <c r="A2235" i="6"/>
  <c r="G2234" i="6"/>
  <c r="F2234" i="6"/>
  <c r="E2234" i="6"/>
  <c r="D2234" i="6"/>
  <c r="C2234" i="6"/>
  <c r="B2234" i="6"/>
  <c r="A2234" i="6"/>
  <c r="G2233" i="6"/>
  <c r="F2233" i="6"/>
  <c r="E2233" i="6"/>
  <c r="D2233" i="6"/>
  <c r="C2233" i="6"/>
  <c r="B2233" i="6"/>
  <c r="A2233" i="6"/>
  <c r="G2232" i="6"/>
  <c r="F2232" i="6"/>
  <c r="E2232" i="6"/>
  <c r="D2232" i="6"/>
  <c r="C2232" i="6"/>
  <c r="B2232" i="6"/>
  <c r="A2232" i="6"/>
  <c r="G2231" i="6"/>
  <c r="F2231" i="6"/>
  <c r="E2231" i="6"/>
  <c r="D2231" i="6"/>
  <c r="C2231" i="6"/>
  <c r="B2231" i="6"/>
  <c r="A2231" i="6"/>
  <c r="G2230" i="6"/>
  <c r="F2230" i="6"/>
  <c r="E2230" i="6"/>
  <c r="D2230" i="6"/>
  <c r="C2230" i="6"/>
  <c r="B2230" i="6"/>
  <c r="A2230" i="6"/>
  <c r="G2229" i="6"/>
  <c r="F2229" i="6"/>
  <c r="E2229" i="6"/>
  <c r="D2229" i="6"/>
  <c r="C2229" i="6"/>
  <c r="B2229" i="6"/>
  <c r="A2229" i="6"/>
  <c r="G2228" i="6"/>
  <c r="F2228" i="6"/>
  <c r="E2228" i="6"/>
  <c r="D2228" i="6"/>
  <c r="C2228" i="6"/>
  <c r="B2228" i="6"/>
  <c r="A2228" i="6"/>
  <c r="G2227" i="6"/>
  <c r="F2227" i="6"/>
  <c r="E2227" i="6"/>
  <c r="D2227" i="6"/>
  <c r="C2227" i="6"/>
  <c r="B2227" i="6"/>
  <c r="A2227" i="6"/>
  <c r="G2226" i="6"/>
  <c r="F2226" i="6"/>
  <c r="E2226" i="6"/>
  <c r="D2226" i="6"/>
  <c r="C2226" i="6"/>
  <c r="B2226" i="6"/>
  <c r="A2226" i="6"/>
  <c r="G2225" i="6"/>
  <c r="F2225" i="6"/>
  <c r="E2225" i="6"/>
  <c r="D2225" i="6"/>
  <c r="C2225" i="6"/>
  <c r="B2225" i="6"/>
  <c r="A2225" i="6"/>
  <c r="G2224" i="6"/>
  <c r="F2224" i="6"/>
  <c r="E2224" i="6"/>
  <c r="D2224" i="6"/>
  <c r="C2224" i="6"/>
  <c r="B2224" i="6"/>
  <c r="A2224" i="6"/>
  <c r="G2223" i="6"/>
  <c r="F2223" i="6"/>
  <c r="E2223" i="6"/>
  <c r="D2223" i="6"/>
  <c r="C2223" i="6"/>
  <c r="B2223" i="6"/>
  <c r="A2223" i="6"/>
  <c r="G2222" i="6"/>
  <c r="F2222" i="6"/>
  <c r="E2222" i="6"/>
  <c r="D2222" i="6"/>
  <c r="C2222" i="6"/>
  <c r="B2222" i="6"/>
  <c r="A2222" i="6"/>
  <c r="G2221" i="6"/>
  <c r="F2221" i="6"/>
  <c r="E2221" i="6"/>
  <c r="D2221" i="6"/>
  <c r="C2221" i="6"/>
  <c r="B2221" i="6"/>
  <c r="A2221" i="6"/>
  <c r="G2220" i="6"/>
  <c r="F2220" i="6"/>
  <c r="E2220" i="6"/>
  <c r="D2220" i="6"/>
  <c r="C2220" i="6"/>
  <c r="B2220" i="6"/>
  <c r="A2220" i="6"/>
  <c r="G2219" i="6"/>
  <c r="F2219" i="6"/>
  <c r="E2219" i="6"/>
  <c r="D2219" i="6"/>
  <c r="C2219" i="6"/>
  <c r="B2219" i="6"/>
  <c r="A2219" i="6"/>
  <c r="G2218" i="6"/>
  <c r="F2218" i="6"/>
  <c r="E2218" i="6"/>
  <c r="D2218" i="6"/>
  <c r="C2218" i="6"/>
  <c r="B2218" i="6"/>
  <c r="A2218" i="6"/>
  <c r="G2217" i="6"/>
  <c r="F2217" i="6"/>
  <c r="E2217" i="6"/>
  <c r="D2217" i="6"/>
  <c r="C2217" i="6"/>
  <c r="B2217" i="6"/>
  <c r="A2217" i="6"/>
  <c r="G2216" i="6"/>
  <c r="F2216" i="6"/>
  <c r="E2216" i="6"/>
  <c r="D2216" i="6"/>
  <c r="C2216" i="6"/>
  <c r="B2216" i="6"/>
  <c r="A2216" i="6"/>
  <c r="G2215" i="6"/>
  <c r="F2215" i="6"/>
  <c r="E2215" i="6"/>
  <c r="D2215" i="6"/>
  <c r="C2215" i="6"/>
  <c r="B2215" i="6"/>
  <c r="A2215" i="6"/>
  <c r="G2214" i="6"/>
  <c r="F2214" i="6"/>
  <c r="E2214" i="6"/>
  <c r="D2214" i="6"/>
  <c r="C2214" i="6"/>
  <c r="B2214" i="6"/>
  <c r="A2214" i="6"/>
  <c r="G2213" i="6"/>
  <c r="F2213" i="6"/>
  <c r="E2213" i="6"/>
  <c r="D2213" i="6"/>
  <c r="C2213" i="6"/>
  <c r="B2213" i="6"/>
  <c r="A2213" i="6"/>
  <c r="G2212" i="6"/>
  <c r="F2212" i="6"/>
  <c r="E2212" i="6"/>
  <c r="D2212" i="6"/>
  <c r="C2212" i="6"/>
  <c r="B2212" i="6"/>
  <c r="A2212" i="6"/>
  <c r="G2211" i="6"/>
  <c r="F2211" i="6"/>
  <c r="E2211" i="6"/>
  <c r="D2211" i="6"/>
  <c r="C2211" i="6"/>
  <c r="B2211" i="6"/>
  <c r="A2211" i="6"/>
  <c r="G2210" i="6"/>
  <c r="F2210" i="6"/>
  <c r="E2210" i="6"/>
  <c r="D2210" i="6"/>
  <c r="C2210" i="6"/>
  <c r="B2210" i="6"/>
  <c r="A2210" i="6"/>
  <c r="G2209" i="6"/>
  <c r="F2209" i="6"/>
  <c r="E2209" i="6"/>
  <c r="D2209" i="6"/>
  <c r="C2209" i="6"/>
  <c r="B2209" i="6"/>
  <c r="A2209" i="6"/>
  <c r="G2208" i="6"/>
  <c r="F2208" i="6"/>
  <c r="E2208" i="6"/>
  <c r="D2208" i="6"/>
  <c r="C2208" i="6"/>
  <c r="B2208" i="6"/>
  <c r="A2208" i="6"/>
  <c r="G2207" i="6"/>
  <c r="F2207" i="6"/>
  <c r="E2207" i="6"/>
  <c r="D2207" i="6"/>
  <c r="C2207" i="6"/>
  <c r="B2207" i="6"/>
  <c r="A2207" i="6"/>
  <c r="G2206" i="6"/>
  <c r="F2206" i="6"/>
  <c r="E2206" i="6"/>
  <c r="D2206" i="6"/>
  <c r="C2206" i="6"/>
  <c r="B2206" i="6"/>
  <c r="A2206" i="6"/>
  <c r="G2205" i="6"/>
  <c r="F2205" i="6"/>
  <c r="E2205" i="6"/>
  <c r="D2205" i="6"/>
  <c r="C2205" i="6"/>
  <c r="B2205" i="6"/>
  <c r="A2205" i="6"/>
  <c r="G2204" i="6"/>
  <c r="F2204" i="6"/>
  <c r="E2204" i="6"/>
  <c r="D2204" i="6"/>
  <c r="C2204" i="6"/>
  <c r="B2204" i="6"/>
  <c r="A2204" i="6"/>
  <c r="G2203" i="6"/>
  <c r="F2203" i="6"/>
  <c r="E2203" i="6"/>
  <c r="D2203" i="6"/>
  <c r="C2203" i="6"/>
  <c r="B2203" i="6"/>
  <c r="A2203" i="6"/>
  <c r="G2202" i="6"/>
  <c r="F2202" i="6"/>
  <c r="E2202" i="6"/>
  <c r="D2202" i="6"/>
  <c r="C2202" i="6"/>
  <c r="B2202" i="6"/>
  <c r="A2202" i="6"/>
  <c r="G2201" i="6"/>
  <c r="F2201" i="6"/>
  <c r="E2201" i="6"/>
  <c r="D2201" i="6"/>
  <c r="C2201" i="6"/>
  <c r="B2201" i="6"/>
  <c r="A2201" i="6"/>
  <c r="G2200" i="6"/>
  <c r="F2200" i="6"/>
  <c r="E2200" i="6"/>
  <c r="D2200" i="6"/>
  <c r="C2200" i="6"/>
  <c r="B2200" i="6"/>
  <c r="A2200" i="6"/>
  <c r="G2199" i="6"/>
  <c r="F2199" i="6"/>
  <c r="E2199" i="6"/>
  <c r="D2199" i="6"/>
  <c r="C2199" i="6"/>
  <c r="B2199" i="6"/>
  <c r="A2199" i="6"/>
  <c r="G2198" i="6"/>
  <c r="F2198" i="6"/>
  <c r="E2198" i="6"/>
  <c r="D2198" i="6"/>
  <c r="C2198" i="6"/>
  <c r="B2198" i="6"/>
  <c r="A2198" i="6"/>
  <c r="G2197" i="6"/>
  <c r="F2197" i="6"/>
  <c r="E2197" i="6"/>
  <c r="D2197" i="6"/>
  <c r="C2197" i="6"/>
  <c r="B2197" i="6"/>
  <c r="A2197" i="6"/>
  <c r="G2196" i="6"/>
  <c r="F2196" i="6"/>
  <c r="E2196" i="6"/>
  <c r="D2196" i="6"/>
  <c r="C2196" i="6"/>
  <c r="B2196" i="6"/>
  <c r="A2196" i="6"/>
  <c r="G2195" i="6"/>
  <c r="F2195" i="6"/>
  <c r="E2195" i="6"/>
  <c r="D2195" i="6"/>
  <c r="C2195" i="6"/>
  <c r="B2195" i="6"/>
  <c r="A2195" i="6"/>
  <c r="G2194" i="6"/>
  <c r="F2194" i="6"/>
  <c r="E2194" i="6"/>
  <c r="D2194" i="6"/>
  <c r="C2194" i="6"/>
  <c r="B2194" i="6"/>
  <c r="A2194" i="6"/>
  <c r="G2193" i="6"/>
  <c r="F2193" i="6"/>
  <c r="E2193" i="6"/>
  <c r="D2193" i="6"/>
  <c r="C2193" i="6"/>
  <c r="B2193" i="6"/>
  <c r="A2193" i="6"/>
  <c r="G2192" i="6"/>
  <c r="F2192" i="6"/>
  <c r="E2192" i="6"/>
  <c r="D2192" i="6"/>
  <c r="C2192" i="6"/>
  <c r="B2192" i="6"/>
  <c r="A2192" i="6"/>
  <c r="G2191" i="6"/>
  <c r="F2191" i="6"/>
  <c r="E2191" i="6"/>
  <c r="D2191" i="6"/>
  <c r="C2191" i="6"/>
  <c r="B2191" i="6"/>
  <c r="A2191" i="6"/>
  <c r="G2190" i="6"/>
  <c r="F2190" i="6"/>
  <c r="E2190" i="6"/>
  <c r="D2190" i="6"/>
  <c r="C2190" i="6"/>
  <c r="B2190" i="6"/>
  <c r="A2190" i="6"/>
  <c r="G2189" i="6"/>
  <c r="F2189" i="6"/>
  <c r="E2189" i="6"/>
  <c r="D2189" i="6"/>
  <c r="C2189" i="6"/>
  <c r="B2189" i="6"/>
  <c r="A2189" i="6"/>
  <c r="G2188" i="6"/>
  <c r="F2188" i="6"/>
  <c r="E2188" i="6"/>
  <c r="D2188" i="6"/>
  <c r="C2188" i="6"/>
  <c r="B2188" i="6"/>
  <c r="A2188" i="6"/>
  <c r="G2187" i="6"/>
  <c r="F2187" i="6"/>
  <c r="E2187" i="6"/>
  <c r="D2187" i="6"/>
  <c r="C2187" i="6"/>
  <c r="B2187" i="6"/>
  <c r="A2187" i="6"/>
  <c r="G2186" i="6"/>
  <c r="F2186" i="6"/>
  <c r="E2186" i="6"/>
  <c r="D2186" i="6"/>
  <c r="C2186" i="6"/>
  <c r="B2186" i="6"/>
  <c r="A2186" i="6"/>
  <c r="G2185" i="6"/>
  <c r="F2185" i="6"/>
  <c r="E2185" i="6"/>
  <c r="D2185" i="6"/>
  <c r="C2185" i="6"/>
  <c r="B2185" i="6"/>
  <c r="A2185" i="6"/>
  <c r="G2184" i="6"/>
  <c r="F2184" i="6"/>
  <c r="E2184" i="6"/>
  <c r="D2184" i="6"/>
  <c r="C2184" i="6"/>
  <c r="B2184" i="6"/>
  <c r="A2184" i="6"/>
  <c r="G2183" i="6"/>
  <c r="F2183" i="6"/>
  <c r="E2183" i="6"/>
  <c r="D2183" i="6"/>
  <c r="C2183" i="6"/>
  <c r="B2183" i="6"/>
  <c r="A2183" i="6"/>
  <c r="G2182" i="6"/>
  <c r="F2182" i="6"/>
  <c r="E2182" i="6"/>
  <c r="D2182" i="6"/>
  <c r="C2182" i="6"/>
  <c r="B2182" i="6"/>
  <c r="A2182" i="6"/>
  <c r="G2181" i="6"/>
  <c r="F2181" i="6"/>
  <c r="E2181" i="6"/>
  <c r="D2181" i="6"/>
  <c r="C2181" i="6"/>
  <c r="B2181" i="6"/>
  <c r="A2181" i="6"/>
  <c r="G2180" i="6"/>
  <c r="F2180" i="6"/>
  <c r="E2180" i="6"/>
  <c r="D2180" i="6"/>
  <c r="C2180" i="6"/>
  <c r="B2180" i="6"/>
  <c r="A2180" i="6"/>
  <c r="G2179" i="6"/>
  <c r="F2179" i="6"/>
  <c r="E2179" i="6"/>
  <c r="D2179" i="6"/>
  <c r="C2179" i="6"/>
  <c r="B2179" i="6"/>
  <c r="A2179" i="6"/>
  <c r="G2178" i="6"/>
  <c r="F2178" i="6"/>
  <c r="E2178" i="6"/>
  <c r="D2178" i="6"/>
  <c r="C2178" i="6"/>
  <c r="B2178" i="6"/>
  <c r="A2178" i="6"/>
  <c r="G2177" i="6"/>
  <c r="F2177" i="6"/>
  <c r="E2177" i="6"/>
  <c r="D2177" i="6"/>
  <c r="C2177" i="6"/>
  <c r="B2177" i="6"/>
  <c r="A2177" i="6"/>
  <c r="G2176" i="6"/>
  <c r="F2176" i="6"/>
  <c r="E2176" i="6"/>
  <c r="D2176" i="6"/>
  <c r="C2176" i="6"/>
  <c r="B2176" i="6"/>
  <c r="A2176" i="6"/>
  <c r="G2175" i="6"/>
  <c r="F2175" i="6"/>
  <c r="E2175" i="6"/>
  <c r="D2175" i="6"/>
  <c r="C2175" i="6"/>
  <c r="B2175" i="6"/>
  <c r="A2175" i="6"/>
  <c r="G2174" i="6"/>
  <c r="F2174" i="6"/>
  <c r="E2174" i="6"/>
  <c r="D2174" i="6"/>
  <c r="C2174" i="6"/>
  <c r="B2174" i="6"/>
  <c r="A2174" i="6"/>
  <c r="G2173" i="6"/>
  <c r="F2173" i="6"/>
  <c r="E2173" i="6"/>
  <c r="D2173" i="6"/>
  <c r="C2173" i="6"/>
  <c r="B2173" i="6"/>
  <c r="A2173" i="6"/>
  <c r="G2172" i="6"/>
  <c r="F2172" i="6"/>
  <c r="E2172" i="6"/>
  <c r="D2172" i="6"/>
  <c r="C2172" i="6"/>
  <c r="B2172" i="6"/>
  <c r="A2172" i="6"/>
  <c r="G2171" i="6"/>
  <c r="F2171" i="6"/>
  <c r="E2171" i="6"/>
  <c r="D2171" i="6"/>
  <c r="C2171" i="6"/>
  <c r="B2171" i="6"/>
  <c r="A2171" i="6"/>
  <c r="G2170" i="6"/>
  <c r="F2170" i="6"/>
  <c r="E2170" i="6"/>
  <c r="D2170" i="6"/>
  <c r="C2170" i="6"/>
  <c r="B2170" i="6"/>
  <c r="A2170" i="6"/>
  <c r="G2169" i="6"/>
  <c r="F2169" i="6"/>
  <c r="E2169" i="6"/>
  <c r="D2169" i="6"/>
  <c r="C2169" i="6"/>
  <c r="B2169" i="6"/>
  <c r="A2169" i="6"/>
  <c r="G2168" i="6"/>
  <c r="F2168" i="6"/>
  <c r="E2168" i="6"/>
  <c r="D2168" i="6"/>
  <c r="C2168" i="6"/>
  <c r="B2168" i="6"/>
  <c r="A2168" i="6"/>
  <c r="G2167" i="6"/>
  <c r="F2167" i="6"/>
  <c r="E2167" i="6"/>
  <c r="D2167" i="6"/>
  <c r="C2167" i="6"/>
  <c r="B2167" i="6"/>
  <c r="A2167" i="6"/>
  <c r="G2166" i="6"/>
  <c r="F2166" i="6"/>
  <c r="E2166" i="6"/>
  <c r="D2166" i="6"/>
  <c r="C2166" i="6"/>
  <c r="B2166" i="6"/>
  <c r="A2166" i="6"/>
  <c r="G2165" i="6"/>
  <c r="F2165" i="6"/>
  <c r="E2165" i="6"/>
  <c r="D2165" i="6"/>
  <c r="C2165" i="6"/>
  <c r="B2165" i="6"/>
  <c r="A2165" i="6"/>
  <c r="G2164" i="6"/>
  <c r="F2164" i="6"/>
  <c r="E2164" i="6"/>
  <c r="D2164" i="6"/>
  <c r="C2164" i="6"/>
  <c r="B2164" i="6"/>
  <c r="A2164" i="6"/>
  <c r="G2163" i="6"/>
  <c r="F2163" i="6"/>
  <c r="E2163" i="6"/>
  <c r="D2163" i="6"/>
  <c r="C2163" i="6"/>
  <c r="B2163" i="6"/>
  <c r="A2163" i="6"/>
  <c r="G2162" i="6"/>
  <c r="F2162" i="6"/>
  <c r="E2162" i="6"/>
  <c r="D2162" i="6"/>
  <c r="C2162" i="6"/>
  <c r="B2162" i="6"/>
  <c r="A2162" i="6"/>
  <c r="G2161" i="6"/>
  <c r="F2161" i="6"/>
  <c r="E2161" i="6"/>
  <c r="D2161" i="6"/>
  <c r="C2161" i="6"/>
  <c r="B2161" i="6"/>
  <c r="A2161" i="6"/>
  <c r="G2160" i="6"/>
  <c r="F2160" i="6"/>
  <c r="E2160" i="6"/>
  <c r="D2160" i="6"/>
  <c r="C2160" i="6"/>
  <c r="B2160" i="6"/>
  <c r="A2160" i="6"/>
  <c r="G2159" i="6"/>
  <c r="F2159" i="6"/>
  <c r="E2159" i="6"/>
  <c r="D2159" i="6"/>
  <c r="C2159" i="6"/>
  <c r="B2159" i="6"/>
  <c r="A2159" i="6"/>
  <c r="G2158" i="6"/>
  <c r="F2158" i="6"/>
  <c r="E2158" i="6"/>
  <c r="D2158" i="6"/>
  <c r="C2158" i="6"/>
  <c r="B2158" i="6"/>
  <c r="A2158" i="6"/>
  <c r="G2157" i="6"/>
  <c r="F2157" i="6"/>
  <c r="E2157" i="6"/>
  <c r="D2157" i="6"/>
  <c r="C2157" i="6"/>
  <c r="B2157" i="6"/>
  <c r="A2157" i="6"/>
  <c r="G2156" i="6"/>
  <c r="F2156" i="6"/>
  <c r="E2156" i="6"/>
  <c r="D2156" i="6"/>
  <c r="C2156" i="6"/>
  <c r="B2156" i="6"/>
  <c r="A2156" i="6"/>
  <c r="G2155" i="6"/>
  <c r="F2155" i="6"/>
  <c r="E2155" i="6"/>
  <c r="D2155" i="6"/>
  <c r="C2155" i="6"/>
  <c r="B2155" i="6"/>
  <c r="A2155" i="6"/>
  <c r="G2154" i="6"/>
  <c r="F2154" i="6"/>
  <c r="E2154" i="6"/>
  <c r="D2154" i="6"/>
  <c r="C2154" i="6"/>
  <c r="B2154" i="6"/>
  <c r="A2154" i="6"/>
  <c r="G2153" i="6"/>
  <c r="F2153" i="6"/>
  <c r="E2153" i="6"/>
  <c r="D2153" i="6"/>
  <c r="C2153" i="6"/>
  <c r="B2153" i="6"/>
  <c r="A2153" i="6"/>
  <c r="G2152" i="6"/>
  <c r="F2152" i="6"/>
  <c r="E2152" i="6"/>
  <c r="D2152" i="6"/>
  <c r="C2152" i="6"/>
  <c r="B2152" i="6"/>
  <c r="A2152" i="6"/>
  <c r="G2151" i="6"/>
  <c r="F2151" i="6"/>
  <c r="E2151" i="6"/>
  <c r="D2151" i="6"/>
  <c r="C2151" i="6"/>
  <c r="B2151" i="6"/>
  <c r="A2151" i="6"/>
  <c r="G2150" i="6"/>
  <c r="F2150" i="6"/>
  <c r="E2150" i="6"/>
  <c r="D2150" i="6"/>
  <c r="C2150" i="6"/>
  <c r="B2150" i="6"/>
  <c r="A2150" i="6"/>
  <c r="G2149" i="6"/>
  <c r="F2149" i="6"/>
  <c r="E2149" i="6"/>
  <c r="D2149" i="6"/>
  <c r="C2149" i="6"/>
  <c r="B2149" i="6"/>
  <c r="A2149" i="6"/>
  <c r="G2148" i="6"/>
  <c r="F2148" i="6"/>
  <c r="E2148" i="6"/>
  <c r="D2148" i="6"/>
  <c r="C2148" i="6"/>
  <c r="B2148" i="6"/>
  <c r="A2148" i="6"/>
  <c r="G2147" i="6"/>
  <c r="F2147" i="6"/>
  <c r="E2147" i="6"/>
  <c r="D2147" i="6"/>
  <c r="C2147" i="6"/>
  <c r="B2147" i="6"/>
  <c r="A2147" i="6"/>
  <c r="G2146" i="6"/>
  <c r="F2146" i="6"/>
  <c r="E2146" i="6"/>
  <c r="D2146" i="6"/>
  <c r="C2146" i="6"/>
  <c r="B2146" i="6"/>
  <c r="A2146" i="6"/>
  <c r="G2145" i="6"/>
  <c r="F2145" i="6"/>
  <c r="E2145" i="6"/>
  <c r="D2145" i="6"/>
  <c r="C2145" i="6"/>
  <c r="B2145" i="6"/>
  <c r="A2145" i="6"/>
  <c r="G2144" i="6"/>
  <c r="F2144" i="6"/>
  <c r="E2144" i="6"/>
  <c r="D2144" i="6"/>
  <c r="C2144" i="6"/>
  <c r="B2144" i="6"/>
  <c r="A2144" i="6"/>
  <c r="G2143" i="6"/>
  <c r="F2143" i="6"/>
  <c r="E2143" i="6"/>
  <c r="D2143" i="6"/>
  <c r="C2143" i="6"/>
  <c r="B2143" i="6"/>
  <c r="A2143" i="6"/>
  <c r="G2142" i="6"/>
  <c r="F2142" i="6"/>
  <c r="E2142" i="6"/>
  <c r="D2142" i="6"/>
  <c r="C2142" i="6"/>
  <c r="B2142" i="6"/>
  <c r="A2142" i="6"/>
  <c r="G2141" i="6"/>
  <c r="F2141" i="6"/>
  <c r="E2141" i="6"/>
  <c r="D2141" i="6"/>
  <c r="C2141" i="6"/>
  <c r="B2141" i="6"/>
  <c r="A2141" i="6"/>
  <c r="G2140" i="6"/>
  <c r="F2140" i="6"/>
  <c r="E2140" i="6"/>
  <c r="D2140" i="6"/>
  <c r="C2140" i="6"/>
  <c r="B2140" i="6"/>
  <c r="A2140" i="6"/>
  <c r="G2139" i="6"/>
  <c r="F2139" i="6"/>
  <c r="E2139" i="6"/>
  <c r="D2139" i="6"/>
  <c r="C2139" i="6"/>
  <c r="B2139" i="6"/>
  <c r="A2139" i="6"/>
  <c r="G2138" i="6"/>
  <c r="F2138" i="6"/>
  <c r="E2138" i="6"/>
  <c r="D2138" i="6"/>
  <c r="C2138" i="6"/>
  <c r="B2138" i="6"/>
  <c r="A2138" i="6"/>
  <c r="G2137" i="6"/>
  <c r="F2137" i="6"/>
  <c r="E2137" i="6"/>
  <c r="D2137" i="6"/>
  <c r="C2137" i="6"/>
  <c r="B2137" i="6"/>
  <c r="A2137" i="6"/>
  <c r="G2136" i="6"/>
  <c r="F2136" i="6"/>
  <c r="E2136" i="6"/>
  <c r="D2136" i="6"/>
  <c r="C2136" i="6"/>
  <c r="B2136" i="6"/>
  <c r="A2136" i="6"/>
  <c r="G2135" i="6"/>
  <c r="F2135" i="6"/>
  <c r="E2135" i="6"/>
  <c r="D2135" i="6"/>
  <c r="C2135" i="6"/>
  <c r="B2135" i="6"/>
  <c r="A2135" i="6"/>
  <c r="G2134" i="6"/>
  <c r="F2134" i="6"/>
  <c r="E2134" i="6"/>
  <c r="D2134" i="6"/>
  <c r="C2134" i="6"/>
  <c r="B2134" i="6"/>
  <c r="A2134" i="6"/>
  <c r="G2133" i="6"/>
  <c r="F2133" i="6"/>
  <c r="E2133" i="6"/>
  <c r="D2133" i="6"/>
  <c r="C2133" i="6"/>
  <c r="B2133" i="6"/>
  <c r="A2133" i="6"/>
  <c r="G2132" i="6"/>
  <c r="F2132" i="6"/>
  <c r="E2132" i="6"/>
  <c r="D2132" i="6"/>
  <c r="C2132" i="6"/>
  <c r="B2132" i="6"/>
  <c r="A2132" i="6"/>
  <c r="G2131" i="6"/>
  <c r="F2131" i="6"/>
  <c r="E2131" i="6"/>
  <c r="D2131" i="6"/>
  <c r="C2131" i="6"/>
  <c r="B2131" i="6"/>
  <c r="A2131" i="6"/>
  <c r="G2130" i="6"/>
  <c r="F2130" i="6"/>
  <c r="E2130" i="6"/>
  <c r="D2130" i="6"/>
  <c r="C2130" i="6"/>
  <c r="B2130" i="6"/>
  <c r="A2130" i="6"/>
  <c r="G2129" i="6"/>
  <c r="F2129" i="6"/>
  <c r="E2129" i="6"/>
  <c r="D2129" i="6"/>
  <c r="C2129" i="6"/>
  <c r="B2129" i="6"/>
  <c r="A2129" i="6"/>
  <c r="G2128" i="6"/>
  <c r="F2128" i="6"/>
  <c r="E2128" i="6"/>
  <c r="D2128" i="6"/>
  <c r="C2128" i="6"/>
  <c r="B2128" i="6"/>
  <c r="A2128" i="6"/>
  <c r="G2127" i="6"/>
  <c r="F2127" i="6"/>
  <c r="E2127" i="6"/>
  <c r="D2127" i="6"/>
  <c r="C2127" i="6"/>
  <c r="B2127" i="6"/>
  <c r="A2127" i="6"/>
  <c r="G2126" i="6"/>
  <c r="F2126" i="6"/>
  <c r="E2126" i="6"/>
  <c r="D2126" i="6"/>
  <c r="C2126" i="6"/>
  <c r="B2126" i="6"/>
  <c r="A2126" i="6"/>
  <c r="G2125" i="6"/>
  <c r="F2125" i="6"/>
  <c r="E2125" i="6"/>
  <c r="D2125" i="6"/>
  <c r="C2125" i="6"/>
  <c r="B2125" i="6"/>
  <c r="A2125" i="6"/>
  <c r="G2124" i="6"/>
  <c r="F2124" i="6"/>
  <c r="E2124" i="6"/>
  <c r="D2124" i="6"/>
  <c r="C2124" i="6"/>
  <c r="B2124" i="6"/>
  <c r="A2124" i="6"/>
  <c r="G2123" i="6"/>
  <c r="F2123" i="6"/>
  <c r="E2123" i="6"/>
  <c r="D2123" i="6"/>
  <c r="C2123" i="6"/>
  <c r="B2123" i="6"/>
  <c r="A2123" i="6"/>
  <c r="G2122" i="6"/>
  <c r="F2122" i="6"/>
  <c r="E2122" i="6"/>
  <c r="D2122" i="6"/>
  <c r="C2122" i="6"/>
  <c r="B2122" i="6"/>
  <c r="A2122" i="6"/>
  <c r="G2121" i="6"/>
  <c r="F2121" i="6"/>
  <c r="E2121" i="6"/>
  <c r="D2121" i="6"/>
  <c r="C2121" i="6"/>
  <c r="B2121" i="6"/>
  <c r="A2121" i="6"/>
  <c r="G2120" i="6"/>
  <c r="F2120" i="6"/>
  <c r="E2120" i="6"/>
  <c r="D2120" i="6"/>
  <c r="C2120" i="6"/>
  <c r="B2120" i="6"/>
  <c r="A2120" i="6"/>
  <c r="G2119" i="6"/>
  <c r="F2119" i="6"/>
  <c r="E2119" i="6"/>
  <c r="D2119" i="6"/>
  <c r="C2119" i="6"/>
  <c r="B2119" i="6"/>
  <c r="A2119" i="6"/>
  <c r="G2118" i="6"/>
  <c r="F2118" i="6"/>
  <c r="E2118" i="6"/>
  <c r="D2118" i="6"/>
  <c r="C2118" i="6"/>
  <c r="B2118" i="6"/>
  <c r="A2118" i="6"/>
  <c r="G2117" i="6"/>
  <c r="F2117" i="6"/>
  <c r="E2117" i="6"/>
  <c r="D2117" i="6"/>
  <c r="C2117" i="6"/>
  <c r="B2117" i="6"/>
  <c r="A2117" i="6"/>
  <c r="G2116" i="6"/>
  <c r="F2116" i="6"/>
  <c r="E2116" i="6"/>
  <c r="D2116" i="6"/>
  <c r="C2116" i="6"/>
  <c r="B2116" i="6"/>
  <c r="A2116" i="6"/>
  <c r="G2115" i="6"/>
  <c r="F2115" i="6"/>
  <c r="E2115" i="6"/>
  <c r="D2115" i="6"/>
  <c r="C2115" i="6"/>
  <c r="B2115" i="6"/>
  <c r="A2115" i="6"/>
  <c r="G2114" i="6"/>
  <c r="F2114" i="6"/>
  <c r="E2114" i="6"/>
  <c r="D2114" i="6"/>
  <c r="C2114" i="6"/>
  <c r="B2114" i="6"/>
  <c r="A2114" i="6"/>
  <c r="G2113" i="6"/>
  <c r="F2113" i="6"/>
  <c r="E2113" i="6"/>
  <c r="D2113" i="6"/>
  <c r="C2113" i="6"/>
  <c r="B2113" i="6"/>
  <c r="A2113" i="6"/>
  <c r="G2112" i="6"/>
  <c r="F2112" i="6"/>
  <c r="E2112" i="6"/>
  <c r="D2112" i="6"/>
  <c r="C2112" i="6"/>
  <c r="B2112" i="6"/>
  <c r="A2112" i="6"/>
  <c r="G2111" i="6"/>
  <c r="F2111" i="6"/>
  <c r="E2111" i="6"/>
  <c r="D2111" i="6"/>
  <c r="C2111" i="6"/>
  <c r="B2111" i="6"/>
  <c r="A2111" i="6"/>
  <c r="G2110" i="6"/>
  <c r="F2110" i="6"/>
  <c r="E2110" i="6"/>
  <c r="D2110" i="6"/>
  <c r="C2110" i="6"/>
  <c r="B2110" i="6"/>
  <c r="A2110" i="6"/>
  <c r="G2109" i="6"/>
  <c r="F2109" i="6"/>
  <c r="E2109" i="6"/>
  <c r="D2109" i="6"/>
  <c r="C2109" i="6"/>
  <c r="B2109" i="6"/>
  <c r="A2109" i="6"/>
  <c r="G2108" i="6"/>
  <c r="F2108" i="6"/>
  <c r="E2108" i="6"/>
  <c r="D2108" i="6"/>
  <c r="C2108" i="6"/>
  <c r="B2108" i="6"/>
  <c r="A2108" i="6"/>
  <c r="G2107" i="6"/>
  <c r="F2107" i="6"/>
  <c r="E2107" i="6"/>
  <c r="D2107" i="6"/>
  <c r="C2107" i="6"/>
  <c r="B2107" i="6"/>
  <c r="A2107" i="6"/>
  <c r="G2106" i="6"/>
  <c r="F2106" i="6"/>
  <c r="E2106" i="6"/>
  <c r="D2106" i="6"/>
  <c r="C2106" i="6"/>
  <c r="B2106" i="6"/>
  <c r="A2106" i="6"/>
  <c r="G2105" i="6"/>
  <c r="F2105" i="6"/>
  <c r="E2105" i="6"/>
  <c r="D2105" i="6"/>
  <c r="C2105" i="6"/>
  <c r="B2105" i="6"/>
  <c r="A2105" i="6"/>
  <c r="G2104" i="6"/>
  <c r="F2104" i="6"/>
  <c r="E2104" i="6"/>
  <c r="D2104" i="6"/>
  <c r="C2104" i="6"/>
  <c r="B2104" i="6"/>
  <c r="A2104" i="6"/>
  <c r="G2103" i="6"/>
  <c r="F2103" i="6"/>
  <c r="E2103" i="6"/>
  <c r="D2103" i="6"/>
  <c r="C2103" i="6"/>
  <c r="B2103" i="6"/>
  <c r="A2103" i="6"/>
  <c r="G2102" i="6"/>
  <c r="F2102" i="6"/>
  <c r="E2102" i="6"/>
  <c r="D2102" i="6"/>
  <c r="C2102" i="6"/>
  <c r="B2102" i="6"/>
  <c r="A2102" i="6"/>
  <c r="G2101" i="6"/>
  <c r="F2101" i="6"/>
  <c r="E2101" i="6"/>
  <c r="D2101" i="6"/>
  <c r="C2101" i="6"/>
  <c r="B2101" i="6"/>
  <c r="A2101" i="6"/>
  <c r="G2100" i="6"/>
  <c r="F2100" i="6"/>
  <c r="E2100" i="6"/>
  <c r="D2100" i="6"/>
  <c r="C2100" i="6"/>
  <c r="B2100" i="6"/>
  <c r="A2100" i="6"/>
  <c r="G2099" i="6"/>
  <c r="F2099" i="6"/>
  <c r="E2099" i="6"/>
  <c r="D2099" i="6"/>
  <c r="C2099" i="6"/>
  <c r="B2099" i="6"/>
  <c r="A2099" i="6"/>
  <c r="G2098" i="6"/>
  <c r="F2098" i="6"/>
  <c r="E2098" i="6"/>
  <c r="D2098" i="6"/>
  <c r="C2098" i="6"/>
  <c r="B2098" i="6"/>
  <c r="A2098" i="6"/>
  <c r="G2097" i="6"/>
  <c r="F2097" i="6"/>
  <c r="E2097" i="6"/>
  <c r="D2097" i="6"/>
  <c r="C2097" i="6"/>
  <c r="B2097" i="6"/>
  <c r="A2097" i="6"/>
  <c r="G2096" i="6"/>
  <c r="F2096" i="6"/>
  <c r="E2096" i="6"/>
  <c r="D2096" i="6"/>
  <c r="C2096" i="6"/>
  <c r="B2096" i="6"/>
  <c r="A2096" i="6"/>
  <c r="G2095" i="6"/>
  <c r="F2095" i="6"/>
  <c r="E2095" i="6"/>
  <c r="D2095" i="6"/>
  <c r="C2095" i="6"/>
  <c r="B2095" i="6"/>
  <c r="A2095" i="6"/>
  <c r="G2094" i="6"/>
  <c r="F2094" i="6"/>
  <c r="E2094" i="6"/>
  <c r="D2094" i="6"/>
  <c r="C2094" i="6"/>
  <c r="B2094" i="6"/>
  <c r="A2094" i="6"/>
  <c r="G2093" i="6"/>
  <c r="F2093" i="6"/>
  <c r="E2093" i="6"/>
  <c r="D2093" i="6"/>
  <c r="C2093" i="6"/>
  <c r="B2093" i="6"/>
  <c r="A2093" i="6"/>
  <c r="G2092" i="6"/>
  <c r="F2092" i="6"/>
  <c r="E2092" i="6"/>
  <c r="D2092" i="6"/>
  <c r="C2092" i="6"/>
  <c r="B2092" i="6"/>
  <c r="A2092" i="6"/>
  <c r="G2091" i="6"/>
  <c r="F2091" i="6"/>
  <c r="E2091" i="6"/>
  <c r="D2091" i="6"/>
  <c r="C2091" i="6"/>
  <c r="B2091" i="6"/>
  <c r="A2091" i="6"/>
  <c r="G2090" i="6"/>
  <c r="F2090" i="6"/>
  <c r="E2090" i="6"/>
  <c r="D2090" i="6"/>
  <c r="C2090" i="6"/>
  <c r="B2090" i="6"/>
  <c r="A2090" i="6"/>
  <c r="G2089" i="6"/>
  <c r="F2089" i="6"/>
  <c r="E2089" i="6"/>
  <c r="D2089" i="6"/>
  <c r="C2089" i="6"/>
  <c r="B2089" i="6"/>
  <c r="A2089" i="6"/>
  <c r="G2088" i="6"/>
  <c r="F2088" i="6"/>
  <c r="E2088" i="6"/>
  <c r="D2088" i="6"/>
  <c r="C2088" i="6"/>
  <c r="B2088" i="6"/>
  <c r="A2088" i="6"/>
  <c r="G2087" i="6"/>
  <c r="F2087" i="6"/>
  <c r="E2087" i="6"/>
  <c r="D2087" i="6"/>
  <c r="C2087" i="6"/>
  <c r="B2087" i="6"/>
  <c r="A2087" i="6"/>
  <c r="G2086" i="6"/>
  <c r="F2086" i="6"/>
  <c r="E2086" i="6"/>
  <c r="D2086" i="6"/>
  <c r="C2086" i="6"/>
  <c r="B2086" i="6"/>
  <c r="A2086" i="6"/>
  <c r="G2085" i="6"/>
  <c r="F2085" i="6"/>
  <c r="E2085" i="6"/>
  <c r="D2085" i="6"/>
  <c r="C2085" i="6"/>
  <c r="B2085" i="6"/>
  <c r="A2085" i="6"/>
  <c r="G2084" i="6"/>
  <c r="F2084" i="6"/>
  <c r="E2084" i="6"/>
  <c r="D2084" i="6"/>
  <c r="C2084" i="6"/>
  <c r="B2084" i="6"/>
  <c r="A2084" i="6"/>
  <c r="G2083" i="6"/>
  <c r="F2083" i="6"/>
  <c r="E2083" i="6"/>
  <c r="D2083" i="6"/>
  <c r="C2083" i="6"/>
  <c r="B2083" i="6"/>
  <c r="A2083" i="6"/>
  <c r="G2082" i="6"/>
  <c r="F2082" i="6"/>
  <c r="E2082" i="6"/>
  <c r="D2082" i="6"/>
  <c r="C2082" i="6"/>
  <c r="B2082" i="6"/>
  <c r="A2082" i="6"/>
  <c r="G2081" i="6"/>
  <c r="F2081" i="6"/>
  <c r="E2081" i="6"/>
  <c r="D2081" i="6"/>
  <c r="C2081" i="6"/>
  <c r="B2081" i="6"/>
  <c r="A2081" i="6"/>
  <c r="G2080" i="6"/>
  <c r="F2080" i="6"/>
  <c r="E2080" i="6"/>
  <c r="D2080" i="6"/>
  <c r="C2080" i="6"/>
  <c r="B2080" i="6"/>
  <c r="A2080" i="6"/>
  <c r="G2079" i="6"/>
  <c r="F2079" i="6"/>
  <c r="E2079" i="6"/>
  <c r="D2079" i="6"/>
  <c r="C2079" i="6"/>
  <c r="B2079" i="6"/>
  <c r="A2079" i="6"/>
  <c r="G2078" i="6"/>
  <c r="F2078" i="6"/>
  <c r="E2078" i="6"/>
  <c r="D2078" i="6"/>
  <c r="C2078" i="6"/>
  <c r="B2078" i="6"/>
  <c r="A2078" i="6"/>
  <c r="G2077" i="6"/>
  <c r="F2077" i="6"/>
  <c r="E2077" i="6"/>
  <c r="D2077" i="6"/>
  <c r="C2077" i="6"/>
  <c r="B2077" i="6"/>
  <c r="A2077" i="6"/>
  <c r="G2076" i="6"/>
  <c r="F2076" i="6"/>
  <c r="E2076" i="6"/>
  <c r="D2076" i="6"/>
  <c r="C2076" i="6"/>
  <c r="B2076" i="6"/>
  <c r="A2076" i="6"/>
  <c r="G2075" i="6"/>
  <c r="F2075" i="6"/>
  <c r="E2075" i="6"/>
  <c r="D2075" i="6"/>
  <c r="C2075" i="6"/>
  <c r="B2075" i="6"/>
  <c r="A2075" i="6"/>
  <c r="G2074" i="6"/>
  <c r="F2074" i="6"/>
  <c r="E2074" i="6"/>
  <c r="D2074" i="6"/>
  <c r="C2074" i="6"/>
  <c r="B2074" i="6"/>
  <c r="A2074" i="6"/>
  <c r="G2073" i="6"/>
  <c r="F2073" i="6"/>
  <c r="E2073" i="6"/>
  <c r="D2073" i="6"/>
  <c r="C2073" i="6"/>
  <c r="B2073" i="6"/>
  <c r="A2073" i="6"/>
  <c r="G2072" i="6"/>
  <c r="F2072" i="6"/>
  <c r="E2072" i="6"/>
  <c r="D2072" i="6"/>
  <c r="C2072" i="6"/>
  <c r="B2072" i="6"/>
  <c r="A2072" i="6"/>
  <c r="G2071" i="6"/>
  <c r="F2071" i="6"/>
  <c r="E2071" i="6"/>
  <c r="D2071" i="6"/>
  <c r="C2071" i="6"/>
  <c r="B2071" i="6"/>
  <c r="A2071" i="6"/>
  <c r="G2070" i="6"/>
  <c r="F2070" i="6"/>
  <c r="E2070" i="6"/>
  <c r="D2070" i="6"/>
  <c r="C2070" i="6"/>
  <c r="B2070" i="6"/>
  <c r="A2070" i="6"/>
  <c r="G2069" i="6"/>
  <c r="F2069" i="6"/>
  <c r="E2069" i="6"/>
  <c r="D2069" i="6"/>
  <c r="C2069" i="6"/>
  <c r="B2069" i="6"/>
  <c r="A2069" i="6"/>
  <c r="G2068" i="6"/>
  <c r="F2068" i="6"/>
  <c r="E2068" i="6"/>
  <c r="D2068" i="6"/>
  <c r="C2068" i="6"/>
  <c r="B2068" i="6"/>
  <c r="A2068" i="6"/>
  <c r="G2067" i="6"/>
  <c r="F2067" i="6"/>
  <c r="E2067" i="6"/>
  <c r="D2067" i="6"/>
  <c r="C2067" i="6"/>
  <c r="B2067" i="6"/>
  <c r="A2067" i="6"/>
  <c r="G2066" i="6"/>
  <c r="F2066" i="6"/>
  <c r="E2066" i="6"/>
  <c r="D2066" i="6"/>
  <c r="C2066" i="6"/>
  <c r="B2066" i="6"/>
  <c r="A2066" i="6"/>
  <c r="G2065" i="6"/>
  <c r="F2065" i="6"/>
  <c r="E2065" i="6"/>
  <c r="D2065" i="6"/>
  <c r="C2065" i="6"/>
  <c r="B2065" i="6"/>
  <c r="A2065" i="6"/>
  <c r="G2064" i="6"/>
  <c r="F2064" i="6"/>
  <c r="E2064" i="6"/>
  <c r="D2064" i="6"/>
  <c r="C2064" i="6"/>
  <c r="B2064" i="6"/>
  <c r="A2064" i="6"/>
  <c r="G2063" i="6"/>
  <c r="F2063" i="6"/>
  <c r="E2063" i="6"/>
  <c r="D2063" i="6"/>
  <c r="C2063" i="6"/>
  <c r="B2063" i="6"/>
  <c r="A2063" i="6"/>
  <c r="G2062" i="6"/>
  <c r="F2062" i="6"/>
  <c r="E2062" i="6"/>
  <c r="D2062" i="6"/>
  <c r="C2062" i="6"/>
  <c r="B2062" i="6"/>
  <c r="A2062" i="6"/>
  <c r="G2061" i="6"/>
  <c r="F2061" i="6"/>
  <c r="E2061" i="6"/>
  <c r="D2061" i="6"/>
  <c r="C2061" i="6"/>
  <c r="B2061" i="6"/>
  <c r="A2061" i="6"/>
  <c r="G2060" i="6"/>
  <c r="F2060" i="6"/>
  <c r="E2060" i="6"/>
  <c r="D2060" i="6"/>
  <c r="C2060" i="6"/>
  <c r="B2060" i="6"/>
  <c r="A2060" i="6"/>
  <c r="G2059" i="6"/>
  <c r="F2059" i="6"/>
  <c r="E2059" i="6"/>
  <c r="D2059" i="6"/>
  <c r="C2059" i="6"/>
  <c r="B2059" i="6"/>
  <c r="A2059" i="6"/>
  <c r="G2058" i="6"/>
  <c r="F2058" i="6"/>
  <c r="E2058" i="6"/>
  <c r="D2058" i="6"/>
  <c r="C2058" i="6"/>
  <c r="B2058" i="6"/>
  <c r="A2058" i="6"/>
  <c r="G2057" i="6"/>
  <c r="F2057" i="6"/>
  <c r="E2057" i="6"/>
  <c r="D2057" i="6"/>
  <c r="C2057" i="6"/>
  <c r="B2057" i="6"/>
  <c r="A2057" i="6"/>
  <c r="G2056" i="6"/>
  <c r="F2056" i="6"/>
  <c r="E2056" i="6"/>
  <c r="D2056" i="6"/>
  <c r="C2056" i="6"/>
  <c r="B2056" i="6"/>
  <c r="A2056" i="6"/>
  <c r="G2055" i="6"/>
  <c r="F2055" i="6"/>
  <c r="E2055" i="6"/>
  <c r="D2055" i="6"/>
  <c r="C2055" i="6"/>
  <c r="B2055" i="6"/>
  <c r="A2055" i="6"/>
  <c r="G2054" i="6"/>
  <c r="F2054" i="6"/>
  <c r="E2054" i="6"/>
  <c r="D2054" i="6"/>
  <c r="C2054" i="6"/>
  <c r="B2054" i="6"/>
  <c r="A2054" i="6"/>
  <c r="G2053" i="6"/>
  <c r="F2053" i="6"/>
  <c r="E2053" i="6"/>
  <c r="D2053" i="6"/>
  <c r="C2053" i="6"/>
  <c r="B2053" i="6"/>
  <c r="A2053" i="6"/>
  <c r="G2052" i="6"/>
  <c r="F2052" i="6"/>
  <c r="E2052" i="6"/>
  <c r="D2052" i="6"/>
  <c r="C2052" i="6"/>
  <c r="B2052" i="6"/>
  <c r="A2052" i="6"/>
  <c r="G2051" i="6"/>
  <c r="F2051" i="6"/>
  <c r="E2051" i="6"/>
  <c r="D2051" i="6"/>
  <c r="C2051" i="6"/>
  <c r="B2051" i="6"/>
  <c r="A2051" i="6"/>
  <c r="G2050" i="6"/>
  <c r="F2050" i="6"/>
  <c r="E2050" i="6"/>
  <c r="D2050" i="6"/>
  <c r="C2050" i="6"/>
  <c r="B2050" i="6"/>
  <c r="A2050" i="6"/>
  <c r="G2049" i="6"/>
  <c r="F2049" i="6"/>
  <c r="E2049" i="6"/>
  <c r="D2049" i="6"/>
  <c r="C2049" i="6"/>
  <c r="B2049" i="6"/>
  <c r="A2049" i="6"/>
  <c r="G2048" i="6"/>
  <c r="F2048" i="6"/>
  <c r="E2048" i="6"/>
  <c r="D2048" i="6"/>
  <c r="C2048" i="6"/>
  <c r="B2048" i="6"/>
  <c r="A2048" i="6"/>
  <c r="G2047" i="6"/>
  <c r="F2047" i="6"/>
  <c r="E2047" i="6"/>
  <c r="D2047" i="6"/>
  <c r="C2047" i="6"/>
  <c r="B2047" i="6"/>
  <c r="A2047" i="6"/>
  <c r="G2046" i="6"/>
  <c r="F2046" i="6"/>
  <c r="E2046" i="6"/>
  <c r="D2046" i="6"/>
  <c r="C2046" i="6"/>
  <c r="B2046" i="6"/>
  <c r="A2046" i="6"/>
  <c r="G2045" i="6"/>
  <c r="F2045" i="6"/>
  <c r="E2045" i="6"/>
  <c r="D2045" i="6"/>
  <c r="C2045" i="6"/>
  <c r="B2045" i="6"/>
  <c r="A2045" i="6"/>
  <c r="G2044" i="6"/>
  <c r="F2044" i="6"/>
  <c r="E2044" i="6"/>
  <c r="D2044" i="6"/>
  <c r="C2044" i="6"/>
  <c r="B2044" i="6"/>
  <c r="A2044" i="6"/>
  <c r="G2043" i="6"/>
  <c r="F2043" i="6"/>
  <c r="E2043" i="6"/>
  <c r="D2043" i="6"/>
  <c r="C2043" i="6"/>
  <c r="B2043" i="6"/>
  <c r="A2043" i="6"/>
  <c r="G2042" i="6"/>
  <c r="F2042" i="6"/>
  <c r="E2042" i="6"/>
  <c r="D2042" i="6"/>
  <c r="C2042" i="6"/>
  <c r="B2042" i="6"/>
  <c r="A2042" i="6"/>
  <c r="G2041" i="6"/>
  <c r="F2041" i="6"/>
  <c r="E2041" i="6"/>
  <c r="D2041" i="6"/>
  <c r="C2041" i="6"/>
  <c r="B2041" i="6"/>
  <c r="A2041" i="6"/>
  <c r="G2040" i="6"/>
  <c r="F2040" i="6"/>
  <c r="E2040" i="6"/>
  <c r="D2040" i="6"/>
  <c r="C2040" i="6"/>
  <c r="B2040" i="6"/>
  <c r="A2040" i="6"/>
  <c r="G2039" i="6"/>
  <c r="F2039" i="6"/>
  <c r="E2039" i="6"/>
  <c r="D2039" i="6"/>
  <c r="C2039" i="6"/>
  <c r="B2039" i="6"/>
  <c r="A2039" i="6"/>
  <c r="G2038" i="6"/>
  <c r="F2038" i="6"/>
  <c r="E2038" i="6"/>
  <c r="D2038" i="6"/>
  <c r="C2038" i="6"/>
  <c r="B2038" i="6"/>
  <c r="A2038" i="6"/>
  <c r="G2037" i="6"/>
  <c r="F2037" i="6"/>
  <c r="E2037" i="6"/>
  <c r="D2037" i="6"/>
  <c r="C2037" i="6"/>
  <c r="B2037" i="6"/>
  <c r="A2037" i="6"/>
  <c r="G2036" i="6"/>
  <c r="F2036" i="6"/>
  <c r="E2036" i="6"/>
  <c r="D2036" i="6"/>
  <c r="C2036" i="6"/>
  <c r="B2036" i="6"/>
  <c r="A2036" i="6"/>
  <c r="G2035" i="6"/>
  <c r="F2035" i="6"/>
  <c r="E2035" i="6"/>
  <c r="D2035" i="6"/>
  <c r="C2035" i="6"/>
  <c r="B2035" i="6"/>
  <c r="A2035" i="6"/>
  <c r="G2034" i="6"/>
  <c r="F2034" i="6"/>
  <c r="E2034" i="6"/>
  <c r="D2034" i="6"/>
  <c r="C2034" i="6"/>
  <c r="B2034" i="6"/>
  <c r="A2034" i="6"/>
  <c r="G2033" i="6"/>
  <c r="F2033" i="6"/>
  <c r="E2033" i="6"/>
  <c r="D2033" i="6"/>
  <c r="C2033" i="6"/>
  <c r="B2033" i="6"/>
  <c r="A2033" i="6"/>
  <c r="G2032" i="6"/>
  <c r="F2032" i="6"/>
  <c r="E2032" i="6"/>
  <c r="D2032" i="6"/>
  <c r="C2032" i="6"/>
  <c r="B2032" i="6"/>
  <c r="A2032" i="6"/>
  <c r="G2031" i="6"/>
  <c r="F2031" i="6"/>
  <c r="E2031" i="6"/>
  <c r="D2031" i="6"/>
  <c r="C2031" i="6"/>
  <c r="B2031" i="6"/>
  <c r="A2031" i="6"/>
  <c r="G2030" i="6"/>
  <c r="F2030" i="6"/>
  <c r="E2030" i="6"/>
  <c r="D2030" i="6"/>
  <c r="C2030" i="6"/>
  <c r="B2030" i="6"/>
  <c r="A2030" i="6"/>
  <c r="G2029" i="6"/>
  <c r="F2029" i="6"/>
  <c r="E2029" i="6"/>
  <c r="D2029" i="6"/>
  <c r="C2029" i="6"/>
  <c r="B2029" i="6"/>
  <c r="A2029" i="6"/>
  <c r="G2028" i="6"/>
  <c r="F2028" i="6"/>
  <c r="E2028" i="6"/>
  <c r="D2028" i="6"/>
  <c r="C2028" i="6"/>
  <c r="B2028" i="6"/>
  <c r="A2028" i="6"/>
  <c r="G2027" i="6"/>
  <c r="F2027" i="6"/>
  <c r="E2027" i="6"/>
  <c r="D2027" i="6"/>
  <c r="C2027" i="6"/>
  <c r="B2027" i="6"/>
  <c r="A2027" i="6"/>
  <c r="G2026" i="6"/>
  <c r="F2026" i="6"/>
  <c r="E2026" i="6"/>
  <c r="D2026" i="6"/>
  <c r="C2026" i="6"/>
  <c r="B2026" i="6"/>
  <c r="A2026" i="6"/>
  <c r="G2025" i="6"/>
  <c r="F2025" i="6"/>
  <c r="E2025" i="6"/>
  <c r="D2025" i="6"/>
  <c r="C2025" i="6"/>
  <c r="B2025" i="6"/>
  <c r="A2025" i="6"/>
  <c r="G2024" i="6"/>
  <c r="F2024" i="6"/>
  <c r="E2024" i="6"/>
  <c r="D2024" i="6"/>
  <c r="C2024" i="6"/>
  <c r="B2024" i="6"/>
  <c r="A2024" i="6"/>
  <c r="G2023" i="6"/>
  <c r="F2023" i="6"/>
  <c r="E2023" i="6"/>
  <c r="D2023" i="6"/>
  <c r="C2023" i="6"/>
  <c r="B2023" i="6"/>
  <c r="A2023" i="6"/>
  <c r="G2022" i="6"/>
  <c r="F2022" i="6"/>
  <c r="E2022" i="6"/>
  <c r="D2022" i="6"/>
  <c r="C2022" i="6"/>
  <c r="B2022" i="6"/>
  <c r="A2022" i="6"/>
  <c r="G2021" i="6"/>
  <c r="F2021" i="6"/>
  <c r="E2021" i="6"/>
  <c r="D2021" i="6"/>
  <c r="C2021" i="6"/>
  <c r="B2021" i="6"/>
  <c r="A2021" i="6"/>
  <c r="G2020" i="6"/>
  <c r="F2020" i="6"/>
  <c r="E2020" i="6"/>
  <c r="D2020" i="6"/>
  <c r="C2020" i="6"/>
  <c r="B2020" i="6"/>
  <c r="A2020" i="6"/>
  <c r="G2019" i="6"/>
  <c r="F2019" i="6"/>
  <c r="E2019" i="6"/>
  <c r="D2019" i="6"/>
  <c r="C2019" i="6"/>
  <c r="B2019" i="6"/>
  <c r="A2019" i="6"/>
  <c r="G2018" i="6"/>
  <c r="F2018" i="6"/>
  <c r="E2018" i="6"/>
  <c r="D2018" i="6"/>
  <c r="C2018" i="6"/>
  <c r="B2018" i="6"/>
  <c r="A2018" i="6"/>
  <c r="G2017" i="6"/>
  <c r="F2017" i="6"/>
  <c r="E2017" i="6"/>
  <c r="D2017" i="6"/>
  <c r="C2017" i="6"/>
  <c r="B2017" i="6"/>
  <c r="A2017" i="6"/>
  <c r="G2016" i="6"/>
  <c r="F2016" i="6"/>
  <c r="E2016" i="6"/>
  <c r="D2016" i="6"/>
  <c r="C2016" i="6"/>
  <c r="B2016" i="6"/>
  <c r="A2016" i="6"/>
  <c r="G2015" i="6"/>
  <c r="F2015" i="6"/>
  <c r="E2015" i="6"/>
  <c r="D2015" i="6"/>
  <c r="C2015" i="6"/>
  <c r="B2015" i="6"/>
  <c r="A2015" i="6"/>
  <c r="G2014" i="6"/>
  <c r="F2014" i="6"/>
  <c r="E2014" i="6"/>
  <c r="D2014" i="6"/>
  <c r="C2014" i="6"/>
  <c r="B2014" i="6"/>
  <c r="A2014" i="6"/>
  <c r="G2013" i="6"/>
  <c r="F2013" i="6"/>
  <c r="E2013" i="6"/>
  <c r="D2013" i="6"/>
  <c r="C2013" i="6"/>
  <c r="B2013" i="6"/>
  <c r="A2013" i="6"/>
  <c r="G2012" i="6"/>
  <c r="F2012" i="6"/>
  <c r="E2012" i="6"/>
  <c r="D2012" i="6"/>
  <c r="C2012" i="6"/>
  <c r="B2012" i="6"/>
  <c r="A2012" i="6"/>
  <c r="G2011" i="6"/>
  <c r="F2011" i="6"/>
  <c r="E2011" i="6"/>
  <c r="D2011" i="6"/>
  <c r="C2011" i="6"/>
  <c r="B2011" i="6"/>
  <c r="A2011" i="6"/>
  <c r="G2010" i="6"/>
  <c r="F2010" i="6"/>
  <c r="E2010" i="6"/>
  <c r="D2010" i="6"/>
  <c r="C2010" i="6"/>
  <c r="B2010" i="6"/>
  <c r="A2010" i="6"/>
  <c r="G2009" i="6"/>
  <c r="F2009" i="6"/>
  <c r="E2009" i="6"/>
  <c r="D2009" i="6"/>
  <c r="C2009" i="6"/>
  <c r="B2009" i="6"/>
  <c r="A2009" i="6"/>
  <c r="G2008" i="6"/>
  <c r="F2008" i="6"/>
  <c r="E2008" i="6"/>
  <c r="D2008" i="6"/>
  <c r="C2008" i="6"/>
  <c r="B2008" i="6"/>
  <c r="A2008" i="6"/>
  <c r="G2007" i="6"/>
  <c r="F2007" i="6"/>
  <c r="E2007" i="6"/>
  <c r="D2007" i="6"/>
  <c r="C2007" i="6"/>
  <c r="B2007" i="6"/>
  <c r="A2007" i="6"/>
  <c r="G2006" i="6"/>
  <c r="F2006" i="6"/>
  <c r="E2006" i="6"/>
  <c r="D2006" i="6"/>
  <c r="C2006" i="6"/>
  <c r="B2006" i="6"/>
  <c r="A2006" i="6"/>
  <c r="G2005" i="6"/>
  <c r="F2005" i="6"/>
  <c r="E2005" i="6"/>
  <c r="D2005" i="6"/>
  <c r="C2005" i="6"/>
  <c r="B2005" i="6"/>
  <c r="A2005" i="6"/>
  <c r="G2004" i="6"/>
  <c r="F2004" i="6"/>
  <c r="E2004" i="6"/>
  <c r="D2004" i="6"/>
  <c r="C2004" i="6"/>
  <c r="B2004" i="6"/>
  <c r="A2004" i="6"/>
  <c r="G2003" i="6"/>
  <c r="F2003" i="6"/>
  <c r="E2003" i="6"/>
  <c r="D2003" i="6"/>
  <c r="C2003" i="6"/>
  <c r="B2003" i="6"/>
  <c r="A2003" i="6"/>
  <c r="G2002" i="6"/>
  <c r="F2002" i="6"/>
  <c r="E2002" i="6"/>
  <c r="D2002" i="6"/>
  <c r="C2002" i="6"/>
  <c r="B2002" i="6"/>
  <c r="A2002" i="6"/>
  <c r="G2001" i="6"/>
  <c r="F2001" i="6"/>
  <c r="E2001" i="6"/>
  <c r="D2001" i="6"/>
  <c r="C2001" i="6"/>
  <c r="B2001" i="6"/>
  <c r="A2001" i="6"/>
  <c r="G2000" i="6"/>
  <c r="F2000" i="6"/>
  <c r="E2000" i="6"/>
  <c r="D2000" i="6"/>
  <c r="C2000" i="6"/>
  <c r="B2000" i="6"/>
  <c r="A2000" i="6"/>
  <c r="G1999" i="6"/>
  <c r="F1999" i="6"/>
  <c r="E1999" i="6"/>
  <c r="D1999" i="6"/>
  <c r="C1999" i="6"/>
  <c r="B1999" i="6"/>
  <c r="A1999" i="6"/>
  <c r="G1998" i="6"/>
  <c r="F1998" i="6"/>
  <c r="E1998" i="6"/>
  <c r="D1998" i="6"/>
  <c r="C1998" i="6"/>
  <c r="B1998" i="6"/>
  <c r="A1998" i="6"/>
  <c r="G1997" i="6"/>
  <c r="F1997" i="6"/>
  <c r="E1997" i="6"/>
  <c r="D1997" i="6"/>
  <c r="C1997" i="6"/>
  <c r="B1997" i="6"/>
  <c r="A1997" i="6"/>
  <c r="G1996" i="6"/>
  <c r="F1996" i="6"/>
  <c r="E1996" i="6"/>
  <c r="D1996" i="6"/>
  <c r="C1996" i="6"/>
  <c r="B1996" i="6"/>
  <c r="A1996" i="6"/>
  <c r="G1995" i="6"/>
  <c r="F1995" i="6"/>
  <c r="E1995" i="6"/>
  <c r="D1995" i="6"/>
  <c r="C1995" i="6"/>
  <c r="B1995" i="6"/>
  <c r="A1995" i="6"/>
  <c r="G1994" i="6"/>
  <c r="F1994" i="6"/>
  <c r="E1994" i="6"/>
  <c r="D1994" i="6"/>
  <c r="C1994" i="6"/>
  <c r="B1994" i="6"/>
  <c r="A1994" i="6"/>
  <c r="G1993" i="6"/>
  <c r="F1993" i="6"/>
  <c r="E1993" i="6"/>
  <c r="D1993" i="6"/>
  <c r="C1993" i="6"/>
  <c r="B1993" i="6"/>
  <c r="A1993" i="6"/>
  <c r="G1992" i="6"/>
  <c r="F1992" i="6"/>
  <c r="E1992" i="6"/>
  <c r="D1992" i="6"/>
  <c r="C1992" i="6"/>
  <c r="B1992" i="6"/>
  <c r="A1992" i="6"/>
  <c r="G1991" i="6"/>
  <c r="F1991" i="6"/>
  <c r="E1991" i="6"/>
  <c r="D1991" i="6"/>
  <c r="C1991" i="6"/>
  <c r="B1991" i="6"/>
  <c r="A1991" i="6"/>
  <c r="G1990" i="6"/>
  <c r="F1990" i="6"/>
  <c r="E1990" i="6"/>
  <c r="D1990" i="6"/>
  <c r="C1990" i="6"/>
  <c r="B1990" i="6"/>
  <c r="A1990" i="6"/>
  <c r="G1989" i="6"/>
  <c r="F1989" i="6"/>
  <c r="E1989" i="6"/>
  <c r="D1989" i="6"/>
  <c r="C1989" i="6"/>
  <c r="B1989" i="6"/>
  <c r="A1989" i="6"/>
  <c r="G1988" i="6"/>
  <c r="F1988" i="6"/>
  <c r="E1988" i="6"/>
  <c r="D1988" i="6"/>
  <c r="C1988" i="6"/>
  <c r="B1988" i="6"/>
  <c r="A1988" i="6"/>
  <c r="G1987" i="6"/>
  <c r="F1987" i="6"/>
  <c r="E1987" i="6"/>
  <c r="D1987" i="6"/>
  <c r="C1987" i="6"/>
  <c r="B1987" i="6"/>
  <c r="A1987" i="6"/>
  <c r="G1986" i="6"/>
  <c r="F1986" i="6"/>
  <c r="E1986" i="6"/>
  <c r="D1986" i="6"/>
  <c r="C1986" i="6"/>
  <c r="B1986" i="6"/>
  <c r="A1986" i="6"/>
  <c r="G1985" i="6"/>
  <c r="F1985" i="6"/>
  <c r="E1985" i="6"/>
  <c r="D1985" i="6"/>
  <c r="C1985" i="6"/>
  <c r="B1985" i="6"/>
  <c r="A1985" i="6"/>
  <c r="G1984" i="6"/>
  <c r="F1984" i="6"/>
  <c r="E1984" i="6"/>
  <c r="D1984" i="6"/>
  <c r="C1984" i="6"/>
  <c r="B1984" i="6"/>
  <c r="A1984" i="6"/>
  <c r="G1983" i="6"/>
  <c r="F1983" i="6"/>
  <c r="E1983" i="6"/>
  <c r="D1983" i="6"/>
  <c r="C1983" i="6"/>
  <c r="B1983" i="6"/>
  <c r="A1983" i="6"/>
  <c r="G1982" i="6"/>
  <c r="F1982" i="6"/>
  <c r="E1982" i="6"/>
  <c r="D1982" i="6"/>
  <c r="C1982" i="6"/>
  <c r="B1982" i="6"/>
  <c r="A1982" i="6"/>
  <c r="G1981" i="6"/>
  <c r="F1981" i="6"/>
  <c r="E1981" i="6"/>
  <c r="D1981" i="6"/>
  <c r="C1981" i="6"/>
  <c r="B1981" i="6"/>
  <c r="A1981" i="6"/>
  <c r="G1980" i="6"/>
  <c r="F1980" i="6"/>
  <c r="E1980" i="6"/>
  <c r="D1980" i="6"/>
  <c r="C1980" i="6"/>
  <c r="B1980" i="6"/>
  <c r="A1980" i="6"/>
  <c r="G1979" i="6"/>
  <c r="F1979" i="6"/>
  <c r="E1979" i="6"/>
  <c r="D1979" i="6"/>
  <c r="C1979" i="6"/>
  <c r="B1979" i="6"/>
  <c r="A1979" i="6"/>
  <c r="G1978" i="6"/>
  <c r="F1978" i="6"/>
  <c r="E1978" i="6"/>
  <c r="D1978" i="6"/>
  <c r="C1978" i="6"/>
  <c r="B1978" i="6"/>
  <c r="A1978" i="6"/>
  <c r="G1977" i="6"/>
  <c r="F1977" i="6"/>
  <c r="E1977" i="6"/>
  <c r="D1977" i="6"/>
  <c r="C1977" i="6"/>
  <c r="B1977" i="6"/>
  <c r="A1977" i="6"/>
  <c r="G1976" i="6"/>
  <c r="F1976" i="6"/>
  <c r="E1976" i="6"/>
  <c r="D1976" i="6"/>
  <c r="C1976" i="6"/>
  <c r="B1976" i="6"/>
  <c r="A1976" i="6"/>
  <c r="G1975" i="6"/>
  <c r="F1975" i="6"/>
  <c r="E1975" i="6"/>
  <c r="D1975" i="6"/>
  <c r="C1975" i="6"/>
  <c r="B1975" i="6"/>
  <c r="A1975" i="6"/>
  <c r="G1974" i="6"/>
  <c r="F1974" i="6"/>
  <c r="E1974" i="6"/>
  <c r="D1974" i="6"/>
  <c r="C1974" i="6"/>
  <c r="B1974" i="6"/>
  <c r="A1974" i="6"/>
  <c r="G1973" i="6"/>
  <c r="F1973" i="6"/>
  <c r="E1973" i="6"/>
  <c r="D1973" i="6"/>
  <c r="C1973" i="6"/>
  <c r="B1973" i="6"/>
  <c r="A1973" i="6"/>
  <c r="G1972" i="6"/>
  <c r="F1972" i="6"/>
  <c r="E1972" i="6"/>
  <c r="D1972" i="6"/>
  <c r="C1972" i="6"/>
  <c r="B1972" i="6"/>
  <c r="A1972" i="6"/>
  <c r="G1971" i="6"/>
  <c r="F1971" i="6"/>
  <c r="E1971" i="6"/>
  <c r="D1971" i="6"/>
  <c r="C1971" i="6"/>
  <c r="B1971" i="6"/>
  <c r="A1971" i="6"/>
  <c r="G1970" i="6"/>
  <c r="F1970" i="6"/>
  <c r="E1970" i="6"/>
  <c r="D1970" i="6"/>
  <c r="C1970" i="6"/>
  <c r="B1970" i="6"/>
  <c r="A1970" i="6"/>
  <c r="G1969" i="6"/>
  <c r="F1969" i="6"/>
  <c r="E1969" i="6"/>
  <c r="D1969" i="6"/>
  <c r="C1969" i="6"/>
  <c r="B1969" i="6"/>
  <c r="A1969" i="6"/>
  <c r="G1968" i="6"/>
  <c r="F1968" i="6"/>
  <c r="E1968" i="6"/>
  <c r="D1968" i="6"/>
  <c r="C1968" i="6"/>
  <c r="B1968" i="6"/>
  <c r="A1968" i="6"/>
  <c r="G1967" i="6"/>
  <c r="F1967" i="6"/>
  <c r="E1967" i="6"/>
  <c r="D1967" i="6"/>
  <c r="C1967" i="6"/>
  <c r="B1967" i="6"/>
  <c r="A1967" i="6"/>
  <c r="G1966" i="6"/>
  <c r="F1966" i="6"/>
  <c r="E1966" i="6"/>
  <c r="D1966" i="6"/>
  <c r="C1966" i="6"/>
  <c r="B1966" i="6"/>
  <c r="A1966" i="6"/>
  <c r="G1965" i="6"/>
  <c r="F1965" i="6"/>
  <c r="E1965" i="6"/>
  <c r="D1965" i="6"/>
  <c r="C1965" i="6"/>
  <c r="B1965" i="6"/>
  <c r="A1965" i="6"/>
  <c r="G1964" i="6"/>
  <c r="F1964" i="6"/>
  <c r="E1964" i="6"/>
  <c r="D1964" i="6"/>
  <c r="C1964" i="6"/>
  <c r="B1964" i="6"/>
  <c r="A1964" i="6"/>
  <c r="G1963" i="6"/>
  <c r="F1963" i="6"/>
  <c r="E1963" i="6"/>
  <c r="D1963" i="6"/>
  <c r="C1963" i="6"/>
  <c r="B1963" i="6"/>
  <c r="A1963" i="6"/>
  <c r="G1962" i="6"/>
  <c r="F1962" i="6"/>
  <c r="E1962" i="6"/>
  <c r="D1962" i="6"/>
  <c r="C1962" i="6"/>
  <c r="B1962" i="6"/>
  <c r="A1962" i="6"/>
  <c r="G1961" i="6"/>
  <c r="F1961" i="6"/>
  <c r="E1961" i="6"/>
  <c r="D1961" i="6"/>
  <c r="C1961" i="6"/>
  <c r="B1961" i="6"/>
  <c r="A1961" i="6"/>
  <c r="G1960" i="6"/>
  <c r="F1960" i="6"/>
  <c r="E1960" i="6"/>
  <c r="D1960" i="6"/>
  <c r="C1960" i="6"/>
  <c r="B1960" i="6"/>
  <c r="A1960" i="6"/>
  <c r="G1959" i="6"/>
  <c r="F1959" i="6"/>
  <c r="E1959" i="6"/>
  <c r="D1959" i="6"/>
  <c r="C1959" i="6"/>
  <c r="B1959" i="6"/>
  <c r="A1959" i="6"/>
  <c r="G1958" i="6"/>
  <c r="F1958" i="6"/>
  <c r="E1958" i="6"/>
  <c r="D1958" i="6"/>
  <c r="C1958" i="6"/>
  <c r="B1958" i="6"/>
  <c r="A1958" i="6"/>
  <c r="G1957" i="6"/>
  <c r="F1957" i="6"/>
  <c r="E1957" i="6"/>
  <c r="D1957" i="6"/>
  <c r="C1957" i="6"/>
  <c r="B1957" i="6"/>
  <c r="A1957" i="6"/>
  <c r="G1956" i="6"/>
  <c r="F1956" i="6"/>
  <c r="E1956" i="6"/>
  <c r="D1956" i="6"/>
  <c r="C1956" i="6"/>
  <c r="B1956" i="6"/>
  <c r="A1956" i="6"/>
  <c r="G1955" i="6"/>
  <c r="F1955" i="6"/>
  <c r="E1955" i="6"/>
  <c r="D1955" i="6"/>
  <c r="C1955" i="6"/>
  <c r="B1955" i="6"/>
  <c r="A1955" i="6"/>
  <c r="G1954" i="6"/>
  <c r="F1954" i="6"/>
  <c r="E1954" i="6"/>
  <c r="D1954" i="6"/>
  <c r="C1954" i="6"/>
  <c r="B1954" i="6"/>
  <c r="A1954" i="6"/>
  <c r="G1953" i="6"/>
  <c r="F1953" i="6"/>
  <c r="E1953" i="6"/>
  <c r="D1953" i="6"/>
  <c r="C1953" i="6"/>
  <c r="B1953" i="6"/>
  <c r="A1953" i="6"/>
  <c r="G1952" i="6"/>
  <c r="F1952" i="6"/>
  <c r="E1952" i="6"/>
  <c r="D1952" i="6"/>
  <c r="C1952" i="6"/>
  <c r="B1952" i="6"/>
  <c r="A1952" i="6"/>
  <c r="G1951" i="6"/>
  <c r="F1951" i="6"/>
  <c r="E1951" i="6"/>
  <c r="D1951" i="6"/>
  <c r="C1951" i="6"/>
  <c r="B1951" i="6"/>
  <c r="A1951" i="6"/>
  <c r="G1950" i="6"/>
  <c r="F1950" i="6"/>
  <c r="E1950" i="6"/>
  <c r="D1950" i="6"/>
  <c r="C1950" i="6"/>
  <c r="B1950" i="6"/>
  <c r="A1950" i="6"/>
  <c r="G1949" i="6"/>
  <c r="F1949" i="6"/>
  <c r="E1949" i="6"/>
  <c r="D1949" i="6"/>
  <c r="C1949" i="6"/>
  <c r="B1949" i="6"/>
  <c r="A1949" i="6"/>
  <c r="G1948" i="6"/>
  <c r="F1948" i="6"/>
  <c r="E1948" i="6"/>
  <c r="D1948" i="6"/>
  <c r="C1948" i="6"/>
  <c r="B1948" i="6"/>
  <c r="A1948" i="6"/>
  <c r="G1947" i="6"/>
  <c r="F1947" i="6"/>
  <c r="E1947" i="6"/>
  <c r="D1947" i="6"/>
  <c r="C1947" i="6"/>
  <c r="B1947" i="6"/>
  <c r="A1947" i="6"/>
  <c r="G1946" i="6"/>
  <c r="F1946" i="6"/>
  <c r="E1946" i="6"/>
  <c r="D1946" i="6"/>
  <c r="C1946" i="6"/>
  <c r="B1946" i="6"/>
  <c r="A1946" i="6"/>
  <c r="G1945" i="6"/>
  <c r="F1945" i="6"/>
  <c r="E1945" i="6"/>
  <c r="D1945" i="6"/>
  <c r="C1945" i="6"/>
  <c r="B1945" i="6"/>
  <c r="A1945" i="6"/>
  <c r="G1944" i="6"/>
  <c r="F1944" i="6"/>
  <c r="E1944" i="6"/>
  <c r="D1944" i="6"/>
  <c r="C1944" i="6"/>
  <c r="B1944" i="6"/>
  <c r="A1944" i="6"/>
  <c r="G1943" i="6"/>
  <c r="F1943" i="6"/>
  <c r="E1943" i="6"/>
  <c r="D1943" i="6"/>
  <c r="C1943" i="6"/>
  <c r="B1943" i="6"/>
  <c r="A1943" i="6"/>
  <c r="G1942" i="6"/>
  <c r="F1942" i="6"/>
  <c r="E1942" i="6"/>
  <c r="D1942" i="6"/>
  <c r="C1942" i="6"/>
  <c r="B1942" i="6"/>
  <c r="A1942" i="6"/>
  <c r="G1941" i="6"/>
  <c r="F1941" i="6"/>
  <c r="E1941" i="6"/>
  <c r="D1941" i="6"/>
  <c r="C1941" i="6"/>
  <c r="B1941" i="6"/>
  <c r="A1941" i="6"/>
  <c r="G1940" i="6"/>
  <c r="F1940" i="6"/>
  <c r="E1940" i="6"/>
  <c r="D1940" i="6"/>
  <c r="C1940" i="6"/>
  <c r="B1940" i="6"/>
  <c r="A1940" i="6"/>
  <c r="G1939" i="6"/>
  <c r="F1939" i="6"/>
  <c r="E1939" i="6"/>
  <c r="D1939" i="6"/>
  <c r="C1939" i="6"/>
  <c r="B1939" i="6"/>
  <c r="A1939" i="6"/>
  <c r="G1938" i="6"/>
  <c r="F1938" i="6"/>
  <c r="E1938" i="6"/>
  <c r="D1938" i="6"/>
  <c r="C1938" i="6"/>
  <c r="B1938" i="6"/>
  <c r="A1938" i="6"/>
  <c r="G1937" i="6"/>
  <c r="F1937" i="6"/>
  <c r="E1937" i="6"/>
  <c r="D1937" i="6"/>
  <c r="C1937" i="6"/>
  <c r="B1937" i="6"/>
  <c r="A1937" i="6"/>
  <c r="G1936" i="6"/>
  <c r="F1936" i="6"/>
  <c r="E1936" i="6"/>
  <c r="D1936" i="6"/>
  <c r="C1936" i="6"/>
  <c r="B1936" i="6"/>
  <c r="A1936" i="6"/>
  <c r="G1935" i="6"/>
  <c r="F1935" i="6"/>
  <c r="E1935" i="6"/>
  <c r="D1935" i="6"/>
  <c r="C1935" i="6"/>
  <c r="B1935" i="6"/>
  <c r="A1935" i="6"/>
  <c r="G1934" i="6"/>
  <c r="F1934" i="6"/>
  <c r="E1934" i="6"/>
  <c r="D1934" i="6"/>
  <c r="C1934" i="6"/>
  <c r="B1934" i="6"/>
  <c r="A1934" i="6"/>
  <c r="G1933" i="6"/>
  <c r="F1933" i="6"/>
  <c r="E1933" i="6"/>
  <c r="D1933" i="6"/>
  <c r="C1933" i="6"/>
  <c r="B1933" i="6"/>
  <c r="A1933" i="6"/>
  <c r="G1932" i="6"/>
  <c r="F1932" i="6"/>
  <c r="E1932" i="6"/>
  <c r="D1932" i="6"/>
  <c r="C1932" i="6"/>
  <c r="B1932" i="6"/>
  <c r="A1932" i="6"/>
  <c r="G1931" i="6"/>
  <c r="F1931" i="6"/>
  <c r="E1931" i="6"/>
  <c r="D1931" i="6"/>
  <c r="C1931" i="6"/>
  <c r="B1931" i="6"/>
  <c r="A1931" i="6"/>
  <c r="G1930" i="6"/>
  <c r="F1930" i="6"/>
  <c r="E1930" i="6"/>
  <c r="D1930" i="6"/>
  <c r="C1930" i="6"/>
  <c r="B1930" i="6"/>
  <c r="A1930" i="6"/>
  <c r="G1929" i="6"/>
  <c r="F1929" i="6"/>
  <c r="E1929" i="6"/>
  <c r="D1929" i="6"/>
  <c r="C1929" i="6"/>
  <c r="B1929" i="6"/>
  <c r="A1929" i="6"/>
  <c r="G1928" i="6"/>
  <c r="F1928" i="6"/>
  <c r="E1928" i="6"/>
  <c r="D1928" i="6"/>
  <c r="C1928" i="6"/>
  <c r="B1928" i="6"/>
  <c r="A1928" i="6"/>
  <c r="G1927" i="6"/>
  <c r="F1927" i="6"/>
  <c r="E1927" i="6"/>
  <c r="D1927" i="6"/>
  <c r="C1927" i="6"/>
  <c r="B1927" i="6"/>
  <c r="A1927" i="6"/>
  <c r="G1926" i="6"/>
  <c r="F1926" i="6"/>
  <c r="E1926" i="6"/>
  <c r="D1926" i="6"/>
  <c r="C1926" i="6"/>
  <c r="B1926" i="6"/>
  <c r="A1926" i="6"/>
  <c r="G1925" i="6"/>
  <c r="F1925" i="6"/>
  <c r="E1925" i="6"/>
  <c r="D1925" i="6"/>
  <c r="C1925" i="6"/>
  <c r="B1925" i="6"/>
  <c r="A1925" i="6"/>
  <c r="G1924" i="6"/>
  <c r="F1924" i="6"/>
  <c r="E1924" i="6"/>
  <c r="D1924" i="6"/>
  <c r="C1924" i="6"/>
  <c r="B1924" i="6"/>
  <c r="A1924" i="6"/>
  <c r="G1923" i="6"/>
  <c r="F1923" i="6"/>
  <c r="E1923" i="6"/>
  <c r="D1923" i="6"/>
  <c r="C1923" i="6"/>
  <c r="B1923" i="6"/>
  <c r="A1923" i="6"/>
  <c r="G1922" i="6"/>
  <c r="F1922" i="6"/>
  <c r="E1922" i="6"/>
  <c r="D1922" i="6"/>
  <c r="C1922" i="6"/>
  <c r="B1922" i="6"/>
  <c r="A1922" i="6"/>
  <c r="G1921" i="6"/>
  <c r="F1921" i="6"/>
  <c r="E1921" i="6"/>
  <c r="D1921" i="6"/>
  <c r="C1921" i="6"/>
  <c r="B1921" i="6"/>
  <c r="A1921" i="6"/>
  <c r="G1920" i="6"/>
  <c r="F1920" i="6"/>
  <c r="E1920" i="6"/>
  <c r="D1920" i="6"/>
  <c r="C1920" i="6"/>
  <c r="B1920" i="6"/>
  <c r="A1920" i="6"/>
  <c r="G1919" i="6"/>
  <c r="F1919" i="6"/>
  <c r="E1919" i="6"/>
  <c r="D1919" i="6"/>
  <c r="C1919" i="6"/>
  <c r="B1919" i="6"/>
  <c r="A1919" i="6"/>
  <c r="G1918" i="6"/>
  <c r="F1918" i="6"/>
  <c r="E1918" i="6"/>
  <c r="D1918" i="6"/>
  <c r="C1918" i="6"/>
  <c r="B1918" i="6"/>
  <c r="A1918" i="6"/>
  <c r="G1917" i="6"/>
  <c r="F1917" i="6"/>
  <c r="E1917" i="6"/>
  <c r="D1917" i="6"/>
  <c r="C1917" i="6"/>
  <c r="B1917" i="6"/>
  <c r="A1917" i="6"/>
  <c r="G1916" i="6"/>
  <c r="F1916" i="6"/>
  <c r="E1916" i="6"/>
  <c r="D1916" i="6"/>
  <c r="C1916" i="6"/>
  <c r="B1916" i="6"/>
  <c r="A1916" i="6"/>
  <c r="G1915" i="6"/>
  <c r="F1915" i="6"/>
  <c r="E1915" i="6"/>
  <c r="D1915" i="6"/>
  <c r="C1915" i="6"/>
  <c r="B1915" i="6"/>
  <c r="A1915" i="6"/>
  <c r="G1914" i="6"/>
  <c r="F1914" i="6"/>
  <c r="E1914" i="6"/>
  <c r="D1914" i="6"/>
  <c r="C1914" i="6"/>
  <c r="B1914" i="6"/>
  <c r="A1914" i="6"/>
  <c r="G1913" i="6"/>
  <c r="F1913" i="6"/>
  <c r="E1913" i="6"/>
  <c r="D1913" i="6"/>
  <c r="C1913" i="6"/>
  <c r="B1913" i="6"/>
  <c r="A1913" i="6"/>
  <c r="G1912" i="6"/>
  <c r="F1912" i="6"/>
  <c r="E1912" i="6"/>
  <c r="D1912" i="6"/>
  <c r="C1912" i="6"/>
  <c r="B1912" i="6"/>
  <c r="A1912" i="6"/>
  <c r="G1911" i="6"/>
  <c r="F1911" i="6"/>
  <c r="E1911" i="6"/>
  <c r="D1911" i="6"/>
  <c r="C1911" i="6"/>
  <c r="B1911" i="6"/>
  <c r="A1911" i="6"/>
  <c r="G1910" i="6"/>
  <c r="F1910" i="6"/>
  <c r="E1910" i="6"/>
  <c r="D1910" i="6"/>
  <c r="C1910" i="6"/>
  <c r="B1910" i="6"/>
  <c r="A1910" i="6"/>
  <c r="G1909" i="6"/>
  <c r="F1909" i="6"/>
  <c r="E1909" i="6"/>
  <c r="D1909" i="6"/>
  <c r="C1909" i="6"/>
  <c r="B1909" i="6"/>
  <c r="A1909" i="6"/>
  <c r="G1908" i="6"/>
  <c r="F1908" i="6"/>
  <c r="E1908" i="6"/>
  <c r="D1908" i="6"/>
  <c r="C1908" i="6"/>
  <c r="B1908" i="6"/>
  <c r="A1908" i="6"/>
  <c r="G1907" i="6"/>
  <c r="F1907" i="6"/>
  <c r="E1907" i="6"/>
  <c r="D1907" i="6"/>
  <c r="C1907" i="6"/>
  <c r="B1907" i="6"/>
  <c r="A1907" i="6"/>
  <c r="G1906" i="6"/>
  <c r="F1906" i="6"/>
  <c r="E1906" i="6"/>
  <c r="D1906" i="6"/>
  <c r="C1906" i="6"/>
  <c r="B1906" i="6"/>
  <c r="A1906" i="6"/>
  <c r="G1905" i="6"/>
  <c r="F1905" i="6"/>
  <c r="E1905" i="6"/>
  <c r="D1905" i="6"/>
  <c r="C1905" i="6"/>
  <c r="B1905" i="6"/>
  <c r="A1905" i="6"/>
  <c r="G1904" i="6"/>
  <c r="F1904" i="6"/>
  <c r="E1904" i="6"/>
  <c r="D1904" i="6"/>
  <c r="C1904" i="6"/>
  <c r="B1904" i="6"/>
  <c r="A1904" i="6"/>
  <c r="G1903" i="6"/>
  <c r="F1903" i="6"/>
  <c r="E1903" i="6"/>
  <c r="D1903" i="6"/>
  <c r="C1903" i="6"/>
  <c r="B1903" i="6"/>
  <c r="A1903" i="6"/>
  <c r="G1902" i="6"/>
  <c r="F1902" i="6"/>
  <c r="E1902" i="6"/>
  <c r="D1902" i="6"/>
  <c r="C1902" i="6"/>
  <c r="B1902" i="6"/>
  <c r="A1902" i="6"/>
  <c r="G1901" i="6"/>
  <c r="F1901" i="6"/>
  <c r="E1901" i="6"/>
  <c r="D1901" i="6"/>
  <c r="C1901" i="6"/>
  <c r="B1901" i="6"/>
  <c r="A1901" i="6"/>
  <c r="G1900" i="6"/>
  <c r="F1900" i="6"/>
  <c r="E1900" i="6"/>
  <c r="D1900" i="6"/>
  <c r="C1900" i="6"/>
  <c r="B1900" i="6"/>
  <c r="A1900" i="6"/>
  <c r="G1899" i="6"/>
  <c r="F1899" i="6"/>
  <c r="E1899" i="6"/>
  <c r="D1899" i="6"/>
  <c r="C1899" i="6"/>
  <c r="B1899" i="6"/>
  <c r="A1899" i="6"/>
  <c r="G1898" i="6"/>
  <c r="F1898" i="6"/>
  <c r="E1898" i="6"/>
  <c r="D1898" i="6"/>
  <c r="C1898" i="6"/>
  <c r="B1898" i="6"/>
  <c r="A1898" i="6"/>
  <c r="G1897" i="6"/>
  <c r="F1897" i="6"/>
  <c r="E1897" i="6"/>
  <c r="D1897" i="6"/>
  <c r="C1897" i="6"/>
  <c r="B1897" i="6"/>
  <c r="A1897" i="6"/>
  <c r="G1896" i="6"/>
  <c r="F1896" i="6"/>
  <c r="E1896" i="6"/>
  <c r="D1896" i="6"/>
  <c r="C1896" i="6"/>
  <c r="B1896" i="6"/>
  <c r="A1896" i="6"/>
  <c r="G1895" i="6"/>
  <c r="F1895" i="6"/>
  <c r="E1895" i="6"/>
  <c r="D1895" i="6"/>
  <c r="C1895" i="6"/>
  <c r="B1895" i="6"/>
  <c r="A1895" i="6"/>
  <c r="G1894" i="6"/>
  <c r="F1894" i="6"/>
  <c r="E1894" i="6"/>
  <c r="D1894" i="6"/>
  <c r="C1894" i="6"/>
  <c r="B1894" i="6"/>
  <c r="A1894" i="6"/>
  <c r="G1893" i="6"/>
  <c r="F1893" i="6"/>
  <c r="E1893" i="6"/>
  <c r="D1893" i="6"/>
  <c r="C1893" i="6"/>
  <c r="B1893" i="6"/>
  <c r="A1893" i="6"/>
  <c r="G1892" i="6"/>
  <c r="F1892" i="6"/>
  <c r="E1892" i="6"/>
  <c r="D1892" i="6"/>
  <c r="C1892" i="6"/>
  <c r="B1892" i="6"/>
  <c r="A1892" i="6"/>
  <c r="G1891" i="6"/>
  <c r="F1891" i="6"/>
  <c r="E1891" i="6"/>
  <c r="D1891" i="6"/>
  <c r="C1891" i="6"/>
  <c r="B1891" i="6"/>
  <c r="A1891" i="6"/>
  <c r="G1890" i="6"/>
  <c r="F1890" i="6"/>
  <c r="E1890" i="6"/>
  <c r="D1890" i="6"/>
  <c r="C1890" i="6"/>
  <c r="B1890" i="6"/>
  <c r="A1890" i="6"/>
  <c r="G1889" i="6"/>
  <c r="F1889" i="6"/>
  <c r="E1889" i="6"/>
  <c r="D1889" i="6"/>
  <c r="C1889" i="6"/>
  <c r="B1889" i="6"/>
  <c r="A1889" i="6"/>
  <c r="G1888" i="6"/>
  <c r="F1888" i="6"/>
  <c r="E1888" i="6"/>
  <c r="D1888" i="6"/>
  <c r="C1888" i="6"/>
  <c r="B1888" i="6"/>
  <c r="A1888" i="6"/>
  <c r="G1887" i="6"/>
  <c r="F1887" i="6"/>
  <c r="E1887" i="6"/>
  <c r="D1887" i="6"/>
  <c r="C1887" i="6"/>
  <c r="B1887" i="6"/>
  <c r="A1887" i="6"/>
  <c r="G1886" i="6"/>
  <c r="F1886" i="6"/>
  <c r="E1886" i="6"/>
  <c r="D1886" i="6"/>
  <c r="C1886" i="6"/>
  <c r="B1886" i="6"/>
  <c r="A1886" i="6"/>
  <c r="G1885" i="6"/>
  <c r="F1885" i="6"/>
  <c r="E1885" i="6"/>
  <c r="D1885" i="6"/>
  <c r="C1885" i="6"/>
  <c r="B1885" i="6"/>
  <c r="A1885" i="6"/>
  <c r="G1884" i="6"/>
  <c r="F1884" i="6"/>
  <c r="E1884" i="6"/>
  <c r="D1884" i="6"/>
  <c r="C1884" i="6"/>
  <c r="B1884" i="6"/>
  <c r="A1884" i="6"/>
  <c r="G1883" i="6"/>
  <c r="F1883" i="6"/>
  <c r="E1883" i="6"/>
  <c r="D1883" i="6"/>
  <c r="C1883" i="6"/>
  <c r="B1883" i="6"/>
  <c r="A1883" i="6"/>
  <c r="G1882" i="6"/>
  <c r="F1882" i="6"/>
  <c r="E1882" i="6"/>
  <c r="D1882" i="6"/>
  <c r="C1882" i="6"/>
  <c r="B1882" i="6"/>
  <c r="A1882" i="6"/>
  <c r="G1881" i="6"/>
  <c r="F1881" i="6"/>
  <c r="E1881" i="6"/>
  <c r="D1881" i="6"/>
  <c r="C1881" i="6"/>
  <c r="B1881" i="6"/>
  <c r="A1881" i="6"/>
  <c r="G1880" i="6"/>
  <c r="F1880" i="6"/>
  <c r="E1880" i="6"/>
  <c r="D1880" i="6"/>
  <c r="C1880" i="6"/>
  <c r="B1880" i="6"/>
  <c r="A1880" i="6"/>
  <c r="G1879" i="6"/>
  <c r="F1879" i="6"/>
  <c r="E1879" i="6"/>
  <c r="D1879" i="6"/>
  <c r="C1879" i="6"/>
  <c r="B1879" i="6"/>
  <c r="A1879" i="6"/>
  <c r="G1878" i="6"/>
  <c r="F1878" i="6"/>
  <c r="E1878" i="6"/>
  <c r="D1878" i="6"/>
  <c r="C1878" i="6"/>
  <c r="B1878" i="6"/>
  <c r="A1878" i="6"/>
  <c r="G1877" i="6"/>
  <c r="F1877" i="6"/>
  <c r="E1877" i="6"/>
  <c r="D1877" i="6"/>
  <c r="C1877" i="6"/>
  <c r="B1877" i="6"/>
  <c r="A1877" i="6"/>
  <c r="G1876" i="6"/>
  <c r="F1876" i="6"/>
  <c r="E1876" i="6"/>
  <c r="D1876" i="6"/>
  <c r="C1876" i="6"/>
  <c r="B1876" i="6"/>
  <c r="A1876" i="6"/>
  <c r="G1875" i="6"/>
  <c r="F1875" i="6"/>
  <c r="E1875" i="6"/>
  <c r="D1875" i="6"/>
  <c r="C1875" i="6"/>
  <c r="B1875" i="6"/>
  <c r="A1875" i="6"/>
  <c r="G1874" i="6"/>
  <c r="F1874" i="6"/>
  <c r="E1874" i="6"/>
  <c r="D1874" i="6"/>
  <c r="C1874" i="6"/>
  <c r="B1874" i="6"/>
  <c r="A1874" i="6"/>
  <c r="G1873" i="6"/>
  <c r="F1873" i="6"/>
  <c r="E1873" i="6"/>
  <c r="D1873" i="6"/>
  <c r="C1873" i="6"/>
  <c r="B1873" i="6"/>
  <c r="A1873" i="6"/>
  <c r="G1872" i="6"/>
  <c r="F1872" i="6"/>
  <c r="E1872" i="6"/>
  <c r="D1872" i="6"/>
  <c r="C1872" i="6"/>
  <c r="B1872" i="6"/>
  <c r="A1872" i="6"/>
  <c r="G1871" i="6"/>
  <c r="F1871" i="6"/>
  <c r="E1871" i="6"/>
  <c r="D1871" i="6"/>
  <c r="C1871" i="6"/>
  <c r="B1871" i="6"/>
  <c r="A1871" i="6"/>
  <c r="G1870" i="6"/>
  <c r="F1870" i="6"/>
  <c r="E1870" i="6"/>
  <c r="D1870" i="6"/>
  <c r="C1870" i="6"/>
  <c r="B1870" i="6"/>
  <c r="A1870" i="6"/>
  <c r="G1869" i="6"/>
  <c r="F1869" i="6"/>
  <c r="E1869" i="6"/>
  <c r="D1869" i="6"/>
  <c r="C1869" i="6"/>
  <c r="B1869" i="6"/>
  <c r="A1869" i="6"/>
  <c r="G1868" i="6"/>
  <c r="F1868" i="6"/>
  <c r="E1868" i="6"/>
  <c r="D1868" i="6"/>
  <c r="C1868" i="6"/>
  <c r="B1868" i="6"/>
  <c r="A1868" i="6"/>
  <c r="G1867" i="6"/>
  <c r="F1867" i="6"/>
  <c r="E1867" i="6"/>
  <c r="D1867" i="6"/>
  <c r="C1867" i="6"/>
  <c r="B1867" i="6"/>
  <c r="A1867" i="6"/>
  <c r="G1866" i="6"/>
  <c r="F1866" i="6"/>
  <c r="E1866" i="6"/>
  <c r="D1866" i="6"/>
  <c r="C1866" i="6"/>
  <c r="B1866" i="6"/>
  <c r="A1866" i="6"/>
  <c r="G1865" i="6"/>
  <c r="F1865" i="6"/>
  <c r="E1865" i="6"/>
  <c r="D1865" i="6"/>
  <c r="C1865" i="6"/>
  <c r="B1865" i="6"/>
  <c r="A1865" i="6"/>
  <c r="G1864" i="6"/>
  <c r="F1864" i="6"/>
  <c r="E1864" i="6"/>
  <c r="D1864" i="6"/>
  <c r="C1864" i="6"/>
  <c r="B1864" i="6"/>
  <c r="A1864" i="6"/>
  <c r="G1863" i="6"/>
  <c r="F1863" i="6"/>
  <c r="E1863" i="6"/>
  <c r="D1863" i="6"/>
  <c r="C1863" i="6"/>
  <c r="B1863" i="6"/>
  <c r="A1863" i="6"/>
  <c r="G1862" i="6"/>
  <c r="F1862" i="6"/>
  <c r="E1862" i="6"/>
  <c r="D1862" i="6"/>
  <c r="C1862" i="6"/>
  <c r="B1862" i="6"/>
  <c r="A1862" i="6"/>
  <c r="G1861" i="6"/>
  <c r="F1861" i="6"/>
  <c r="E1861" i="6"/>
  <c r="D1861" i="6"/>
  <c r="C1861" i="6"/>
  <c r="B1861" i="6"/>
  <c r="A1861" i="6"/>
  <c r="G1860" i="6"/>
  <c r="F1860" i="6"/>
  <c r="E1860" i="6"/>
  <c r="D1860" i="6"/>
  <c r="C1860" i="6"/>
  <c r="B1860" i="6"/>
  <c r="A1860" i="6"/>
  <c r="G1859" i="6"/>
  <c r="F1859" i="6"/>
  <c r="E1859" i="6"/>
  <c r="D1859" i="6"/>
  <c r="C1859" i="6"/>
  <c r="B1859" i="6"/>
  <c r="A1859" i="6"/>
  <c r="G1858" i="6"/>
  <c r="F1858" i="6"/>
  <c r="E1858" i="6"/>
  <c r="D1858" i="6"/>
  <c r="C1858" i="6"/>
  <c r="B1858" i="6"/>
  <c r="A1858" i="6"/>
  <c r="G1857" i="6"/>
  <c r="F1857" i="6"/>
  <c r="E1857" i="6"/>
  <c r="D1857" i="6"/>
  <c r="C1857" i="6"/>
  <c r="B1857" i="6"/>
  <c r="A1857" i="6"/>
  <c r="G1856" i="6"/>
  <c r="F1856" i="6"/>
  <c r="E1856" i="6"/>
  <c r="D1856" i="6"/>
  <c r="C1856" i="6"/>
  <c r="B1856" i="6"/>
  <c r="A1856" i="6"/>
  <c r="G1855" i="6"/>
  <c r="F1855" i="6"/>
  <c r="E1855" i="6"/>
  <c r="D1855" i="6"/>
  <c r="C1855" i="6"/>
  <c r="B1855" i="6"/>
  <c r="A1855" i="6"/>
  <c r="G1854" i="6"/>
  <c r="F1854" i="6"/>
  <c r="E1854" i="6"/>
  <c r="D1854" i="6"/>
  <c r="C1854" i="6"/>
  <c r="B1854" i="6"/>
  <c r="A1854" i="6"/>
  <c r="G1853" i="6"/>
  <c r="F1853" i="6"/>
  <c r="E1853" i="6"/>
  <c r="D1853" i="6"/>
  <c r="C1853" i="6"/>
  <c r="B1853" i="6"/>
  <c r="A1853" i="6"/>
  <c r="G1852" i="6"/>
  <c r="F1852" i="6"/>
  <c r="E1852" i="6"/>
  <c r="D1852" i="6"/>
  <c r="C1852" i="6"/>
  <c r="B1852" i="6"/>
  <c r="A1852" i="6"/>
  <c r="G1851" i="6"/>
  <c r="F1851" i="6"/>
  <c r="E1851" i="6"/>
  <c r="D1851" i="6"/>
  <c r="C1851" i="6"/>
  <c r="B1851" i="6"/>
  <c r="A1851" i="6"/>
  <c r="G1850" i="6"/>
  <c r="F1850" i="6"/>
  <c r="E1850" i="6"/>
  <c r="D1850" i="6"/>
  <c r="C1850" i="6"/>
  <c r="B1850" i="6"/>
  <c r="A1850" i="6"/>
  <c r="G1849" i="6"/>
  <c r="F1849" i="6"/>
  <c r="E1849" i="6"/>
  <c r="D1849" i="6"/>
  <c r="C1849" i="6"/>
  <c r="B1849" i="6"/>
  <c r="A1849" i="6"/>
  <c r="G1848" i="6"/>
  <c r="F1848" i="6"/>
  <c r="E1848" i="6"/>
  <c r="D1848" i="6"/>
  <c r="C1848" i="6"/>
  <c r="B1848" i="6"/>
  <c r="A1848" i="6"/>
  <c r="G1847" i="6"/>
  <c r="F1847" i="6"/>
  <c r="E1847" i="6"/>
  <c r="D1847" i="6"/>
  <c r="C1847" i="6"/>
  <c r="B1847" i="6"/>
  <c r="A1847" i="6"/>
  <c r="G1846" i="6"/>
  <c r="F1846" i="6"/>
  <c r="E1846" i="6"/>
  <c r="D1846" i="6"/>
  <c r="C1846" i="6"/>
  <c r="B1846" i="6"/>
  <c r="A1846" i="6"/>
  <c r="G1845" i="6"/>
  <c r="F1845" i="6"/>
  <c r="E1845" i="6"/>
  <c r="D1845" i="6"/>
  <c r="C1845" i="6"/>
  <c r="B1845" i="6"/>
  <c r="A1845" i="6"/>
  <c r="G1844" i="6"/>
  <c r="F1844" i="6"/>
  <c r="E1844" i="6"/>
  <c r="D1844" i="6"/>
  <c r="C1844" i="6"/>
  <c r="B1844" i="6"/>
  <c r="A1844" i="6"/>
  <c r="G1843" i="6"/>
  <c r="F1843" i="6"/>
  <c r="E1843" i="6"/>
  <c r="D1843" i="6"/>
  <c r="C1843" i="6"/>
  <c r="B1843" i="6"/>
  <c r="A1843" i="6"/>
  <c r="G1842" i="6"/>
  <c r="F1842" i="6"/>
  <c r="E1842" i="6"/>
  <c r="D1842" i="6"/>
  <c r="C1842" i="6"/>
  <c r="B1842" i="6"/>
  <c r="A1842" i="6"/>
  <c r="G1841" i="6"/>
  <c r="F1841" i="6"/>
  <c r="E1841" i="6"/>
  <c r="D1841" i="6"/>
  <c r="C1841" i="6"/>
  <c r="B1841" i="6"/>
  <c r="A1841" i="6"/>
  <c r="G1840" i="6"/>
  <c r="F1840" i="6"/>
  <c r="E1840" i="6"/>
  <c r="D1840" i="6"/>
  <c r="C1840" i="6"/>
  <c r="B1840" i="6"/>
  <c r="A1840" i="6"/>
  <c r="G1839" i="6"/>
  <c r="F1839" i="6"/>
  <c r="E1839" i="6"/>
  <c r="D1839" i="6"/>
  <c r="C1839" i="6"/>
  <c r="B1839" i="6"/>
  <c r="A1839" i="6"/>
  <c r="G1838" i="6"/>
  <c r="F1838" i="6"/>
  <c r="E1838" i="6"/>
  <c r="D1838" i="6"/>
  <c r="C1838" i="6"/>
  <c r="B1838" i="6"/>
  <c r="A1838" i="6"/>
  <c r="G1837" i="6"/>
  <c r="F1837" i="6"/>
  <c r="E1837" i="6"/>
  <c r="D1837" i="6"/>
  <c r="C1837" i="6"/>
  <c r="B1837" i="6"/>
  <c r="A1837" i="6"/>
  <c r="G1836" i="6"/>
  <c r="F1836" i="6"/>
  <c r="E1836" i="6"/>
  <c r="D1836" i="6"/>
  <c r="C1836" i="6"/>
  <c r="B1836" i="6"/>
  <c r="A1836" i="6"/>
  <c r="G1835" i="6"/>
  <c r="F1835" i="6"/>
  <c r="E1835" i="6"/>
  <c r="D1835" i="6"/>
  <c r="C1835" i="6"/>
  <c r="B1835" i="6"/>
  <c r="A1835" i="6"/>
  <c r="G1834" i="6"/>
  <c r="F1834" i="6"/>
  <c r="E1834" i="6"/>
  <c r="D1834" i="6"/>
  <c r="C1834" i="6"/>
  <c r="B1834" i="6"/>
  <c r="A1834" i="6"/>
  <c r="G1833" i="6"/>
  <c r="F1833" i="6"/>
  <c r="E1833" i="6"/>
  <c r="D1833" i="6"/>
  <c r="C1833" i="6"/>
  <c r="B1833" i="6"/>
  <c r="A1833" i="6"/>
  <c r="G1832" i="6"/>
  <c r="F1832" i="6"/>
  <c r="E1832" i="6"/>
  <c r="D1832" i="6"/>
  <c r="C1832" i="6"/>
  <c r="B1832" i="6"/>
  <c r="A1832" i="6"/>
  <c r="G1831" i="6"/>
  <c r="F1831" i="6"/>
  <c r="E1831" i="6"/>
  <c r="D1831" i="6"/>
  <c r="C1831" i="6"/>
  <c r="B1831" i="6"/>
  <c r="A1831" i="6"/>
  <c r="G1830" i="6"/>
  <c r="F1830" i="6"/>
  <c r="E1830" i="6"/>
  <c r="D1830" i="6"/>
  <c r="C1830" i="6"/>
  <c r="B1830" i="6"/>
  <c r="A1830" i="6"/>
  <c r="G1829" i="6"/>
  <c r="F1829" i="6"/>
  <c r="E1829" i="6"/>
  <c r="D1829" i="6"/>
  <c r="C1829" i="6"/>
  <c r="B1829" i="6"/>
  <c r="A1829" i="6"/>
  <c r="G1828" i="6"/>
  <c r="F1828" i="6"/>
  <c r="E1828" i="6"/>
  <c r="D1828" i="6"/>
  <c r="C1828" i="6"/>
  <c r="B1828" i="6"/>
  <c r="A1828" i="6"/>
  <c r="G1827" i="6"/>
  <c r="F1827" i="6"/>
  <c r="E1827" i="6"/>
  <c r="D1827" i="6"/>
  <c r="C1827" i="6"/>
  <c r="B1827" i="6"/>
  <c r="A1827" i="6"/>
  <c r="G1826" i="6"/>
  <c r="F1826" i="6"/>
  <c r="E1826" i="6"/>
  <c r="D1826" i="6"/>
  <c r="C1826" i="6"/>
  <c r="B1826" i="6"/>
  <c r="A1826" i="6"/>
  <c r="G1825" i="6"/>
  <c r="F1825" i="6"/>
  <c r="E1825" i="6"/>
  <c r="D1825" i="6"/>
  <c r="C1825" i="6"/>
  <c r="B1825" i="6"/>
  <c r="A1825" i="6"/>
  <c r="G1824" i="6"/>
  <c r="F1824" i="6"/>
  <c r="E1824" i="6"/>
  <c r="D1824" i="6"/>
  <c r="C1824" i="6"/>
  <c r="B1824" i="6"/>
  <c r="A1824" i="6"/>
  <c r="G1823" i="6"/>
  <c r="F1823" i="6"/>
  <c r="E1823" i="6"/>
  <c r="D1823" i="6"/>
  <c r="C1823" i="6"/>
  <c r="B1823" i="6"/>
  <c r="A1823" i="6"/>
  <c r="G1822" i="6"/>
  <c r="F1822" i="6"/>
  <c r="E1822" i="6"/>
  <c r="D1822" i="6"/>
  <c r="C1822" i="6"/>
  <c r="B1822" i="6"/>
  <c r="A1822" i="6"/>
  <c r="G1821" i="6"/>
  <c r="F1821" i="6"/>
  <c r="E1821" i="6"/>
  <c r="D1821" i="6"/>
  <c r="C1821" i="6"/>
  <c r="B1821" i="6"/>
  <c r="A1821" i="6"/>
  <c r="G1820" i="6"/>
  <c r="F1820" i="6"/>
  <c r="E1820" i="6"/>
  <c r="D1820" i="6"/>
  <c r="C1820" i="6"/>
  <c r="B1820" i="6"/>
  <c r="A1820" i="6"/>
  <c r="G1819" i="6"/>
  <c r="F1819" i="6"/>
  <c r="E1819" i="6"/>
  <c r="D1819" i="6"/>
  <c r="C1819" i="6"/>
  <c r="B1819" i="6"/>
  <c r="A1819" i="6"/>
  <c r="G1818" i="6"/>
  <c r="F1818" i="6"/>
  <c r="E1818" i="6"/>
  <c r="D1818" i="6"/>
  <c r="C1818" i="6"/>
  <c r="B1818" i="6"/>
  <c r="A1818" i="6"/>
  <c r="G1817" i="6"/>
  <c r="F1817" i="6"/>
  <c r="E1817" i="6"/>
  <c r="D1817" i="6"/>
  <c r="C1817" i="6"/>
  <c r="B1817" i="6"/>
  <c r="A1817" i="6"/>
  <c r="G1816" i="6"/>
  <c r="F1816" i="6"/>
  <c r="E1816" i="6"/>
  <c r="D1816" i="6"/>
  <c r="C1816" i="6"/>
  <c r="B1816" i="6"/>
  <c r="A1816" i="6"/>
  <c r="G1815" i="6"/>
  <c r="F1815" i="6"/>
  <c r="E1815" i="6"/>
  <c r="D1815" i="6"/>
  <c r="C1815" i="6"/>
  <c r="B1815" i="6"/>
  <c r="A1815" i="6"/>
  <c r="G1814" i="6"/>
  <c r="F1814" i="6"/>
  <c r="E1814" i="6"/>
  <c r="D1814" i="6"/>
  <c r="C1814" i="6"/>
  <c r="B1814" i="6"/>
  <c r="A1814" i="6"/>
  <c r="G1813" i="6"/>
  <c r="F1813" i="6"/>
  <c r="E1813" i="6"/>
  <c r="D1813" i="6"/>
  <c r="C1813" i="6"/>
  <c r="B1813" i="6"/>
  <c r="A1813" i="6"/>
  <c r="G1812" i="6"/>
  <c r="F1812" i="6"/>
  <c r="E1812" i="6"/>
  <c r="D1812" i="6"/>
  <c r="C1812" i="6"/>
  <c r="B1812" i="6"/>
  <c r="A1812" i="6"/>
  <c r="G1811" i="6"/>
  <c r="F1811" i="6"/>
  <c r="E1811" i="6"/>
  <c r="D1811" i="6"/>
  <c r="C1811" i="6"/>
  <c r="B1811" i="6"/>
  <c r="A1811" i="6"/>
  <c r="G1810" i="6"/>
  <c r="F1810" i="6"/>
  <c r="E1810" i="6"/>
  <c r="D1810" i="6"/>
  <c r="C1810" i="6"/>
  <c r="B1810" i="6"/>
  <c r="A1810" i="6"/>
  <c r="G1809" i="6"/>
  <c r="F1809" i="6"/>
  <c r="E1809" i="6"/>
  <c r="D1809" i="6"/>
  <c r="C1809" i="6"/>
  <c r="B1809" i="6"/>
  <c r="A1809" i="6"/>
  <c r="G1808" i="6"/>
  <c r="F1808" i="6"/>
  <c r="E1808" i="6"/>
  <c r="D1808" i="6"/>
  <c r="C1808" i="6"/>
  <c r="B1808" i="6"/>
  <c r="A1808" i="6"/>
  <c r="G1807" i="6"/>
  <c r="F1807" i="6"/>
  <c r="E1807" i="6"/>
  <c r="D1807" i="6"/>
  <c r="C1807" i="6"/>
  <c r="B1807" i="6"/>
  <c r="A1807" i="6"/>
  <c r="G1806" i="6"/>
  <c r="F1806" i="6"/>
  <c r="E1806" i="6"/>
  <c r="D1806" i="6"/>
  <c r="C1806" i="6"/>
  <c r="B1806" i="6"/>
  <c r="A1806" i="6"/>
  <c r="G1805" i="6"/>
  <c r="F1805" i="6"/>
  <c r="E1805" i="6"/>
  <c r="D1805" i="6"/>
  <c r="C1805" i="6"/>
  <c r="B1805" i="6"/>
  <c r="A1805" i="6"/>
  <c r="G1804" i="6"/>
  <c r="F1804" i="6"/>
  <c r="E1804" i="6"/>
  <c r="D1804" i="6"/>
  <c r="C1804" i="6"/>
  <c r="B1804" i="6"/>
  <c r="A1804" i="6"/>
  <c r="G1803" i="6"/>
  <c r="F1803" i="6"/>
  <c r="E1803" i="6"/>
  <c r="D1803" i="6"/>
  <c r="C1803" i="6"/>
  <c r="B1803" i="6"/>
  <c r="A1803" i="6"/>
  <c r="G1802" i="6"/>
  <c r="F1802" i="6"/>
  <c r="E1802" i="6"/>
  <c r="D1802" i="6"/>
  <c r="C1802" i="6"/>
  <c r="B1802" i="6"/>
  <c r="A1802" i="6"/>
  <c r="G1801" i="6"/>
  <c r="F1801" i="6"/>
  <c r="E1801" i="6"/>
  <c r="D1801" i="6"/>
  <c r="C1801" i="6"/>
  <c r="B1801" i="6"/>
  <c r="A1801" i="6"/>
  <c r="G1800" i="6"/>
  <c r="F1800" i="6"/>
  <c r="E1800" i="6"/>
  <c r="D1800" i="6"/>
  <c r="C1800" i="6"/>
  <c r="B1800" i="6"/>
  <c r="A1800" i="6"/>
  <c r="G1799" i="6"/>
  <c r="F1799" i="6"/>
  <c r="E1799" i="6"/>
  <c r="D1799" i="6"/>
  <c r="C1799" i="6"/>
  <c r="B1799" i="6"/>
  <c r="A1799" i="6"/>
  <c r="G1798" i="6"/>
  <c r="F1798" i="6"/>
  <c r="E1798" i="6"/>
  <c r="D1798" i="6"/>
  <c r="C1798" i="6"/>
  <c r="B1798" i="6"/>
  <c r="A1798" i="6"/>
  <c r="G1797" i="6"/>
  <c r="F1797" i="6"/>
  <c r="E1797" i="6"/>
  <c r="D1797" i="6"/>
  <c r="C1797" i="6"/>
  <c r="B1797" i="6"/>
  <c r="A1797" i="6"/>
  <c r="G1796" i="6"/>
  <c r="F1796" i="6"/>
  <c r="E1796" i="6"/>
  <c r="D1796" i="6"/>
  <c r="C1796" i="6"/>
  <c r="B1796" i="6"/>
  <c r="A1796" i="6"/>
  <c r="G1795" i="6"/>
  <c r="F1795" i="6"/>
  <c r="E1795" i="6"/>
  <c r="D1795" i="6"/>
  <c r="C1795" i="6"/>
  <c r="B1795" i="6"/>
  <c r="A1795" i="6"/>
  <c r="G1794" i="6"/>
  <c r="F1794" i="6"/>
  <c r="E1794" i="6"/>
  <c r="D1794" i="6"/>
  <c r="C1794" i="6"/>
  <c r="B1794" i="6"/>
  <c r="A1794" i="6"/>
  <c r="G1793" i="6"/>
  <c r="F1793" i="6"/>
  <c r="E1793" i="6"/>
  <c r="D1793" i="6"/>
  <c r="C1793" i="6"/>
  <c r="B1793" i="6"/>
  <c r="A1793" i="6"/>
  <c r="G1792" i="6"/>
  <c r="F1792" i="6"/>
  <c r="E1792" i="6"/>
  <c r="D1792" i="6"/>
  <c r="C1792" i="6"/>
  <c r="B1792" i="6"/>
  <c r="A1792" i="6"/>
  <c r="G1791" i="6"/>
  <c r="F1791" i="6"/>
  <c r="E1791" i="6"/>
  <c r="D1791" i="6"/>
  <c r="C1791" i="6"/>
  <c r="B1791" i="6"/>
  <c r="A1791" i="6"/>
  <c r="G1790" i="6"/>
  <c r="F1790" i="6"/>
  <c r="E1790" i="6"/>
  <c r="D1790" i="6"/>
  <c r="C1790" i="6"/>
  <c r="B1790" i="6"/>
  <c r="A1790" i="6"/>
  <c r="G1789" i="6"/>
  <c r="F1789" i="6"/>
  <c r="E1789" i="6"/>
  <c r="D1789" i="6"/>
  <c r="C1789" i="6"/>
  <c r="B1789" i="6"/>
  <c r="A1789" i="6"/>
  <c r="G1788" i="6"/>
  <c r="F1788" i="6"/>
  <c r="E1788" i="6"/>
  <c r="D1788" i="6"/>
  <c r="C1788" i="6"/>
  <c r="B1788" i="6"/>
  <c r="A1788" i="6"/>
  <c r="G1787" i="6"/>
  <c r="F1787" i="6"/>
  <c r="E1787" i="6"/>
  <c r="D1787" i="6"/>
  <c r="C1787" i="6"/>
  <c r="B1787" i="6"/>
  <c r="A1787" i="6"/>
  <c r="G1786" i="6"/>
  <c r="F1786" i="6"/>
  <c r="E1786" i="6"/>
  <c r="D1786" i="6"/>
  <c r="C1786" i="6"/>
  <c r="B1786" i="6"/>
  <c r="A1786" i="6"/>
  <c r="G1785" i="6"/>
  <c r="F1785" i="6"/>
  <c r="E1785" i="6"/>
  <c r="D1785" i="6"/>
  <c r="C1785" i="6"/>
  <c r="B1785" i="6"/>
  <c r="A1785" i="6"/>
  <c r="G1784" i="6"/>
  <c r="F1784" i="6"/>
  <c r="E1784" i="6"/>
  <c r="D1784" i="6"/>
  <c r="C1784" i="6"/>
  <c r="B1784" i="6"/>
  <c r="A1784" i="6"/>
  <c r="G1783" i="6"/>
  <c r="F1783" i="6"/>
  <c r="E1783" i="6"/>
  <c r="D1783" i="6"/>
  <c r="C1783" i="6"/>
  <c r="B1783" i="6"/>
  <c r="A1783" i="6"/>
  <c r="G1782" i="6"/>
  <c r="F1782" i="6"/>
  <c r="E1782" i="6"/>
  <c r="D1782" i="6"/>
  <c r="C1782" i="6"/>
  <c r="B1782" i="6"/>
  <c r="A1782" i="6"/>
  <c r="G1781" i="6"/>
  <c r="F1781" i="6"/>
  <c r="E1781" i="6"/>
  <c r="D1781" i="6"/>
  <c r="C1781" i="6"/>
  <c r="B1781" i="6"/>
  <c r="A1781" i="6"/>
  <c r="G1780" i="6"/>
  <c r="F1780" i="6"/>
  <c r="E1780" i="6"/>
  <c r="D1780" i="6"/>
  <c r="C1780" i="6"/>
  <c r="B1780" i="6"/>
  <c r="A1780" i="6"/>
  <c r="G1779" i="6"/>
  <c r="F1779" i="6"/>
  <c r="E1779" i="6"/>
  <c r="D1779" i="6"/>
  <c r="C1779" i="6"/>
  <c r="B1779" i="6"/>
  <c r="A1779" i="6"/>
  <c r="G1778" i="6"/>
  <c r="F1778" i="6"/>
  <c r="E1778" i="6"/>
  <c r="D1778" i="6"/>
  <c r="C1778" i="6"/>
  <c r="B1778" i="6"/>
  <c r="A1778" i="6"/>
  <c r="G1777" i="6"/>
  <c r="F1777" i="6"/>
  <c r="E1777" i="6"/>
  <c r="D1777" i="6"/>
  <c r="C1777" i="6"/>
  <c r="B1777" i="6"/>
  <c r="A1777" i="6"/>
  <c r="G1776" i="6"/>
  <c r="F1776" i="6"/>
  <c r="E1776" i="6"/>
  <c r="D1776" i="6"/>
  <c r="C1776" i="6"/>
  <c r="B1776" i="6"/>
  <c r="A1776" i="6"/>
  <c r="G1775" i="6"/>
  <c r="F1775" i="6"/>
  <c r="E1775" i="6"/>
  <c r="D1775" i="6"/>
  <c r="C1775" i="6"/>
  <c r="B1775" i="6"/>
  <c r="A1775" i="6"/>
  <c r="G1774" i="6"/>
  <c r="F1774" i="6"/>
  <c r="E1774" i="6"/>
  <c r="D1774" i="6"/>
  <c r="C1774" i="6"/>
  <c r="B1774" i="6"/>
  <c r="A1774" i="6"/>
  <c r="G1773" i="6"/>
  <c r="F1773" i="6"/>
  <c r="E1773" i="6"/>
  <c r="D1773" i="6"/>
  <c r="C1773" i="6"/>
  <c r="B1773" i="6"/>
  <c r="A1773" i="6"/>
  <c r="G1772" i="6"/>
  <c r="F1772" i="6"/>
  <c r="E1772" i="6"/>
  <c r="D1772" i="6"/>
  <c r="C1772" i="6"/>
  <c r="B1772" i="6"/>
  <c r="A1772" i="6"/>
  <c r="G1771" i="6"/>
  <c r="F1771" i="6"/>
  <c r="E1771" i="6"/>
  <c r="D1771" i="6"/>
  <c r="C1771" i="6"/>
  <c r="B1771" i="6"/>
  <c r="A1771" i="6"/>
  <c r="G1770" i="6"/>
  <c r="F1770" i="6"/>
  <c r="E1770" i="6"/>
  <c r="D1770" i="6"/>
  <c r="C1770" i="6"/>
  <c r="B1770" i="6"/>
  <c r="A1770" i="6"/>
  <c r="G1769" i="6"/>
  <c r="F1769" i="6"/>
  <c r="E1769" i="6"/>
  <c r="D1769" i="6"/>
  <c r="C1769" i="6"/>
  <c r="B1769" i="6"/>
  <c r="A1769" i="6"/>
  <c r="G1768" i="6"/>
  <c r="F1768" i="6"/>
  <c r="E1768" i="6"/>
  <c r="D1768" i="6"/>
  <c r="C1768" i="6"/>
  <c r="B1768" i="6"/>
  <c r="A1768" i="6"/>
  <c r="G1767" i="6"/>
  <c r="F1767" i="6"/>
  <c r="E1767" i="6"/>
  <c r="D1767" i="6"/>
  <c r="C1767" i="6"/>
  <c r="B1767" i="6"/>
  <c r="A1767" i="6"/>
  <c r="G1766" i="6"/>
  <c r="F1766" i="6"/>
  <c r="E1766" i="6"/>
  <c r="D1766" i="6"/>
  <c r="C1766" i="6"/>
  <c r="B1766" i="6"/>
  <c r="A1766" i="6"/>
  <c r="G1765" i="6"/>
  <c r="F1765" i="6"/>
  <c r="E1765" i="6"/>
  <c r="D1765" i="6"/>
  <c r="C1765" i="6"/>
  <c r="B1765" i="6"/>
  <c r="A1765" i="6"/>
  <c r="G1764" i="6"/>
  <c r="F1764" i="6"/>
  <c r="E1764" i="6"/>
  <c r="D1764" i="6"/>
  <c r="C1764" i="6"/>
  <c r="B1764" i="6"/>
  <c r="A1764" i="6"/>
  <c r="G1763" i="6"/>
  <c r="F1763" i="6"/>
  <c r="E1763" i="6"/>
  <c r="D1763" i="6"/>
  <c r="C1763" i="6"/>
  <c r="B1763" i="6"/>
  <c r="A1763" i="6"/>
  <c r="G1762" i="6"/>
  <c r="F1762" i="6"/>
  <c r="E1762" i="6"/>
  <c r="D1762" i="6"/>
  <c r="C1762" i="6"/>
  <c r="B1762" i="6"/>
  <c r="A1762" i="6"/>
  <c r="G1761" i="6"/>
  <c r="F1761" i="6"/>
  <c r="E1761" i="6"/>
  <c r="D1761" i="6"/>
  <c r="C1761" i="6"/>
  <c r="B1761" i="6"/>
  <c r="A1761" i="6"/>
  <c r="G1760" i="6"/>
  <c r="F1760" i="6"/>
  <c r="E1760" i="6"/>
  <c r="D1760" i="6"/>
  <c r="C1760" i="6"/>
  <c r="B1760" i="6"/>
  <c r="A1760" i="6"/>
  <c r="G1759" i="6"/>
  <c r="F1759" i="6"/>
  <c r="E1759" i="6"/>
  <c r="D1759" i="6"/>
  <c r="C1759" i="6"/>
  <c r="B1759" i="6"/>
  <c r="A1759" i="6"/>
  <c r="G1758" i="6"/>
  <c r="F1758" i="6"/>
  <c r="E1758" i="6"/>
  <c r="D1758" i="6"/>
  <c r="C1758" i="6"/>
  <c r="B1758" i="6"/>
  <c r="A1758" i="6"/>
  <c r="G1757" i="6"/>
  <c r="F1757" i="6"/>
  <c r="E1757" i="6"/>
  <c r="D1757" i="6"/>
  <c r="C1757" i="6"/>
  <c r="B1757" i="6"/>
  <c r="A1757" i="6"/>
  <c r="G1756" i="6"/>
  <c r="F1756" i="6"/>
  <c r="E1756" i="6"/>
  <c r="D1756" i="6"/>
  <c r="C1756" i="6"/>
  <c r="B1756" i="6"/>
  <c r="A1756" i="6"/>
  <c r="G1755" i="6"/>
  <c r="F1755" i="6"/>
  <c r="E1755" i="6"/>
  <c r="D1755" i="6"/>
  <c r="C1755" i="6"/>
  <c r="B1755" i="6"/>
  <c r="A1755" i="6"/>
  <c r="G1754" i="6"/>
  <c r="F1754" i="6"/>
  <c r="E1754" i="6"/>
  <c r="D1754" i="6"/>
  <c r="C1754" i="6"/>
  <c r="B1754" i="6"/>
  <c r="A1754" i="6"/>
  <c r="G1753" i="6"/>
  <c r="F1753" i="6"/>
  <c r="E1753" i="6"/>
  <c r="D1753" i="6"/>
  <c r="C1753" i="6"/>
  <c r="B1753" i="6"/>
  <c r="A1753" i="6"/>
  <c r="G1752" i="6"/>
  <c r="F1752" i="6"/>
  <c r="E1752" i="6"/>
  <c r="D1752" i="6"/>
  <c r="C1752" i="6"/>
  <c r="B1752" i="6"/>
  <c r="A1752" i="6"/>
  <c r="G1751" i="6"/>
  <c r="F1751" i="6"/>
  <c r="E1751" i="6"/>
  <c r="D1751" i="6"/>
  <c r="C1751" i="6"/>
  <c r="B1751" i="6"/>
  <c r="A1751" i="6"/>
  <c r="G1750" i="6"/>
  <c r="F1750" i="6"/>
  <c r="E1750" i="6"/>
  <c r="D1750" i="6"/>
  <c r="C1750" i="6"/>
  <c r="B1750" i="6"/>
  <c r="A1750" i="6"/>
  <c r="G1749" i="6"/>
  <c r="F1749" i="6"/>
  <c r="E1749" i="6"/>
  <c r="D1749" i="6"/>
  <c r="C1749" i="6"/>
  <c r="B1749" i="6"/>
  <c r="A1749" i="6"/>
  <c r="G1748" i="6"/>
  <c r="F1748" i="6"/>
  <c r="E1748" i="6"/>
  <c r="D1748" i="6"/>
  <c r="C1748" i="6"/>
  <c r="B1748" i="6"/>
  <c r="A1748" i="6"/>
  <c r="G1747" i="6"/>
  <c r="F1747" i="6"/>
  <c r="E1747" i="6"/>
  <c r="D1747" i="6"/>
  <c r="C1747" i="6"/>
  <c r="B1747" i="6"/>
  <c r="A1747" i="6"/>
  <c r="G1746" i="6"/>
  <c r="F1746" i="6"/>
  <c r="E1746" i="6"/>
  <c r="D1746" i="6"/>
  <c r="C1746" i="6"/>
  <c r="B1746" i="6"/>
  <c r="A1746" i="6"/>
  <c r="G1745" i="6"/>
  <c r="F1745" i="6"/>
  <c r="E1745" i="6"/>
  <c r="D1745" i="6"/>
  <c r="C1745" i="6"/>
  <c r="B1745" i="6"/>
  <c r="A1745" i="6"/>
  <c r="G1744" i="6"/>
  <c r="F1744" i="6"/>
  <c r="E1744" i="6"/>
  <c r="D1744" i="6"/>
  <c r="C1744" i="6"/>
  <c r="B1744" i="6"/>
  <c r="A1744" i="6"/>
  <c r="G1743" i="6"/>
  <c r="F1743" i="6"/>
  <c r="E1743" i="6"/>
  <c r="D1743" i="6"/>
  <c r="C1743" i="6"/>
  <c r="B1743" i="6"/>
  <c r="A1743" i="6"/>
  <c r="G1742" i="6"/>
  <c r="F1742" i="6"/>
  <c r="E1742" i="6"/>
  <c r="D1742" i="6"/>
  <c r="C1742" i="6"/>
  <c r="B1742" i="6"/>
  <c r="A1742" i="6"/>
  <c r="G1741" i="6"/>
  <c r="F1741" i="6"/>
  <c r="E1741" i="6"/>
  <c r="D1741" i="6"/>
  <c r="C1741" i="6"/>
  <c r="B1741" i="6"/>
  <c r="A1741" i="6"/>
  <c r="G1740" i="6"/>
  <c r="F1740" i="6"/>
  <c r="E1740" i="6"/>
  <c r="D1740" i="6"/>
  <c r="C1740" i="6"/>
  <c r="B1740" i="6"/>
  <c r="A1740" i="6"/>
  <c r="G1739" i="6"/>
  <c r="F1739" i="6"/>
  <c r="E1739" i="6"/>
  <c r="D1739" i="6"/>
  <c r="C1739" i="6"/>
  <c r="B1739" i="6"/>
  <c r="A1739" i="6"/>
  <c r="G1738" i="6"/>
  <c r="F1738" i="6"/>
  <c r="E1738" i="6"/>
  <c r="D1738" i="6"/>
  <c r="C1738" i="6"/>
  <c r="B1738" i="6"/>
  <c r="A1738" i="6"/>
  <c r="G1737" i="6"/>
  <c r="F1737" i="6"/>
  <c r="E1737" i="6"/>
  <c r="D1737" i="6"/>
  <c r="C1737" i="6"/>
  <c r="B1737" i="6"/>
  <c r="A1737" i="6"/>
  <c r="G1736" i="6"/>
  <c r="F1736" i="6"/>
  <c r="E1736" i="6"/>
  <c r="D1736" i="6"/>
  <c r="C1736" i="6"/>
  <c r="B1736" i="6"/>
  <c r="A1736" i="6"/>
  <c r="G1735" i="6"/>
  <c r="F1735" i="6"/>
  <c r="E1735" i="6"/>
  <c r="D1735" i="6"/>
  <c r="C1735" i="6"/>
  <c r="B1735" i="6"/>
  <c r="A1735" i="6"/>
  <c r="G1734" i="6"/>
  <c r="F1734" i="6"/>
  <c r="E1734" i="6"/>
  <c r="D1734" i="6"/>
  <c r="C1734" i="6"/>
  <c r="B1734" i="6"/>
  <c r="A1734" i="6"/>
  <c r="G1733" i="6"/>
  <c r="F1733" i="6"/>
  <c r="E1733" i="6"/>
  <c r="D1733" i="6"/>
  <c r="C1733" i="6"/>
  <c r="B1733" i="6"/>
  <c r="A1733" i="6"/>
  <c r="G1732" i="6"/>
  <c r="F1732" i="6"/>
  <c r="E1732" i="6"/>
  <c r="D1732" i="6"/>
  <c r="C1732" i="6"/>
  <c r="B1732" i="6"/>
  <c r="A1732" i="6"/>
  <c r="G1731" i="6"/>
  <c r="F1731" i="6"/>
  <c r="E1731" i="6"/>
  <c r="D1731" i="6"/>
  <c r="C1731" i="6"/>
  <c r="B1731" i="6"/>
  <c r="A1731" i="6"/>
  <c r="G1730" i="6"/>
  <c r="F1730" i="6"/>
  <c r="E1730" i="6"/>
  <c r="D1730" i="6"/>
  <c r="C1730" i="6"/>
  <c r="B1730" i="6"/>
  <c r="A1730" i="6"/>
  <c r="G1729" i="6"/>
  <c r="F1729" i="6"/>
  <c r="E1729" i="6"/>
  <c r="D1729" i="6"/>
  <c r="C1729" i="6"/>
  <c r="B1729" i="6"/>
  <c r="A1729" i="6"/>
  <c r="G1728" i="6"/>
  <c r="F1728" i="6"/>
  <c r="E1728" i="6"/>
  <c r="D1728" i="6"/>
  <c r="C1728" i="6"/>
  <c r="B1728" i="6"/>
  <c r="A1728" i="6"/>
  <c r="G1727" i="6"/>
  <c r="F1727" i="6"/>
  <c r="E1727" i="6"/>
  <c r="D1727" i="6"/>
  <c r="C1727" i="6"/>
  <c r="B1727" i="6"/>
  <c r="A1727" i="6"/>
  <c r="G1726" i="6"/>
  <c r="F1726" i="6"/>
  <c r="E1726" i="6"/>
  <c r="D1726" i="6"/>
  <c r="C1726" i="6"/>
  <c r="B1726" i="6"/>
  <c r="A1726" i="6"/>
  <c r="G1725" i="6"/>
  <c r="F1725" i="6"/>
  <c r="E1725" i="6"/>
  <c r="D1725" i="6"/>
  <c r="C1725" i="6"/>
  <c r="B1725" i="6"/>
  <c r="A1725" i="6"/>
  <c r="G1724" i="6"/>
  <c r="F1724" i="6"/>
  <c r="E1724" i="6"/>
  <c r="D1724" i="6"/>
  <c r="C1724" i="6"/>
  <c r="B1724" i="6"/>
  <c r="A1724" i="6"/>
  <c r="G1723" i="6"/>
  <c r="F1723" i="6"/>
  <c r="E1723" i="6"/>
  <c r="D1723" i="6"/>
  <c r="C1723" i="6"/>
  <c r="B1723" i="6"/>
  <c r="A1723" i="6"/>
  <c r="G1722" i="6"/>
  <c r="F1722" i="6"/>
  <c r="E1722" i="6"/>
  <c r="D1722" i="6"/>
  <c r="C1722" i="6"/>
  <c r="B1722" i="6"/>
  <c r="A1722" i="6"/>
  <c r="G1721" i="6"/>
  <c r="F1721" i="6"/>
  <c r="E1721" i="6"/>
  <c r="D1721" i="6"/>
  <c r="C1721" i="6"/>
  <c r="B1721" i="6"/>
  <c r="A1721" i="6"/>
  <c r="G1720" i="6"/>
  <c r="F1720" i="6"/>
  <c r="E1720" i="6"/>
  <c r="D1720" i="6"/>
  <c r="C1720" i="6"/>
  <c r="B1720" i="6"/>
  <c r="A1720" i="6"/>
  <c r="G1719" i="6"/>
  <c r="F1719" i="6"/>
  <c r="E1719" i="6"/>
  <c r="D1719" i="6"/>
  <c r="C1719" i="6"/>
  <c r="B1719" i="6"/>
  <c r="A1719" i="6"/>
  <c r="G1718" i="6"/>
  <c r="F1718" i="6"/>
  <c r="E1718" i="6"/>
  <c r="D1718" i="6"/>
  <c r="C1718" i="6"/>
  <c r="B1718" i="6"/>
  <c r="A1718" i="6"/>
  <c r="G1717" i="6"/>
  <c r="F1717" i="6"/>
  <c r="E1717" i="6"/>
  <c r="D1717" i="6"/>
  <c r="C1717" i="6"/>
  <c r="B1717" i="6"/>
  <c r="A1717" i="6"/>
  <c r="G1716" i="6"/>
  <c r="F1716" i="6"/>
  <c r="E1716" i="6"/>
  <c r="D1716" i="6"/>
  <c r="C1716" i="6"/>
  <c r="B1716" i="6"/>
  <c r="A1716" i="6"/>
  <c r="G1715" i="6"/>
  <c r="F1715" i="6"/>
  <c r="E1715" i="6"/>
  <c r="D1715" i="6"/>
  <c r="C1715" i="6"/>
  <c r="B1715" i="6"/>
  <c r="A1715" i="6"/>
  <c r="G1714" i="6"/>
  <c r="F1714" i="6"/>
  <c r="E1714" i="6"/>
  <c r="D1714" i="6"/>
  <c r="C1714" i="6"/>
  <c r="B1714" i="6"/>
  <c r="A1714" i="6"/>
  <c r="G1713" i="6"/>
  <c r="F1713" i="6"/>
  <c r="E1713" i="6"/>
  <c r="D1713" i="6"/>
  <c r="C1713" i="6"/>
  <c r="B1713" i="6"/>
  <c r="A1713" i="6"/>
  <c r="G1712" i="6"/>
  <c r="F1712" i="6"/>
  <c r="E1712" i="6"/>
  <c r="D1712" i="6"/>
  <c r="C1712" i="6"/>
  <c r="B1712" i="6"/>
  <c r="A1712" i="6"/>
  <c r="G1711" i="6"/>
  <c r="F1711" i="6"/>
  <c r="E1711" i="6"/>
  <c r="D1711" i="6"/>
  <c r="C1711" i="6"/>
  <c r="B1711" i="6"/>
  <c r="A1711" i="6"/>
  <c r="G1710" i="6"/>
  <c r="F1710" i="6"/>
  <c r="E1710" i="6"/>
  <c r="D1710" i="6"/>
  <c r="C1710" i="6"/>
  <c r="B1710" i="6"/>
  <c r="A1710" i="6"/>
  <c r="G1709" i="6"/>
  <c r="F1709" i="6"/>
  <c r="E1709" i="6"/>
  <c r="D1709" i="6"/>
  <c r="C1709" i="6"/>
  <c r="B1709" i="6"/>
  <c r="A1709" i="6"/>
  <c r="G1708" i="6"/>
  <c r="F1708" i="6"/>
  <c r="E1708" i="6"/>
  <c r="D1708" i="6"/>
  <c r="C1708" i="6"/>
  <c r="B1708" i="6"/>
  <c r="A1708" i="6"/>
  <c r="G1707" i="6"/>
  <c r="F1707" i="6"/>
  <c r="E1707" i="6"/>
  <c r="D1707" i="6"/>
  <c r="C1707" i="6"/>
  <c r="B1707" i="6"/>
  <c r="A1707" i="6"/>
  <c r="G1706" i="6"/>
  <c r="F1706" i="6"/>
  <c r="E1706" i="6"/>
  <c r="D1706" i="6"/>
  <c r="C1706" i="6"/>
  <c r="B1706" i="6"/>
  <c r="A1706" i="6"/>
  <c r="G1705" i="6"/>
  <c r="F1705" i="6"/>
  <c r="E1705" i="6"/>
  <c r="D1705" i="6"/>
  <c r="C1705" i="6"/>
  <c r="B1705" i="6"/>
  <c r="A1705" i="6"/>
  <c r="G1704" i="6"/>
  <c r="F1704" i="6"/>
  <c r="E1704" i="6"/>
  <c r="D1704" i="6"/>
  <c r="C1704" i="6"/>
  <c r="B1704" i="6"/>
  <c r="A1704" i="6"/>
  <c r="G1703" i="6"/>
  <c r="F1703" i="6"/>
  <c r="E1703" i="6"/>
  <c r="D1703" i="6"/>
  <c r="C1703" i="6"/>
  <c r="B1703" i="6"/>
  <c r="A1703" i="6"/>
  <c r="G1702" i="6"/>
  <c r="F1702" i="6"/>
  <c r="E1702" i="6"/>
  <c r="D1702" i="6"/>
  <c r="C1702" i="6"/>
  <c r="B1702" i="6"/>
  <c r="A1702" i="6"/>
  <c r="G1701" i="6"/>
  <c r="F1701" i="6"/>
  <c r="E1701" i="6"/>
  <c r="D1701" i="6"/>
  <c r="C1701" i="6"/>
  <c r="B1701" i="6"/>
  <c r="A1701" i="6"/>
  <c r="G1700" i="6"/>
  <c r="F1700" i="6"/>
  <c r="E1700" i="6"/>
  <c r="D1700" i="6"/>
  <c r="C1700" i="6"/>
  <c r="B1700" i="6"/>
  <c r="A1700" i="6"/>
  <c r="G1699" i="6"/>
  <c r="F1699" i="6"/>
  <c r="E1699" i="6"/>
  <c r="D1699" i="6"/>
  <c r="C1699" i="6"/>
  <c r="B1699" i="6"/>
  <c r="A1699" i="6"/>
  <c r="G1698" i="6"/>
  <c r="F1698" i="6"/>
  <c r="E1698" i="6"/>
  <c r="D1698" i="6"/>
  <c r="C1698" i="6"/>
  <c r="B1698" i="6"/>
  <c r="A1698" i="6"/>
  <c r="G1697" i="6"/>
  <c r="F1697" i="6"/>
  <c r="E1697" i="6"/>
  <c r="D1697" i="6"/>
  <c r="C1697" i="6"/>
  <c r="B1697" i="6"/>
  <c r="A1697" i="6"/>
  <c r="G1696" i="6"/>
  <c r="F1696" i="6"/>
  <c r="E1696" i="6"/>
  <c r="D1696" i="6"/>
  <c r="C1696" i="6"/>
  <c r="B1696" i="6"/>
  <c r="A1696" i="6"/>
  <c r="G1695" i="6"/>
  <c r="F1695" i="6"/>
  <c r="E1695" i="6"/>
  <c r="D1695" i="6"/>
  <c r="C1695" i="6"/>
  <c r="B1695" i="6"/>
  <c r="A1695" i="6"/>
  <c r="G1694" i="6"/>
  <c r="F1694" i="6"/>
  <c r="E1694" i="6"/>
  <c r="D1694" i="6"/>
  <c r="C1694" i="6"/>
  <c r="B1694" i="6"/>
  <c r="A1694" i="6"/>
  <c r="G1693" i="6"/>
  <c r="F1693" i="6"/>
  <c r="E1693" i="6"/>
  <c r="D1693" i="6"/>
  <c r="C1693" i="6"/>
  <c r="B1693" i="6"/>
  <c r="A1693" i="6"/>
  <c r="G1692" i="6"/>
  <c r="F1692" i="6"/>
  <c r="E1692" i="6"/>
  <c r="D1692" i="6"/>
  <c r="C1692" i="6"/>
  <c r="B1692" i="6"/>
  <c r="A1692" i="6"/>
  <c r="G1691" i="6"/>
  <c r="F1691" i="6"/>
  <c r="E1691" i="6"/>
  <c r="D1691" i="6"/>
  <c r="C1691" i="6"/>
  <c r="B1691" i="6"/>
  <c r="A1691" i="6"/>
  <c r="G1690" i="6"/>
  <c r="F1690" i="6"/>
  <c r="E1690" i="6"/>
  <c r="D1690" i="6"/>
  <c r="C1690" i="6"/>
  <c r="B1690" i="6"/>
  <c r="A1690" i="6"/>
  <c r="G1689" i="6"/>
  <c r="F1689" i="6"/>
  <c r="E1689" i="6"/>
  <c r="D1689" i="6"/>
  <c r="C1689" i="6"/>
  <c r="B1689" i="6"/>
  <c r="A1689" i="6"/>
  <c r="G1688" i="6"/>
  <c r="F1688" i="6"/>
  <c r="E1688" i="6"/>
  <c r="D1688" i="6"/>
  <c r="C1688" i="6"/>
  <c r="B1688" i="6"/>
  <c r="A1688" i="6"/>
  <c r="G1687" i="6"/>
  <c r="F1687" i="6"/>
  <c r="E1687" i="6"/>
  <c r="D1687" i="6"/>
  <c r="C1687" i="6"/>
  <c r="B1687" i="6"/>
  <c r="A1687" i="6"/>
  <c r="G1686" i="6"/>
  <c r="F1686" i="6"/>
  <c r="E1686" i="6"/>
  <c r="D1686" i="6"/>
  <c r="C1686" i="6"/>
  <c r="B1686" i="6"/>
  <c r="A1686" i="6"/>
  <c r="G1685" i="6"/>
  <c r="F1685" i="6"/>
  <c r="E1685" i="6"/>
  <c r="D1685" i="6"/>
  <c r="C1685" i="6"/>
  <c r="B1685" i="6"/>
  <c r="A1685" i="6"/>
  <c r="G1684" i="6"/>
  <c r="F1684" i="6"/>
  <c r="E1684" i="6"/>
  <c r="D1684" i="6"/>
  <c r="C1684" i="6"/>
  <c r="B1684" i="6"/>
  <c r="A1684" i="6"/>
  <c r="G1683" i="6"/>
  <c r="F1683" i="6"/>
  <c r="E1683" i="6"/>
  <c r="D1683" i="6"/>
  <c r="C1683" i="6"/>
  <c r="B1683" i="6"/>
  <c r="A1683" i="6"/>
  <c r="G1682" i="6"/>
  <c r="F1682" i="6"/>
  <c r="E1682" i="6"/>
  <c r="D1682" i="6"/>
  <c r="C1682" i="6"/>
  <c r="B1682" i="6"/>
  <c r="A1682" i="6"/>
  <c r="G1681" i="6"/>
  <c r="F1681" i="6"/>
  <c r="E1681" i="6"/>
  <c r="D1681" i="6"/>
  <c r="C1681" i="6"/>
  <c r="B1681" i="6"/>
  <c r="A1681" i="6"/>
  <c r="G1680" i="6"/>
  <c r="F1680" i="6"/>
  <c r="E1680" i="6"/>
  <c r="D1680" i="6"/>
  <c r="C1680" i="6"/>
  <c r="B1680" i="6"/>
  <c r="A1680" i="6"/>
  <c r="G1679" i="6"/>
  <c r="F1679" i="6"/>
  <c r="E1679" i="6"/>
  <c r="D1679" i="6"/>
  <c r="C1679" i="6"/>
  <c r="B1679" i="6"/>
  <c r="A1679" i="6"/>
  <c r="G1678" i="6"/>
  <c r="F1678" i="6"/>
  <c r="E1678" i="6"/>
  <c r="D1678" i="6"/>
  <c r="C1678" i="6"/>
  <c r="B1678" i="6"/>
  <c r="A1678" i="6"/>
  <c r="G1677" i="6"/>
  <c r="F1677" i="6"/>
  <c r="E1677" i="6"/>
  <c r="D1677" i="6"/>
  <c r="C1677" i="6"/>
  <c r="B1677" i="6"/>
  <c r="A1677" i="6"/>
  <c r="G1676" i="6"/>
  <c r="F1676" i="6"/>
  <c r="E1676" i="6"/>
  <c r="D1676" i="6"/>
  <c r="C1676" i="6"/>
  <c r="B1676" i="6"/>
  <c r="A1676" i="6"/>
  <c r="G1675" i="6"/>
  <c r="F1675" i="6"/>
  <c r="E1675" i="6"/>
  <c r="D1675" i="6"/>
  <c r="C1675" i="6"/>
  <c r="B1675" i="6"/>
  <c r="A1675" i="6"/>
  <c r="G1674" i="6"/>
  <c r="F1674" i="6"/>
  <c r="E1674" i="6"/>
  <c r="D1674" i="6"/>
  <c r="C1674" i="6"/>
  <c r="B1674" i="6"/>
  <c r="A1674" i="6"/>
  <c r="G1673" i="6"/>
  <c r="F1673" i="6"/>
  <c r="E1673" i="6"/>
  <c r="D1673" i="6"/>
  <c r="C1673" i="6"/>
  <c r="B1673" i="6"/>
  <c r="A1673" i="6"/>
  <c r="G1672" i="6"/>
  <c r="F1672" i="6"/>
  <c r="E1672" i="6"/>
  <c r="D1672" i="6"/>
  <c r="C1672" i="6"/>
  <c r="B1672" i="6"/>
  <c r="A1672" i="6"/>
  <c r="G1671" i="6"/>
  <c r="F1671" i="6"/>
  <c r="E1671" i="6"/>
  <c r="D1671" i="6"/>
  <c r="C1671" i="6"/>
  <c r="B1671" i="6"/>
  <c r="A1671" i="6"/>
  <c r="G1670" i="6"/>
  <c r="F1670" i="6"/>
  <c r="E1670" i="6"/>
  <c r="D1670" i="6"/>
  <c r="C1670" i="6"/>
  <c r="B1670" i="6"/>
  <c r="A1670" i="6"/>
  <c r="G1669" i="6"/>
  <c r="F1669" i="6"/>
  <c r="E1669" i="6"/>
  <c r="D1669" i="6"/>
  <c r="C1669" i="6"/>
  <c r="B1669" i="6"/>
  <c r="A1669" i="6"/>
  <c r="G1668" i="6"/>
  <c r="F1668" i="6"/>
  <c r="E1668" i="6"/>
  <c r="D1668" i="6"/>
  <c r="C1668" i="6"/>
  <c r="B1668" i="6"/>
  <c r="A1668" i="6"/>
  <c r="G1667" i="6"/>
  <c r="F1667" i="6"/>
  <c r="E1667" i="6"/>
  <c r="D1667" i="6"/>
  <c r="C1667" i="6"/>
  <c r="B1667" i="6"/>
  <c r="A1667" i="6"/>
  <c r="G1666" i="6"/>
  <c r="F1666" i="6"/>
  <c r="E1666" i="6"/>
  <c r="D1666" i="6"/>
  <c r="C1666" i="6"/>
  <c r="B1666" i="6"/>
  <c r="A1666" i="6"/>
  <c r="G1665" i="6"/>
  <c r="F1665" i="6"/>
  <c r="E1665" i="6"/>
  <c r="D1665" i="6"/>
  <c r="C1665" i="6"/>
  <c r="B1665" i="6"/>
  <c r="A1665" i="6"/>
  <c r="G1664" i="6"/>
  <c r="F1664" i="6"/>
  <c r="E1664" i="6"/>
  <c r="D1664" i="6"/>
  <c r="C1664" i="6"/>
  <c r="B1664" i="6"/>
  <c r="A1664" i="6"/>
  <c r="G1663" i="6"/>
  <c r="F1663" i="6"/>
  <c r="E1663" i="6"/>
  <c r="D1663" i="6"/>
  <c r="C1663" i="6"/>
  <c r="B1663" i="6"/>
  <c r="A1663" i="6"/>
  <c r="G1662" i="6"/>
  <c r="F1662" i="6"/>
  <c r="E1662" i="6"/>
  <c r="D1662" i="6"/>
  <c r="C1662" i="6"/>
  <c r="B1662" i="6"/>
  <c r="A1662" i="6"/>
  <c r="G1661" i="6"/>
  <c r="F1661" i="6"/>
  <c r="E1661" i="6"/>
  <c r="D1661" i="6"/>
  <c r="C1661" i="6"/>
  <c r="B1661" i="6"/>
  <c r="A1661" i="6"/>
  <c r="G1660" i="6"/>
  <c r="F1660" i="6"/>
  <c r="E1660" i="6"/>
  <c r="D1660" i="6"/>
  <c r="C1660" i="6"/>
  <c r="B1660" i="6"/>
  <c r="A1660" i="6"/>
  <c r="G1659" i="6"/>
  <c r="F1659" i="6"/>
  <c r="E1659" i="6"/>
  <c r="D1659" i="6"/>
  <c r="C1659" i="6"/>
  <c r="B1659" i="6"/>
  <c r="A1659" i="6"/>
  <c r="G1658" i="6"/>
  <c r="F1658" i="6"/>
  <c r="E1658" i="6"/>
  <c r="D1658" i="6"/>
  <c r="C1658" i="6"/>
  <c r="B1658" i="6"/>
  <c r="A1658" i="6"/>
  <c r="G1657" i="6"/>
  <c r="F1657" i="6"/>
  <c r="E1657" i="6"/>
  <c r="D1657" i="6"/>
  <c r="C1657" i="6"/>
  <c r="B1657" i="6"/>
  <c r="A1657" i="6"/>
  <c r="G1656" i="6"/>
  <c r="F1656" i="6"/>
  <c r="E1656" i="6"/>
  <c r="D1656" i="6"/>
  <c r="C1656" i="6"/>
  <c r="B1656" i="6"/>
  <c r="A1656" i="6"/>
  <c r="G1655" i="6"/>
  <c r="F1655" i="6"/>
  <c r="E1655" i="6"/>
  <c r="D1655" i="6"/>
  <c r="C1655" i="6"/>
  <c r="B1655" i="6"/>
  <c r="A1655" i="6"/>
  <c r="G1654" i="6"/>
  <c r="F1654" i="6"/>
  <c r="E1654" i="6"/>
  <c r="D1654" i="6"/>
  <c r="C1654" i="6"/>
  <c r="B1654" i="6"/>
  <c r="A1654" i="6"/>
  <c r="G1653" i="6"/>
  <c r="F1653" i="6"/>
  <c r="E1653" i="6"/>
  <c r="D1653" i="6"/>
  <c r="C1653" i="6"/>
  <c r="B1653" i="6"/>
  <c r="A1653" i="6"/>
  <c r="G1652" i="6"/>
  <c r="F1652" i="6"/>
  <c r="E1652" i="6"/>
  <c r="D1652" i="6"/>
  <c r="C1652" i="6"/>
  <c r="B1652" i="6"/>
  <c r="A1652" i="6"/>
  <c r="G1651" i="6"/>
  <c r="F1651" i="6"/>
  <c r="E1651" i="6"/>
  <c r="D1651" i="6"/>
  <c r="C1651" i="6"/>
  <c r="B1651" i="6"/>
  <c r="A1651" i="6"/>
  <c r="G1650" i="6"/>
  <c r="F1650" i="6"/>
  <c r="E1650" i="6"/>
  <c r="D1650" i="6"/>
  <c r="C1650" i="6"/>
  <c r="B1650" i="6"/>
  <c r="A1650" i="6"/>
  <c r="G1649" i="6"/>
  <c r="F1649" i="6"/>
  <c r="E1649" i="6"/>
  <c r="D1649" i="6"/>
  <c r="C1649" i="6"/>
  <c r="B1649" i="6"/>
  <c r="A1649" i="6"/>
  <c r="G1648" i="6"/>
  <c r="F1648" i="6"/>
  <c r="E1648" i="6"/>
  <c r="D1648" i="6"/>
  <c r="C1648" i="6"/>
  <c r="B1648" i="6"/>
  <c r="A1648" i="6"/>
  <c r="G1647" i="6"/>
  <c r="F1647" i="6"/>
  <c r="E1647" i="6"/>
  <c r="D1647" i="6"/>
  <c r="C1647" i="6"/>
  <c r="B1647" i="6"/>
  <c r="A1647" i="6"/>
  <c r="G1646" i="6"/>
  <c r="F1646" i="6"/>
  <c r="E1646" i="6"/>
  <c r="D1646" i="6"/>
  <c r="C1646" i="6"/>
  <c r="B1646" i="6"/>
  <c r="A1646" i="6"/>
  <c r="G1645" i="6"/>
  <c r="F1645" i="6"/>
  <c r="E1645" i="6"/>
  <c r="D1645" i="6"/>
  <c r="C1645" i="6"/>
  <c r="B1645" i="6"/>
  <c r="A1645" i="6"/>
  <c r="G1644" i="6"/>
  <c r="F1644" i="6"/>
  <c r="E1644" i="6"/>
  <c r="D1644" i="6"/>
  <c r="C1644" i="6"/>
  <c r="B1644" i="6"/>
  <c r="A1644" i="6"/>
  <c r="G1643" i="6"/>
  <c r="F1643" i="6"/>
  <c r="E1643" i="6"/>
  <c r="D1643" i="6"/>
  <c r="C1643" i="6"/>
  <c r="B1643" i="6"/>
  <c r="A1643" i="6"/>
  <c r="G1642" i="6"/>
  <c r="F1642" i="6"/>
  <c r="E1642" i="6"/>
  <c r="D1642" i="6"/>
  <c r="C1642" i="6"/>
  <c r="B1642" i="6"/>
  <c r="A1642" i="6"/>
  <c r="G1641" i="6"/>
  <c r="F1641" i="6"/>
  <c r="E1641" i="6"/>
  <c r="D1641" i="6"/>
  <c r="C1641" i="6"/>
  <c r="B1641" i="6"/>
  <c r="A1641" i="6"/>
  <c r="G1640" i="6"/>
  <c r="F1640" i="6"/>
  <c r="E1640" i="6"/>
  <c r="D1640" i="6"/>
  <c r="C1640" i="6"/>
  <c r="B1640" i="6"/>
  <c r="A1640" i="6"/>
  <c r="G1639" i="6"/>
  <c r="F1639" i="6"/>
  <c r="E1639" i="6"/>
  <c r="D1639" i="6"/>
  <c r="C1639" i="6"/>
  <c r="B1639" i="6"/>
  <c r="A1639" i="6"/>
  <c r="G1638" i="6"/>
  <c r="F1638" i="6"/>
  <c r="E1638" i="6"/>
  <c r="D1638" i="6"/>
  <c r="C1638" i="6"/>
  <c r="B1638" i="6"/>
  <c r="A1638" i="6"/>
  <c r="G1637" i="6"/>
  <c r="F1637" i="6"/>
  <c r="E1637" i="6"/>
  <c r="D1637" i="6"/>
  <c r="C1637" i="6"/>
  <c r="B1637" i="6"/>
  <c r="A1637" i="6"/>
  <c r="G1636" i="6"/>
  <c r="F1636" i="6"/>
  <c r="E1636" i="6"/>
  <c r="D1636" i="6"/>
  <c r="C1636" i="6"/>
  <c r="B1636" i="6"/>
  <c r="A1636" i="6"/>
  <c r="G1635" i="6"/>
  <c r="F1635" i="6"/>
  <c r="E1635" i="6"/>
  <c r="D1635" i="6"/>
  <c r="C1635" i="6"/>
  <c r="B1635" i="6"/>
  <c r="A1635" i="6"/>
  <c r="G1634" i="6"/>
  <c r="F1634" i="6"/>
  <c r="E1634" i="6"/>
  <c r="D1634" i="6"/>
  <c r="C1634" i="6"/>
  <c r="B1634" i="6"/>
  <c r="A1634" i="6"/>
  <c r="G1633" i="6"/>
  <c r="F1633" i="6"/>
  <c r="E1633" i="6"/>
  <c r="D1633" i="6"/>
  <c r="C1633" i="6"/>
  <c r="B1633" i="6"/>
  <c r="A1633" i="6"/>
  <c r="G1632" i="6"/>
  <c r="F1632" i="6"/>
  <c r="E1632" i="6"/>
  <c r="D1632" i="6"/>
  <c r="C1632" i="6"/>
  <c r="B1632" i="6"/>
  <c r="A1632" i="6"/>
  <c r="G1631" i="6"/>
  <c r="F1631" i="6"/>
  <c r="E1631" i="6"/>
  <c r="D1631" i="6"/>
  <c r="C1631" i="6"/>
  <c r="B1631" i="6"/>
  <c r="A1631" i="6"/>
  <c r="G1630" i="6"/>
  <c r="F1630" i="6"/>
  <c r="E1630" i="6"/>
  <c r="D1630" i="6"/>
  <c r="C1630" i="6"/>
  <c r="B1630" i="6"/>
  <c r="A1630" i="6"/>
  <c r="G1629" i="6"/>
  <c r="F1629" i="6"/>
  <c r="E1629" i="6"/>
  <c r="D1629" i="6"/>
  <c r="C1629" i="6"/>
  <c r="B1629" i="6"/>
  <c r="A1629" i="6"/>
  <c r="G1628" i="6"/>
  <c r="F1628" i="6"/>
  <c r="E1628" i="6"/>
  <c r="D1628" i="6"/>
  <c r="C1628" i="6"/>
  <c r="B1628" i="6"/>
  <c r="A1628" i="6"/>
  <c r="G1627" i="6"/>
  <c r="F1627" i="6"/>
  <c r="E1627" i="6"/>
  <c r="D1627" i="6"/>
  <c r="C1627" i="6"/>
  <c r="B1627" i="6"/>
  <c r="A1627" i="6"/>
  <c r="G1626" i="6"/>
  <c r="F1626" i="6"/>
  <c r="E1626" i="6"/>
  <c r="D1626" i="6"/>
  <c r="C1626" i="6"/>
  <c r="B1626" i="6"/>
  <c r="A1626" i="6"/>
  <c r="G1625" i="6"/>
  <c r="F1625" i="6"/>
  <c r="E1625" i="6"/>
  <c r="D1625" i="6"/>
  <c r="C1625" i="6"/>
  <c r="B1625" i="6"/>
  <c r="A1625" i="6"/>
  <c r="G1624" i="6"/>
  <c r="F1624" i="6"/>
  <c r="E1624" i="6"/>
  <c r="D1624" i="6"/>
  <c r="C1624" i="6"/>
  <c r="B1624" i="6"/>
  <c r="A1624" i="6"/>
  <c r="G1623" i="6"/>
  <c r="F1623" i="6"/>
  <c r="E1623" i="6"/>
  <c r="D1623" i="6"/>
  <c r="C1623" i="6"/>
  <c r="B1623" i="6"/>
  <c r="A1623" i="6"/>
  <c r="G1622" i="6"/>
  <c r="F1622" i="6"/>
  <c r="E1622" i="6"/>
  <c r="D1622" i="6"/>
  <c r="C1622" i="6"/>
  <c r="B1622" i="6"/>
  <c r="A1622" i="6"/>
  <c r="G1621" i="6"/>
  <c r="F1621" i="6"/>
  <c r="E1621" i="6"/>
  <c r="D1621" i="6"/>
  <c r="C1621" i="6"/>
  <c r="B1621" i="6"/>
  <c r="A1621" i="6"/>
  <c r="G1620" i="6"/>
  <c r="F1620" i="6"/>
  <c r="E1620" i="6"/>
  <c r="D1620" i="6"/>
  <c r="C1620" i="6"/>
  <c r="B1620" i="6"/>
  <c r="A1620" i="6"/>
  <c r="G1619" i="6"/>
  <c r="F1619" i="6"/>
  <c r="E1619" i="6"/>
  <c r="D1619" i="6"/>
  <c r="C1619" i="6"/>
  <c r="B1619" i="6"/>
  <c r="A1619" i="6"/>
  <c r="G1618" i="6"/>
  <c r="F1618" i="6"/>
  <c r="E1618" i="6"/>
  <c r="D1618" i="6"/>
  <c r="C1618" i="6"/>
  <c r="B1618" i="6"/>
  <c r="A1618" i="6"/>
  <c r="G1617" i="6"/>
  <c r="F1617" i="6"/>
  <c r="E1617" i="6"/>
  <c r="D1617" i="6"/>
  <c r="C1617" i="6"/>
  <c r="B1617" i="6"/>
  <c r="A1617" i="6"/>
  <c r="G1616" i="6"/>
  <c r="F1616" i="6"/>
  <c r="E1616" i="6"/>
  <c r="D1616" i="6"/>
  <c r="C1616" i="6"/>
  <c r="B1616" i="6"/>
  <c r="A1616" i="6"/>
  <c r="G1615" i="6"/>
  <c r="F1615" i="6"/>
  <c r="E1615" i="6"/>
  <c r="D1615" i="6"/>
  <c r="C1615" i="6"/>
  <c r="B1615" i="6"/>
  <c r="A1615" i="6"/>
  <c r="G1614" i="6"/>
  <c r="F1614" i="6"/>
  <c r="E1614" i="6"/>
  <c r="D1614" i="6"/>
  <c r="C1614" i="6"/>
  <c r="B1614" i="6"/>
  <c r="A1614" i="6"/>
  <c r="G1613" i="6"/>
  <c r="F1613" i="6"/>
  <c r="E1613" i="6"/>
  <c r="D1613" i="6"/>
  <c r="C1613" i="6"/>
  <c r="B1613" i="6"/>
  <c r="A1613" i="6"/>
  <c r="G1612" i="6"/>
  <c r="F1612" i="6"/>
  <c r="E1612" i="6"/>
  <c r="D1612" i="6"/>
  <c r="C1612" i="6"/>
  <c r="B1612" i="6"/>
  <c r="A1612" i="6"/>
  <c r="G1611" i="6"/>
  <c r="F1611" i="6"/>
  <c r="E1611" i="6"/>
  <c r="D1611" i="6"/>
  <c r="C1611" i="6"/>
  <c r="B1611" i="6"/>
  <c r="A1611" i="6"/>
  <c r="G1610" i="6"/>
  <c r="F1610" i="6"/>
  <c r="E1610" i="6"/>
  <c r="D1610" i="6"/>
  <c r="C1610" i="6"/>
  <c r="B1610" i="6"/>
  <c r="A1610" i="6"/>
  <c r="G1609" i="6"/>
  <c r="F1609" i="6"/>
  <c r="E1609" i="6"/>
  <c r="D1609" i="6"/>
  <c r="C1609" i="6"/>
  <c r="B1609" i="6"/>
  <c r="A1609" i="6"/>
  <c r="G1608" i="6"/>
  <c r="F1608" i="6"/>
  <c r="E1608" i="6"/>
  <c r="D1608" i="6"/>
  <c r="C1608" i="6"/>
  <c r="B1608" i="6"/>
  <c r="A1608" i="6"/>
  <c r="G1607" i="6"/>
  <c r="F1607" i="6"/>
  <c r="E1607" i="6"/>
  <c r="D1607" i="6"/>
  <c r="C1607" i="6"/>
  <c r="B1607" i="6"/>
  <c r="A1607" i="6"/>
  <c r="G1606" i="6"/>
  <c r="F1606" i="6"/>
  <c r="E1606" i="6"/>
  <c r="D1606" i="6"/>
  <c r="C1606" i="6"/>
  <c r="B1606" i="6"/>
  <c r="A1606" i="6"/>
  <c r="G1605" i="6"/>
  <c r="F1605" i="6"/>
  <c r="E1605" i="6"/>
  <c r="D1605" i="6"/>
  <c r="C1605" i="6"/>
  <c r="B1605" i="6"/>
  <c r="A1605" i="6"/>
  <c r="G1604" i="6"/>
  <c r="F1604" i="6"/>
  <c r="E1604" i="6"/>
  <c r="D1604" i="6"/>
  <c r="C1604" i="6"/>
  <c r="B1604" i="6"/>
  <c r="A1604" i="6"/>
  <c r="G1603" i="6"/>
  <c r="F1603" i="6"/>
  <c r="E1603" i="6"/>
  <c r="D1603" i="6"/>
  <c r="C1603" i="6"/>
  <c r="B1603" i="6"/>
  <c r="A1603" i="6"/>
  <c r="G1602" i="6"/>
  <c r="F1602" i="6"/>
  <c r="E1602" i="6"/>
  <c r="D1602" i="6"/>
  <c r="C1602" i="6"/>
  <c r="B1602" i="6"/>
  <c r="A1602" i="6"/>
  <c r="G1601" i="6"/>
  <c r="F1601" i="6"/>
  <c r="E1601" i="6"/>
  <c r="D1601" i="6"/>
  <c r="C1601" i="6"/>
  <c r="B1601" i="6"/>
  <c r="A1601" i="6"/>
  <c r="G1600" i="6"/>
  <c r="F1600" i="6"/>
  <c r="E1600" i="6"/>
  <c r="D1600" i="6"/>
  <c r="C1600" i="6"/>
  <c r="B1600" i="6"/>
  <c r="A1600" i="6"/>
  <c r="G1599" i="6"/>
  <c r="F1599" i="6"/>
  <c r="E1599" i="6"/>
  <c r="D1599" i="6"/>
  <c r="C1599" i="6"/>
  <c r="B1599" i="6"/>
  <c r="A1599" i="6"/>
  <c r="G1598" i="6"/>
  <c r="F1598" i="6"/>
  <c r="E1598" i="6"/>
  <c r="D1598" i="6"/>
  <c r="C1598" i="6"/>
  <c r="B1598" i="6"/>
  <c r="A1598" i="6"/>
  <c r="G1597" i="6"/>
  <c r="F1597" i="6"/>
  <c r="E1597" i="6"/>
  <c r="D1597" i="6"/>
  <c r="C1597" i="6"/>
  <c r="B1597" i="6"/>
  <c r="A1597" i="6"/>
  <c r="G1596" i="6"/>
  <c r="F1596" i="6"/>
  <c r="E1596" i="6"/>
  <c r="D1596" i="6"/>
  <c r="C1596" i="6"/>
  <c r="B1596" i="6"/>
  <c r="A1596" i="6"/>
  <c r="G1595" i="6"/>
  <c r="F1595" i="6"/>
  <c r="E1595" i="6"/>
  <c r="D1595" i="6"/>
  <c r="C1595" i="6"/>
  <c r="B1595" i="6"/>
  <c r="A1595" i="6"/>
  <c r="G1594" i="6"/>
  <c r="F1594" i="6"/>
  <c r="E1594" i="6"/>
  <c r="D1594" i="6"/>
  <c r="C1594" i="6"/>
  <c r="B1594" i="6"/>
  <c r="A1594" i="6"/>
  <c r="G1593" i="6"/>
  <c r="F1593" i="6"/>
  <c r="E1593" i="6"/>
  <c r="D1593" i="6"/>
  <c r="C1593" i="6"/>
  <c r="B1593" i="6"/>
  <c r="A1593" i="6"/>
  <c r="G1592" i="6"/>
  <c r="F1592" i="6"/>
  <c r="E1592" i="6"/>
  <c r="D1592" i="6"/>
  <c r="C1592" i="6"/>
  <c r="B1592" i="6"/>
  <c r="A1592" i="6"/>
  <c r="G1591" i="6"/>
  <c r="F1591" i="6"/>
  <c r="E1591" i="6"/>
  <c r="D1591" i="6"/>
  <c r="C1591" i="6"/>
  <c r="B1591" i="6"/>
  <c r="A1591" i="6"/>
  <c r="G1590" i="6"/>
  <c r="F1590" i="6"/>
  <c r="E1590" i="6"/>
  <c r="D1590" i="6"/>
  <c r="C1590" i="6"/>
  <c r="B1590" i="6"/>
  <c r="A1590" i="6"/>
  <c r="G1589" i="6"/>
  <c r="F1589" i="6"/>
  <c r="E1589" i="6"/>
  <c r="D1589" i="6"/>
  <c r="C1589" i="6"/>
  <c r="B1589" i="6"/>
  <c r="A1589" i="6"/>
  <c r="G1588" i="6"/>
  <c r="F1588" i="6"/>
  <c r="E1588" i="6"/>
  <c r="D1588" i="6"/>
  <c r="C1588" i="6"/>
  <c r="B1588" i="6"/>
  <c r="A1588" i="6"/>
  <c r="G1587" i="6"/>
  <c r="F1587" i="6"/>
  <c r="E1587" i="6"/>
  <c r="D1587" i="6"/>
  <c r="C1587" i="6"/>
  <c r="B1587" i="6"/>
  <c r="A1587" i="6"/>
  <c r="G1586" i="6"/>
  <c r="F1586" i="6"/>
  <c r="E1586" i="6"/>
  <c r="D1586" i="6"/>
  <c r="C1586" i="6"/>
  <c r="B1586" i="6"/>
  <c r="A1586" i="6"/>
  <c r="G1585" i="6"/>
  <c r="F1585" i="6"/>
  <c r="E1585" i="6"/>
  <c r="D1585" i="6"/>
  <c r="C1585" i="6"/>
  <c r="B1585" i="6"/>
  <c r="A1585" i="6"/>
  <c r="G1584" i="6"/>
  <c r="F1584" i="6"/>
  <c r="E1584" i="6"/>
  <c r="D1584" i="6"/>
  <c r="C1584" i="6"/>
  <c r="B1584" i="6"/>
  <c r="A1584" i="6"/>
  <c r="G1583" i="6"/>
  <c r="F1583" i="6"/>
  <c r="E1583" i="6"/>
  <c r="D1583" i="6"/>
  <c r="C1583" i="6"/>
  <c r="B1583" i="6"/>
  <c r="A1583" i="6"/>
  <c r="G1582" i="6"/>
  <c r="F1582" i="6"/>
  <c r="E1582" i="6"/>
  <c r="D1582" i="6"/>
  <c r="C1582" i="6"/>
  <c r="B1582" i="6"/>
  <c r="A1582" i="6"/>
  <c r="G1581" i="6"/>
  <c r="F1581" i="6"/>
  <c r="E1581" i="6"/>
  <c r="D1581" i="6"/>
  <c r="C1581" i="6"/>
  <c r="B1581" i="6"/>
  <c r="A1581" i="6"/>
  <c r="G1580" i="6"/>
  <c r="F1580" i="6"/>
  <c r="E1580" i="6"/>
  <c r="D1580" i="6"/>
  <c r="C1580" i="6"/>
  <c r="B1580" i="6"/>
  <c r="A1580" i="6"/>
  <c r="G1579" i="6"/>
  <c r="F1579" i="6"/>
  <c r="E1579" i="6"/>
  <c r="D1579" i="6"/>
  <c r="C1579" i="6"/>
  <c r="B1579" i="6"/>
  <c r="A1579" i="6"/>
  <c r="G1578" i="6"/>
  <c r="F1578" i="6"/>
  <c r="E1578" i="6"/>
  <c r="D1578" i="6"/>
  <c r="C1578" i="6"/>
  <c r="B1578" i="6"/>
  <c r="A1578" i="6"/>
  <c r="G1577" i="6"/>
  <c r="F1577" i="6"/>
  <c r="E1577" i="6"/>
  <c r="D1577" i="6"/>
  <c r="C1577" i="6"/>
  <c r="B1577" i="6"/>
  <c r="A1577" i="6"/>
  <c r="G1576" i="6"/>
  <c r="F1576" i="6"/>
  <c r="E1576" i="6"/>
  <c r="D1576" i="6"/>
  <c r="C1576" i="6"/>
  <c r="B1576" i="6"/>
  <c r="A1576" i="6"/>
  <c r="G1575" i="6"/>
  <c r="F1575" i="6"/>
  <c r="E1575" i="6"/>
  <c r="D1575" i="6"/>
  <c r="C1575" i="6"/>
  <c r="B1575" i="6"/>
  <c r="A1575" i="6"/>
  <c r="G1574" i="6"/>
  <c r="F1574" i="6"/>
  <c r="E1574" i="6"/>
  <c r="D1574" i="6"/>
  <c r="C1574" i="6"/>
  <c r="B1574" i="6"/>
  <c r="A1574" i="6"/>
  <c r="G1573" i="6"/>
  <c r="F1573" i="6"/>
  <c r="E1573" i="6"/>
  <c r="D1573" i="6"/>
  <c r="C1573" i="6"/>
  <c r="B1573" i="6"/>
  <c r="A1573" i="6"/>
  <c r="G1572" i="6"/>
  <c r="F1572" i="6"/>
  <c r="E1572" i="6"/>
  <c r="D1572" i="6"/>
  <c r="C1572" i="6"/>
  <c r="B1572" i="6"/>
  <c r="A1572" i="6"/>
  <c r="G1571" i="6"/>
  <c r="F1571" i="6"/>
  <c r="E1571" i="6"/>
  <c r="D1571" i="6"/>
  <c r="C1571" i="6"/>
  <c r="B1571" i="6"/>
  <c r="A1571" i="6"/>
  <c r="G1570" i="6"/>
  <c r="F1570" i="6"/>
  <c r="E1570" i="6"/>
  <c r="D1570" i="6"/>
  <c r="C1570" i="6"/>
  <c r="B1570" i="6"/>
  <c r="A1570" i="6"/>
  <c r="G1569" i="6"/>
  <c r="F1569" i="6"/>
  <c r="E1569" i="6"/>
  <c r="D1569" i="6"/>
  <c r="C1569" i="6"/>
  <c r="B1569" i="6"/>
  <c r="A1569" i="6"/>
  <c r="G1568" i="6"/>
  <c r="F1568" i="6"/>
  <c r="E1568" i="6"/>
  <c r="D1568" i="6"/>
  <c r="C1568" i="6"/>
  <c r="B1568" i="6"/>
  <c r="A1568" i="6"/>
  <c r="G1567" i="6"/>
  <c r="F1567" i="6"/>
  <c r="E1567" i="6"/>
  <c r="D1567" i="6"/>
  <c r="C1567" i="6"/>
  <c r="B1567" i="6"/>
  <c r="A1567" i="6"/>
  <c r="G1566" i="6"/>
  <c r="F1566" i="6"/>
  <c r="E1566" i="6"/>
  <c r="D1566" i="6"/>
  <c r="C1566" i="6"/>
  <c r="B1566" i="6"/>
  <c r="A1566" i="6"/>
  <c r="G1565" i="6"/>
  <c r="F1565" i="6"/>
  <c r="E1565" i="6"/>
  <c r="D1565" i="6"/>
  <c r="C1565" i="6"/>
  <c r="B1565" i="6"/>
  <c r="A1565" i="6"/>
  <c r="G1564" i="6"/>
  <c r="F1564" i="6"/>
  <c r="E1564" i="6"/>
  <c r="D1564" i="6"/>
  <c r="C1564" i="6"/>
  <c r="B1564" i="6"/>
  <c r="A1564" i="6"/>
  <c r="G1563" i="6"/>
  <c r="F1563" i="6"/>
  <c r="E1563" i="6"/>
  <c r="D1563" i="6"/>
  <c r="C1563" i="6"/>
  <c r="B1563" i="6"/>
  <c r="A1563" i="6"/>
  <c r="G1562" i="6"/>
  <c r="F1562" i="6"/>
  <c r="E1562" i="6"/>
  <c r="D1562" i="6"/>
  <c r="C1562" i="6"/>
  <c r="B1562" i="6"/>
  <c r="A1562" i="6"/>
  <c r="G1561" i="6"/>
  <c r="F1561" i="6"/>
  <c r="E1561" i="6"/>
  <c r="D1561" i="6"/>
  <c r="C1561" i="6"/>
  <c r="B1561" i="6"/>
  <c r="A1561" i="6"/>
  <c r="G1560" i="6"/>
  <c r="F1560" i="6"/>
  <c r="E1560" i="6"/>
  <c r="D1560" i="6"/>
  <c r="C1560" i="6"/>
  <c r="B1560" i="6"/>
  <c r="A1560" i="6"/>
  <c r="G1559" i="6"/>
  <c r="F1559" i="6"/>
  <c r="E1559" i="6"/>
  <c r="D1559" i="6"/>
  <c r="C1559" i="6"/>
  <c r="B1559" i="6"/>
  <c r="A1559" i="6"/>
  <c r="G1558" i="6"/>
  <c r="F1558" i="6"/>
  <c r="E1558" i="6"/>
  <c r="D1558" i="6"/>
  <c r="C1558" i="6"/>
  <c r="B1558" i="6"/>
  <c r="A1558" i="6"/>
  <c r="G1557" i="6"/>
  <c r="F1557" i="6"/>
  <c r="E1557" i="6"/>
  <c r="D1557" i="6"/>
  <c r="C1557" i="6"/>
  <c r="B1557" i="6"/>
  <c r="A1557" i="6"/>
  <c r="G1556" i="6"/>
  <c r="F1556" i="6"/>
  <c r="E1556" i="6"/>
  <c r="D1556" i="6"/>
  <c r="C1556" i="6"/>
  <c r="B1556" i="6"/>
  <c r="A1556" i="6"/>
  <c r="G1555" i="6"/>
  <c r="F1555" i="6"/>
  <c r="E1555" i="6"/>
  <c r="D1555" i="6"/>
  <c r="C1555" i="6"/>
  <c r="B1555" i="6"/>
  <c r="A1555" i="6"/>
  <c r="G1554" i="6"/>
  <c r="F1554" i="6"/>
  <c r="E1554" i="6"/>
  <c r="D1554" i="6"/>
  <c r="C1554" i="6"/>
  <c r="B1554" i="6"/>
  <c r="A1554" i="6"/>
  <c r="G1553" i="6"/>
  <c r="F1553" i="6"/>
  <c r="E1553" i="6"/>
  <c r="D1553" i="6"/>
  <c r="C1553" i="6"/>
  <c r="B1553" i="6"/>
  <c r="A1553" i="6"/>
  <c r="G1552" i="6"/>
  <c r="F1552" i="6"/>
  <c r="E1552" i="6"/>
  <c r="D1552" i="6"/>
  <c r="C1552" i="6"/>
  <c r="B1552" i="6"/>
  <c r="A1552" i="6"/>
  <c r="G1551" i="6"/>
  <c r="F1551" i="6"/>
  <c r="E1551" i="6"/>
  <c r="D1551" i="6"/>
  <c r="C1551" i="6"/>
  <c r="B1551" i="6"/>
  <c r="A1551" i="6"/>
  <c r="G1550" i="6"/>
  <c r="F1550" i="6"/>
  <c r="E1550" i="6"/>
  <c r="D1550" i="6"/>
  <c r="C1550" i="6"/>
  <c r="B1550" i="6"/>
  <c r="A1550" i="6"/>
  <c r="G1549" i="6"/>
  <c r="F1549" i="6"/>
  <c r="E1549" i="6"/>
  <c r="D1549" i="6"/>
  <c r="C1549" i="6"/>
  <c r="B1549" i="6"/>
  <c r="A1549" i="6"/>
  <c r="G1548" i="6"/>
  <c r="F1548" i="6"/>
  <c r="E1548" i="6"/>
  <c r="D1548" i="6"/>
  <c r="C1548" i="6"/>
  <c r="B1548" i="6"/>
  <c r="A1548" i="6"/>
  <c r="G1547" i="6"/>
  <c r="F1547" i="6"/>
  <c r="E1547" i="6"/>
  <c r="D1547" i="6"/>
  <c r="C1547" i="6"/>
  <c r="B1547" i="6"/>
  <c r="A1547" i="6"/>
  <c r="G1546" i="6"/>
  <c r="F1546" i="6"/>
  <c r="E1546" i="6"/>
  <c r="D1546" i="6"/>
  <c r="C1546" i="6"/>
  <c r="B1546" i="6"/>
  <c r="A1546" i="6"/>
  <c r="G1545" i="6"/>
  <c r="F1545" i="6"/>
  <c r="E1545" i="6"/>
  <c r="D1545" i="6"/>
  <c r="C1545" i="6"/>
  <c r="B1545" i="6"/>
  <c r="A1545" i="6"/>
  <c r="G1544" i="6"/>
  <c r="F1544" i="6"/>
  <c r="E1544" i="6"/>
  <c r="D1544" i="6"/>
  <c r="C1544" i="6"/>
  <c r="B1544" i="6"/>
  <c r="A1544" i="6"/>
  <c r="G1543" i="6"/>
  <c r="F1543" i="6"/>
  <c r="E1543" i="6"/>
  <c r="D1543" i="6"/>
  <c r="C1543" i="6"/>
  <c r="B1543" i="6"/>
  <c r="A1543" i="6"/>
  <c r="G1542" i="6"/>
  <c r="F1542" i="6"/>
  <c r="E1542" i="6"/>
  <c r="D1542" i="6"/>
  <c r="C1542" i="6"/>
  <c r="B1542" i="6"/>
  <c r="A1542" i="6"/>
  <c r="G1541" i="6"/>
  <c r="F1541" i="6"/>
  <c r="E1541" i="6"/>
  <c r="D1541" i="6"/>
  <c r="C1541" i="6"/>
  <c r="B1541" i="6"/>
  <c r="A1541" i="6"/>
  <c r="G1540" i="6"/>
  <c r="F1540" i="6"/>
  <c r="E1540" i="6"/>
  <c r="D1540" i="6"/>
  <c r="C1540" i="6"/>
  <c r="B1540" i="6"/>
  <c r="A1540" i="6"/>
  <c r="G1539" i="6"/>
  <c r="F1539" i="6"/>
  <c r="E1539" i="6"/>
  <c r="D1539" i="6"/>
  <c r="C1539" i="6"/>
  <c r="B1539" i="6"/>
  <c r="A1539" i="6"/>
  <c r="G1538" i="6"/>
  <c r="F1538" i="6"/>
  <c r="E1538" i="6"/>
  <c r="D1538" i="6"/>
  <c r="C1538" i="6"/>
  <c r="B1538" i="6"/>
  <c r="A1538" i="6"/>
  <c r="G1537" i="6"/>
  <c r="F1537" i="6"/>
  <c r="E1537" i="6"/>
  <c r="D1537" i="6"/>
  <c r="C1537" i="6"/>
  <c r="B1537" i="6"/>
  <c r="A1537" i="6"/>
  <c r="G1536" i="6"/>
  <c r="F1536" i="6"/>
  <c r="E1536" i="6"/>
  <c r="D1536" i="6"/>
  <c r="C1536" i="6"/>
  <c r="B1536" i="6"/>
  <c r="A1536" i="6"/>
  <c r="G1535" i="6"/>
  <c r="F1535" i="6"/>
  <c r="E1535" i="6"/>
  <c r="D1535" i="6"/>
  <c r="C1535" i="6"/>
  <c r="B1535" i="6"/>
  <c r="A1535" i="6"/>
  <c r="G1534" i="6"/>
  <c r="F1534" i="6"/>
  <c r="E1534" i="6"/>
  <c r="D1534" i="6"/>
  <c r="C1534" i="6"/>
  <c r="B1534" i="6"/>
  <c r="A1534" i="6"/>
  <c r="G1533" i="6"/>
  <c r="F1533" i="6"/>
  <c r="E1533" i="6"/>
  <c r="D1533" i="6"/>
  <c r="C1533" i="6"/>
  <c r="B1533" i="6"/>
  <c r="A1533" i="6"/>
  <c r="G1532" i="6"/>
  <c r="F1532" i="6"/>
  <c r="E1532" i="6"/>
  <c r="D1532" i="6"/>
  <c r="C1532" i="6"/>
  <c r="B1532" i="6"/>
  <c r="A1532" i="6"/>
  <c r="G1531" i="6"/>
  <c r="F1531" i="6"/>
  <c r="E1531" i="6"/>
  <c r="D1531" i="6"/>
  <c r="C1531" i="6"/>
  <c r="B1531" i="6"/>
  <c r="A1531" i="6"/>
  <c r="G1530" i="6"/>
  <c r="F1530" i="6"/>
  <c r="E1530" i="6"/>
  <c r="D1530" i="6"/>
  <c r="C1530" i="6"/>
  <c r="B1530" i="6"/>
  <c r="A1530" i="6"/>
  <c r="G1529" i="6"/>
  <c r="F1529" i="6"/>
  <c r="E1529" i="6"/>
  <c r="D1529" i="6"/>
  <c r="C1529" i="6"/>
  <c r="B1529" i="6"/>
  <c r="A1529" i="6"/>
  <c r="G1528" i="6"/>
  <c r="F1528" i="6"/>
  <c r="E1528" i="6"/>
  <c r="D1528" i="6"/>
  <c r="C1528" i="6"/>
  <c r="B1528" i="6"/>
  <c r="A1528" i="6"/>
  <c r="G1527" i="6"/>
  <c r="F1527" i="6"/>
  <c r="E1527" i="6"/>
  <c r="D1527" i="6"/>
  <c r="C1527" i="6"/>
  <c r="B1527" i="6"/>
  <c r="A1527" i="6"/>
  <c r="G1526" i="6"/>
  <c r="F1526" i="6"/>
  <c r="E1526" i="6"/>
  <c r="D1526" i="6"/>
  <c r="C1526" i="6"/>
  <c r="B1526" i="6"/>
  <c r="A1526" i="6"/>
  <c r="G1525" i="6"/>
  <c r="F1525" i="6"/>
  <c r="E1525" i="6"/>
  <c r="D1525" i="6"/>
  <c r="C1525" i="6"/>
  <c r="B1525" i="6"/>
  <c r="A1525" i="6"/>
  <c r="G1524" i="6"/>
  <c r="F1524" i="6"/>
  <c r="E1524" i="6"/>
  <c r="D1524" i="6"/>
  <c r="C1524" i="6"/>
  <c r="B1524" i="6"/>
  <c r="A1524" i="6"/>
  <c r="G1523" i="6"/>
  <c r="F1523" i="6"/>
  <c r="E1523" i="6"/>
  <c r="D1523" i="6"/>
  <c r="C1523" i="6"/>
  <c r="B1523" i="6"/>
  <c r="A1523" i="6"/>
  <c r="G1522" i="6"/>
  <c r="F1522" i="6"/>
  <c r="E1522" i="6"/>
  <c r="D1522" i="6"/>
  <c r="C1522" i="6"/>
  <c r="B1522" i="6"/>
  <c r="A1522" i="6"/>
  <c r="G1521" i="6"/>
  <c r="F1521" i="6"/>
  <c r="E1521" i="6"/>
  <c r="D1521" i="6"/>
  <c r="C1521" i="6"/>
  <c r="B1521" i="6"/>
  <c r="A1521" i="6"/>
  <c r="G1520" i="6"/>
  <c r="F1520" i="6"/>
  <c r="E1520" i="6"/>
  <c r="D1520" i="6"/>
  <c r="C1520" i="6"/>
  <c r="B1520" i="6"/>
  <c r="A1520" i="6"/>
  <c r="G1519" i="6"/>
  <c r="F1519" i="6"/>
  <c r="E1519" i="6"/>
  <c r="D1519" i="6"/>
  <c r="C1519" i="6"/>
  <c r="B1519" i="6"/>
  <c r="A1519" i="6"/>
  <c r="G1518" i="6"/>
  <c r="F1518" i="6"/>
  <c r="E1518" i="6"/>
  <c r="D1518" i="6"/>
  <c r="C1518" i="6"/>
  <c r="B1518" i="6"/>
  <c r="A1518" i="6"/>
  <c r="G1517" i="6"/>
  <c r="F1517" i="6"/>
  <c r="E1517" i="6"/>
  <c r="D1517" i="6"/>
  <c r="C1517" i="6"/>
  <c r="B1517" i="6"/>
  <c r="A1517" i="6"/>
  <c r="G1516" i="6"/>
  <c r="F1516" i="6"/>
  <c r="E1516" i="6"/>
  <c r="D1516" i="6"/>
  <c r="C1516" i="6"/>
  <c r="B1516" i="6"/>
  <c r="A1516" i="6"/>
  <c r="G1515" i="6"/>
  <c r="F1515" i="6"/>
  <c r="E1515" i="6"/>
  <c r="D1515" i="6"/>
  <c r="C1515" i="6"/>
  <c r="B1515" i="6"/>
  <c r="A1515" i="6"/>
  <c r="G1514" i="6"/>
  <c r="F1514" i="6"/>
  <c r="E1514" i="6"/>
  <c r="D1514" i="6"/>
  <c r="C1514" i="6"/>
  <c r="B1514" i="6"/>
  <c r="A1514" i="6"/>
  <c r="G1513" i="6"/>
  <c r="F1513" i="6"/>
  <c r="E1513" i="6"/>
  <c r="D1513" i="6"/>
  <c r="C1513" i="6"/>
  <c r="B1513" i="6"/>
  <c r="A1513" i="6"/>
  <c r="G1512" i="6"/>
  <c r="F1512" i="6"/>
  <c r="E1512" i="6"/>
  <c r="D1512" i="6"/>
  <c r="C1512" i="6"/>
  <c r="B1512" i="6"/>
  <c r="A1512" i="6"/>
  <c r="G1511" i="6"/>
  <c r="F1511" i="6"/>
  <c r="E1511" i="6"/>
  <c r="D1511" i="6"/>
  <c r="C1511" i="6"/>
  <c r="B1511" i="6"/>
  <c r="A1511" i="6"/>
  <c r="G1510" i="6"/>
  <c r="F1510" i="6"/>
  <c r="E1510" i="6"/>
  <c r="D1510" i="6"/>
  <c r="C1510" i="6"/>
  <c r="B1510" i="6"/>
  <c r="A1510" i="6"/>
  <c r="G1509" i="6"/>
  <c r="F1509" i="6"/>
  <c r="E1509" i="6"/>
  <c r="D1509" i="6"/>
  <c r="C1509" i="6"/>
  <c r="B1509" i="6"/>
  <c r="A1509" i="6"/>
  <c r="G1508" i="6"/>
  <c r="F1508" i="6"/>
  <c r="E1508" i="6"/>
  <c r="D1508" i="6"/>
  <c r="C1508" i="6"/>
  <c r="B1508" i="6"/>
  <c r="A1508" i="6"/>
  <c r="G1507" i="6"/>
  <c r="F1507" i="6"/>
  <c r="E1507" i="6"/>
  <c r="D1507" i="6"/>
  <c r="C1507" i="6"/>
  <c r="B1507" i="6"/>
  <c r="A1507" i="6"/>
  <c r="G1506" i="6"/>
  <c r="F1506" i="6"/>
  <c r="E1506" i="6"/>
  <c r="D1506" i="6"/>
  <c r="C1506" i="6"/>
  <c r="B1506" i="6"/>
  <c r="A1506" i="6"/>
  <c r="G1505" i="6"/>
  <c r="F1505" i="6"/>
  <c r="E1505" i="6"/>
  <c r="D1505" i="6"/>
  <c r="C1505" i="6"/>
  <c r="B1505" i="6"/>
  <c r="A1505" i="6"/>
  <c r="G1504" i="6"/>
  <c r="F1504" i="6"/>
  <c r="E1504" i="6"/>
  <c r="D1504" i="6"/>
  <c r="C1504" i="6"/>
  <c r="B1504" i="6"/>
  <c r="A1504" i="6"/>
  <c r="G1503" i="6"/>
  <c r="F1503" i="6"/>
  <c r="E1503" i="6"/>
  <c r="D1503" i="6"/>
  <c r="C1503" i="6"/>
  <c r="B1503" i="6"/>
  <c r="A1503" i="6"/>
  <c r="G1502" i="6"/>
  <c r="F1502" i="6"/>
  <c r="E1502" i="6"/>
  <c r="D1502" i="6"/>
  <c r="C1502" i="6"/>
  <c r="B1502" i="6"/>
  <c r="A1502" i="6"/>
  <c r="G1501" i="6"/>
  <c r="F1501" i="6"/>
  <c r="E1501" i="6"/>
  <c r="D1501" i="6"/>
  <c r="C1501" i="6"/>
  <c r="B1501" i="6"/>
  <c r="A1501" i="6"/>
  <c r="G1500" i="6"/>
  <c r="F1500" i="6"/>
  <c r="E1500" i="6"/>
  <c r="D1500" i="6"/>
  <c r="C1500" i="6"/>
  <c r="B1500" i="6"/>
  <c r="A1500" i="6"/>
  <c r="G1499" i="6"/>
  <c r="F1499" i="6"/>
  <c r="E1499" i="6"/>
  <c r="D1499" i="6"/>
  <c r="C1499" i="6"/>
  <c r="B1499" i="6"/>
  <c r="A1499" i="6"/>
  <c r="G1498" i="6"/>
  <c r="F1498" i="6"/>
  <c r="E1498" i="6"/>
  <c r="D1498" i="6"/>
  <c r="C1498" i="6"/>
  <c r="B1498" i="6"/>
  <c r="A1498" i="6"/>
  <c r="G1497" i="6"/>
  <c r="F1497" i="6"/>
  <c r="E1497" i="6"/>
  <c r="D1497" i="6"/>
  <c r="C1497" i="6"/>
  <c r="B1497" i="6"/>
  <c r="A1497" i="6"/>
  <c r="G1496" i="6"/>
  <c r="F1496" i="6"/>
  <c r="E1496" i="6"/>
  <c r="D1496" i="6"/>
  <c r="C1496" i="6"/>
  <c r="B1496" i="6"/>
  <c r="A1496" i="6"/>
  <c r="G1495" i="6"/>
  <c r="F1495" i="6"/>
  <c r="E1495" i="6"/>
  <c r="D1495" i="6"/>
  <c r="C1495" i="6"/>
  <c r="B1495" i="6"/>
  <c r="A1495" i="6"/>
  <c r="G1494" i="6"/>
  <c r="F1494" i="6"/>
  <c r="E1494" i="6"/>
  <c r="D1494" i="6"/>
  <c r="C1494" i="6"/>
  <c r="B1494" i="6"/>
  <c r="A1494" i="6"/>
  <c r="G1493" i="6"/>
  <c r="F1493" i="6"/>
  <c r="E1493" i="6"/>
  <c r="D1493" i="6"/>
  <c r="C1493" i="6"/>
  <c r="B1493" i="6"/>
  <c r="A1493" i="6"/>
  <c r="G1492" i="6"/>
  <c r="F1492" i="6"/>
  <c r="E1492" i="6"/>
  <c r="D1492" i="6"/>
  <c r="C1492" i="6"/>
  <c r="B1492" i="6"/>
  <c r="A1492" i="6"/>
  <c r="G1491" i="6"/>
  <c r="F1491" i="6"/>
  <c r="E1491" i="6"/>
  <c r="D1491" i="6"/>
  <c r="C1491" i="6"/>
  <c r="B1491" i="6"/>
  <c r="A1491" i="6"/>
  <c r="G1490" i="6"/>
  <c r="F1490" i="6"/>
  <c r="E1490" i="6"/>
  <c r="D1490" i="6"/>
  <c r="C1490" i="6"/>
  <c r="B1490" i="6"/>
  <c r="A1490" i="6"/>
  <c r="G1489" i="6"/>
  <c r="F1489" i="6"/>
  <c r="E1489" i="6"/>
  <c r="D1489" i="6"/>
  <c r="C1489" i="6"/>
  <c r="B1489" i="6"/>
  <c r="A1489" i="6"/>
  <c r="G1488" i="6"/>
  <c r="F1488" i="6"/>
  <c r="E1488" i="6"/>
  <c r="D1488" i="6"/>
  <c r="C1488" i="6"/>
  <c r="B1488" i="6"/>
  <c r="A1488" i="6"/>
  <c r="G1487" i="6"/>
  <c r="F1487" i="6"/>
  <c r="E1487" i="6"/>
  <c r="D1487" i="6"/>
  <c r="C1487" i="6"/>
  <c r="B1487" i="6"/>
  <c r="A1487" i="6"/>
  <c r="G1486" i="6"/>
  <c r="F1486" i="6"/>
  <c r="E1486" i="6"/>
  <c r="D1486" i="6"/>
  <c r="C1486" i="6"/>
  <c r="B1486" i="6"/>
  <c r="A1486" i="6"/>
  <c r="G1485" i="6"/>
  <c r="F1485" i="6"/>
  <c r="E1485" i="6"/>
  <c r="D1485" i="6"/>
  <c r="C1485" i="6"/>
  <c r="B1485" i="6"/>
  <c r="A1485" i="6"/>
  <c r="G1484" i="6"/>
  <c r="F1484" i="6"/>
  <c r="E1484" i="6"/>
  <c r="D1484" i="6"/>
  <c r="C1484" i="6"/>
  <c r="B1484" i="6"/>
  <c r="A1484" i="6"/>
  <c r="G1483" i="6"/>
  <c r="F1483" i="6"/>
  <c r="E1483" i="6"/>
  <c r="D1483" i="6"/>
  <c r="C1483" i="6"/>
  <c r="B1483" i="6"/>
  <c r="A1483" i="6"/>
  <c r="G1482" i="6"/>
  <c r="F1482" i="6"/>
  <c r="E1482" i="6"/>
  <c r="D1482" i="6"/>
  <c r="C1482" i="6"/>
  <c r="B1482" i="6"/>
  <c r="A1482" i="6"/>
  <c r="G1481" i="6"/>
  <c r="F1481" i="6"/>
  <c r="E1481" i="6"/>
  <c r="D1481" i="6"/>
  <c r="C1481" i="6"/>
  <c r="B1481" i="6"/>
  <c r="A1481" i="6"/>
  <c r="G1480" i="6"/>
  <c r="F1480" i="6"/>
  <c r="E1480" i="6"/>
  <c r="D1480" i="6"/>
  <c r="C1480" i="6"/>
  <c r="B1480" i="6"/>
  <c r="A1480" i="6"/>
  <c r="G1479" i="6"/>
  <c r="F1479" i="6"/>
  <c r="E1479" i="6"/>
  <c r="D1479" i="6"/>
  <c r="C1479" i="6"/>
  <c r="B1479" i="6"/>
  <c r="A1479" i="6"/>
  <c r="G1478" i="6"/>
  <c r="F1478" i="6"/>
  <c r="E1478" i="6"/>
  <c r="D1478" i="6"/>
  <c r="C1478" i="6"/>
  <c r="B1478" i="6"/>
  <c r="A1478" i="6"/>
  <c r="G1477" i="6"/>
  <c r="F1477" i="6"/>
  <c r="E1477" i="6"/>
  <c r="D1477" i="6"/>
  <c r="C1477" i="6"/>
  <c r="B1477" i="6"/>
  <c r="A1477" i="6"/>
  <c r="G1476" i="6"/>
  <c r="F1476" i="6"/>
  <c r="E1476" i="6"/>
  <c r="D1476" i="6"/>
  <c r="C1476" i="6"/>
  <c r="B1476" i="6"/>
  <c r="A1476" i="6"/>
  <c r="G1475" i="6"/>
  <c r="F1475" i="6"/>
  <c r="E1475" i="6"/>
  <c r="D1475" i="6"/>
  <c r="C1475" i="6"/>
  <c r="B1475" i="6"/>
  <c r="A1475" i="6"/>
  <c r="G1474" i="6"/>
  <c r="F1474" i="6"/>
  <c r="E1474" i="6"/>
  <c r="D1474" i="6"/>
  <c r="C1474" i="6"/>
  <c r="B1474" i="6"/>
  <c r="A1474" i="6"/>
  <c r="G1473" i="6"/>
  <c r="F1473" i="6"/>
  <c r="E1473" i="6"/>
  <c r="D1473" i="6"/>
  <c r="C1473" i="6"/>
  <c r="B1473" i="6"/>
  <c r="A1473" i="6"/>
  <c r="G1472" i="6"/>
  <c r="F1472" i="6"/>
  <c r="E1472" i="6"/>
  <c r="D1472" i="6"/>
  <c r="C1472" i="6"/>
  <c r="B1472" i="6"/>
  <c r="A1472" i="6"/>
  <c r="G1471" i="6"/>
  <c r="F1471" i="6"/>
  <c r="E1471" i="6"/>
  <c r="D1471" i="6"/>
  <c r="C1471" i="6"/>
  <c r="B1471" i="6"/>
  <c r="A1471" i="6"/>
  <c r="G1470" i="6"/>
  <c r="F1470" i="6"/>
  <c r="E1470" i="6"/>
  <c r="D1470" i="6"/>
  <c r="C1470" i="6"/>
  <c r="B1470" i="6"/>
  <c r="A1470" i="6"/>
  <c r="G1469" i="6"/>
  <c r="F1469" i="6"/>
  <c r="E1469" i="6"/>
  <c r="D1469" i="6"/>
  <c r="C1469" i="6"/>
  <c r="B1469" i="6"/>
  <c r="A1469" i="6"/>
  <c r="G1468" i="6"/>
  <c r="F1468" i="6"/>
  <c r="E1468" i="6"/>
  <c r="D1468" i="6"/>
  <c r="C1468" i="6"/>
  <c r="B1468" i="6"/>
  <c r="A1468" i="6"/>
  <c r="G1467" i="6"/>
  <c r="F1467" i="6"/>
  <c r="E1467" i="6"/>
  <c r="D1467" i="6"/>
  <c r="C1467" i="6"/>
  <c r="B1467" i="6"/>
  <c r="A1467" i="6"/>
  <c r="G1466" i="6"/>
  <c r="F1466" i="6"/>
  <c r="E1466" i="6"/>
  <c r="D1466" i="6"/>
  <c r="C1466" i="6"/>
  <c r="B1466" i="6"/>
  <c r="A1466" i="6"/>
  <c r="G1465" i="6"/>
  <c r="F1465" i="6"/>
  <c r="E1465" i="6"/>
  <c r="D1465" i="6"/>
  <c r="C1465" i="6"/>
  <c r="B1465" i="6"/>
  <c r="A1465" i="6"/>
  <c r="G1464" i="6"/>
  <c r="F1464" i="6"/>
  <c r="E1464" i="6"/>
  <c r="D1464" i="6"/>
  <c r="C1464" i="6"/>
  <c r="B1464" i="6"/>
  <c r="A1464" i="6"/>
  <c r="G1463" i="6"/>
  <c r="F1463" i="6"/>
  <c r="E1463" i="6"/>
  <c r="D1463" i="6"/>
  <c r="C1463" i="6"/>
  <c r="B1463" i="6"/>
  <c r="A1463" i="6"/>
  <c r="G1462" i="6"/>
  <c r="F1462" i="6"/>
  <c r="E1462" i="6"/>
  <c r="D1462" i="6"/>
  <c r="C1462" i="6"/>
  <c r="B1462" i="6"/>
  <c r="A1462" i="6"/>
  <c r="G1461" i="6"/>
  <c r="F1461" i="6"/>
  <c r="E1461" i="6"/>
  <c r="D1461" i="6"/>
  <c r="C1461" i="6"/>
  <c r="B1461" i="6"/>
  <c r="A1461" i="6"/>
  <c r="G1460" i="6"/>
  <c r="F1460" i="6"/>
  <c r="E1460" i="6"/>
  <c r="D1460" i="6"/>
  <c r="C1460" i="6"/>
  <c r="B1460" i="6"/>
  <c r="A1460" i="6"/>
  <c r="G1459" i="6"/>
  <c r="F1459" i="6"/>
  <c r="E1459" i="6"/>
  <c r="D1459" i="6"/>
  <c r="C1459" i="6"/>
  <c r="B1459" i="6"/>
  <c r="A1459" i="6"/>
  <c r="G1458" i="6"/>
  <c r="F1458" i="6"/>
  <c r="E1458" i="6"/>
  <c r="D1458" i="6"/>
  <c r="C1458" i="6"/>
  <c r="B1458" i="6"/>
  <c r="A1458" i="6"/>
  <c r="G1457" i="6"/>
  <c r="F1457" i="6"/>
  <c r="E1457" i="6"/>
  <c r="D1457" i="6"/>
  <c r="C1457" i="6"/>
  <c r="B1457" i="6"/>
  <c r="A1457" i="6"/>
  <c r="G1456" i="6"/>
  <c r="F1456" i="6"/>
  <c r="E1456" i="6"/>
  <c r="D1456" i="6"/>
  <c r="C1456" i="6"/>
  <c r="B1456" i="6"/>
  <c r="A1456" i="6"/>
  <c r="G1455" i="6"/>
  <c r="F1455" i="6"/>
  <c r="E1455" i="6"/>
  <c r="D1455" i="6"/>
  <c r="C1455" i="6"/>
  <c r="B1455" i="6"/>
  <c r="A1455" i="6"/>
  <c r="G1454" i="6"/>
  <c r="F1454" i="6"/>
  <c r="E1454" i="6"/>
  <c r="D1454" i="6"/>
  <c r="C1454" i="6"/>
  <c r="B1454" i="6"/>
  <c r="A1454" i="6"/>
  <c r="G1453" i="6"/>
  <c r="F1453" i="6"/>
  <c r="E1453" i="6"/>
  <c r="D1453" i="6"/>
  <c r="C1453" i="6"/>
  <c r="B1453" i="6"/>
  <c r="A1453" i="6"/>
  <c r="G1452" i="6"/>
  <c r="F1452" i="6"/>
  <c r="E1452" i="6"/>
  <c r="D1452" i="6"/>
  <c r="C1452" i="6"/>
  <c r="B1452" i="6"/>
  <c r="A1452" i="6"/>
  <c r="G1451" i="6"/>
  <c r="F1451" i="6"/>
  <c r="E1451" i="6"/>
  <c r="D1451" i="6"/>
  <c r="C1451" i="6"/>
  <c r="B1451" i="6"/>
  <c r="A1451" i="6"/>
  <c r="G1450" i="6"/>
  <c r="F1450" i="6"/>
  <c r="E1450" i="6"/>
  <c r="D1450" i="6"/>
  <c r="C1450" i="6"/>
  <c r="B1450" i="6"/>
  <c r="A1450" i="6"/>
  <c r="G1449" i="6"/>
  <c r="F1449" i="6"/>
  <c r="E1449" i="6"/>
  <c r="D1449" i="6"/>
  <c r="C1449" i="6"/>
  <c r="B1449" i="6"/>
  <c r="A1449" i="6"/>
  <c r="G1448" i="6"/>
  <c r="F1448" i="6"/>
  <c r="E1448" i="6"/>
  <c r="D1448" i="6"/>
  <c r="C1448" i="6"/>
  <c r="B1448" i="6"/>
  <c r="A1448" i="6"/>
  <c r="G1447" i="6"/>
  <c r="F1447" i="6"/>
  <c r="E1447" i="6"/>
  <c r="D1447" i="6"/>
  <c r="C1447" i="6"/>
  <c r="B1447" i="6"/>
  <c r="A1447" i="6"/>
  <c r="G1446" i="6"/>
  <c r="F1446" i="6"/>
  <c r="E1446" i="6"/>
  <c r="D1446" i="6"/>
  <c r="C1446" i="6"/>
  <c r="B1446" i="6"/>
  <c r="A1446" i="6"/>
  <c r="G1445" i="6"/>
  <c r="F1445" i="6"/>
  <c r="E1445" i="6"/>
  <c r="D1445" i="6"/>
  <c r="C1445" i="6"/>
  <c r="B1445" i="6"/>
  <c r="A1445" i="6"/>
  <c r="G1444" i="6"/>
  <c r="F1444" i="6"/>
  <c r="E1444" i="6"/>
  <c r="D1444" i="6"/>
  <c r="C1444" i="6"/>
  <c r="B1444" i="6"/>
  <c r="A1444" i="6"/>
  <c r="G1443" i="6"/>
  <c r="F1443" i="6"/>
  <c r="E1443" i="6"/>
  <c r="D1443" i="6"/>
  <c r="C1443" i="6"/>
  <c r="B1443" i="6"/>
  <c r="A1443" i="6"/>
  <c r="G1442" i="6"/>
  <c r="F1442" i="6"/>
  <c r="E1442" i="6"/>
  <c r="D1442" i="6"/>
  <c r="C1442" i="6"/>
  <c r="B1442" i="6"/>
  <c r="A1442" i="6"/>
  <c r="G1441" i="6"/>
  <c r="F1441" i="6"/>
  <c r="E1441" i="6"/>
  <c r="D1441" i="6"/>
  <c r="C1441" i="6"/>
  <c r="B1441" i="6"/>
  <c r="A1441" i="6"/>
  <c r="G1440" i="6"/>
  <c r="F1440" i="6"/>
  <c r="E1440" i="6"/>
  <c r="D1440" i="6"/>
  <c r="C1440" i="6"/>
  <c r="B1440" i="6"/>
  <c r="A1440" i="6"/>
  <c r="G1439" i="6"/>
  <c r="F1439" i="6"/>
  <c r="E1439" i="6"/>
  <c r="D1439" i="6"/>
  <c r="C1439" i="6"/>
  <c r="B1439" i="6"/>
  <c r="A1439" i="6"/>
  <c r="G1438" i="6"/>
  <c r="F1438" i="6"/>
  <c r="E1438" i="6"/>
  <c r="D1438" i="6"/>
  <c r="C1438" i="6"/>
  <c r="B1438" i="6"/>
  <c r="A1438" i="6"/>
  <c r="G1437" i="6"/>
  <c r="F1437" i="6"/>
  <c r="E1437" i="6"/>
  <c r="D1437" i="6"/>
  <c r="C1437" i="6"/>
  <c r="B1437" i="6"/>
  <c r="A1437" i="6"/>
  <c r="G1436" i="6"/>
  <c r="F1436" i="6"/>
  <c r="E1436" i="6"/>
  <c r="D1436" i="6"/>
  <c r="C1436" i="6"/>
  <c r="B1436" i="6"/>
  <c r="A1436" i="6"/>
  <c r="G1435" i="6"/>
  <c r="F1435" i="6"/>
  <c r="E1435" i="6"/>
  <c r="D1435" i="6"/>
  <c r="C1435" i="6"/>
  <c r="B1435" i="6"/>
  <c r="A1435" i="6"/>
  <c r="G1434" i="6"/>
  <c r="F1434" i="6"/>
  <c r="E1434" i="6"/>
  <c r="D1434" i="6"/>
  <c r="C1434" i="6"/>
  <c r="B1434" i="6"/>
  <c r="A1434" i="6"/>
  <c r="G1433" i="6"/>
  <c r="F1433" i="6"/>
  <c r="E1433" i="6"/>
  <c r="D1433" i="6"/>
  <c r="C1433" i="6"/>
  <c r="B1433" i="6"/>
  <c r="A1433" i="6"/>
  <c r="G1432" i="6"/>
  <c r="F1432" i="6"/>
  <c r="E1432" i="6"/>
  <c r="D1432" i="6"/>
  <c r="C1432" i="6"/>
  <c r="B1432" i="6"/>
  <c r="A1432" i="6"/>
  <c r="G1431" i="6"/>
  <c r="F1431" i="6"/>
  <c r="E1431" i="6"/>
  <c r="D1431" i="6"/>
  <c r="C1431" i="6"/>
  <c r="B1431" i="6"/>
  <c r="A1431" i="6"/>
  <c r="G1430" i="6"/>
  <c r="F1430" i="6"/>
  <c r="E1430" i="6"/>
  <c r="D1430" i="6"/>
  <c r="C1430" i="6"/>
  <c r="B1430" i="6"/>
  <c r="A1430" i="6"/>
  <c r="G1429" i="6"/>
  <c r="F1429" i="6"/>
  <c r="E1429" i="6"/>
  <c r="D1429" i="6"/>
  <c r="C1429" i="6"/>
  <c r="B1429" i="6"/>
  <c r="A1429" i="6"/>
  <c r="G1428" i="6"/>
  <c r="F1428" i="6"/>
  <c r="E1428" i="6"/>
  <c r="D1428" i="6"/>
  <c r="C1428" i="6"/>
  <c r="B1428" i="6"/>
  <c r="A1428" i="6"/>
  <c r="G1427" i="6"/>
  <c r="F1427" i="6"/>
  <c r="E1427" i="6"/>
  <c r="D1427" i="6"/>
  <c r="C1427" i="6"/>
  <c r="B1427" i="6"/>
  <c r="A1427" i="6"/>
  <c r="G1426" i="6"/>
  <c r="F1426" i="6"/>
  <c r="E1426" i="6"/>
  <c r="D1426" i="6"/>
  <c r="C1426" i="6"/>
  <c r="B1426" i="6"/>
  <c r="A1426" i="6"/>
  <c r="G1425" i="6"/>
  <c r="F1425" i="6"/>
  <c r="E1425" i="6"/>
  <c r="D1425" i="6"/>
  <c r="C1425" i="6"/>
  <c r="B1425" i="6"/>
  <c r="A1425" i="6"/>
  <c r="G1424" i="6"/>
  <c r="F1424" i="6"/>
  <c r="E1424" i="6"/>
  <c r="D1424" i="6"/>
  <c r="C1424" i="6"/>
  <c r="B1424" i="6"/>
  <c r="A1424" i="6"/>
  <c r="G1423" i="6"/>
  <c r="F1423" i="6"/>
  <c r="E1423" i="6"/>
  <c r="D1423" i="6"/>
  <c r="C1423" i="6"/>
  <c r="B1423" i="6"/>
  <c r="A1423" i="6"/>
  <c r="G1422" i="6"/>
  <c r="F1422" i="6"/>
  <c r="E1422" i="6"/>
  <c r="D1422" i="6"/>
  <c r="C1422" i="6"/>
  <c r="B1422" i="6"/>
  <c r="A1422" i="6"/>
  <c r="G1421" i="6"/>
  <c r="F1421" i="6"/>
  <c r="E1421" i="6"/>
  <c r="D1421" i="6"/>
  <c r="C1421" i="6"/>
  <c r="B1421" i="6"/>
  <c r="A1421" i="6"/>
  <c r="G1420" i="6"/>
  <c r="F1420" i="6"/>
  <c r="E1420" i="6"/>
  <c r="D1420" i="6"/>
  <c r="C1420" i="6"/>
  <c r="B1420" i="6"/>
  <c r="A1420" i="6"/>
  <c r="G1419" i="6"/>
  <c r="F1419" i="6"/>
  <c r="E1419" i="6"/>
  <c r="D1419" i="6"/>
  <c r="C1419" i="6"/>
  <c r="B1419" i="6"/>
  <c r="A1419" i="6"/>
  <c r="G1418" i="6"/>
  <c r="F1418" i="6"/>
  <c r="E1418" i="6"/>
  <c r="D1418" i="6"/>
  <c r="C1418" i="6"/>
  <c r="B1418" i="6"/>
  <c r="A1418" i="6"/>
  <c r="G1417" i="6"/>
  <c r="F1417" i="6"/>
  <c r="E1417" i="6"/>
  <c r="D1417" i="6"/>
  <c r="C1417" i="6"/>
  <c r="B1417" i="6"/>
  <c r="A1417" i="6"/>
  <c r="G1416" i="6"/>
  <c r="F1416" i="6"/>
  <c r="E1416" i="6"/>
  <c r="D1416" i="6"/>
  <c r="C1416" i="6"/>
  <c r="B1416" i="6"/>
  <c r="A1416" i="6"/>
  <c r="G1415" i="6"/>
  <c r="F1415" i="6"/>
  <c r="E1415" i="6"/>
  <c r="D1415" i="6"/>
  <c r="C1415" i="6"/>
  <c r="B1415" i="6"/>
  <c r="A1415" i="6"/>
  <c r="G1414" i="6"/>
  <c r="F1414" i="6"/>
  <c r="E1414" i="6"/>
  <c r="D1414" i="6"/>
  <c r="C1414" i="6"/>
  <c r="B1414" i="6"/>
  <c r="A1414" i="6"/>
  <c r="G1413" i="6"/>
  <c r="F1413" i="6"/>
  <c r="E1413" i="6"/>
  <c r="D1413" i="6"/>
  <c r="C1413" i="6"/>
  <c r="B1413" i="6"/>
  <c r="A1413" i="6"/>
  <c r="G1412" i="6"/>
  <c r="F1412" i="6"/>
  <c r="E1412" i="6"/>
  <c r="D1412" i="6"/>
  <c r="C1412" i="6"/>
  <c r="B1412" i="6"/>
  <c r="A1412" i="6"/>
  <c r="G1411" i="6"/>
  <c r="F1411" i="6"/>
  <c r="E1411" i="6"/>
  <c r="D1411" i="6"/>
  <c r="C1411" i="6"/>
  <c r="B1411" i="6"/>
  <c r="A1411" i="6"/>
  <c r="G1410" i="6"/>
  <c r="F1410" i="6"/>
  <c r="E1410" i="6"/>
  <c r="D1410" i="6"/>
  <c r="C1410" i="6"/>
  <c r="B1410" i="6"/>
  <c r="A1410" i="6"/>
  <c r="G1409" i="6"/>
  <c r="F1409" i="6"/>
  <c r="E1409" i="6"/>
  <c r="D1409" i="6"/>
  <c r="C1409" i="6"/>
  <c r="B1409" i="6"/>
  <c r="A1409" i="6"/>
  <c r="G1408" i="6"/>
  <c r="F1408" i="6"/>
  <c r="E1408" i="6"/>
  <c r="D1408" i="6"/>
  <c r="C1408" i="6"/>
  <c r="B1408" i="6"/>
  <c r="A1408" i="6"/>
  <c r="G1407" i="6"/>
  <c r="F1407" i="6"/>
  <c r="E1407" i="6"/>
  <c r="D1407" i="6"/>
  <c r="C1407" i="6"/>
  <c r="B1407" i="6"/>
  <c r="A1407" i="6"/>
  <c r="G1406" i="6"/>
  <c r="F1406" i="6"/>
  <c r="E1406" i="6"/>
  <c r="D1406" i="6"/>
  <c r="C1406" i="6"/>
  <c r="B1406" i="6"/>
  <c r="A1406" i="6"/>
  <c r="G1405" i="6"/>
  <c r="F1405" i="6"/>
  <c r="E1405" i="6"/>
  <c r="D1405" i="6"/>
  <c r="C1405" i="6"/>
  <c r="B1405" i="6"/>
  <c r="A1405" i="6"/>
  <c r="G1404" i="6"/>
  <c r="F1404" i="6"/>
  <c r="E1404" i="6"/>
  <c r="D1404" i="6"/>
  <c r="C1404" i="6"/>
  <c r="B1404" i="6"/>
  <c r="A1404" i="6"/>
  <c r="G1403" i="6"/>
  <c r="F1403" i="6"/>
  <c r="E1403" i="6"/>
  <c r="D1403" i="6"/>
  <c r="C1403" i="6"/>
  <c r="B1403" i="6"/>
  <c r="A1403" i="6"/>
  <c r="G1402" i="6"/>
  <c r="F1402" i="6"/>
  <c r="E1402" i="6"/>
  <c r="D1402" i="6"/>
  <c r="C1402" i="6"/>
  <c r="B1402" i="6"/>
  <c r="A1402" i="6"/>
  <c r="G1401" i="6"/>
  <c r="F1401" i="6"/>
  <c r="E1401" i="6"/>
  <c r="D1401" i="6"/>
  <c r="C1401" i="6"/>
  <c r="B1401" i="6"/>
  <c r="A1401" i="6"/>
  <c r="G1400" i="6"/>
  <c r="F1400" i="6"/>
  <c r="E1400" i="6"/>
  <c r="D1400" i="6"/>
  <c r="C1400" i="6"/>
  <c r="B1400" i="6"/>
  <c r="A1400" i="6"/>
  <c r="G1399" i="6"/>
  <c r="F1399" i="6"/>
  <c r="E1399" i="6"/>
  <c r="D1399" i="6"/>
  <c r="C1399" i="6"/>
  <c r="B1399" i="6"/>
  <c r="A1399" i="6"/>
  <c r="G1398" i="6"/>
  <c r="F1398" i="6"/>
  <c r="E1398" i="6"/>
  <c r="D1398" i="6"/>
  <c r="C1398" i="6"/>
  <c r="B1398" i="6"/>
  <c r="A1398" i="6"/>
  <c r="G1397" i="6"/>
  <c r="F1397" i="6"/>
  <c r="E1397" i="6"/>
  <c r="D1397" i="6"/>
  <c r="C1397" i="6"/>
  <c r="B1397" i="6"/>
  <c r="A1397" i="6"/>
  <c r="G1396" i="6"/>
  <c r="F1396" i="6"/>
  <c r="E1396" i="6"/>
  <c r="D1396" i="6"/>
  <c r="C1396" i="6"/>
  <c r="B1396" i="6"/>
  <c r="A1396" i="6"/>
  <c r="G1395" i="6"/>
  <c r="F1395" i="6"/>
  <c r="E1395" i="6"/>
  <c r="D1395" i="6"/>
  <c r="C1395" i="6"/>
  <c r="B1395" i="6"/>
  <c r="A1395" i="6"/>
  <c r="G1394" i="6"/>
  <c r="F1394" i="6"/>
  <c r="E1394" i="6"/>
  <c r="D1394" i="6"/>
  <c r="C1394" i="6"/>
  <c r="B1394" i="6"/>
  <c r="A1394" i="6"/>
  <c r="G1393" i="6"/>
  <c r="F1393" i="6"/>
  <c r="E1393" i="6"/>
  <c r="D1393" i="6"/>
  <c r="C1393" i="6"/>
  <c r="B1393" i="6"/>
  <c r="A1393" i="6"/>
  <c r="G1392" i="6"/>
  <c r="F1392" i="6"/>
  <c r="E1392" i="6"/>
  <c r="D1392" i="6"/>
  <c r="C1392" i="6"/>
  <c r="B1392" i="6"/>
  <c r="A1392" i="6"/>
  <c r="G1391" i="6"/>
  <c r="F1391" i="6"/>
  <c r="E1391" i="6"/>
  <c r="D1391" i="6"/>
  <c r="C1391" i="6"/>
  <c r="B1391" i="6"/>
  <c r="A1391" i="6"/>
  <c r="G1390" i="6"/>
  <c r="F1390" i="6"/>
  <c r="E1390" i="6"/>
  <c r="D1390" i="6"/>
  <c r="C1390" i="6"/>
  <c r="B1390" i="6"/>
  <c r="A1390" i="6"/>
  <c r="G1389" i="6"/>
  <c r="F1389" i="6"/>
  <c r="E1389" i="6"/>
  <c r="D1389" i="6"/>
  <c r="C1389" i="6"/>
  <c r="B1389" i="6"/>
  <c r="A1389" i="6"/>
  <c r="G1388" i="6"/>
  <c r="F1388" i="6"/>
  <c r="E1388" i="6"/>
  <c r="D1388" i="6"/>
  <c r="C1388" i="6"/>
  <c r="B1388" i="6"/>
  <c r="A1388" i="6"/>
  <c r="G1387" i="6"/>
  <c r="F1387" i="6"/>
  <c r="E1387" i="6"/>
  <c r="D1387" i="6"/>
  <c r="C1387" i="6"/>
  <c r="B1387" i="6"/>
  <c r="A1387" i="6"/>
  <c r="G1386" i="6"/>
  <c r="F1386" i="6"/>
  <c r="E1386" i="6"/>
  <c r="D1386" i="6"/>
  <c r="C1386" i="6"/>
  <c r="B1386" i="6"/>
  <c r="A1386" i="6"/>
  <c r="G1385" i="6"/>
  <c r="F1385" i="6"/>
  <c r="E1385" i="6"/>
  <c r="D1385" i="6"/>
  <c r="C1385" i="6"/>
  <c r="B1385" i="6"/>
  <c r="A1385" i="6"/>
  <c r="G1384" i="6"/>
  <c r="F1384" i="6"/>
  <c r="E1384" i="6"/>
  <c r="D1384" i="6"/>
  <c r="C1384" i="6"/>
  <c r="B1384" i="6"/>
  <c r="A1384" i="6"/>
  <c r="G1383" i="6"/>
  <c r="F1383" i="6"/>
  <c r="E1383" i="6"/>
  <c r="D1383" i="6"/>
  <c r="C1383" i="6"/>
  <c r="B1383" i="6"/>
  <c r="A1383" i="6"/>
  <c r="G1382" i="6"/>
  <c r="F1382" i="6"/>
  <c r="E1382" i="6"/>
  <c r="D1382" i="6"/>
  <c r="C1382" i="6"/>
  <c r="B1382" i="6"/>
  <c r="A1382" i="6"/>
  <c r="G1381" i="6"/>
  <c r="F1381" i="6"/>
  <c r="E1381" i="6"/>
  <c r="D1381" i="6"/>
  <c r="C1381" i="6"/>
  <c r="B1381" i="6"/>
  <c r="A1381" i="6"/>
  <c r="G1380" i="6"/>
  <c r="F1380" i="6"/>
  <c r="E1380" i="6"/>
  <c r="D1380" i="6"/>
  <c r="C1380" i="6"/>
  <c r="B1380" i="6"/>
  <c r="A1380" i="6"/>
  <c r="G1379" i="6"/>
  <c r="F1379" i="6"/>
  <c r="E1379" i="6"/>
  <c r="D1379" i="6"/>
  <c r="C1379" i="6"/>
  <c r="B1379" i="6"/>
  <c r="A1379" i="6"/>
  <c r="G1378" i="6"/>
  <c r="F1378" i="6"/>
  <c r="E1378" i="6"/>
  <c r="D1378" i="6"/>
  <c r="C1378" i="6"/>
  <c r="B1378" i="6"/>
  <c r="A1378" i="6"/>
  <c r="G1377" i="6"/>
  <c r="F1377" i="6"/>
  <c r="E1377" i="6"/>
  <c r="D1377" i="6"/>
  <c r="C1377" i="6"/>
  <c r="B1377" i="6"/>
  <c r="A1377" i="6"/>
  <c r="G1376" i="6"/>
  <c r="F1376" i="6"/>
  <c r="E1376" i="6"/>
  <c r="D1376" i="6"/>
  <c r="C1376" i="6"/>
  <c r="B1376" i="6"/>
  <c r="A1376" i="6"/>
  <c r="G1375" i="6"/>
  <c r="F1375" i="6"/>
  <c r="E1375" i="6"/>
  <c r="D1375" i="6"/>
  <c r="C1375" i="6"/>
  <c r="B1375" i="6"/>
  <c r="A1375" i="6"/>
  <c r="G1374" i="6"/>
  <c r="F1374" i="6"/>
  <c r="E1374" i="6"/>
  <c r="D1374" i="6"/>
  <c r="C1374" i="6"/>
  <c r="B1374" i="6"/>
  <c r="A1374" i="6"/>
  <c r="G1373" i="6"/>
  <c r="F1373" i="6"/>
  <c r="E1373" i="6"/>
  <c r="D1373" i="6"/>
  <c r="C1373" i="6"/>
  <c r="B1373" i="6"/>
  <c r="A1373" i="6"/>
  <c r="G1372" i="6"/>
  <c r="F1372" i="6"/>
  <c r="E1372" i="6"/>
  <c r="D1372" i="6"/>
  <c r="C1372" i="6"/>
  <c r="B1372" i="6"/>
  <c r="A1372" i="6"/>
  <c r="G1371" i="6"/>
  <c r="F1371" i="6"/>
  <c r="E1371" i="6"/>
  <c r="D1371" i="6"/>
  <c r="C1371" i="6"/>
  <c r="B1371" i="6"/>
  <c r="A1371" i="6"/>
  <c r="G1370" i="6"/>
  <c r="F1370" i="6"/>
  <c r="E1370" i="6"/>
  <c r="D1370" i="6"/>
  <c r="C1370" i="6"/>
  <c r="B1370" i="6"/>
  <c r="A1370" i="6"/>
  <c r="G1369" i="6"/>
  <c r="F1369" i="6"/>
  <c r="E1369" i="6"/>
  <c r="D1369" i="6"/>
  <c r="C1369" i="6"/>
  <c r="B1369" i="6"/>
  <c r="A1369" i="6"/>
  <c r="G1368" i="6"/>
  <c r="F1368" i="6"/>
  <c r="E1368" i="6"/>
  <c r="D1368" i="6"/>
  <c r="C1368" i="6"/>
  <c r="B1368" i="6"/>
  <c r="A1368" i="6"/>
  <c r="G1367" i="6"/>
  <c r="F1367" i="6"/>
  <c r="E1367" i="6"/>
  <c r="D1367" i="6"/>
  <c r="C1367" i="6"/>
  <c r="B1367" i="6"/>
  <c r="A1367" i="6"/>
  <c r="G1366" i="6"/>
  <c r="F1366" i="6"/>
  <c r="E1366" i="6"/>
  <c r="D1366" i="6"/>
  <c r="C1366" i="6"/>
  <c r="B1366" i="6"/>
  <c r="A1366" i="6"/>
  <c r="G1365" i="6"/>
  <c r="F1365" i="6"/>
  <c r="E1365" i="6"/>
  <c r="D1365" i="6"/>
  <c r="C1365" i="6"/>
  <c r="B1365" i="6"/>
  <c r="A1365" i="6"/>
  <c r="G1364" i="6"/>
  <c r="F1364" i="6"/>
  <c r="E1364" i="6"/>
  <c r="D1364" i="6"/>
  <c r="C1364" i="6"/>
  <c r="B1364" i="6"/>
  <c r="A1364" i="6"/>
  <c r="G1363" i="6"/>
  <c r="F1363" i="6"/>
  <c r="E1363" i="6"/>
  <c r="D1363" i="6"/>
  <c r="C1363" i="6"/>
  <c r="B1363" i="6"/>
  <c r="A1363" i="6"/>
  <c r="G1362" i="6"/>
  <c r="F1362" i="6"/>
  <c r="E1362" i="6"/>
  <c r="D1362" i="6"/>
  <c r="C1362" i="6"/>
  <c r="B1362" i="6"/>
  <c r="A1362" i="6"/>
  <c r="G1361" i="6"/>
  <c r="F1361" i="6"/>
  <c r="E1361" i="6"/>
  <c r="D1361" i="6"/>
  <c r="C1361" i="6"/>
  <c r="B1361" i="6"/>
  <c r="A1361" i="6"/>
  <c r="G1360" i="6"/>
  <c r="F1360" i="6"/>
  <c r="E1360" i="6"/>
  <c r="D1360" i="6"/>
  <c r="C1360" i="6"/>
  <c r="B1360" i="6"/>
  <c r="A1360" i="6"/>
  <c r="G1359" i="6"/>
  <c r="F1359" i="6"/>
  <c r="E1359" i="6"/>
  <c r="D1359" i="6"/>
  <c r="C1359" i="6"/>
  <c r="B1359" i="6"/>
  <c r="A1359" i="6"/>
  <c r="G1358" i="6"/>
  <c r="F1358" i="6"/>
  <c r="E1358" i="6"/>
  <c r="D1358" i="6"/>
  <c r="C1358" i="6"/>
  <c r="B1358" i="6"/>
  <c r="A1358" i="6"/>
  <c r="G1357" i="6"/>
  <c r="F1357" i="6"/>
  <c r="E1357" i="6"/>
  <c r="D1357" i="6"/>
  <c r="C1357" i="6"/>
  <c r="B1357" i="6"/>
  <c r="A1357" i="6"/>
  <c r="G1356" i="6"/>
  <c r="F1356" i="6"/>
  <c r="E1356" i="6"/>
  <c r="D1356" i="6"/>
  <c r="C1356" i="6"/>
  <c r="B1356" i="6"/>
  <c r="A1356" i="6"/>
  <c r="G1355" i="6"/>
  <c r="F1355" i="6"/>
  <c r="E1355" i="6"/>
  <c r="D1355" i="6"/>
  <c r="C1355" i="6"/>
  <c r="B1355" i="6"/>
  <c r="A1355" i="6"/>
  <c r="G1354" i="6"/>
  <c r="F1354" i="6"/>
  <c r="E1354" i="6"/>
  <c r="D1354" i="6"/>
  <c r="C1354" i="6"/>
  <c r="B1354" i="6"/>
  <c r="A1354" i="6"/>
  <c r="G1353" i="6"/>
  <c r="F1353" i="6"/>
  <c r="E1353" i="6"/>
  <c r="D1353" i="6"/>
  <c r="C1353" i="6"/>
  <c r="B1353" i="6"/>
  <c r="A1353" i="6"/>
  <c r="G1352" i="6"/>
  <c r="F1352" i="6"/>
  <c r="E1352" i="6"/>
  <c r="D1352" i="6"/>
  <c r="C1352" i="6"/>
  <c r="B1352" i="6"/>
  <c r="A1352" i="6"/>
  <c r="G1351" i="6"/>
  <c r="F1351" i="6"/>
  <c r="E1351" i="6"/>
  <c r="D1351" i="6"/>
  <c r="C1351" i="6"/>
  <c r="B1351" i="6"/>
  <c r="A1351" i="6"/>
  <c r="G1350" i="6"/>
  <c r="F1350" i="6"/>
  <c r="E1350" i="6"/>
  <c r="D1350" i="6"/>
  <c r="C1350" i="6"/>
  <c r="B1350" i="6"/>
  <c r="A1350" i="6"/>
  <c r="G1349" i="6"/>
  <c r="F1349" i="6"/>
  <c r="E1349" i="6"/>
  <c r="D1349" i="6"/>
  <c r="C1349" i="6"/>
  <c r="B1349" i="6"/>
  <c r="A1349" i="6"/>
  <c r="G1348" i="6"/>
  <c r="F1348" i="6"/>
  <c r="E1348" i="6"/>
  <c r="D1348" i="6"/>
  <c r="C1348" i="6"/>
  <c r="B1348" i="6"/>
  <c r="A1348" i="6"/>
  <c r="G1347" i="6"/>
  <c r="F1347" i="6"/>
  <c r="E1347" i="6"/>
  <c r="D1347" i="6"/>
  <c r="C1347" i="6"/>
  <c r="B1347" i="6"/>
  <c r="A1347" i="6"/>
  <c r="G1346" i="6"/>
  <c r="F1346" i="6"/>
  <c r="E1346" i="6"/>
  <c r="D1346" i="6"/>
  <c r="C1346" i="6"/>
  <c r="B1346" i="6"/>
  <c r="A1346" i="6"/>
  <c r="G1345" i="6"/>
  <c r="F1345" i="6"/>
  <c r="E1345" i="6"/>
  <c r="D1345" i="6"/>
  <c r="C1345" i="6"/>
  <c r="B1345" i="6"/>
  <c r="A1345" i="6"/>
  <c r="G1344" i="6"/>
  <c r="F1344" i="6"/>
  <c r="E1344" i="6"/>
  <c r="D1344" i="6"/>
  <c r="C1344" i="6"/>
  <c r="B1344" i="6"/>
  <c r="A1344" i="6"/>
  <c r="G1343" i="6"/>
  <c r="F1343" i="6"/>
  <c r="E1343" i="6"/>
  <c r="D1343" i="6"/>
  <c r="C1343" i="6"/>
  <c r="B1343" i="6"/>
  <c r="A1343" i="6"/>
  <c r="G1342" i="6"/>
  <c r="F1342" i="6"/>
  <c r="E1342" i="6"/>
  <c r="D1342" i="6"/>
  <c r="C1342" i="6"/>
  <c r="B1342" i="6"/>
  <c r="A1342" i="6"/>
  <c r="G1341" i="6"/>
  <c r="F1341" i="6"/>
  <c r="E1341" i="6"/>
  <c r="D1341" i="6"/>
  <c r="C1341" i="6"/>
  <c r="B1341" i="6"/>
  <c r="A1341" i="6"/>
  <c r="G1340" i="6"/>
  <c r="F1340" i="6"/>
  <c r="E1340" i="6"/>
  <c r="D1340" i="6"/>
  <c r="C1340" i="6"/>
  <c r="B1340" i="6"/>
  <c r="A1340" i="6"/>
  <c r="G1339" i="6"/>
  <c r="F1339" i="6"/>
  <c r="E1339" i="6"/>
  <c r="D1339" i="6"/>
  <c r="C1339" i="6"/>
  <c r="B1339" i="6"/>
  <c r="A1339" i="6"/>
  <c r="G1338" i="6"/>
  <c r="F1338" i="6"/>
  <c r="E1338" i="6"/>
  <c r="D1338" i="6"/>
  <c r="C1338" i="6"/>
  <c r="B1338" i="6"/>
  <c r="A1338" i="6"/>
  <c r="G1337" i="6"/>
  <c r="F1337" i="6"/>
  <c r="E1337" i="6"/>
  <c r="D1337" i="6"/>
  <c r="C1337" i="6"/>
  <c r="B1337" i="6"/>
  <c r="A1337" i="6"/>
  <c r="G1336" i="6"/>
  <c r="F1336" i="6"/>
  <c r="E1336" i="6"/>
  <c r="D1336" i="6"/>
  <c r="C1336" i="6"/>
  <c r="B1336" i="6"/>
  <c r="A1336" i="6"/>
  <c r="G1335" i="6"/>
  <c r="F1335" i="6"/>
  <c r="E1335" i="6"/>
  <c r="D1335" i="6"/>
  <c r="C1335" i="6"/>
  <c r="B1335" i="6"/>
  <c r="A1335" i="6"/>
  <c r="G1334" i="6"/>
  <c r="F1334" i="6"/>
  <c r="E1334" i="6"/>
  <c r="D1334" i="6"/>
  <c r="C1334" i="6"/>
  <c r="B1334" i="6"/>
  <c r="A1334" i="6"/>
  <c r="G1333" i="6"/>
  <c r="F1333" i="6"/>
  <c r="E1333" i="6"/>
  <c r="D1333" i="6"/>
  <c r="C1333" i="6"/>
  <c r="B1333" i="6"/>
  <c r="A1333" i="6"/>
  <c r="G1332" i="6"/>
  <c r="F1332" i="6"/>
  <c r="E1332" i="6"/>
  <c r="D1332" i="6"/>
  <c r="C1332" i="6"/>
  <c r="B1332" i="6"/>
  <c r="A1332" i="6"/>
  <c r="G1331" i="6"/>
  <c r="F1331" i="6"/>
  <c r="E1331" i="6"/>
  <c r="D1331" i="6"/>
  <c r="C1331" i="6"/>
  <c r="B1331" i="6"/>
  <c r="A1331" i="6"/>
  <c r="G1330" i="6"/>
  <c r="F1330" i="6"/>
  <c r="E1330" i="6"/>
  <c r="D1330" i="6"/>
  <c r="C1330" i="6"/>
  <c r="B1330" i="6"/>
  <c r="A1330" i="6"/>
  <c r="G1329" i="6"/>
  <c r="F1329" i="6"/>
  <c r="E1329" i="6"/>
  <c r="D1329" i="6"/>
  <c r="C1329" i="6"/>
  <c r="B1329" i="6"/>
  <c r="A1329" i="6"/>
  <c r="G1328" i="6"/>
  <c r="F1328" i="6"/>
  <c r="E1328" i="6"/>
  <c r="D1328" i="6"/>
  <c r="C1328" i="6"/>
  <c r="B1328" i="6"/>
  <c r="A1328" i="6"/>
  <c r="G1327" i="6"/>
  <c r="F1327" i="6"/>
  <c r="E1327" i="6"/>
  <c r="D1327" i="6"/>
  <c r="C1327" i="6"/>
  <c r="B1327" i="6"/>
  <c r="A1327" i="6"/>
  <c r="G1326" i="6"/>
  <c r="F1326" i="6"/>
  <c r="E1326" i="6"/>
  <c r="D1326" i="6"/>
  <c r="C1326" i="6"/>
  <c r="B1326" i="6"/>
  <c r="A1326" i="6"/>
  <c r="G1325" i="6"/>
  <c r="F1325" i="6"/>
  <c r="E1325" i="6"/>
  <c r="D1325" i="6"/>
  <c r="C1325" i="6"/>
  <c r="B1325" i="6"/>
  <c r="A1325" i="6"/>
  <c r="G1324" i="6"/>
  <c r="F1324" i="6"/>
  <c r="E1324" i="6"/>
  <c r="D1324" i="6"/>
  <c r="C1324" i="6"/>
  <c r="B1324" i="6"/>
  <c r="A1324" i="6"/>
  <c r="G1323" i="6"/>
  <c r="F1323" i="6"/>
  <c r="E1323" i="6"/>
  <c r="D1323" i="6"/>
  <c r="C1323" i="6"/>
  <c r="B1323" i="6"/>
  <c r="A1323" i="6"/>
  <c r="G1322" i="6"/>
  <c r="F1322" i="6"/>
  <c r="E1322" i="6"/>
  <c r="D1322" i="6"/>
  <c r="C1322" i="6"/>
  <c r="B1322" i="6"/>
  <c r="A1322" i="6"/>
  <c r="G1321" i="6"/>
  <c r="F1321" i="6"/>
  <c r="E1321" i="6"/>
  <c r="D1321" i="6"/>
  <c r="C1321" i="6"/>
  <c r="B1321" i="6"/>
  <c r="A1321" i="6"/>
  <c r="G1320" i="6"/>
  <c r="F1320" i="6"/>
  <c r="E1320" i="6"/>
  <c r="D1320" i="6"/>
  <c r="C1320" i="6"/>
  <c r="B1320" i="6"/>
  <c r="A1320" i="6"/>
  <c r="G1319" i="6"/>
  <c r="F1319" i="6"/>
  <c r="E1319" i="6"/>
  <c r="D1319" i="6"/>
  <c r="C1319" i="6"/>
  <c r="B1319" i="6"/>
  <c r="A1319" i="6"/>
  <c r="G1318" i="6"/>
  <c r="F1318" i="6"/>
  <c r="E1318" i="6"/>
  <c r="D1318" i="6"/>
  <c r="C1318" i="6"/>
  <c r="B1318" i="6"/>
  <c r="A1318" i="6"/>
  <c r="G1317" i="6"/>
  <c r="F1317" i="6"/>
  <c r="E1317" i="6"/>
  <c r="D1317" i="6"/>
  <c r="C1317" i="6"/>
  <c r="B1317" i="6"/>
  <c r="A1317" i="6"/>
  <c r="G1316" i="6"/>
  <c r="F1316" i="6"/>
  <c r="E1316" i="6"/>
  <c r="D1316" i="6"/>
  <c r="C1316" i="6"/>
  <c r="B1316" i="6"/>
  <c r="A1316" i="6"/>
  <c r="G1315" i="6"/>
  <c r="F1315" i="6"/>
  <c r="E1315" i="6"/>
  <c r="D1315" i="6"/>
  <c r="C1315" i="6"/>
  <c r="B1315" i="6"/>
  <c r="A1315" i="6"/>
  <c r="G1314" i="6"/>
  <c r="F1314" i="6"/>
  <c r="E1314" i="6"/>
  <c r="D1314" i="6"/>
  <c r="C1314" i="6"/>
  <c r="B1314" i="6"/>
  <c r="A1314" i="6"/>
  <c r="G1313" i="6"/>
  <c r="F1313" i="6"/>
  <c r="E1313" i="6"/>
  <c r="D1313" i="6"/>
  <c r="C1313" i="6"/>
  <c r="B1313" i="6"/>
  <c r="A1313" i="6"/>
  <c r="G1312" i="6"/>
  <c r="F1312" i="6"/>
  <c r="E1312" i="6"/>
  <c r="D1312" i="6"/>
  <c r="C1312" i="6"/>
  <c r="B1312" i="6"/>
  <c r="A1312" i="6"/>
  <c r="G1311" i="6"/>
  <c r="F1311" i="6"/>
  <c r="E1311" i="6"/>
  <c r="D1311" i="6"/>
  <c r="C1311" i="6"/>
  <c r="B1311" i="6"/>
  <c r="A1311" i="6"/>
  <c r="G1310" i="6"/>
  <c r="F1310" i="6"/>
  <c r="E1310" i="6"/>
  <c r="D1310" i="6"/>
  <c r="C1310" i="6"/>
  <c r="B1310" i="6"/>
  <c r="A1310" i="6"/>
  <c r="G1309" i="6"/>
  <c r="F1309" i="6"/>
  <c r="E1309" i="6"/>
  <c r="D1309" i="6"/>
  <c r="C1309" i="6"/>
  <c r="B1309" i="6"/>
  <c r="A1309" i="6"/>
  <c r="G1308" i="6"/>
  <c r="F1308" i="6"/>
  <c r="E1308" i="6"/>
  <c r="D1308" i="6"/>
  <c r="C1308" i="6"/>
  <c r="B1308" i="6"/>
  <c r="A1308" i="6"/>
  <c r="G1307" i="6"/>
  <c r="F1307" i="6"/>
  <c r="E1307" i="6"/>
  <c r="D1307" i="6"/>
  <c r="C1307" i="6"/>
  <c r="B1307" i="6"/>
  <c r="A1307" i="6"/>
  <c r="G1306" i="6"/>
  <c r="F1306" i="6"/>
  <c r="E1306" i="6"/>
  <c r="D1306" i="6"/>
  <c r="C1306" i="6"/>
  <c r="B1306" i="6"/>
  <c r="A1306" i="6"/>
  <c r="G1305" i="6"/>
  <c r="F1305" i="6"/>
  <c r="E1305" i="6"/>
  <c r="D1305" i="6"/>
  <c r="C1305" i="6"/>
  <c r="B1305" i="6"/>
  <c r="A1305" i="6"/>
  <c r="G1304" i="6"/>
  <c r="F1304" i="6"/>
  <c r="E1304" i="6"/>
  <c r="D1304" i="6"/>
  <c r="C1304" i="6"/>
  <c r="B1304" i="6"/>
  <c r="A1304" i="6"/>
  <c r="G1303" i="6"/>
  <c r="F1303" i="6"/>
  <c r="E1303" i="6"/>
  <c r="D1303" i="6"/>
  <c r="C1303" i="6"/>
  <c r="B1303" i="6"/>
  <c r="A1303" i="6"/>
  <c r="G1302" i="6"/>
  <c r="F1302" i="6"/>
  <c r="E1302" i="6"/>
  <c r="D1302" i="6"/>
  <c r="C1302" i="6"/>
  <c r="B1302" i="6"/>
  <c r="A1302" i="6"/>
  <c r="G1301" i="6"/>
  <c r="F1301" i="6"/>
  <c r="E1301" i="6"/>
  <c r="D1301" i="6"/>
  <c r="C1301" i="6"/>
  <c r="B1301" i="6"/>
  <c r="A1301" i="6"/>
  <c r="G1300" i="6"/>
  <c r="F1300" i="6"/>
  <c r="E1300" i="6"/>
  <c r="D1300" i="6"/>
  <c r="C1300" i="6"/>
  <c r="B1300" i="6"/>
  <c r="A1300" i="6"/>
  <c r="G1299" i="6"/>
  <c r="F1299" i="6"/>
  <c r="E1299" i="6"/>
  <c r="D1299" i="6"/>
  <c r="C1299" i="6"/>
  <c r="B1299" i="6"/>
  <c r="A1299" i="6"/>
  <c r="G1298" i="6"/>
  <c r="F1298" i="6"/>
  <c r="E1298" i="6"/>
  <c r="D1298" i="6"/>
  <c r="C1298" i="6"/>
  <c r="B1298" i="6"/>
  <c r="A1298" i="6"/>
  <c r="G1297" i="6"/>
  <c r="F1297" i="6"/>
  <c r="E1297" i="6"/>
  <c r="D1297" i="6"/>
  <c r="C1297" i="6"/>
  <c r="B1297" i="6"/>
  <c r="A1297" i="6"/>
  <c r="G1296" i="6"/>
  <c r="F1296" i="6"/>
  <c r="E1296" i="6"/>
  <c r="D1296" i="6"/>
  <c r="C1296" i="6"/>
  <c r="B1296" i="6"/>
  <c r="A1296" i="6"/>
  <c r="G1295" i="6"/>
  <c r="F1295" i="6"/>
  <c r="E1295" i="6"/>
  <c r="D1295" i="6"/>
  <c r="C1295" i="6"/>
  <c r="B1295" i="6"/>
  <c r="A1295" i="6"/>
  <c r="G1294" i="6"/>
  <c r="F1294" i="6"/>
  <c r="E1294" i="6"/>
  <c r="D1294" i="6"/>
  <c r="C1294" i="6"/>
  <c r="B1294" i="6"/>
  <c r="A1294" i="6"/>
  <c r="G1293" i="6"/>
  <c r="F1293" i="6"/>
  <c r="E1293" i="6"/>
  <c r="D1293" i="6"/>
  <c r="C1293" i="6"/>
  <c r="B1293" i="6"/>
  <c r="A1293" i="6"/>
  <c r="G1292" i="6"/>
  <c r="F1292" i="6"/>
  <c r="E1292" i="6"/>
  <c r="D1292" i="6"/>
  <c r="C1292" i="6"/>
  <c r="B1292" i="6"/>
  <c r="A1292" i="6"/>
  <c r="G1291" i="6"/>
  <c r="F1291" i="6"/>
  <c r="E1291" i="6"/>
  <c r="D1291" i="6"/>
  <c r="C1291" i="6"/>
  <c r="B1291" i="6"/>
  <c r="A1291" i="6"/>
  <c r="G1290" i="6"/>
  <c r="F1290" i="6"/>
  <c r="E1290" i="6"/>
  <c r="D1290" i="6"/>
  <c r="C1290" i="6"/>
  <c r="B1290" i="6"/>
  <c r="A1290" i="6"/>
  <c r="G1289" i="6"/>
  <c r="F1289" i="6"/>
  <c r="E1289" i="6"/>
  <c r="D1289" i="6"/>
  <c r="C1289" i="6"/>
  <c r="B1289" i="6"/>
  <c r="A1289" i="6"/>
  <c r="G1288" i="6"/>
  <c r="F1288" i="6"/>
  <c r="E1288" i="6"/>
  <c r="D1288" i="6"/>
  <c r="C1288" i="6"/>
  <c r="B1288" i="6"/>
  <c r="A1288" i="6"/>
  <c r="G1287" i="6"/>
  <c r="F1287" i="6"/>
  <c r="E1287" i="6"/>
  <c r="D1287" i="6"/>
  <c r="C1287" i="6"/>
  <c r="B1287" i="6"/>
  <c r="A1287" i="6"/>
  <c r="G1286" i="6"/>
  <c r="F1286" i="6"/>
  <c r="E1286" i="6"/>
  <c r="D1286" i="6"/>
  <c r="C1286" i="6"/>
  <c r="B1286" i="6"/>
  <c r="A1286" i="6"/>
  <c r="G1285" i="6"/>
  <c r="F1285" i="6"/>
  <c r="E1285" i="6"/>
  <c r="D1285" i="6"/>
  <c r="C1285" i="6"/>
  <c r="B1285" i="6"/>
  <c r="A1285" i="6"/>
  <c r="G1284" i="6"/>
  <c r="F1284" i="6"/>
  <c r="E1284" i="6"/>
  <c r="D1284" i="6"/>
  <c r="C1284" i="6"/>
  <c r="B1284" i="6"/>
  <c r="A1284" i="6"/>
  <c r="G1283" i="6"/>
  <c r="F1283" i="6"/>
  <c r="E1283" i="6"/>
  <c r="D1283" i="6"/>
  <c r="C1283" i="6"/>
  <c r="B1283" i="6"/>
  <c r="A1283" i="6"/>
  <c r="G1282" i="6"/>
  <c r="F1282" i="6"/>
  <c r="E1282" i="6"/>
  <c r="D1282" i="6"/>
  <c r="C1282" i="6"/>
  <c r="B1282" i="6"/>
  <c r="A1282" i="6"/>
  <c r="G1281" i="6"/>
  <c r="F1281" i="6"/>
  <c r="E1281" i="6"/>
  <c r="D1281" i="6"/>
  <c r="C1281" i="6"/>
  <c r="B1281" i="6"/>
  <c r="A1281" i="6"/>
  <c r="G1280" i="6"/>
  <c r="F1280" i="6"/>
  <c r="E1280" i="6"/>
  <c r="D1280" i="6"/>
  <c r="C1280" i="6"/>
  <c r="B1280" i="6"/>
  <c r="A1280" i="6"/>
  <c r="G1279" i="6"/>
  <c r="F1279" i="6"/>
  <c r="E1279" i="6"/>
  <c r="D1279" i="6"/>
  <c r="C1279" i="6"/>
  <c r="B1279" i="6"/>
  <c r="A1279" i="6"/>
  <c r="G1278" i="6"/>
  <c r="F1278" i="6"/>
  <c r="E1278" i="6"/>
  <c r="D1278" i="6"/>
  <c r="C1278" i="6"/>
  <c r="B1278" i="6"/>
  <c r="A1278" i="6"/>
  <c r="G1277" i="6"/>
  <c r="F1277" i="6"/>
  <c r="E1277" i="6"/>
  <c r="D1277" i="6"/>
  <c r="C1277" i="6"/>
  <c r="B1277" i="6"/>
  <c r="A1277" i="6"/>
  <c r="G1276" i="6"/>
  <c r="F1276" i="6"/>
  <c r="E1276" i="6"/>
  <c r="D1276" i="6"/>
  <c r="C1276" i="6"/>
  <c r="B1276" i="6"/>
  <c r="A1276" i="6"/>
  <c r="G1275" i="6"/>
  <c r="F1275" i="6"/>
  <c r="E1275" i="6"/>
  <c r="D1275" i="6"/>
  <c r="C1275" i="6"/>
  <c r="B1275" i="6"/>
  <c r="A1275" i="6"/>
  <c r="G1274" i="6"/>
  <c r="F1274" i="6"/>
  <c r="E1274" i="6"/>
  <c r="D1274" i="6"/>
  <c r="C1274" i="6"/>
  <c r="B1274" i="6"/>
  <c r="A1274" i="6"/>
  <c r="G1273" i="6"/>
  <c r="F1273" i="6"/>
  <c r="E1273" i="6"/>
  <c r="D1273" i="6"/>
  <c r="C1273" i="6"/>
  <c r="B1273" i="6"/>
  <c r="A1273" i="6"/>
  <c r="G1272" i="6"/>
  <c r="F1272" i="6"/>
  <c r="E1272" i="6"/>
  <c r="D1272" i="6"/>
  <c r="C1272" i="6"/>
  <c r="B1272" i="6"/>
  <c r="A1272" i="6"/>
  <c r="G1271" i="6"/>
  <c r="F1271" i="6"/>
  <c r="E1271" i="6"/>
  <c r="D1271" i="6"/>
  <c r="C1271" i="6"/>
  <c r="B1271" i="6"/>
  <c r="A1271" i="6"/>
  <c r="G1270" i="6"/>
  <c r="F1270" i="6"/>
  <c r="E1270" i="6"/>
  <c r="D1270" i="6"/>
  <c r="C1270" i="6"/>
  <c r="B1270" i="6"/>
  <c r="A1270" i="6"/>
  <c r="G1269" i="6"/>
  <c r="F1269" i="6"/>
  <c r="E1269" i="6"/>
  <c r="D1269" i="6"/>
  <c r="C1269" i="6"/>
  <c r="B1269" i="6"/>
  <c r="A1269" i="6"/>
  <c r="G1268" i="6"/>
  <c r="F1268" i="6"/>
  <c r="E1268" i="6"/>
  <c r="D1268" i="6"/>
  <c r="C1268" i="6"/>
  <c r="B1268" i="6"/>
  <c r="A1268" i="6"/>
  <c r="G1267" i="6"/>
  <c r="F1267" i="6"/>
  <c r="E1267" i="6"/>
  <c r="D1267" i="6"/>
  <c r="C1267" i="6"/>
  <c r="B1267" i="6"/>
  <c r="A1267" i="6"/>
  <c r="G1266" i="6"/>
  <c r="F1266" i="6"/>
  <c r="E1266" i="6"/>
  <c r="D1266" i="6"/>
  <c r="C1266" i="6"/>
  <c r="B1266" i="6"/>
  <c r="A1266" i="6"/>
  <c r="G1265" i="6"/>
  <c r="F1265" i="6"/>
  <c r="E1265" i="6"/>
  <c r="D1265" i="6"/>
  <c r="C1265" i="6"/>
  <c r="B1265" i="6"/>
  <c r="A1265" i="6"/>
  <c r="G1264" i="6"/>
  <c r="F1264" i="6"/>
  <c r="E1264" i="6"/>
  <c r="D1264" i="6"/>
  <c r="C1264" i="6"/>
  <c r="B1264" i="6"/>
  <c r="A1264" i="6"/>
  <c r="G1263" i="6"/>
  <c r="F1263" i="6"/>
  <c r="E1263" i="6"/>
  <c r="D1263" i="6"/>
  <c r="C1263" i="6"/>
  <c r="B1263" i="6"/>
  <c r="A1263" i="6"/>
  <c r="G1262" i="6"/>
  <c r="F1262" i="6"/>
  <c r="E1262" i="6"/>
  <c r="D1262" i="6"/>
  <c r="C1262" i="6"/>
  <c r="B1262" i="6"/>
  <c r="A1262" i="6"/>
  <c r="G1261" i="6"/>
  <c r="F1261" i="6"/>
  <c r="E1261" i="6"/>
  <c r="D1261" i="6"/>
  <c r="C1261" i="6"/>
  <c r="B1261" i="6"/>
  <c r="A1261" i="6"/>
  <c r="G1260" i="6"/>
  <c r="F1260" i="6"/>
  <c r="E1260" i="6"/>
  <c r="D1260" i="6"/>
  <c r="C1260" i="6"/>
  <c r="B1260" i="6"/>
  <c r="A1260" i="6"/>
  <c r="G1259" i="6"/>
  <c r="F1259" i="6"/>
  <c r="E1259" i="6"/>
  <c r="D1259" i="6"/>
  <c r="C1259" i="6"/>
  <c r="B1259" i="6"/>
  <c r="A1259" i="6"/>
  <c r="G1258" i="6"/>
  <c r="F1258" i="6"/>
  <c r="E1258" i="6"/>
  <c r="D1258" i="6"/>
  <c r="C1258" i="6"/>
  <c r="B1258" i="6"/>
  <c r="A1258" i="6"/>
  <c r="G1257" i="6"/>
  <c r="F1257" i="6"/>
  <c r="E1257" i="6"/>
  <c r="D1257" i="6"/>
  <c r="C1257" i="6"/>
  <c r="B1257" i="6"/>
  <c r="A1257" i="6"/>
  <c r="G1256" i="6"/>
  <c r="F1256" i="6"/>
  <c r="E1256" i="6"/>
  <c r="D1256" i="6"/>
  <c r="C1256" i="6"/>
  <c r="B1256" i="6"/>
  <c r="A1256" i="6"/>
  <c r="G1255" i="6"/>
  <c r="F1255" i="6"/>
  <c r="E1255" i="6"/>
  <c r="D1255" i="6"/>
  <c r="C1255" i="6"/>
  <c r="B1255" i="6"/>
  <c r="A1255" i="6"/>
  <c r="G1254" i="6"/>
  <c r="F1254" i="6"/>
  <c r="E1254" i="6"/>
  <c r="D1254" i="6"/>
  <c r="C1254" i="6"/>
  <c r="B1254" i="6"/>
  <c r="A1254" i="6"/>
  <c r="G1253" i="6"/>
  <c r="F1253" i="6"/>
  <c r="E1253" i="6"/>
  <c r="D1253" i="6"/>
  <c r="C1253" i="6"/>
  <c r="B1253" i="6"/>
  <c r="A1253" i="6"/>
  <c r="G1252" i="6"/>
  <c r="F1252" i="6"/>
  <c r="E1252" i="6"/>
  <c r="D1252" i="6"/>
  <c r="C1252" i="6"/>
  <c r="B1252" i="6"/>
  <c r="A1252" i="6"/>
  <c r="G1251" i="6"/>
  <c r="F1251" i="6"/>
  <c r="E1251" i="6"/>
  <c r="D1251" i="6"/>
  <c r="C1251" i="6"/>
  <c r="B1251" i="6"/>
  <c r="A1251" i="6"/>
  <c r="G1250" i="6"/>
  <c r="F1250" i="6"/>
  <c r="E1250" i="6"/>
  <c r="D1250" i="6"/>
  <c r="C1250" i="6"/>
  <c r="B1250" i="6"/>
  <c r="A1250" i="6"/>
  <c r="G1249" i="6"/>
  <c r="F1249" i="6"/>
  <c r="E1249" i="6"/>
  <c r="D1249" i="6"/>
  <c r="C1249" i="6"/>
  <c r="B1249" i="6"/>
  <c r="A1249" i="6"/>
  <c r="G1248" i="6"/>
  <c r="F1248" i="6"/>
  <c r="E1248" i="6"/>
  <c r="D1248" i="6"/>
  <c r="C1248" i="6"/>
  <c r="B1248" i="6"/>
  <c r="A1248" i="6"/>
  <c r="G1247" i="6"/>
  <c r="F1247" i="6"/>
  <c r="E1247" i="6"/>
  <c r="D1247" i="6"/>
  <c r="C1247" i="6"/>
  <c r="B1247" i="6"/>
  <c r="A1247" i="6"/>
  <c r="G1246" i="6"/>
  <c r="F1246" i="6"/>
  <c r="E1246" i="6"/>
  <c r="D1246" i="6"/>
  <c r="C1246" i="6"/>
  <c r="B1246" i="6"/>
  <c r="A1246" i="6"/>
  <c r="G1245" i="6"/>
  <c r="F1245" i="6"/>
  <c r="E1245" i="6"/>
  <c r="D1245" i="6"/>
  <c r="C1245" i="6"/>
  <c r="B1245" i="6"/>
  <c r="A1245" i="6"/>
  <c r="G1244" i="6"/>
  <c r="F1244" i="6"/>
  <c r="E1244" i="6"/>
  <c r="D1244" i="6"/>
  <c r="C1244" i="6"/>
  <c r="B1244" i="6"/>
  <c r="A1244" i="6"/>
  <c r="G1243" i="6"/>
  <c r="F1243" i="6"/>
  <c r="E1243" i="6"/>
  <c r="D1243" i="6"/>
  <c r="C1243" i="6"/>
  <c r="B1243" i="6"/>
  <c r="A1243" i="6"/>
  <c r="G1242" i="6"/>
  <c r="F1242" i="6"/>
  <c r="E1242" i="6"/>
  <c r="D1242" i="6"/>
  <c r="C1242" i="6"/>
  <c r="B1242" i="6"/>
  <c r="A1242" i="6"/>
  <c r="G1241" i="6"/>
  <c r="F1241" i="6"/>
  <c r="E1241" i="6"/>
  <c r="D1241" i="6"/>
  <c r="C1241" i="6"/>
  <c r="B1241" i="6"/>
  <c r="A1241" i="6"/>
  <c r="G1240" i="6"/>
  <c r="F1240" i="6"/>
  <c r="E1240" i="6"/>
  <c r="D1240" i="6"/>
  <c r="C1240" i="6"/>
  <c r="B1240" i="6"/>
  <c r="A1240" i="6"/>
  <c r="G1239" i="6"/>
  <c r="F1239" i="6"/>
  <c r="E1239" i="6"/>
  <c r="D1239" i="6"/>
  <c r="C1239" i="6"/>
  <c r="B1239" i="6"/>
  <c r="A1239" i="6"/>
  <c r="G1238" i="6"/>
  <c r="F1238" i="6"/>
  <c r="E1238" i="6"/>
  <c r="D1238" i="6"/>
  <c r="C1238" i="6"/>
  <c r="B1238" i="6"/>
  <c r="A1238" i="6"/>
  <c r="G1237" i="6"/>
  <c r="F1237" i="6"/>
  <c r="E1237" i="6"/>
  <c r="D1237" i="6"/>
  <c r="C1237" i="6"/>
  <c r="B1237" i="6"/>
  <c r="A1237" i="6"/>
  <c r="G1236" i="6"/>
  <c r="F1236" i="6"/>
  <c r="E1236" i="6"/>
  <c r="D1236" i="6"/>
  <c r="C1236" i="6"/>
  <c r="B1236" i="6"/>
  <c r="A1236" i="6"/>
  <c r="G1235" i="6"/>
  <c r="F1235" i="6"/>
  <c r="E1235" i="6"/>
  <c r="D1235" i="6"/>
  <c r="C1235" i="6"/>
  <c r="B1235" i="6"/>
  <c r="A1235" i="6"/>
  <c r="G1234" i="6"/>
  <c r="F1234" i="6"/>
  <c r="E1234" i="6"/>
  <c r="D1234" i="6"/>
  <c r="C1234" i="6"/>
  <c r="B1234" i="6"/>
  <c r="A1234" i="6"/>
  <c r="G1233" i="6"/>
  <c r="F1233" i="6"/>
  <c r="E1233" i="6"/>
  <c r="D1233" i="6"/>
  <c r="C1233" i="6"/>
  <c r="B1233" i="6"/>
  <c r="A1233" i="6"/>
  <c r="G1232" i="6"/>
  <c r="F1232" i="6"/>
  <c r="E1232" i="6"/>
  <c r="D1232" i="6"/>
  <c r="C1232" i="6"/>
  <c r="B1232" i="6"/>
  <c r="A1232" i="6"/>
  <c r="G1231" i="6"/>
  <c r="F1231" i="6"/>
  <c r="E1231" i="6"/>
  <c r="D1231" i="6"/>
  <c r="C1231" i="6"/>
  <c r="B1231" i="6"/>
  <c r="A1231" i="6"/>
  <c r="G1230" i="6"/>
  <c r="F1230" i="6"/>
  <c r="E1230" i="6"/>
  <c r="D1230" i="6"/>
  <c r="C1230" i="6"/>
  <c r="B1230" i="6"/>
  <c r="A1230" i="6"/>
  <c r="G1229" i="6"/>
  <c r="F1229" i="6"/>
  <c r="E1229" i="6"/>
  <c r="D1229" i="6"/>
  <c r="C1229" i="6"/>
  <c r="B1229" i="6"/>
  <c r="A1229" i="6"/>
  <c r="G1228" i="6"/>
  <c r="F1228" i="6"/>
  <c r="E1228" i="6"/>
  <c r="D1228" i="6"/>
  <c r="C1228" i="6"/>
  <c r="B1228" i="6"/>
  <c r="A1228" i="6"/>
  <c r="G1227" i="6"/>
  <c r="F1227" i="6"/>
  <c r="E1227" i="6"/>
  <c r="D1227" i="6"/>
  <c r="C1227" i="6"/>
  <c r="B1227" i="6"/>
  <c r="A1227" i="6"/>
  <c r="G1226" i="6"/>
  <c r="F1226" i="6"/>
  <c r="E1226" i="6"/>
  <c r="D1226" i="6"/>
  <c r="C1226" i="6"/>
  <c r="B1226" i="6"/>
  <c r="A1226" i="6"/>
  <c r="G1225" i="6"/>
  <c r="F1225" i="6"/>
  <c r="E1225" i="6"/>
  <c r="D1225" i="6"/>
  <c r="C1225" i="6"/>
  <c r="B1225" i="6"/>
  <c r="A1225" i="6"/>
  <c r="G1224" i="6"/>
  <c r="F1224" i="6"/>
  <c r="E1224" i="6"/>
  <c r="D1224" i="6"/>
  <c r="C1224" i="6"/>
  <c r="B1224" i="6"/>
  <c r="A1224" i="6"/>
  <c r="G1223" i="6"/>
  <c r="F1223" i="6"/>
  <c r="E1223" i="6"/>
  <c r="D1223" i="6"/>
  <c r="C1223" i="6"/>
  <c r="B1223" i="6"/>
  <c r="A1223" i="6"/>
  <c r="G1222" i="6"/>
  <c r="F1222" i="6"/>
  <c r="E1222" i="6"/>
  <c r="D1222" i="6"/>
  <c r="C1222" i="6"/>
  <c r="B1222" i="6"/>
  <c r="A1222" i="6"/>
  <c r="G1221" i="6"/>
  <c r="F1221" i="6"/>
  <c r="E1221" i="6"/>
  <c r="D1221" i="6"/>
  <c r="C1221" i="6"/>
  <c r="B1221" i="6"/>
  <c r="A1221" i="6"/>
  <c r="G1220" i="6"/>
  <c r="F1220" i="6"/>
  <c r="E1220" i="6"/>
  <c r="D1220" i="6"/>
  <c r="C1220" i="6"/>
  <c r="B1220" i="6"/>
  <c r="A1220" i="6"/>
  <c r="G1219" i="6"/>
  <c r="F1219" i="6"/>
  <c r="E1219" i="6"/>
  <c r="D1219" i="6"/>
  <c r="C1219" i="6"/>
  <c r="B1219" i="6"/>
  <c r="A1219" i="6"/>
  <c r="G1218" i="6"/>
  <c r="F1218" i="6"/>
  <c r="E1218" i="6"/>
  <c r="D1218" i="6"/>
  <c r="C1218" i="6"/>
  <c r="B1218" i="6"/>
  <c r="A1218" i="6"/>
  <c r="G1217" i="6"/>
  <c r="F1217" i="6"/>
  <c r="E1217" i="6"/>
  <c r="D1217" i="6"/>
  <c r="C1217" i="6"/>
  <c r="B1217" i="6"/>
  <c r="A1217" i="6"/>
  <c r="G1216" i="6"/>
  <c r="F1216" i="6"/>
  <c r="E1216" i="6"/>
  <c r="D1216" i="6"/>
  <c r="C1216" i="6"/>
  <c r="B1216" i="6"/>
  <c r="A1216" i="6"/>
  <c r="G1215" i="6"/>
  <c r="F1215" i="6"/>
  <c r="E1215" i="6"/>
  <c r="D1215" i="6"/>
  <c r="C1215" i="6"/>
  <c r="B1215" i="6"/>
  <c r="A1215" i="6"/>
  <c r="G1214" i="6"/>
  <c r="F1214" i="6"/>
  <c r="E1214" i="6"/>
  <c r="D1214" i="6"/>
  <c r="C1214" i="6"/>
  <c r="B1214" i="6"/>
  <c r="A1214" i="6"/>
  <c r="G1213" i="6"/>
  <c r="F1213" i="6"/>
  <c r="E1213" i="6"/>
  <c r="D1213" i="6"/>
  <c r="C1213" i="6"/>
  <c r="B1213" i="6"/>
  <c r="A1213" i="6"/>
  <c r="G1212" i="6"/>
  <c r="F1212" i="6"/>
  <c r="E1212" i="6"/>
  <c r="D1212" i="6"/>
  <c r="C1212" i="6"/>
  <c r="B1212" i="6"/>
  <c r="A1212" i="6"/>
  <c r="G1211" i="6"/>
  <c r="F1211" i="6"/>
  <c r="E1211" i="6"/>
  <c r="D1211" i="6"/>
  <c r="C1211" i="6"/>
  <c r="B1211" i="6"/>
  <c r="A1211" i="6"/>
  <c r="G1210" i="6"/>
  <c r="F1210" i="6"/>
  <c r="E1210" i="6"/>
  <c r="D1210" i="6"/>
  <c r="C1210" i="6"/>
  <c r="B1210" i="6"/>
  <c r="A1210" i="6"/>
  <c r="G1209" i="6"/>
  <c r="F1209" i="6"/>
  <c r="E1209" i="6"/>
  <c r="D1209" i="6"/>
  <c r="C1209" i="6"/>
  <c r="B1209" i="6"/>
  <c r="A1209" i="6"/>
  <c r="G1208" i="6"/>
  <c r="F1208" i="6"/>
  <c r="E1208" i="6"/>
  <c r="D1208" i="6"/>
  <c r="C1208" i="6"/>
  <c r="B1208" i="6"/>
  <c r="A1208" i="6"/>
  <c r="G1207" i="6"/>
  <c r="F1207" i="6"/>
  <c r="E1207" i="6"/>
  <c r="D1207" i="6"/>
  <c r="C1207" i="6"/>
  <c r="B1207" i="6"/>
  <c r="A1207" i="6"/>
  <c r="G1206" i="6"/>
  <c r="F1206" i="6"/>
  <c r="E1206" i="6"/>
  <c r="D1206" i="6"/>
  <c r="C1206" i="6"/>
  <c r="B1206" i="6"/>
  <c r="A1206" i="6"/>
  <c r="G1205" i="6"/>
  <c r="F1205" i="6"/>
  <c r="E1205" i="6"/>
  <c r="D1205" i="6"/>
  <c r="C1205" i="6"/>
  <c r="B1205" i="6"/>
  <c r="A1205" i="6"/>
  <c r="G1204" i="6"/>
  <c r="F1204" i="6"/>
  <c r="E1204" i="6"/>
  <c r="D1204" i="6"/>
  <c r="C1204" i="6"/>
  <c r="B1204" i="6"/>
  <c r="A1204" i="6"/>
  <c r="G1203" i="6"/>
  <c r="F1203" i="6"/>
  <c r="E1203" i="6"/>
  <c r="D1203" i="6"/>
  <c r="C1203" i="6"/>
  <c r="B1203" i="6"/>
  <c r="A1203" i="6"/>
  <c r="G1202" i="6"/>
  <c r="F1202" i="6"/>
  <c r="E1202" i="6"/>
  <c r="D1202" i="6"/>
  <c r="C1202" i="6"/>
  <c r="B1202" i="6"/>
  <c r="A1202" i="6"/>
  <c r="G1201" i="6"/>
  <c r="F1201" i="6"/>
  <c r="E1201" i="6"/>
  <c r="D1201" i="6"/>
  <c r="C1201" i="6"/>
  <c r="B1201" i="6"/>
  <c r="A1201" i="6"/>
  <c r="G1200" i="6"/>
  <c r="F1200" i="6"/>
  <c r="E1200" i="6"/>
  <c r="D1200" i="6"/>
  <c r="C1200" i="6"/>
  <c r="B1200" i="6"/>
  <c r="A1200" i="6"/>
  <c r="G1199" i="6"/>
  <c r="F1199" i="6"/>
  <c r="E1199" i="6"/>
  <c r="D1199" i="6"/>
  <c r="C1199" i="6"/>
  <c r="B1199" i="6"/>
  <c r="A1199" i="6"/>
  <c r="G1198" i="6"/>
  <c r="F1198" i="6"/>
  <c r="E1198" i="6"/>
  <c r="D1198" i="6"/>
  <c r="C1198" i="6"/>
  <c r="B1198" i="6"/>
  <c r="A1198" i="6"/>
  <c r="G1197" i="6"/>
  <c r="F1197" i="6"/>
  <c r="E1197" i="6"/>
  <c r="D1197" i="6"/>
  <c r="C1197" i="6"/>
  <c r="B1197" i="6"/>
  <c r="A1197" i="6"/>
  <c r="G1196" i="6"/>
  <c r="F1196" i="6"/>
  <c r="E1196" i="6"/>
  <c r="D1196" i="6"/>
  <c r="C1196" i="6"/>
  <c r="B1196" i="6"/>
  <c r="A1196" i="6"/>
  <c r="G1195" i="6"/>
  <c r="F1195" i="6"/>
  <c r="E1195" i="6"/>
  <c r="D1195" i="6"/>
  <c r="C1195" i="6"/>
  <c r="B1195" i="6"/>
  <c r="A1195" i="6"/>
  <c r="G1194" i="6"/>
  <c r="F1194" i="6"/>
  <c r="E1194" i="6"/>
  <c r="D1194" i="6"/>
  <c r="C1194" i="6"/>
  <c r="B1194" i="6"/>
  <c r="A1194" i="6"/>
  <c r="G1193" i="6"/>
  <c r="F1193" i="6"/>
  <c r="E1193" i="6"/>
  <c r="D1193" i="6"/>
  <c r="C1193" i="6"/>
  <c r="B1193" i="6"/>
  <c r="A1193" i="6"/>
  <c r="G1192" i="6"/>
  <c r="F1192" i="6"/>
  <c r="E1192" i="6"/>
  <c r="D1192" i="6"/>
  <c r="C1192" i="6"/>
  <c r="B1192" i="6"/>
  <c r="A1192" i="6"/>
  <c r="G1191" i="6"/>
  <c r="F1191" i="6"/>
  <c r="E1191" i="6"/>
  <c r="D1191" i="6"/>
  <c r="C1191" i="6"/>
  <c r="B1191" i="6"/>
  <c r="A1191" i="6"/>
  <c r="G1190" i="6"/>
  <c r="F1190" i="6"/>
  <c r="E1190" i="6"/>
  <c r="D1190" i="6"/>
  <c r="C1190" i="6"/>
  <c r="B1190" i="6"/>
  <c r="A1190" i="6"/>
  <c r="G1189" i="6"/>
  <c r="F1189" i="6"/>
  <c r="E1189" i="6"/>
  <c r="D1189" i="6"/>
  <c r="C1189" i="6"/>
  <c r="B1189" i="6"/>
  <c r="A1189" i="6"/>
  <c r="G1188" i="6"/>
  <c r="F1188" i="6"/>
  <c r="E1188" i="6"/>
  <c r="D1188" i="6"/>
  <c r="C1188" i="6"/>
  <c r="B1188" i="6"/>
  <c r="A1188" i="6"/>
  <c r="G1187" i="6"/>
  <c r="F1187" i="6"/>
  <c r="E1187" i="6"/>
  <c r="D1187" i="6"/>
  <c r="C1187" i="6"/>
  <c r="B1187" i="6"/>
  <c r="A1187" i="6"/>
  <c r="G1186" i="6"/>
  <c r="F1186" i="6"/>
  <c r="E1186" i="6"/>
  <c r="D1186" i="6"/>
  <c r="C1186" i="6"/>
  <c r="B1186" i="6"/>
  <c r="A1186" i="6"/>
  <c r="G1185" i="6"/>
  <c r="F1185" i="6"/>
  <c r="E1185" i="6"/>
  <c r="D1185" i="6"/>
  <c r="C1185" i="6"/>
  <c r="B1185" i="6"/>
  <c r="A1185" i="6"/>
  <c r="G1184" i="6"/>
  <c r="F1184" i="6"/>
  <c r="E1184" i="6"/>
  <c r="D1184" i="6"/>
  <c r="C1184" i="6"/>
  <c r="B1184" i="6"/>
  <c r="A1184" i="6"/>
  <c r="G1183" i="6"/>
  <c r="F1183" i="6"/>
  <c r="E1183" i="6"/>
  <c r="D1183" i="6"/>
  <c r="C1183" i="6"/>
  <c r="B1183" i="6"/>
  <c r="A1183" i="6"/>
  <c r="G1182" i="6"/>
  <c r="F1182" i="6"/>
  <c r="E1182" i="6"/>
  <c r="D1182" i="6"/>
  <c r="C1182" i="6"/>
  <c r="B1182" i="6"/>
  <c r="A1182" i="6"/>
  <c r="G1181" i="6"/>
  <c r="F1181" i="6"/>
  <c r="E1181" i="6"/>
  <c r="D1181" i="6"/>
  <c r="C1181" i="6"/>
  <c r="B1181" i="6"/>
  <c r="A1181" i="6"/>
  <c r="G1180" i="6"/>
  <c r="F1180" i="6"/>
  <c r="E1180" i="6"/>
  <c r="D1180" i="6"/>
  <c r="C1180" i="6"/>
  <c r="B1180" i="6"/>
  <c r="A1180" i="6"/>
  <c r="G1179" i="6"/>
  <c r="F1179" i="6"/>
  <c r="E1179" i="6"/>
  <c r="D1179" i="6"/>
  <c r="C1179" i="6"/>
  <c r="B1179" i="6"/>
  <c r="A1179" i="6"/>
  <c r="G1178" i="6"/>
  <c r="F1178" i="6"/>
  <c r="E1178" i="6"/>
  <c r="D1178" i="6"/>
  <c r="C1178" i="6"/>
  <c r="B1178" i="6"/>
  <c r="A1178" i="6"/>
  <c r="G1177" i="6"/>
  <c r="F1177" i="6"/>
  <c r="E1177" i="6"/>
  <c r="D1177" i="6"/>
  <c r="C1177" i="6"/>
  <c r="B1177" i="6"/>
  <c r="A1177" i="6"/>
  <c r="G1176" i="6"/>
  <c r="F1176" i="6"/>
  <c r="E1176" i="6"/>
  <c r="D1176" i="6"/>
  <c r="C1176" i="6"/>
  <c r="B1176" i="6"/>
  <c r="A1176" i="6"/>
  <c r="G1175" i="6"/>
  <c r="F1175" i="6"/>
  <c r="E1175" i="6"/>
  <c r="D1175" i="6"/>
  <c r="C1175" i="6"/>
  <c r="B1175" i="6"/>
  <c r="A1175" i="6"/>
  <c r="G1174" i="6"/>
  <c r="F1174" i="6"/>
  <c r="E1174" i="6"/>
  <c r="D1174" i="6"/>
  <c r="C1174" i="6"/>
  <c r="B1174" i="6"/>
  <c r="A1174" i="6"/>
  <c r="G1173" i="6"/>
  <c r="F1173" i="6"/>
  <c r="E1173" i="6"/>
  <c r="D1173" i="6"/>
  <c r="C1173" i="6"/>
  <c r="B1173" i="6"/>
  <c r="A1173" i="6"/>
  <c r="G1172" i="6"/>
  <c r="F1172" i="6"/>
  <c r="E1172" i="6"/>
  <c r="D1172" i="6"/>
  <c r="C1172" i="6"/>
  <c r="B1172" i="6"/>
  <c r="A1172" i="6"/>
  <c r="G1171" i="6"/>
  <c r="F1171" i="6"/>
  <c r="E1171" i="6"/>
  <c r="D1171" i="6"/>
  <c r="C1171" i="6"/>
  <c r="B1171" i="6"/>
  <c r="A1171" i="6"/>
  <c r="G1170" i="6"/>
  <c r="F1170" i="6"/>
  <c r="E1170" i="6"/>
  <c r="D1170" i="6"/>
  <c r="C1170" i="6"/>
  <c r="B1170" i="6"/>
  <c r="A1170" i="6"/>
  <c r="G1169" i="6"/>
  <c r="F1169" i="6"/>
  <c r="E1169" i="6"/>
  <c r="D1169" i="6"/>
  <c r="C1169" i="6"/>
  <c r="B1169" i="6"/>
  <c r="A1169" i="6"/>
  <c r="G1168" i="6"/>
  <c r="F1168" i="6"/>
  <c r="E1168" i="6"/>
  <c r="D1168" i="6"/>
  <c r="C1168" i="6"/>
  <c r="B1168" i="6"/>
  <c r="A1168" i="6"/>
  <c r="G1167" i="6"/>
  <c r="F1167" i="6"/>
  <c r="E1167" i="6"/>
  <c r="D1167" i="6"/>
  <c r="C1167" i="6"/>
  <c r="B1167" i="6"/>
  <c r="A1167" i="6"/>
  <c r="G1166" i="6"/>
  <c r="F1166" i="6"/>
  <c r="E1166" i="6"/>
  <c r="D1166" i="6"/>
  <c r="C1166" i="6"/>
  <c r="B1166" i="6"/>
  <c r="A1166" i="6"/>
  <c r="G1165" i="6"/>
  <c r="F1165" i="6"/>
  <c r="E1165" i="6"/>
  <c r="D1165" i="6"/>
  <c r="C1165" i="6"/>
  <c r="B1165" i="6"/>
  <c r="A1165" i="6"/>
  <c r="G1164" i="6"/>
  <c r="F1164" i="6"/>
  <c r="E1164" i="6"/>
  <c r="D1164" i="6"/>
  <c r="C1164" i="6"/>
  <c r="B1164" i="6"/>
  <c r="A1164" i="6"/>
  <c r="G1163" i="6"/>
  <c r="F1163" i="6"/>
  <c r="E1163" i="6"/>
  <c r="D1163" i="6"/>
  <c r="C1163" i="6"/>
  <c r="B1163" i="6"/>
  <c r="A1163" i="6"/>
  <c r="G1162" i="6"/>
  <c r="F1162" i="6"/>
  <c r="E1162" i="6"/>
  <c r="D1162" i="6"/>
  <c r="C1162" i="6"/>
  <c r="B1162" i="6"/>
  <c r="A1162" i="6"/>
  <c r="G1161" i="6"/>
  <c r="F1161" i="6"/>
  <c r="E1161" i="6"/>
  <c r="D1161" i="6"/>
  <c r="C1161" i="6"/>
  <c r="B1161" i="6"/>
  <c r="A1161" i="6"/>
  <c r="G1160" i="6"/>
  <c r="F1160" i="6"/>
  <c r="E1160" i="6"/>
  <c r="D1160" i="6"/>
  <c r="C1160" i="6"/>
  <c r="B1160" i="6"/>
  <c r="A1160" i="6"/>
  <c r="G1159" i="6"/>
  <c r="F1159" i="6"/>
  <c r="E1159" i="6"/>
  <c r="D1159" i="6"/>
  <c r="C1159" i="6"/>
  <c r="B1159" i="6"/>
  <c r="A1159" i="6"/>
  <c r="G1158" i="6"/>
  <c r="F1158" i="6"/>
  <c r="E1158" i="6"/>
  <c r="D1158" i="6"/>
  <c r="C1158" i="6"/>
  <c r="B1158" i="6"/>
  <c r="A1158" i="6"/>
  <c r="G1157" i="6"/>
  <c r="F1157" i="6"/>
  <c r="E1157" i="6"/>
  <c r="D1157" i="6"/>
  <c r="C1157" i="6"/>
  <c r="B1157" i="6"/>
  <c r="A1157" i="6"/>
  <c r="G1156" i="6"/>
  <c r="F1156" i="6"/>
  <c r="E1156" i="6"/>
  <c r="D1156" i="6"/>
  <c r="C1156" i="6"/>
  <c r="B1156" i="6"/>
  <c r="A1156" i="6"/>
  <c r="G1155" i="6"/>
  <c r="F1155" i="6"/>
  <c r="E1155" i="6"/>
  <c r="D1155" i="6"/>
  <c r="C1155" i="6"/>
  <c r="B1155" i="6"/>
  <c r="A1155" i="6"/>
  <c r="G1154" i="6"/>
  <c r="F1154" i="6"/>
  <c r="E1154" i="6"/>
  <c r="D1154" i="6"/>
  <c r="C1154" i="6"/>
  <c r="B1154" i="6"/>
  <c r="A1154" i="6"/>
  <c r="G1153" i="6"/>
  <c r="F1153" i="6"/>
  <c r="E1153" i="6"/>
  <c r="D1153" i="6"/>
  <c r="C1153" i="6"/>
  <c r="B1153" i="6"/>
  <c r="A1153" i="6"/>
  <c r="G1152" i="6"/>
  <c r="F1152" i="6"/>
  <c r="E1152" i="6"/>
  <c r="D1152" i="6"/>
  <c r="C1152" i="6"/>
  <c r="B1152" i="6"/>
  <c r="A1152" i="6"/>
  <c r="G1151" i="6"/>
  <c r="F1151" i="6"/>
  <c r="E1151" i="6"/>
  <c r="D1151" i="6"/>
  <c r="C1151" i="6"/>
  <c r="B1151" i="6"/>
  <c r="A1151" i="6"/>
  <c r="G1150" i="6"/>
  <c r="F1150" i="6"/>
  <c r="E1150" i="6"/>
  <c r="D1150" i="6"/>
  <c r="C1150" i="6"/>
  <c r="B1150" i="6"/>
  <c r="A1150" i="6"/>
  <c r="G1149" i="6"/>
  <c r="F1149" i="6"/>
  <c r="E1149" i="6"/>
  <c r="D1149" i="6"/>
  <c r="C1149" i="6"/>
  <c r="B1149" i="6"/>
  <c r="A1149" i="6"/>
  <c r="G1148" i="6"/>
  <c r="F1148" i="6"/>
  <c r="E1148" i="6"/>
  <c r="D1148" i="6"/>
  <c r="C1148" i="6"/>
  <c r="B1148" i="6"/>
  <c r="A1148" i="6"/>
  <c r="G1147" i="6"/>
  <c r="F1147" i="6"/>
  <c r="E1147" i="6"/>
  <c r="D1147" i="6"/>
  <c r="C1147" i="6"/>
  <c r="B1147" i="6"/>
  <c r="A1147" i="6"/>
  <c r="G1146" i="6"/>
  <c r="F1146" i="6"/>
  <c r="E1146" i="6"/>
  <c r="D1146" i="6"/>
  <c r="C1146" i="6"/>
  <c r="B1146" i="6"/>
  <c r="A1146" i="6"/>
  <c r="G1145" i="6"/>
  <c r="F1145" i="6"/>
  <c r="E1145" i="6"/>
  <c r="D1145" i="6"/>
  <c r="C1145" i="6"/>
  <c r="B1145" i="6"/>
  <c r="A1145" i="6"/>
  <c r="G1144" i="6"/>
  <c r="F1144" i="6"/>
  <c r="E1144" i="6"/>
  <c r="D1144" i="6"/>
  <c r="C1144" i="6"/>
  <c r="B1144" i="6"/>
  <c r="A1144" i="6"/>
  <c r="G1143" i="6"/>
  <c r="F1143" i="6"/>
  <c r="E1143" i="6"/>
  <c r="D1143" i="6"/>
  <c r="C1143" i="6"/>
  <c r="B1143" i="6"/>
  <c r="A1143" i="6"/>
  <c r="G1142" i="6"/>
  <c r="F1142" i="6"/>
  <c r="E1142" i="6"/>
  <c r="D1142" i="6"/>
  <c r="C1142" i="6"/>
  <c r="B1142" i="6"/>
  <c r="A1142" i="6"/>
  <c r="G1141" i="6"/>
  <c r="F1141" i="6"/>
  <c r="E1141" i="6"/>
  <c r="D1141" i="6"/>
  <c r="C1141" i="6"/>
  <c r="B1141" i="6"/>
  <c r="A1141" i="6"/>
  <c r="G1140" i="6"/>
  <c r="F1140" i="6"/>
  <c r="E1140" i="6"/>
  <c r="D1140" i="6"/>
  <c r="C1140" i="6"/>
  <c r="B1140" i="6"/>
  <c r="A1140" i="6"/>
  <c r="G1139" i="6"/>
  <c r="F1139" i="6"/>
  <c r="E1139" i="6"/>
  <c r="D1139" i="6"/>
  <c r="C1139" i="6"/>
  <c r="B1139" i="6"/>
  <c r="A1139" i="6"/>
  <c r="G1138" i="6"/>
  <c r="F1138" i="6"/>
  <c r="E1138" i="6"/>
  <c r="D1138" i="6"/>
  <c r="C1138" i="6"/>
  <c r="B1138" i="6"/>
  <c r="A1138" i="6"/>
  <c r="G1137" i="6"/>
  <c r="F1137" i="6"/>
  <c r="E1137" i="6"/>
  <c r="D1137" i="6"/>
  <c r="C1137" i="6"/>
  <c r="B1137" i="6"/>
  <c r="A1137" i="6"/>
  <c r="G1136" i="6"/>
  <c r="F1136" i="6"/>
  <c r="E1136" i="6"/>
  <c r="D1136" i="6"/>
  <c r="C1136" i="6"/>
  <c r="B1136" i="6"/>
  <c r="A1136" i="6"/>
  <c r="G1135" i="6"/>
  <c r="F1135" i="6"/>
  <c r="E1135" i="6"/>
  <c r="D1135" i="6"/>
  <c r="C1135" i="6"/>
  <c r="B1135" i="6"/>
  <c r="A1135" i="6"/>
  <c r="G1134" i="6"/>
  <c r="F1134" i="6"/>
  <c r="E1134" i="6"/>
  <c r="D1134" i="6"/>
  <c r="C1134" i="6"/>
  <c r="B1134" i="6"/>
  <c r="A1134" i="6"/>
  <c r="G1133" i="6"/>
  <c r="F1133" i="6"/>
  <c r="E1133" i="6"/>
  <c r="D1133" i="6"/>
  <c r="C1133" i="6"/>
  <c r="B1133" i="6"/>
  <c r="A1133" i="6"/>
  <c r="G1132" i="6"/>
  <c r="F1132" i="6"/>
  <c r="E1132" i="6"/>
  <c r="D1132" i="6"/>
  <c r="C1132" i="6"/>
  <c r="B1132" i="6"/>
  <c r="A1132" i="6"/>
  <c r="G1131" i="6"/>
  <c r="F1131" i="6"/>
  <c r="E1131" i="6"/>
  <c r="D1131" i="6"/>
  <c r="C1131" i="6"/>
  <c r="B1131" i="6"/>
  <c r="A1131" i="6"/>
  <c r="G1130" i="6"/>
  <c r="F1130" i="6"/>
  <c r="E1130" i="6"/>
  <c r="D1130" i="6"/>
  <c r="C1130" i="6"/>
  <c r="B1130" i="6"/>
  <c r="A1130" i="6"/>
  <c r="G1129" i="6"/>
  <c r="F1129" i="6"/>
  <c r="E1129" i="6"/>
  <c r="D1129" i="6"/>
  <c r="C1129" i="6"/>
  <c r="B1129" i="6"/>
  <c r="A1129" i="6"/>
  <c r="G1128" i="6"/>
  <c r="F1128" i="6"/>
  <c r="E1128" i="6"/>
  <c r="D1128" i="6"/>
  <c r="C1128" i="6"/>
  <c r="B1128" i="6"/>
  <c r="A1128" i="6"/>
  <c r="G1127" i="6"/>
  <c r="F1127" i="6"/>
  <c r="E1127" i="6"/>
  <c r="D1127" i="6"/>
  <c r="C1127" i="6"/>
  <c r="B1127" i="6"/>
  <c r="A1127" i="6"/>
  <c r="G1126" i="6"/>
  <c r="F1126" i="6"/>
  <c r="E1126" i="6"/>
  <c r="D1126" i="6"/>
  <c r="C1126" i="6"/>
  <c r="B1126" i="6"/>
  <c r="A1126" i="6"/>
  <c r="G1125" i="6"/>
  <c r="F1125" i="6"/>
  <c r="E1125" i="6"/>
  <c r="D1125" i="6"/>
  <c r="C1125" i="6"/>
  <c r="B1125" i="6"/>
  <c r="A1125" i="6"/>
  <c r="G1124" i="6"/>
  <c r="F1124" i="6"/>
  <c r="E1124" i="6"/>
  <c r="D1124" i="6"/>
  <c r="C1124" i="6"/>
  <c r="B1124" i="6"/>
  <c r="A1124" i="6"/>
  <c r="G1123" i="6"/>
  <c r="F1123" i="6"/>
  <c r="E1123" i="6"/>
  <c r="D1123" i="6"/>
  <c r="C1123" i="6"/>
  <c r="B1123" i="6"/>
  <c r="A1123" i="6"/>
  <c r="G1122" i="6"/>
  <c r="F1122" i="6"/>
  <c r="E1122" i="6"/>
  <c r="D1122" i="6"/>
  <c r="C1122" i="6"/>
  <c r="B1122" i="6"/>
  <c r="A1122" i="6"/>
  <c r="G1121" i="6"/>
  <c r="F1121" i="6"/>
  <c r="E1121" i="6"/>
  <c r="D1121" i="6"/>
  <c r="C1121" i="6"/>
  <c r="B1121" i="6"/>
  <c r="A1121" i="6"/>
  <c r="G1120" i="6"/>
  <c r="F1120" i="6"/>
  <c r="E1120" i="6"/>
  <c r="D1120" i="6"/>
  <c r="C1120" i="6"/>
  <c r="B1120" i="6"/>
  <c r="A1120" i="6"/>
  <c r="G1119" i="6"/>
  <c r="F1119" i="6"/>
  <c r="E1119" i="6"/>
  <c r="D1119" i="6"/>
  <c r="C1119" i="6"/>
  <c r="B1119" i="6"/>
  <c r="A1119" i="6"/>
  <c r="G1118" i="6"/>
  <c r="F1118" i="6"/>
  <c r="E1118" i="6"/>
  <c r="D1118" i="6"/>
  <c r="C1118" i="6"/>
  <c r="B1118" i="6"/>
  <c r="A1118" i="6"/>
  <c r="G1117" i="6"/>
  <c r="F1117" i="6"/>
  <c r="E1117" i="6"/>
  <c r="D1117" i="6"/>
  <c r="C1117" i="6"/>
  <c r="B1117" i="6"/>
  <c r="A1117" i="6"/>
  <c r="G1116" i="6"/>
  <c r="F1116" i="6"/>
  <c r="E1116" i="6"/>
  <c r="D1116" i="6"/>
  <c r="C1116" i="6"/>
  <c r="B1116" i="6"/>
  <c r="A1116" i="6"/>
  <c r="G1115" i="6"/>
  <c r="F1115" i="6"/>
  <c r="E1115" i="6"/>
  <c r="D1115" i="6"/>
  <c r="C1115" i="6"/>
  <c r="B1115" i="6"/>
  <c r="A1115" i="6"/>
  <c r="G1114" i="6"/>
  <c r="F1114" i="6"/>
  <c r="E1114" i="6"/>
  <c r="D1114" i="6"/>
  <c r="C1114" i="6"/>
  <c r="B1114" i="6"/>
  <c r="A1114" i="6"/>
  <c r="G1113" i="6"/>
  <c r="F1113" i="6"/>
  <c r="E1113" i="6"/>
  <c r="D1113" i="6"/>
  <c r="C1113" i="6"/>
  <c r="B1113" i="6"/>
  <c r="A1113" i="6"/>
  <c r="G1112" i="6"/>
  <c r="F1112" i="6"/>
  <c r="E1112" i="6"/>
  <c r="D1112" i="6"/>
  <c r="C1112" i="6"/>
  <c r="B1112" i="6"/>
  <c r="A1112" i="6"/>
  <c r="G1111" i="6"/>
  <c r="F1111" i="6"/>
  <c r="E1111" i="6"/>
  <c r="D1111" i="6"/>
  <c r="C1111" i="6"/>
  <c r="B1111" i="6"/>
  <c r="A1111" i="6"/>
  <c r="G1110" i="6"/>
  <c r="F1110" i="6"/>
  <c r="E1110" i="6"/>
  <c r="D1110" i="6"/>
  <c r="C1110" i="6"/>
  <c r="B1110" i="6"/>
  <c r="A1110" i="6"/>
  <c r="G1109" i="6"/>
  <c r="F1109" i="6"/>
  <c r="E1109" i="6"/>
  <c r="D1109" i="6"/>
  <c r="C1109" i="6"/>
  <c r="B1109" i="6"/>
  <c r="A1109" i="6"/>
  <c r="G1108" i="6"/>
  <c r="F1108" i="6"/>
  <c r="E1108" i="6"/>
  <c r="D1108" i="6"/>
  <c r="C1108" i="6"/>
  <c r="B1108" i="6"/>
  <c r="A1108" i="6"/>
  <c r="G1107" i="6"/>
  <c r="F1107" i="6"/>
  <c r="E1107" i="6"/>
  <c r="D1107" i="6"/>
  <c r="C1107" i="6"/>
  <c r="B1107" i="6"/>
  <c r="A1107" i="6"/>
  <c r="G1106" i="6"/>
  <c r="F1106" i="6"/>
  <c r="E1106" i="6"/>
  <c r="D1106" i="6"/>
  <c r="C1106" i="6"/>
  <c r="B1106" i="6"/>
  <c r="A1106" i="6"/>
  <c r="G1105" i="6"/>
  <c r="F1105" i="6"/>
  <c r="E1105" i="6"/>
  <c r="D1105" i="6"/>
  <c r="C1105" i="6"/>
  <c r="B1105" i="6"/>
  <c r="A1105" i="6"/>
  <c r="G1104" i="6"/>
  <c r="F1104" i="6"/>
  <c r="E1104" i="6"/>
  <c r="D1104" i="6"/>
  <c r="C1104" i="6"/>
  <c r="B1104" i="6"/>
  <c r="A1104" i="6"/>
  <c r="G1103" i="6"/>
  <c r="F1103" i="6"/>
  <c r="E1103" i="6"/>
  <c r="D1103" i="6"/>
  <c r="C1103" i="6"/>
  <c r="B1103" i="6"/>
  <c r="A1103" i="6"/>
  <c r="G1102" i="6"/>
  <c r="F1102" i="6"/>
  <c r="E1102" i="6"/>
  <c r="D1102" i="6"/>
  <c r="C1102" i="6"/>
  <c r="B1102" i="6"/>
  <c r="A1102" i="6"/>
  <c r="G1101" i="6"/>
  <c r="F1101" i="6"/>
  <c r="E1101" i="6"/>
  <c r="D1101" i="6"/>
  <c r="C1101" i="6"/>
  <c r="B1101" i="6"/>
  <c r="A1101" i="6"/>
  <c r="G1100" i="6"/>
  <c r="F1100" i="6"/>
  <c r="E1100" i="6"/>
  <c r="D1100" i="6"/>
  <c r="C1100" i="6"/>
  <c r="B1100" i="6"/>
  <c r="A1100" i="6"/>
  <c r="G1099" i="6"/>
  <c r="F1099" i="6"/>
  <c r="E1099" i="6"/>
  <c r="D1099" i="6"/>
  <c r="C1099" i="6"/>
  <c r="B1099" i="6"/>
  <c r="A1099" i="6"/>
  <c r="G1098" i="6"/>
  <c r="F1098" i="6"/>
  <c r="E1098" i="6"/>
  <c r="D1098" i="6"/>
  <c r="C1098" i="6"/>
  <c r="B1098" i="6"/>
  <c r="A1098" i="6"/>
  <c r="G1097" i="6"/>
  <c r="F1097" i="6"/>
  <c r="E1097" i="6"/>
  <c r="D1097" i="6"/>
  <c r="C1097" i="6"/>
  <c r="B1097" i="6"/>
  <c r="A1097" i="6"/>
  <c r="G1096" i="6"/>
  <c r="F1096" i="6"/>
  <c r="E1096" i="6"/>
  <c r="D1096" i="6"/>
  <c r="C1096" i="6"/>
  <c r="B1096" i="6"/>
  <c r="A1096" i="6"/>
  <c r="G1095" i="6"/>
  <c r="F1095" i="6"/>
  <c r="E1095" i="6"/>
  <c r="D1095" i="6"/>
  <c r="C1095" i="6"/>
  <c r="B1095" i="6"/>
  <c r="A1095" i="6"/>
  <c r="G1094" i="6"/>
  <c r="F1094" i="6"/>
  <c r="E1094" i="6"/>
  <c r="D1094" i="6"/>
  <c r="C1094" i="6"/>
  <c r="B1094" i="6"/>
  <c r="A1094" i="6"/>
  <c r="G1093" i="6"/>
  <c r="F1093" i="6"/>
  <c r="E1093" i="6"/>
  <c r="D1093" i="6"/>
  <c r="C1093" i="6"/>
  <c r="B1093" i="6"/>
  <c r="A1093" i="6"/>
  <c r="G1092" i="6"/>
  <c r="F1092" i="6"/>
  <c r="E1092" i="6"/>
  <c r="D1092" i="6"/>
  <c r="C1092" i="6"/>
  <c r="B1092" i="6"/>
  <c r="A1092" i="6"/>
  <c r="G1091" i="6"/>
  <c r="F1091" i="6"/>
  <c r="E1091" i="6"/>
  <c r="D1091" i="6"/>
  <c r="C1091" i="6"/>
  <c r="B1091" i="6"/>
  <c r="A1091" i="6"/>
  <c r="G1090" i="6"/>
  <c r="F1090" i="6"/>
  <c r="E1090" i="6"/>
  <c r="D1090" i="6"/>
  <c r="C1090" i="6"/>
  <c r="B1090" i="6"/>
  <c r="A1090" i="6"/>
  <c r="G1089" i="6"/>
  <c r="F1089" i="6"/>
  <c r="E1089" i="6"/>
  <c r="D1089" i="6"/>
  <c r="C1089" i="6"/>
  <c r="B1089" i="6"/>
  <c r="A1089" i="6"/>
  <c r="G1088" i="6"/>
  <c r="F1088" i="6"/>
  <c r="E1088" i="6"/>
  <c r="D1088" i="6"/>
  <c r="C1088" i="6"/>
  <c r="B1088" i="6"/>
  <c r="A1088" i="6"/>
  <c r="G1087" i="6"/>
  <c r="F1087" i="6"/>
  <c r="E1087" i="6"/>
  <c r="D1087" i="6"/>
  <c r="C1087" i="6"/>
  <c r="B1087" i="6"/>
  <c r="A1087" i="6"/>
  <c r="G1086" i="6"/>
  <c r="F1086" i="6"/>
  <c r="E1086" i="6"/>
  <c r="D1086" i="6"/>
  <c r="C1086" i="6"/>
  <c r="B1086" i="6"/>
  <c r="A1086" i="6"/>
  <c r="G1085" i="6"/>
  <c r="F1085" i="6"/>
  <c r="E1085" i="6"/>
  <c r="D1085" i="6"/>
  <c r="C1085" i="6"/>
  <c r="B1085" i="6"/>
  <c r="A1085" i="6"/>
  <c r="G1084" i="6"/>
  <c r="F1084" i="6"/>
  <c r="E1084" i="6"/>
  <c r="D1084" i="6"/>
  <c r="C1084" i="6"/>
  <c r="B1084" i="6"/>
  <c r="A1084" i="6"/>
  <c r="G1083" i="6"/>
  <c r="F1083" i="6"/>
  <c r="E1083" i="6"/>
  <c r="D1083" i="6"/>
  <c r="C1083" i="6"/>
  <c r="B1083" i="6"/>
  <c r="A1083" i="6"/>
  <c r="G1082" i="6"/>
  <c r="F1082" i="6"/>
  <c r="E1082" i="6"/>
  <c r="D1082" i="6"/>
  <c r="C1082" i="6"/>
  <c r="B1082" i="6"/>
  <c r="A1082" i="6"/>
  <c r="G1081" i="6"/>
  <c r="F1081" i="6"/>
  <c r="E1081" i="6"/>
  <c r="D1081" i="6"/>
  <c r="C1081" i="6"/>
  <c r="B1081" i="6"/>
  <c r="A1081" i="6"/>
  <c r="G1080" i="6"/>
  <c r="F1080" i="6"/>
  <c r="E1080" i="6"/>
  <c r="D1080" i="6"/>
  <c r="C1080" i="6"/>
  <c r="B1080" i="6"/>
  <c r="A1080" i="6"/>
  <c r="G1079" i="6"/>
  <c r="F1079" i="6"/>
  <c r="E1079" i="6"/>
  <c r="D1079" i="6"/>
  <c r="C1079" i="6"/>
  <c r="B1079" i="6"/>
  <c r="A1079" i="6"/>
  <c r="G1078" i="6"/>
  <c r="F1078" i="6"/>
  <c r="E1078" i="6"/>
  <c r="D1078" i="6"/>
  <c r="C1078" i="6"/>
  <c r="B1078" i="6"/>
  <c r="A1078" i="6"/>
  <c r="G1077" i="6"/>
  <c r="F1077" i="6"/>
  <c r="E1077" i="6"/>
  <c r="D1077" i="6"/>
  <c r="C1077" i="6"/>
  <c r="B1077" i="6"/>
  <c r="A1077" i="6"/>
  <c r="G1076" i="6"/>
  <c r="F1076" i="6"/>
  <c r="E1076" i="6"/>
  <c r="D1076" i="6"/>
  <c r="C1076" i="6"/>
  <c r="B1076" i="6"/>
  <c r="A1076" i="6"/>
  <c r="G1075" i="6"/>
  <c r="F1075" i="6"/>
  <c r="E1075" i="6"/>
  <c r="D1075" i="6"/>
  <c r="C1075" i="6"/>
  <c r="B1075" i="6"/>
  <c r="A1075" i="6"/>
  <c r="G1074" i="6"/>
  <c r="F1074" i="6"/>
  <c r="E1074" i="6"/>
  <c r="D1074" i="6"/>
  <c r="C1074" i="6"/>
  <c r="B1074" i="6"/>
  <c r="A1074" i="6"/>
  <c r="G1073" i="6"/>
  <c r="F1073" i="6"/>
  <c r="E1073" i="6"/>
  <c r="D1073" i="6"/>
  <c r="C1073" i="6"/>
  <c r="B1073" i="6"/>
  <c r="A1073" i="6"/>
  <c r="G1072" i="6"/>
  <c r="F1072" i="6"/>
  <c r="E1072" i="6"/>
  <c r="D1072" i="6"/>
  <c r="C1072" i="6"/>
  <c r="B1072" i="6"/>
  <c r="A1072" i="6"/>
  <c r="G1071" i="6"/>
  <c r="F1071" i="6"/>
  <c r="E1071" i="6"/>
  <c r="D1071" i="6"/>
  <c r="C1071" i="6"/>
  <c r="B1071" i="6"/>
  <c r="A1071" i="6"/>
  <c r="G1070" i="6"/>
  <c r="F1070" i="6"/>
  <c r="E1070" i="6"/>
  <c r="D1070" i="6"/>
  <c r="C1070" i="6"/>
  <c r="B1070" i="6"/>
  <c r="A1070" i="6"/>
  <c r="G1069" i="6"/>
  <c r="F1069" i="6"/>
  <c r="E1069" i="6"/>
  <c r="D1069" i="6"/>
  <c r="C1069" i="6"/>
  <c r="B1069" i="6"/>
  <c r="A1069" i="6"/>
  <c r="G1068" i="6"/>
  <c r="F1068" i="6"/>
  <c r="E1068" i="6"/>
  <c r="D1068" i="6"/>
  <c r="C1068" i="6"/>
  <c r="B1068" i="6"/>
  <c r="A1068" i="6"/>
  <c r="G1067" i="6"/>
  <c r="F1067" i="6"/>
  <c r="E1067" i="6"/>
  <c r="D1067" i="6"/>
  <c r="C1067" i="6"/>
  <c r="B1067" i="6"/>
  <c r="A1067" i="6"/>
  <c r="G1066" i="6"/>
  <c r="F1066" i="6"/>
  <c r="E1066" i="6"/>
  <c r="D1066" i="6"/>
  <c r="C1066" i="6"/>
  <c r="B1066" i="6"/>
  <c r="A1066" i="6"/>
  <c r="G1065" i="6"/>
  <c r="F1065" i="6"/>
  <c r="E1065" i="6"/>
  <c r="D1065" i="6"/>
  <c r="C1065" i="6"/>
  <c r="B1065" i="6"/>
  <c r="A1065" i="6"/>
  <c r="G1064" i="6"/>
  <c r="F1064" i="6"/>
  <c r="E1064" i="6"/>
  <c r="D1064" i="6"/>
  <c r="C1064" i="6"/>
  <c r="B1064" i="6"/>
  <c r="A1064" i="6"/>
  <c r="G1063" i="6"/>
  <c r="F1063" i="6"/>
  <c r="E1063" i="6"/>
  <c r="D1063" i="6"/>
  <c r="C1063" i="6"/>
  <c r="B1063" i="6"/>
  <c r="A1063" i="6"/>
  <c r="G1062" i="6"/>
  <c r="F1062" i="6"/>
  <c r="E1062" i="6"/>
  <c r="D1062" i="6"/>
  <c r="C1062" i="6"/>
  <c r="B1062" i="6"/>
  <c r="A1062" i="6"/>
  <c r="G1061" i="6"/>
  <c r="F1061" i="6"/>
  <c r="E1061" i="6"/>
  <c r="D1061" i="6"/>
  <c r="C1061" i="6"/>
  <c r="B1061" i="6"/>
  <c r="A1061" i="6"/>
  <c r="G1060" i="6"/>
  <c r="F1060" i="6"/>
  <c r="E1060" i="6"/>
  <c r="D1060" i="6"/>
  <c r="C1060" i="6"/>
  <c r="B1060" i="6"/>
  <c r="A1060" i="6"/>
  <c r="G1059" i="6"/>
  <c r="F1059" i="6"/>
  <c r="E1059" i="6"/>
  <c r="D1059" i="6"/>
  <c r="C1059" i="6"/>
  <c r="B1059" i="6"/>
  <c r="A1059" i="6"/>
  <c r="G1058" i="6"/>
  <c r="F1058" i="6"/>
  <c r="E1058" i="6"/>
  <c r="D1058" i="6"/>
  <c r="C1058" i="6"/>
  <c r="B1058" i="6"/>
  <c r="A1058" i="6"/>
  <c r="G1057" i="6"/>
  <c r="F1057" i="6"/>
  <c r="E1057" i="6"/>
  <c r="D1057" i="6"/>
  <c r="C1057" i="6"/>
  <c r="B1057" i="6"/>
  <c r="A1057" i="6"/>
  <c r="G1056" i="6"/>
  <c r="F1056" i="6"/>
  <c r="E1056" i="6"/>
  <c r="D1056" i="6"/>
  <c r="C1056" i="6"/>
  <c r="B1056" i="6"/>
  <c r="A1056" i="6"/>
  <c r="G1055" i="6"/>
  <c r="F1055" i="6"/>
  <c r="E1055" i="6"/>
  <c r="D1055" i="6"/>
  <c r="C1055" i="6"/>
  <c r="B1055" i="6"/>
  <c r="A1055" i="6"/>
  <c r="G1054" i="6"/>
  <c r="F1054" i="6"/>
  <c r="E1054" i="6"/>
  <c r="D1054" i="6"/>
  <c r="C1054" i="6"/>
  <c r="B1054" i="6"/>
  <c r="A1054" i="6"/>
  <c r="G1053" i="6"/>
  <c r="F1053" i="6"/>
  <c r="E1053" i="6"/>
  <c r="D1053" i="6"/>
  <c r="C1053" i="6"/>
  <c r="B1053" i="6"/>
  <c r="A1053" i="6"/>
  <c r="G1052" i="6"/>
  <c r="F1052" i="6"/>
  <c r="E1052" i="6"/>
  <c r="D1052" i="6"/>
  <c r="C1052" i="6"/>
  <c r="B1052" i="6"/>
  <c r="A1052" i="6"/>
  <c r="G1051" i="6"/>
  <c r="F1051" i="6"/>
  <c r="E1051" i="6"/>
  <c r="D1051" i="6"/>
  <c r="C1051" i="6"/>
  <c r="B1051" i="6"/>
  <c r="A1051" i="6"/>
  <c r="G1050" i="6"/>
  <c r="F1050" i="6"/>
  <c r="E1050" i="6"/>
  <c r="D1050" i="6"/>
  <c r="C1050" i="6"/>
  <c r="B1050" i="6"/>
  <c r="A1050" i="6"/>
  <c r="G1049" i="6"/>
  <c r="F1049" i="6"/>
  <c r="E1049" i="6"/>
  <c r="D1049" i="6"/>
  <c r="C1049" i="6"/>
  <c r="B1049" i="6"/>
  <c r="A1049" i="6"/>
  <c r="G1048" i="6"/>
  <c r="F1048" i="6"/>
  <c r="E1048" i="6"/>
  <c r="D1048" i="6"/>
  <c r="C1048" i="6"/>
  <c r="B1048" i="6"/>
  <c r="A1048" i="6"/>
  <c r="G1047" i="6"/>
  <c r="F1047" i="6"/>
  <c r="E1047" i="6"/>
  <c r="D1047" i="6"/>
  <c r="C1047" i="6"/>
  <c r="B1047" i="6"/>
  <c r="A1047" i="6"/>
  <c r="G1046" i="6"/>
  <c r="F1046" i="6"/>
  <c r="E1046" i="6"/>
  <c r="D1046" i="6"/>
  <c r="C1046" i="6"/>
  <c r="B1046" i="6"/>
  <c r="A1046" i="6"/>
  <c r="G1045" i="6"/>
  <c r="F1045" i="6"/>
  <c r="E1045" i="6"/>
  <c r="D1045" i="6"/>
  <c r="C1045" i="6"/>
  <c r="B1045" i="6"/>
  <c r="A1045" i="6"/>
  <c r="G1044" i="6"/>
  <c r="F1044" i="6"/>
  <c r="E1044" i="6"/>
  <c r="D1044" i="6"/>
  <c r="C1044" i="6"/>
  <c r="B1044" i="6"/>
  <c r="A1044" i="6"/>
  <c r="G1043" i="6"/>
  <c r="F1043" i="6"/>
  <c r="E1043" i="6"/>
  <c r="D1043" i="6"/>
  <c r="C1043" i="6"/>
  <c r="B1043" i="6"/>
  <c r="A1043" i="6"/>
  <c r="G1042" i="6"/>
  <c r="F1042" i="6"/>
  <c r="E1042" i="6"/>
  <c r="D1042" i="6"/>
  <c r="C1042" i="6"/>
  <c r="B1042" i="6"/>
  <c r="A1042" i="6"/>
  <c r="G1041" i="6"/>
  <c r="F1041" i="6"/>
  <c r="E1041" i="6"/>
  <c r="D1041" i="6"/>
  <c r="C1041" i="6"/>
  <c r="B1041" i="6"/>
  <c r="A1041" i="6"/>
  <c r="G1040" i="6"/>
  <c r="F1040" i="6"/>
  <c r="E1040" i="6"/>
  <c r="D1040" i="6"/>
  <c r="C1040" i="6"/>
  <c r="B1040" i="6"/>
  <c r="A1040" i="6"/>
  <c r="G1039" i="6"/>
  <c r="F1039" i="6"/>
  <c r="E1039" i="6"/>
  <c r="D1039" i="6"/>
  <c r="C1039" i="6"/>
  <c r="B1039" i="6"/>
  <c r="A1039" i="6"/>
  <c r="G1038" i="6"/>
  <c r="F1038" i="6"/>
  <c r="E1038" i="6"/>
  <c r="D1038" i="6"/>
  <c r="C1038" i="6"/>
  <c r="B1038" i="6"/>
  <c r="A1038" i="6"/>
  <c r="G1037" i="6"/>
  <c r="F1037" i="6"/>
  <c r="E1037" i="6"/>
  <c r="D1037" i="6"/>
  <c r="C1037" i="6"/>
  <c r="B1037" i="6"/>
  <c r="A1037" i="6"/>
  <c r="G1036" i="6"/>
  <c r="F1036" i="6"/>
  <c r="E1036" i="6"/>
  <c r="D1036" i="6"/>
  <c r="C1036" i="6"/>
  <c r="B1036" i="6"/>
  <c r="A1036" i="6"/>
  <c r="G1035" i="6"/>
  <c r="F1035" i="6"/>
  <c r="E1035" i="6"/>
  <c r="D1035" i="6"/>
  <c r="C1035" i="6"/>
  <c r="B1035" i="6"/>
  <c r="A1035" i="6"/>
  <c r="G1034" i="6"/>
  <c r="F1034" i="6"/>
  <c r="E1034" i="6"/>
  <c r="D1034" i="6"/>
  <c r="C1034" i="6"/>
  <c r="B1034" i="6"/>
  <c r="A1034" i="6"/>
  <c r="G1033" i="6"/>
  <c r="F1033" i="6"/>
  <c r="E1033" i="6"/>
  <c r="D1033" i="6"/>
  <c r="C1033" i="6"/>
  <c r="B1033" i="6"/>
  <c r="A1033" i="6"/>
  <c r="G1032" i="6"/>
  <c r="F1032" i="6"/>
  <c r="E1032" i="6"/>
  <c r="D1032" i="6"/>
  <c r="C1032" i="6"/>
  <c r="B1032" i="6"/>
  <c r="A1032" i="6"/>
  <c r="G1031" i="6"/>
  <c r="F1031" i="6"/>
  <c r="E1031" i="6"/>
  <c r="D1031" i="6"/>
  <c r="C1031" i="6"/>
  <c r="B1031" i="6"/>
  <c r="A1031" i="6"/>
  <c r="G1030" i="6"/>
  <c r="F1030" i="6"/>
  <c r="E1030" i="6"/>
  <c r="D1030" i="6"/>
  <c r="C1030" i="6"/>
  <c r="B1030" i="6"/>
  <c r="A1030" i="6"/>
  <c r="G1029" i="6"/>
  <c r="F1029" i="6"/>
  <c r="E1029" i="6"/>
  <c r="D1029" i="6"/>
  <c r="C1029" i="6"/>
  <c r="B1029" i="6"/>
  <c r="A1029" i="6"/>
  <c r="G1028" i="6"/>
  <c r="F1028" i="6"/>
  <c r="E1028" i="6"/>
  <c r="D1028" i="6"/>
  <c r="C1028" i="6"/>
  <c r="B1028" i="6"/>
  <c r="A1028" i="6"/>
  <c r="G1027" i="6"/>
  <c r="F1027" i="6"/>
  <c r="E1027" i="6"/>
  <c r="D1027" i="6"/>
  <c r="C1027" i="6"/>
  <c r="B1027" i="6"/>
  <c r="A1027" i="6"/>
  <c r="G1026" i="6"/>
  <c r="F1026" i="6"/>
  <c r="E1026" i="6"/>
  <c r="D1026" i="6"/>
  <c r="C1026" i="6"/>
  <c r="B1026" i="6"/>
  <c r="A1026" i="6"/>
  <c r="G1025" i="6"/>
  <c r="F1025" i="6"/>
  <c r="E1025" i="6"/>
  <c r="D1025" i="6"/>
  <c r="C1025" i="6"/>
  <c r="B1025" i="6"/>
  <c r="A1025" i="6"/>
  <c r="G1024" i="6"/>
  <c r="F1024" i="6"/>
  <c r="E1024" i="6"/>
  <c r="D1024" i="6"/>
  <c r="C1024" i="6"/>
  <c r="B1024" i="6"/>
  <c r="A1024" i="6"/>
  <c r="G1023" i="6"/>
  <c r="F1023" i="6"/>
  <c r="E1023" i="6"/>
  <c r="D1023" i="6"/>
  <c r="C1023" i="6"/>
  <c r="B1023" i="6"/>
  <c r="A1023" i="6"/>
  <c r="G1022" i="6"/>
  <c r="F1022" i="6"/>
  <c r="E1022" i="6"/>
  <c r="D1022" i="6"/>
  <c r="C1022" i="6"/>
  <c r="B1022" i="6"/>
  <c r="A1022" i="6"/>
  <c r="G1021" i="6"/>
  <c r="F1021" i="6"/>
  <c r="E1021" i="6"/>
  <c r="D1021" i="6"/>
  <c r="C1021" i="6"/>
  <c r="B1021" i="6"/>
  <c r="A1021" i="6"/>
  <c r="G1020" i="6"/>
  <c r="F1020" i="6"/>
  <c r="E1020" i="6"/>
  <c r="D1020" i="6"/>
  <c r="C1020" i="6"/>
  <c r="B1020" i="6"/>
  <c r="A1020" i="6"/>
  <c r="G1019" i="6"/>
  <c r="F1019" i="6"/>
  <c r="E1019" i="6"/>
  <c r="D1019" i="6"/>
  <c r="C1019" i="6"/>
  <c r="B1019" i="6"/>
  <c r="A1019" i="6"/>
  <c r="G1018" i="6"/>
  <c r="F1018" i="6"/>
  <c r="E1018" i="6"/>
  <c r="D1018" i="6"/>
  <c r="C1018" i="6"/>
  <c r="B1018" i="6"/>
  <c r="A1018" i="6"/>
  <c r="G1017" i="6"/>
  <c r="F1017" i="6"/>
  <c r="E1017" i="6"/>
  <c r="D1017" i="6"/>
  <c r="C1017" i="6"/>
  <c r="B1017" i="6"/>
  <c r="A1017" i="6"/>
  <c r="G1016" i="6"/>
  <c r="F1016" i="6"/>
  <c r="E1016" i="6"/>
  <c r="D1016" i="6"/>
  <c r="C1016" i="6"/>
  <c r="B1016" i="6"/>
  <c r="A1016" i="6"/>
  <c r="G1015" i="6"/>
  <c r="F1015" i="6"/>
  <c r="E1015" i="6"/>
  <c r="D1015" i="6"/>
  <c r="C1015" i="6"/>
  <c r="B1015" i="6"/>
  <c r="A1015" i="6"/>
  <c r="G1014" i="6"/>
  <c r="F1014" i="6"/>
  <c r="E1014" i="6"/>
  <c r="D1014" i="6"/>
  <c r="C1014" i="6"/>
  <c r="B1014" i="6"/>
  <c r="A1014" i="6"/>
  <c r="G1013" i="6"/>
  <c r="F1013" i="6"/>
  <c r="E1013" i="6"/>
  <c r="D1013" i="6"/>
  <c r="C1013" i="6"/>
  <c r="B1013" i="6"/>
  <c r="A1013" i="6"/>
  <c r="G1012" i="6"/>
  <c r="F1012" i="6"/>
  <c r="E1012" i="6"/>
  <c r="D1012" i="6"/>
  <c r="C1012" i="6"/>
  <c r="B1012" i="6"/>
  <c r="A1012" i="6"/>
  <c r="G1011" i="6"/>
  <c r="F1011" i="6"/>
  <c r="E1011" i="6"/>
  <c r="D1011" i="6"/>
  <c r="C1011" i="6"/>
  <c r="B1011" i="6"/>
  <c r="A1011" i="6"/>
  <c r="G1010" i="6"/>
  <c r="F1010" i="6"/>
  <c r="E1010" i="6"/>
  <c r="D1010" i="6"/>
  <c r="C1010" i="6"/>
  <c r="B1010" i="6"/>
  <c r="A1010" i="6"/>
  <c r="G1009" i="6"/>
  <c r="F1009" i="6"/>
  <c r="E1009" i="6"/>
  <c r="D1009" i="6"/>
  <c r="C1009" i="6"/>
  <c r="B1009" i="6"/>
  <c r="A1009" i="6"/>
  <c r="G1008" i="6"/>
  <c r="F1008" i="6"/>
  <c r="E1008" i="6"/>
  <c r="D1008" i="6"/>
  <c r="C1008" i="6"/>
  <c r="B1008" i="6"/>
  <c r="A1008" i="6"/>
  <c r="G1007" i="6"/>
  <c r="F1007" i="6"/>
  <c r="E1007" i="6"/>
  <c r="D1007" i="6"/>
  <c r="C1007" i="6"/>
  <c r="B1007" i="6"/>
  <c r="A1007" i="6"/>
  <c r="G1006" i="6"/>
  <c r="F1006" i="6"/>
  <c r="E1006" i="6"/>
  <c r="D1006" i="6"/>
  <c r="C1006" i="6"/>
  <c r="B1006" i="6"/>
  <c r="A1006" i="6"/>
  <c r="G1005" i="6"/>
  <c r="F1005" i="6"/>
  <c r="E1005" i="6"/>
  <c r="D1005" i="6"/>
  <c r="C1005" i="6"/>
  <c r="B1005" i="6"/>
  <c r="A1005" i="6"/>
  <c r="G1004" i="6"/>
  <c r="F1004" i="6"/>
  <c r="E1004" i="6"/>
  <c r="D1004" i="6"/>
  <c r="C1004" i="6"/>
  <c r="B1004" i="6"/>
  <c r="A1004" i="6"/>
  <c r="G1003" i="6"/>
  <c r="F1003" i="6"/>
  <c r="E1003" i="6"/>
  <c r="D1003" i="6"/>
  <c r="C1003" i="6"/>
  <c r="B1003" i="6"/>
  <c r="A1003" i="6"/>
  <c r="G1002" i="6"/>
  <c r="F1002" i="6"/>
  <c r="E1002" i="6"/>
  <c r="D1002" i="6"/>
  <c r="C1002" i="6"/>
  <c r="B1002" i="6"/>
  <c r="A1002" i="6"/>
  <c r="G1001" i="6"/>
  <c r="F1001" i="6"/>
  <c r="E1001" i="6"/>
  <c r="D1001" i="6"/>
  <c r="C1001" i="6"/>
  <c r="B1001" i="6"/>
  <c r="A1001" i="6"/>
  <c r="G1000" i="6"/>
  <c r="F1000" i="6"/>
  <c r="E1000" i="6"/>
  <c r="D1000" i="6"/>
  <c r="C1000" i="6"/>
  <c r="B1000" i="6"/>
  <c r="A1000" i="6"/>
  <c r="G999" i="6"/>
  <c r="F999" i="6"/>
  <c r="E999" i="6"/>
  <c r="D999" i="6"/>
  <c r="C999" i="6"/>
  <c r="B999" i="6"/>
  <c r="A999" i="6"/>
  <c r="G998" i="6"/>
  <c r="F998" i="6"/>
  <c r="E998" i="6"/>
  <c r="D998" i="6"/>
  <c r="C998" i="6"/>
  <c r="B998" i="6"/>
  <c r="A998" i="6"/>
  <c r="G997" i="6"/>
  <c r="F997" i="6"/>
  <c r="E997" i="6"/>
  <c r="D997" i="6"/>
  <c r="C997" i="6"/>
  <c r="B997" i="6"/>
  <c r="A997" i="6"/>
  <c r="G996" i="6"/>
  <c r="F996" i="6"/>
  <c r="E996" i="6"/>
  <c r="D996" i="6"/>
  <c r="C996" i="6"/>
  <c r="B996" i="6"/>
  <c r="A996" i="6"/>
  <c r="G995" i="6"/>
  <c r="F995" i="6"/>
  <c r="E995" i="6"/>
  <c r="D995" i="6"/>
  <c r="C995" i="6"/>
  <c r="B995" i="6"/>
  <c r="A995" i="6"/>
  <c r="G994" i="6"/>
  <c r="F994" i="6"/>
  <c r="E994" i="6"/>
  <c r="D994" i="6"/>
  <c r="C994" i="6"/>
  <c r="B994" i="6"/>
  <c r="A994" i="6"/>
  <c r="G993" i="6"/>
  <c r="F993" i="6"/>
  <c r="E993" i="6"/>
  <c r="D993" i="6"/>
  <c r="C993" i="6"/>
  <c r="B993" i="6"/>
  <c r="A993" i="6"/>
  <c r="G992" i="6"/>
  <c r="F992" i="6"/>
  <c r="E992" i="6"/>
  <c r="D992" i="6"/>
  <c r="C992" i="6"/>
  <c r="B992" i="6"/>
  <c r="A992" i="6"/>
  <c r="G991" i="6"/>
  <c r="F991" i="6"/>
  <c r="E991" i="6"/>
  <c r="D991" i="6"/>
  <c r="C991" i="6"/>
  <c r="B991" i="6"/>
  <c r="A991" i="6"/>
  <c r="G990" i="6"/>
  <c r="F990" i="6"/>
  <c r="E990" i="6"/>
  <c r="D990" i="6"/>
  <c r="C990" i="6"/>
  <c r="B990" i="6"/>
  <c r="A990" i="6"/>
  <c r="G989" i="6"/>
  <c r="F989" i="6"/>
  <c r="E989" i="6"/>
  <c r="D989" i="6"/>
  <c r="C989" i="6"/>
  <c r="B989" i="6"/>
  <c r="A989" i="6"/>
  <c r="G988" i="6"/>
  <c r="F988" i="6"/>
  <c r="E988" i="6"/>
  <c r="D988" i="6"/>
  <c r="C988" i="6"/>
  <c r="B988" i="6"/>
  <c r="A988" i="6"/>
  <c r="G987" i="6"/>
  <c r="F987" i="6"/>
  <c r="E987" i="6"/>
  <c r="D987" i="6"/>
  <c r="C987" i="6"/>
  <c r="B987" i="6"/>
  <c r="A987" i="6"/>
  <c r="G986" i="6"/>
  <c r="F986" i="6"/>
  <c r="E986" i="6"/>
  <c r="D986" i="6"/>
  <c r="C986" i="6"/>
  <c r="B986" i="6"/>
  <c r="A986" i="6"/>
  <c r="G985" i="6"/>
  <c r="F985" i="6"/>
  <c r="E985" i="6"/>
  <c r="D985" i="6"/>
  <c r="C985" i="6"/>
  <c r="B985" i="6"/>
  <c r="A985" i="6"/>
  <c r="G984" i="6"/>
  <c r="F984" i="6"/>
  <c r="E984" i="6"/>
  <c r="D984" i="6"/>
  <c r="C984" i="6"/>
  <c r="B984" i="6"/>
  <c r="A984" i="6"/>
  <c r="G983" i="6"/>
  <c r="F983" i="6"/>
  <c r="E983" i="6"/>
  <c r="D983" i="6"/>
  <c r="C983" i="6"/>
  <c r="B983" i="6"/>
  <c r="A983" i="6"/>
  <c r="G982" i="6"/>
  <c r="F982" i="6"/>
  <c r="E982" i="6"/>
  <c r="D982" i="6"/>
  <c r="C982" i="6"/>
  <c r="B982" i="6"/>
  <c r="A982" i="6"/>
  <c r="G981" i="6"/>
  <c r="F981" i="6"/>
  <c r="E981" i="6"/>
  <c r="D981" i="6"/>
  <c r="C981" i="6"/>
  <c r="B981" i="6"/>
  <c r="A981" i="6"/>
  <c r="G980" i="6"/>
  <c r="F980" i="6"/>
  <c r="E980" i="6"/>
  <c r="D980" i="6"/>
  <c r="C980" i="6"/>
  <c r="B980" i="6"/>
  <c r="A980" i="6"/>
  <c r="G979" i="6"/>
  <c r="F979" i="6"/>
  <c r="E979" i="6"/>
  <c r="D979" i="6"/>
  <c r="C979" i="6"/>
  <c r="B979" i="6"/>
  <c r="A979" i="6"/>
  <c r="G978" i="6"/>
  <c r="F978" i="6"/>
  <c r="E978" i="6"/>
  <c r="D978" i="6"/>
  <c r="C978" i="6"/>
  <c r="B978" i="6"/>
  <c r="A978" i="6"/>
  <c r="G977" i="6"/>
  <c r="F977" i="6"/>
  <c r="E977" i="6"/>
  <c r="D977" i="6"/>
  <c r="C977" i="6"/>
  <c r="B977" i="6"/>
  <c r="A977" i="6"/>
  <c r="G976" i="6"/>
  <c r="F976" i="6"/>
  <c r="E976" i="6"/>
  <c r="D976" i="6"/>
  <c r="C976" i="6"/>
  <c r="B976" i="6"/>
  <c r="A976" i="6"/>
  <c r="G975" i="6"/>
  <c r="F975" i="6"/>
  <c r="E975" i="6"/>
  <c r="D975" i="6"/>
  <c r="C975" i="6"/>
  <c r="B975" i="6"/>
  <c r="A975" i="6"/>
  <c r="G974" i="6"/>
  <c r="F974" i="6"/>
  <c r="E974" i="6"/>
  <c r="D974" i="6"/>
  <c r="C974" i="6"/>
  <c r="B974" i="6"/>
  <c r="A974" i="6"/>
  <c r="G973" i="6"/>
  <c r="F973" i="6"/>
  <c r="E973" i="6"/>
  <c r="D973" i="6"/>
  <c r="C973" i="6"/>
  <c r="B973" i="6"/>
  <c r="A973" i="6"/>
  <c r="G972" i="6"/>
  <c r="F972" i="6"/>
  <c r="E972" i="6"/>
  <c r="D972" i="6"/>
  <c r="C972" i="6"/>
  <c r="B972" i="6"/>
  <c r="A972" i="6"/>
  <c r="G971" i="6"/>
  <c r="F971" i="6"/>
  <c r="E971" i="6"/>
  <c r="D971" i="6"/>
  <c r="C971" i="6"/>
  <c r="B971" i="6"/>
  <c r="A971" i="6"/>
  <c r="G970" i="6"/>
  <c r="F970" i="6"/>
  <c r="E970" i="6"/>
  <c r="D970" i="6"/>
  <c r="C970" i="6"/>
  <c r="B970" i="6"/>
  <c r="A970" i="6"/>
  <c r="G969" i="6"/>
  <c r="F969" i="6"/>
  <c r="E969" i="6"/>
  <c r="D969" i="6"/>
  <c r="C969" i="6"/>
  <c r="B969" i="6"/>
  <c r="A969" i="6"/>
  <c r="G968" i="6"/>
  <c r="F968" i="6"/>
  <c r="E968" i="6"/>
  <c r="D968" i="6"/>
  <c r="C968" i="6"/>
  <c r="B968" i="6"/>
  <c r="A968" i="6"/>
  <c r="G967" i="6"/>
  <c r="F967" i="6"/>
  <c r="E967" i="6"/>
  <c r="D967" i="6"/>
  <c r="C967" i="6"/>
  <c r="B967" i="6"/>
  <c r="A967" i="6"/>
  <c r="G966" i="6"/>
  <c r="F966" i="6"/>
  <c r="E966" i="6"/>
  <c r="D966" i="6"/>
  <c r="C966" i="6"/>
  <c r="B966" i="6"/>
  <c r="A966" i="6"/>
  <c r="G965" i="6"/>
  <c r="F965" i="6"/>
  <c r="E965" i="6"/>
  <c r="D965" i="6"/>
  <c r="C965" i="6"/>
  <c r="B965" i="6"/>
  <c r="A965" i="6"/>
  <c r="G964" i="6"/>
  <c r="F964" i="6"/>
  <c r="E964" i="6"/>
  <c r="D964" i="6"/>
  <c r="C964" i="6"/>
  <c r="B964" i="6"/>
  <c r="A964" i="6"/>
  <c r="G963" i="6"/>
  <c r="F963" i="6"/>
  <c r="E963" i="6"/>
  <c r="D963" i="6"/>
  <c r="C963" i="6"/>
  <c r="B963" i="6"/>
  <c r="A963" i="6"/>
  <c r="G962" i="6"/>
  <c r="F962" i="6"/>
  <c r="E962" i="6"/>
  <c r="D962" i="6"/>
  <c r="C962" i="6"/>
  <c r="B962" i="6"/>
  <c r="A962" i="6"/>
  <c r="G961" i="6"/>
  <c r="F961" i="6"/>
  <c r="E961" i="6"/>
  <c r="D961" i="6"/>
  <c r="C961" i="6"/>
  <c r="B961" i="6"/>
  <c r="A961" i="6"/>
  <c r="G960" i="6"/>
  <c r="F960" i="6"/>
  <c r="E960" i="6"/>
  <c r="D960" i="6"/>
  <c r="C960" i="6"/>
  <c r="B960" i="6"/>
  <c r="A960" i="6"/>
  <c r="G959" i="6"/>
  <c r="F959" i="6"/>
  <c r="E959" i="6"/>
  <c r="D959" i="6"/>
  <c r="C959" i="6"/>
  <c r="B959" i="6"/>
  <c r="A959" i="6"/>
  <c r="G958" i="6"/>
  <c r="F958" i="6"/>
  <c r="E958" i="6"/>
  <c r="D958" i="6"/>
  <c r="C958" i="6"/>
  <c r="B958" i="6"/>
  <c r="A958" i="6"/>
  <c r="G957" i="6"/>
  <c r="F957" i="6"/>
  <c r="E957" i="6"/>
  <c r="D957" i="6"/>
  <c r="C957" i="6"/>
  <c r="B957" i="6"/>
  <c r="A957" i="6"/>
  <c r="G956" i="6"/>
  <c r="F956" i="6"/>
  <c r="E956" i="6"/>
  <c r="D956" i="6"/>
  <c r="C956" i="6"/>
  <c r="B956" i="6"/>
  <c r="A956" i="6"/>
  <c r="G955" i="6"/>
  <c r="F955" i="6"/>
  <c r="E955" i="6"/>
  <c r="D955" i="6"/>
  <c r="C955" i="6"/>
  <c r="B955" i="6"/>
  <c r="A955" i="6"/>
  <c r="G954" i="6"/>
  <c r="F954" i="6"/>
  <c r="E954" i="6"/>
  <c r="D954" i="6"/>
  <c r="C954" i="6"/>
  <c r="B954" i="6"/>
  <c r="A954" i="6"/>
  <c r="G953" i="6"/>
  <c r="F953" i="6"/>
  <c r="E953" i="6"/>
  <c r="D953" i="6"/>
  <c r="C953" i="6"/>
  <c r="B953" i="6"/>
  <c r="A953" i="6"/>
  <c r="G952" i="6"/>
  <c r="F952" i="6"/>
  <c r="E952" i="6"/>
  <c r="D952" i="6"/>
  <c r="C952" i="6"/>
  <c r="B952" i="6"/>
  <c r="A952" i="6"/>
  <c r="G951" i="6"/>
  <c r="F951" i="6"/>
  <c r="E951" i="6"/>
  <c r="D951" i="6"/>
  <c r="C951" i="6"/>
  <c r="B951" i="6"/>
  <c r="A951" i="6"/>
  <c r="G950" i="6"/>
  <c r="F950" i="6"/>
  <c r="E950" i="6"/>
  <c r="D950" i="6"/>
  <c r="C950" i="6"/>
  <c r="B950" i="6"/>
  <c r="A950" i="6"/>
  <c r="G949" i="6"/>
  <c r="F949" i="6"/>
  <c r="E949" i="6"/>
  <c r="D949" i="6"/>
  <c r="C949" i="6"/>
  <c r="B949" i="6"/>
  <c r="A949" i="6"/>
  <c r="G948" i="6"/>
  <c r="F948" i="6"/>
  <c r="E948" i="6"/>
  <c r="D948" i="6"/>
  <c r="C948" i="6"/>
  <c r="B948" i="6"/>
  <c r="A948" i="6"/>
  <c r="G947" i="6"/>
  <c r="F947" i="6"/>
  <c r="E947" i="6"/>
  <c r="D947" i="6"/>
  <c r="C947" i="6"/>
  <c r="B947" i="6"/>
  <c r="A947" i="6"/>
  <c r="G946" i="6"/>
  <c r="F946" i="6"/>
  <c r="E946" i="6"/>
  <c r="D946" i="6"/>
  <c r="C946" i="6"/>
  <c r="B946" i="6"/>
  <c r="A946" i="6"/>
  <c r="G945" i="6"/>
  <c r="F945" i="6"/>
  <c r="E945" i="6"/>
  <c r="D945" i="6"/>
  <c r="C945" i="6"/>
  <c r="B945" i="6"/>
  <c r="A945" i="6"/>
  <c r="G944" i="6"/>
  <c r="F944" i="6"/>
  <c r="E944" i="6"/>
  <c r="D944" i="6"/>
  <c r="C944" i="6"/>
  <c r="B944" i="6"/>
  <c r="A944" i="6"/>
  <c r="G943" i="6"/>
  <c r="F943" i="6"/>
  <c r="E943" i="6"/>
  <c r="D943" i="6"/>
  <c r="C943" i="6"/>
  <c r="B943" i="6"/>
  <c r="A943" i="6"/>
  <c r="G942" i="6"/>
  <c r="F942" i="6"/>
  <c r="E942" i="6"/>
  <c r="D942" i="6"/>
  <c r="C942" i="6"/>
  <c r="B942" i="6"/>
  <c r="A942" i="6"/>
  <c r="G941" i="6"/>
  <c r="F941" i="6"/>
  <c r="E941" i="6"/>
  <c r="D941" i="6"/>
  <c r="C941" i="6"/>
  <c r="B941" i="6"/>
  <c r="A941" i="6"/>
  <c r="G940" i="6"/>
  <c r="F940" i="6"/>
  <c r="E940" i="6"/>
  <c r="D940" i="6"/>
  <c r="C940" i="6"/>
  <c r="B940" i="6"/>
  <c r="A940" i="6"/>
  <c r="G939" i="6"/>
  <c r="F939" i="6"/>
  <c r="E939" i="6"/>
  <c r="D939" i="6"/>
  <c r="C939" i="6"/>
  <c r="B939" i="6"/>
  <c r="A939" i="6"/>
  <c r="G938" i="6"/>
  <c r="F938" i="6"/>
  <c r="E938" i="6"/>
  <c r="D938" i="6"/>
  <c r="C938" i="6"/>
  <c r="B938" i="6"/>
  <c r="A938" i="6"/>
  <c r="G937" i="6"/>
  <c r="F937" i="6"/>
  <c r="E937" i="6"/>
  <c r="D937" i="6"/>
  <c r="C937" i="6"/>
  <c r="B937" i="6"/>
  <c r="A937" i="6"/>
  <c r="G936" i="6"/>
  <c r="F936" i="6"/>
  <c r="E936" i="6"/>
  <c r="D936" i="6"/>
  <c r="C936" i="6"/>
  <c r="B936" i="6"/>
  <c r="A936" i="6"/>
  <c r="G935" i="6"/>
  <c r="F935" i="6"/>
  <c r="E935" i="6"/>
  <c r="D935" i="6"/>
  <c r="C935" i="6"/>
  <c r="B935" i="6"/>
  <c r="A935" i="6"/>
  <c r="G934" i="6"/>
  <c r="F934" i="6"/>
  <c r="E934" i="6"/>
  <c r="D934" i="6"/>
  <c r="C934" i="6"/>
  <c r="B934" i="6"/>
  <c r="A934" i="6"/>
  <c r="G933" i="6"/>
  <c r="F933" i="6"/>
  <c r="E933" i="6"/>
  <c r="D933" i="6"/>
  <c r="C933" i="6"/>
  <c r="B933" i="6"/>
  <c r="A933" i="6"/>
  <c r="G932" i="6"/>
  <c r="F932" i="6"/>
  <c r="E932" i="6"/>
  <c r="D932" i="6"/>
  <c r="C932" i="6"/>
  <c r="B932" i="6"/>
  <c r="A932" i="6"/>
  <c r="G931" i="6"/>
  <c r="F931" i="6"/>
  <c r="E931" i="6"/>
  <c r="D931" i="6"/>
  <c r="C931" i="6"/>
  <c r="B931" i="6"/>
  <c r="A931" i="6"/>
  <c r="G930" i="6"/>
  <c r="F930" i="6"/>
  <c r="E930" i="6"/>
  <c r="D930" i="6"/>
  <c r="C930" i="6"/>
  <c r="B930" i="6"/>
  <c r="A930" i="6"/>
  <c r="G929" i="6"/>
  <c r="F929" i="6"/>
  <c r="E929" i="6"/>
  <c r="D929" i="6"/>
  <c r="C929" i="6"/>
  <c r="B929" i="6"/>
  <c r="A929" i="6"/>
  <c r="G928" i="6"/>
  <c r="F928" i="6"/>
  <c r="E928" i="6"/>
  <c r="D928" i="6"/>
  <c r="C928" i="6"/>
  <c r="B928" i="6"/>
  <c r="A928" i="6"/>
  <c r="G927" i="6"/>
  <c r="F927" i="6"/>
  <c r="E927" i="6"/>
  <c r="D927" i="6"/>
  <c r="C927" i="6"/>
  <c r="B927" i="6"/>
  <c r="A927" i="6"/>
  <c r="G926" i="6"/>
  <c r="F926" i="6"/>
  <c r="E926" i="6"/>
  <c r="D926" i="6"/>
  <c r="C926" i="6"/>
  <c r="B926" i="6"/>
  <c r="A926" i="6"/>
  <c r="G925" i="6"/>
  <c r="F925" i="6"/>
  <c r="E925" i="6"/>
  <c r="D925" i="6"/>
  <c r="C925" i="6"/>
  <c r="B925" i="6"/>
  <c r="A925" i="6"/>
  <c r="G924" i="6"/>
  <c r="F924" i="6"/>
  <c r="E924" i="6"/>
  <c r="D924" i="6"/>
  <c r="C924" i="6"/>
  <c r="B924" i="6"/>
  <c r="A924" i="6"/>
  <c r="G923" i="6"/>
  <c r="F923" i="6"/>
  <c r="E923" i="6"/>
  <c r="D923" i="6"/>
  <c r="C923" i="6"/>
  <c r="B923" i="6"/>
  <c r="A923" i="6"/>
  <c r="G922" i="6"/>
  <c r="F922" i="6"/>
  <c r="E922" i="6"/>
  <c r="D922" i="6"/>
  <c r="C922" i="6"/>
  <c r="B922" i="6"/>
  <c r="A922" i="6"/>
  <c r="G921" i="6"/>
  <c r="F921" i="6"/>
  <c r="E921" i="6"/>
  <c r="D921" i="6"/>
  <c r="C921" i="6"/>
  <c r="B921" i="6"/>
  <c r="A921" i="6"/>
  <c r="G920" i="6"/>
  <c r="F920" i="6"/>
  <c r="E920" i="6"/>
  <c r="D920" i="6"/>
  <c r="C920" i="6"/>
  <c r="B920" i="6"/>
  <c r="A920" i="6"/>
  <c r="G919" i="6"/>
  <c r="F919" i="6"/>
  <c r="E919" i="6"/>
  <c r="D919" i="6"/>
  <c r="C919" i="6"/>
  <c r="B919" i="6"/>
  <c r="A919" i="6"/>
  <c r="G918" i="6"/>
  <c r="F918" i="6"/>
  <c r="E918" i="6"/>
  <c r="D918" i="6"/>
  <c r="C918" i="6"/>
  <c r="B918" i="6"/>
  <c r="A918" i="6"/>
  <c r="G917" i="6"/>
  <c r="F917" i="6"/>
  <c r="E917" i="6"/>
  <c r="D917" i="6"/>
  <c r="C917" i="6"/>
  <c r="B917" i="6"/>
  <c r="A917" i="6"/>
  <c r="G916" i="6"/>
  <c r="F916" i="6"/>
  <c r="E916" i="6"/>
  <c r="D916" i="6"/>
  <c r="C916" i="6"/>
  <c r="B916" i="6"/>
  <c r="A916" i="6"/>
  <c r="G915" i="6"/>
  <c r="F915" i="6"/>
  <c r="E915" i="6"/>
  <c r="D915" i="6"/>
  <c r="C915" i="6"/>
  <c r="B915" i="6"/>
  <c r="A915" i="6"/>
  <c r="G914" i="6"/>
  <c r="F914" i="6"/>
  <c r="E914" i="6"/>
  <c r="D914" i="6"/>
  <c r="C914" i="6"/>
  <c r="B914" i="6"/>
  <c r="A914" i="6"/>
  <c r="G913" i="6"/>
  <c r="F913" i="6"/>
  <c r="E913" i="6"/>
  <c r="D913" i="6"/>
  <c r="C913" i="6"/>
  <c r="B913" i="6"/>
  <c r="A913" i="6"/>
  <c r="G912" i="6"/>
  <c r="F912" i="6"/>
  <c r="E912" i="6"/>
  <c r="D912" i="6"/>
  <c r="C912" i="6"/>
  <c r="B912" i="6"/>
  <c r="A912" i="6"/>
  <c r="G911" i="6"/>
  <c r="F911" i="6"/>
  <c r="E911" i="6"/>
  <c r="D911" i="6"/>
  <c r="C911" i="6"/>
  <c r="B911" i="6"/>
  <c r="A911" i="6"/>
  <c r="G910" i="6"/>
  <c r="F910" i="6"/>
  <c r="E910" i="6"/>
  <c r="D910" i="6"/>
  <c r="C910" i="6"/>
  <c r="B910" i="6"/>
  <c r="A910" i="6"/>
  <c r="G909" i="6"/>
  <c r="F909" i="6"/>
  <c r="E909" i="6"/>
  <c r="D909" i="6"/>
  <c r="C909" i="6"/>
  <c r="B909" i="6"/>
  <c r="A909" i="6"/>
  <c r="G908" i="6"/>
  <c r="F908" i="6"/>
  <c r="E908" i="6"/>
  <c r="D908" i="6"/>
  <c r="C908" i="6"/>
  <c r="B908" i="6"/>
  <c r="A908" i="6"/>
  <c r="G907" i="6"/>
  <c r="F907" i="6"/>
  <c r="E907" i="6"/>
  <c r="D907" i="6"/>
  <c r="C907" i="6"/>
  <c r="B907" i="6"/>
  <c r="A907" i="6"/>
  <c r="G906" i="6"/>
  <c r="F906" i="6"/>
  <c r="E906" i="6"/>
  <c r="D906" i="6"/>
  <c r="C906" i="6"/>
  <c r="B906" i="6"/>
  <c r="A906" i="6"/>
  <c r="G905" i="6"/>
  <c r="F905" i="6"/>
  <c r="E905" i="6"/>
  <c r="D905" i="6"/>
  <c r="C905" i="6"/>
  <c r="B905" i="6"/>
  <c r="A905" i="6"/>
  <c r="G904" i="6"/>
  <c r="F904" i="6"/>
  <c r="E904" i="6"/>
  <c r="D904" i="6"/>
  <c r="C904" i="6"/>
  <c r="B904" i="6"/>
  <c r="A904" i="6"/>
  <c r="G903" i="6"/>
  <c r="F903" i="6"/>
  <c r="E903" i="6"/>
  <c r="D903" i="6"/>
  <c r="C903" i="6"/>
  <c r="B903" i="6"/>
  <c r="A903" i="6"/>
  <c r="G902" i="6"/>
  <c r="F902" i="6"/>
  <c r="E902" i="6"/>
  <c r="D902" i="6"/>
  <c r="C902" i="6"/>
  <c r="B902" i="6"/>
  <c r="A902" i="6"/>
  <c r="G901" i="6"/>
  <c r="F901" i="6"/>
  <c r="E901" i="6"/>
  <c r="D901" i="6"/>
  <c r="C901" i="6"/>
  <c r="B901" i="6"/>
  <c r="A901" i="6"/>
  <c r="G900" i="6"/>
  <c r="F900" i="6"/>
  <c r="E900" i="6"/>
  <c r="D900" i="6"/>
  <c r="C900" i="6"/>
  <c r="B900" i="6"/>
  <c r="A900" i="6"/>
  <c r="G899" i="6"/>
  <c r="F899" i="6"/>
  <c r="E899" i="6"/>
  <c r="D899" i="6"/>
  <c r="C899" i="6"/>
  <c r="B899" i="6"/>
  <c r="A899" i="6"/>
  <c r="G898" i="6"/>
  <c r="F898" i="6"/>
  <c r="E898" i="6"/>
  <c r="D898" i="6"/>
  <c r="C898" i="6"/>
  <c r="B898" i="6"/>
  <c r="A898" i="6"/>
  <c r="G897" i="6"/>
  <c r="F897" i="6"/>
  <c r="E897" i="6"/>
  <c r="D897" i="6"/>
  <c r="C897" i="6"/>
  <c r="B897" i="6"/>
  <c r="A897" i="6"/>
  <c r="G896" i="6"/>
  <c r="F896" i="6"/>
  <c r="E896" i="6"/>
  <c r="D896" i="6"/>
  <c r="C896" i="6"/>
  <c r="B896" i="6"/>
  <c r="A896" i="6"/>
  <c r="G895" i="6"/>
  <c r="F895" i="6"/>
  <c r="E895" i="6"/>
  <c r="D895" i="6"/>
  <c r="C895" i="6"/>
  <c r="B895" i="6"/>
  <c r="A895" i="6"/>
  <c r="G894" i="6"/>
  <c r="F894" i="6"/>
  <c r="E894" i="6"/>
  <c r="D894" i="6"/>
  <c r="C894" i="6"/>
  <c r="B894" i="6"/>
  <c r="A894" i="6"/>
  <c r="G893" i="6"/>
  <c r="F893" i="6"/>
  <c r="E893" i="6"/>
  <c r="D893" i="6"/>
  <c r="C893" i="6"/>
  <c r="B893" i="6"/>
  <c r="A893" i="6"/>
  <c r="G892" i="6"/>
  <c r="F892" i="6"/>
  <c r="E892" i="6"/>
  <c r="D892" i="6"/>
  <c r="C892" i="6"/>
  <c r="B892" i="6"/>
  <c r="A892" i="6"/>
  <c r="G891" i="6"/>
  <c r="F891" i="6"/>
  <c r="E891" i="6"/>
  <c r="D891" i="6"/>
  <c r="C891" i="6"/>
  <c r="B891" i="6"/>
  <c r="A891" i="6"/>
  <c r="G890" i="6"/>
  <c r="F890" i="6"/>
  <c r="E890" i="6"/>
  <c r="D890" i="6"/>
  <c r="C890" i="6"/>
  <c r="B890" i="6"/>
  <c r="A890" i="6"/>
  <c r="G889" i="6"/>
  <c r="F889" i="6"/>
  <c r="E889" i="6"/>
  <c r="D889" i="6"/>
  <c r="C889" i="6"/>
  <c r="B889" i="6"/>
  <c r="A889" i="6"/>
  <c r="G888" i="6"/>
  <c r="F888" i="6"/>
  <c r="E888" i="6"/>
  <c r="D888" i="6"/>
  <c r="C888" i="6"/>
  <c r="B888" i="6"/>
  <c r="A888" i="6"/>
  <c r="G887" i="6"/>
  <c r="F887" i="6"/>
  <c r="E887" i="6"/>
  <c r="D887" i="6"/>
  <c r="C887" i="6"/>
  <c r="B887" i="6"/>
  <c r="A887" i="6"/>
  <c r="G886" i="6"/>
  <c r="F886" i="6"/>
  <c r="E886" i="6"/>
  <c r="D886" i="6"/>
  <c r="C886" i="6"/>
  <c r="B886" i="6"/>
  <c r="A886" i="6"/>
  <c r="G885" i="6"/>
  <c r="F885" i="6"/>
  <c r="E885" i="6"/>
  <c r="D885" i="6"/>
  <c r="C885" i="6"/>
  <c r="B885" i="6"/>
  <c r="A885" i="6"/>
  <c r="G884" i="6"/>
  <c r="F884" i="6"/>
  <c r="E884" i="6"/>
  <c r="D884" i="6"/>
  <c r="C884" i="6"/>
  <c r="B884" i="6"/>
  <c r="A884" i="6"/>
  <c r="G883" i="6"/>
  <c r="F883" i="6"/>
  <c r="E883" i="6"/>
  <c r="D883" i="6"/>
  <c r="C883" i="6"/>
  <c r="B883" i="6"/>
  <c r="A883" i="6"/>
  <c r="G882" i="6"/>
  <c r="F882" i="6"/>
  <c r="E882" i="6"/>
  <c r="D882" i="6"/>
  <c r="C882" i="6"/>
  <c r="B882" i="6"/>
  <c r="A882" i="6"/>
  <c r="G881" i="6"/>
  <c r="F881" i="6"/>
  <c r="E881" i="6"/>
  <c r="D881" i="6"/>
  <c r="C881" i="6"/>
  <c r="B881" i="6"/>
  <c r="A881" i="6"/>
  <c r="G880" i="6"/>
  <c r="F880" i="6"/>
  <c r="E880" i="6"/>
  <c r="D880" i="6"/>
  <c r="C880" i="6"/>
  <c r="B880" i="6"/>
  <c r="A880" i="6"/>
  <c r="G879" i="6"/>
  <c r="F879" i="6"/>
  <c r="E879" i="6"/>
  <c r="D879" i="6"/>
  <c r="C879" i="6"/>
  <c r="B879" i="6"/>
  <c r="A879" i="6"/>
  <c r="G878" i="6"/>
  <c r="F878" i="6"/>
  <c r="E878" i="6"/>
  <c r="D878" i="6"/>
  <c r="C878" i="6"/>
  <c r="B878" i="6"/>
  <c r="A878" i="6"/>
  <c r="G877" i="6"/>
  <c r="F877" i="6"/>
  <c r="E877" i="6"/>
  <c r="D877" i="6"/>
  <c r="C877" i="6"/>
  <c r="B877" i="6"/>
  <c r="A877" i="6"/>
  <c r="G876" i="6"/>
  <c r="F876" i="6"/>
  <c r="E876" i="6"/>
  <c r="D876" i="6"/>
  <c r="C876" i="6"/>
  <c r="B876" i="6"/>
  <c r="A876" i="6"/>
  <c r="G875" i="6"/>
  <c r="F875" i="6"/>
  <c r="E875" i="6"/>
  <c r="D875" i="6"/>
  <c r="C875" i="6"/>
  <c r="B875" i="6"/>
  <c r="A875" i="6"/>
  <c r="G874" i="6"/>
  <c r="F874" i="6"/>
  <c r="E874" i="6"/>
  <c r="D874" i="6"/>
  <c r="C874" i="6"/>
  <c r="B874" i="6"/>
  <c r="A874" i="6"/>
  <c r="G873" i="6"/>
  <c r="F873" i="6"/>
  <c r="E873" i="6"/>
  <c r="D873" i="6"/>
  <c r="C873" i="6"/>
  <c r="B873" i="6"/>
  <c r="A873" i="6"/>
  <c r="G872" i="6"/>
  <c r="F872" i="6"/>
  <c r="E872" i="6"/>
  <c r="D872" i="6"/>
  <c r="C872" i="6"/>
  <c r="B872" i="6"/>
  <c r="A872" i="6"/>
  <c r="G871" i="6"/>
  <c r="F871" i="6"/>
  <c r="E871" i="6"/>
  <c r="D871" i="6"/>
  <c r="C871" i="6"/>
  <c r="B871" i="6"/>
  <c r="A871" i="6"/>
  <c r="G870" i="6"/>
  <c r="F870" i="6"/>
  <c r="E870" i="6"/>
  <c r="D870" i="6"/>
  <c r="C870" i="6"/>
  <c r="B870" i="6"/>
  <c r="A870" i="6"/>
  <c r="G869" i="6"/>
  <c r="F869" i="6"/>
  <c r="E869" i="6"/>
  <c r="D869" i="6"/>
  <c r="C869" i="6"/>
  <c r="B869" i="6"/>
  <c r="A869" i="6"/>
  <c r="G868" i="6"/>
  <c r="F868" i="6"/>
  <c r="E868" i="6"/>
  <c r="D868" i="6"/>
  <c r="C868" i="6"/>
  <c r="B868" i="6"/>
  <c r="A868" i="6"/>
  <c r="G867" i="6"/>
  <c r="F867" i="6"/>
  <c r="E867" i="6"/>
  <c r="D867" i="6"/>
  <c r="C867" i="6"/>
  <c r="B867" i="6"/>
  <c r="A867" i="6"/>
  <c r="G866" i="6"/>
  <c r="F866" i="6"/>
  <c r="E866" i="6"/>
  <c r="D866" i="6"/>
  <c r="C866" i="6"/>
  <c r="B866" i="6"/>
  <c r="A866" i="6"/>
  <c r="G865" i="6"/>
  <c r="F865" i="6"/>
  <c r="E865" i="6"/>
  <c r="D865" i="6"/>
  <c r="C865" i="6"/>
  <c r="B865" i="6"/>
  <c r="A865" i="6"/>
  <c r="G864" i="6"/>
  <c r="F864" i="6"/>
  <c r="E864" i="6"/>
  <c r="D864" i="6"/>
  <c r="C864" i="6"/>
  <c r="B864" i="6"/>
  <c r="A864" i="6"/>
  <c r="G863" i="6"/>
  <c r="F863" i="6"/>
  <c r="E863" i="6"/>
  <c r="D863" i="6"/>
  <c r="C863" i="6"/>
  <c r="B863" i="6"/>
  <c r="A863" i="6"/>
  <c r="G862" i="6"/>
  <c r="F862" i="6"/>
  <c r="E862" i="6"/>
  <c r="D862" i="6"/>
  <c r="C862" i="6"/>
  <c r="B862" i="6"/>
  <c r="A862" i="6"/>
  <c r="G861" i="6"/>
  <c r="F861" i="6"/>
  <c r="E861" i="6"/>
  <c r="D861" i="6"/>
  <c r="C861" i="6"/>
  <c r="B861" i="6"/>
  <c r="A861" i="6"/>
  <c r="G860" i="6"/>
  <c r="F860" i="6"/>
  <c r="E860" i="6"/>
  <c r="D860" i="6"/>
  <c r="C860" i="6"/>
  <c r="B860" i="6"/>
  <c r="A860" i="6"/>
  <c r="G859" i="6"/>
  <c r="F859" i="6"/>
  <c r="E859" i="6"/>
  <c r="D859" i="6"/>
  <c r="C859" i="6"/>
  <c r="B859" i="6"/>
  <c r="A859" i="6"/>
  <c r="G858" i="6"/>
  <c r="F858" i="6"/>
  <c r="E858" i="6"/>
  <c r="D858" i="6"/>
  <c r="C858" i="6"/>
  <c r="B858" i="6"/>
  <c r="A858" i="6"/>
  <c r="G857" i="6"/>
  <c r="F857" i="6"/>
  <c r="E857" i="6"/>
  <c r="D857" i="6"/>
  <c r="C857" i="6"/>
  <c r="B857" i="6"/>
  <c r="A857" i="6"/>
  <c r="G856" i="6"/>
  <c r="F856" i="6"/>
  <c r="E856" i="6"/>
  <c r="D856" i="6"/>
  <c r="C856" i="6"/>
  <c r="B856" i="6"/>
  <c r="A856" i="6"/>
  <c r="G855" i="6"/>
  <c r="F855" i="6"/>
  <c r="E855" i="6"/>
  <c r="D855" i="6"/>
  <c r="C855" i="6"/>
  <c r="B855" i="6"/>
  <c r="A855" i="6"/>
  <c r="G854" i="6"/>
  <c r="F854" i="6"/>
  <c r="E854" i="6"/>
  <c r="D854" i="6"/>
  <c r="C854" i="6"/>
  <c r="B854" i="6"/>
  <c r="A854" i="6"/>
  <c r="G853" i="6"/>
  <c r="F853" i="6"/>
  <c r="E853" i="6"/>
  <c r="D853" i="6"/>
  <c r="C853" i="6"/>
  <c r="B853" i="6"/>
  <c r="A853" i="6"/>
  <c r="G852" i="6"/>
  <c r="F852" i="6"/>
  <c r="E852" i="6"/>
  <c r="D852" i="6"/>
  <c r="C852" i="6"/>
  <c r="B852" i="6"/>
  <c r="A852" i="6"/>
  <c r="G851" i="6"/>
  <c r="F851" i="6"/>
  <c r="E851" i="6"/>
  <c r="D851" i="6"/>
  <c r="C851" i="6"/>
  <c r="B851" i="6"/>
  <c r="A851" i="6"/>
  <c r="G850" i="6"/>
  <c r="F850" i="6"/>
  <c r="E850" i="6"/>
  <c r="D850" i="6"/>
  <c r="C850" i="6"/>
  <c r="B850" i="6"/>
  <c r="A850" i="6"/>
  <c r="G849" i="6"/>
  <c r="F849" i="6"/>
  <c r="E849" i="6"/>
  <c r="D849" i="6"/>
  <c r="C849" i="6"/>
  <c r="B849" i="6"/>
  <c r="A849" i="6"/>
  <c r="G848" i="6"/>
  <c r="F848" i="6"/>
  <c r="E848" i="6"/>
  <c r="D848" i="6"/>
  <c r="C848" i="6"/>
  <c r="B848" i="6"/>
  <c r="A848" i="6"/>
  <c r="G847" i="6"/>
  <c r="F847" i="6"/>
  <c r="E847" i="6"/>
  <c r="D847" i="6"/>
  <c r="C847" i="6"/>
  <c r="B847" i="6"/>
  <c r="A847" i="6"/>
  <c r="G846" i="6"/>
  <c r="F846" i="6"/>
  <c r="E846" i="6"/>
  <c r="D846" i="6"/>
  <c r="C846" i="6"/>
  <c r="B846" i="6"/>
  <c r="A846" i="6"/>
  <c r="G845" i="6"/>
  <c r="F845" i="6"/>
  <c r="E845" i="6"/>
  <c r="D845" i="6"/>
  <c r="C845" i="6"/>
  <c r="B845" i="6"/>
  <c r="A845" i="6"/>
  <c r="G844" i="6"/>
  <c r="F844" i="6"/>
  <c r="E844" i="6"/>
  <c r="D844" i="6"/>
  <c r="C844" i="6"/>
  <c r="B844" i="6"/>
  <c r="A844" i="6"/>
  <c r="G843" i="6"/>
  <c r="F843" i="6"/>
  <c r="E843" i="6"/>
  <c r="D843" i="6"/>
  <c r="C843" i="6"/>
  <c r="B843" i="6"/>
  <c r="A843" i="6"/>
  <c r="G842" i="6"/>
  <c r="F842" i="6"/>
  <c r="E842" i="6"/>
  <c r="D842" i="6"/>
  <c r="C842" i="6"/>
  <c r="B842" i="6"/>
  <c r="A842" i="6"/>
  <c r="G841" i="6"/>
  <c r="F841" i="6"/>
  <c r="E841" i="6"/>
  <c r="D841" i="6"/>
  <c r="C841" i="6"/>
  <c r="B841" i="6"/>
  <c r="A841" i="6"/>
  <c r="G840" i="6"/>
  <c r="F840" i="6"/>
  <c r="E840" i="6"/>
  <c r="D840" i="6"/>
  <c r="C840" i="6"/>
  <c r="B840" i="6"/>
  <c r="A840" i="6"/>
  <c r="G839" i="6"/>
  <c r="F839" i="6"/>
  <c r="E839" i="6"/>
  <c r="D839" i="6"/>
  <c r="C839" i="6"/>
  <c r="B839" i="6"/>
  <c r="A839" i="6"/>
  <c r="G838" i="6"/>
  <c r="F838" i="6"/>
  <c r="E838" i="6"/>
  <c r="D838" i="6"/>
  <c r="C838" i="6"/>
  <c r="B838" i="6"/>
  <c r="A838" i="6"/>
  <c r="G837" i="6"/>
  <c r="F837" i="6"/>
  <c r="E837" i="6"/>
  <c r="D837" i="6"/>
  <c r="C837" i="6"/>
  <c r="B837" i="6"/>
  <c r="A837" i="6"/>
  <c r="G836" i="6"/>
  <c r="F836" i="6"/>
  <c r="E836" i="6"/>
  <c r="D836" i="6"/>
  <c r="C836" i="6"/>
  <c r="B836" i="6"/>
  <c r="A836" i="6"/>
  <c r="G835" i="6"/>
  <c r="F835" i="6"/>
  <c r="E835" i="6"/>
  <c r="D835" i="6"/>
  <c r="C835" i="6"/>
  <c r="B835" i="6"/>
  <c r="A835" i="6"/>
  <c r="G834" i="6"/>
  <c r="F834" i="6"/>
  <c r="E834" i="6"/>
  <c r="D834" i="6"/>
  <c r="C834" i="6"/>
  <c r="B834" i="6"/>
  <c r="A834" i="6"/>
  <c r="G833" i="6"/>
  <c r="F833" i="6"/>
  <c r="E833" i="6"/>
  <c r="D833" i="6"/>
  <c r="C833" i="6"/>
  <c r="B833" i="6"/>
  <c r="A833" i="6"/>
  <c r="G832" i="6"/>
  <c r="F832" i="6"/>
  <c r="E832" i="6"/>
  <c r="D832" i="6"/>
  <c r="C832" i="6"/>
  <c r="B832" i="6"/>
  <c r="A832" i="6"/>
  <c r="G831" i="6"/>
  <c r="F831" i="6"/>
  <c r="E831" i="6"/>
  <c r="D831" i="6"/>
  <c r="C831" i="6"/>
  <c r="B831" i="6"/>
  <c r="A831" i="6"/>
  <c r="G830" i="6"/>
  <c r="F830" i="6"/>
  <c r="E830" i="6"/>
  <c r="D830" i="6"/>
  <c r="C830" i="6"/>
  <c r="B830" i="6"/>
  <c r="A830" i="6"/>
  <c r="G829" i="6"/>
  <c r="F829" i="6"/>
  <c r="E829" i="6"/>
  <c r="D829" i="6"/>
  <c r="C829" i="6"/>
  <c r="B829" i="6"/>
  <c r="A829" i="6"/>
  <c r="G828" i="6"/>
  <c r="F828" i="6"/>
  <c r="E828" i="6"/>
  <c r="D828" i="6"/>
  <c r="C828" i="6"/>
  <c r="B828" i="6"/>
  <c r="A828" i="6"/>
  <c r="G827" i="6"/>
  <c r="F827" i="6"/>
  <c r="E827" i="6"/>
  <c r="D827" i="6"/>
  <c r="C827" i="6"/>
  <c r="B827" i="6"/>
  <c r="A827" i="6"/>
  <c r="G826" i="6"/>
  <c r="F826" i="6"/>
  <c r="E826" i="6"/>
  <c r="D826" i="6"/>
  <c r="C826" i="6"/>
  <c r="B826" i="6"/>
  <c r="A826" i="6"/>
  <c r="G825" i="6"/>
  <c r="F825" i="6"/>
  <c r="E825" i="6"/>
  <c r="D825" i="6"/>
  <c r="C825" i="6"/>
  <c r="B825" i="6"/>
  <c r="A825" i="6"/>
  <c r="G824" i="6"/>
  <c r="F824" i="6"/>
  <c r="E824" i="6"/>
  <c r="D824" i="6"/>
  <c r="C824" i="6"/>
  <c r="B824" i="6"/>
  <c r="A824" i="6"/>
  <c r="G823" i="6"/>
  <c r="F823" i="6"/>
  <c r="E823" i="6"/>
  <c r="D823" i="6"/>
  <c r="C823" i="6"/>
  <c r="B823" i="6"/>
  <c r="A823" i="6"/>
  <c r="G822" i="6"/>
  <c r="F822" i="6"/>
  <c r="E822" i="6"/>
  <c r="D822" i="6"/>
  <c r="C822" i="6"/>
  <c r="B822" i="6"/>
  <c r="A822" i="6"/>
  <c r="G821" i="6"/>
  <c r="F821" i="6"/>
  <c r="E821" i="6"/>
  <c r="D821" i="6"/>
  <c r="C821" i="6"/>
  <c r="B821" i="6"/>
  <c r="A821" i="6"/>
  <c r="G820" i="6"/>
  <c r="F820" i="6"/>
  <c r="E820" i="6"/>
  <c r="D820" i="6"/>
  <c r="C820" i="6"/>
  <c r="B820" i="6"/>
  <c r="A820" i="6"/>
  <c r="G819" i="6"/>
  <c r="F819" i="6"/>
  <c r="E819" i="6"/>
  <c r="D819" i="6"/>
  <c r="C819" i="6"/>
  <c r="B819" i="6"/>
  <c r="A819" i="6"/>
  <c r="G818" i="6"/>
  <c r="F818" i="6"/>
  <c r="E818" i="6"/>
  <c r="D818" i="6"/>
  <c r="C818" i="6"/>
  <c r="B818" i="6"/>
  <c r="A818" i="6"/>
  <c r="G817" i="6"/>
  <c r="F817" i="6"/>
  <c r="E817" i="6"/>
  <c r="D817" i="6"/>
  <c r="C817" i="6"/>
  <c r="B817" i="6"/>
  <c r="A817" i="6"/>
  <c r="G816" i="6"/>
  <c r="F816" i="6"/>
  <c r="E816" i="6"/>
  <c r="D816" i="6"/>
  <c r="C816" i="6"/>
  <c r="B816" i="6"/>
  <c r="A816" i="6"/>
  <c r="G815" i="6"/>
  <c r="F815" i="6"/>
  <c r="E815" i="6"/>
  <c r="D815" i="6"/>
  <c r="C815" i="6"/>
  <c r="B815" i="6"/>
  <c r="A815" i="6"/>
  <c r="G814" i="6"/>
  <c r="F814" i="6"/>
  <c r="E814" i="6"/>
  <c r="D814" i="6"/>
  <c r="C814" i="6"/>
  <c r="B814" i="6"/>
  <c r="A814" i="6"/>
  <c r="G813" i="6"/>
  <c r="F813" i="6"/>
  <c r="E813" i="6"/>
  <c r="D813" i="6"/>
  <c r="C813" i="6"/>
  <c r="B813" i="6"/>
  <c r="A813" i="6"/>
  <c r="G812" i="6"/>
  <c r="F812" i="6"/>
  <c r="E812" i="6"/>
  <c r="D812" i="6"/>
  <c r="C812" i="6"/>
  <c r="B812" i="6"/>
  <c r="A812" i="6"/>
  <c r="G811" i="6"/>
  <c r="F811" i="6"/>
  <c r="E811" i="6"/>
  <c r="D811" i="6"/>
  <c r="C811" i="6"/>
  <c r="B811" i="6"/>
  <c r="A811" i="6"/>
  <c r="G810" i="6"/>
  <c r="F810" i="6"/>
  <c r="E810" i="6"/>
  <c r="D810" i="6"/>
  <c r="C810" i="6"/>
  <c r="B810" i="6"/>
  <c r="A810" i="6"/>
  <c r="G809" i="6"/>
  <c r="F809" i="6"/>
  <c r="E809" i="6"/>
  <c r="D809" i="6"/>
  <c r="C809" i="6"/>
  <c r="B809" i="6"/>
  <c r="A809" i="6"/>
  <c r="G808" i="6"/>
  <c r="F808" i="6"/>
  <c r="E808" i="6"/>
  <c r="D808" i="6"/>
  <c r="C808" i="6"/>
  <c r="B808" i="6"/>
  <c r="A808" i="6"/>
  <c r="G807" i="6"/>
  <c r="F807" i="6"/>
  <c r="E807" i="6"/>
  <c r="D807" i="6"/>
  <c r="C807" i="6"/>
  <c r="B807" i="6"/>
  <c r="A807" i="6"/>
  <c r="G806" i="6"/>
  <c r="F806" i="6"/>
  <c r="E806" i="6"/>
  <c r="D806" i="6"/>
  <c r="C806" i="6"/>
  <c r="B806" i="6"/>
  <c r="A806" i="6"/>
  <c r="G805" i="6"/>
  <c r="F805" i="6"/>
  <c r="E805" i="6"/>
  <c r="D805" i="6"/>
  <c r="C805" i="6"/>
  <c r="B805" i="6"/>
  <c r="A805" i="6"/>
  <c r="G804" i="6"/>
  <c r="F804" i="6"/>
  <c r="E804" i="6"/>
  <c r="D804" i="6"/>
  <c r="C804" i="6"/>
  <c r="B804" i="6"/>
  <c r="A804" i="6"/>
  <c r="G803" i="6"/>
  <c r="F803" i="6"/>
  <c r="E803" i="6"/>
  <c r="D803" i="6"/>
  <c r="C803" i="6"/>
  <c r="B803" i="6"/>
  <c r="A803" i="6"/>
  <c r="G802" i="6"/>
  <c r="F802" i="6"/>
  <c r="E802" i="6"/>
  <c r="D802" i="6"/>
  <c r="C802" i="6"/>
  <c r="B802" i="6"/>
  <c r="A802" i="6"/>
  <c r="G801" i="6"/>
  <c r="F801" i="6"/>
  <c r="E801" i="6"/>
  <c r="D801" i="6"/>
  <c r="C801" i="6"/>
  <c r="B801" i="6"/>
  <c r="A801" i="6"/>
  <c r="G800" i="6"/>
  <c r="F800" i="6"/>
  <c r="E800" i="6"/>
  <c r="D800" i="6"/>
  <c r="C800" i="6"/>
  <c r="B800" i="6"/>
  <c r="A800" i="6"/>
  <c r="G799" i="6"/>
  <c r="F799" i="6"/>
  <c r="E799" i="6"/>
  <c r="D799" i="6"/>
  <c r="C799" i="6"/>
  <c r="B799" i="6"/>
  <c r="A799" i="6"/>
  <c r="G798" i="6"/>
  <c r="F798" i="6"/>
  <c r="E798" i="6"/>
  <c r="D798" i="6"/>
  <c r="C798" i="6"/>
  <c r="B798" i="6"/>
  <c r="A798" i="6"/>
  <c r="G797" i="6"/>
  <c r="F797" i="6"/>
  <c r="E797" i="6"/>
  <c r="D797" i="6"/>
  <c r="C797" i="6"/>
  <c r="B797" i="6"/>
  <c r="A797" i="6"/>
  <c r="G796" i="6"/>
  <c r="F796" i="6"/>
  <c r="E796" i="6"/>
  <c r="D796" i="6"/>
  <c r="C796" i="6"/>
  <c r="B796" i="6"/>
  <c r="A796" i="6"/>
  <c r="G795" i="6"/>
  <c r="F795" i="6"/>
  <c r="E795" i="6"/>
  <c r="D795" i="6"/>
  <c r="C795" i="6"/>
  <c r="B795" i="6"/>
  <c r="A795" i="6"/>
  <c r="G794" i="6"/>
  <c r="F794" i="6"/>
  <c r="E794" i="6"/>
  <c r="D794" i="6"/>
  <c r="C794" i="6"/>
  <c r="B794" i="6"/>
  <c r="A794" i="6"/>
  <c r="G793" i="6"/>
  <c r="F793" i="6"/>
  <c r="E793" i="6"/>
  <c r="D793" i="6"/>
  <c r="C793" i="6"/>
  <c r="B793" i="6"/>
  <c r="A793" i="6"/>
  <c r="G792" i="6"/>
  <c r="F792" i="6"/>
  <c r="E792" i="6"/>
  <c r="D792" i="6"/>
  <c r="C792" i="6"/>
  <c r="B792" i="6"/>
  <c r="A792" i="6"/>
  <c r="G791" i="6"/>
  <c r="F791" i="6"/>
  <c r="E791" i="6"/>
  <c r="D791" i="6"/>
  <c r="C791" i="6"/>
  <c r="B791" i="6"/>
  <c r="A791" i="6"/>
  <c r="G790" i="6"/>
  <c r="F790" i="6"/>
  <c r="E790" i="6"/>
  <c r="D790" i="6"/>
  <c r="C790" i="6"/>
  <c r="B790" i="6"/>
  <c r="A790" i="6"/>
  <c r="G789" i="6"/>
  <c r="F789" i="6"/>
  <c r="E789" i="6"/>
  <c r="D789" i="6"/>
  <c r="C789" i="6"/>
  <c r="B789" i="6"/>
  <c r="A789" i="6"/>
  <c r="G788" i="6"/>
  <c r="F788" i="6"/>
  <c r="E788" i="6"/>
  <c r="D788" i="6"/>
  <c r="C788" i="6"/>
  <c r="B788" i="6"/>
  <c r="A788" i="6"/>
  <c r="G787" i="6"/>
  <c r="F787" i="6"/>
  <c r="E787" i="6"/>
  <c r="D787" i="6"/>
  <c r="C787" i="6"/>
  <c r="B787" i="6"/>
  <c r="A787" i="6"/>
  <c r="G786" i="6"/>
  <c r="F786" i="6"/>
  <c r="E786" i="6"/>
  <c r="D786" i="6"/>
  <c r="C786" i="6"/>
  <c r="B786" i="6"/>
  <c r="A786" i="6"/>
  <c r="G785" i="6"/>
  <c r="F785" i="6"/>
  <c r="E785" i="6"/>
  <c r="D785" i="6"/>
  <c r="C785" i="6"/>
  <c r="B785" i="6"/>
  <c r="A785" i="6"/>
  <c r="G784" i="6"/>
  <c r="F784" i="6"/>
  <c r="E784" i="6"/>
  <c r="D784" i="6"/>
  <c r="C784" i="6"/>
  <c r="B784" i="6"/>
  <c r="A784" i="6"/>
  <c r="G783" i="6"/>
  <c r="F783" i="6"/>
  <c r="E783" i="6"/>
  <c r="D783" i="6"/>
  <c r="C783" i="6"/>
  <c r="B783" i="6"/>
  <c r="A783" i="6"/>
  <c r="G782" i="6"/>
  <c r="F782" i="6"/>
  <c r="E782" i="6"/>
  <c r="D782" i="6"/>
  <c r="C782" i="6"/>
  <c r="B782" i="6"/>
  <c r="A782" i="6"/>
  <c r="G781" i="6"/>
  <c r="F781" i="6"/>
  <c r="E781" i="6"/>
  <c r="D781" i="6"/>
  <c r="C781" i="6"/>
  <c r="B781" i="6"/>
  <c r="A781" i="6"/>
  <c r="G780" i="6"/>
  <c r="F780" i="6"/>
  <c r="E780" i="6"/>
  <c r="D780" i="6"/>
  <c r="C780" i="6"/>
  <c r="B780" i="6"/>
  <c r="A780" i="6"/>
  <c r="G779" i="6"/>
  <c r="F779" i="6"/>
  <c r="E779" i="6"/>
  <c r="D779" i="6"/>
  <c r="C779" i="6"/>
  <c r="B779" i="6"/>
  <c r="A779" i="6"/>
  <c r="G778" i="6"/>
  <c r="F778" i="6"/>
  <c r="E778" i="6"/>
  <c r="D778" i="6"/>
  <c r="C778" i="6"/>
  <c r="B778" i="6"/>
  <c r="A778" i="6"/>
  <c r="G777" i="6"/>
  <c r="F777" i="6"/>
  <c r="E777" i="6"/>
  <c r="D777" i="6"/>
  <c r="C777" i="6"/>
  <c r="B777" i="6"/>
  <c r="A777" i="6"/>
  <c r="G776" i="6"/>
  <c r="F776" i="6"/>
  <c r="E776" i="6"/>
  <c r="D776" i="6"/>
  <c r="C776" i="6"/>
  <c r="B776" i="6"/>
  <c r="A776" i="6"/>
  <c r="G775" i="6"/>
  <c r="F775" i="6"/>
  <c r="E775" i="6"/>
  <c r="D775" i="6"/>
  <c r="C775" i="6"/>
  <c r="B775" i="6"/>
  <c r="A775" i="6"/>
  <c r="G774" i="6"/>
  <c r="F774" i="6"/>
  <c r="E774" i="6"/>
  <c r="D774" i="6"/>
  <c r="C774" i="6"/>
  <c r="B774" i="6"/>
  <c r="A774" i="6"/>
  <c r="G773" i="6"/>
  <c r="F773" i="6"/>
  <c r="E773" i="6"/>
  <c r="D773" i="6"/>
  <c r="C773" i="6"/>
  <c r="B773" i="6"/>
  <c r="A773" i="6"/>
  <c r="G772" i="6"/>
  <c r="F772" i="6"/>
  <c r="E772" i="6"/>
  <c r="D772" i="6"/>
  <c r="C772" i="6"/>
  <c r="B772" i="6"/>
  <c r="A772" i="6"/>
  <c r="G771" i="6"/>
  <c r="F771" i="6"/>
  <c r="E771" i="6"/>
  <c r="D771" i="6"/>
  <c r="C771" i="6"/>
  <c r="B771" i="6"/>
  <c r="A771" i="6"/>
  <c r="G770" i="6"/>
  <c r="F770" i="6"/>
  <c r="E770" i="6"/>
  <c r="D770" i="6"/>
  <c r="C770" i="6"/>
  <c r="B770" i="6"/>
  <c r="A770" i="6"/>
  <c r="G769" i="6"/>
  <c r="F769" i="6"/>
  <c r="E769" i="6"/>
  <c r="D769" i="6"/>
  <c r="C769" i="6"/>
  <c r="B769" i="6"/>
  <c r="A769" i="6"/>
  <c r="G768" i="6"/>
  <c r="F768" i="6"/>
  <c r="E768" i="6"/>
  <c r="D768" i="6"/>
  <c r="C768" i="6"/>
  <c r="B768" i="6"/>
  <c r="A768" i="6"/>
  <c r="G767" i="6"/>
  <c r="F767" i="6"/>
  <c r="E767" i="6"/>
  <c r="D767" i="6"/>
  <c r="C767" i="6"/>
  <c r="B767" i="6"/>
  <c r="A767" i="6"/>
  <c r="G766" i="6"/>
  <c r="F766" i="6"/>
  <c r="E766" i="6"/>
  <c r="D766" i="6"/>
  <c r="C766" i="6"/>
  <c r="B766" i="6"/>
  <c r="A766" i="6"/>
  <c r="G765" i="6"/>
  <c r="F765" i="6"/>
  <c r="E765" i="6"/>
  <c r="D765" i="6"/>
  <c r="C765" i="6"/>
  <c r="B765" i="6"/>
  <c r="A765" i="6"/>
  <c r="G764" i="6"/>
  <c r="F764" i="6"/>
  <c r="E764" i="6"/>
  <c r="D764" i="6"/>
  <c r="C764" i="6"/>
  <c r="B764" i="6"/>
  <c r="A764" i="6"/>
  <c r="G763" i="6"/>
  <c r="F763" i="6"/>
  <c r="E763" i="6"/>
  <c r="D763" i="6"/>
  <c r="C763" i="6"/>
  <c r="B763" i="6"/>
  <c r="A763" i="6"/>
  <c r="G762" i="6"/>
  <c r="F762" i="6"/>
  <c r="E762" i="6"/>
  <c r="D762" i="6"/>
  <c r="C762" i="6"/>
  <c r="B762" i="6"/>
  <c r="A762" i="6"/>
  <c r="G761" i="6"/>
  <c r="F761" i="6"/>
  <c r="E761" i="6"/>
  <c r="D761" i="6"/>
  <c r="C761" i="6"/>
  <c r="B761" i="6"/>
  <c r="A761" i="6"/>
  <c r="G760" i="6"/>
  <c r="F760" i="6"/>
  <c r="E760" i="6"/>
  <c r="D760" i="6"/>
  <c r="C760" i="6"/>
  <c r="B760" i="6"/>
  <c r="A760" i="6"/>
  <c r="G759" i="6"/>
  <c r="F759" i="6"/>
  <c r="E759" i="6"/>
  <c r="D759" i="6"/>
  <c r="C759" i="6"/>
  <c r="B759" i="6"/>
  <c r="A759" i="6"/>
  <c r="G758" i="6"/>
  <c r="F758" i="6"/>
  <c r="E758" i="6"/>
  <c r="D758" i="6"/>
  <c r="C758" i="6"/>
  <c r="B758" i="6"/>
  <c r="A758" i="6"/>
  <c r="G757" i="6"/>
  <c r="F757" i="6"/>
  <c r="E757" i="6"/>
  <c r="D757" i="6"/>
  <c r="C757" i="6"/>
  <c r="B757" i="6"/>
  <c r="A757" i="6"/>
  <c r="G756" i="6"/>
  <c r="F756" i="6"/>
  <c r="E756" i="6"/>
  <c r="D756" i="6"/>
  <c r="C756" i="6"/>
  <c r="B756" i="6"/>
  <c r="A756" i="6"/>
  <c r="G755" i="6"/>
  <c r="F755" i="6"/>
  <c r="E755" i="6"/>
  <c r="D755" i="6"/>
  <c r="C755" i="6"/>
  <c r="B755" i="6"/>
  <c r="A755" i="6"/>
  <c r="G754" i="6"/>
  <c r="F754" i="6"/>
  <c r="E754" i="6"/>
  <c r="D754" i="6"/>
  <c r="C754" i="6"/>
  <c r="B754" i="6"/>
  <c r="A754" i="6"/>
  <c r="G753" i="6"/>
  <c r="F753" i="6"/>
  <c r="E753" i="6"/>
  <c r="D753" i="6"/>
  <c r="C753" i="6"/>
  <c r="B753" i="6"/>
  <c r="A753" i="6"/>
  <c r="G752" i="6"/>
  <c r="F752" i="6"/>
  <c r="E752" i="6"/>
  <c r="D752" i="6"/>
  <c r="C752" i="6"/>
  <c r="B752" i="6"/>
  <c r="A752" i="6"/>
  <c r="G751" i="6"/>
  <c r="F751" i="6"/>
  <c r="E751" i="6"/>
  <c r="D751" i="6"/>
  <c r="C751" i="6"/>
  <c r="B751" i="6"/>
  <c r="A751" i="6"/>
  <c r="G750" i="6"/>
  <c r="F750" i="6"/>
  <c r="E750" i="6"/>
  <c r="D750" i="6"/>
  <c r="C750" i="6"/>
  <c r="B750" i="6"/>
  <c r="A750" i="6"/>
  <c r="G749" i="6"/>
  <c r="F749" i="6"/>
  <c r="E749" i="6"/>
  <c r="D749" i="6"/>
  <c r="C749" i="6"/>
  <c r="B749" i="6"/>
  <c r="A749" i="6"/>
  <c r="G748" i="6"/>
  <c r="F748" i="6"/>
  <c r="E748" i="6"/>
  <c r="D748" i="6"/>
  <c r="C748" i="6"/>
  <c r="B748" i="6"/>
  <c r="A748" i="6"/>
  <c r="G747" i="6"/>
  <c r="F747" i="6"/>
  <c r="E747" i="6"/>
  <c r="D747" i="6"/>
  <c r="C747" i="6"/>
  <c r="B747" i="6"/>
  <c r="A747" i="6"/>
  <c r="G746" i="6"/>
  <c r="F746" i="6"/>
  <c r="E746" i="6"/>
  <c r="D746" i="6"/>
  <c r="C746" i="6"/>
  <c r="B746" i="6"/>
  <c r="A746" i="6"/>
  <c r="G745" i="6"/>
  <c r="F745" i="6"/>
  <c r="E745" i="6"/>
  <c r="D745" i="6"/>
  <c r="C745" i="6"/>
  <c r="B745" i="6"/>
  <c r="A745" i="6"/>
  <c r="G744" i="6"/>
  <c r="F744" i="6"/>
  <c r="E744" i="6"/>
  <c r="D744" i="6"/>
  <c r="C744" i="6"/>
  <c r="B744" i="6"/>
  <c r="A744" i="6"/>
  <c r="G743" i="6"/>
  <c r="F743" i="6"/>
  <c r="E743" i="6"/>
  <c r="D743" i="6"/>
  <c r="C743" i="6"/>
  <c r="B743" i="6"/>
  <c r="A743" i="6"/>
  <c r="G742" i="6"/>
  <c r="F742" i="6"/>
  <c r="E742" i="6"/>
  <c r="D742" i="6"/>
  <c r="C742" i="6"/>
  <c r="B742" i="6"/>
  <c r="A742" i="6"/>
  <c r="G741" i="6"/>
  <c r="F741" i="6"/>
  <c r="E741" i="6"/>
  <c r="D741" i="6"/>
  <c r="C741" i="6"/>
  <c r="B741" i="6"/>
  <c r="A741" i="6"/>
  <c r="G740" i="6"/>
  <c r="F740" i="6"/>
  <c r="E740" i="6"/>
  <c r="D740" i="6"/>
  <c r="C740" i="6"/>
  <c r="B740" i="6"/>
  <c r="A740" i="6"/>
  <c r="G739" i="6"/>
  <c r="F739" i="6"/>
  <c r="E739" i="6"/>
  <c r="D739" i="6"/>
  <c r="C739" i="6"/>
  <c r="B739" i="6"/>
  <c r="A739" i="6"/>
  <c r="G738" i="6"/>
  <c r="F738" i="6"/>
  <c r="E738" i="6"/>
  <c r="D738" i="6"/>
  <c r="C738" i="6"/>
  <c r="B738" i="6"/>
  <c r="A738" i="6"/>
  <c r="G737" i="6"/>
  <c r="F737" i="6"/>
  <c r="E737" i="6"/>
  <c r="D737" i="6"/>
  <c r="C737" i="6"/>
  <c r="B737" i="6"/>
  <c r="A737" i="6"/>
  <c r="G736" i="6"/>
  <c r="F736" i="6"/>
  <c r="E736" i="6"/>
  <c r="D736" i="6"/>
  <c r="C736" i="6"/>
  <c r="B736" i="6"/>
  <c r="A736" i="6"/>
  <c r="G735" i="6"/>
  <c r="F735" i="6"/>
  <c r="E735" i="6"/>
  <c r="D735" i="6"/>
  <c r="C735" i="6"/>
  <c r="B735" i="6"/>
  <c r="A735" i="6"/>
  <c r="G734" i="6"/>
  <c r="F734" i="6"/>
  <c r="E734" i="6"/>
  <c r="D734" i="6"/>
  <c r="C734" i="6"/>
  <c r="B734" i="6"/>
  <c r="A734" i="6"/>
  <c r="G733" i="6"/>
  <c r="F733" i="6"/>
  <c r="E733" i="6"/>
  <c r="D733" i="6"/>
  <c r="C733" i="6"/>
  <c r="B733" i="6"/>
  <c r="A733" i="6"/>
  <c r="G732" i="6"/>
  <c r="F732" i="6"/>
  <c r="E732" i="6"/>
  <c r="D732" i="6"/>
  <c r="C732" i="6"/>
  <c r="B732" i="6"/>
  <c r="A732" i="6"/>
  <c r="G731" i="6"/>
  <c r="F731" i="6"/>
  <c r="E731" i="6"/>
  <c r="D731" i="6"/>
  <c r="C731" i="6"/>
  <c r="B731" i="6"/>
  <c r="A731" i="6"/>
  <c r="G730" i="6"/>
  <c r="F730" i="6"/>
  <c r="E730" i="6"/>
  <c r="D730" i="6"/>
  <c r="C730" i="6"/>
  <c r="B730" i="6"/>
  <c r="A730" i="6"/>
  <c r="G729" i="6"/>
  <c r="F729" i="6"/>
  <c r="E729" i="6"/>
  <c r="D729" i="6"/>
  <c r="C729" i="6"/>
  <c r="B729" i="6"/>
  <c r="A729" i="6"/>
  <c r="G728" i="6"/>
  <c r="F728" i="6"/>
  <c r="E728" i="6"/>
  <c r="D728" i="6"/>
  <c r="C728" i="6"/>
  <c r="B728" i="6"/>
  <c r="A728" i="6"/>
  <c r="G727" i="6"/>
  <c r="F727" i="6"/>
  <c r="E727" i="6"/>
  <c r="D727" i="6"/>
  <c r="C727" i="6"/>
  <c r="B727" i="6"/>
  <c r="A727" i="6"/>
  <c r="G726" i="6"/>
  <c r="F726" i="6"/>
  <c r="E726" i="6"/>
  <c r="D726" i="6"/>
  <c r="C726" i="6"/>
  <c r="B726" i="6"/>
  <c r="A726" i="6"/>
  <c r="G725" i="6"/>
  <c r="F725" i="6"/>
  <c r="E725" i="6"/>
  <c r="D725" i="6"/>
  <c r="C725" i="6"/>
  <c r="B725" i="6"/>
  <c r="A725" i="6"/>
  <c r="G724" i="6"/>
  <c r="F724" i="6"/>
  <c r="E724" i="6"/>
  <c r="D724" i="6"/>
  <c r="C724" i="6"/>
  <c r="B724" i="6"/>
  <c r="A724" i="6"/>
  <c r="G723" i="6"/>
  <c r="F723" i="6"/>
  <c r="E723" i="6"/>
  <c r="D723" i="6"/>
  <c r="C723" i="6"/>
  <c r="B723" i="6"/>
  <c r="A723" i="6"/>
  <c r="G722" i="6"/>
  <c r="F722" i="6"/>
  <c r="E722" i="6"/>
  <c r="D722" i="6"/>
  <c r="C722" i="6"/>
  <c r="B722" i="6"/>
  <c r="A722" i="6"/>
  <c r="G721" i="6"/>
  <c r="F721" i="6"/>
  <c r="E721" i="6"/>
  <c r="D721" i="6"/>
  <c r="C721" i="6"/>
  <c r="B721" i="6"/>
  <c r="A721" i="6"/>
  <c r="G720" i="6"/>
  <c r="F720" i="6"/>
  <c r="E720" i="6"/>
  <c r="D720" i="6"/>
  <c r="C720" i="6"/>
  <c r="B720" i="6"/>
  <c r="A720" i="6"/>
  <c r="G719" i="6"/>
  <c r="F719" i="6"/>
  <c r="E719" i="6"/>
  <c r="D719" i="6"/>
  <c r="C719" i="6"/>
  <c r="B719" i="6"/>
  <c r="A719" i="6"/>
  <c r="G718" i="6"/>
  <c r="F718" i="6"/>
  <c r="E718" i="6"/>
  <c r="D718" i="6"/>
  <c r="C718" i="6"/>
  <c r="B718" i="6"/>
  <c r="A718" i="6"/>
  <c r="G717" i="6"/>
  <c r="F717" i="6"/>
  <c r="E717" i="6"/>
  <c r="D717" i="6"/>
  <c r="C717" i="6"/>
  <c r="B717" i="6"/>
  <c r="A717" i="6"/>
  <c r="G716" i="6"/>
  <c r="F716" i="6"/>
  <c r="E716" i="6"/>
  <c r="D716" i="6"/>
  <c r="C716" i="6"/>
  <c r="B716" i="6"/>
  <c r="A716" i="6"/>
  <c r="G715" i="6"/>
  <c r="F715" i="6"/>
  <c r="E715" i="6"/>
  <c r="D715" i="6"/>
  <c r="C715" i="6"/>
  <c r="B715" i="6"/>
  <c r="A715" i="6"/>
  <c r="G714" i="6"/>
  <c r="F714" i="6"/>
  <c r="E714" i="6"/>
  <c r="D714" i="6"/>
  <c r="C714" i="6"/>
  <c r="B714" i="6"/>
  <c r="A714" i="6"/>
  <c r="G713" i="6"/>
  <c r="F713" i="6"/>
  <c r="E713" i="6"/>
  <c r="D713" i="6"/>
  <c r="C713" i="6"/>
  <c r="B713" i="6"/>
  <c r="A713" i="6"/>
  <c r="G712" i="6"/>
  <c r="F712" i="6"/>
  <c r="E712" i="6"/>
  <c r="D712" i="6"/>
  <c r="C712" i="6"/>
  <c r="B712" i="6"/>
  <c r="A712" i="6"/>
  <c r="G711" i="6"/>
  <c r="F711" i="6"/>
  <c r="E711" i="6"/>
  <c r="D711" i="6"/>
  <c r="C711" i="6"/>
  <c r="B711" i="6"/>
  <c r="A711" i="6"/>
  <c r="G710" i="6"/>
  <c r="F710" i="6"/>
  <c r="E710" i="6"/>
  <c r="D710" i="6"/>
  <c r="C710" i="6"/>
  <c r="B710" i="6"/>
  <c r="A710" i="6"/>
  <c r="G709" i="6"/>
  <c r="F709" i="6"/>
  <c r="E709" i="6"/>
  <c r="D709" i="6"/>
  <c r="C709" i="6"/>
  <c r="B709" i="6"/>
  <c r="A709" i="6"/>
  <c r="G708" i="6"/>
  <c r="F708" i="6"/>
  <c r="E708" i="6"/>
  <c r="D708" i="6"/>
  <c r="C708" i="6"/>
  <c r="B708" i="6"/>
  <c r="A708" i="6"/>
  <c r="G707" i="6"/>
  <c r="F707" i="6"/>
  <c r="E707" i="6"/>
  <c r="D707" i="6"/>
  <c r="C707" i="6"/>
  <c r="B707" i="6"/>
  <c r="A707" i="6"/>
  <c r="G706" i="6"/>
  <c r="F706" i="6"/>
  <c r="E706" i="6"/>
  <c r="D706" i="6"/>
  <c r="C706" i="6"/>
  <c r="B706" i="6"/>
  <c r="A706" i="6"/>
  <c r="G705" i="6"/>
  <c r="F705" i="6"/>
  <c r="E705" i="6"/>
  <c r="D705" i="6"/>
  <c r="C705" i="6"/>
  <c r="B705" i="6"/>
  <c r="A705" i="6"/>
  <c r="G704" i="6"/>
  <c r="F704" i="6"/>
  <c r="E704" i="6"/>
  <c r="D704" i="6"/>
  <c r="C704" i="6"/>
  <c r="B704" i="6"/>
  <c r="A704" i="6"/>
  <c r="G703" i="6"/>
  <c r="F703" i="6"/>
  <c r="E703" i="6"/>
  <c r="D703" i="6"/>
  <c r="C703" i="6"/>
  <c r="B703" i="6"/>
  <c r="A703" i="6"/>
  <c r="G702" i="6"/>
  <c r="F702" i="6"/>
  <c r="E702" i="6"/>
  <c r="D702" i="6"/>
  <c r="C702" i="6"/>
  <c r="B702" i="6"/>
  <c r="A702" i="6"/>
  <c r="G701" i="6"/>
  <c r="F701" i="6"/>
  <c r="E701" i="6"/>
  <c r="D701" i="6"/>
  <c r="C701" i="6"/>
  <c r="B701" i="6"/>
  <c r="A701" i="6"/>
  <c r="G700" i="6"/>
  <c r="F700" i="6"/>
  <c r="E700" i="6"/>
  <c r="D700" i="6"/>
  <c r="C700" i="6"/>
  <c r="B700" i="6"/>
  <c r="A700" i="6"/>
  <c r="G699" i="6"/>
  <c r="F699" i="6"/>
  <c r="E699" i="6"/>
  <c r="D699" i="6"/>
  <c r="C699" i="6"/>
  <c r="B699" i="6"/>
  <c r="A699" i="6"/>
  <c r="G698" i="6"/>
  <c r="F698" i="6"/>
  <c r="E698" i="6"/>
  <c r="D698" i="6"/>
  <c r="C698" i="6"/>
  <c r="B698" i="6"/>
  <c r="A698" i="6"/>
  <c r="G697" i="6"/>
  <c r="F697" i="6"/>
  <c r="E697" i="6"/>
  <c r="D697" i="6"/>
  <c r="C697" i="6"/>
  <c r="B697" i="6"/>
  <c r="A697" i="6"/>
  <c r="G696" i="6"/>
  <c r="F696" i="6"/>
  <c r="E696" i="6"/>
  <c r="D696" i="6"/>
  <c r="C696" i="6"/>
  <c r="B696" i="6"/>
  <c r="A696" i="6"/>
  <c r="G695" i="6"/>
  <c r="F695" i="6"/>
  <c r="E695" i="6"/>
  <c r="D695" i="6"/>
  <c r="C695" i="6"/>
  <c r="B695" i="6"/>
  <c r="A695" i="6"/>
  <c r="G694" i="6"/>
  <c r="F694" i="6"/>
  <c r="E694" i="6"/>
  <c r="D694" i="6"/>
  <c r="C694" i="6"/>
  <c r="B694" i="6"/>
  <c r="A694" i="6"/>
  <c r="G693" i="6"/>
  <c r="F693" i="6"/>
  <c r="E693" i="6"/>
  <c r="D693" i="6"/>
  <c r="C693" i="6"/>
  <c r="B693" i="6"/>
  <c r="A693" i="6"/>
  <c r="G692" i="6"/>
  <c r="F692" i="6"/>
  <c r="E692" i="6"/>
  <c r="D692" i="6"/>
  <c r="C692" i="6"/>
  <c r="B692" i="6"/>
  <c r="A692" i="6"/>
  <c r="G691" i="6"/>
  <c r="F691" i="6"/>
  <c r="E691" i="6"/>
  <c r="D691" i="6"/>
  <c r="C691" i="6"/>
  <c r="B691" i="6"/>
  <c r="A691" i="6"/>
  <c r="G690" i="6"/>
  <c r="F690" i="6"/>
  <c r="E690" i="6"/>
  <c r="D690" i="6"/>
  <c r="C690" i="6"/>
  <c r="B690" i="6"/>
  <c r="A690" i="6"/>
  <c r="G689" i="6"/>
  <c r="F689" i="6"/>
  <c r="E689" i="6"/>
  <c r="D689" i="6"/>
  <c r="C689" i="6"/>
  <c r="B689" i="6"/>
  <c r="A689" i="6"/>
  <c r="G688" i="6"/>
  <c r="F688" i="6"/>
  <c r="E688" i="6"/>
  <c r="D688" i="6"/>
  <c r="C688" i="6"/>
  <c r="B688" i="6"/>
  <c r="A688" i="6"/>
  <c r="G687" i="6"/>
  <c r="F687" i="6"/>
  <c r="E687" i="6"/>
  <c r="D687" i="6"/>
  <c r="C687" i="6"/>
  <c r="B687" i="6"/>
  <c r="A687" i="6"/>
  <c r="G686" i="6"/>
  <c r="F686" i="6"/>
  <c r="E686" i="6"/>
  <c r="D686" i="6"/>
  <c r="C686" i="6"/>
  <c r="B686" i="6"/>
  <c r="A686" i="6"/>
  <c r="G685" i="6"/>
  <c r="F685" i="6"/>
  <c r="E685" i="6"/>
  <c r="D685" i="6"/>
  <c r="C685" i="6"/>
  <c r="B685" i="6"/>
  <c r="A685" i="6"/>
  <c r="G684" i="6"/>
  <c r="F684" i="6"/>
  <c r="E684" i="6"/>
  <c r="D684" i="6"/>
  <c r="C684" i="6"/>
  <c r="B684" i="6"/>
  <c r="A684" i="6"/>
  <c r="G683" i="6"/>
  <c r="F683" i="6"/>
  <c r="E683" i="6"/>
  <c r="D683" i="6"/>
  <c r="C683" i="6"/>
  <c r="B683" i="6"/>
  <c r="A683" i="6"/>
  <c r="G682" i="6"/>
  <c r="F682" i="6"/>
  <c r="E682" i="6"/>
  <c r="D682" i="6"/>
  <c r="C682" i="6"/>
  <c r="B682" i="6"/>
  <c r="A682" i="6"/>
  <c r="G681" i="6"/>
  <c r="F681" i="6"/>
  <c r="E681" i="6"/>
  <c r="D681" i="6"/>
  <c r="C681" i="6"/>
  <c r="B681" i="6"/>
  <c r="A681" i="6"/>
  <c r="G680" i="6"/>
  <c r="F680" i="6"/>
  <c r="E680" i="6"/>
  <c r="D680" i="6"/>
  <c r="C680" i="6"/>
  <c r="B680" i="6"/>
  <c r="A680" i="6"/>
  <c r="G679" i="6"/>
  <c r="F679" i="6"/>
  <c r="E679" i="6"/>
  <c r="D679" i="6"/>
  <c r="C679" i="6"/>
  <c r="B679" i="6"/>
  <c r="A679" i="6"/>
  <c r="G678" i="6"/>
  <c r="F678" i="6"/>
  <c r="E678" i="6"/>
  <c r="D678" i="6"/>
  <c r="C678" i="6"/>
  <c r="B678" i="6"/>
  <c r="A678" i="6"/>
  <c r="G677" i="6"/>
  <c r="F677" i="6"/>
  <c r="E677" i="6"/>
  <c r="D677" i="6"/>
  <c r="C677" i="6"/>
  <c r="B677" i="6"/>
  <c r="A677" i="6"/>
  <c r="G676" i="6"/>
  <c r="F676" i="6"/>
  <c r="E676" i="6"/>
  <c r="D676" i="6"/>
  <c r="C676" i="6"/>
  <c r="B676" i="6"/>
  <c r="A676" i="6"/>
  <c r="G675" i="6"/>
  <c r="F675" i="6"/>
  <c r="E675" i="6"/>
  <c r="D675" i="6"/>
  <c r="C675" i="6"/>
  <c r="B675" i="6"/>
  <c r="A675" i="6"/>
  <c r="G674" i="6"/>
  <c r="F674" i="6"/>
  <c r="E674" i="6"/>
  <c r="D674" i="6"/>
  <c r="C674" i="6"/>
  <c r="B674" i="6"/>
  <c r="A674" i="6"/>
  <c r="G673" i="6"/>
  <c r="F673" i="6"/>
  <c r="E673" i="6"/>
  <c r="D673" i="6"/>
  <c r="C673" i="6"/>
  <c r="B673" i="6"/>
  <c r="A673" i="6"/>
  <c r="G672" i="6"/>
  <c r="F672" i="6"/>
  <c r="E672" i="6"/>
  <c r="D672" i="6"/>
  <c r="C672" i="6"/>
  <c r="B672" i="6"/>
  <c r="A672" i="6"/>
  <c r="G671" i="6"/>
  <c r="F671" i="6"/>
  <c r="E671" i="6"/>
  <c r="D671" i="6"/>
  <c r="C671" i="6"/>
  <c r="B671" i="6"/>
  <c r="A671" i="6"/>
  <c r="G670" i="6"/>
  <c r="F670" i="6"/>
  <c r="E670" i="6"/>
  <c r="D670" i="6"/>
  <c r="C670" i="6"/>
  <c r="B670" i="6"/>
  <c r="A670" i="6"/>
  <c r="G669" i="6"/>
  <c r="F669" i="6"/>
  <c r="E669" i="6"/>
  <c r="D669" i="6"/>
  <c r="C669" i="6"/>
  <c r="B669" i="6"/>
  <c r="A669" i="6"/>
  <c r="G668" i="6"/>
  <c r="F668" i="6"/>
  <c r="E668" i="6"/>
  <c r="D668" i="6"/>
  <c r="C668" i="6"/>
  <c r="B668" i="6"/>
  <c r="A668" i="6"/>
  <c r="G667" i="6"/>
  <c r="F667" i="6"/>
  <c r="E667" i="6"/>
  <c r="D667" i="6"/>
  <c r="C667" i="6"/>
  <c r="B667" i="6"/>
  <c r="A667" i="6"/>
  <c r="G666" i="6"/>
  <c r="F666" i="6"/>
  <c r="E666" i="6"/>
  <c r="D666" i="6"/>
  <c r="C666" i="6"/>
  <c r="B666" i="6"/>
  <c r="A666" i="6"/>
  <c r="G665" i="6"/>
  <c r="F665" i="6"/>
  <c r="E665" i="6"/>
  <c r="D665" i="6"/>
  <c r="C665" i="6"/>
  <c r="B665" i="6"/>
  <c r="A665" i="6"/>
  <c r="G664" i="6"/>
  <c r="F664" i="6"/>
  <c r="E664" i="6"/>
  <c r="D664" i="6"/>
  <c r="C664" i="6"/>
  <c r="B664" i="6"/>
  <c r="A664" i="6"/>
  <c r="G663" i="6"/>
  <c r="F663" i="6"/>
  <c r="E663" i="6"/>
  <c r="D663" i="6"/>
  <c r="C663" i="6"/>
  <c r="B663" i="6"/>
  <c r="A663" i="6"/>
  <c r="G662" i="6"/>
  <c r="F662" i="6"/>
  <c r="E662" i="6"/>
  <c r="D662" i="6"/>
  <c r="C662" i="6"/>
  <c r="B662" i="6"/>
  <c r="A662" i="6"/>
  <c r="G661" i="6"/>
  <c r="F661" i="6"/>
  <c r="E661" i="6"/>
  <c r="D661" i="6"/>
  <c r="C661" i="6"/>
  <c r="B661" i="6"/>
  <c r="A661" i="6"/>
  <c r="G660" i="6"/>
  <c r="F660" i="6"/>
  <c r="E660" i="6"/>
  <c r="D660" i="6"/>
  <c r="C660" i="6"/>
  <c r="B660" i="6"/>
  <c r="A660" i="6"/>
  <c r="G659" i="6"/>
  <c r="F659" i="6"/>
  <c r="E659" i="6"/>
  <c r="D659" i="6"/>
  <c r="C659" i="6"/>
  <c r="B659" i="6"/>
  <c r="A659" i="6"/>
  <c r="G658" i="6"/>
  <c r="F658" i="6"/>
  <c r="E658" i="6"/>
  <c r="D658" i="6"/>
  <c r="C658" i="6"/>
  <c r="B658" i="6"/>
  <c r="A658" i="6"/>
  <c r="G657" i="6"/>
  <c r="F657" i="6"/>
  <c r="E657" i="6"/>
  <c r="D657" i="6"/>
  <c r="C657" i="6"/>
  <c r="B657" i="6"/>
  <c r="A657" i="6"/>
  <c r="G656" i="6"/>
  <c r="F656" i="6"/>
  <c r="E656" i="6"/>
  <c r="D656" i="6"/>
  <c r="C656" i="6"/>
  <c r="B656" i="6"/>
  <c r="A656" i="6"/>
  <c r="G655" i="6"/>
  <c r="F655" i="6"/>
  <c r="E655" i="6"/>
  <c r="D655" i="6"/>
  <c r="C655" i="6"/>
  <c r="B655" i="6"/>
  <c r="A655" i="6"/>
  <c r="G654" i="6"/>
  <c r="F654" i="6"/>
  <c r="E654" i="6"/>
  <c r="D654" i="6"/>
  <c r="C654" i="6"/>
  <c r="B654" i="6"/>
  <c r="A654" i="6"/>
  <c r="G653" i="6"/>
  <c r="F653" i="6"/>
  <c r="E653" i="6"/>
  <c r="D653" i="6"/>
  <c r="C653" i="6"/>
  <c r="B653" i="6"/>
  <c r="A653" i="6"/>
  <c r="G652" i="6"/>
  <c r="F652" i="6"/>
  <c r="E652" i="6"/>
  <c r="D652" i="6"/>
  <c r="C652" i="6"/>
  <c r="B652" i="6"/>
  <c r="A652" i="6"/>
  <c r="G651" i="6"/>
  <c r="F651" i="6"/>
  <c r="E651" i="6"/>
  <c r="D651" i="6"/>
  <c r="C651" i="6"/>
  <c r="B651" i="6"/>
  <c r="A651" i="6"/>
  <c r="G650" i="6"/>
  <c r="F650" i="6"/>
  <c r="E650" i="6"/>
  <c r="D650" i="6"/>
  <c r="C650" i="6"/>
  <c r="B650" i="6"/>
  <c r="A650" i="6"/>
  <c r="G649" i="6"/>
  <c r="F649" i="6"/>
  <c r="E649" i="6"/>
  <c r="D649" i="6"/>
  <c r="C649" i="6"/>
  <c r="B649" i="6"/>
  <c r="A649" i="6"/>
  <c r="G648" i="6"/>
  <c r="F648" i="6"/>
  <c r="E648" i="6"/>
  <c r="D648" i="6"/>
  <c r="C648" i="6"/>
  <c r="B648" i="6"/>
  <c r="A648" i="6"/>
  <c r="G647" i="6"/>
  <c r="F647" i="6"/>
  <c r="E647" i="6"/>
  <c r="D647" i="6"/>
  <c r="C647" i="6"/>
  <c r="B647" i="6"/>
  <c r="A647" i="6"/>
  <c r="G646" i="6"/>
  <c r="F646" i="6"/>
  <c r="E646" i="6"/>
  <c r="D646" i="6"/>
  <c r="C646" i="6"/>
  <c r="B646" i="6"/>
  <c r="A646" i="6"/>
  <c r="G645" i="6"/>
  <c r="F645" i="6"/>
  <c r="E645" i="6"/>
  <c r="D645" i="6"/>
  <c r="C645" i="6"/>
  <c r="B645" i="6"/>
  <c r="A645" i="6"/>
  <c r="G644" i="6"/>
  <c r="F644" i="6"/>
  <c r="E644" i="6"/>
  <c r="D644" i="6"/>
  <c r="C644" i="6"/>
  <c r="B644" i="6"/>
  <c r="A644" i="6"/>
  <c r="G643" i="6"/>
  <c r="F643" i="6"/>
  <c r="E643" i="6"/>
  <c r="D643" i="6"/>
  <c r="C643" i="6"/>
  <c r="B643" i="6"/>
  <c r="A643" i="6"/>
  <c r="G642" i="6"/>
  <c r="F642" i="6"/>
  <c r="E642" i="6"/>
  <c r="D642" i="6"/>
  <c r="C642" i="6"/>
  <c r="B642" i="6"/>
  <c r="A642" i="6"/>
  <c r="G641" i="6"/>
  <c r="F641" i="6"/>
  <c r="E641" i="6"/>
  <c r="D641" i="6"/>
  <c r="C641" i="6"/>
  <c r="B641" i="6"/>
  <c r="A641" i="6"/>
  <c r="G640" i="6"/>
  <c r="F640" i="6"/>
  <c r="E640" i="6"/>
  <c r="D640" i="6"/>
  <c r="C640" i="6"/>
  <c r="B640" i="6"/>
  <c r="A640" i="6"/>
  <c r="G639" i="6"/>
  <c r="F639" i="6"/>
  <c r="E639" i="6"/>
  <c r="D639" i="6"/>
  <c r="C639" i="6"/>
  <c r="B639" i="6"/>
  <c r="A639" i="6"/>
  <c r="G638" i="6"/>
  <c r="F638" i="6"/>
  <c r="E638" i="6"/>
  <c r="D638" i="6"/>
  <c r="C638" i="6"/>
  <c r="B638" i="6"/>
  <c r="A638" i="6"/>
  <c r="G637" i="6"/>
  <c r="F637" i="6"/>
  <c r="E637" i="6"/>
  <c r="D637" i="6"/>
  <c r="C637" i="6"/>
  <c r="B637" i="6"/>
  <c r="A637" i="6"/>
  <c r="G636" i="6"/>
  <c r="F636" i="6"/>
  <c r="E636" i="6"/>
  <c r="D636" i="6"/>
  <c r="C636" i="6"/>
  <c r="B636" i="6"/>
  <c r="A636" i="6"/>
  <c r="G635" i="6"/>
  <c r="F635" i="6"/>
  <c r="E635" i="6"/>
  <c r="D635" i="6"/>
  <c r="C635" i="6"/>
  <c r="B635" i="6"/>
  <c r="A635" i="6"/>
  <c r="G634" i="6"/>
  <c r="F634" i="6"/>
  <c r="E634" i="6"/>
  <c r="D634" i="6"/>
  <c r="C634" i="6"/>
  <c r="B634" i="6"/>
  <c r="A634" i="6"/>
  <c r="G633" i="6"/>
  <c r="F633" i="6"/>
  <c r="E633" i="6"/>
  <c r="D633" i="6"/>
  <c r="C633" i="6"/>
  <c r="B633" i="6"/>
  <c r="A633" i="6"/>
  <c r="G632" i="6"/>
  <c r="F632" i="6"/>
  <c r="E632" i="6"/>
  <c r="D632" i="6"/>
  <c r="C632" i="6"/>
  <c r="B632" i="6"/>
  <c r="A632" i="6"/>
  <c r="G631" i="6"/>
  <c r="F631" i="6"/>
  <c r="E631" i="6"/>
  <c r="D631" i="6"/>
  <c r="C631" i="6"/>
  <c r="B631" i="6"/>
  <c r="A631" i="6"/>
  <c r="G630" i="6"/>
  <c r="F630" i="6"/>
  <c r="E630" i="6"/>
  <c r="D630" i="6"/>
  <c r="C630" i="6"/>
  <c r="B630" i="6"/>
  <c r="A630" i="6"/>
  <c r="G629" i="6"/>
  <c r="F629" i="6"/>
  <c r="E629" i="6"/>
  <c r="D629" i="6"/>
  <c r="C629" i="6"/>
  <c r="B629" i="6"/>
  <c r="A629" i="6"/>
  <c r="G628" i="6"/>
  <c r="F628" i="6"/>
  <c r="E628" i="6"/>
  <c r="D628" i="6"/>
  <c r="C628" i="6"/>
  <c r="B628" i="6"/>
  <c r="A628" i="6"/>
  <c r="G627" i="6"/>
  <c r="F627" i="6"/>
  <c r="E627" i="6"/>
  <c r="D627" i="6"/>
  <c r="C627" i="6"/>
  <c r="B627" i="6"/>
  <c r="A627" i="6"/>
  <c r="G626" i="6"/>
  <c r="F626" i="6"/>
  <c r="E626" i="6"/>
  <c r="D626" i="6"/>
  <c r="C626" i="6"/>
  <c r="B626" i="6"/>
  <c r="A626" i="6"/>
  <c r="G625" i="6"/>
  <c r="F625" i="6"/>
  <c r="E625" i="6"/>
  <c r="D625" i="6"/>
  <c r="C625" i="6"/>
  <c r="B625" i="6"/>
  <c r="A625" i="6"/>
  <c r="G624" i="6"/>
  <c r="F624" i="6"/>
  <c r="E624" i="6"/>
  <c r="D624" i="6"/>
  <c r="C624" i="6"/>
  <c r="B624" i="6"/>
  <c r="A624" i="6"/>
  <c r="G623" i="6"/>
  <c r="F623" i="6"/>
  <c r="E623" i="6"/>
  <c r="D623" i="6"/>
  <c r="C623" i="6"/>
  <c r="B623" i="6"/>
  <c r="A623" i="6"/>
  <c r="G622" i="6"/>
  <c r="F622" i="6"/>
  <c r="E622" i="6"/>
  <c r="D622" i="6"/>
  <c r="C622" i="6"/>
  <c r="B622" i="6"/>
  <c r="A622" i="6"/>
  <c r="G621" i="6"/>
  <c r="F621" i="6"/>
  <c r="E621" i="6"/>
  <c r="D621" i="6"/>
  <c r="C621" i="6"/>
  <c r="B621" i="6"/>
  <c r="A621" i="6"/>
  <c r="G620" i="6"/>
  <c r="F620" i="6"/>
  <c r="E620" i="6"/>
  <c r="D620" i="6"/>
  <c r="C620" i="6"/>
  <c r="B620" i="6"/>
  <c r="A620" i="6"/>
  <c r="G619" i="6"/>
  <c r="F619" i="6"/>
  <c r="E619" i="6"/>
  <c r="D619" i="6"/>
  <c r="C619" i="6"/>
  <c r="B619" i="6"/>
  <c r="A619" i="6"/>
  <c r="G618" i="6"/>
  <c r="F618" i="6"/>
  <c r="E618" i="6"/>
  <c r="D618" i="6"/>
  <c r="C618" i="6"/>
  <c r="B618" i="6"/>
  <c r="A618" i="6"/>
  <c r="G617" i="6"/>
  <c r="F617" i="6"/>
  <c r="E617" i="6"/>
  <c r="D617" i="6"/>
  <c r="C617" i="6"/>
  <c r="B617" i="6"/>
  <c r="A617" i="6"/>
  <c r="G616" i="6"/>
  <c r="F616" i="6"/>
  <c r="E616" i="6"/>
  <c r="D616" i="6"/>
  <c r="C616" i="6"/>
  <c r="B616" i="6"/>
  <c r="A616" i="6"/>
  <c r="G615" i="6"/>
  <c r="F615" i="6"/>
  <c r="E615" i="6"/>
  <c r="D615" i="6"/>
  <c r="C615" i="6"/>
  <c r="B615" i="6"/>
  <c r="A615" i="6"/>
  <c r="G614" i="6"/>
  <c r="F614" i="6"/>
  <c r="E614" i="6"/>
  <c r="D614" i="6"/>
  <c r="C614" i="6"/>
  <c r="B614" i="6"/>
  <c r="A614" i="6"/>
  <c r="G613" i="6"/>
  <c r="F613" i="6"/>
  <c r="E613" i="6"/>
  <c r="D613" i="6"/>
  <c r="C613" i="6"/>
  <c r="B613" i="6"/>
  <c r="A613" i="6"/>
  <c r="G612" i="6"/>
  <c r="F612" i="6"/>
  <c r="E612" i="6"/>
  <c r="D612" i="6"/>
  <c r="C612" i="6"/>
  <c r="B612" i="6"/>
  <c r="A612" i="6"/>
  <c r="G611" i="6"/>
  <c r="F611" i="6"/>
  <c r="E611" i="6"/>
  <c r="D611" i="6"/>
  <c r="C611" i="6"/>
  <c r="B611" i="6"/>
  <c r="A611" i="6"/>
  <c r="G610" i="6"/>
  <c r="F610" i="6"/>
  <c r="E610" i="6"/>
  <c r="D610" i="6"/>
  <c r="C610" i="6"/>
  <c r="B610" i="6"/>
  <c r="A610" i="6"/>
  <c r="G609" i="6"/>
  <c r="F609" i="6"/>
  <c r="E609" i="6"/>
  <c r="D609" i="6"/>
  <c r="C609" i="6"/>
  <c r="B609" i="6"/>
  <c r="A609" i="6"/>
  <c r="G608" i="6"/>
  <c r="F608" i="6"/>
  <c r="E608" i="6"/>
  <c r="D608" i="6"/>
  <c r="C608" i="6"/>
  <c r="B608" i="6"/>
  <c r="A608" i="6"/>
  <c r="G607" i="6"/>
  <c r="F607" i="6"/>
  <c r="E607" i="6"/>
  <c r="D607" i="6"/>
  <c r="C607" i="6"/>
  <c r="B607" i="6"/>
  <c r="A607" i="6"/>
  <c r="G606" i="6"/>
  <c r="F606" i="6"/>
  <c r="E606" i="6"/>
  <c r="D606" i="6"/>
  <c r="C606" i="6"/>
  <c r="B606" i="6"/>
  <c r="A606" i="6"/>
  <c r="G605" i="6"/>
  <c r="F605" i="6"/>
  <c r="E605" i="6"/>
  <c r="D605" i="6"/>
  <c r="C605" i="6"/>
  <c r="B605" i="6"/>
  <c r="A605" i="6"/>
  <c r="G604" i="6"/>
  <c r="F604" i="6"/>
  <c r="E604" i="6"/>
  <c r="D604" i="6"/>
  <c r="C604" i="6"/>
  <c r="B604" i="6"/>
  <c r="A604" i="6"/>
  <c r="G603" i="6"/>
  <c r="F603" i="6"/>
  <c r="E603" i="6"/>
  <c r="D603" i="6"/>
  <c r="C603" i="6"/>
  <c r="B603" i="6"/>
  <c r="A603" i="6"/>
  <c r="G602" i="6"/>
  <c r="F602" i="6"/>
  <c r="E602" i="6"/>
  <c r="D602" i="6"/>
  <c r="C602" i="6"/>
  <c r="B602" i="6"/>
  <c r="A602" i="6"/>
  <c r="G601" i="6"/>
  <c r="F601" i="6"/>
  <c r="E601" i="6"/>
  <c r="D601" i="6"/>
  <c r="C601" i="6"/>
  <c r="B601" i="6"/>
  <c r="A601" i="6"/>
  <c r="G600" i="6"/>
  <c r="F600" i="6"/>
  <c r="E600" i="6"/>
  <c r="D600" i="6"/>
  <c r="C600" i="6"/>
  <c r="B600" i="6"/>
  <c r="A600" i="6"/>
  <c r="G599" i="6"/>
  <c r="F599" i="6"/>
  <c r="E599" i="6"/>
  <c r="D599" i="6"/>
  <c r="C599" i="6"/>
  <c r="B599" i="6"/>
  <c r="A599" i="6"/>
  <c r="G598" i="6"/>
  <c r="F598" i="6"/>
  <c r="E598" i="6"/>
  <c r="D598" i="6"/>
  <c r="C598" i="6"/>
  <c r="B598" i="6"/>
  <c r="A598" i="6"/>
  <c r="G597" i="6"/>
  <c r="F597" i="6"/>
  <c r="E597" i="6"/>
  <c r="D597" i="6"/>
  <c r="C597" i="6"/>
  <c r="B597" i="6"/>
  <c r="A597" i="6"/>
  <c r="G596" i="6"/>
  <c r="F596" i="6"/>
  <c r="E596" i="6"/>
  <c r="D596" i="6"/>
  <c r="C596" i="6"/>
  <c r="B596" i="6"/>
  <c r="A596" i="6"/>
  <c r="G595" i="6"/>
  <c r="F595" i="6"/>
  <c r="E595" i="6"/>
  <c r="D595" i="6"/>
  <c r="C595" i="6"/>
  <c r="B595" i="6"/>
  <c r="A595" i="6"/>
  <c r="G594" i="6"/>
  <c r="F594" i="6"/>
  <c r="E594" i="6"/>
  <c r="D594" i="6"/>
  <c r="C594" i="6"/>
  <c r="B594" i="6"/>
  <c r="A594" i="6"/>
  <c r="G593" i="6"/>
  <c r="F593" i="6"/>
  <c r="E593" i="6"/>
  <c r="D593" i="6"/>
  <c r="C593" i="6"/>
  <c r="B593" i="6"/>
  <c r="A593" i="6"/>
  <c r="G592" i="6"/>
  <c r="F592" i="6"/>
  <c r="E592" i="6"/>
  <c r="D592" i="6"/>
  <c r="C592" i="6"/>
  <c r="B592" i="6"/>
  <c r="A592" i="6"/>
  <c r="G591" i="6"/>
  <c r="F591" i="6"/>
  <c r="E591" i="6"/>
  <c r="D591" i="6"/>
  <c r="C591" i="6"/>
  <c r="B591" i="6"/>
  <c r="A591" i="6"/>
  <c r="G590" i="6"/>
  <c r="F590" i="6"/>
  <c r="E590" i="6"/>
  <c r="D590" i="6"/>
  <c r="C590" i="6"/>
  <c r="B590" i="6"/>
  <c r="A590" i="6"/>
  <c r="G589" i="6"/>
  <c r="F589" i="6"/>
  <c r="E589" i="6"/>
  <c r="D589" i="6"/>
  <c r="C589" i="6"/>
  <c r="B589" i="6"/>
  <c r="A589" i="6"/>
  <c r="G588" i="6"/>
  <c r="F588" i="6"/>
  <c r="E588" i="6"/>
  <c r="D588" i="6"/>
  <c r="C588" i="6"/>
  <c r="B588" i="6"/>
  <c r="A588" i="6"/>
  <c r="G587" i="6"/>
  <c r="F587" i="6"/>
  <c r="E587" i="6"/>
  <c r="D587" i="6"/>
  <c r="C587" i="6"/>
  <c r="B587" i="6"/>
  <c r="A587" i="6"/>
  <c r="G586" i="6"/>
  <c r="F586" i="6"/>
  <c r="E586" i="6"/>
  <c r="D586" i="6"/>
  <c r="C586" i="6"/>
  <c r="B586" i="6"/>
  <c r="A586" i="6"/>
  <c r="G585" i="6"/>
  <c r="F585" i="6"/>
  <c r="E585" i="6"/>
  <c r="D585" i="6"/>
  <c r="C585" i="6"/>
  <c r="B585" i="6"/>
  <c r="A585" i="6"/>
  <c r="G584" i="6"/>
  <c r="F584" i="6"/>
  <c r="E584" i="6"/>
  <c r="D584" i="6"/>
  <c r="C584" i="6"/>
  <c r="B584" i="6"/>
  <c r="A584" i="6"/>
  <c r="G583" i="6"/>
  <c r="F583" i="6"/>
  <c r="E583" i="6"/>
  <c r="D583" i="6"/>
  <c r="C583" i="6"/>
  <c r="B583" i="6"/>
  <c r="A583" i="6"/>
  <c r="G582" i="6"/>
  <c r="F582" i="6"/>
  <c r="E582" i="6"/>
  <c r="D582" i="6"/>
  <c r="C582" i="6"/>
  <c r="B582" i="6"/>
  <c r="A582" i="6"/>
  <c r="G581" i="6"/>
  <c r="F581" i="6"/>
  <c r="E581" i="6"/>
  <c r="D581" i="6"/>
  <c r="C581" i="6"/>
  <c r="B581" i="6"/>
  <c r="A581" i="6"/>
  <c r="G580" i="6"/>
  <c r="F580" i="6"/>
  <c r="E580" i="6"/>
  <c r="D580" i="6"/>
  <c r="C580" i="6"/>
  <c r="B580" i="6"/>
  <c r="A580" i="6"/>
  <c r="G579" i="6"/>
  <c r="F579" i="6"/>
  <c r="E579" i="6"/>
  <c r="D579" i="6"/>
  <c r="C579" i="6"/>
  <c r="B579" i="6"/>
  <c r="A579" i="6"/>
  <c r="G578" i="6"/>
  <c r="F578" i="6"/>
  <c r="E578" i="6"/>
  <c r="D578" i="6"/>
  <c r="C578" i="6"/>
  <c r="B578" i="6"/>
  <c r="A578" i="6"/>
  <c r="G577" i="6"/>
  <c r="F577" i="6"/>
  <c r="E577" i="6"/>
  <c r="D577" i="6"/>
  <c r="C577" i="6"/>
  <c r="B577" i="6"/>
  <c r="A577" i="6"/>
  <c r="G576" i="6"/>
  <c r="F576" i="6"/>
  <c r="E576" i="6"/>
  <c r="D576" i="6"/>
  <c r="C576" i="6"/>
  <c r="B576" i="6"/>
  <c r="A576" i="6"/>
  <c r="G575" i="6"/>
  <c r="F575" i="6"/>
  <c r="E575" i="6"/>
  <c r="D575" i="6"/>
  <c r="C575" i="6"/>
  <c r="B575" i="6"/>
  <c r="A575" i="6"/>
  <c r="G574" i="6"/>
  <c r="F574" i="6"/>
  <c r="E574" i="6"/>
  <c r="D574" i="6"/>
  <c r="C574" i="6"/>
  <c r="B574" i="6"/>
  <c r="A574" i="6"/>
  <c r="G573" i="6"/>
  <c r="F573" i="6"/>
  <c r="E573" i="6"/>
  <c r="D573" i="6"/>
  <c r="C573" i="6"/>
  <c r="B573" i="6"/>
  <c r="A573" i="6"/>
  <c r="G572" i="6"/>
  <c r="F572" i="6"/>
  <c r="E572" i="6"/>
  <c r="D572" i="6"/>
  <c r="C572" i="6"/>
  <c r="B572" i="6"/>
  <c r="A572" i="6"/>
  <c r="G571" i="6"/>
  <c r="F571" i="6"/>
  <c r="E571" i="6"/>
  <c r="D571" i="6"/>
  <c r="C571" i="6"/>
  <c r="B571" i="6"/>
  <c r="A571" i="6"/>
  <c r="G570" i="6"/>
  <c r="F570" i="6"/>
  <c r="E570" i="6"/>
  <c r="D570" i="6"/>
  <c r="C570" i="6"/>
  <c r="B570" i="6"/>
  <c r="A570" i="6"/>
  <c r="G569" i="6"/>
  <c r="F569" i="6"/>
  <c r="E569" i="6"/>
  <c r="D569" i="6"/>
  <c r="C569" i="6"/>
  <c r="B569" i="6"/>
  <c r="A569" i="6"/>
  <c r="G568" i="6"/>
  <c r="F568" i="6"/>
  <c r="E568" i="6"/>
  <c r="D568" i="6"/>
  <c r="C568" i="6"/>
  <c r="B568" i="6"/>
  <c r="A568" i="6"/>
  <c r="G567" i="6"/>
  <c r="F567" i="6"/>
  <c r="E567" i="6"/>
  <c r="D567" i="6"/>
  <c r="C567" i="6"/>
  <c r="B567" i="6"/>
  <c r="A567" i="6"/>
  <c r="G566" i="6"/>
  <c r="F566" i="6"/>
  <c r="E566" i="6"/>
  <c r="D566" i="6"/>
  <c r="C566" i="6"/>
  <c r="B566" i="6"/>
  <c r="A566" i="6"/>
  <c r="G565" i="6"/>
  <c r="F565" i="6"/>
  <c r="E565" i="6"/>
  <c r="D565" i="6"/>
  <c r="C565" i="6"/>
  <c r="B565" i="6"/>
  <c r="A565" i="6"/>
  <c r="G564" i="6"/>
  <c r="F564" i="6"/>
  <c r="E564" i="6"/>
  <c r="D564" i="6"/>
  <c r="C564" i="6"/>
  <c r="B564" i="6"/>
  <c r="A564" i="6"/>
  <c r="G563" i="6"/>
  <c r="F563" i="6"/>
  <c r="E563" i="6"/>
  <c r="D563" i="6"/>
  <c r="C563" i="6"/>
  <c r="B563" i="6"/>
  <c r="A563" i="6"/>
  <c r="G562" i="6"/>
  <c r="F562" i="6"/>
  <c r="E562" i="6"/>
  <c r="D562" i="6"/>
  <c r="C562" i="6"/>
  <c r="B562" i="6"/>
  <c r="A562" i="6"/>
  <c r="G561" i="6"/>
  <c r="F561" i="6"/>
  <c r="E561" i="6"/>
  <c r="D561" i="6"/>
  <c r="C561" i="6"/>
  <c r="B561" i="6"/>
  <c r="A561" i="6"/>
  <c r="G560" i="6"/>
  <c r="F560" i="6"/>
  <c r="E560" i="6"/>
  <c r="D560" i="6"/>
  <c r="C560" i="6"/>
  <c r="B560" i="6"/>
  <c r="A560" i="6"/>
  <c r="G559" i="6"/>
  <c r="F559" i="6"/>
  <c r="E559" i="6"/>
  <c r="D559" i="6"/>
  <c r="C559" i="6"/>
  <c r="B559" i="6"/>
  <c r="A559" i="6"/>
  <c r="G558" i="6"/>
  <c r="F558" i="6"/>
  <c r="E558" i="6"/>
  <c r="D558" i="6"/>
  <c r="C558" i="6"/>
  <c r="B558" i="6"/>
  <c r="A558" i="6"/>
  <c r="G557" i="6"/>
  <c r="F557" i="6"/>
  <c r="E557" i="6"/>
  <c r="D557" i="6"/>
  <c r="C557" i="6"/>
  <c r="B557" i="6"/>
  <c r="A557" i="6"/>
  <c r="G556" i="6"/>
  <c r="F556" i="6"/>
  <c r="E556" i="6"/>
  <c r="D556" i="6"/>
  <c r="C556" i="6"/>
  <c r="B556" i="6"/>
  <c r="A556" i="6"/>
  <c r="G555" i="6"/>
  <c r="F555" i="6"/>
  <c r="E555" i="6"/>
  <c r="D555" i="6"/>
  <c r="C555" i="6"/>
  <c r="B555" i="6"/>
  <c r="A555" i="6"/>
  <c r="G554" i="6"/>
  <c r="F554" i="6"/>
  <c r="E554" i="6"/>
  <c r="D554" i="6"/>
  <c r="C554" i="6"/>
  <c r="B554" i="6"/>
  <c r="A554" i="6"/>
  <c r="G553" i="6"/>
  <c r="F553" i="6"/>
  <c r="E553" i="6"/>
  <c r="D553" i="6"/>
  <c r="C553" i="6"/>
  <c r="B553" i="6"/>
  <c r="A553" i="6"/>
  <c r="G552" i="6"/>
  <c r="F552" i="6"/>
  <c r="E552" i="6"/>
  <c r="D552" i="6"/>
  <c r="C552" i="6"/>
  <c r="B552" i="6"/>
  <c r="A552" i="6"/>
  <c r="G551" i="6"/>
  <c r="F551" i="6"/>
  <c r="E551" i="6"/>
  <c r="D551" i="6"/>
  <c r="C551" i="6"/>
  <c r="B551" i="6"/>
  <c r="A551" i="6"/>
  <c r="G550" i="6"/>
  <c r="F550" i="6"/>
  <c r="E550" i="6"/>
  <c r="D550" i="6"/>
  <c r="C550" i="6"/>
  <c r="B550" i="6"/>
  <c r="A550" i="6"/>
  <c r="G549" i="6"/>
  <c r="F549" i="6"/>
  <c r="E549" i="6"/>
  <c r="D549" i="6"/>
  <c r="C549" i="6"/>
  <c r="B549" i="6"/>
  <c r="A549" i="6"/>
  <c r="G548" i="6"/>
  <c r="F548" i="6"/>
  <c r="E548" i="6"/>
  <c r="D548" i="6"/>
  <c r="C548" i="6"/>
  <c r="B548" i="6"/>
  <c r="A548" i="6"/>
  <c r="G547" i="6"/>
  <c r="F547" i="6"/>
  <c r="E547" i="6"/>
  <c r="D547" i="6"/>
  <c r="C547" i="6"/>
  <c r="B547" i="6"/>
  <c r="A547" i="6"/>
  <c r="G546" i="6"/>
  <c r="F546" i="6"/>
  <c r="E546" i="6"/>
  <c r="D546" i="6"/>
  <c r="C546" i="6"/>
  <c r="B546" i="6"/>
  <c r="A546" i="6"/>
  <c r="G545" i="6"/>
  <c r="F545" i="6"/>
  <c r="E545" i="6"/>
  <c r="D545" i="6"/>
  <c r="C545" i="6"/>
  <c r="B545" i="6"/>
  <c r="A545" i="6"/>
  <c r="G544" i="6"/>
  <c r="F544" i="6"/>
  <c r="E544" i="6"/>
  <c r="D544" i="6"/>
  <c r="C544" i="6"/>
  <c r="B544" i="6"/>
  <c r="A544" i="6"/>
  <c r="G543" i="6"/>
  <c r="F543" i="6"/>
  <c r="E543" i="6"/>
  <c r="D543" i="6"/>
  <c r="C543" i="6"/>
  <c r="B543" i="6"/>
  <c r="A543" i="6"/>
  <c r="G542" i="6"/>
  <c r="F542" i="6"/>
  <c r="E542" i="6"/>
  <c r="D542" i="6"/>
  <c r="C542" i="6"/>
  <c r="B542" i="6"/>
  <c r="A542" i="6"/>
  <c r="G541" i="6"/>
  <c r="F541" i="6"/>
  <c r="E541" i="6"/>
  <c r="D541" i="6"/>
  <c r="C541" i="6"/>
  <c r="B541" i="6"/>
  <c r="A541" i="6"/>
  <c r="G540" i="6"/>
  <c r="F540" i="6"/>
  <c r="E540" i="6"/>
  <c r="D540" i="6"/>
  <c r="C540" i="6"/>
  <c r="B540" i="6"/>
  <c r="A540" i="6"/>
  <c r="G539" i="6"/>
  <c r="F539" i="6"/>
  <c r="E539" i="6"/>
  <c r="D539" i="6"/>
  <c r="C539" i="6"/>
  <c r="B539" i="6"/>
  <c r="A539" i="6"/>
  <c r="G538" i="6"/>
  <c r="F538" i="6"/>
  <c r="E538" i="6"/>
  <c r="D538" i="6"/>
  <c r="C538" i="6"/>
  <c r="B538" i="6"/>
  <c r="A538" i="6"/>
  <c r="G537" i="6"/>
  <c r="F537" i="6"/>
  <c r="E537" i="6"/>
  <c r="D537" i="6"/>
  <c r="C537" i="6"/>
  <c r="B537" i="6"/>
  <c r="A537" i="6"/>
  <c r="G536" i="6"/>
  <c r="F536" i="6"/>
  <c r="E536" i="6"/>
  <c r="D536" i="6"/>
  <c r="C536" i="6"/>
  <c r="B536" i="6"/>
  <c r="A536" i="6"/>
  <c r="G535" i="6"/>
  <c r="F535" i="6"/>
  <c r="E535" i="6"/>
  <c r="D535" i="6"/>
  <c r="C535" i="6"/>
  <c r="B535" i="6"/>
  <c r="A535" i="6"/>
  <c r="G534" i="6"/>
  <c r="F534" i="6"/>
  <c r="E534" i="6"/>
  <c r="D534" i="6"/>
  <c r="C534" i="6"/>
  <c r="B534" i="6"/>
  <c r="A534" i="6"/>
  <c r="G533" i="6"/>
  <c r="F533" i="6"/>
  <c r="E533" i="6"/>
  <c r="D533" i="6"/>
  <c r="C533" i="6"/>
  <c r="B533" i="6"/>
  <c r="A533" i="6"/>
  <c r="G532" i="6"/>
  <c r="F532" i="6"/>
  <c r="E532" i="6"/>
  <c r="D532" i="6"/>
  <c r="C532" i="6"/>
  <c r="B532" i="6"/>
  <c r="A532" i="6"/>
  <c r="G531" i="6"/>
  <c r="F531" i="6"/>
  <c r="E531" i="6"/>
  <c r="D531" i="6"/>
  <c r="C531" i="6"/>
  <c r="B531" i="6"/>
  <c r="A531" i="6"/>
  <c r="G530" i="6"/>
  <c r="F530" i="6"/>
  <c r="E530" i="6"/>
  <c r="D530" i="6"/>
  <c r="C530" i="6"/>
  <c r="B530" i="6"/>
  <c r="A530" i="6"/>
  <c r="G529" i="6"/>
  <c r="F529" i="6"/>
  <c r="E529" i="6"/>
  <c r="D529" i="6"/>
  <c r="C529" i="6"/>
  <c r="B529" i="6"/>
  <c r="A529" i="6"/>
  <c r="G528" i="6"/>
  <c r="F528" i="6"/>
  <c r="E528" i="6"/>
  <c r="D528" i="6"/>
  <c r="C528" i="6"/>
  <c r="B528" i="6"/>
  <c r="A528" i="6"/>
  <c r="G527" i="6"/>
  <c r="F527" i="6"/>
  <c r="E527" i="6"/>
  <c r="D527" i="6"/>
  <c r="C527" i="6"/>
  <c r="B527" i="6"/>
  <c r="A527" i="6"/>
  <c r="G526" i="6"/>
  <c r="F526" i="6"/>
  <c r="E526" i="6"/>
  <c r="D526" i="6"/>
  <c r="C526" i="6"/>
  <c r="B526" i="6"/>
  <c r="A526" i="6"/>
  <c r="G525" i="6"/>
  <c r="F525" i="6"/>
  <c r="E525" i="6"/>
  <c r="D525" i="6"/>
  <c r="C525" i="6"/>
  <c r="B525" i="6"/>
  <c r="A525" i="6"/>
  <c r="G524" i="6"/>
  <c r="F524" i="6"/>
  <c r="E524" i="6"/>
  <c r="D524" i="6"/>
  <c r="C524" i="6"/>
  <c r="B524" i="6"/>
  <c r="A524" i="6"/>
  <c r="G523" i="6"/>
  <c r="F523" i="6"/>
  <c r="E523" i="6"/>
  <c r="D523" i="6"/>
  <c r="C523" i="6"/>
  <c r="B523" i="6"/>
  <c r="A523" i="6"/>
  <c r="G522" i="6"/>
  <c r="F522" i="6"/>
  <c r="E522" i="6"/>
  <c r="D522" i="6"/>
  <c r="C522" i="6"/>
  <c r="B522" i="6"/>
  <c r="A522" i="6"/>
  <c r="G521" i="6"/>
  <c r="F521" i="6"/>
  <c r="E521" i="6"/>
  <c r="D521" i="6"/>
  <c r="C521" i="6"/>
  <c r="B521" i="6"/>
  <c r="A521" i="6"/>
  <c r="G520" i="6"/>
  <c r="F520" i="6"/>
  <c r="E520" i="6"/>
  <c r="D520" i="6"/>
  <c r="C520" i="6"/>
  <c r="B520" i="6"/>
  <c r="A520" i="6"/>
  <c r="G519" i="6"/>
  <c r="F519" i="6"/>
  <c r="E519" i="6"/>
  <c r="D519" i="6"/>
  <c r="C519" i="6"/>
  <c r="B519" i="6"/>
  <c r="A519" i="6"/>
  <c r="G518" i="6"/>
  <c r="F518" i="6"/>
  <c r="E518" i="6"/>
  <c r="D518" i="6"/>
  <c r="C518" i="6"/>
  <c r="B518" i="6"/>
  <c r="A518" i="6"/>
  <c r="G517" i="6"/>
  <c r="F517" i="6"/>
  <c r="E517" i="6"/>
  <c r="D517" i="6"/>
  <c r="C517" i="6"/>
  <c r="B517" i="6"/>
  <c r="A517" i="6"/>
  <c r="G516" i="6"/>
  <c r="F516" i="6"/>
  <c r="E516" i="6"/>
  <c r="D516" i="6"/>
  <c r="C516" i="6"/>
  <c r="B516" i="6"/>
  <c r="A516" i="6"/>
  <c r="G515" i="6"/>
  <c r="F515" i="6"/>
  <c r="E515" i="6"/>
  <c r="D515" i="6"/>
  <c r="C515" i="6"/>
  <c r="B515" i="6"/>
  <c r="A515" i="6"/>
  <c r="G514" i="6"/>
  <c r="F514" i="6"/>
  <c r="E514" i="6"/>
  <c r="D514" i="6"/>
  <c r="C514" i="6"/>
  <c r="B514" i="6"/>
  <c r="A514" i="6"/>
  <c r="G513" i="6"/>
  <c r="F513" i="6"/>
  <c r="E513" i="6"/>
  <c r="D513" i="6"/>
  <c r="C513" i="6"/>
  <c r="B513" i="6"/>
  <c r="A513" i="6"/>
  <c r="G512" i="6"/>
  <c r="F512" i="6"/>
  <c r="E512" i="6"/>
  <c r="D512" i="6"/>
  <c r="C512" i="6"/>
  <c r="B512" i="6"/>
  <c r="A512" i="6"/>
  <c r="G511" i="6"/>
  <c r="F511" i="6"/>
  <c r="E511" i="6"/>
  <c r="D511" i="6"/>
  <c r="C511" i="6"/>
  <c r="B511" i="6"/>
  <c r="A511" i="6"/>
  <c r="G510" i="6"/>
  <c r="F510" i="6"/>
  <c r="E510" i="6"/>
  <c r="D510" i="6"/>
  <c r="C510" i="6"/>
  <c r="B510" i="6"/>
  <c r="A510" i="6"/>
  <c r="G509" i="6"/>
  <c r="F509" i="6"/>
  <c r="E509" i="6"/>
  <c r="D509" i="6"/>
  <c r="C509" i="6"/>
  <c r="B509" i="6"/>
  <c r="A509" i="6"/>
  <c r="G508" i="6"/>
  <c r="F508" i="6"/>
  <c r="E508" i="6"/>
  <c r="D508" i="6"/>
  <c r="C508" i="6"/>
  <c r="B508" i="6"/>
  <c r="A508" i="6"/>
  <c r="G507" i="6"/>
  <c r="F507" i="6"/>
  <c r="E507" i="6"/>
  <c r="D507" i="6"/>
  <c r="C507" i="6"/>
  <c r="B507" i="6"/>
  <c r="A507" i="6"/>
  <c r="G506" i="6"/>
  <c r="F506" i="6"/>
  <c r="E506" i="6"/>
  <c r="D506" i="6"/>
  <c r="C506" i="6"/>
  <c r="B506" i="6"/>
  <c r="A506" i="6"/>
  <c r="G505" i="6"/>
  <c r="F505" i="6"/>
  <c r="E505" i="6"/>
  <c r="D505" i="6"/>
  <c r="C505" i="6"/>
  <c r="B505" i="6"/>
  <c r="A505" i="6"/>
  <c r="G504" i="6"/>
  <c r="F504" i="6"/>
  <c r="E504" i="6"/>
  <c r="D504" i="6"/>
  <c r="C504" i="6"/>
  <c r="B504" i="6"/>
  <c r="A504" i="6"/>
  <c r="G503" i="6"/>
  <c r="F503" i="6"/>
  <c r="E503" i="6"/>
  <c r="D503" i="6"/>
  <c r="C503" i="6"/>
  <c r="B503" i="6"/>
  <c r="A503" i="6"/>
  <c r="G502" i="6"/>
  <c r="F502" i="6"/>
  <c r="E502" i="6"/>
  <c r="D502" i="6"/>
  <c r="C502" i="6"/>
  <c r="B502" i="6"/>
  <c r="A502" i="6"/>
  <c r="G501" i="6"/>
  <c r="F501" i="6"/>
  <c r="E501" i="6"/>
  <c r="D501" i="6"/>
  <c r="C501" i="6"/>
  <c r="B501" i="6"/>
  <c r="A501" i="6"/>
  <c r="G500" i="6"/>
  <c r="F500" i="6"/>
  <c r="E500" i="6"/>
  <c r="D500" i="6"/>
  <c r="C500" i="6"/>
  <c r="B500" i="6"/>
  <c r="A500" i="6"/>
  <c r="G499" i="6"/>
  <c r="F499" i="6"/>
  <c r="E499" i="6"/>
  <c r="D499" i="6"/>
  <c r="C499" i="6"/>
  <c r="B499" i="6"/>
  <c r="A499" i="6"/>
  <c r="G498" i="6"/>
  <c r="F498" i="6"/>
  <c r="E498" i="6"/>
  <c r="D498" i="6"/>
  <c r="C498" i="6"/>
  <c r="B498" i="6"/>
  <c r="A498" i="6"/>
  <c r="G497" i="6"/>
  <c r="F497" i="6"/>
  <c r="E497" i="6"/>
  <c r="D497" i="6"/>
  <c r="C497" i="6"/>
  <c r="B497" i="6"/>
  <c r="A497" i="6"/>
  <c r="G496" i="6"/>
  <c r="F496" i="6"/>
  <c r="E496" i="6"/>
  <c r="D496" i="6"/>
  <c r="C496" i="6"/>
  <c r="B496" i="6"/>
  <c r="A496" i="6"/>
  <c r="G495" i="6"/>
  <c r="F495" i="6"/>
  <c r="E495" i="6"/>
  <c r="D495" i="6"/>
  <c r="C495" i="6"/>
  <c r="B495" i="6"/>
  <c r="A495" i="6"/>
  <c r="G494" i="6"/>
  <c r="F494" i="6"/>
  <c r="E494" i="6"/>
  <c r="D494" i="6"/>
  <c r="C494" i="6"/>
  <c r="B494" i="6"/>
  <c r="A494" i="6"/>
  <c r="G493" i="6"/>
  <c r="F493" i="6"/>
  <c r="E493" i="6"/>
  <c r="D493" i="6"/>
  <c r="C493" i="6"/>
  <c r="B493" i="6"/>
  <c r="A493" i="6"/>
  <c r="G492" i="6"/>
  <c r="F492" i="6"/>
  <c r="E492" i="6"/>
  <c r="D492" i="6"/>
  <c r="C492" i="6"/>
  <c r="B492" i="6"/>
  <c r="A492" i="6"/>
  <c r="G491" i="6"/>
  <c r="F491" i="6"/>
  <c r="E491" i="6"/>
  <c r="D491" i="6"/>
  <c r="C491" i="6"/>
  <c r="B491" i="6"/>
  <c r="A491" i="6"/>
  <c r="G490" i="6"/>
  <c r="F490" i="6"/>
  <c r="E490" i="6"/>
  <c r="D490" i="6"/>
  <c r="C490" i="6"/>
  <c r="B490" i="6"/>
  <c r="A490" i="6"/>
  <c r="G489" i="6"/>
  <c r="F489" i="6"/>
  <c r="E489" i="6"/>
  <c r="D489" i="6"/>
  <c r="C489" i="6"/>
  <c r="B489" i="6"/>
  <c r="A489" i="6"/>
  <c r="G488" i="6"/>
  <c r="F488" i="6"/>
  <c r="E488" i="6"/>
  <c r="D488" i="6"/>
  <c r="C488" i="6"/>
  <c r="B488" i="6"/>
  <c r="A488" i="6"/>
  <c r="G487" i="6"/>
  <c r="F487" i="6"/>
  <c r="E487" i="6"/>
  <c r="D487" i="6"/>
  <c r="C487" i="6"/>
  <c r="B487" i="6"/>
  <c r="A487" i="6"/>
  <c r="G486" i="6"/>
  <c r="F486" i="6"/>
  <c r="E486" i="6"/>
  <c r="D486" i="6"/>
  <c r="C486" i="6"/>
  <c r="B486" i="6"/>
  <c r="A486" i="6"/>
  <c r="G485" i="6"/>
  <c r="F485" i="6"/>
  <c r="E485" i="6"/>
  <c r="D485" i="6"/>
  <c r="C485" i="6"/>
  <c r="B485" i="6"/>
  <c r="A485" i="6"/>
  <c r="G484" i="6"/>
  <c r="F484" i="6"/>
  <c r="E484" i="6"/>
  <c r="D484" i="6"/>
  <c r="C484" i="6"/>
  <c r="B484" i="6"/>
  <c r="A484" i="6"/>
  <c r="G483" i="6"/>
  <c r="F483" i="6"/>
  <c r="E483" i="6"/>
  <c r="D483" i="6"/>
  <c r="C483" i="6"/>
  <c r="B483" i="6"/>
  <c r="A483" i="6"/>
  <c r="G482" i="6"/>
  <c r="F482" i="6"/>
  <c r="E482" i="6"/>
  <c r="D482" i="6"/>
  <c r="C482" i="6"/>
  <c r="B482" i="6"/>
  <c r="A482" i="6"/>
  <c r="G481" i="6"/>
  <c r="F481" i="6"/>
  <c r="E481" i="6"/>
  <c r="D481" i="6"/>
  <c r="C481" i="6"/>
  <c r="B481" i="6"/>
  <c r="A481" i="6"/>
  <c r="G480" i="6"/>
  <c r="F480" i="6"/>
  <c r="E480" i="6"/>
  <c r="D480" i="6"/>
  <c r="C480" i="6"/>
  <c r="B480" i="6"/>
  <c r="A480" i="6"/>
  <c r="G479" i="6"/>
  <c r="F479" i="6"/>
  <c r="E479" i="6"/>
  <c r="D479" i="6"/>
  <c r="C479" i="6"/>
  <c r="B479" i="6"/>
  <c r="A479" i="6"/>
  <c r="G478" i="6"/>
  <c r="F478" i="6"/>
  <c r="E478" i="6"/>
  <c r="D478" i="6"/>
  <c r="C478" i="6"/>
  <c r="B478" i="6"/>
  <c r="A478" i="6"/>
  <c r="G477" i="6"/>
  <c r="F477" i="6"/>
  <c r="E477" i="6"/>
  <c r="D477" i="6"/>
  <c r="C477" i="6"/>
  <c r="B477" i="6"/>
  <c r="A477" i="6"/>
  <c r="G476" i="6"/>
  <c r="F476" i="6"/>
  <c r="E476" i="6"/>
  <c r="D476" i="6"/>
  <c r="C476" i="6"/>
  <c r="B476" i="6"/>
  <c r="A476" i="6"/>
  <c r="G475" i="6"/>
  <c r="F475" i="6"/>
  <c r="E475" i="6"/>
  <c r="D475" i="6"/>
  <c r="C475" i="6"/>
  <c r="B475" i="6"/>
  <c r="A475" i="6"/>
  <c r="G474" i="6"/>
  <c r="F474" i="6"/>
  <c r="E474" i="6"/>
  <c r="D474" i="6"/>
  <c r="C474" i="6"/>
  <c r="B474" i="6"/>
  <c r="A474" i="6"/>
  <c r="G473" i="6"/>
  <c r="F473" i="6"/>
  <c r="E473" i="6"/>
  <c r="D473" i="6"/>
  <c r="C473" i="6"/>
  <c r="B473" i="6"/>
  <c r="A473" i="6"/>
  <c r="G472" i="6"/>
  <c r="F472" i="6"/>
  <c r="E472" i="6"/>
  <c r="D472" i="6"/>
  <c r="C472" i="6"/>
  <c r="B472" i="6"/>
  <c r="A472" i="6"/>
  <c r="G471" i="6"/>
  <c r="F471" i="6"/>
  <c r="E471" i="6"/>
  <c r="D471" i="6"/>
  <c r="C471" i="6"/>
  <c r="B471" i="6"/>
  <c r="A471" i="6"/>
  <c r="G470" i="6"/>
  <c r="F470" i="6"/>
  <c r="E470" i="6"/>
  <c r="D470" i="6"/>
  <c r="C470" i="6"/>
  <c r="B470" i="6"/>
  <c r="A470" i="6"/>
  <c r="G469" i="6"/>
  <c r="F469" i="6"/>
  <c r="E469" i="6"/>
  <c r="D469" i="6"/>
  <c r="C469" i="6"/>
  <c r="B469" i="6"/>
  <c r="A469" i="6"/>
  <c r="G468" i="6"/>
  <c r="F468" i="6"/>
  <c r="E468" i="6"/>
  <c r="D468" i="6"/>
  <c r="C468" i="6"/>
  <c r="B468" i="6"/>
  <c r="A468" i="6"/>
  <c r="G467" i="6"/>
  <c r="F467" i="6"/>
  <c r="E467" i="6"/>
  <c r="D467" i="6"/>
  <c r="C467" i="6"/>
  <c r="B467" i="6"/>
  <c r="A467" i="6"/>
  <c r="G466" i="6"/>
  <c r="F466" i="6"/>
  <c r="E466" i="6"/>
  <c r="D466" i="6"/>
  <c r="C466" i="6"/>
  <c r="B466" i="6"/>
  <c r="A466" i="6"/>
  <c r="G465" i="6"/>
  <c r="F465" i="6"/>
  <c r="E465" i="6"/>
  <c r="D465" i="6"/>
  <c r="C465" i="6"/>
  <c r="B465" i="6"/>
  <c r="A465" i="6"/>
  <c r="G464" i="6"/>
  <c r="F464" i="6"/>
  <c r="E464" i="6"/>
  <c r="D464" i="6"/>
  <c r="C464" i="6"/>
  <c r="B464" i="6"/>
  <c r="A464" i="6"/>
  <c r="G463" i="6"/>
  <c r="F463" i="6"/>
  <c r="E463" i="6"/>
  <c r="D463" i="6"/>
  <c r="C463" i="6"/>
  <c r="B463" i="6"/>
  <c r="A463" i="6"/>
  <c r="G462" i="6"/>
  <c r="F462" i="6"/>
  <c r="E462" i="6"/>
  <c r="D462" i="6"/>
  <c r="C462" i="6"/>
  <c r="B462" i="6"/>
  <c r="A462" i="6"/>
  <c r="G461" i="6"/>
  <c r="F461" i="6"/>
  <c r="E461" i="6"/>
  <c r="D461" i="6"/>
  <c r="C461" i="6"/>
  <c r="B461" i="6"/>
  <c r="A461" i="6"/>
  <c r="G460" i="6"/>
  <c r="F460" i="6"/>
  <c r="E460" i="6"/>
  <c r="D460" i="6"/>
  <c r="C460" i="6"/>
  <c r="B460" i="6"/>
  <c r="A460" i="6"/>
  <c r="G459" i="6"/>
  <c r="F459" i="6"/>
  <c r="E459" i="6"/>
  <c r="D459" i="6"/>
  <c r="C459" i="6"/>
  <c r="B459" i="6"/>
  <c r="A459" i="6"/>
  <c r="G458" i="6"/>
  <c r="F458" i="6"/>
  <c r="E458" i="6"/>
  <c r="D458" i="6"/>
  <c r="C458" i="6"/>
  <c r="B458" i="6"/>
  <c r="A458" i="6"/>
  <c r="G457" i="6"/>
  <c r="F457" i="6"/>
  <c r="E457" i="6"/>
  <c r="D457" i="6"/>
  <c r="C457" i="6"/>
  <c r="B457" i="6"/>
  <c r="A457" i="6"/>
  <c r="G456" i="6"/>
  <c r="F456" i="6"/>
  <c r="E456" i="6"/>
  <c r="D456" i="6"/>
  <c r="C456" i="6"/>
  <c r="B456" i="6"/>
  <c r="A456" i="6"/>
  <c r="G455" i="6"/>
  <c r="F455" i="6"/>
  <c r="E455" i="6"/>
  <c r="D455" i="6"/>
  <c r="C455" i="6"/>
  <c r="B455" i="6"/>
  <c r="A455" i="6"/>
  <c r="G454" i="6"/>
  <c r="F454" i="6"/>
  <c r="E454" i="6"/>
  <c r="D454" i="6"/>
  <c r="C454" i="6"/>
  <c r="B454" i="6"/>
  <c r="A454" i="6"/>
  <c r="G453" i="6"/>
  <c r="F453" i="6"/>
  <c r="E453" i="6"/>
  <c r="D453" i="6"/>
  <c r="C453" i="6"/>
  <c r="B453" i="6"/>
  <c r="A453" i="6"/>
  <c r="G452" i="6"/>
  <c r="F452" i="6"/>
  <c r="E452" i="6"/>
  <c r="D452" i="6"/>
  <c r="C452" i="6"/>
  <c r="B452" i="6"/>
  <c r="A452" i="6"/>
  <c r="G451" i="6"/>
  <c r="F451" i="6"/>
  <c r="E451" i="6"/>
  <c r="D451" i="6"/>
  <c r="C451" i="6"/>
  <c r="B451" i="6"/>
  <c r="A451" i="6"/>
  <c r="G450" i="6"/>
  <c r="F450" i="6"/>
  <c r="E450" i="6"/>
  <c r="D450" i="6"/>
  <c r="C450" i="6"/>
  <c r="B450" i="6"/>
  <c r="A450" i="6"/>
  <c r="G449" i="6"/>
  <c r="F449" i="6"/>
  <c r="E449" i="6"/>
  <c r="D449" i="6"/>
  <c r="C449" i="6"/>
  <c r="B449" i="6"/>
  <c r="A449" i="6"/>
  <c r="G448" i="6"/>
  <c r="F448" i="6"/>
  <c r="E448" i="6"/>
  <c r="D448" i="6"/>
  <c r="C448" i="6"/>
  <c r="B448" i="6"/>
  <c r="A448" i="6"/>
  <c r="G447" i="6"/>
  <c r="F447" i="6"/>
  <c r="E447" i="6"/>
  <c r="D447" i="6"/>
  <c r="C447" i="6"/>
  <c r="B447" i="6"/>
  <c r="A447" i="6"/>
  <c r="G446" i="6"/>
  <c r="F446" i="6"/>
  <c r="E446" i="6"/>
  <c r="D446" i="6"/>
  <c r="C446" i="6"/>
  <c r="B446" i="6"/>
  <c r="A446" i="6"/>
  <c r="G445" i="6"/>
  <c r="F445" i="6"/>
  <c r="E445" i="6"/>
  <c r="D445" i="6"/>
  <c r="C445" i="6"/>
  <c r="B445" i="6"/>
  <c r="A445" i="6"/>
  <c r="G444" i="6"/>
  <c r="F444" i="6"/>
  <c r="E444" i="6"/>
  <c r="D444" i="6"/>
  <c r="C444" i="6"/>
  <c r="B444" i="6"/>
  <c r="A444" i="6"/>
  <c r="G443" i="6"/>
  <c r="F443" i="6"/>
  <c r="E443" i="6"/>
  <c r="D443" i="6"/>
  <c r="C443" i="6"/>
  <c r="B443" i="6"/>
  <c r="A443" i="6"/>
  <c r="G442" i="6"/>
  <c r="F442" i="6"/>
  <c r="E442" i="6"/>
  <c r="D442" i="6"/>
  <c r="C442" i="6"/>
  <c r="B442" i="6"/>
  <c r="A442" i="6"/>
  <c r="G441" i="6"/>
  <c r="F441" i="6"/>
  <c r="E441" i="6"/>
  <c r="D441" i="6"/>
  <c r="C441" i="6"/>
  <c r="B441" i="6"/>
  <c r="A441" i="6"/>
  <c r="G440" i="6"/>
  <c r="F440" i="6"/>
  <c r="E440" i="6"/>
  <c r="D440" i="6"/>
  <c r="C440" i="6"/>
  <c r="B440" i="6"/>
  <c r="A440" i="6"/>
  <c r="G439" i="6"/>
  <c r="F439" i="6"/>
  <c r="E439" i="6"/>
  <c r="D439" i="6"/>
  <c r="C439" i="6"/>
  <c r="B439" i="6"/>
  <c r="A439" i="6"/>
  <c r="G438" i="6"/>
  <c r="F438" i="6"/>
  <c r="E438" i="6"/>
  <c r="D438" i="6"/>
  <c r="C438" i="6"/>
  <c r="B438" i="6"/>
  <c r="A438" i="6"/>
  <c r="G437" i="6"/>
  <c r="F437" i="6"/>
  <c r="E437" i="6"/>
  <c r="D437" i="6"/>
  <c r="C437" i="6"/>
  <c r="B437" i="6"/>
  <c r="A437" i="6"/>
  <c r="G436" i="6"/>
  <c r="F436" i="6"/>
  <c r="E436" i="6"/>
  <c r="D436" i="6"/>
  <c r="C436" i="6"/>
  <c r="B436" i="6"/>
  <c r="A436" i="6"/>
  <c r="G435" i="6"/>
  <c r="F435" i="6"/>
  <c r="E435" i="6"/>
  <c r="D435" i="6"/>
  <c r="C435" i="6"/>
  <c r="B435" i="6"/>
  <c r="A435" i="6"/>
  <c r="G434" i="6"/>
  <c r="F434" i="6"/>
  <c r="E434" i="6"/>
  <c r="D434" i="6"/>
  <c r="C434" i="6"/>
  <c r="B434" i="6"/>
  <c r="A434" i="6"/>
  <c r="G433" i="6"/>
  <c r="F433" i="6"/>
  <c r="E433" i="6"/>
  <c r="D433" i="6"/>
  <c r="C433" i="6"/>
  <c r="B433" i="6"/>
  <c r="A433" i="6"/>
  <c r="G432" i="6"/>
  <c r="F432" i="6"/>
  <c r="E432" i="6"/>
  <c r="D432" i="6"/>
  <c r="C432" i="6"/>
  <c r="B432" i="6"/>
  <c r="A432" i="6"/>
  <c r="G431" i="6"/>
  <c r="F431" i="6"/>
  <c r="E431" i="6"/>
  <c r="D431" i="6"/>
  <c r="C431" i="6"/>
  <c r="B431" i="6"/>
  <c r="A431" i="6"/>
  <c r="G430" i="6"/>
  <c r="F430" i="6"/>
  <c r="E430" i="6"/>
  <c r="D430" i="6"/>
  <c r="C430" i="6"/>
  <c r="B430" i="6"/>
  <c r="A430" i="6"/>
  <c r="G429" i="6"/>
  <c r="F429" i="6"/>
  <c r="E429" i="6"/>
  <c r="D429" i="6"/>
  <c r="C429" i="6"/>
  <c r="B429" i="6"/>
  <c r="A429" i="6"/>
  <c r="G428" i="6"/>
  <c r="F428" i="6"/>
  <c r="E428" i="6"/>
  <c r="D428" i="6"/>
  <c r="C428" i="6"/>
  <c r="B428" i="6"/>
  <c r="A428" i="6"/>
  <c r="G427" i="6"/>
  <c r="F427" i="6"/>
  <c r="E427" i="6"/>
  <c r="D427" i="6"/>
  <c r="C427" i="6"/>
  <c r="B427" i="6"/>
  <c r="A427" i="6"/>
  <c r="G426" i="6"/>
  <c r="F426" i="6"/>
  <c r="E426" i="6"/>
  <c r="D426" i="6"/>
  <c r="C426" i="6"/>
  <c r="B426" i="6"/>
  <c r="A426" i="6"/>
  <c r="G425" i="6"/>
  <c r="F425" i="6"/>
  <c r="E425" i="6"/>
  <c r="D425" i="6"/>
  <c r="C425" i="6"/>
  <c r="B425" i="6"/>
  <c r="A425" i="6"/>
  <c r="G424" i="6"/>
  <c r="F424" i="6"/>
  <c r="E424" i="6"/>
  <c r="D424" i="6"/>
  <c r="C424" i="6"/>
  <c r="B424" i="6"/>
  <c r="A424" i="6"/>
  <c r="G423" i="6"/>
  <c r="F423" i="6"/>
  <c r="E423" i="6"/>
  <c r="D423" i="6"/>
  <c r="C423" i="6"/>
  <c r="B423" i="6"/>
  <c r="A423" i="6"/>
  <c r="G422" i="6"/>
  <c r="F422" i="6"/>
  <c r="E422" i="6"/>
  <c r="D422" i="6"/>
  <c r="C422" i="6"/>
  <c r="B422" i="6"/>
  <c r="A422" i="6"/>
  <c r="G421" i="6"/>
  <c r="F421" i="6"/>
  <c r="E421" i="6"/>
  <c r="D421" i="6"/>
  <c r="C421" i="6"/>
  <c r="B421" i="6"/>
  <c r="A421" i="6"/>
  <c r="G420" i="6"/>
  <c r="F420" i="6"/>
  <c r="E420" i="6"/>
  <c r="D420" i="6"/>
  <c r="C420" i="6"/>
  <c r="B420" i="6"/>
  <c r="A420" i="6"/>
  <c r="G419" i="6"/>
  <c r="F419" i="6"/>
  <c r="E419" i="6"/>
  <c r="D419" i="6"/>
  <c r="C419" i="6"/>
  <c r="B419" i="6"/>
  <c r="A419" i="6"/>
  <c r="G418" i="6"/>
  <c r="F418" i="6"/>
  <c r="E418" i="6"/>
  <c r="D418" i="6"/>
  <c r="C418" i="6"/>
  <c r="B418" i="6"/>
  <c r="A418" i="6"/>
  <c r="G417" i="6"/>
  <c r="F417" i="6"/>
  <c r="E417" i="6"/>
  <c r="D417" i="6"/>
  <c r="C417" i="6"/>
  <c r="B417" i="6"/>
  <c r="A417" i="6"/>
  <c r="G416" i="6"/>
  <c r="F416" i="6"/>
  <c r="E416" i="6"/>
  <c r="D416" i="6"/>
  <c r="C416" i="6"/>
  <c r="B416" i="6"/>
  <c r="A416" i="6"/>
  <c r="G415" i="6"/>
  <c r="F415" i="6"/>
  <c r="E415" i="6"/>
  <c r="D415" i="6"/>
  <c r="C415" i="6"/>
  <c r="B415" i="6"/>
  <c r="A415" i="6"/>
  <c r="G414" i="6"/>
  <c r="F414" i="6"/>
  <c r="E414" i="6"/>
  <c r="D414" i="6"/>
  <c r="C414" i="6"/>
  <c r="B414" i="6"/>
  <c r="A414" i="6"/>
  <c r="G413" i="6"/>
  <c r="F413" i="6"/>
  <c r="E413" i="6"/>
  <c r="D413" i="6"/>
  <c r="C413" i="6"/>
  <c r="B413" i="6"/>
  <c r="A413" i="6"/>
  <c r="G412" i="6"/>
  <c r="F412" i="6"/>
  <c r="E412" i="6"/>
  <c r="D412" i="6"/>
  <c r="C412" i="6"/>
  <c r="B412" i="6"/>
  <c r="A412" i="6"/>
  <c r="G411" i="6"/>
  <c r="F411" i="6"/>
  <c r="E411" i="6"/>
  <c r="D411" i="6"/>
  <c r="C411" i="6"/>
  <c r="B411" i="6"/>
  <c r="A411" i="6"/>
  <c r="G410" i="6"/>
  <c r="F410" i="6"/>
  <c r="E410" i="6"/>
  <c r="D410" i="6"/>
  <c r="C410" i="6"/>
  <c r="B410" i="6"/>
  <c r="A410" i="6"/>
  <c r="G409" i="6"/>
  <c r="F409" i="6"/>
  <c r="E409" i="6"/>
  <c r="D409" i="6"/>
  <c r="C409" i="6"/>
  <c r="B409" i="6"/>
  <c r="A409" i="6"/>
  <c r="G408" i="6"/>
  <c r="F408" i="6"/>
  <c r="E408" i="6"/>
  <c r="D408" i="6"/>
  <c r="C408" i="6"/>
  <c r="B408" i="6"/>
  <c r="A408" i="6"/>
  <c r="G407" i="6"/>
  <c r="F407" i="6"/>
  <c r="E407" i="6"/>
  <c r="D407" i="6"/>
  <c r="C407" i="6"/>
  <c r="B407" i="6"/>
  <c r="A407" i="6"/>
  <c r="G406" i="6"/>
  <c r="F406" i="6"/>
  <c r="E406" i="6"/>
  <c r="D406" i="6"/>
  <c r="C406" i="6"/>
  <c r="B406" i="6"/>
  <c r="A406" i="6"/>
  <c r="G405" i="6"/>
  <c r="F405" i="6"/>
  <c r="E405" i="6"/>
  <c r="D405" i="6"/>
  <c r="C405" i="6"/>
  <c r="B405" i="6"/>
  <c r="A405" i="6"/>
  <c r="G404" i="6"/>
  <c r="F404" i="6"/>
  <c r="E404" i="6"/>
  <c r="D404" i="6"/>
  <c r="C404" i="6"/>
  <c r="B404" i="6"/>
  <c r="A404" i="6"/>
  <c r="G403" i="6"/>
  <c r="F403" i="6"/>
  <c r="E403" i="6"/>
  <c r="D403" i="6"/>
  <c r="C403" i="6"/>
  <c r="B403" i="6"/>
  <c r="A403" i="6"/>
  <c r="G402" i="6"/>
  <c r="F402" i="6"/>
  <c r="E402" i="6"/>
  <c r="D402" i="6"/>
  <c r="C402" i="6"/>
  <c r="B402" i="6"/>
  <c r="A402" i="6"/>
  <c r="G401" i="6"/>
  <c r="F401" i="6"/>
  <c r="E401" i="6"/>
  <c r="D401" i="6"/>
  <c r="C401" i="6"/>
  <c r="B401" i="6"/>
  <c r="A401" i="6"/>
  <c r="G400" i="6"/>
  <c r="F400" i="6"/>
  <c r="E400" i="6"/>
  <c r="D400" i="6"/>
  <c r="C400" i="6"/>
  <c r="B400" i="6"/>
  <c r="A400" i="6"/>
  <c r="G399" i="6"/>
  <c r="F399" i="6"/>
  <c r="E399" i="6"/>
  <c r="D399" i="6"/>
  <c r="C399" i="6"/>
  <c r="B399" i="6"/>
  <c r="A399" i="6"/>
  <c r="G398" i="6"/>
  <c r="F398" i="6"/>
  <c r="E398" i="6"/>
  <c r="D398" i="6"/>
  <c r="C398" i="6"/>
  <c r="B398" i="6"/>
  <c r="A398" i="6"/>
  <c r="G397" i="6"/>
  <c r="F397" i="6"/>
  <c r="E397" i="6"/>
  <c r="D397" i="6"/>
  <c r="C397" i="6"/>
  <c r="B397" i="6"/>
  <c r="A397" i="6"/>
  <c r="G396" i="6"/>
  <c r="F396" i="6"/>
  <c r="E396" i="6"/>
  <c r="D396" i="6"/>
  <c r="C396" i="6"/>
  <c r="B396" i="6"/>
  <c r="A396" i="6"/>
  <c r="G395" i="6"/>
  <c r="F395" i="6"/>
  <c r="E395" i="6"/>
  <c r="D395" i="6"/>
  <c r="C395" i="6"/>
  <c r="B395" i="6"/>
  <c r="A395" i="6"/>
  <c r="G394" i="6"/>
  <c r="F394" i="6"/>
  <c r="E394" i="6"/>
  <c r="D394" i="6"/>
  <c r="C394" i="6"/>
  <c r="B394" i="6"/>
  <c r="A394" i="6"/>
  <c r="G393" i="6"/>
  <c r="F393" i="6"/>
  <c r="E393" i="6"/>
  <c r="D393" i="6"/>
  <c r="C393" i="6"/>
  <c r="B393" i="6"/>
  <c r="A393" i="6"/>
  <c r="G392" i="6"/>
  <c r="F392" i="6"/>
  <c r="E392" i="6"/>
  <c r="D392" i="6"/>
  <c r="C392" i="6"/>
  <c r="B392" i="6"/>
  <c r="A392" i="6"/>
  <c r="G391" i="6"/>
  <c r="F391" i="6"/>
  <c r="E391" i="6"/>
  <c r="D391" i="6"/>
  <c r="C391" i="6"/>
  <c r="B391" i="6"/>
  <c r="A391" i="6"/>
  <c r="G390" i="6"/>
  <c r="F390" i="6"/>
  <c r="E390" i="6"/>
  <c r="D390" i="6"/>
  <c r="C390" i="6"/>
  <c r="B390" i="6"/>
  <c r="A390" i="6"/>
  <c r="G389" i="6"/>
  <c r="F389" i="6"/>
  <c r="E389" i="6"/>
  <c r="D389" i="6"/>
  <c r="C389" i="6"/>
  <c r="B389" i="6"/>
  <c r="A389" i="6"/>
  <c r="G388" i="6"/>
  <c r="F388" i="6"/>
  <c r="E388" i="6"/>
  <c r="D388" i="6"/>
  <c r="C388" i="6"/>
  <c r="B388" i="6"/>
  <c r="A388" i="6"/>
  <c r="G387" i="6"/>
  <c r="F387" i="6"/>
  <c r="E387" i="6"/>
  <c r="D387" i="6"/>
  <c r="C387" i="6"/>
  <c r="B387" i="6"/>
  <c r="A387" i="6"/>
  <c r="G386" i="6"/>
  <c r="F386" i="6"/>
  <c r="E386" i="6"/>
  <c r="D386" i="6"/>
  <c r="C386" i="6"/>
  <c r="B386" i="6"/>
  <c r="A386" i="6"/>
  <c r="G385" i="6"/>
  <c r="F385" i="6"/>
  <c r="E385" i="6"/>
  <c r="D385" i="6"/>
  <c r="C385" i="6"/>
  <c r="B385" i="6"/>
  <c r="A385" i="6"/>
  <c r="G384" i="6"/>
  <c r="F384" i="6"/>
  <c r="E384" i="6"/>
  <c r="D384" i="6"/>
  <c r="C384" i="6"/>
  <c r="B384" i="6"/>
  <c r="A384" i="6"/>
  <c r="G383" i="6"/>
  <c r="F383" i="6"/>
  <c r="E383" i="6"/>
  <c r="D383" i="6"/>
  <c r="C383" i="6"/>
  <c r="B383" i="6"/>
  <c r="A383" i="6"/>
  <c r="G382" i="6"/>
  <c r="F382" i="6"/>
  <c r="E382" i="6"/>
  <c r="D382" i="6"/>
  <c r="C382" i="6"/>
  <c r="B382" i="6"/>
  <c r="A382" i="6"/>
  <c r="G381" i="6"/>
  <c r="F381" i="6"/>
  <c r="E381" i="6"/>
  <c r="D381" i="6"/>
  <c r="C381" i="6"/>
  <c r="B381" i="6"/>
  <c r="A381" i="6"/>
  <c r="G380" i="6"/>
  <c r="F380" i="6"/>
  <c r="E380" i="6"/>
  <c r="D380" i="6"/>
  <c r="C380" i="6"/>
  <c r="B380" i="6"/>
  <c r="A380" i="6"/>
  <c r="G379" i="6"/>
  <c r="F379" i="6"/>
  <c r="E379" i="6"/>
  <c r="D379" i="6"/>
  <c r="C379" i="6"/>
  <c r="B379" i="6"/>
  <c r="A379" i="6"/>
  <c r="G378" i="6"/>
  <c r="F378" i="6"/>
  <c r="E378" i="6"/>
  <c r="D378" i="6"/>
  <c r="C378" i="6"/>
  <c r="B378" i="6"/>
  <c r="A378" i="6"/>
  <c r="G377" i="6"/>
  <c r="F377" i="6"/>
  <c r="E377" i="6"/>
  <c r="D377" i="6"/>
  <c r="C377" i="6"/>
  <c r="B377" i="6"/>
  <c r="A377" i="6"/>
  <c r="G376" i="6"/>
  <c r="F376" i="6"/>
  <c r="E376" i="6"/>
  <c r="D376" i="6"/>
  <c r="C376" i="6"/>
  <c r="B376" i="6"/>
  <c r="A376" i="6"/>
  <c r="G375" i="6"/>
  <c r="F375" i="6"/>
  <c r="E375" i="6"/>
  <c r="D375" i="6"/>
  <c r="C375" i="6"/>
  <c r="B375" i="6"/>
  <c r="A375" i="6"/>
  <c r="G374" i="6"/>
  <c r="F374" i="6"/>
  <c r="E374" i="6"/>
  <c r="D374" i="6"/>
  <c r="C374" i="6"/>
  <c r="B374" i="6"/>
  <c r="A374" i="6"/>
  <c r="G373" i="6"/>
  <c r="F373" i="6"/>
  <c r="E373" i="6"/>
  <c r="D373" i="6"/>
  <c r="C373" i="6"/>
  <c r="B373" i="6"/>
  <c r="A373" i="6"/>
  <c r="G372" i="6"/>
  <c r="F372" i="6"/>
  <c r="E372" i="6"/>
  <c r="D372" i="6"/>
  <c r="C372" i="6"/>
  <c r="B372" i="6"/>
  <c r="A372" i="6"/>
  <c r="G371" i="6"/>
  <c r="F371" i="6"/>
  <c r="E371" i="6"/>
  <c r="D371" i="6"/>
  <c r="C371" i="6"/>
  <c r="B371" i="6"/>
  <c r="A371" i="6"/>
  <c r="G370" i="6"/>
  <c r="F370" i="6"/>
  <c r="E370" i="6"/>
  <c r="D370" i="6"/>
  <c r="C370" i="6"/>
  <c r="B370" i="6"/>
  <c r="A370" i="6"/>
  <c r="G369" i="6"/>
  <c r="F369" i="6"/>
  <c r="E369" i="6"/>
  <c r="D369" i="6"/>
  <c r="C369" i="6"/>
  <c r="B369" i="6"/>
  <c r="A369" i="6"/>
  <c r="G368" i="6"/>
  <c r="F368" i="6"/>
  <c r="E368" i="6"/>
  <c r="D368" i="6"/>
  <c r="C368" i="6"/>
  <c r="B368" i="6"/>
  <c r="A368" i="6"/>
  <c r="G367" i="6"/>
  <c r="F367" i="6"/>
  <c r="E367" i="6"/>
  <c r="D367" i="6"/>
  <c r="C367" i="6"/>
  <c r="B367" i="6"/>
  <c r="A367" i="6"/>
  <c r="G366" i="6"/>
  <c r="F366" i="6"/>
  <c r="E366" i="6"/>
  <c r="D366" i="6"/>
  <c r="C366" i="6"/>
  <c r="B366" i="6"/>
  <c r="A366" i="6"/>
  <c r="G365" i="6"/>
  <c r="F365" i="6"/>
  <c r="E365" i="6"/>
  <c r="D365" i="6"/>
  <c r="C365" i="6"/>
  <c r="B365" i="6"/>
  <c r="A365" i="6"/>
  <c r="G364" i="6"/>
  <c r="F364" i="6"/>
  <c r="E364" i="6"/>
  <c r="D364" i="6"/>
  <c r="C364" i="6"/>
  <c r="B364" i="6"/>
  <c r="A364" i="6"/>
  <c r="G363" i="6"/>
  <c r="F363" i="6"/>
  <c r="E363" i="6"/>
  <c r="D363" i="6"/>
  <c r="C363" i="6"/>
  <c r="B363" i="6"/>
  <c r="A363" i="6"/>
  <c r="G362" i="6"/>
  <c r="F362" i="6"/>
  <c r="E362" i="6"/>
  <c r="D362" i="6"/>
  <c r="C362" i="6"/>
  <c r="B362" i="6"/>
  <c r="A362" i="6"/>
  <c r="G361" i="6"/>
  <c r="F361" i="6"/>
  <c r="E361" i="6"/>
  <c r="D361" i="6"/>
  <c r="C361" i="6"/>
  <c r="B361" i="6"/>
  <c r="A361" i="6"/>
  <c r="G360" i="6"/>
  <c r="F360" i="6"/>
  <c r="E360" i="6"/>
  <c r="D360" i="6"/>
  <c r="C360" i="6"/>
  <c r="B360" i="6"/>
  <c r="A360" i="6"/>
  <c r="G359" i="6"/>
  <c r="F359" i="6"/>
  <c r="E359" i="6"/>
  <c r="D359" i="6"/>
  <c r="C359" i="6"/>
  <c r="B359" i="6"/>
  <c r="A359" i="6"/>
  <c r="G358" i="6"/>
  <c r="F358" i="6"/>
  <c r="E358" i="6"/>
  <c r="D358" i="6"/>
  <c r="C358" i="6"/>
  <c r="B358" i="6"/>
  <c r="A358" i="6"/>
  <c r="G357" i="6"/>
  <c r="F357" i="6"/>
  <c r="E357" i="6"/>
  <c r="D357" i="6"/>
  <c r="C357" i="6"/>
  <c r="B357" i="6"/>
  <c r="A357" i="6"/>
  <c r="G356" i="6"/>
  <c r="F356" i="6"/>
  <c r="E356" i="6"/>
  <c r="D356" i="6"/>
  <c r="C356" i="6"/>
  <c r="B356" i="6"/>
  <c r="A356" i="6"/>
  <c r="G355" i="6"/>
  <c r="F355" i="6"/>
  <c r="E355" i="6"/>
  <c r="D355" i="6"/>
  <c r="C355" i="6"/>
  <c r="B355" i="6"/>
  <c r="A355" i="6"/>
  <c r="G354" i="6"/>
  <c r="F354" i="6"/>
  <c r="E354" i="6"/>
  <c r="D354" i="6"/>
  <c r="C354" i="6"/>
  <c r="B354" i="6"/>
  <c r="A354" i="6"/>
  <c r="G353" i="6"/>
  <c r="F353" i="6"/>
  <c r="E353" i="6"/>
  <c r="D353" i="6"/>
  <c r="C353" i="6"/>
  <c r="B353" i="6"/>
  <c r="A353" i="6"/>
  <c r="G352" i="6"/>
  <c r="F352" i="6"/>
  <c r="E352" i="6"/>
  <c r="D352" i="6"/>
  <c r="C352" i="6"/>
  <c r="B352" i="6"/>
  <c r="A352" i="6"/>
  <c r="G351" i="6"/>
  <c r="F351" i="6"/>
  <c r="E351" i="6"/>
  <c r="D351" i="6"/>
  <c r="C351" i="6"/>
  <c r="B351" i="6"/>
  <c r="A351" i="6"/>
  <c r="G350" i="6"/>
  <c r="F350" i="6"/>
  <c r="E350" i="6"/>
  <c r="D350" i="6"/>
  <c r="C350" i="6"/>
  <c r="B350" i="6"/>
  <c r="A350" i="6"/>
  <c r="G349" i="6"/>
  <c r="F349" i="6"/>
  <c r="E349" i="6"/>
  <c r="D349" i="6"/>
  <c r="C349" i="6"/>
  <c r="B349" i="6"/>
  <c r="A349" i="6"/>
  <c r="G348" i="6"/>
  <c r="F348" i="6"/>
  <c r="E348" i="6"/>
  <c r="D348" i="6"/>
  <c r="C348" i="6"/>
  <c r="B348" i="6"/>
  <c r="A348" i="6"/>
  <c r="G347" i="6"/>
  <c r="F347" i="6"/>
  <c r="E347" i="6"/>
  <c r="D347" i="6"/>
  <c r="C347" i="6"/>
  <c r="B347" i="6"/>
  <c r="A347" i="6"/>
  <c r="G346" i="6"/>
  <c r="F346" i="6"/>
  <c r="E346" i="6"/>
  <c r="D346" i="6"/>
  <c r="C346" i="6"/>
  <c r="B346" i="6"/>
  <c r="A346" i="6"/>
  <c r="G345" i="6"/>
  <c r="F345" i="6"/>
  <c r="E345" i="6"/>
  <c r="D345" i="6"/>
  <c r="C345" i="6"/>
  <c r="B345" i="6"/>
  <c r="A345" i="6"/>
  <c r="G344" i="6"/>
  <c r="F344" i="6"/>
  <c r="E344" i="6"/>
  <c r="D344" i="6"/>
  <c r="C344" i="6"/>
  <c r="B344" i="6"/>
  <c r="A344" i="6"/>
  <c r="G343" i="6"/>
  <c r="F343" i="6"/>
  <c r="E343" i="6"/>
  <c r="D343" i="6"/>
  <c r="C343" i="6"/>
  <c r="B343" i="6"/>
  <c r="A343" i="6"/>
  <c r="G342" i="6"/>
  <c r="F342" i="6"/>
  <c r="E342" i="6"/>
  <c r="D342" i="6"/>
  <c r="C342" i="6"/>
  <c r="B342" i="6"/>
  <c r="A342" i="6"/>
  <c r="G341" i="6"/>
  <c r="F341" i="6"/>
  <c r="E341" i="6"/>
  <c r="D341" i="6"/>
  <c r="C341" i="6"/>
  <c r="B341" i="6"/>
  <c r="A341" i="6"/>
  <c r="G340" i="6"/>
  <c r="F340" i="6"/>
  <c r="E340" i="6"/>
  <c r="D340" i="6"/>
  <c r="C340" i="6"/>
  <c r="B340" i="6"/>
  <c r="A340" i="6"/>
  <c r="G339" i="6"/>
  <c r="F339" i="6"/>
  <c r="E339" i="6"/>
  <c r="D339" i="6"/>
  <c r="C339" i="6"/>
  <c r="B339" i="6"/>
  <c r="A339" i="6"/>
  <c r="G338" i="6"/>
  <c r="F338" i="6"/>
  <c r="E338" i="6"/>
  <c r="D338" i="6"/>
  <c r="C338" i="6"/>
  <c r="B338" i="6"/>
  <c r="A338" i="6"/>
  <c r="G337" i="6"/>
  <c r="F337" i="6"/>
  <c r="E337" i="6"/>
  <c r="D337" i="6"/>
  <c r="C337" i="6"/>
  <c r="B337" i="6"/>
  <c r="A337" i="6"/>
  <c r="G336" i="6"/>
  <c r="F336" i="6"/>
  <c r="E336" i="6"/>
  <c r="D336" i="6"/>
  <c r="C336" i="6"/>
  <c r="B336" i="6"/>
  <c r="A336" i="6"/>
  <c r="G335" i="6"/>
  <c r="F335" i="6"/>
  <c r="E335" i="6"/>
  <c r="D335" i="6"/>
  <c r="C335" i="6"/>
  <c r="B335" i="6"/>
  <c r="A335" i="6"/>
  <c r="G334" i="6"/>
  <c r="F334" i="6"/>
  <c r="E334" i="6"/>
  <c r="D334" i="6"/>
  <c r="C334" i="6"/>
  <c r="B334" i="6"/>
  <c r="A334" i="6"/>
  <c r="G333" i="6"/>
  <c r="F333" i="6"/>
  <c r="E333" i="6"/>
  <c r="D333" i="6"/>
  <c r="C333" i="6"/>
  <c r="B333" i="6"/>
  <c r="A333" i="6"/>
  <c r="G332" i="6"/>
  <c r="F332" i="6"/>
  <c r="E332" i="6"/>
  <c r="D332" i="6"/>
  <c r="C332" i="6"/>
  <c r="B332" i="6"/>
  <c r="A332" i="6"/>
  <c r="G331" i="6"/>
  <c r="F331" i="6"/>
  <c r="E331" i="6"/>
  <c r="D331" i="6"/>
  <c r="C331" i="6"/>
  <c r="B331" i="6"/>
  <c r="A331" i="6"/>
  <c r="G330" i="6"/>
  <c r="F330" i="6"/>
  <c r="E330" i="6"/>
  <c r="D330" i="6"/>
  <c r="C330" i="6"/>
  <c r="B330" i="6"/>
  <c r="A330" i="6"/>
  <c r="G329" i="6"/>
  <c r="F329" i="6"/>
  <c r="E329" i="6"/>
  <c r="D329" i="6"/>
  <c r="C329" i="6"/>
  <c r="B329" i="6"/>
  <c r="A329" i="6"/>
  <c r="G328" i="6"/>
  <c r="F328" i="6"/>
  <c r="E328" i="6"/>
  <c r="D328" i="6"/>
  <c r="C328" i="6"/>
  <c r="B328" i="6"/>
  <c r="A328" i="6"/>
  <c r="G327" i="6"/>
  <c r="F327" i="6"/>
  <c r="E327" i="6"/>
  <c r="D327" i="6"/>
  <c r="C327" i="6"/>
  <c r="B327" i="6"/>
  <c r="A327" i="6"/>
  <c r="G326" i="6"/>
  <c r="F326" i="6"/>
  <c r="E326" i="6"/>
  <c r="D326" i="6"/>
  <c r="C326" i="6"/>
  <c r="B326" i="6"/>
  <c r="A326" i="6"/>
  <c r="G325" i="6"/>
  <c r="F325" i="6"/>
  <c r="E325" i="6"/>
  <c r="D325" i="6"/>
  <c r="C325" i="6"/>
  <c r="B325" i="6"/>
  <c r="A325" i="6"/>
  <c r="G324" i="6"/>
  <c r="F324" i="6"/>
  <c r="E324" i="6"/>
  <c r="D324" i="6"/>
  <c r="C324" i="6"/>
  <c r="B324" i="6"/>
  <c r="A324" i="6"/>
  <c r="G323" i="6"/>
  <c r="F323" i="6"/>
  <c r="E323" i="6"/>
  <c r="D323" i="6"/>
  <c r="C323" i="6"/>
  <c r="B323" i="6"/>
  <c r="A323" i="6"/>
  <c r="G322" i="6"/>
  <c r="F322" i="6"/>
  <c r="E322" i="6"/>
  <c r="D322" i="6"/>
  <c r="C322" i="6"/>
  <c r="B322" i="6"/>
  <c r="A322" i="6"/>
  <c r="G321" i="6"/>
  <c r="F321" i="6"/>
  <c r="E321" i="6"/>
  <c r="D321" i="6"/>
  <c r="C321" i="6"/>
  <c r="B321" i="6"/>
  <c r="A321" i="6"/>
  <c r="G320" i="6"/>
  <c r="F320" i="6"/>
  <c r="E320" i="6"/>
  <c r="D320" i="6"/>
  <c r="C320" i="6"/>
  <c r="B320" i="6"/>
  <c r="A320" i="6"/>
  <c r="G319" i="6"/>
  <c r="F319" i="6"/>
  <c r="E319" i="6"/>
  <c r="D319" i="6"/>
  <c r="C319" i="6"/>
  <c r="B319" i="6"/>
  <c r="A319" i="6"/>
  <c r="G318" i="6"/>
  <c r="F318" i="6"/>
  <c r="E318" i="6"/>
  <c r="D318" i="6"/>
  <c r="C318" i="6"/>
  <c r="B318" i="6"/>
  <c r="A318" i="6"/>
  <c r="G317" i="6"/>
  <c r="F317" i="6"/>
  <c r="E317" i="6"/>
  <c r="D317" i="6"/>
  <c r="C317" i="6"/>
  <c r="B317" i="6"/>
  <c r="A317" i="6"/>
  <c r="G316" i="6"/>
  <c r="F316" i="6"/>
  <c r="E316" i="6"/>
  <c r="D316" i="6"/>
  <c r="C316" i="6"/>
  <c r="B316" i="6"/>
  <c r="A316" i="6"/>
  <c r="G315" i="6"/>
  <c r="F315" i="6"/>
  <c r="E315" i="6"/>
  <c r="D315" i="6"/>
  <c r="C315" i="6"/>
  <c r="B315" i="6"/>
  <c r="A315" i="6"/>
  <c r="G314" i="6"/>
  <c r="F314" i="6"/>
  <c r="E314" i="6"/>
  <c r="D314" i="6"/>
  <c r="C314" i="6"/>
  <c r="B314" i="6"/>
  <c r="A314" i="6"/>
  <c r="G313" i="6"/>
  <c r="F313" i="6"/>
  <c r="E313" i="6"/>
  <c r="D313" i="6"/>
  <c r="C313" i="6"/>
  <c r="B313" i="6"/>
  <c r="A313" i="6"/>
  <c r="G312" i="6"/>
  <c r="F312" i="6"/>
  <c r="E312" i="6"/>
  <c r="D312" i="6"/>
  <c r="C312" i="6"/>
  <c r="B312" i="6"/>
  <c r="A312" i="6"/>
  <c r="G311" i="6"/>
  <c r="F311" i="6"/>
  <c r="E311" i="6"/>
  <c r="D311" i="6"/>
  <c r="C311" i="6"/>
  <c r="B311" i="6"/>
  <c r="A311" i="6"/>
  <c r="G310" i="6"/>
  <c r="F310" i="6"/>
  <c r="E310" i="6"/>
  <c r="D310" i="6"/>
  <c r="C310" i="6"/>
  <c r="B310" i="6"/>
  <c r="A310" i="6"/>
  <c r="G309" i="6"/>
  <c r="F309" i="6"/>
  <c r="E309" i="6"/>
  <c r="D309" i="6"/>
  <c r="C309" i="6"/>
  <c r="B309" i="6"/>
  <c r="A309" i="6"/>
  <c r="G308" i="6"/>
  <c r="F308" i="6"/>
  <c r="E308" i="6"/>
  <c r="D308" i="6"/>
  <c r="C308" i="6"/>
  <c r="B308" i="6"/>
  <c r="A308" i="6"/>
  <c r="G307" i="6"/>
  <c r="F307" i="6"/>
  <c r="E307" i="6"/>
  <c r="D307" i="6"/>
  <c r="C307" i="6"/>
  <c r="B307" i="6"/>
  <c r="A307" i="6"/>
  <c r="G306" i="6"/>
  <c r="F306" i="6"/>
  <c r="E306" i="6"/>
  <c r="D306" i="6"/>
  <c r="C306" i="6"/>
  <c r="B306" i="6"/>
  <c r="A306" i="6"/>
  <c r="G305" i="6"/>
  <c r="F305" i="6"/>
  <c r="E305" i="6"/>
  <c r="D305" i="6"/>
  <c r="C305" i="6"/>
  <c r="B305" i="6"/>
  <c r="A305" i="6"/>
  <c r="G304" i="6"/>
  <c r="F304" i="6"/>
  <c r="E304" i="6"/>
  <c r="D304" i="6"/>
  <c r="C304" i="6"/>
  <c r="B304" i="6"/>
  <c r="A304" i="6"/>
  <c r="G303" i="6"/>
  <c r="F303" i="6"/>
  <c r="E303" i="6"/>
  <c r="D303" i="6"/>
  <c r="C303" i="6"/>
  <c r="B303" i="6"/>
  <c r="A303" i="6"/>
  <c r="G302" i="6"/>
  <c r="F302" i="6"/>
  <c r="E302" i="6"/>
  <c r="D302" i="6"/>
  <c r="C302" i="6"/>
  <c r="B302" i="6"/>
  <c r="A302" i="6"/>
  <c r="G301" i="6"/>
  <c r="F301" i="6"/>
  <c r="E301" i="6"/>
  <c r="D301" i="6"/>
  <c r="C301" i="6"/>
  <c r="B301" i="6"/>
  <c r="A301" i="6"/>
  <c r="G300" i="6"/>
  <c r="F300" i="6"/>
  <c r="E300" i="6"/>
  <c r="D300" i="6"/>
  <c r="C300" i="6"/>
  <c r="B300" i="6"/>
  <c r="A300" i="6"/>
  <c r="G299" i="6"/>
  <c r="F299" i="6"/>
  <c r="E299" i="6"/>
  <c r="D299" i="6"/>
  <c r="C299" i="6"/>
  <c r="B299" i="6"/>
  <c r="A299" i="6"/>
  <c r="G298" i="6"/>
  <c r="F298" i="6"/>
  <c r="E298" i="6"/>
  <c r="D298" i="6"/>
  <c r="C298" i="6"/>
  <c r="B298" i="6"/>
  <c r="A298" i="6"/>
  <c r="G297" i="6"/>
  <c r="F297" i="6"/>
  <c r="E297" i="6"/>
  <c r="D297" i="6"/>
  <c r="C297" i="6"/>
  <c r="B297" i="6"/>
  <c r="A297" i="6"/>
  <c r="G296" i="6"/>
  <c r="F296" i="6"/>
  <c r="E296" i="6"/>
  <c r="D296" i="6"/>
  <c r="C296" i="6"/>
  <c r="B296" i="6"/>
  <c r="A296" i="6"/>
  <c r="G295" i="6"/>
  <c r="F295" i="6"/>
  <c r="E295" i="6"/>
  <c r="D295" i="6"/>
  <c r="C295" i="6"/>
  <c r="B295" i="6"/>
  <c r="A295" i="6"/>
  <c r="G294" i="6"/>
  <c r="F294" i="6"/>
  <c r="E294" i="6"/>
  <c r="D294" i="6"/>
  <c r="C294" i="6"/>
  <c r="B294" i="6"/>
  <c r="A294" i="6"/>
  <c r="G293" i="6"/>
  <c r="F293" i="6"/>
  <c r="E293" i="6"/>
  <c r="D293" i="6"/>
  <c r="C293" i="6"/>
  <c r="B293" i="6"/>
  <c r="A293" i="6"/>
  <c r="G292" i="6"/>
  <c r="F292" i="6"/>
  <c r="E292" i="6"/>
  <c r="D292" i="6"/>
  <c r="C292" i="6"/>
  <c r="B292" i="6"/>
  <c r="A292" i="6"/>
  <c r="G291" i="6"/>
  <c r="F291" i="6"/>
  <c r="E291" i="6"/>
  <c r="D291" i="6"/>
  <c r="C291" i="6"/>
  <c r="B291" i="6"/>
  <c r="A291" i="6"/>
  <c r="G290" i="6"/>
  <c r="F290" i="6"/>
  <c r="E290" i="6"/>
  <c r="D290" i="6"/>
  <c r="C290" i="6"/>
  <c r="B290" i="6"/>
  <c r="A290" i="6"/>
  <c r="G289" i="6"/>
  <c r="F289" i="6"/>
  <c r="E289" i="6"/>
  <c r="D289" i="6"/>
  <c r="C289" i="6"/>
  <c r="B289" i="6"/>
  <c r="A289" i="6"/>
  <c r="G288" i="6"/>
  <c r="F288" i="6"/>
  <c r="E288" i="6"/>
  <c r="D288" i="6"/>
  <c r="C288" i="6"/>
  <c r="B288" i="6"/>
  <c r="A288" i="6"/>
  <c r="G287" i="6"/>
  <c r="F287" i="6"/>
  <c r="E287" i="6"/>
  <c r="D287" i="6"/>
  <c r="C287" i="6"/>
  <c r="B287" i="6"/>
  <c r="A287" i="6"/>
  <c r="G286" i="6"/>
  <c r="F286" i="6"/>
  <c r="E286" i="6"/>
  <c r="D286" i="6"/>
  <c r="C286" i="6"/>
  <c r="B286" i="6"/>
  <c r="A286" i="6"/>
  <c r="G285" i="6"/>
  <c r="F285" i="6"/>
  <c r="E285" i="6"/>
  <c r="D285" i="6"/>
  <c r="C285" i="6"/>
  <c r="B285" i="6"/>
  <c r="A285" i="6"/>
  <c r="G284" i="6"/>
  <c r="F284" i="6"/>
  <c r="E284" i="6"/>
  <c r="D284" i="6"/>
  <c r="C284" i="6"/>
  <c r="B284" i="6"/>
  <c r="A284" i="6"/>
  <c r="G283" i="6"/>
  <c r="F283" i="6"/>
  <c r="E283" i="6"/>
  <c r="D283" i="6"/>
  <c r="C283" i="6"/>
  <c r="B283" i="6"/>
  <c r="A283" i="6"/>
  <c r="G282" i="6"/>
  <c r="F282" i="6"/>
  <c r="E282" i="6"/>
  <c r="D282" i="6"/>
  <c r="C282" i="6"/>
  <c r="B282" i="6"/>
  <c r="A282" i="6"/>
  <c r="G281" i="6"/>
  <c r="F281" i="6"/>
  <c r="E281" i="6"/>
  <c r="D281" i="6"/>
  <c r="C281" i="6"/>
  <c r="B281" i="6"/>
  <c r="A281" i="6"/>
  <c r="G280" i="6"/>
  <c r="F280" i="6"/>
  <c r="E280" i="6"/>
  <c r="D280" i="6"/>
  <c r="C280" i="6"/>
  <c r="B280" i="6"/>
  <c r="A280" i="6"/>
  <c r="G279" i="6"/>
  <c r="F279" i="6"/>
  <c r="E279" i="6"/>
  <c r="D279" i="6"/>
  <c r="C279" i="6"/>
  <c r="B279" i="6"/>
  <c r="A279" i="6"/>
  <c r="G278" i="6"/>
  <c r="F278" i="6"/>
  <c r="E278" i="6"/>
  <c r="D278" i="6"/>
  <c r="C278" i="6"/>
  <c r="B278" i="6"/>
  <c r="A278" i="6"/>
  <c r="G277" i="6"/>
  <c r="F277" i="6"/>
  <c r="E277" i="6"/>
  <c r="D277" i="6"/>
  <c r="C277" i="6"/>
  <c r="B277" i="6"/>
  <c r="A277" i="6"/>
  <c r="G276" i="6"/>
  <c r="F276" i="6"/>
  <c r="E276" i="6"/>
  <c r="D276" i="6"/>
  <c r="C276" i="6"/>
  <c r="B276" i="6"/>
  <c r="A276" i="6"/>
  <c r="G275" i="6"/>
  <c r="F275" i="6"/>
  <c r="E275" i="6"/>
  <c r="D275" i="6"/>
  <c r="C275" i="6"/>
  <c r="B275" i="6"/>
  <c r="A275" i="6"/>
  <c r="G274" i="6"/>
  <c r="F274" i="6"/>
  <c r="E274" i="6"/>
  <c r="D274" i="6"/>
  <c r="C274" i="6"/>
  <c r="B274" i="6"/>
  <c r="A274" i="6"/>
  <c r="G273" i="6"/>
  <c r="F273" i="6"/>
  <c r="E273" i="6"/>
  <c r="D273" i="6"/>
  <c r="C273" i="6"/>
  <c r="B273" i="6"/>
  <c r="A273" i="6"/>
  <c r="G272" i="6"/>
  <c r="F272" i="6"/>
  <c r="E272" i="6"/>
  <c r="D272" i="6"/>
  <c r="C272" i="6"/>
  <c r="B272" i="6"/>
  <c r="A272" i="6"/>
  <c r="G271" i="6"/>
  <c r="F271" i="6"/>
  <c r="E271" i="6"/>
  <c r="D271" i="6"/>
  <c r="C271" i="6"/>
  <c r="B271" i="6"/>
  <c r="A271" i="6"/>
  <c r="G270" i="6"/>
  <c r="F270" i="6"/>
  <c r="E270" i="6"/>
  <c r="D270" i="6"/>
  <c r="C270" i="6"/>
  <c r="B270" i="6"/>
  <c r="A270" i="6"/>
  <c r="G269" i="6"/>
  <c r="F269" i="6"/>
  <c r="E269" i="6"/>
  <c r="D269" i="6"/>
  <c r="C269" i="6"/>
  <c r="B269" i="6"/>
  <c r="A269" i="6"/>
  <c r="G268" i="6"/>
  <c r="F268" i="6"/>
  <c r="E268" i="6"/>
  <c r="D268" i="6"/>
  <c r="C268" i="6"/>
  <c r="B268" i="6"/>
  <c r="A268" i="6"/>
  <c r="G267" i="6"/>
  <c r="F267" i="6"/>
  <c r="E267" i="6"/>
  <c r="D267" i="6"/>
  <c r="C267" i="6"/>
  <c r="B267" i="6"/>
  <c r="A267" i="6"/>
  <c r="G266" i="6"/>
  <c r="F266" i="6"/>
  <c r="E266" i="6"/>
  <c r="D266" i="6"/>
  <c r="C266" i="6"/>
  <c r="B266" i="6"/>
  <c r="A266" i="6"/>
  <c r="G265" i="6"/>
  <c r="F265" i="6"/>
  <c r="E265" i="6"/>
  <c r="D265" i="6"/>
  <c r="C265" i="6"/>
  <c r="B265" i="6"/>
  <c r="A265" i="6"/>
  <c r="G264" i="6"/>
  <c r="F264" i="6"/>
  <c r="E264" i="6"/>
  <c r="D264" i="6"/>
  <c r="C264" i="6"/>
  <c r="B264" i="6"/>
  <c r="A264" i="6"/>
  <c r="G263" i="6"/>
  <c r="F263" i="6"/>
  <c r="E263" i="6"/>
  <c r="D263" i="6"/>
  <c r="C263" i="6"/>
  <c r="B263" i="6"/>
  <c r="A263" i="6"/>
  <c r="G262" i="6"/>
  <c r="F262" i="6"/>
  <c r="E262" i="6"/>
  <c r="D262" i="6"/>
  <c r="C262" i="6"/>
  <c r="B262" i="6"/>
  <c r="A262" i="6"/>
  <c r="G261" i="6"/>
  <c r="F261" i="6"/>
  <c r="E261" i="6"/>
  <c r="D261" i="6"/>
  <c r="C261" i="6"/>
  <c r="B261" i="6"/>
  <c r="A261" i="6"/>
  <c r="G260" i="6"/>
  <c r="F260" i="6"/>
  <c r="E260" i="6"/>
  <c r="D260" i="6"/>
  <c r="C260" i="6"/>
  <c r="B260" i="6"/>
  <c r="A260" i="6"/>
  <c r="G259" i="6"/>
  <c r="F259" i="6"/>
  <c r="E259" i="6"/>
  <c r="D259" i="6"/>
  <c r="C259" i="6"/>
  <c r="B259" i="6"/>
  <c r="A259" i="6"/>
  <c r="G258" i="6"/>
  <c r="F258" i="6"/>
  <c r="E258" i="6"/>
  <c r="D258" i="6"/>
  <c r="C258" i="6"/>
  <c r="B258" i="6"/>
  <c r="A258" i="6"/>
  <c r="G257" i="6"/>
  <c r="F257" i="6"/>
  <c r="E257" i="6"/>
  <c r="D257" i="6"/>
  <c r="C257" i="6"/>
  <c r="B257" i="6"/>
  <c r="A257" i="6"/>
  <c r="G256" i="6"/>
  <c r="F256" i="6"/>
  <c r="E256" i="6"/>
  <c r="D256" i="6"/>
  <c r="C256" i="6"/>
  <c r="B256" i="6"/>
  <c r="A256" i="6"/>
  <c r="G255" i="6"/>
  <c r="F255" i="6"/>
  <c r="E255" i="6"/>
  <c r="D255" i="6"/>
  <c r="C255" i="6"/>
  <c r="B255" i="6"/>
  <c r="A255" i="6"/>
  <c r="G254" i="6"/>
  <c r="F254" i="6"/>
  <c r="E254" i="6"/>
  <c r="D254" i="6"/>
  <c r="C254" i="6"/>
  <c r="B254" i="6"/>
  <c r="A254" i="6"/>
  <c r="G253" i="6"/>
  <c r="F253" i="6"/>
  <c r="E253" i="6"/>
  <c r="D253" i="6"/>
  <c r="C253" i="6"/>
  <c r="B253" i="6"/>
  <c r="A253" i="6"/>
  <c r="G252" i="6"/>
  <c r="F252" i="6"/>
  <c r="E252" i="6"/>
  <c r="D252" i="6"/>
  <c r="C252" i="6"/>
  <c r="B252" i="6"/>
  <c r="A252" i="6"/>
  <c r="G251" i="6"/>
  <c r="F251" i="6"/>
  <c r="E251" i="6"/>
  <c r="D251" i="6"/>
  <c r="C251" i="6"/>
  <c r="B251" i="6"/>
  <c r="A251" i="6"/>
  <c r="G250" i="6"/>
  <c r="F250" i="6"/>
  <c r="E250" i="6"/>
  <c r="D250" i="6"/>
  <c r="C250" i="6"/>
  <c r="B250" i="6"/>
  <c r="A250" i="6"/>
  <c r="G249" i="6"/>
  <c r="F249" i="6"/>
  <c r="E249" i="6"/>
  <c r="D249" i="6"/>
  <c r="C249" i="6"/>
  <c r="B249" i="6"/>
  <c r="A249" i="6"/>
  <c r="G248" i="6"/>
  <c r="F248" i="6"/>
  <c r="E248" i="6"/>
  <c r="D248" i="6"/>
  <c r="C248" i="6"/>
  <c r="B248" i="6"/>
  <c r="A248" i="6"/>
  <c r="G247" i="6"/>
  <c r="F247" i="6"/>
  <c r="E247" i="6"/>
  <c r="D247" i="6"/>
  <c r="C247" i="6"/>
  <c r="B247" i="6"/>
  <c r="A247" i="6"/>
  <c r="G246" i="6"/>
  <c r="F246" i="6"/>
  <c r="E246" i="6"/>
  <c r="D246" i="6"/>
  <c r="C246" i="6"/>
  <c r="B246" i="6"/>
  <c r="A246" i="6"/>
  <c r="G245" i="6"/>
  <c r="F245" i="6"/>
  <c r="E245" i="6"/>
  <c r="D245" i="6"/>
  <c r="C245" i="6"/>
  <c r="B245" i="6"/>
  <c r="A245" i="6"/>
  <c r="G244" i="6"/>
  <c r="F244" i="6"/>
  <c r="E244" i="6"/>
  <c r="D244" i="6"/>
  <c r="C244" i="6"/>
  <c r="B244" i="6"/>
  <c r="A244" i="6"/>
  <c r="G243" i="6"/>
  <c r="F243" i="6"/>
  <c r="E243" i="6"/>
  <c r="D243" i="6"/>
  <c r="C243" i="6"/>
  <c r="B243" i="6"/>
  <c r="A243" i="6"/>
  <c r="G242" i="6"/>
  <c r="F242" i="6"/>
  <c r="E242" i="6"/>
  <c r="D242" i="6"/>
  <c r="C242" i="6"/>
  <c r="B242" i="6"/>
  <c r="A242" i="6"/>
  <c r="G241" i="6"/>
  <c r="F241" i="6"/>
  <c r="E241" i="6"/>
  <c r="D241" i="6"/>
  <c r="C241" i="6"/>
  <c r="B241" i="6"/>
  <c r="A241" i="6"/>
  <c r="G240" i="6"/>
  <c r="F240" i="6"/>
  <c r="E240" i="6"/>
  <c r="D240" i="6"/>
  <c r="C240" i="6"/>
  <c r="B240" i="6"/>
  <c r="A240" i="6"/>
  <c r="G239" i="6"/>
  <c r="F239" i="6"/>
  <c r="E239" i="6"/>
  <c r="D239" i="6"/>
  <c r="C239" i="6"/>
  <c r="B239" i="6"/>
  <c r="A239" i="6"/>
  <c r="G238" i="6"/>
  <c r="F238" i="6"/>
  <c r="E238" i="6"/>
  <c r="D238" i="6"/>
  <c r="C238" i="6"/>
  <c r="B238" i="6"/>
  <c r="A238" i="6"/>
  <c r="G237" i="6"/>
  <c r="F237" i="6"/>
  <c r="E237" i="6"/>
  <c r="D237" i="6"/>
  <c r="C237" i="6"/>
  <c r="B237" i="6"/>
  <c r="A237" i="6"/>
  <c r="G236" i="6"/>
  <c r="F236" i="6"/>
  <c r="E236" i="6"/>
  <c r="D236" i="6"/>
  <c r="C236" i="6"/>
  <c r="B236" i="6"/>
  <c r="A236" i="6"/>
  <c r="G235" i="6"/>
  <c r="F235" i="6"/>
  <c r="E235" i="6"/>
  <c r="D235" i="6"/>
  <c r="C235" i="6"/>
  <c r="B235" i="6"/>
  <c r="A235" i="6"/>
  <c r="G234" i="6"/>
  <c r="F234" i="6"/>
  <c r="E234" i="6"/>
  <c r="D234" i="6"/>
  <c r="C234" i="6"/>
  <c r="B234" i="6"/>
  <c r="A234" i="6"/>
  <c r="G233" i="6"/>
  <c r="F233" i="6"/>
  <c r="E233" i="6"/>
  <c r="D233" i="6"/>
  <c r="C233" i="6"/>
  <c r="B233" i="6"/>
  <c r="A233" i="6"/>
  <c r="G232" i="6"/>
  <c r="F232" i="6"/>
  <c r="E232" i="6"/>
  <c r="D232" i="6"/>
  <c r="C232" i="6"/>
  <c r="B232" i="6"/>
  <c r="A232" i="6"/>
  <c r="G231" i="6"/>
  <c r="F231" i="6"/>
  <c r="E231" i="6"/>
  <c r="D231" i="6"/>
  <c r="C231" i="6"/>
  <c r="B231" i="6"/>
  <c r="A231" i="6"/>
  <c r="G230" i="6"/>
  <c r="F230" i="6"/>
  <c r="E230" i="6"/>
  <c r="D230" i="6"/>
  <c r="C230" i="6"/>
  <c r="B230" i="6"/>
  <c r="A230" i="6"/>
  <c r="G229" i="6"/>
  <c r="F229" i="6"/>
  <c r="E229" i="6"/>
  <c r="D229" i="6"/>
  <c r="C229" i="6"/>
  <c r="B229" i="6"/>
  <c r="A229" i="6"/>
  <c r="G228" i="6"/>
  <c r="F228" i="6"/>
  <c r="E228" i="6"/>
  <c r="D228" i="6"/>
  <c r="C228" i="6"/>
  <c r="B228" i="6"/>
  <c r="A228" i="6"/>
  <c r="G227" i="6"/>
  <c r="F227" i="6"/>
  <c r="E227" i="6"/>
  <c r="D227" i="6"/>
  <c r="C227" i="6"/>
  <c r="B227" i="6"/>
  <c r="A227" i="6"/>
  <c r="G226" i="6"/>
  <c r="F226" i="6"/>
  <c r="E226" i="6"/>
  <c r="D226" i="6"/>
  <c r="C226" i="6"/>
  <c r="B226" i="6"/>
  <c r="A226" i="6"/>
  <c r="G225" i="6"/>
  <c r="F225" i="6"/>
  <c r="E225" i="6"/>
  <c r="D225" i="6"/>
  <c r="C225" i="6"/>
  <c r="B225" i="6"/>
  <c r="A225" i="6"/>
  <c r="G224" i="6"/>
  <c r="F224" i="6"/>
  <c r="E224" i="6"/>
  <c r="D224" i="6"/>
  <c r="C224" i="6"/>
  <c r="B224" i="6"/>
  <c r="A224" i="6"/>
  <c r="G223" i="6"/>
  <c r="F223" i="6"/>
  <c r="E223" i="6"/>
  <c r="D223" i="6"/>
  <c r="C223" i="6"/>
  <c r="B223" i="6"/>
  <c r="A223" i="6"/>
  <c r="G222" i="6"/>
  <c r="F222" i="6"/>
  <c r="E222" i="6"/>
  <c r="D222" i="6"/>
  <c r="C222" i="6"/>
  <c r="B222" i="6"/>
  <c r="A222" i="6"/>
  <c r="G221" i="6"/>
  <c r="F221" i="6"/>
  <c r="E221" i="6"/>
  <c r="D221" i="6"/>
  <c r="C221" i="6"/>
  <c r="B221" i="6"/>
  <c r="A221" i="6"/>
  <c r="G220" i="6"/>
  <c r="F220" i="6"/>
  <c r="E220" i="6"/>
  <c r="D220" i="6"/>
  <c r="C220" i="6"/>
  <c r="B220" i="6"/>
  <c r="A220" i="6"/>
  <c r="G219" i="6"/>
  <c r="F219" i="6"/>
  <c r="E219" i="6"/>
  <c r="D219" i="6"/>
  <c r="C219" i="6"/>
  <c r="B219" i="6"/>
  <c r="A219" i="6"/>
  <c r="G218" i="6"/>
  <c r="F218" i="6"/>
  <c r="E218" i="6"/>
  <c r="D218" i="6"/>
  <c r="C218" i="6"/>
  <c r="B218" i="6"/>
  <c r="A218" i="6"/>
  <c r="G217" i="6"/>
  <c r="F217" i="6"/>
  <c r="E217" i="6"/>
  <c r="D217" i="6"/>
  <c r="C217" i="6"/>
  <c r="B217" i="6"/>
  <c r="A217" i="6"/>
  <c r="G216" i="6"/>
  <c r="F216" i="6"/>
  <c r="E216" i="6"/>
  <c r="D216" i="6"/>
  <c r="C216" i="6"/>
  <c r="B216" i="6"/>
  <c r="A216" i="6"/>
  <c r="G215" i="6"/>
  <c r="F215" i="6"/>
  <c r="E215" i="6"/>
  <c r="D215" i="6"/>
  <c r="C215" i="6"/>
  <c r="B215" i="6"/>
  <c r="A215" i="6"/>
  <c r="G214" i="6"/>
  <c r="F214" i="6"/>
  <c r="E214" i="6"/>
  <c r="D214" i="6"/>
  <c r="C214" i="6"/>
  <c r="B214" i="6"/>
  <c r="A214" i="6"/>
  <c r="G213" i="6"/>
  <c r="F213" i="6"/>
  <c r="E213" i="6"/>
  <c r="D213" i="6"/>
  <c r="C213" i="6"/>
  <c r="B213" i="6"/>
  <c r="A213" i="6"/>
  <c r="G212" i="6"/>
  <c r="F212" i="6"/>
  <c r="E212" i="6"/>
  <c r="D212" i="6"/>
  <c r="C212" i="6"/>
  <c r="B212" i="6"/>
  <c r="A212" i="6"/>
  <c r="G211" i="6"/>
  <c r="F211" i="6"/>
  <c r="E211" i="6"/>
  <c r="D211" i="6"/>
  <c r="C211" i="6"/>
  <c r="B211" i="6"/>
  <c r="A211" i="6"/>
  <c r="G210" i="6"/>
  <c r="F210" i="6"/>
  <c r="E210" i="6"/>
  <c r="D210" i="6"/>
  <c r="C210" i="6"/>
  <c r="B210" i="6"/>
  <c r="A210" i="6"/>
  <c r="G209" i="6"/>
  <c r="F209" i="6"/>
  <c r="E209" i="6"/>
  <c r="D209" i="6"/>
  <c r="C209" i="6"/>
  <c r="B209" i="6"/>
  <c r="A209" i="6"/>
  <c r="G208" i="6"/>
  <c r="F208" i="6"/>
  <c r="E208" i="6"/>
  <c r="D208" i="6"/>
  <c r="C208" i="6"/>
  <c r="B208" i="6"/>
  <c r="A208" i="6"/>
  <c r="G207" i="6"/>
  <c r="F207" i="6"/>
  <c r="E207" i="6"/>
  <c r="D207" i="6"/>
  <c r="C207" i="6"/>
  <c r="B207" i="6"/>
  <c r="A207" i="6"/>
  <c r="G206" i="6"/>
  <c r="F206" i="6"/>
  <c r="E206" i="6"/>
  <c r="D206" i="6"/>
  <c r="C206" i="6"/>
  <c r="B206" i="6"/>
  <c r="A206" i="6"/>
  <c r="G205" i="6"/>
  <c r="F205" i="6"/>
  <c r="E205" i="6"/>
  <c r="D205" i="6"/>
  <c r="C205" i="6"/>
  <c r="B205" i="6"/>
  <c r="A205" i="6"/>
  <c r="G204" i="6"/>
  <c r="F204" i="6"/>
  <c r="E204" i="6"/>
  <c r="D204" i="6"/>
  <c r="C204" i="6"/>
  <c r="B204" i="6"/>
  <c r="A204" i="6"/>
  <c r="G203" i="6"/>
  <c r="F203" i="6"/>
  <c r="E203" i="6"/>
  <c r="D203" i="6"/>
  <c r="C203" i="6"/>
  <c r="B203" i="6"/>
  <c r="A203" i="6"/>
  <c r="G202" i="6"/>
  <c r="F202" i="6"/>
  <c r="E202" i="6"/>
  <c r="D202" i="6"/>
  <c r="C202" i="6"/>
  <c r="B202" i="6"/>
  <c r="A202" i="6"/>
  <c r="G201" i="6"/>
  <c r="F201" i="6"/>
  <c r="E201" i="6"/>
  <c r="D201" i="6"/>
  <c r="C201" i="6"/>
  <c r="B201" i="6"/>
  <c r="A201" i="6"/>
  <c r="G200" i="6"/>
  <c r="F200" i="6"/>
  <c r="E200" i="6"/>
  <c r="D200" i="6"/>
  <c r="C200" i="6"/>
  <c r="B200" i="6"/>
  <c r="A200" i="6"/>
  <c r="G199" i="6"/>
  <c r="F199" i="6"/>
  <c r="E199" i="6"/>
  <c r="D199" i="6"/>
  <c r="C199" i="6"/>
  <c r="B199" i="6"/>
  <c r="A199" i="6"/>
  <c r="G198" i="6"/>
  <c r="F198" i="6"/>
  <c r="E198" i="6"/>
  <c r="D198" i="6"/>
  <c r="C198" i="6"/>
  <c r="B198" i="6"/>
  <c r="A198" i="6"/>
  <c r="G197" i="6"/>
  <c r="F197" i="6"/>
  <c r="E197" i="6"/>
  <c r="D197" i="6"/>
  <c r="C197" i="6"/>
  <c r="B197" i="6"/>
  <c r="A197" i="6"/>
  <c r="G196" i="6"/>
  <c r="F196" i="6"/>
  <c r="E196" i="6"/>
  <c r="D196" i="6"/>
  <c r="C196" i="6"/>
  <c r="B196" i="6"/>
  <c r="A196" i="6"/>
  <c r="G195" i="6"/>
  <c r="F195" i="6"/>
  <c r="E195" i="6"/>
  <c r="D195" i="6"/>
  <c r="C195" i="6"/>
  <c r="B195" i="6"/>
  <c r="A195" i="6"/>
  <c r="G194" i="6"/>
  <c r="F194" i="6"/>
  <c r="E194" i="6"/>
  <c r="D194" i="6"/>
  <c r="C194" i="6"/>
  <c r="B194" i="6"/>
  <c r="A194" i="6"/>
  <c r="G193" i="6"/>
  <c r="F193" i="6"/>
  <c r="E193" i="6"/>
  <c r="D193" i="6"/>
  <c r="C193" i="6"/>
  <c r="B193" i="6"/>
  <c r="A193" i="6"/>
  <c r="G192" i="6"/>
  <c r="F192" i="6"/>
  <c r="E192" i="6"/>
  <c r="D192" i="6"/>
  <c r="C192" i="6"/>
  <c r="B192" i="6"/>
  <c r="A192" i="6"/>
  <c r="G191" i="6"/>
  <c r="F191" i="6"/>
  <c r="E191" i="6"/>
  <c r="D191" i="6"/>
  <c r="C191" i="6"/>
  <c r="B191" i="6"/>
  <c r="A191" i="6"/>
  <c r="G190" i="6"/>
  <c r="F190" i="6"/>
  <c r="E190" i="6"/>
  <c r="D190" i="6"/>
  <c r="C190" i="6"/>
  <c r="B190" i="6"/>
  <c r="A190" i="6"/>
  <c r="G189" i="6"/>
  <c r="F189" i="6"/>
  <c r="E189" i="6"/>
  <c r="D189" i="6"/>
  <c r="C189" i="6"/>
  <c r="B189" i="6"/>
  <c r="A189" i="6"/>
  <c r="G188" i="6"/>
  <c r="F188" i="6"/>
  <c r="E188" i="6"/>
  <c r="D188" i="6"/>
  <c r="C188" i="6"/>
  <c r="B188" i="6"/>
  <c r="A188" i="6"/>
  <c r="G187" i="6"/>
  <c r="F187" i="6"/>
  <c r="E187" i="6"/>
  <c r="D187" i="6"/>
  <c r="C187" i="6"/>
  <c r="B187" i="6"/>
  <c r="A187" i="6"/>
  <c r="G186" i="6"/>
  <c r="F186" i="6"/>
  <c r="E186" i="6"/>
  <c r="D186" i="6"/>
  <c r="C186" i="6"/>
  <c r="B186" i="6"/>
  <c r="A186" i="6"/>
  <c r="G185" i="6"/>
  <c r="F185" i="6"/>
  <c r="E185" i="6"/>
  <c r="D185" i="6"/>
  <c r="C185" i="6"/>
  <c r="B185" i="6"/>
  <c r="A185" i="6"/>
  <c r="G184" i="6"/>
  <c r="F184" i="6"/>
  <c r="E184" i="6"/>
  <c r="D184" i="6"/>
  <c r="C184" i="6"/>
  <c r="B184" i="6"/>
  <c r="A184" i="6"/>
  <c r="G183" i="6"/>
  <c r="F183" i="6"/>
  <c r="E183" i="6"/>
  <c r="D183" i="6"/>
  <c r="C183" i="6"/>
  <c r="B183" i="6"/>
  <c r="A183" i="6"/>
  <c r="G182" i="6"/>
  <c r="F182" i="6"/>
  <c r="E182" i="6"/>
  <c r="D182" i="6"/>
  <c r="C182" i="6"/>
  <c r="B182" i="6"/>
  <c r="A182" i="6"/>
  <c r="G181" i="6"/>
  <c r="F181" i="6"/>
  <c r="E181" i="6"/>
  <c r="D181" i="6"/>
  <c r="C181" i="6"/>
  <c r="B181" i="6"/>
  <c r="A181" i="6"/>
  <c r="G180" i="6"/>
  <c r="F180" i="6"/>
  <c r="E180" i="6"/>
  <c r="D180" i="6"/>
  <c r="C180" i="6"/>
  <c r="B180" i="6"/>
  <c r="A180" i="6"/>
  <c r="G179" i="6"/>
  <c r="F179" i="6"/>
  <c r="E179" i="6"/>
  <c r="D179" i="6"/>
  <c r="C179" i="6"/>
  <c r="B179" i="6"/>
  <c r="A179" i="6"/>
  <c r="G178" i="6"/>
  <c r="F178" i="6"/>
  <c r="E178" i="6"/>
  <c r="D178" i="6"/>
  <c r="C178" i="6"/>
  <c r="B178" i="6"/>
  <c r="A178" i="6"/>
  <c r="G177" i="6"/>
  <c r="F177" i="6"/>
  <c r="E177" i="6"/>
  <c r="D177" i="6"/>
  <c r="C177" i="6"/>
  <c r="B177" i="6"/>
  <c r="A177" i="6"/>
  <c r="G176" i="6"/>
  <c r="F176" i="6"/>
  <c r="E176" i="6"/>
  <c r="D176" i="6"/>
  <c r="C176" i="6"/>
  <c r="B176" i="6"/>
  <c r="A176" i="6"/>
  <c r="G175" i="6"/>
  <c r="F175" i="6"/>
  <c r="E175" i="6"/>
  <c r="D175" i="6"/>
  <c r="C175" i="6"/>
  <c r="B175" i="6"/>
  <c r="A175" i="6"/>
  <c r="G174" i="6"/>
  <c r="F174" i="6"/>
  <c r="E174" i="6"/>
  <c r="D174" i="6"/>
  <c r="C174" i="6"/>
  <c r="B174" i="6"/>
  <c r="A174" i="6"/>
  <c r="G173" i="6"/>
  <c r="F173" i="6"/>
  <c r="E173" i="6"/>
  <c r="D173" i="6"/>
  <c r="C173" i="6"/>
  <c r="B173" i="6"/>
  <c r="A173" i="6"/>
  <c r="G172" i="6"/>
  <c r="F172" i="6"/>
  <c r="E172" i="6"/>
  <c r="D172" i="6"/>
  <c r="C172" i="6"/>
  <c r="B172" i="6"/>
  <c r="A172" i="6"/>
  <c r="G171" i="6"/>
  <c r="F171" i="6"/>
  <c r="E171" i="6"/>
  <c r="D171" i="6"/>
  <c r="C171" i="6"/>
  <c r="B171" i="6"/>
  <c r="A171" i="6"/>
  <c r="G170" i="6"/>
  <c r="F170" i="6"/>
  <c r="E170" i="6"/>
  <c r="D170" i="6"/>
  <c r="C170" i="6"/>
  <c r="B170" i="6"/>
  <c r="A170" i="6"/>
  <c r="G169" i="6"/>
  <c r="F169" i="6"/>
  <c r="E169" i="6"/>
  <c r="D169" i="6"/>
  <c r="C169" i="6"/>
  <c r="B169" i="6"/>
  <c r="A169" i="6"/>
  <c r="G168" i="6"/>
  <c r="F168" i="6"/>
  <c r="E168" i="6"/>
  <c r="D168" i="6"/>
  <c r="C168" i="6"/>
  <c r="B168" i="6"/>
  <c r="A168" i="6"/>
  <c r="G167" i="6"/>
  <c r="F167" i="6"/>
  <c r="E167" i="6"/>
  <c r="D167" i="6"/>
  <c r="C167" i="6"/>
  <c r="B167" i="6"/>
  <c r="A167" i="6"/>
  <c r="G166" i="6"/>
  <c r="F166" i="6"/>
  <c r="E166" i="6"/>
  <c r="D166" i="6"/>
  <c r="C166" i="6"/>
  <c r="B166" i="6"/>
  <c r="A166" i="6"/>
  <c r="G165" i="6"/>
  <c r="F165" i="6"/>
  <c r="E165" i="6"/>
  <c r="D165" i="6"/>
  <c r="C165" i="6"/>
  <c r="B165" i="6"/>
  <c r="A165" i="6"/>
  <c r="G164" i="6"/>
  <c r="F164" i="6"/>
  <c r="E164" i="6"/>
  <c r="D164" i="6"/>
  <c r="C164" i="6"/>
  <c r="B164" i="6"/>
  <c r="A164" i="6"/>
  <c r="G163" i="6"/>
  <c r="F163" i="6"/>
  <c r="E163" i="6"/>
  <c r="D163" i="6"/>
  <c r="C163" i="6"/>
  <c r="B163" i="6"/>
  <c r="A163" i="6"/>
  <c r="G162" i="6"/>
  <c r="F162" i="6"/>
  <c r="E162" i="6"/>
  <c r="D162" i="6"/>
  <c r="C162" i="6"/>
  <c r="B162" i="6"/>
  <c r="A162" i="6"/>
  <c r="G161" i="6"/>
  <c r="F161" i="6"/>
  <c r="E161" i="6"/>
  <c r="D161" i="6"/>
  <c r="C161" i="6"/>
  <c r="B161" i="6"/>
  <c r="A161" i="6"/>
  <c r="G160" i="6"/>
  <c r="F160" i="6"/>
  <c r="E160" i="6"/>
  <c r="D160" i="6"/>
  <c r="C160" i="6"/>
  <c r="B160" i="6"/>
  <c r="A160" i="6"/>
  <c r="G159" i="6"/>
  <c r="F159" i="6"/>
  <c r="E159" i="6"/>
  <c r="D159" i="6"/>
  <c r="C159" i="6"/>
  <c r="B159" i="6"/>
  <c r="A159" i="6"/>
  <c r="G158" i="6"/>
  <c r="F158" i="6"/>
  <c r="E158" i="6"/>
  <c r="D158" i="6"/>
  <c r="C158" i="6"/>
  <c r="B158" i="6"/>
  <c r="A158" i="6"/>
  <c r="G157" i="6"/>
  <c r="F157" i="6"/>
  <c r="E157" i="6"/>
  <c r="D157" i="6"/>
  <c r="C157" i="6"/>
  <c r="B157" i="6"/>
  <c r="A157" i="6"/>
  <c r="G156" i="6"/>
  <c r="F156" i="6"/>
  <c r="E156" i="6"/>
  <c r="D156" i="6"/>
  <c r="C156" i="6"/>
  <c r="B156" i="6"/>
  <c r="A156" i="6"/>
  <c r="G155" i="6"/>
  <c r="F155" i="6"/>
  <c r="E155" i="6"/>
  <c r="D155" i="6"/>
  <c r="C155" i="6"/>
  <c r="B155" i="6"/>
  <c r="A155" i="6"/>
  <c r="G154" i="6"/>
  <c r="F154" i="6"/>
  <c r="E154" i="6"/>
  <c r="D154" i="6"/>
  <c r="C154" i="6"/>
  <c r="B154" i="6"/>
  <c r="A154" i="6"/>
  <c r="G153" i="6"/>
  <c r="F153" i="6"/>
  <c r="E153" i="6"/>
  <c r="D153" i="6"/>
  <c r="C153" i="6"/>
  <c r="B153" i="6"/>
  <c r="A153" i="6"/>
  <c r="G152" i="6"/>
  <c r="F152" i="6"/>
  <c r="E152" i="6"/>
  <c r="D152" i="6"/>
  <c r="C152" i="6"/>
  <c r="B152" i="6"/>
  <c r="A152" i="6"/>
  <c r="G151" i="6"/>
  <c r="F151" i="6"/>
  <c r="E151" i="6"/>
  <c r="D151" i="6"/>
  <c r="C151" i="6"/>
  <c r="B151" i="6"/>
  <c r="A151" i="6"/>
  <c r="G150" i="6"/>
  <c r="F150" i="6"/>
  <c r="E150" i="6"/>
  <c r="D150" i="6"/>
  <c r="C150" i="6"/>
  <c r="B150" i="6"/>
  <c r="A150" i="6"/>
  <c r="G149" i="6"/>
  <c r="F149" i="6"/>
  <c r="E149" i="6"/>
  <c r="D149" i="6"/>
  <c r="C149" i="6"/>
  <c r="B149" i="6"/>
  <c r="A149" i="6"/>
  <c r="G148" i="6"/>
  <c r="F148" i="6"/>
  <c r="E148" i="6"/>
  <c r="D148" i="6"/>
  <c r="C148" i="6"/>
  <c r="B148" i="6"/>
  <c r="A148" i="6"/>
  <c r="G147" i="6"/>
  <c r="F147" i="6"/>
  <c r="E147" i="6"/>
  <c r="D147" i="6"/>
  <c r="C147" i="6"/>
  <c r="B147" i="6"/>
  <c r="A147" i="6"/>
  <c r="G146" i="6"/>
  <c r="F146" i="6"/>
  <c r="E146" i="6"/>
  <c r="D146" i="6"/>
  <c r="C146" i="6"/>
  <c r="B146" i="6"/>
  <c r="A146" i="6"/>
  <c r="G145" i="6"/>
  <c r="F145" i="6"/>
  <c r="E145" i="6"/>
  <c r="D145" i="6"/>
  <c r="C145" i="6"/>
  <c r="B145" i="6"/>
  <c r="A145" i="6"/>
  <c r="G144" i="6"/>
  <c r="F144" i="6"/>
  <c r="E144" i="6"/>
  <c r="D144" i="6"/>
  <c r="C144" i="6"/>
  <c r="B144" i="6"/>
  <c r="A144" i="6"/>
  <c r="G143" i="6"/>
  <c r="F143" i="6"/>
  <c r="E143" i="6"/>
  <c r="D143" i="6"/>
  <c r="C143" i="6"/>
  <c r="B143" i="6"/>
  <c r="A143" i="6"/>
  <c r="G142" i="6"/>
  <c r="F142" i="6"/>
  <c r="E142" i="6"/>
  <c r="D142" i="6"/>
  <c r="C142" i="6"/>
  <c r="B142" i="6"/>
  <c r="A142" i="6"/>
  <c r="G141" i="6"/>
  <c r="F141" i="6"/>
  <c r="E141" i="6"/>
  <c r="D141" i="6"/>
  <c r="C141" i="6"/>
  <c r="B141" i="6"/>
  <c r="A141" i="6"/>
  <c r="G140" i="6"/>
  <c r="F140" i="6"/>
  <c r="E140" i="6"/>
  <c r="D140" i="6"/>
  <c r="C140" i="6"/>
  <c r="B140" i="6"/>
  <c r="A140" i="6"/>
  <c r="G139" i="6"/>
  <c r="F139" i="6"/>
  <c r="E139" i="6"/>
  <c r="D139" i="6"/>
  <c r="C139" i="6"/>
  <c r="B139" i="6"/>
  <c r="A139" i="6"/>
  <c r="G138" i="6"/>
  <c r="F138" i="6"/>
  <c r="E138" i="6"/>
  <c r="D138" i="6"/>
  <c r="C138" i="6"/>
  <c r="B138" i="6"/>
  <c r="A138" i="6"/>
  <c r="G137" i="6"/>
  <c r="F137" i="6"/>
  <c r="E137" i="6"/>
  <c r="D137" i="6"/>
  <c r="C137" i="6"/>
  <c r="B137" i="6"/>
  <c r="A137" i="6"/>
  <c r="G136" i="6"/>
  <c r="F136" i="6"/>
  <c r="E136" i="6"/>
  <c r="D136" i="6"/>
  <c r="C136" i="6"/>
  <c r="B136" i="6"/>
  <c r="A136" i="6"/>
  <c r="G135" i="6"/>
  <c r="F135" i="6"/>
  <c r="E135" i="6"/>
  <c r="D135" i="6"/>
  <c r="C135" i="6"/>
  <c r="B135" i="6"/>
  <c r="A135" i="6"/>
  <c r="G134" i="6"/>
  <c r="F134" i="6"/>
  <c r="E134" i="6"/>
  <c r="D134" i="6"/>
  <c r="C134" i="6"/>
  <c r="B134" i="6"/>
  <c r="A134" i="6"/>
  <c r="G133" i="6"/>
  <c r="F133" i="6"/>
  <c r="E133" i="6"/>
  <c r="D133" i="6"/>
  <c r="C133" i="6"/>
  <c r="B133" i="6"/>
  <c r="A133" i="6"/>
  <c r="G132" i="6"/>
  <c r="F132" i="6"/>
  <c r="E132" i="6"/>
  <c r="D132" i="6"/>
  <c r="C132" i="6"/>
  <c r="B132" i="6"/>
  <c r="A132" i="6"/>
  <c r="G131" i="6"/>
  <c r="F131" i="6"/>
  <c r="E131" i="6"/>
  <c r="D131" i="6"/>
  <c r="C131" i="6"/>
  <c r="B131" i="6"/>
  <c r="A131" i="6"/>
  <c r="G130" i="6"/>
  <c r="F130" i="6"/>
  <c r="E130" i="6"/>
  <c r="D130" i="6"/>
  <c r="C130" i="6"/>
  <c r="B130" i="6"/>
  <c r="A130" i="6"/>
  <c r="G129" i="6"/>
  <c r="F129" i="6"/>
  <c r="E129" i="6"/>
  <c r="D129" i="6"/>
  <c r="C129" i="6"/>
  <c r="B129" i="6"/>
  <c r="A129" i="6"/>
  <c r="G128" i="6"/>
  <c r="F128" i="6"/>
  <c r="E128" i="6"/>
  <c r="D128" i="6"/>
  <c r="C128" i="6"/>
  <c r="B128" i="6"/>
  <c r="A128" i="6"/>
  <c r="G127" i="6"/>
  <c r="F127" i="6"/>
  <c r="E127" i="6"/>
  <c r="D127" i="6"/>
  <c r="C127" i="6"/>
  <c r="B127" i="6"/>
  <c r="A127" i="6"/>
  <c r="G126" i="6"/>
  <c r="F126" i="6"/>
  <c r="E126" i="6"/>
  <c r="D126" i="6"/>
  <c r="C126" i="6"/>
  <c r="B126" i="6"/>
  <c r="A126" i="6"/>
  <c r="G125" i="6"/>
  <c r="F125" i="6"/>
  <c r="E125" i="6"/>
  <c r="D125" i="6"/>
  <c r="C125" i="6"/>
  <c r="B125" i="6"/>
  <c r="A125" i="6"/>
  <c r="G124" i="6"/>
  <c r="F124" i="6"/>
  <c r="E124" i="6"/>
  <c r="D124" i="6"/>
  <c r="C124" i="6"/>
  <c r="B124" i="6"/>
  <c r="A124" i="6"/>
  <c r="G123" i="6"/>
  <c r="F123" i="6"/>
  <c r="E123" i="6"/>
  <c r="D123" i="6"/>
  <c r="C123" i="6"/>
  <c r="B123" i="6"/>
  <c r="A123" i="6"/>
  <c r="G122" i="6"/>
  <c r="F122" i="6"/>
  <c r="E122" i="6"/>
  <c r="D122" i="6"/>
  <c r="C122" i="6"/>
  <c r="B122" i="6"/>
  <c r="A122" i="6"/>
  <c r="G121" i="6"/>
  <c r="F121" i="6"/>
  <c r="E121" i="6"/>
  <c r="D121" i="6"/>
  <c r="C121" i="6"/>
  <c r="B121" i="6"/>
  <c r="A121" i="6"/>
  <c r="G120" i="6"/>
  <c r="F120" i="6"/>
  <c r="E120" i="6"/>
  <c r="D120" i="6"/>
  <c r="C120" i="6"/>
  <c r="B120" i="6"/>
  <c r="A120" i="6"/>
  <c r="G119" i="6"/>
  <c r="F119" i="6"/>
  <c r="E119" i="6"/>
  <c r="D119" i="6"/>
  <c r="C119" i="6"/>
  <c r="B119" i="6"/>
  <c r="A119" i="6"/>
  <c r="G118" i="6"/>
  <c r="F118" i="6"/>
  <c r="E118" i="6"/>
  <c r="D118" i="6"/>
  <c r="C118" i="6"/>
  <c r="B118" i="6"/>
  <c r="A118" i="6"/>
  <c r="G117" i="6"/>
  <c r="F117" i="6"/>
  <c r="E117" i="6"/>
  <c r="D117" i="6"/>
  <c r="C117" i="6"/>
  <c r="B117" i="6"/>
  <c r="A117" i="6"/>
  <c r="G116" i="6"/>
  <c r="F116" i="6"/>
  <c r="E116" i="6"/>
  <c r="D116" i="6"/>
  <c r="C116" i="6"/>
  <c r="B116" i="6"/>
  <c r="A116" i="6"/>
  <c r="G115" i="6"/>
  <c r="F115" i="6"/>
  <c r="E115" i="6"/>
  <c r="D115" i="6"/>
  <c r="C115" i="6"/>
  <c r="B115" i="6"/>
  <c r="A115" i="6"/>
  <c r="G114" i="6"/>
  <c r="F114" i="6"/>
  <c r="E114" i="6"/>
  <c r="D114" i="6"/>
  <c r="C114" i="6"/>
  <c r="B114" i="6"/>
  <c r="A114" i="6"/>
  <c r="G113" i="6"/>
  <c r="F113" i="6"/>
  <c r="E113" i="6"/>
  <c r="D113" i="6"/>
  <c r="C113" i="6"/>
  <c r="B113" i="6"/>
  <c r="A113" i="6"/>
  <c r="G112" i="6"/>
  <c r="F112" i="6"/>
  <c r="E112" i="6"/>
  <c r="D112" i="6"/>
  <c r="C112" i="6"/>
  <c r="B112" i="6"/>
  <c r="A112" i="6"/>
  <c r="G111" i="6"/>
  <c r="F111" i="6"/>
  <c r="E111" i="6"/>
  <c r="D111" i="6"/>
  <c r="C111" i="6"/>
  <c r="B111" i="6"/>
  <c r="A111" i="6"/>
  <c r="G110" i="6"/>
  <c r="F110" i="6"/>
  <c r="E110" i="6"/>
  <c r="D110" i="6"/>
  <c r="C110" i="6"/>
  <c r="B110" i="6"/>
  <c r="A110" i="6"/>
  <c r="G109" i="6"/>
  <c r="F109" i="6"/>
  <c r="E109" i="6"/>
  <c r="D109" i="6"/>
  <c r="C109" i="6"/>
  <c r="B109" i="6"/>
  <c r="A109" i="6"/>
  <c r="G108" i="6"/>
  <c r="F108" i="6"/>
  <c r="E108" i="6"/>
  <c r="D108" i="6"/>
  <c r="C108" i="6"/>
  <c r="B108" i="6"/>
  <c r="A108" i="6"/>
  <c r="G107" i="6"/>
  <c r="F107" i="6"/>
  <c r="E107" i="6"/>
  <c r="D107" i="6"/>
  <c r="C107" i="6"/>
  <c r="B107" i="6"/>
  <c r="A107" i="6"/>
  <c r="G106" i="6"/>
  <c r="F106" i="6"/>
  <c r="E106" i="6"/>
  <c r="D106" i="6"/>
  <c r="C106" i="6"/>
  <c r="B106" i="6"/>
  <c r="A106" i="6"/>
  <c r="G105" i="6"/>
  <c r="F105" i="6"/>
  <c r="E105" i="6"/>
  <c r="D105" i="6"/>
  <c r="C105" i="6"/>
  <c r="B105" i="6"/>
  <c r="A105" i="6"/>
  <c r="G104" i="6"/>
  <c r="F104" i="6"/>
  <c r="E104" i="6"/>
  <c r="D104" i="6"/>
  <c r="C104" i="6"/>
  <c r="B104" i="6"/>
  <c r="A104" i="6"/>
  <c r="G103" i="6"/>
  <c r="F103" i="6"/>
  <c r="E103" i="6"/>
  <c r="D103" i="6"/>
  <c r="C103" i="6"/>
  <c r="B103" i="6"/>
  <c r="A103" i="6"/>
  <c r="G102" i="6"/>
  <c r="F102" i="6"/>
  <c r="E102" i="6"/>
  <c r="D102" i="6"/>
  <c r="C102" i="6"/>
  <c r="B102" i="6"/>
  <c r="A102" i="6"/>
  <c r="G101" i="6"/>
  <c r="F101" i="6"/>
  <c r="E101" i="6"/>
  <c r="D101" i="6"/>
  <c r="C101" i="6"/>
  <c r="B101" i="6"/>
  <c r="A101" i="6"/>
  <c r="G100" i="6"/>
  <c r="F100" i="6"/>
  <c r="E100" i="6"/>
  <c r="D100" i="6"/>
  <c r="C100" i="6"/>
  <c r="B100" i="6"/>
  <c r="A100" i="6"/>
  <c r="G99" i="6"/>
  <c r="F99" i="6"/>
  <c r="E99" i="6"/>
  <c r="D99" i="6"/>
  <c r="C99" i="6"/>
  <c r="B99" i="6"/>
  <c r="A99" i="6"/>
  <c r="G98" i="6"/>
  <c r="F98" i="6"/>
  <c r="E98" i="6"/>
  <c r="D98" i="6"/>
  <c r="C98" i="6"/>
  <c r="B98" i="6"/>
  <c r="A98" i="6"/>
  <c r="G97" i="6"/>
  <c r="F97" i="6"/>
  <c r="E97" i="6"/>
  <c r="D97" i="6"/>
  <c r="C97" i="6"/>
  <c r="B97" i="6"/>
  <c r="A97" i="6"/>
  <c r="G96" i="6"/>
  <c r="F96" i="6"/>
  <c r="E96" i="6"/>
  <c r="D96" i="6"/>
  <c r="C96" i="6"/>
  <c r="B96" i="6"/>
  <c r="A96" i="6"/>
  <c r="G95" i="6"/>
  <c r="F95" i="6"/>
  <c r="E95" i="6"/>
  <c r="D95" i="6"/>
  <c r="C95" i="6"/>
  <c r="B95" i="6"/>
  <c r="A95" i="6"/>
  <c r="G94" i="6"/>
  <c r="F94" i="6"/>
  <c r="E94" i="6"/>
  <c r="D94" i="6"/>
  <c r="C94" i="6"/>
  <c r="B94" i="6"/>
  <c r="A94" i="6"/>
  <c r="G93" i="6"/>
  <c r="F93" i="6"/>
  <c r="E93" i="6"/>
  <c r="D93" i="6"/>
  <c r="C93" i="6"/>
  <c r="B93" i="6"/>
  <c r="A93" i="6"/>
  <c r="G92" i="6"/>
  <c r="F92" i="6"/>
  <c r="E92" i="6"/>
  <c r="D92" i="6"/>
  <c r="C92" i="6"/>
  <c r="B92" i="6"/>
  <c r="A92" i="6"/>
  <c r="G91" i="6"/>
  <c r="F91" i="6"/>
  <c r="E91" i="6"/>
  <c r="D91" i="6"/>
  <c r="C91" i="6"/>
  <c r="B91" i="6"/>
  <c r="A91" i="6"/>
  <c r="G90" i="6"/>
  <c r="F90" i="6"/>
  <c r="E90" i="6"/>
  <c r="D90" i="6"/>
  <c r="C90" i="6"/>
  <c r="B90" i="6"/>
  <c r="A90" i="6"/>
  <c r="G89" i="6"/>
  <c r="F89" i="6"/>
  <c r="E89" i="6"/>
  <c r="D89" i="6"/>
  <c r="C89" i="6"/>
  <c r="B89" i="6"/>
  <c r="A89" i="6"/>
  <c r="G88" i="6"/>
  <c r="F88" i="6"/>
  <c r="E88" i="6"/>
  <c r="D88" i="6"/>
  <c r="C88" i="6"/>
  <c r="B88" i="6"/>
  <c r="A88" i="6"/>
  <c r="G87" i="6"/>
  <c r="F87" i="6"/>
  <c r="E87" i="6"/>
  <c r="D87" i="6"/>
  <c r="C87" i="6"/>
  <c r="B87" i="6"/>
  <c r="A87" i="6"/>
  <c r="G86" i="6"/>
  <c r="F86" i="6"/>
  <c r="E86" i="6"/>
  <c r="D86" i="6"/>
  <c r="C86" i="6"/>
  <c r="B86" i="6"/>
  <c r="A86" i="6"/>
  <c r="G85" i="6"/>
  <c r="F85" i="6"/>
  <c r="E85" i="6"/>
  <c r="D85" i="6"/>
  <c r="C85" i="6"/>
  <c r="B85" i="6"/>
  <c r="A85" i="6"/>
  <c r="G84" i="6"/>
  <c r="F84" i="6"/>
  <c r="E84" i="6"/>
  <c r="D84" i="6"/>
  <c r="C84" i="6"/>
  <c r="B84" i="6"/>
  <c r="A84" i="6"/>
  <c r="G83" i="6"/>
  <c r="F83" i="6"/>
  <c r="E83" i="6"/>
  <c r="D83" i="6"/>
  <c r="C83" i="6"/>
  <c r="B83" i="6"/>
  <c r="A83" i="6"/>
  <c r="G82" i="6"/>
  <c r="F82" i="6"/>
  <c r="E82" i="6"/>
  <c r="D82" i="6"/>
  <c r="C82" i="6"/>
  <c r="B82" i="6"/>
  <c r="A82" i="6"/>
  <c r="G81" i="6"/>
  <c r="F81" i="6"/>
  <c r="E81" i="6"/>
  <c r="D81" i="6"/>
  <c r="C81" i="6"/>
  <c r="B81" i="6"/>
  <c r="A81" i="6"/>
  <c r="G80" i="6"/>
  <c r="F80" i="6"/>
  <c r="E80" i="6"/>
  <c r="D80" i="6"/>
  <c r="C80" i="6"/>
  <c r="B80" i="6"/>
  <c r="A80" i="6"/>
  <c r="G79" i="6"/>
  <c r="F79" i="6"/>
  <c r="E79" i="6"/>
  <c r="D79" i="6"/>
  <c r="C79" i="6"/>
  <c r="B79" i="6"/>
  <c r="A79" i="6"/>
  <c r="G78" i="6"/>
  <c r="F78" i="6"/>
  <c r="E78" i="6"/>
  <c r="D78" i="6"/>
  <c r="C78" i="6"/>
  <c r="B78" i="6"/>
  <c r="A78" i="6"/>
  <c r="G77" i="6"/>
  <c r="F77" i="6"/>
  <c r="E77" i="6"/>
  <c r="D77" i="6"/>
  <c r="C77" i="6"/>
  <c r="B77" i="6"/>
  <c r="A77" i="6"/>
  <c r="G76" i="6"/>
  <c r="F76" i="6"/>
  <c r="E76" i="6"/>
  <c r="D76" i="6"/>
  <c r="C76" i="6"/>
  <c r="B76" i="6"/>
  <c r="A76" i="6"/>
  <c r="G75" i="6"/>
  <c r="F75" i="6"/>
  <c r="E75" i="6"/>
  <c r="D75" i="6"/>
  <c r="C75" i="6"/>
  <c r="B75" i="6"/>
  <c r="A75" i="6"/>
  <c r="G74" i="6"/>
  <c r="F74" i="6"/>
  <c r="E74" i="6"/>
  <c r="D74" i="6"/>
  <c r="C74" i="6"/>
  <c r="B74" i="6"/>
  <c r="A74" i="6"/>
  <c r="G73" i="6"/>
  <c r="F73" i="6"/>
  <c r="E73" i="6"/>
  <c r="D73" i="6"/>
  <c r="C73" i="6"/>
  <c r="B73" i="6"/>
  <c r="A73" i="6"/>
  <c r="G72" i="6"/>
  <c r="F72" i="6"/>
  <c r="E72" i="6"/>
  <c r="D72" i="6"/>
  <c r="C72" i="6"/>
  <c r="B72" i="6"/>
  <c r="A72" i="6"/>
  <c r="G71" i="6"/>
  <c r="F71" i="6"/>
  <c r="E71" i="6"/>
  <c r="D71" i="6"/>
  <c r="C71" i="6"/>
  <c r="B71" i="6"/>
  <c r="A71" i="6"/>
  <c r="G70" i="6"/>
  <c r="F70" i="6"/>
  <c r="E70" i="6"/>
  <c r="D70" i="6"/>
  <c r="C70" i="6"/>
  <c r="B70" i="6"/>
  <c r="A70" i="6"/>
  <c r="G69" i="6"/>
  <c r="F69" i="6"/>
  <c r="E69" i="6"/>
  <c r="D69" i="6"/>
  <c r="C69" i="6"/>
  <c r="B69" i="6"/>
  <c r="A69" i="6"/>
  <c r="G68" i="6"/>
  <c r="F68" i="6"/>
  <c r="E68" i="6"/>
  <c r="D68" i="6"/>
  <c r="C68" i="6"/>
  <c r="B68" i="6"/>
  <c r="A68" i="6"/>
  <c r="G67" i="6"/>
  <c r="F67" i="6"/>
  <c r="E67" i="6"/>
  <c r="D67" i="6"/>
  <c r="C67" i="6"/>
  <c r="B67" i="6"/>
  <c r="A67" i="6"/>
  <c r="G66" i="6"/>
  <c r="F66" i="6"/>
  <c r="E66" i="6"/>
  <c r="D66" i="6"/>
  <c r="C66" i="6"/>
  <c r="B66" i="6"/>
  <c r="A66" i="6"/>
  <c r="G65" i="6"/>
  <c r="F65" i="6"/>
  <c r="E65" i="6"/>
  <c r="D65" i="6"/>
  <c r="C65" i="6"/>
  <c r="B65" i="6"/>
  <c r="A65" i="6"/>
  <c r="G64" i="6"/>
  <c r="F64" i="6"/>
  <c r="E64" i="6"/>
  <c r="D64" i="6"/>
  <c r="C64" i="6"/>
  <c r="B64" i="6"/>
  <c r="A64" i="6"/>
  <c r="G63" i="6"/>
  <c r="F63" i="6"/>
  <c r="E63" i="6"/>
  <c r="D63" i="6"/>
  <c r="C63" i="6"/>
  <c r="B63" i="6"/>
  <c r="A63" i="6"/>
  <c r="G62" i="6"/>
  <c r="F62" i="6"/>
  <c r="E62" i="6"/>
  <c r="D62" i="6"/>
  <c r="C62" i="6"/>
  <c r="B62" i="6"/>
  <c r="A62" i="6"/>
  <c r="G61" i="6"/>
  <c r="F61" i="6"/>
  <c r="E61" i="6"/>
  <c r="D61" i="6"/>
  <c r="C61" i="6"/>
  <c r="B61" i="6"/>
  <c r="A61" i="6"/>
  <c r="G60" i="6"/>
  <c r="F60" i="6"/>
  <c r="E60" i="6"/>
  <c r="D60" i="6"/>
  <c r="C60" i="6"/>
  <c r="B60" i="6"/>
  <c r="A60" i="6"/>
  <c r="G59" i="6"/>
  <c r="F59" i="6"/>
  <c r="E59" i="6"/>
  <c r="D59" i="6"/>
  <c r="C59" i="6"/>
  <c r="B59" i="6"/>
  <c r="A59" i="6"/>
  <c r="G58" i="6"/>
  <c r="F58" i="6"/>
  <c r="E58" i="6"/>
  <c r="D58" i="6"/>
  <c r="C58" i="6"/>
  <c r="B58" i="6"/>
  <c r="A58" i="6"/>
  <c r="G57" i="6"/>
  <c r="F57" i="6"/>
  <c r="E57" i="6"/>
  <c r="D57" i="6"/>
  <c r="C57" i="6"/>
  <c r="B57" i="6"/>
  <c r="A57" i="6"/>
  <c r="G56" i="6"/>
  <c r="F56" i="6"/>
  <c r="E56" i="6"/>
  <c r="D56" i="6"/>
  <c r="C56" i="6"/>
  <c r="B56" i="6"/>
  <c r="A56" i="6"/>
  <c r="G55" i="6"/>
  <c r="F55" i="6"/>
  <c r="E55" i="6"/>
  <c r="D55" i="6"/>
  <c r="C55" i="6"/>
  <c r="B55" i="6"/>
  <c r="A55" i="6"/>
  <c r="G54" i="6"/>
  <c r="F54" i="6"/>
  <c r="E54" i="6"/>
  <c r="D54" i="6"/>
  <c r="C54" i="6"/>
  <c r="B54" i="6"/>
  <c r="A54" i="6"/>
  <c r="G53" i="6"/>
  <c r="F53" i="6"/>
  <c r="E53" i="6"/>
  <c r="D53" i="6"/>
  <c r="C53" i="6"/>
  <c r="B53" i="6"/>
  <c r="A53" i="6"/>
  <c r="G52" i="6"/>
  <c r="F52" i="6"/>
  <c r="E52" i="6"/>
  <c r="D52" i="6"/>
  <c r="C52" i="6"/>
  <c r="B52" i="6"/>
  <c r="A52" i="6"/>
  <c r="G51" i="6"/>
  <c r="F51" i="6"/>
  <c r="E51" i="6"/>
  <c r="D51" i="6"/>
  <c r="C51" i="6"/>
  <c r="B51" i="6"/>
  <c r="A51" i="6"/>
  <c r="G50" i="6"/>
  <c r="F50" i="6"/>
  <c r="E50" i="6"/>
  <c r="D50" i="6"/>
  <c r="C50" i="6"/>
  <c r="B50" i="6"/>
  <c r="A50" i="6"/>
  <c r="G49" i="6"/>
  <c r="F49" i="6"/>
  <c r="E49" i="6"/>
  <c r="D49" i="6"/>
  <c r="C49" i="6"/>
  <c r="B49" i="6"/>
  <c r="A49" i="6"/>
  <c r="G48" i="6"/>
  <c r="F48" i="6"/>
  <c r="E48" i="6"/>
  <c r="D48" i="6"/>
  <c r="C48" i="6"/>
  <c r="B48" i="6"/>
  <c r="A48" i="6"/>
  <c r="G47" i="6"/>
  <c r="F47" i="6"/>
  <c r="E47" i="6"/>
  <c r="D47" i="6"/>
  <c r="C47" i="6"/>
  <c r="B47" i="6"/>
  <c r="A47" i="6"/>
  <c r="G46" i="6"/>
  <c r="F46" i="6"/>
  <c r="E46" i="6"/>
  <c r="D46" i="6"/>
  <c r="C46" i="6"/>
  <c r="B46" i="6"/>
  <c r="A46" i="6"/>
  <c r="G45" i="6"/>
  <c r="F45" i="6"/>
  <c r="E45" i="6"/>
  <c r="D45" i="6"/>
  <c r="C45" i="6"/>
  <c r="B45" i="6"/>
  <c r="A45" i="6"/>
  <c r="G44" i="6"/>
  <c r="F44" i="6"/>
  <c r="E44" i="6"/>
  <c r="D44" i="6"/>
  <c r="C44" i="6"/>
  <c r="B44" i="6"/>
  <c r="A44" i="6"/>
  <c r="G43" i="6"/>
  <c r="F43" i="6"/>
  <c r="E43" i="6"/>
  <c r="D43" i="6"/>
  <c r="C43" i="6"/>
  <c r="B43" i="6"/>
  <c r="A43" i="6"/>
  <c r="G42" i="6"/>
  <c r="F42" i="6"/>
  <c r="E42" i="6"/>
  <c r="D42" i="6"/>
  <c r="C42" i="6"/>
  <c r="B42" i="6"/>
  <c r="A42" i="6"/>
  <c r="G41" i="6"/>
  <c r="F41" i="6"/>
  <c r="E41" i="6"/>
  <c r="D41" i="6"/>
  <c r="C41" i="6"/>
  <c r="B41" i="6"/>
  <c r="A41" i="6"/>
  <c r="G40" i="6"/>
  <c r="F40" i="6"/>
  <c r="E40" i="6"/>
  <c r="D40" i="6"/>
  <c r="C40" i="6"/>
  <c r="B40" i="6"/>
  <c r="A40" i="6"/>
  <c r="G39" i="6"/>
  <c r="F39" i="6"/>
  <c r="E39" i="6"/>
  <c r="D39" i="6"/>
  <c r="C39" i="6"/>
  <c r="B39" i="6"/>
  <c r="A39" i="6"/>
  <c r="G38" i="6"/>
  <c r="F38" i="6"/>
  <c r="E38" i="6"/>
  <c r="D38" i="6"/>
  <c r="C38" i="6"/>
  <c r="B38" i="6"/>
  <c r="A38" i="6"/>
  <c r="G37" i="6"/>
  <c r="F37" i="6"/>
  <c r="E37" i="6"/>
  <c r="D37" i="6"/>
  <c r="C37" i="6"/>
  <c r="B37" i="6"/>
  <c r="A37" i="6"/>
  <c r="G36" i="6"/>
  <c r="F36" i="6"/>
  <c r="E36" i="6"/>
  <c r="D36" i="6"/>
  <c r="C36" i="6"/>
  <c r="B36" i="6"/>
  <c r="A36" i="6"/>
  <c r="G35" i="6"/>
  <c r="F35" i="6"/>
  <c r="E35" i="6"/>
  <c r="D35" i="6"/>
  <c r="C35" i="6"/>
  <c r="B35" i="6"/>
  <c r="A35" i="6"/>
  <c r="G34" i="6"/>
  <c r="F34" i="6"/>
  <c r="E34" i="6"/>
  <c r="D34" i="6"/>
  <c r="C34" i="6"/>
  <c r="B34" i="6"/>
  <c r="A34" i="6"/>
  <c r="G33" i="6"/>
  <c r="F33" i="6"/>
  <c r="E33" i="6"/>
  <c r="D33" i="6"/>
  <c r="C33" i="6"/>
  <c r="B33" i="6"/>
  <c r="A33" i="6"/>
  <c r="G32" i="6"/>
  <c r="F32" i="6"/>
  <c r="E32" i="6"/>
  <c r="D32" i="6"/>
  <c r="C32" i="6"/>
  <c r="B32" i="6"/>
  <c r="A32" i="6"/>
  <c r="G31" i="6"/>
  <c r="F31" i="6"/>
  <c r="E31" i="6"/>
  <c r="D31" i="6"/>
  <c r="C31" i="6"/>
  <c r="B31" i="6"/>
  <c r="A31" i="6"/>
  <c r="G30" i="6"/>
  <c r="F30" i="6"/>
  <c r="E30" i="6"/>
  <c r="D30" i="6"/>
  <c r="C30" i="6"/>
  <c r="B30" i="6"/>
  <c r="A30" i="6"/>
  <c r="G29" i="6"/>
  <c r="F29" i="6"/>
  <c r="E29" i="6"/>
  <c r="D29" i="6"/>
  <c r="C29" i="6"/>
  <c r="B29" i="6"/>
  <c r="A29" i="6"/>
  <c r="G28" i="6"/>
  <c r="F28" i="6"/>
  <c r="E28" i="6"/>
  <c r="D28" i="6"/>
  <c r="C28" i="6"/>
  <c r="B28" i="6"/>
  <c r="A28" i="6"/>
  <c r="G27" i="6"/>
  <c r="F27" i="6"/>
  <c r="E27" i="6"/>
  <c r="D27" i="6"/>
  <c r="C27" i="6"/>
  <c r="B27" i="6"/>
  <c r="A27" i="6"/>
  <c r="G26" i="6"/>
  <c r="F26" i="6"/>
  <c r="E26" i="6"/>
  <c r="D26" i="6"/>
  <c r="C26" i="6"/>
  <c r="B26" i="6"/>
  <c r="A26" i="6"/>
  <c r="G25" i="6"/>
  <c r="F25" i="6"/>
  <c r="E25" i="6"/>
  <c r="D25" i="6"/>
  <c r="C25" i="6"/>
  <c r="B25" i="6"/>
  <c r="A25" i="6"/>
  <c r="G24" i="6"/>
  <c r="F24" i="6"/>
  <c r="E24" i="6"/>
  <c r="D24" i="6"/>
  <c r="C24" i="6"/>
  <c r="B24" i="6"/>
  <c r="A24" i="6"/>
  <c r="G23" i="6"/>
  <c r="F23" i="6"/>
  <c r="E23" i="6"/>
  <c r="D23" i="6"/>
  <c r="C23" i="6"/>
  <c r="B23" i="6"/>
  <c r="A23" i="6"/>
  <c r="G22" i="6"/>
  <c r="F22" i="6"/>
  <c r="E22" i="6"/>
  <c r="D22" i="6"/>
  <c r="C22" i="6"/>
  <c r="B22" i="6"/>
  <c r="A22" i="6"/>
  <c r="G21" i="6"/>
  <c r="F21" i="6"/>
  <c r="E21" i="6"/>
  <c r="D21" i="6"/>
  <c r="C21" i="6"/>
  <c r="B21" i="6"/>
  <c r="A21" i="6"/>
  <c r="G20" i="6"/>
  <c r="F20" i="6"/>
  <c r="E20" i="6"/>
  <c r="D20" i="6"/>
  <c r="C20" i="6"/>
  <c r="B20" i="6"/>
  <c r="A20" i="6"/>
  <c r="G19" i="6"/>
  <c r="F19" i="6"/>
  <c r="E19" i="6"/>
  <c r="D19" i="6"/>
  <c r="C19" i="6"/>
  <c r="B19" i="6"/>
  <c r="A19" i="6"/>
  <c r="G18" i="6"/>
  <c r="F18" i="6"/>
  <c r="E18" i="6"/>
  <c r="D18" i="6"/>
  <c r="C18" i="6"/>
  <c r="B18" i="6"/>
  <c r="A18" i="6"/>
  <c r="G17" i="6"/>
  <c r="F17" i="6"/>
  <c r="E17" i="6"/>
  <c r="D17" i="6"/>
  <c r="C17" i="6"/>
  <c r="B17" i="6"/>
  <c r="A17" i="6"/>
  <c r="G16" i="6"/>
  <c r="F16" i="6"/>
  <c r="E16" i="6"/>
  <c r="D16" i="6"/>
  <c r="C16" i="6"/>
  <c r="B16" i="6"/>
  <c r="A16" i="6"/>
  <c r="G15" i="6"/>
  <c r="F15" i="6"/>
  <c r="E15" i="6"/>
  <c r="D15" i="6"/>
  <c r="C15" i="6"/>
  <c r="B15" i="6"/>
  <c r="A15" i="6"/>
  <c r="G14" i="6"/>
  <c r="F14" i="6"/>
  <c r="E14" i="6"/>
  <c r="D14" i="6"/>
  <c r="C14" i="6"/>
  <c r="B14" i="6"/>
  <c r="A14" i="6"/>
  <c r="G13" i="6"/>
  <c r="F13" i="6"/>
  <c r="E13" i="6"/>
  <c r="D13" i="6"/>
  <c r="C13" i="6"/>
  <c r="B13" i="6"/>
  <c r="A13" i="6"/>
  <c r="G12" i="6"/>
  <c r="F12" i="6"/>
  <c r="E12" i="6"/>
  <c r="D12" i="6"/>
  <c r="C12" i="6"/>
  <c r="B12" i="6"/>
  <c r="A12" i="6"/>
  <c r="G11" i="6"/>
  <c r="F11" i="6"/>
  <c r="E11" i="6"/>
  <c r="D11" i="6"/>
  <c r="C11" i="6"/>
  <c r="B11" i="6"/>
  <c r="A11" i="6"/>
  <c r="G10" i="6"/>
  <c r="F10" i="6"/>
  <c r="E10" i="6"/>
  <c r="D10" i="6"/>
  <c r="C10" i="6"/>
  <c r="B10" i="6"/>
  <c r="A10" i="6"/>
  <c r="G9" i="6"/>
  <c r="F9" i="6"/>
  <c r="E9" i="6"/>
  <c r="D9" i="6"/>
  <c r="C9" i="6"/>
  <c r="B9" i="6"/>
  <c r="A9" i="6"/>
  <c r="G8" i="6"/>
  <c r="F8" i="6"/>
  <c r="E8" i="6"/>
  <c r="D8" i="6"/>
  <c r="C8" i="6"/>
  <c r="B8" i="6"/>
  <c r="A8" i="6"/>
  <c r="G7" i="6"/>
  <c r="F7" i="6"/>
  <c r="E7" i="6"/>
  <c r="D7" i="6"/>
  <c r="C7" i="6"/>
  <c r="B7" i="6"/>
  <c r="A7" i="6"/>
  <c r="G6" i="6"/>
  <c r="F6" i="6"/>
  <c r="E6" i="6"/>
  <c r="D6" i="6"/>
  <c r="C6" i="6"/>
  <c r="B6" i="6"/>
  <c r="A6" i="6"/>
  <c r="G5" i="6"/>
  <c r="F5" i="6"/>
  <c r="E5" i="6"/>
  <c r="D5" i="6"/>
  <c r="C5" i="6"/>
  <c r="B5" i="6"/>
  <c r="A5" i="6"/>
  <c r="G4" i="6"/>
  <c r="F4" i="6"/>
  <c r="E4" i="6"/>
  <c r="D4" i="6"/>
  <c r="C4" i="6"/>
  <c r="B4" i="6"/>
  <c r="A4" i="6"/>
  <c r="G3" i="6"/>
  <c r="F3" i="6"/>
  <c r="E3" i="6"/>
  <c r="D3" i="6"/>
  <c r="C3" i="6"/>
  <c r="B3" i="6"/>
  <c r="A3" i="6"/>
  <c r="G2" i="6"/>
  <c r="F2" i="6"/>
  <c r="E2" i="6"/>
  <c r="D2" i="6"/>
  <c r="C2" i="6"/>
  <c r="B2" i="6"/>
  <c r="A2" i="6"/>
  <c r="G1" i="6"/>
  <c r="F1" i="6"/>
  <c r="E1" i="6"/>
  <c r="D1" i="6"/>
  <c r="C1" i="6"/>
  <c r="B1" i="6"/>
  <c r="A1" i="6"/>
  <c r="A1" i="5"/>
  <c r="R2393" i="4"/>
  <c r="P2393" i="4"/>
  <c r="N2393" i="4"/>
  <c r="L2393" i="4"/>
  <c r="I2393" i="4"/>
  <c r="G2393" i="4"/>
  <c r="F2393" i="4"/>
  <c r="E2393" i="4"/>
  <c r="D2393" i="4"/>
  <c r="C2393" i="4"/>
  <c r="B2393" i="4"/>
  <c r="R2392" i="4"/>
  <c r="P2392" i="4"/>
  <c r="N2392" i="4"/>
  <c r="L2392" i="4"/>
  <c r="I2392" i="4"/>
  <c r="G2392" i="4"/>
  <c r="F2392" i="4"/>
  <c r="E2392" i="4"/>
  <c r="D2392" i="4"/>
  <c r="C2392" i="4"/>
  <c r="B2392" i="4"/>
  <c r="R2391" i="4"/>
  <c r="P2391" i="4"/>
  <c r="N2391" i="4"/>
  <c r="L2391" i="4"/>
  <c r="I2391" i="4"/>
  <c r="G2391" i="4"/>
  <c r="F2391" i="4"/>
  <c r="E2391" i="4"/>
  <c r="D2391" i="4"/>
  <c r="C2391" i="4"/>
  <c r="B2391" i="4"/>
  <c r="R2390" i="4"/>
  <c r="P2390" i="4"/>
  <c r="N2390" i="4"/>
  <c r="L2390" i="4"/>
  <c r="I2390" i="4"/>
  <c r="G2390" i="4"/>
  <c r="F2390" i="4"/>
  <c r="E2390" i="4"/>
  <c r="D2390" i="4"/>
  <c r="C2390" i="4"/>
  <c r="B2390" i="4"/>
  <c r="R2389" i="4"/>
  <c r="P2389" i="4"/>
  <c r="N2389" i="4"/>
  <c r="L2389" i="4"/>
  <c r="K2389" i="4"/>
  <c r="J2389" i="4"/>
  <c r="I2389" i="4"/>
  <c r="G2389" i="4"/>
  <c r="F2389" i="4"/>
  <c r="E2389" i="4"/>
  <c r="D2389" i="4"/>
  <c r="C2389" i="4"/>
  <c r="B2389" i="4"/>
  <c r="R2388" i="4"/>
  <c r="P2388" i="4"/>
  <c r="N2388" i="4"/>
  <c r="L2388" i="4"/>
  <c r="K2388" i="4"/>
  <c r="J2388" i="4"/>
  <c r="I2388" i="4"/>
  <c r="G2388" i="4"/>
  <c r="F2388" i="4"/>
  <c r="E2388" i="4"/>
  <c r="D2388" i="4"/>
  <c r="C2388" i="4"/>
  <c r="B2388" i="4"/>
  <c r="R2387" i="4"/>
  <c r="P2387" i="4"/>
  <c r="N2387" i="4"/>
  <c r="L2387" i="4"/>
  <c r="K2387" i="4"/>
  <c r="J2387" i="4"/>
  <c r="I2387" i="4"/>
  <c r="G2387" i="4"/>
  <c r="F2387" i="4"/>
  <c r="E2387" i="4"/>
  <c r="D2387" i="4"/>
  <c r="C2387" i="4"/>
  <c r="B2387" i="4"/>
  <c r="R2386" i="4"/>
  <c r="P2386" i="4"/>
  <c r="N2386" i="4"/>
  <c r="L2386" i="4"/>
  <c r="K2386" i="4"/>
  <c r="J2386" i="4"/>
  <c r="I2386" i="4"/>
  <c r="G2386" i="4"/>
  <c r="F2386" i="4"/>
  <c r="E2386" i="4"/>
  <c r="D2386" i="4"/>
  <c r="C2386" i="4"/>
  <c r="B2386" i="4"/>
  <c r="R2385" i="4"/>
  <c r="P2385" i="4"/>
  <c r="N2385" i="4"/>
  <c r="L2385" i="4"/>
  <c r="K2385" i="4"/>
  <c r="J2385" i="4"/>
  <c r="I2385" i="4"/>
  <c r="G2385" i="4"/>
  <c r="F2385" i="4"/>
  <c r="E2385" i="4"/>
  <c r="D2385" i="4"/>
  <c r="C2385" i="4"/>
  <c r="B2385" i="4"/>
  <c r="R2384" i="4"/>
  <c r="P2384" i="4"/>
  <c r="N2384" i="4"/>
  <c r="L2384" i="4"/>
  <c r="K2384" i="4"/>
  <c r="J2384" i="4"/>
  <c r="I2384" i="4"/>
  <c r="G2384" i="4"/>
  <c r="F2384" i="4"/>
  <c r="E2384" i="4"/>
  <c r="D2384" i="4"/>
  <c r="C2384" i="4"/>
  <c r="B2384" i="4"/>
  <c r="R2383" i="4"/>
  <c r="P2383" i="4"/>
  <c r="N2383" i="4"/>
  <c r="L2383" i="4"/>
  <c r="K2383" i="4"/>
  <c r="J2383" i="4"/>
  <c r="I2383" i="4"/>
  <c r="G2383" i="4"/>
  <c r="F2383" i="4"/>
  <c r="E2383" i="4"/>
  <c r="D2383" i="4"/>
  <c r="C2383" i="4"/>
  <c r="B2383" i="4"/>
  <c r="R2382" i="4"/>
  <c r="P2382" i="4"/>
  <c r="N2382" i="4"/>
  <c r="L2382" i="4"/>
  <c r="K2382" i="4"/>
  <c r="J2382" i="4"/>
  <c r="I2382" i="4"/>
  <c r="G2382" i="4"/>
  <c r="F2382" i="4"/>
  <c r="E2382" i="4"/>
  <c r="D2382" i="4"/>
  <c r="C2382" i="4"/>
  <c r="B2382" i="4"/>
  <c r="R2381" i="4"/>
  <c r="P2381" i="4"/>
  <c r="N2381" i="4"/>
  <c r="L2381" i="4"/>
  <c r="K2381" i="4"/>
  <c r="J2381" i="4"/>
  <c r="I2381" i="4"/>
  <c r="G2381" i="4"/>
  <c r="F2381" i="4"/>
  <c r="E2381" i="4"/>
  <c r="D2381" i="4"/>
  <c r="C2381" i="4"/>
  <c r="B2381" i="4"/>
  <c r="R2380" i="4"/>
  <c r="P2380" i="4"/>
  <c r="N2380" i="4"/>
  <c r="L2380" i="4"/>
  <c r="K2380" i="4"/>
  <c r="J2380" i="4"/>
  <c r="I2380" i="4"/>
  <c r="G2380" i="4"/>
  <c r="F2380" i="4"/>
  <c r="E2380" i="4"/>
  <c r="D2380" i="4"/>
  <c r="C2380" i="4"/>
  <c r="B2380" i="4"/>
  <c r="R2379" i="4"/>
  <c r="P2379" i="4"/>
  <c r="N2379" i="4"/>
  <c r="L2379" i="4"/>
  <c r="K2379" i="4"/>
  <c r="J2379" i="4"/>
  <c r="I2379" i="4"/>
  <c r="G2379" i="4"/>
  <c r="F2379" i="4"/>
  <c r="E2379" i="4"/>
  <c r="D2379" i="4"/>
  <c r="C2379" i="4"/>
  <c r="B2379" i="4"/>
  <c r="R2378" i="4"/>
  <c r="P2378" i="4"/>
  <c r="N2378" i="4"/>
  <c r="L2378" i="4"/>
  <c r="K2378" i="4"/>
  <c r="J2378" i="4"/>
  <c r="I2378" i="4"/>
  <c r="G2378" i="4"/>
  <c r="F2378" i="4"/>
  <c r="E2378" i="4"/>
  <c r="D2378" i="4"/>
  <c r="C2378" i="4"/>
  <c r="B2378" i="4"/>
  <c r="R2377" i="4"/>
  <c r="P2377" i="4"/>
  <c r="N2377" i="4"/>
  <c r="L2377" i="4"/>
  <c r="K2377" i="4"/>
  <c r="J2377" i="4"/>
  <c r="I2377" i="4"/>
  <c r="G2377" i="4"/>
  <c r="F2377" i="4"/>
  <c r="E2377" i="4"/>
  <c r="D2377" i="4"/>
  <c r="C2377" i="4"/>
  <c r="B2377" i="4"/>
  <c r="R2376" i="4"/>
  <c r="P2376" i="4"/>
  <c r="N2376" i="4"/>
  <c r="L2376" i="4"/>
  <c r="K2376" i="4"/>
  <c r="J2376" i="4"/>
  <c r="I2376" i="4"/>
  <c r="G2376" i="4"/>
  <c r="F2376" i="4"/>
  <c r="E2376" i="4"/>
  <c r="D2376" i="4"/>
  <c r="C2376" i="4"/>
  <c r="B2376" i="4"/>
  <c r="R2375" i="4"/>
  <c r="P2375" i="4"/>
  <c r="N2375" i="4"/>
  <c r="L2375" i="4"/>
  <c r="K2375" i="4"/>
  <c r="J2375" i="4"/>
  <c r="I2375" i="4"/>
  <c r="G2375" i="4"/>
  <c r="F2375" i="4"/>
  <c r="E2375" i="4"/>
  <c r="D2375" i="4"/>
  <c r="C2375" i="4"/>
  <c r="B2375" i="4"/>
  <c r="R2374" i="4"/>
  <c r="P2374" i="4"/>
  <c r="N2374" i="4"/>
  <c r="L2374" i="4"/>
  <c r="K2374" i="4"/>
  <c r="J2374" i="4"/>
  <c r="I2374" i="4"/>
  <c r="G2374" i="4"/>
  <c r="F2374" i="4"/>
  <c r="E2374" i="4"/>
  <c r="D2374" i="4"/>
  <c r="C2374" i="4"/>
  <c r="B2374" i="4"/>
  <c r="R2373" i="4"/>
  <c r="P2373" i="4"/>
  <c r="N2373" i="4"/>
  <c r="L2373" i="4"/>
  <c r="K2373" i="4"/>
  <c r="J2373" i="4"/>
  <c r="I2373" i="4"/>
  <c r="G2373" i="4"/>
  <c r="F2373" i="4"/>
  <c r="E2373" i="4"/>
  <c r="D2373" i="4"/>
  <c r="C2373" i="4"/>
  <c r="B2373" i="4"/>
  <c r="R2372" i="4"/>
  <c r="P2372" i="4"/>
  <c r="N2372" i="4"/>
  <c r="L2372" i="4"/>
  <c r="K2372" i="4"/>
  <c r="J2372" i="4"/>
  <c r="I2372" i="4"/>
  <c r="G2372" i="4"/>
  <c r="F2372" i="4"/>
  <c r="E2372" i="4"/>
  <c r="D2372" i="4"/>
  <c r="C2372" i="4"/>
  <c r="B2372" i="4"/>
  <c r="R2371" i="4"/>
  <c r="P2371" i="4"/>
  <c r="N2371" i="4"/>
  <c r="L2371" i="4"/>
  <c r="K2371" i="4"/>
  <c r="J2371" i="4"/>
  <c r="I2371" i="4"/>
  <c r="G2371" i="4"/>
  <c r="F2371" i="4"/>
  <c r="E2371" i="4"/>
  <c r="D2371" i="4"/>
  <c r="C2371" i="4"/>
  <c r="B2371" i="4"/>
  <c r="R2370" i="4"/>
  <c r="P2370" i="4"/>
  <c r="N2370" i="4"/>
  <c r="L2370" i="4"/>
  <c r="K2370" i="4"/>
  <c r="J2370" i="4"/>
  <c r="I2370" i="4"/>
  <c r="G2370" i="4"/>
  <c r="F2370" i="4"/>
  <c r="E2370" i="4"/>
  <c r="D2370" i="4"/>
  <c r="C2370" i="4"/>
  <c r="B2370" i="4"/>
  <c r="R2369" i="4"/>
  <c r="P2369" i="4"/>
  <c r="N2369" i="4"/>
  <c r="L2369" i="4"/>
  <c r="K2369" i="4"/>
  <c r="J2369" i="4"/>
  <c r="I2369" i="4"/>
  <c r="G2369" i="4"/>
  <c r="F2369" i="4"/>
  <c r="E2369" i="4"/>
  <c r="D2369" i="4"/>
  <c r="C2369" i="4"/>
  <c r="B2369" i="4"/>
  <c r="R2368" i="4"/>
  <c r="P2368" i="4"/>
  <c r="N2368" i="4"/>
  <c r="L2368" i="4"/>
  <c r="K2368" i="4"/>
  <c r="J2368" i="4"/>
  <c r="I2368" i="4"/>
  <c r="G2368" i="4"/>
  <c r="F2368" i="4"/>
  <c r="E2368" i="4"/>
  <c r="D2368" i="4"/>
  <c r="C2368" i="4"/>
  <c r="B2368" i="4"/>
  <c r="R2367" i="4"/>
  <c r="P2367" i="4"/>
  <c r="N2367" i="4"/>
  <c r="L2367" i="4"/>
  <c r="K2367" i="4"/>
  <c r="J2367" i="4"/>
  <c r="I2367" i="4"/>
  <c r="G2367" i="4"/>
  <c r="F2367" i="4"/>
  <c r="E2367" i="4"/>
  <c r="D2367" i="4"/>
  <c r="C2367" i="4"/>
  <c r="B2367" i="4"/>
  <c r="R2366" i="4"/>
  <c r="P2366" i="4"/>
  <c r="N2366" i="4"/>
  <c r="L2366" i="4"/>
  <c r="K2366" i="4"/>
  <c r="J2366" i="4"/>
  <c r="I2366" i="4"/>
  <c r="G2366" i="4"/>
  <c r="F2366" i="4"/>
  <c r="E2366" i="4"/>
  <c r="D2366" i="4"/>
  <c r="C2366" i="4"/>
  <c r="B2366" i="4"/>
  <c r="R2365" i="4"/>
  <c r="P2365" i="4"/>
  <c r="N2365" i="4"/>
  <c r="L2365" i="4"/>
  <c r="K2365" i="4"/>
  <c r="J2365" i="4"/>
  <c r="I2365" i="4"/>
  <c r="G2365" i="4"/>
  <c r="F2365" i="4"/>
  <c r="E2365" i="4"/>
  <c r="D2365" i="4"/>
  <c r="C2365" i="4"/>
  <c r="B2365" i="4"/>
  <c r="R2364" i="4"/>
  <c r="P2364" i="4"/>
  <c r="N2364" i="4"/>
  <c r="L2364" i="4"/>
  <c r="K2364" i="4"/>
  <c r="J2364" i="4"/>
  <c r="I2364" i="4"/>
  <c r="G2364" i="4"/>
  <c r="F2364" i="4"/>
  <c r="E2364" i="4"/>
  <c r="D2364" i="4"/>
  <c r="C2364" i="4"/>
  <c r="B2364" i="4"/>
  <c r="R2363" i="4"/>
  <c r="P2363" i="4"/>
  <c r="N2363" i="4"/>
  <c r="L2363" i="4"/>
  <c r="K2363" i="4"/>
  <c r="J2363" i="4"/>
  <c r="I2363" i="4"/>
  <c r="G2363" i="4"/>
  <c r="F2363" i="4"/>
  <c r="E2363" i="4"/>
  <c r="D2363" i="4"/>
  <c r="C2363" i="4"/>
  <c r="B2363" i="4"/>
  <c r="R2362" i="4"/>
  <c r="P2362" i="4"/>
  <c r="N2362" i="4"/>
  <c r="L2362" i="4"/>
  <c r="K2362" i="4"/>
  <c r="J2362" i="4"/>
  <c r="I2362" i="4"/>
  <c r="G2362" i="4"/>
  <c r="F2362" i="4"/>
  <c r="E2362" i="4"/>
  <c r="D2362" i="4"/>
  <c r="C2362" i="4"/>
  <c r="B2362" i="4"/>
  <c r="R2361" i="4"/>
  <c r="P2361" i="4"/>
  <c r="N2361" i="4"/>
  <c r="L2361" i="4"/>
  <c r="K2361" i="4"/>
  <c r="J2361" i="4"/>
  <c r="I2361" i="4"/>
  <c r="G2361" i="4"/>
  <c r="F2361" i="4"/>
  <c r="E2361" i="4"/>
  <c r="D2361" i="4"/>
  <c r="C2361" i="4"/>
  <c r="B2361" i="4"/>
  <c r="R2360" i="4"/>
  <c r="P2360" i="4"/>
  <c r="N2360" i="4"/>
  <c r="L2360" i="4"/>
  <c r="K2360" i="4"/>
  <c r="J2360" i="4"/>
  <c r="I2360" i="4"/>
  <c r="G2360" i="4"/>
  <c r="F2360" i="4"/>
  <c r="E2360" i="4"/>
  <c r="D2360" i="4"/>
  <c r="C2360" i="4"/>
  <c r="B2360" i="4"/>
  <c r="R2359" i="4"/>
  <c r="P2359" i="4"/>
  <c r="N2359" i="4"/>
  <c r="L2359" i="4"/>
  <c r="K2359" i="4"/>
  <c r="J2359" i="4"/>
  <c r="I2359" i="4"/>
  <c r="G2359" i="4"/>
  <c r="F2359" i="4"/>
  <c r="E2359" i="4"/>
  <c r="D2359" i="4"/>
  <c r="C2359" i="4"/>
  <c r="B2359" i="4"/>
  <c r="R2358" i="4"/>
  <c r="P2358" i="4"/>
  <c r="N2358" i="4"/>
  <c r="L2358" i="4"/>
  <c r="K2358" i="4"/>
  <c r="J2358" i="4"/>
  <c r="I2358" i="4"/>
  <c r="G2358" i="4"/>
  <c r="F2358" i="4"/>
  <c r="E2358" i="4"/>
  <c r="D2358" i="4"/>
  <c r="C2358" i="4"/>
  <c r="B2358" i="4"/>
  <c r="R2357" i="4"/>
  <c r="P2357" i="4"/>
  <c r="N2357" i="4"/>
  <c r="L2357" i="4"/>
  <c r="K2357" i="4"/>
  <c r="J2357" i="4"/>
  <c r="I2357" i="4"/>
  <c r="G2357" i="4"/>
  <c r="F2357" i="4"/>
  <c r="E2357" i="4"/>
  <c r="D2357" i="4"/>
  <c r="C2357" i="4"/>
  <c r="B2357" i="4"/>
  <c r="R2356" i="4"/>
  <c r="P2356" i="4"/>
  <c r="N2356" i="4"/>
  <c r="L2356" i="4"/>
  <c r="K2356" i="4"/>
  <c r="J2356" i="4"/>
  <c r="I2356" i="4"/>
  <c r="G2356" i="4"/>
  <c r="F2356" i="4"/>
  <c r="E2356" i="4"/>
  <c r="D2356" i="4"/>
  <c r="C2356" i="4"/>
  <c r="B2356" i="4"/>
  <c r="R2355" i="4"/>
  <c r="P2355" i="4"/>
  <c r="N2355" i="4"/>
  <c r="L2355" i="4"/>
  <c r="K2355" i="4"/>
  <c r="J2355" i="4"/>
  <c r="I2355" i="4"/>
  <c r="G2355" i="4"/>
  <c r="F2355" i="4"/>
  <c r="E2355" i="4"/>
  <c r="D2355" i="4"/>
  <c r="C2355" i="4"/>
  <c r="B2355" i="4"/>
  <c r="R2354" i="4"/>
  <c r="P2354" i="4"/>
  <c r="N2354" i="4"/>
  <c r="L2354" i="4"/>
  <c r="K2354" i="4"/>
  <c r="J2354" i="4"/>
  <c r="I2354" i="4"/>
  <c r="G2354" i="4"/>
  <c r="F2354" i="4"/>
  <c r="E2354" i="4"/>
  <c r="D2354" i="4"/>
  <c r="C2354" i="4"/>
  <c r="B2354" i="4"/>
  <c r="R2353" i="4"/>
  <c r="P2353" i="4"/>
  <c r="N2353" i="4"/>
  <c r="L2353" i="4"/>
  <c r="K2353" i="4"/>
  <c r="J2353" i="4"/>
  <c r="I2353" i="4"/>
  <c r="G2353" i="4"/>
  <c r="F2353" i="4"/>
  <c r="E2353" i="4"/>
  <c r="D2353" i="4"/>
  <c r="C2353" i="4"/>
  <c r="B2353" i="4"/>
  <c r="R2352" i="4"/>
  <c r="P2352" i="4"/>
  <c r="N2352" i="4"/>
  <c r="L2352" i="4"/>
  <c r="K2352" i="4"/>
  <c r="J2352" i="4"/>
  <c r="I2352" i="4"/>
  <c r="G2352" i="4"/>
  <c r="F2352" i="4"/>
  <c r="E2352" i="4"/>
  <c r="D2352" i="4"/>
  <c r="C2352" i="4"/>
  <c r="B2352" i="4"/>
  <c r="R2351" i="4"/>
  <c r="P2351" i="4"/>
  <c r="N2351" i="4"/>
  <c r="L2351" i="4"/>
  <c r="K2351" i="4"/>
  <c r="J2351" i="4"/>
  <c r="I2351" i="4"/>
  <c r="G2351" i="4"/>
  <c r="F2351" i="4"/>
  <c r="E2351" i="4"/>
  <c r="D2351" i="4"/>
  <c r="C2351" i="4"/>
  <c r="B2351" i="4"/>
  <c r="R2350" i="4"/>
  <c r="P2350" i="4"/>
  <c r="N2350" i="4"/>
  <c r="L2350" i="4"/>
  <c r="K2350" i="4"/>
  <c r="J2350" i="4"/>
  <c r="I2350" i="4"/>
  <c r="G2350" i="4"/>
  <c r="F2350" i="4"/>
  <c r="E2350" i="4"/>
  <c r="D2350" i="4"/>
  <c r="C2350" i="4"/>
  <c r="B2350" i="4"/>
  <c r="R2349" i="4"/>
  <c r="P2349" i="4"/>
  <c r="N2349" i="4"/>
  <c r="L2349" i="4"/>
  <c r="K2349" i="4"/>
  <c r="J2349" i="4"/>
  <c r="I2349" i="4"/>
  <c r="G2349" i="4"/>
  <c r="F2349" i="4"/>
  <c r="E2349" i="4"/>
  <c r="D2349" i="4"/>
  <c r="C2349" i="4"/>
  <c r="B2349" i="4"/>
  <c r="R2348" i="4"/>
  <c r="P2348" i="4"/>
  <c r="N2348" i="4"/>
  <c r="L2348" i="4"/>
  <c r="K2348" i="4"/>
  <c r="J2348" i="4"/>
  <c r="I2348" i="4"/>
  <c r="G2348" i="4"/>
  <c r="F2348" i="4"/>
  <c r="E2348" i="4"/>
  <c r="D2348" i="4"/>
  <c r="C2348" i="4"/>
  <c r="B2348" i="4"/>
  <c r="R2347" i="4"/>
  <c r="P2347" i="4"/>
  <c r="N2347" i="4"/>
  <c r="L2347" i="4"/>
  <c r="K2347" i="4"/>
  <c r="J2347" i="4"/>
  <c r="I2347" i="4"/>
  <c r="G2347" i="4"/>
  <c r="F2347" i="4"/>
  <c r="E2347" i="4"/>
  <c r="D2347" i="4"/>
  <c r="C2347" i="4"/>
  <c r="B2347" i="4"/>
  <c r="R2346" i="4"/>
  <c r="P2346" i="4"/>
  <c r="N2346" i="4"/>
  <c r="L2346" i="4"/>
  <c r="K2346" i="4"/>
  <c r="J2346" i="4"/>
  <c r="I2346" i="4"/>
  <c r="G2346" i="4"/>
  <c r="F2346" i="4"/>
  <c r="E2346" i="4"/>
  <c r="D2346" i="4"/>
  <c r="C2346" i="4"/>
  <c r="B2346" i="4"/>
  <c r="R2345" i="4"/>
  <c r="P2345" i="4"/>
  <c r="N2345" i="4"/>
  <c r="L2345" i="4"/>
  <c r="K2345" i="4"/>
  <c r="J2345" i="4"/>
  <c r="I2345" i="4"/>
  <c r="G2345" i="4"/>
  <c r="F2345" i="4"/>
  <c r="E2345" i="4"/>
  <c r="D2345" i="4"/>
  <c r="C2345" i="4"/>
  <c r="B2345" i="4"/>
  <c r="R2344" i="4"/>
  <c r="P2344" i="4"/>
  <c r="N2344" i="4"/>
  <c r="L2344" i="4"/>
  <c r="K2344" i="4"/>
  <c r="J2344" i="4"/>
  <c r="I2344" i="4"/>
  <c r="G2344" i="4"/>
  <c r="F2344" i="4"/>
  <c r="E2344" i="4"/>
  <c r="D2344" i="4"/>
  <c r="C2344" i="4"/>
  <c r="B2344" i="4"/>
  <c r="R2343" i="4"/>
  <c r="P2343" i="4"/>
  <c r="N2343" i="4"/>
  <c r="L2343" i="4"/>
  <c r="K2343" i="4"/>
  <c r="J2343" i="4"/>
  <c r="I2343" i="4"/>
  <c r="G2343" i="4"/>
  <c r="F2343" i="4"/>
  <c r="E2343" i="4"/>
  <c r="D2343" i="4"/>
  <c r="C2343" i="4"/>
  <c r="B2343" i="4"/>
  <c r="R2342" i="4"/>
  <c r="P2342" i="4"/>
  <c r="N2342" i="4"/>
  <c r="L2342" i="4"/>
  <c r="K2342" i="4"/>
  <c r="J2342" i="4"/>
  <c r="I2342" i="4"/>
  <c r="G2342" i="4"/>
  <c r="F2342" i="4"/>
  <c r="E2342" i="4"/>
  <c r="D2342" i="4"/>
  <c r="C2342" i="4"/>
  <c r="B2342" i="4"/>
  <c r="R2341" i="4"/>
  <c r="P2341" i="4"/>
  <c r="N2341" i="4"/>
  <c r="L2341" i="4"/>
  <c r="K2341" i="4"/>
  <c r="J2341" i="4"/>
  <c r="I2341" i="4"/>
  <c r="G2341" i="4"/>
  <c r="F2341" i="4"/>
  <c r="E2341" i="4"/>
  <c r="D2341" i="4"/>
  <c r="C2341" i="4"/>
  <c r="B2341" i="4"/>
  <c r="R2340" i="4"/>
  <c r="P2340" i="4"/>
  <c r="N2340" i="4"/>
  <c r="L2340" i="4"/>
  <c r="K2340" i="4"/>
  <c r="J2340" i="4"/>
  <c r="I2340" i="4"/>
  <c r="G2340" i="4"/>
  <c r="F2340" i="4"/>
  <c r="E2340" i="4"/>
  <c r="D2340" i="4"/>
  <c r="C2340" i="4"/>
  <c r="B2340" i="4"/>
  <c r="R2339" i="4"/>
  <c r="P2339" i="4"/>
  <c r="N2339" i="4"/>
  <c r="L2339" i="4"/>
  <c r="K2339" i="4"/>
  <c r="J2339" i="4"/>
  <c r="I2339" i="4"/>
  <c r="G2339" i="4"/>
  <c r="F2339" i="4"/>
  <c r="E2339" i="4"/>
  <c r="D2339" i="4"/>
  <c r="C2339" i="4"/>
  <c r="B2339" i="4"/>
  <c r="R2338" i="4"/>
  <c r="P2338" i="4"/>
  <c r="N2338" i="4"/>
  <c r="L2338" i="4"/>
  <c r="K2338" i="4"/>
  <c r="J2338" i="4"/>
  <c r="I2338" i="4"/>
  <c r="G2338" i="4"/>
  <c r="F2338" i="4"/>
  <c r="E2338" i="4"/>
  <c r="D2338" i="4"/>
  <c r="C2338" i="4"/>
  <c r="B2338" i="4"/>
  <c r="R2337" i="4"/>
  <c r="P2337" i="4"/>
  <c r="N2337" i="4"/>
  <c r="L2337" i="4"/>
  <c r="K2337" i="4"/>
  <c r="J2337" i="4"/>
  <c r="I2337" i="4"/>
  <c r="G2337" i="4"/>
  <c r="F2337" i="4"/>
  <c r="E2337" i="4"/>
  <c r="D2337" i="4"/>
  <c r="C2337" i="4"/>
  <c r="B2337" i="4"/>
  <c r="R2336" i="4"/>
  <c r="P2336" i="4"/>
  <c r="N2336" i="4"/>
  <c r="L2336" i="4"/>
  <c r="K2336" i="4"/>
  <c r="J2336" i="4"/>
  <c r="I2336" i="4"/>
  <c r="H2336" i="4"/>
  <c r="G2336" i="4"/>
  <c r="F2336" i="4"/>
  <c r="E2336" i="4"/>
  <c r="D2336" i="4"/>
  <c r="C2336" i="4"/>
  <c r="B2336" i="4"/>
  <c r="A2336" i="4"/>
  <c r="R2335" i="4"/>
  <c r="P2335" i="4"/>
  <c r="N2335" i="4"/>
  <c r="L2335" i="4"/>
  <c r="K2335" i="4"/>
  <c r="J2335" i="4"/>
  <c r="I2335" i="4"/>
  <c r="H2335" i="4"/>
  <c r="G2335" i="4"/>
  <c r="F2335" i="4"/>
  <c r="E2335" i="4"/>
  <c r="D2335" i="4"/>
  <c r="C2335" i="4"/>
  <c r="B2335" i="4"/>
  <c r="A2335" i="4"/>
  <c r="R2334" i="4"/>
  <c r="P2334" i="4"/>
  <c r="N2334" i="4"/>
  <c r="L2334" i="4"/>
  <c r="K2334" i="4"/>
  <c r="J2334" i="4"/>
  <c r="I2334" i="4"/>
  <c r="H2334" i="4"/>
  <c r="G2334" i="4"/>
  <c r="F2334" i="4"/>
  <c r="E2334" i="4"/>
  <c r="D2334" i="4"/>
  <c r="C2334" i="4"/>
  <c r="B2334" i="4"/>
  <c r="A2334" i="4"/>
  <c r="R2333" i="4"/>
  <c r="P2333" i="4"/>
  <c r="N2333" i="4"/>
  <c r="L2333" i="4"/>
  <c r="K2333" i="4"/>
  <c r="J2333" i="4"/>
  <c r="I2333" i="4"/>
  <c r="H2333" i="4"/>
  <c r="G2333" i="4"/>
  <c r="F2333" i="4"/>
  <c r="E2333" i="4"/>
  <c r="D2333" i="4"/>
  <c r="C2333" i="4"/>
  <c r="B2333" i="4"/>
  <c r="A2333" i="4"/>
  <c r="R2332" i="4"/>
  <c r="P2332" i="4"/>
  <c r="N2332" i="4"/>
  <c r="L2332" i="4"/>
  <c r="K2332" i="4"/>
  <c r="J2332" i="4"/>
  <c r="I2332" i="4"/>
  <c r="H2332" i="4"/>
  <c r="G2332" i="4"/>
  <c r="F2332" i="4"/>
  <c r="E2332" i="4"/>
  <c r="D2332" i="4"/>
  <c r="C2332" i="4"/>
  <c r="B2332" i="4"/>
  <c r="A2332" i="4"/>
  <c r="R2331" i="4"/>
  <c r="P2331" i="4"/>
  <c r="N2331" i="4"/>
  <c r="L2331" i="4"/>
  <c r="K2331" i="4"/>
  <c r="J2331" i="4"/>
  <c r="I2331" i="4"/>
  <c r="H2331" i="4"/>
  <c r="G2331" i="4"/>
  <c r="F2331" i="4"/>
  <c r="E2331" i="4"/>
  <c r="D2331" i="4"/>
  <c r="C2331" i="4"/>
  <c r="B2331" i="4"/>
  <c r="A2331" i="4"/>
  <c r="R2330" i="4"/>
  <c r="P2330" i="4"/>
  <c r="N2330" i="4"/>
  <c r="L2330" i="4"/>
  <c r="K2330" i="4"/>
  <c r="J2330" i="4"/>
  <c r="I2330" i="4"/>
  <c r="H2330" i="4"/>
  <c r="G2330" i="4"/>
  <c r="F2330" i="4"/>
  <c r="E2330" i="4"/>
  <c r="D2330" i="4"/>
  <c r="C2330" i="4"/>
  <c r="B2330" i="4"/>
  <c r="A2330" i="4"/>
  <c r="R2329" i="4"/>
  <c r="P2329" i="4"/>
  <c r="N2329" i="4"/>
  <c r="L2329" i="4"/>
  <c r="K2329" i="4"/>
  <c r="J2329" i="4"/>
  <c r="I2329" i="4"/>
  <c r="H2329" i="4"/>
  <c r="G2329" i="4"/>
  <c r="F2329" i="4"/>
  <c r="E2329" i="4"/>
  <c r="D2329" i="4"/>
  <c r="C2329" i="4"/>
  <c r="B2329" i="4"/>
  <c r="A2329" i="4"/>
  <c r="R2328" i="4"/>
  <c r="P2328" i="4"/>
  <c r="N2328" i="4"/>
  <c r="L2328" i="4"/>
  <c r="K2328" i="4"/>
  <c r="J2328" i="4"/>
  <c r="I2328" i="4"/>
  <c r="H2328" i="4"/>
  <c r="G2328" i="4"/>
  <c r="F2328" i="4"/>
  <c r="E2328" i="4"/>
  <c r="D2328" i="4"/>
  <c r="C2328" i="4"/>
  <c r="B2328" i="4"/>
  <c r="A2328" i="4"/>
  <c r="R2327" i="4"/>
  <c r="P2327" i="4"/>
  <c r="N2327" i="4"/>
  <c r="L2327" i="4"/>
  <c r="K2327" i="4"/>
  <c r="J2327" i="4"/>
  <c r="I2327" i="4"/>
  <c r="H2327" i="4"/>
  <c r="G2327" i="4"/>
  <c r="F2327" i="4"/>
  <c r="E2327" i="4"/>
  <c r="D2327" i="4"/>
  <c r="C2327" i="4"/>
  <c r="B2327" i="4"/>
  <c r="A2327" i="4"/>
  <c r="R2326" i="4"/>
  <c r="P2326" i="4"/>
  <c r="N2326" i="4"/>
  <c r="L2326" i="4"/>
  <c r="K2326" i="4"/>
  <c r="J2326" i="4"/>
  <c r="I2326" i="4"/>
  <c r="H2326" i="4"/>
  <c r="G2326" i="4"/>
  <c r="F2326" i="4"/>
  <c r="E2326" i="4"/>
  <c r="D2326" i="4"/>
  <c r="C2326" i="4"/>
  <c r="B2326" i="4"/>
  <c r="A2326" i="4"/>
  <c r="R2325" i="4"/>
  <c r="P2325" i="4"/>
  <c r="N2325" i="4"/>
  <c r="L2325" i="4"/>
  <c r="K2325" i="4"/>
  <c r="J2325" i="4"/>
  <c r="I2325" i="4"/>
  <c r="H2325" i="4"/>
  <c r="G2325" i="4"/>
  <c r="F2325" i="4"/>
  <c r="E2325" i="4"/>
  <c r="D2325" i="4"/>
  <c r="C2325" i="4"/>
  <c r="B2325" i="4"/>
  <c r="A2325" i="4"/>
  <c r="R2324" i="4"/>
  <c r="P2324" i="4"/>
  <c r="N2324" i="4"/>
  <c r="L2324" i="4"/>
  <c r="K2324" i="4"/>
  <c r="J2324" i="4"/>
  <c r="I2324" i="4"/>
  <c r="H2324" i="4"/>
  <c r="G2324" i="4"/>
  <c r="F2324" i="4"/>
  <c r="E2324" i="4"/>
  <c r="D2324" i="4"/>
  <c r="C2324" i="4"/>
  <c r="B2324" i="4"/>
  <c r="A2324" i="4"/>
  <c r="R2323" i="4"/>
  <c r="P2323" i="4"/>
  <c r="N2323" i="4"/>
  <c r="L2323" i="4"/>
  <c r="K2323" i="4"/>
  <c r="J2323" i="4"/>
  <c r="I2323" i="4"/>
  <c r="H2323" i="4"/>
  <c r="G2323" i="4"/>
  <c r="F2323" i="4"/>
  <c r="E2323" i="4"/>
  <c r="D2323" i="4"/>
  <c r="C2323" i="4"/>
  <c r="B2323" i="4"/>
  <c r="A2323" i="4"/>
  <c r="R2322" i="4"/>
  <c r="P2322" i="4"/>
  <c r="N2322" i="4"/>
  <c r="L2322" i="4"/>
  <c r="K2322" i="4"/>
  <c r="J2322" i="4"/>
  <c r="I2322" i="4"/>
  <c r="H2322" i="4"/>
  <c r="G2322" i="4"/>
  <c r="F2322" i="4"/>
  <c r="E2322" i="4"/>
  <c r="D2322" i="4"/>
  <c r="C2322" i="4"/>
  <c r="B2322" i="4"/>
  <c r="A2322" i="4"/>
  <c r="R2321" i="4"/>
  <c r="P2321" i="4"/>
  <c r="N2321" i="4"/>
  <c r="L2321" i="4"/>
  <c r="K2321" i="4"/>
  <c r="J2321" i="4"/>
  <c r="I2321" i="4"/>
  <c r="H2321" i="4"/>
  <c r="G2321" i="4"/>
  <c r="F2321" i="4"/>
  <c r="E2321" i="4"/>
  <c r="D2321" i="4"/>
  <c r="C2321" i="4"/>
  <c r="B2321" i="4"/>
  <c r="A2321" i="4"/>
  <c r="R2320" i="4"/>
  <c r="P2320" i="4"/>
  <c r="N2320" i="4"/>
  <c r="L2320" i="4"/>
  <c r="K2320" i="4"/>
  <c r="J2320" i="4"/>
  <c r="I2320" i="4"/>
  <c r="H2320" i="4"/>
  <c r="G2320" i="4"/>
  <c r="F2320" i="4"/>
  <c r="E2320" i="4"/>
  <c r="D2320" i="4"/>
  <c r="C2320" i="4"/>
  <c r="B2320" i="4"/>
  <c r="A2320" i="4"/>
  <c r="R2319" i="4"/>
  <c r="P2319" i="4"/>
  <c r="N2319" i="4"/>
  <c r="L2319" i="4"/>
  <c r="K2319" i="4"/>
  <c r="J2319" i="4"/>
  <c r="I2319" i="4"/>
  <c r="H2319" i="4"/>
  <c r="G2319" i="4"/>
  <c r="F2319" i="4"/>
  <c r="E2319" i="4"/>
  <c r="D2319" i="4"/>
  <c r="C2319" i="4"/>
  <c r="B2319" i="4"/>
  <c r="A2319" i="4"/>
  <c r="R2318" i="4"/>
  <c r="P2318" i="4"/>
  <c r="N2318" i="4"/>
  <c r="L2318" i="4"/>
  <c r="K2318" i="4"/>
  <c r="J2318" i="4"/>
  <c r="I2318" i="4"/>
  <c r="H2318" i="4"/>
  <c r="G2318" i="4"/>
  <c r="F2318" i="4"/>
  <c r="E2318" i="4"/>
  <c r="D2318" i="4"/>
  <c r="C2318" i="4"/>
  <c r="B2318" i="4"/>
  <c r="A2318" i="4"/>
  <c r="R2317" i="4"/>
  <c r="P2317" i="4"/>
  <c r="N2317" i="4"/>
  <c r="L2317" i="4"/>
  <c r="K2317" i="4"/>
  <c r="J2317" i="4"/>
  <c r="I2317" i="4"/>
  <c r="H2317" i="4"/>
  <c r="G2317" i="4"/>
  <c r="F2317" i="4"/>
  <c r="E2317" i="4"/>
  <c r="D2317" i="4"/>
  <c r="C2317" i="4"/>
  <c r="B2317" i="4"/>
  <c r="A2317" i="4"/>
  <c r="R2316" i="4"/>
  <c r="P2316" i="4"/>
  <c r="N2316" i="4"/>
  <c r="L2316" i="4"/>
  <c r="K2316" i="4"/>
  <c r="J2316" i="4"/>
  <c r="I2316" i="4"/>
  <c r="H2316" i="4"/>
  <c r="G2316" i="4"/>
  <c r="F2316" i="4"/>
  <c r="E2316" i="4"/>
  <c r="D2316" i="4"/>
  <c r="C2316" i="4"/>
  <c r="B2316" i="4"/>
  <c r="A2316" i="4"/>
  <c r="R2315" i="4"/>
  <c r="P2315" i="4"/>
  <c r="N2315" i="4"/>
  <c r="L2315" i="4"/>
  <c r="K2315" i="4"/>
  <c r="J2315" i="4"/>
  <c r="I2315" i="4"/>
  <c r="H2315" i="4"/>
  <c r="G2315" i="4"/>
  <c r="F2315" i="4"/>
  <c r="E2315" i="4"/>
  <c r="D2315" i="4"/>
  <c r="C2315" i="4"/>
  <c r="B2315" i="4"/>
  <c r="A2315" i="4"/>
  <c r="R2314" i="4"/>
  <c r="P2314" i="4"/>
  <c r="N2314" i="4"/>
  <c r="L2314" i="4"/>
  <c r="K2314" i="4"/>
  <c r="J2314" i="4"/>
  <c r="I2314" i="4"/>
  <c r="H2314" i="4"/>
  <c r="G2314" i="4"/>
  <c r="F2314" i="4"/>
  <c r="E2314" i="4"/>
  <c r="D2314" i="4"/>
  <c r="C2314" i="4"/>
  <c r="B2314" i="4"/>
  <c r="A2314" i="4"/>
  <c r="R2313" i="4"/>
  <c r="P2313" i="4"/>
  <c r="N2313" i="4"/>
  <c r="L2313" i="4"/>
  <c r="K2313" i="4"/>
  <c r="J2313" i="4"/>
  <c r="I2313" i="4"/>
  <c r="H2313" i="4"/>
  <c r="G2313" i="4"/>
  <c r="F2313" i="4"/>
  <c r="E2313" i="4"/>
  <c r="D2313" i="4"/>
  <c r="C2313" i="4"/>
  <c r="B2313" i="4"/>
  <c r="A2313" i="4"/>
  <c r="R2312" i="4"/>
  <c r="P2312" i="4"/>
  <c r="N2312" i="4"/>
  <c r="L2312" i="4"/>
  <c r="K2312" i="4"/>
  <c r="J2312" i="4"/>
  <c r="I2312" i="4"/>
  <c r="H2312" i="4"/>
  <c r="G2312" i="4"/>
  <c r="F2312" i="4"/>
  <c r="E2312" i="4"/>
  <c r="D2312" i="4"/>
  <c r="C2312" i="4"/>
  <c r="B2312" i="4"/>
  <c r="A2312" i="4"/>
  <c r="R2311" i="4"/>
  <c r="P2311" i="4"/>
  <c r="N2311" i="4"/>
  <c r="L2311" i="4"/>
  <c r="K2311" i="4"/>
  <c r="J2311" i="4"/>
  <c r="I2311" i="4"/>
  <c r="H2311" i="4"/>
  <c r="G2311" i="4"/>
  <c r="F2311" i="4"/>
  <c r="E2311" i="4"/>
  <c r="D2311" i="4"/>
  <c r="C2311" i="4"/>
  <c r="B2311" i="4"/>
  <c r="A2311" i="4"/>
  <c r="R2310" i="4"/>
  <c r="P2310" i="4"/>
  <c r="N2310" i="4"/>
  <c r="L2310" i="4"/>
  <c r="K2310" i="4"/>
  <c r="J2310" i="4"/>
  <c r="I2310" i="4"/>
  <c r="H2310" i="4"/>
  <c r="G2310" i="4"/>
  <c r="F2310" i="4"/>
  <c r="E2310" i="4"/>
  <c r="D2310" i="4"/>
  <c r="C2310" i="4"/>
  <c r="B2310" i="4"/>
  <c r="A2310" i="4"/>
  <c r="R2309" i="4"/>
  <c r="P2309" i="4"/>
  <c r="N2309" i="4"/>
  <c r="L2309" i="4"/>
  <c r="K2309" i="4"/>
  <c r="J2309" i="4"/>
  <c r="I2309" i="4"/>
  <c r="H2309" i="4"/>
  <c r="G2309" i="4"/>
  <c r="F2309" i="4"/>
  <c r="E2309" i="4"/>
  <c r="D2309" i="4"/>
  <c r="C2309" i="4"/>
  <c r="B2309" i="4"/>
  <c r="A2309" i="4"/>
  <c r="R2308" i="4"/>
  <c r="P2308" i="4"/>
  <c r="N2308" i="4"/>
  <c r="L2308" i="4"/>
  <c r="K2308" i="4"/>
  <c r="J2308" i="4"/>
  <c r="I2308" i="4"/>
  <c r="H2308" i="4"/>
  <c r="G2308" i="4"/>
  <c r="F2308" i="4"/>
  <c r="E2308" i="4"/>
  <c r="D2308" i="4"/>
  <c r="C2308" i="4"/>
  <c r="B2308" i="4"/>
  <c r="A2308" i="4"/>
  <c r="R2307" i="4"/>
  <c r="P2307" i="4"/>
  <c r="N2307" i="4"/>
  <c r="L2307" i="4"/>
  <c r="K2307" i="4"/>
  <c r="J2307" i="4"/>
  <c r="I2307" i="4"/>
  <c r="H2307" i="4"/>
  <c r="G2307" i="4"/>
  <c r="F2307" i="4"/>
  <c r="E2307" i="4"/>
  <c r="D2307" i="4"/>
  <c r="C2307" i="4"/>
  <c r="B2307" i="4"/>
  <c r="A2307" i="4"/>
  <c r="R2306" i="4"/>
  <c r="P2306" i="4"/>
  <c r="N2306" i="4"/>
  <c r="L2306" i="4"/>
  <c r="K2306" i="4"/>
  <c r="J2306" i="4"/>
  <c r="I2306" i="4"/>
  <c r="H2306" i="4"/>
  <c r="G2306" i="4"/>
  <c r="F2306" i="4"/>
  <c r="E2306" i="4"/>
  <c r="D2306" i="4"/>
  <c r="C2306" i="4"/>
  <c r="B2306" i="4"/>
  <c r="A2306" i="4"/>
  <c r="R2305" i="4"/>
  <c r="P2305" i="4"/>
  <c r="N2305" i="4"/>
  <c r="L2305" i="4"/>
  <c r="K2305" i="4"/>
  <c r="J2305" i="4"/>
  <c r="I2305" i="4"/>
  <c r="H2305" i="4"/>
  <c r="G2305" i="4"/>
  <c r="F2305" i="4"/>
  <c r="E2305" i="4"/>
  <c r="D2305" i="4"/>
  <c r="C2305" i="4"/>
  <c r="B2305" i="4"/>
  <c r="A2305" i="4"/>
  <c r="R2304" i="4"/>
  <c r="P2304" i="4"/>
  <c r="N2304" i="4"/>
  <c r="L2304" i="4"/>
  <c r="K2304" i="4"/>
  <c r="J2304" i="4"/>
  <c r="I2304" i="4"/>
  <c r="H2304" i="4"/>
  <c r="G2304" i="4"/>
  <c r="F2304" i="4"/>
  <c r="E2304" i="4"/>
  <c r="D2304" i="4"/>
  <c r="C2304" i="4"/>
  <c r="B2304" i="4"/>
  <c r="A2304" i="4"/>
  <c r="R2303" i="4"/>
  <c r="P2303" i="4"/>
  <c r="N2303" i="4"/>
  <c r="L2303" i="4"/>
  <c r="K2303" i="4"/>
  <c r="J2303" i="4"/>
  <c r="I2303" i="4"/>
  <c r="H2303" i="4"/>
  <c r="G2303" i="4"/>
  <c r="F2303" i="4"/>
  <c r="E2303" i="4"/>
  <c r="D2303" i="4"/>
  <c r="C2303" i="4"/>
  <c r="B2303" i="4"/>
  <c r="A2303" i="4"/>
  <c r="R2302" i="4"/>
  <c r="P2302" i="4"/>
  <c r="N2302" i="4"/>
  <c r="L2302" i="4"/>
  <c r="K2302" i="4"/>
  <c r="J2302" i="4"/>
  <c r="I2302" i="4"/>
  <c r="H2302" i="4"/>
  <c r="G2302" i="4"/>
  <c r="F2302" i="4"/>
  <c r="E2302" i="4"/>
  <c r="D2302" i="4"/>
  <c r="C2302" i="4"/>
  <c r="B2302" i="4"/>
  <c r="A2302" i="4"/>
  <c r="R2301" i="4"/>
  <c r="P2301" i="4"/>
  <c r="N2301" i="4"/>
  <c r="L2301" i="4"/>
  <c r="K2301" i="4"/>
  <c r="J2301" i="4"/>
  <c r="I2301" i="4"/>
  <c r="H2301" i="4"/>
  <c r="G2301" i="4"/>
  <c r="F2301" i="4"/>
  <c r="E2301" i="4"/>
  <c r="D2301" i="4"/>
  <c r="C2301" i="4"/>
  <c r="B2301" i="4"/>
  <c r="A2301" i="4"/>
  <c r="R2300" i="4"/>
  <c r="P2300" i="4"/>
  <c r="N2300" i="4"/>
  <c r="L2300" i="4"/>
  <c r="K2300" i="4"/>
  <c r="J2300" i="4"/>
  <c r="I2300" i="4"/>
  <c r="H2300" i="4"/>
  <c r="G2300" i="4"/>
  <c r="F2300" i="4"/>
  <c r="E2300" i="4"/>
  <c r="D2300" i="4"/>
  <c r="C2300" i="4"/>
  <c r="B2300" i="4"/>
  <c r="A2300" i="4"/>
  <c r="R2299" i="4"/>
  <c r="P2299" i="4"/>
  <c r="N2299" i="4"/>
  <c r="L2299" i="4"/>
  <c r="K2299" i="4"/>
  <c r="J2299" i="4"/>
  <c r="I2299" i="4"/>
  <c r="H2299" i="4"/>
  <c r="G2299" i="4"/>
  <c r="F2299" i="4"/>
  <c r="E2299" i="4"/>
  <c r="D2299" i="4"/>
  <c r="C2299" i="4"/>
  <c r="B2299" i="4"/>
  <c r="A2299" i="4"/>
  <c r="R2298" i="4"/>
  <c r="P2298" i="4"/>
  <c r="N2298" i="4"/>
  <c r="L2298" i="4"/>
  <c r="K2298" i="4"/>
  <c r="J2298" i="4"/>
  <c r="I2298" i="4"/>
  <c r="H2298" i="4"/>
  <c r="G2298" i="4"/>
  <c r="F2298" i="4"/>
  <c r="E2298" i="4"/>
  <c r="D2298" i="4"/>
  <c r="C2298" i="4"/>
  <c r="B2298" i="4"/>
  <c r="A2298" i="4"/>
  <c r="R2297" i="4"/>
  <c r="P2297" i="4"/>
  <c r="N2297" i="4"/>
  <c r="L2297" i="4"/>
  <c r="K2297" i="4"/>
  <c r="J2297" i="4"/>
  <c r="I2297" i="4"/>
  <c r="H2297" i="4"/>
  <c r="G2297" i="4"/>
  <c r="F2297" i="4"/>
  <c r="E2297" i="4"/>
  <c r="D2297" i="4"/>
  <c r="C2297" i="4"/>
  <c r="B2297" i="4"/>
  <c r="A2297" i="4"/>
  <c r="R2296" i="4"/>
  <c r="P2296" i="4"/>
  <c r="N2296" i="4"/>
  <c r="L2296" i="4"/>
  <c r="K2296" i="4"/>
  <c r="J2296" i="4"/>
  <c r="I2296" i="4"/>
  <c r="H2296" i="4"/>
  <c r="G2296" i="4"/>
  <c r="F2296" i="4"/>
  <c r="E2296" i="4"/>
  <c r="D2296" i="4"/>
  <c r="C2296" i="4"/>
  <c r="B2296" i="4"/>
  <c r="A2296" i="4"/>
  <c r="R2295" i="4"/>
  <c r="P2295" i="4"/>
  <c r="N2295" i="4"/>
  <c r="L2295" i="4"/>
  <c r="K2295" i="4"/>
  <c r="J2295" i="4"/>
  <c r="I2295" i="4"/>
  <c r="H2295" i="4"/>
  <c r="G2295" i="4"/>
  <c r="F2295" i="4"/>
  <c r="E2295" i="4"/>
  <c r="D2295" i="4"/>
  <c r="C2295" i="4"/>
  <c r="B2295" i="4"/>
  <c r="A2295" i="4"/>
  <c r="R2294" i="4"/>
  <c r="P2294" i="4"/>
  <c r="N2294" i="4"/>
  <c r="L2294" i="4"/>
  <c r="K2294" i="4"/>
  <c r="J2294" i="4"/>
  <c r="I2294" i="4"/>
  <c r="H2294" i="4"/>
  <c r="G2294" i="4"/>
  <c r="F2294" i="4"/>
  <c r="E2294" i="4"/>
  <c r="D2294" i="4"/>
  <c r="C2294" i="4"/>
  <c r="B2294" i="4"/>
  <c r="A2294" i="4"/>
  <c r="R2293" i="4"/>
  <c r="P2293" i="4"/>
  <c r="N2293" i="4"/>
  <c r="L2293" i="4"/>
  <c r="K2293" i="4"/>
  <c r="J2293" i="4"/>
  <c r="I2293" i="4"/>
  <c r="H2293" i="4"/>
  <c r="G2293" i="4"/>
  <c r="F2293" i="4"/>
  <c r="E2293" i="4"/>
  <c r="D2293" i="4"/>
  <c r="C2293" i="4"/>
  <c r="B2293" i="4"/>
  <c r="A2293" i="4"/>
  <c r="R2292" i="4"/>
  <c r="P2292" i="4"/>
  <c r="N2292" i="4"/>
  <c r="L2292" i="4"/>
  <c r="K2292" i="4"/>
  <c r="J2292" i="4"/>
  <c r="I2292" i="4"/>
  <c r="H2292" i="4"/>
  <c r="G2292" i="4"/>
  <c r="F2292" i="4"/>
  <c r="E2292" i="4"/>
  <c r="D2292" i="4"/>
  <c r="C2292" i="4"/>
  <c r="B2292" i="4"/>
  <c r="A2292" i="4"/>
  <c r="R2291" i="4"/>
  <c r="P2291" i="4"/>
  <c r="N2291" i="4"/>
  <c r="L2291" i="4"/>
  <c r="K2291" i="4"/>
  <c r="J2291" i="4"/>
  <c r="I2291" i="4"/>
  <c r="H2291" i="4"/>
  <c r="G2291" i="4"/>
  <c r="F2291" i="4"/>
  <c r="E2291" i="4"/>
  <c r="D2291" i="4"/>
  <c r="C2291" i="4"/>
  <c r="B2291" i="4"/>
  <c r="A2291" i="4"/>
  <c r="R2290" i="4"/>
  <c r="P2290" i="4"/>
  <c r="N2290" i="4"/>
  <c r="L2290" i="4"/>
  <c r="K2290" i="4"/>
  <c r="J2290" i="4"/>
  <c r="I2290" i="4"/>
  <c r="H2290" i="4"/>
  <c r="G2290" i="4"/>
  <c r="F2290" i="4"/>
  <c r="E2290" i="4"/>
  <c r="D2290" i="4"/>
  <c r="C2290" i="4"/>
  <c r="B2290" i="4"/>
  <c r="A2290" i="4"/>
  <c r="R2289" i="4"/>
  <c r="P2289" i="4"/>
  <c r="N2289" i="4"/>
  <c r="L2289" i="4"/>
  <c r="K2289" i="4"/>
  <c r="J2289" i="4"/>
  <c r="I2289" i="4"/>
  <c r="H2289" i="4"/>
  <c r="G2289" i="4"/>
  <c r="F2289" i="4"/>
  <c r="E2289" i="4"/>
  <c r="D2289" i="4"/>
  <c r="C2289" i="4"/>
  <c r="B2289" i="4"/>
  <c r="A2289" i="4"/>
  <c r="R2288" i="4"/>
  <c r="P2288" i="4"/>
  <c r="N2288" i="4"/>
  <c r="L2288" i="4"/>
  <c r="K2288" i="4"/>
  <c r="J2288" i="4"/>
  <c r="I2288" i="4"/>
  <c r="H2288" i="4"/>
  <c r="G2288" i="4"/>
  <c r="F2288" i="4"/>
  <c r="E2288" i="4"/>
  <c r="D2288" i="4"/>
  <c r="C2288" i="4"/>
  <c r="B2288" i="4"/>
  <c r="A2288" i="4"/>
  <c r="R2287" i="4"/>
  <c r="P2287" i="4"/>
  <c r="N2287" i="4"/>
  <c r="L2287" i="4"/>
  <c r="K2287" i="4"/>
  <c r="J2287" i="4"/>
  <c r="I2287" i="4"/>
  <c r="H2287" i="4"/>
  <c r="G2287" i="4"/>
  <c r="F2287" i="4"/>
  <c r="E2287" i="4"/>
  <c r="D2287" i="4"/>
  <c r="C2287" i="4"/>
  <c r="B2287" i="4"/>
  <c r="A2287" i="4"/>
  <c r="R2286" i="4"/>
  <c r="P2286" i="4"/>
  <c r="N2286" i="4"/>
  <c r="L2286" i="4"/>
  <c r="K2286" i="4"/>
  <c r="J2286" i="4"/>
  <c r="I2286" i="4"/>
  <c r="H2286" i="4"/>
  <c r="G2286" i="4"/>
  <c r="F2286" i="4"/>
  <c r="E2286" i="4"/>
  <c r="D2286" i="4"/>
  <c r="C2286" i="4"/>
  <c r="B2286" i="4"/>
  <c r="A2286" i="4"/>
  <c r="R2285" i="4"/>
  <c r="P2285" i="4"/>
  <c r="N2285" i="4"/>
  <c r="L2285" i="4"/>
  <c r="K2285" i="4"/>
  <c r="J2285" i="4"/>
  <c r="I2285" i="4"/>
  <c r="H2285" i="4"/>
  <c r="G2285" i="4"/>
  <c r="F2285" i="4"/>
  <c r="E2285" i="4"/>
  <c r="D2285" i="4"/>
  <c r="C2285" i="4"/>
  <c r="B2285" i="4"/>
  <c r="A2285" i="4"/>
  <c r="R2284" i="4"/>
  <c r="P2284" i="4"/>
  <c r="N2284" i="4"/>
  <c r="L2284" i="4"/>
  <c r="K2284" i="4"/>
  <c r="J2284" i="4"/>
  <c r="I2284" i="4"/>
  <c r="H2284" i="4"/>
  <c r="G2284" i="4"/>
  <c r="F2284" i="4"/>
  <c r="E2284" i="4"/>
  <c r="D2284" i="4"/>
  <c r="C2284" i="4"/>
  <c r="B2284" i="4"/>
  <c r="A2284" i="4"/>
  <c r="R2283" i="4"/>
  <c r="P2283" i="4"/>
  <c r="N2283" i="4"/>
  <c r="L2283" i="4"/>
  <c r="K2283" i="4"/>
  <c r="J2283" i="4"/>
  <c r="I2283" i="4"/>
  <c r="H2283" i="4"/>
  <c r="G2283" i="4"/>
  <c r="F2283" i="4"/>
  <c r="E2283" i="4"/>
  <c r="D2283" i="4"/>
  <c r="C2283" i="4"/>
  <c r="B2283" i="4"/>
  <c r="A2283" i="4"/>
  <c r="R2282" i="4"/>
  <c r="P2282" i="4"/>
  <c r="N2282" i="4"/>
  <c r="L2282" i="4"/>
  <c r="K2282" i="4"/>
  <c r="J2282" i="4"/>
  <c r="I2282" i="4"/>
  <c r="H2282" i="4"/>
  <c r="G2282" i="4"/>
  <c r="F2282" i="4"/>
  <c r="E2282" i="4"/>
  <c r="D2282" i="4"/>
  <c r="C2282" i="4"/>
  <c r="B2282" i="4"/>
  <c r="A2282" i="4"/>
  <c r="R2281" i="4"/>
  <c r="P2281" i="4"/>
  <c r="N2281" i="4"/>
  <c r="L2281" i="4"/>
  <c r="K2281" i="4"/>
  <c r="J2281" i="4"/>
  <c r="I2281" i="4"/>
  <c r="H2281" i="4"/>
  <c r="G2281" i="4"/>
  <c r="F2281" i="4"/>
  <c r="E2281" i="4"/>
  <c r="D2281" i="4"/>
  <c r="C2281" i="4"/>
  <c r="B2281" i="4"/>
  <c r="A2281" i="4"/>
  <c r="R2280" i="4"/>
  <c r="P2280" i="4"/>
  <c r="N2280" i="4"/>
  <c r="L2280" i="4"/>
  <c r="K2280" i="4"/>
  <c r="J2280" i="4"/>
  <c r="I2280" i="4"/>
  <c r="H2280" i="4"/>
  <c r="G2280" i="4"/>
  <c r="F2280" i="4"/>
  <c r="E2280" i="4"/>
  <c r="D2280" i="4"/>
  <c r="C2280" i="4"/>
  <c r="B2280" i="4"/>
  <c r="A2280" i="4"/>
  <c r="R2279" i="4"/>
  <c r="P2279" i="4"/>
  <c r="N2279" i="4"/>
  <c r="L2279" i="4"/>
  <c r="K2279" i="4"/>
  <c r="J2279" i="4"/>
  <c r="I2279" i="4"/>
  <c r="H2279" i="4"/>
  <c r="G2279" i="4"/>
  <c r="F2279" i="4"/>
  <c r="E2279" i="4"/>
  <c r="D2279" i="4"/>
  <c r="C2279" i="4"/>
  <c r="B2279" i="4"/>
  <c r="A2279" i="4"/>
  <c r="R2278" i="4"/>
  <c r="P2278" i="4"/>
  <c r="N2278" i="4"/>
  <c r="L2278" i="4"/>
  <c r="K2278" i="4"/>
  <c r="J2278" i="4"/>
  <c r="I2278" i="4"/>
  <c r="H2278" i="4"/>
  <c r="G2278" i="4"/>
  <c r="F2278" i="4"/>
  <c r="E2278" i="4"/>
  <c r="D2278" i="4"/>
  <c r="C2278" i="4"/>
  <c r="B2278" i="4"/>
  <c r="A2278" i="4"/>
  <c r="R2277" i="4"/>
  <c r="P2277" i="4"/>
  <c r="N2277" i="4"/>
  <c r="L2277" i="4"/>
  <c r="K2277" i="4"/>
  <c r="J2277" i="4"/>
  <c r="I2277" i="4"/>
  <c r="H2277" i="4"/>
  <c r="G2277" i="4"/>
  <c r="F2277" i="4"/>
  <c r="E2277" i="4"/>
  <c r="D2277" i="4"/>
  <c r="C2277" i="4"/>
  <c r="B2277" i="4"/>
  <c r="A2277" i="4"/>
  <c r="R2276" i="4"/>
  <c r="P2276" i="4"/>
  <c r="N2276" i="4"/>
  <c r="L2276" i="4"/>
  <c r="K2276" i="4"/>
  <c r="J2276" i="4"/>
  <c r="I2276" i="4"/>
  <c r="H2276" i="4"/>
  <c r="G2276" i="4"/>
  <c r="F2276" i="4"/>
  <c r="E2276" i="4"/>
  <c r="D2276" i="4"/>
  <c r="C2276" i="4"/>
  <c r="B2276" i="4"/>
  <c r="A2276" i="4"/>
  <c r="R2275" i="4"/>
  <c r="P2275" i="4"/>
  <c r="N2275" i="4"/>
  <c r="L2275" i="4"/>
  <c r="K2275" i="4"/>
  <c r="J2275" i="4"/>
  <c r="I2275" i="4"/>
  <c r="H2275" i="4"/>
  <c r="G2275" i="4"/>
  <c r="F2275" i="4"/>
  <c r="E2275" i="4"/>
  <c r="D2275" i="4"/>
  <c r="C2275" i="4"/>
  <c r="B2275" i="4"/>
  <c r="A2275" i="4"/>
  <c r="R2274" i="4"/>
  <c r="P2274" i="4"/>
  <c r="N2274" i="4"/>
  <c r="L2274" i="4"/>
  <c r="K2274" i="4"/>
  <c r="J2274" i="4"/>
  <c r="I2274" i="4"/>
  <c r="H2274" i="4"/>
  <c r="G2274" i="4"/>
  <c r="F2274" i="4"/>
  <c r="E2274" i="4"/>
  <c r="D2274" i="4"/>
  <c r="C2274" i="4"/>
  <c r="B2274" i="4"/>
  <c r="A2274" i="4"/>
  <c r="R2273" i="4"/>
  <c r="P2273" i="4"/>
  <c r="N2273" i="4"/>
  <c r="L2273" i="4"/>
  <c r="K2273" i="4"/>
  <c r="J2273" i="4"/>
  <c r="I2273" i="4"/>
  <c r="H2273" i="4"/>
  <c r="G2273" i="4"/>
  <c r="F2273" i="4"/>
  <c r="E2273" i="4"/>
  <c r="D2273" i="4"/>
  <c r="C2273" i="4"/>
  <c r="B2273" i="4"/>
  <c r="A2273" i="4"/>
  <c r="R2272" i="4"/>
  <c r="P2272" i="4"/>
  <c r="N2272" i="4"/>
  <c r="L2272" i="4"/>
  <c r="K2272" i="4"/>
  <c r="J2272" i="4"/>
  <c r="I2272" i="4"/>
  <c r="H2272" i="4"/>
  <c r="G2272" i="4"/>
  <c r="F2272" i="4"/>
  <c r="E2272" i="4"/>
  <c r="D2272" i="4"/>
  <c r="C2272" i="4"/>
  <c r="B2272" i="4"/>
  <c r="A2272" i="4"/>
  <c r="R2271" i="4"/>
  <c r="P2271" i="4"/>
  <c r="N2271" i="4"/>
  <c r="L2271" i="4"/>
  <c r="K2271" i="4"/>
  <c r="J2271" i="4"/>
  <c r="I2271" i="4"/>
  <c r="H2271" i="4"/>
  <c r="G2271" i="4"/>
  <c r="F2271" i="4"/>
  <c r="E2271" i="4"/>
  <c r="D2271" i="4"/>
  <c r="C2271" i="4"/>
  <c r="B2271" i="4"/>
  <c r="A2271" i="4"/>
  <c r="R2270" i="4"/>
  <c r="P2270" i="4"/>
  <c r="N2270" i="4"/>
  <c r="L2270" i="4"/>
  <c r="K2270" i="4"/>
  <c r="J2270" i="4"/>
  <c r="I2270" i="4"/>
  <c r="H2270" i="4"/>
  <c r="G2270" i="4"/>
  <c r="F2270" i="4"/>
  <c r="E2270" i="4"/>
  <c r="D2270" i="4"/>
  <c r="C2270" i="4"/>
  <c r="B2270" i="4"/>
  <c r="A2270" i="4"/>
  <c r="R2269" i="4"/>
  <c r="P2269" i="4"/>
  <c r="N2269" i="4"/>
  <c r="L2269" i="4"/>
  <c r="K2269" i="4"/>
  <c r="J2269" i="4"/>
  <c r="I2269" i="4"/>
  <c r="H2269" i="4"/>
  <c r="G2269" i="4"/>
  <c r="F2269" i="4"/>
  <c r="E2269" i="4"/>
  <c r="D2269" i="4"/>
  <c r="C2269" i="4"/>
  <c r="B2269" i="4"/>
  <c r="A2269" i="4"/>
  <c r="R2268" i="4"/>
  <c r="P2268" i="4"/>
  <c r="N2268" i="4"/>
  <c r="L2268" i="4"/>
  <c r="K2268" i="4"/>
  <c r="J2268" i="4"/>
  <c r="I2268" i="4"/>
  <c r="H2268" i="4"/>
  <c r="G2268" i="4"/>
  <c r="F2268" i="4"/>
  <c r="E2268" i="4"/>
  <c r="D2268" i="4"/>
  <c r="C2268" i="4"/>
  <c r="B2268" i="4"/>
  <c r="A2268" i="4"/>
  <c r="R2267" i="4"/>
  <c r="P2267" i="4"/>
  <c r="N2267" i="4"/>
  <c r="L2267" i="4"/>
  <c r="K2267" i="4"/>
  <c r="J2267" i="4"/>
  <c r="I2267" i="4"/>
  <c r="H2267" i="4"/>
  <c r="G2267" i="4"/>
  <c r="F2267" i="4"/>
  <c r="E2267" i="4"/>
  <c r="D2267" i="4"/>
  <c r="C2267" i="4"/>
  <c r="B2267" i="4"/>
  <c r="A2267" i="4"/>
  <c r="R2266" i="4"/>
  <c r="P2266" i="4"/>
  <c r="N2266" i="4"/>
  <c r="L2266" i="4"/>
  <c r="K2266" i="4"/>
  <c r="J2266" i="4"/>
  <c r="I2266" i="4"/>
  <c r="H2266" i="4"/>
  <c r="G2266" i="4"/>
  <c r="F2266" i="4"/>
  <c r="E2266" i="4"/>
  <c r="D2266" i="4"/>
  <c r="C2266" i="4"/>
  <c r="B2266" i="4"/>
  <c r="A2266" i="4"/>
  <c r="R2265" i="4"/>
  <c r="P2265" i="4"/>
  <c r="N2265" i="4"/>
  <c r="L2265" i="4"/>
  <c r="K2265" i="4"/>
  <c r="J2265" i="4"/>
  <c r="I2265" i="4"/>
  <c r="H2265" i="4"/>
  <c r="G2265" i="4"/>
  <c r="F2265" i="4"/>
  <c r="E2265" i="4"/>
  <c r="D2265" i="4"/>
  <c r="C2265" i="4"/>
  <c r="B2265" i="4"/>
  <c r="A2265" i="4"/>
  <c r="R2264" i="4"/>
  <c r="P2264" i="4"/>
  <c r="N2264" i="4"/>
  <c r="L2264" i="4"/>
  <c r="K2264" i="4"/>
  <c r="J2264" i="4"/>
  <c r="I2264" i="4"/>
  <c r="H2264" i="4"/>
  <c r="G2264" i="4"/>
  <c r="F2264" i="4"/>
  <c r="E2264" i="4"/>
  <c r="D2264" i="4"/>
  <c r="C2264" i="4"/>
  <c r="B2264" i="4"/>
  <c r="A2264" i="4"/>
  <c r="R2263" i="4"/>
  <c r="P2263" i="4"/>
  <c r="N2263" i="4"/>
  <c r="L2263" i="4"/>
  <c r="K2263" i="4"/>
  <c r="J2263" i="4"/>
  <c r="I2263" i="4"/>
  <c r="H2263" i="4"/>
  <c r="G2263" i="4"/>
  <c r="F2263" i="4"/>
  <c r="E2263" i="4"/>
  <c r="D2263" i="4"/>
  <c r="C2263" i="4"/>
  <c r="B2263" i="4"/>
  <c r="A2263" i="4"/>
  <c r="R2262" i="4"/>
  <c r="P2262" i="4"/>
  <c r="N2262" i="4"/>
  <c r="L2262" i="4"/>
  <c r="K2262" i="4"/>
  <c r="J2262" i="4"/>
  <c r="I2262" i="4"/>
  <c r="H2262" i="4"/>
  <c r="G2262" i="4"/>
  <c r="F2262" i="4"/>
  <c r="E2262" i="4"/>
  <c r="D2262" i="4"/>
  <c r="C2262" i="4"/>
  <c r="B2262" i="4"/>
  <c r="A2262" i="4"/>
  <c r="R2261" i="4"/>
  <c r="P2261" i="4"/>
  <c r="N2261" i="4"/>
  <c r="L2261" i="4"/>
  <c r="K2261" i="4"/>
  <c r="J2261" i="4"/>
  <c r="I2261" i="4"/>
  <c r="H2261" i="4"/>
  <c r="G2261" i="4"/>
  <c r="F2261" i="4"/>
  <c r="E2261" i="4"/>
  <c r="D2261" i="4"/>
  <c r="C2261" i="4"/>
  <c r="B2261" i="4"/>
  <c r="A2261" i="4"/>
  <c r="R2260" i="4"/>
  <c r="P2260" i="4"/>
  <c r="N2260" i="4"/>
  <c r="L2260" i="4"/>
  <c r="K2260" i="4"/>
  <c r="J2260" i="4"/>
  <c r="I2260" i="4"/>
  <c r="H2260" i="4"/>
  <c r="G2260" i="4"/>
  <c r="F2260" i="4"/>
  <c r="E2260" i="4"/>
  <c r="D2260" i="4"/>
  <c r="C2260" i="4"/>
  <c r="B2260" i="4"/>
  <c r="A2260" i="4"/>
  <c r="R2259" i="4"/>
  <c r="P2259" i="4"/>
  <c r="N2259" i="4"/>
  <c r="L2259" i="4"/>
  <c r="K2259" i="4"/>
  <c r="J2259" i="4"/>
  <c r="I2259" i="4"/>
  <c r="H2259" i="4"/>
  <c r="G2259" i="4"/>
  <c r="F2259" i="4"/>
  <c r="E2259" i="4"/>
  <c r="D2259" i="4"/>
  <c r="C2259" i="4"/>
  <c r="B2259" i="4"/>
  <c r="A2259" i="4"/>
  <c r="R2258" i="4"/>
  <c r="P2258" i="4"/>
  <c r="N2258" i="4"/>
  <c r="L2258" i="4"/>
  <c r="K2258" i="4"/>
  <c r="J2258" i="4"/>
  <c r="I2258" i="4"/>
  <c r="H2258" i="4"/>
  <c r="G2258" i="4"/>
  <c r="F2258" i="4"/>
  <c r="E2258" i="4"/>
  <c r="D2258" i="4"/>
  <c r="C2258" i="4"/>
  <c r="B2258" i="4"/>
  <c r="A2258" i="4"/>
  <c r="R2257" i="4"/>
  <c r="P2257" i="4"/>
  <c r="N2257" i="4"/>
  <c r="L2257" i="4"/>
  <c r="K2257" i="4"/>
  <c r="J2257" i="4"/>
  <c r="I2257" i="4"/>
  <c r="H2257" i="4"/>
  <c r="G2257" i="4"/>
  <c r="F2257" i="4"/>
  <c r="E2257" i="4"/>
  <c r="D2257" i="4"/>
  <c r="C2257" i="4"/>
  <c r="B2257" i="4"/>
  <c r="A2257" i="4"/>
  <c r="R2256" i="4"/>
  <c r="P2256" i="4"/>
  <c r="N2256" i="4"/>
  <c r="L2256" i="4"/>
  <c r="K2256" i="4"/>
  <c r="J2256" i="4"/>
  <c r="I2256" i="4"/>
  <c r="H2256" i="4"/>
  <c r="G2256" i="4"/>
  <c r="F2256" i="4"/>
  <c r="E2256" i="4"/>
  <c r="D2256" i="4"/>
  <c r="C2256" i="4"/>
  <c r="B2256" i="4"/>
  <c r="A2256" i="4"/>
  <c r="R2255" i="4"/>
  <c r="P2255" i="4"/>
  <c r="N2255" i="4"/>
  <c r="L2255" i="4"/>
  <c r="K2255" i="4"/>
  <c r="J2255" i="4"/>
  <c r="I2255" i="4"/>
  <c r="H2255" i="4"/>
  <c r="G2255" i="4"/>
  <c r="F2255" i="4"/>
  <c r="E2255" i="4"/>
  <c r="D2255" i="4"/>
  <c r="C2255" i="4"/>
  <c r="B2255" i="4"/>
  <c r="A2255" i="4"/>
  <c r="R2254" i="4"/>
  <c r="P2254" i="4"/>
  <c r="N2254" i="4"/>
  <c r="L2254" i="4"/>
  <c r="K2254" i="4"/>
  <c r="J2254" i="4"/>
  <c r="I2254" i="4"/>
  <c r="H2254" i="4"/>
  <c r="G2254" i="4"/>
  <c r="F2254" i="4"/>
  <c r="E2254" i="4"/>
  <c r="D2254" i="4"/>
  <c r="C2254" i="4"/>
  <c r="B2254" i="4"/>
  <c r="A2254" i="4"/>
  <c r="R2253" i="4"/>
  <c r="P2253" i="4"/>
  <c r="N2253" i="4"/>
  <c r="L2253" i="4"/>
  <c r="K2253" i="4"/>
  <c r="J2253" i="4"/>
  <c r="I2253" i="4"/>
  <c r="H2253" i="4"/>
  <c r="G2253" i="4"/>
  <c r="F2253" i="4"/>
  <c r="E2253" i="4"/>
  <c r="D2253" i="4"/>
  <c r="C2253" i="4"/>
  <c r="B2253" i="4"/>
  <c r="A2253" i="4"/>
  <c r="R2252" i="4"/>
  <c r="P2252" i="4"/>
  <c r="N2252" i="4"/>
  <c r="L2252" i="4"/>
  <c r="K2252" i="4"/>
  <c r="J2252" i="4"/>
  <c r="I2252" i="4"/>
  <c r="H2252" i="4"/>
  <c r="G2252" i="4"/>
  <c r="F2252" i="4"/>
  <c r="E2252" i="4"/>
  <c r="D2252" i="4"/>
  <c r="C2252" i="4"/>
  <c r="B2252" i="4"/>
  <c r="A2252" i="4"/>
  <c r="R2251" i="4"/>
  <c r="P2251" i="4"/>
  <c r="N2251" i="4"/>
  <c r="L2251" i="4"/>
  <c r="K2251" i="4"/>
  <c r="J2251" i="4"/>
  <c r="I2251" i="4"/>
  <c r="H2251" i="4"/>
  <c r="G2251" i="4"/>
  <c r="F2251" i="4"/>
  <c r="E2251" i="4"/>
  <c r="D2251" i="4"/>
  <c r="C2251" i="4"/>
  <c r="B2251" i="4"/>
  <c r="A2251" i="4"/>
  <c r="R2250" i="4"/>
  <c r="P2250" i="4"/>
  <c r="N2250" i="4"/>
  <c r="L2250" i="4"/>
  <c r="K2250" i="4"/>
  <c r="J2250" i="4"/>
  <c r="I2250" i="4"/>
  <c r="H2250" i="4"/>
  <c r="G2250" i="4"/>
  <c r="F2250" i="4"/>
  <c r="E2250" i="4"/>
  <c r="D2250" i="4"/>
  <c r="C2250" i="4"/>
  <c r="B2250" i="4"/>
  <c r="A2250" i="4"/>
  <c r="R2249" i="4"/>
  <c r="P2249" i="4"/>
  <c r="N2249" i="4"/>
  <c r="L2249" i="4"/>
  <c r="K2249" i="4"/>
  <c r="J2249" i="4"/>
  <c r="I2249" i="4"/>
  <c r="H2249" i="4"/>
  <c r="G2249" i="4"/>
  <c r="F2249" i="4"/>
  <c r="E2249" i="4"/>
  <c r="D2249" i="4"/>
  <c r="C2249" i="4"/>
  <c r="B2249" i="4"/>
  <c r="A2249" i="4"/>
  <c r="R2248" i="4"/>
  <c r="P2248" i="4"/>
  <c r="N2248" i="4"/>
  <c r="L2248" i="4"/>
  <c r="K2248" i="4"/>
  <c r="J2248" i="4"/>
  <c r="I2248" i="4"/>
  <c r="H2248" i="4"/>
  <c r="G2248" i="4"/>
  <c r="F2248" i="4"/>
  <c r="E2248" i="4"/>
  <c r="D2248" i="4"/>
  <c r="C2248" i="4"/>
  <c r="B2248" i="4"/>
  <c r="A2248" i="4"/>
  <c r="R2247" i="4"/>
  <c r="P2247" i="4"/>
  <c r="N2247" i="4"/>
  <c r="L2247" i="4"/>
  <c r="K2247" i="4"/>
  <c r="J2247" i="4"/>
  <c r="I2247" i="4"/>
  <c r="H2247" i="4"/>
  <c r="G2247" i="4"/>
  <c r="F2247" i="4"/>
  <c r="E2247" i="4"/>
  <c r="D2247" i="4"/>
  <c r="C2247" i="4"/>
  <c r="B2247" i="4"/>
  <c r="A2247" i="4"/>
  <c r="R2246" i="4"/>
  <c r="P2246" i="4"/>
  <c r="N2246" i="4"/>
  <c r="L2246" i="4"/>
  <c r="K2246" i="4"/>
  <c r="J2246" i="4"/>
  <c r="I2246" i="4"/>
  <c r="H2246" i="4"/>
  <c r="G2246" i="4"/>
  <c r="F2246" i="4"/>
  <c r="E2246" i="4"/>
  <c r="D2246" i="4"/>
  <c r="C2246" i="4"/>
  <c r="B2246" i="4"/>
  <c r="A2246" i="4"/>
  <c r="R2245" i="4"/>
  <c r="P2245" i="4"/>
  <c r="N2245" i="4"/>
  <c r="L2245" i="4"/>
  <c r="K2245" i="4"/>
  <c r="J2245" i="4"/>
  <c r="I2245" i="4"/>
  <c r="H2245" i="4"/>
  <c r="G2245" i="4"/>
  <c r="F2245" i="4"/>
  <c r="E2245" i="4"/>
  <c r="D2245" i="4"/>
  <c r="C2245" i="4"/>
  <c r="B2245" i="4"/>
  <c r="A2245" i="4"/>
  <c r="R2244" i="4"/>
  <c r="P2244" i="4"/>
  <c r="N2244" i="4"/>
  <c r="L2244" i="4"/>
  <c r="K2244" i="4"/>
  <c r="J2244" i="4"/>
  <c r="I2244" i="4"/>
  <c r="H2244" i="4"/>
  <c r="G2244" i="4"/>
  <c r="F2244" i="4"/>
  <c r="E2244" i="4"/>
  <c r="D2244" i="4"/>
  <c r="C2244" i="4"/>
  <c r="B2244" i="4"/>
  <c r="A2244" i="4"/>
  <c r="R2243" i="4"/>
  <c r="P2243" i="4"/>
  <c r="N2243" i="4"/>
  <c r="L2243" i="4"/>
  <c r="K2243" i="4"/>
  <c r="J2243" i="4"/>
  <c r="I2243" i="4"/>
  <c r="H2243" i="4"/>
  <c r="G2243" i="4"/>
  <c r="F2243" i="4"/>
  <c r="E2243" i="4"/>
  <c r="D2243" i="4"/>
  <c r="C2243" i="4"/>
  <c r="B2243" i="4"/>
  <c r="A2243" i="4"/>
  <c r="R2242" i="4"/>
  <c r="P2242" i="4"/>
  <c r="N2242" i="4"/>
  <c r="L2242" i="4"/>
  <c r="K2242" i="4"/>
  <c r="J2242" i="4"/>
  <c r="I2242" i="4"/>
  <c r="H2242" i="4"/>
  <c r="G2242" i="4"/>
  <c r="F2242" i="4"/>
  <c r="E2242" i="4"/>
  <c r="D2242" i="4"/>
  <c r="C2242" i="4"/>
  <c r="B2242" i="4"/>
  <c r="A2242" i="4"/>
  <c r="R2241" i="4"/>
  <c r="P2241" i="4"/>
  <c r="N2241" i="4"/>
  <c r="L2241" i="4"/>
  <c r="K2241" i="4"/>
  <c r="J2241" i="4"/>
  <c r="I2241" i="4"/>
  <c r="H2241" i="4"/>
  <c r="G2241" i="4"/>
  <c r="F2241" i="4"/>
  <c r="E2241" i="4"/>
  <c r="D2241" i="4"/>
  <c r="C2241" i="4"/>
  <c r="B2241" i="4"/>
  <c r="A2241" i="4"/>
  <c r="R2240" i="4"/>
  <c r="P2240" i="4"/>
  <c r="N2240" i="4"/>
  <c r="L2240" i="4"/>
  <c r="K2240" i="4"/>
  <c r="J2240" i="4"/>
  <c r="I2240" i="4"/>
  <c r="H2240" i="4"/>
  <c r="G2240" i="4"/>
  <c r="F2240" i="4"/>
  <c r="E2240" i="4"/>
  <c r="D2240" i="4"/>
  <c r="C2240" i="4"/>
  <c r="B2240" i="4"/>
  <c r="A2240" i="4"/>
  <c r="R2239" i="4"/>
  <c r="P2239" i="4"/>
  <c r="N2239" i="4"/>
  <c r="L2239" i="4"/>
  <c r="K2239" i="4"/>
  <c r="J2239" i="4"/>
  <c r="I2239" i="4"/>
  <c r="H2239" i="4"/>
  <c r="G2239" i="4"/>
  <c r="F2239" i="4"/>
  <c r="E2239" i="4"/>
  <c r="D2239" i="4"/>
  <c r="C2239" i="4"/>
  <c r="B2239" i="4"/>
  <c r="A2239" i="4"/>
  <c r="R2238" i="4"/>
  <c r="P2238" i="4"/>
  <c r="N2238" i="4"/>
  <c r="L2238" i="4"/>
  <c r="K2238" i="4"/>
  <c r="J2238" i="4"/>
  <c r="I2238" i="4"/>
  <c r="H2238" i="4"/>
  <c r="G2238" i="4"/>
  <c r="F2238" i="4"/>
  <c r="E2238" i="4"/>
  <c r="D2238" i="4"/>
  <c r="C2238" i="4"/>
  <c r="B2238" i="4"/>
  <c r="A2238" i="4"/>
  <c r="R2237" i="4"/>
  <c r="P2237" i="4"/>
  <c r="N2237" i="4"/>
  <c r="L2237" i="4"/>
  <c r="K2237" i="4"/>
  <c r="J2237" i="4"/>
  <c r="I2237" i="4"/>
  <c r="H2237" i="4"/>
  <c r="G2237" i="4"/>
  <c r="F2237" i="4"/>
  <c r="E2237" i="4"/>
  <c r="D2237" i="4"/>
  <c r="C2237" i="4"/>
  <c r="B2237" i="4"/>
  <c r="A2237" i="4"/>
  <c r="R2236" i="4"/>
  <c r="P2236" i="4"/>
  <c r="N2236" i="4"/>
  <c r="L2236" i="4"/>
  <c r="K2236" i="4"/>
  <c r="J2236" i="4"/>
  <c r="I2236" i="4"/>
  <c r="H2236" i="4"/>
  <c r="G2236" i="4"/>
  <c r="F2236" i="4"/>
  <c r="E2236" i="4"/>
  <c r="D2236" i="4"/>
  <c r="C2236" i="4"/>
  <c r="B2236" i="4"/>
  <c r="A2236" i="4"/>
  <c r="R2235" i="4"/>
  <c r="P2235" i="4"/>
  <c r="N2235" i="4"/>
  <c r="L2235" i="4"/>
  <c r="K2235" i="4"/>
  <c r="J2235" i="4"/>
  <c r="I2235" i="4"/>
  <c r="H2235" i="4"/>
  <c r="G2235" i="4"/>
  <c r="F2235" i="4"/>
  <c r="E2235" i="4"/>
  <c r="D2235" i="4"/>
  <c r="C2235" i="4"/>
  <c r="B2235" i="4"/>
  <c r="A2235" i="4"/>
  <c r="R2234" i="4"/>
  <c r="P2234" i="4"/>
  <c r="N2234" i="4"/>
  <c r="L2234" i="4"/>
  <c r="K2234" i="4"/>
  <c r="J2234" i="4"/>
  <c r="I2234" i="4"/>
  <c r="H2234" i="4"/>
  <c r="G2234" i="4"/>
  <c r="F2234" i="4"/>
  <c r="E2234" i="4"/>
  <c r="D2234" i="4"/>
  <c r="C2234" i="4"/>
  <c r="B2234" i="4"/>
  <c r="A2234" i="4"/>
  <c r="R2233" i="4"/>
  <c r="P2233" i="4"/>
  <c r="N2233" i="4"/>
  <c r="L2233" i="4"/>
  <c r="K2233" i="4"/>
  <c r="J2233" i="4"/>
  <c r="I2233" i="4"/>
  <c r="H2233" i="4"/>
  <c r="G2233" i="4"/>
  <c r="F2233" i="4"/>
  <c r="E2233" i="4"/>
  <c r="D2233" i="4"/>
  <c r="C2233" i="4"/>
  <c r="B2233" i="4"/>
  <c r="A2233" i="4"/>
  <c r="R2232" i="4"/>
  <c r="P2232" i="4"/>
  <c r="N2232" i="4"/>
  <c r="L2232" i="4"/>
  <c r="K2232" i="4"/>
  <c r="J2232" i="4"/>
  <c r="I2232" i="4"/>
  <c r="H2232" i="4"/>
  <c r="G2232" i="4"/>
  <c r="F2232" i="4"/>
  <c r="E2232" i="4"/>
  <c r="D2232" i="4"/>
  <c r="C2232" i="4"/>
  <c r="B2232" i="4"/>
  <c r="A2232" i="4"/>
  <c r="R2231" i="4"/>
  <c r="P2231" i="4"/>
  <c r="N2231" i="4"/>
  <c r="L2231" i="4"/>
  <c r="K2231" i="4"/>
  <c r="J2231" i="4"/>
  <c r="I2231" i="4"/>
  <c r="H2231" i="4"/>
  <c r="G2231" i="4"/>
  <c r="F2231" i="4"/>
  <c r="E2231" i="4"/>
  <c r="D2231" i="4"/>
  <c r="C2231" i="4"/>
  <c r="B2231" i="4"/>
  <c r="A2231" i="4"/>
  <c r="R2230" i="4"/>
  <c r="P2230" i="4"/>
  <c r="N2230" i="4"/>
  <c r="L2230" i="4"/>
  <c r="K2230" i="4"/>
  <c r="J2230" i="4"/>
  <c r="I2230" i="4"/>
  <c r="H2230" i="4"/>
  <c r="G2230" i="4"/>
  <c r="F2230" i="4"/>
  <c r="E2230" i="4"/>
  <c r="D2230" i="4"/>
  <c r="C2230" i="4"/>
  <c r="B2230" i="4"/>
  <c r="A2230" i="4"/>
  <c r="R2229" i="4"/>
  <c r="P2229" i="4"/>
  <c r="N2229" i="4"/>
  <c r="L2229" i="4"/>
  <c r="K2229" i="4"/>
  <c r="J2229" i="4"/>
  <c r="I2229" i="4"/>
  <c r="H2229" i="4"/>
  <c r="G2229" i="4"/>
  <c r="F2229" i="4"/>
  <c r="E2229" i="4"/>
  <c r="D2229" i="4"/>
  <c r="C2229" i="4"/>
  <c r="B2229" i="4"/>
  <c r="A2229" i="4"/>
  <c r="R2228" i="4"/>
  <c r="P2228" i="4"/>
  <c r="N2228" i="4"/>
  <c r="L2228" i="4"/>
  <c r="K2228" i="4"/>
  <c r="J2228" i="4"/>
  <c r="I2228" i="4"/>
  <c r="H2228" i="4"/>
  <c r="G2228" i="4"/>
  <c r="F2228" i="4"/>
  <c r="E2228" i="4"/>
  <c r="D2228" i="4"/>
  <c r="C2228" i="4"/>
  <c r="B2228" i="4"/>
  <c r="A2228" i="4"/>
  <c r="R2227" i="4"/>
  <c r="P2227" i="4"/>
  <c r="N2227" i="4"/>
  <c r="L2227" i="4"/>
  <c r="K2227" i="4"/>
  <c r="J2227" i="4"/>
  <c r="I2227" i="4"/>
  <c r="H2227" i="4"/>
  <c r="G2227" i="4"/>
  <c r="F2227" i="4"/>
  <c r="E2227" i="4"/>
  <c r="D2227" i="4"/>
  <c r="C2227" i="4"/>
  <c r="B2227" i="4"/>
  <c r="A2227" i="4"/>
  <c r="R2226" i="4"/>
  <c r="P2226" i="4"/>
  <c r="N2226" i="4"/>
  <c r="L2226" i="4"/>
  <c r="K2226" i="4"/>
  <c r="J2226" i="4"/>
  <c r="I2226" i="4"/>
  <c r="H2226" i="4"/>
  <c r="G2226" i="4"/>
  <c r="F2226" i="4"/>
  <c r="E2226" i="4"/>
  <c r="D2226" i="4"/>
  <c r="C2226" i="4"/>
  <c r="B2226" i="4"/>
  <c r="A2226" i="4"/>
  <c r="R2225" i="4"/>
  <c r="P2225" i="4"/>
  <c r="N2225" i="4"/>
  <c r="L2225" i="4"/>
  <c r="K2225" i="4"/>
  <c r="J2225" i="4"/>
  <c r="I2225" i="4"/>
  <c r="H2225" i="4"/>
  <c r="G2225" i="4"/>
  <c r="F2225" i="4"/>
  <c r="E2225" i="4"/>
  <c r="D2225" i="4"/>
  <c r="C2225" i="4"/>
  <c r="B2225" i="4"/>
  <c r="A2225" i="4"/>
  <c r="R2224" i="4"/>
  <c r="P2224" i="4"/>
  <c r="N2224" i="4"/>
  <c r="L2224" i="4"/>
  <c r="K2224" i="4"/>
  <c r="J2224" i="4"/>
  <c r="I2224" i="4"/>
  <c r="H2224" i="4"/>
  <c r="G2224" i="4"/>
  <c r="F2224" i="4"/>
  <c r="E2224" i="4"/>
  <c r="D2224" i="4"/>
  <c r="C2224" i="4"/>
  <c r="B2224" i="4"/>
  <c r="A2224" i="4"/>
  <c r="R2223" i="4"/>
  <c r="P2223" i="4"/>
  <c r="N2223" i="4"/>
  <c r="L2223" i="4"/>
  <c r="K2223" i="4"/>
  <c r="J2223" i="4"/>
  <c r="I2223" i="4"/>
  <c r="H2223" i="4"/>
  <c r="G2223" i="4"/>
  <c r="F2223" i="4"/>
  <c r="E2223" i="4"/>
  <c r="D2223" i="4"/>
  <c r="C2223" i="4"/>
  <c r="B2223" i="4"/>
  <c r="A2223" i="4"/>
  <c r="R2222" i="4"/>
  <c r="P2222" i="4"/>
  <c r="N2222" i="4"/>
  <c r="L2222" i="4"/>
  <c r="K2222" i="4"/>
  <c r="J2222" i="4"/>
  <c r="I2222" i="4"/>
  <c r="H2222" i="4"/>
  <c r="G2222" i="4"/>
  <c r="F2222" i="4"/>
  <c r="E2222" i="4"/>
  <c r="D2222" i="4"/>
  <c r="C2222" i="4"/>
  <c r="B2222" i="4"/>
  <c r="A2222" i="4"/>
  <c r="R2221" i="4"/>
  <c r="P2221" i="4"/>
  <c r="N2221" i="4"/>
  <c r="L2221" i="4"/>
  <c r="K2221" i="4"/>
  <c r="J2221" i="4"/>
  <c r="I2221" i="4"/>
  <c r="H2221" i="4"/>
  <c r="G2221" i="4"/>
  <c r="F2221" i="4"/>
  <c r="E2221" i="4"/>
  <c r="D2221" i="4"/>
  <c r="C2221" i="4"/>
  <c r="B2221" i="4"/>
  <c r="A2221" i="4"/>
  <c r="R2220" i="4"/>
  <c r="P2220" i="4"/>
  <c r="N2220" i="4"/>
  <c r="L2220" i="4"/>
  <c r="K2220" i="4"/>
  <c r="J2220" i="4"/>
  <c r="I2220" i="4"/>
  <c r="H2220" i="4"/>
  <c r="G2220" i="4"/>
  <c r="F2220" i="4"/>
  <c r="E2220" i="4"/>
  <c r="D2220" i="4"/>
  <c r="C2220" i="4"/>
  <c r="B2220" i="4"/>
  <c r="A2220" i="4"/>
  <c r="R2219" i="4"/>
  <c r="P2219" i="4"/>
  <c r="N2219" i="4"/>
  <c r="L2219" i="4"/>
  <c r="K2219" i="4"/>
  <c r="J2219" i="4"/>
  <c r="I2219" i="4"/>
  <c r="H2219" i="4"/>
  <c r="G2219" i="4"/>
  <c r="F2219" i="4"/>
  <c r="E2219" i="4"/>
  <c r="D2219" i="4"/>
  <c r="C2219" i="4"/>
  <c r="B2219" i="4"/>
  <c r="A2219" i="4"/>
  <c r="R2218" i="4"/>
  <c r="P2218" i="4"/>
  <c r="N2218" i="4"/>
  <c r="L2218" i="4"/>
  <c r="K2218" i="4"/>
  <c r="J2218" i="4"/>
  <c r="I2218" i="4"/>
  <c r="H2218" i="4"/>
  <c r="G2218" i="4"/>
  <c r="F2218" i="4"/>
  <c r="E2218" i="4"/>
  <c r="D2218" i="4"/>
  <c r="C2218" i="4"/>
  <c r="B2218" i="4"/>
  <c r="A2218" i="4"/>
  <c r="R2217" i="4"/>
  <c r="P2217" i="4"/>
  <c r="N2217" i="4"/>
  <c r="L2217" i="4"/>
  <c r="K2217" i="4"/>
  <c r="J2217" i="4"/>
  <c r="I2217" i="4"/>
  <c r="H2217" i="4"/>
  <c r="G2217" i="4"/>
  <c r="F2217" i="4"/>
  <c r="E2217" i="4"/>
  <c r="D2217" i="4"/>
  <c r="C2217" i="4"/>
  <c r="B2217" i="4"/>
  <c r="A2217" i="4"/>
  <c r="R2216" i="4"/>
  <c r="P2216" i="4"/>
  <c r="N2216" i="4"/>
  <c r="L2216" i="4"/>
  <c r="K2216" i="4"/>
  <c r="J2216" i="4"/>
  <c r="I2216" i="4"/>
  <c r="H2216" i="4"/>
  <c r="G2216" i="4"/>
  <c r="F2216" i="4"/>
  <c r="E2216" i="4"/>
  <c r="D2216" i="4"/>
  <c r="C2216" i="4"/>
  <c r="B2216" i="4"/>
  <c r="A2216" i="4"/>
  <c r="R2215" i="4"/>
  <c r="P2215" i="4"/>
  <c r="N2215" i="4"/>
  <c r="L2215" i="4"/>
  <c r="K2215" i="4"/>
  <c r="J2215" i="4"/>
  <c r="I2215" i="4"/>
  <c r="H2215" i="4"/>
  <c r="G2215" i="4"/>
  <c r="F2215" i="4"/>
  <c r="E2215" i="4"/>
  <c r="D2215" i="4"/>
  <c r="C2215" i="4"/>
  <c r="B2215" i="4"/>
  <c r="A2215" i="4"/>
  <c r="R2214" i="4"/>
  <c r="P2214" i="4"/>
  <c r="N2214" i="4"/>
  <c r="L2214" i="4"/>
  <c r="K2214" i="4"/>
  <c r="J2214" i="4"/>
  <c r="I2214" i="4"/>
  <c r="H2214" i="4"/>
  <c r="G2214" i="4"/>
  <c r="F2214" i="4"/>
  <c r="E2214" i="4"/>
  <c r="D2214" i="4"/>
  <c r="C2214" i="4"/>
  <c r="B2214" i="4"/>
  <c r="A2214" i="4"/>
  <c r="R2213" i="4"/>
  <c r="P2213" i="4"/>
  <c r="N2213" i="4"/>
  <c r="L2213" i="4"/>
  <c r="K2213" i="4"/>
  <c r="J2213" i="4"/>
  <c r="I2213" i="4"/>
  <c r="H2213" i="4"/>
  <c r="G2213" i="4"/>
  <c r="F2213" i="4"/>
  <c r="E2213" i="4"/>
  <c r="D2213" i="4"/>
  <c r="C2213" i="4"/>
  <c r="B2213" i="4"/>
  <c r="A2213" i="4"/>
  <c r="R2212" i="4"/>
  <c r="P2212" i="4"/>
  <c r="N2212" i="4"/>
  <c r="L2212" i="4"/>
  <c r="K2212" i="4"/>
  <c r="J2212" i="4"/>
  <c r="I2212" i="4"/>
  <c r="H2212" i="4"/>
  <c r="G2212" i="4"/>
  <c r="F2212" i="4"/>
  <c r="E2212" i="4"/>
  <c r="D2212" i="4"/>
  <c r="C2212" i="4"/>
  <c r="B2212" i="4"/>
  <c r="A2212" i="4"/>
  <c r="R2211" i="4"/>
  <c r="P2211" i="4"/>
  <c r="N2211" i="4"/>
  <c r="L2211" i="4"/>
  <c r="K2211" i="4"/>
  <c r="J2211" i="4"/>
  <c r="I2211" i="4"/>
  <c r="H2211" i="4"/>
  <c r="G2211" i="4"/>
  <c r="F2211" i="4"/>
  <c r="E2211" i="4"/>
  <c r="D2211" i="4"/>
  <c r="C2211" i="4"/>
  <c r="B2211" i="4"/>
  <c r="A2211" i="4"/>
  <c r="R2210" i="4"/>
  <c r="P2210" i="4"/>
  <c r="N2210" i="4"/>
  <c r="L2210" i="4"/>
  <c r="K2210" i="4"/>
  <c r="J2210" i="4"/>
  <c r="I2210" i="4"/>
  <c r="H2210" i="4"/>
  <c r="G2210" i="4"/>
  <c r="F2210" i="4"/>
  <c r="E2210" i="4"/>
  <c r="D2210" i="4"/>
  <c r="C2210" i="4"/>
  <c r="B2210" i="4"/>
  <c r="A2210" i="4"/>
  <c r="R2209" i="4"/>
  <c r="P2209" i="4"/>
  <c r="N2209" i="4"/>
  <c r="L2209" i="4"/>
  <c r="K2209" i="4"/>
  <c r="J2209" i="4"/>
  <c r="I2209" i="4"/>
  <c r="H2209" i="4"/>
  <c r="G2209" i="4"/>
  <c r="F2209" i="4"/>
  <c r="E2209" i="4"/>
  <c r="D2209" i="4"/>
  <c r="C2209" i="4"/>
  <c r="B2209" i="4"/>
  <c r="A2209" i="4"/>
  <c r="R2208" i="4"/>
  <c r="P2208" i="4"/>
  <c r="N2208" i="4"/>
  <c r="L2208" i="4"/>
  <c r="K2208" i="4"/>
  <c r="J2208" i="4"/>
  <c r="I2208" i="4"/>
  <c r="H2208" i="4"/>
  <c r="G2208" i="4"/>
  <c r="F2208" i="4"/>
  <c r="E2208" i="4"/>
  <c r="D2208" i="4"/>
  <c r="C2208" i="4"/>
  <c r="B2208" i="4"/>
  <c r="A2208" i="4"/>
  <c r="R2207" i="4"/>
  <c r="P2207" i="4"/>
  <c r="N2207" i="4"/>
  <c r="L2207" i="4"/>
  <c r="K2207" i="4"/>
  <c r="J2207" i="4"/>
  <c r="I2207" i="4"/>
  <c r="H2207" i="4"/>
  <c r="G2207" i="4"/>
  <c r="F2207" i="4"/>
  <c r="E2207" i="4"/>
  <c r="D2207" i="4"/>
  <c r="C2207" i="4"/>
  <c r="B2207" i="4"/>
  <c r="A2207" i="4"/>
  <c r="R2206" i="4"/>
  <c r="P2206" i="4"/>
  <c r="N2206" i="4"/>
  <c r="L2206" i="4"/>
  <c r="K2206" i="4"/>
  <c r="J2206" i="4"/>
  <c r="I2206" i="4"/>
  <c r="H2206" i="4"/>
  <c r="G2206" i="4"/>
  <c r="F2206" i="4"/>
  <c r="E2206" i="4"/>
  <c r="D2206" i="4"/>
  <c r="C2206" i="4"/>
  <c r="B2206" i="4"/>
  <c r="A2206" i="4"/>
  <c r="R2205" i="4"/>
  <c r="P2205" i="4"/>
  <c r="N2205" i="4"/>
  <c r="L2205" i="4"/>
  <c r="K2205" i="4"/>
  <c r="J2205" i="4"/>
  <c r="I2205" i="4"/>
  <c r="H2205" i="4"/>
  <c r="G2205" i="4"/>
  <c r="F2205" i="4"/>
  <c r="E2205" i="4"/>
  <c r="D2205" i="4"/>
  <c r="C2205" i="4"/>
  <c r="B2205" i="4"/>
  <c r="A2205" i="4"/>
  <c r="R2204" i="4"/>
  <c r="P2204" i="4"/>
  <c r="N2204" i="4"/>
  <c r="L2204" i="4"/>
  <c r="K2204" i="4"/>
  <c r="J2204" i="4"/>
  <c r="I2204" i="4"/>
  <c r="H2204" i="4"/>
  <c r="G2204" i="4"/>
  <c r="F2204" i="4"/>
  <c r="E2204" i="4"/>
  <c r="D2204" i="4"/>
  <c r="C2204" i="4"/>
  <c r="B2204" i="4"/>
  <c r="A2204" i="4"/>
  <c r="R2203" i="4"/>
  <c r="P2203" i="4"/>
  <c r="N2203" i="4"/>
  <c r="L2203" i="4"/>
  <c r="K2203" i="4"/>
  <c r="J2203" i="4"/>
  <c r="I2203" i="4"/>
  <c r="H2203" i="4"/>
  <c r="G2203" i="4"/>
  <c r="F2203" i="4"/>
  <c r="E2203" i="4"/>
  <c r="D2203" i="4"/>
  <c r="C2203" i="4"/>
  <c r="B2203" i="4"/>
  <c r="A2203" i="4"/>
  <c r="R2202" i="4"/>
  <c r="P2202" i="4"/>
  <c r="N2202" i="4"/>
  <c r="L2202" i="4"/>
  <c r="K2202" i="4"/>
  <c r="J2202" i="4"/>
  <c r="I2202" i="4"/>
  <c r="H2202" i="4"/>
  <c r="G2202" i="4"/>
  <c r="F2202" i="4"/>
  <c r="E2202" i="4"/>
  <c r="D2202" i="4"/>
  <c r="C2202" i="4"/>
  <c r="B2202" i="4"/>
  <c r="A2202" i="4"/>
  <c r="R2201" i="4"/>
  <c r="P2201" i="4"/>
  <c r="N2201" i="4"/>
  <c r="L2201" i="4"/>
  <c r="K2201" i="4"/>
  <c r="J2201" i="4"/>
  <c r="I2201" i="4"/>
  <c r="H2201" i="4"/>
  <c r="G2201" i="4"/>
  <c r="F2201" i="4"/>
  <c r="E2201" i="4"/>
  <c r="D2201" i="4"/>
  <c r="C2201" i="4"/>
  <c r="B2201" i="4"/>
  <c r="A2201" i="4"/>
  <c r="R2200" i="4"/>
  <c r="P2200" i="4"/>
  <c r="N2200" i="4"/>
  <c r="L2200" i="4"/>
  <c r="K2200" i="4"/>
  <c r="J2200" i="4"/>
  <c r="I2200" i="4"/>
  <c r="H2200" i="4"/>
  <c r="G2200" i="4"/>
  <c r="F2200" i="4"/>
  <c r="E2200" i="4"/>
  <c r="D2200" i="4"/>
  <c r="C2200" i="4"/>
  <c r="B2200" i="4"/>
  <c r="A2200" i="4"/>
  <c r="R2199" i="4"/>
  <c r="P2199" i="4"/>
  <c r="N2199" i="4"/>
  <c r="L2199" i="4"/>
  <c r="K2199" i="4"/>
  <c r="J2199" i="4"/>
  <c r="I2199" i="4"/>
  <c r="H2199" i="4"/>
  <c r="G2199" i="4"/>
  <c r="F2199" i="4"/>
  <c r="E2199" i="4"/>
  <c r="D2199" i="4"/>
  <c r="C2199" i="4"/>
  <c r="B2199" i="4"/>
  <c r="A2199" i="4"/>
  <c r="R2198" i="4"/>
  <c r="P2198" i="4"/>
  <c r="N2198" i="4"/>
  <c r="L2198" i="4"/>
  <c r="K2198" i="4"/>
  <c r="J2198" i="4"/>
  <c r="I2198" i="4"/>
  <c r="H2198" i="4"/>
  <c r="G2198" i="4"/>
  <c r="F2198" i="4"/>
  <c r="E2198" i="4"/>
  <c r="D2198" i="4"/>
  <c r="C2198" i="4"/>
  <c r="B2198" i="4"/>
  <c r="A2198" i="4"/>
  <c r="R2197" i="4"/>
  <c r="P2197" i="4"/>
  <c r="N2197" i="4"/>
  <c r="L2197" i="4"/>
  <c r="K2197" i="4"/>
  <c r="J2197" i="4"/>
  <c r="I2197" i="4"/>
  <c r="H2197" i="4"/>
  <c r="G2197" i="4"/>
  <c r="F2197" i="4"/>
  <c r="E2197" i="4"/>
  <c r="D2197" i="4"/>
  <c r="C2197" i="4"/>
  <c r="B2197" i="4"/>
  <c r="A2197" i="4"/>
  <c r="R2196" i="4"/>
  <c r="P2196" i="4"/>
  <c r="N2196" i="4"/>
  <c r="L2196" i="4"/>
  <c r="K2196" i="4"/>
  <c r="J2196" i="4"/>
  <c r="I2196" i="4"/>
  <c r="H2196" i="4"/>
  <c r="G2196" i="4"/>
  <c r="F2196" i="4"/>
  <c r="E2196" i="4"/>
  <c r="D2196" i="4"/>
  <c r="C2196" i="4"/>
  <c r="B2196" i="4"/>
  <c r="A2196" i="4"/>
  <c r="R2195" i="4"/>
  <c r="P2195" i="4"/>
  <c r="N2195" i="4"/>
  <c r="L2195" i="4"/>
  <c r="K2195" i="4"/>
  <c r="J2195" i="4"/>
  <c r="I2195" i="4"/>
  <c r="H2195" i="4"/>
  <c r="G2195" i="4"/>
  <c r="F2195" i="4"/>
  <c r="E2195" i="4"/>
  <c r="D2195" i="4"/>
  <c r="C2195" i="4"/>
  <c r="B2195" i="4"/>
  <c r="A2195" i="4"/>
  <c r="R2194" i="4"/>
  <c r="P2194" i="4"/>
  <c r="N2194" i="4"/>
  <c r="L2194" i="4"/>
  <c r="K2194" i="4"/>
  <c r="J2194" i="4"/>
  <c r="I2194" i="4"/>
  <c r="H2194" i="4"/>
  <c r="G2194" i="4"/>
  <c r="F2194" i="4"/>
  <c r="E2194" i="4"/>
  <c r="D2194" i="4"/>
  <c r="C2194" i="4"/>
  <c r="B2194" i="4"/>
  <c r="A2194" i="4"/>
  <c r="R2193" i="4"/>
  <c r="P2193" i="4"/>
  <c r="N2193" i="4"/>
  <c r="L2193" i="4"/>
  <c r="K2193" i="4"/>
  <c r="J2193" i="4"/>
  <c r="I2193" i="4"/>
  <c r="H2193" i="4"/>
  <c r="G2193" i="4"/>
  <c r="F2193" i="4"/>
  <c r="E2193" i="4"/>
  <c r="D2193" i="4"/>
  <c r="C2193" i="4"/>
  <c r="B2193" i="4"/>
  <c r="A2193" i="4"/>
  <c r="R2192" i="4"/>
  <c r="P2192" i="4"/>
  <c r="N2192" i="4"/>
  <c r="L2192" i="4"/>
  <c r="K2192" i="4"/>
  <c r="J2192" i="4"/>
  <c r="I2192" i="4"/>
  <c r="H2192" i="4"/>
  <c r="G2192" i="4"/>
  <c r="F2192" i="4"/>
  <c r="E2192" i="4"/>
  <c r="D2192" i="4"/>
  <c r="C2192" i="4"/>
  <c r="B2192" i="4"/>
  <c r="A2192" i="4"/>
  <c r="R2191" i="4"/>
  <c r="P2191" i="4"/>
  <c r="N2191" i="4"/>
  <c r="L2191" i="4"/>
  <c r="K2191" i="4"/>
  <c r="J2191" i="4"/>
  <c r="I2191" i="4"/>
  <c r="H2191" i="4"/>
  <c r="G2191" i="4"/>
  <c r="F2191" i="4"/>
  <c r="E2191" i="4"/>
  <c r="D2191" i="4"/>
  <c r="C2191" i="4"/>
  <c r="B2191" i="4"/>
  <c r="A2191" i="4"/>
  <c r="R2190" i="4"/>
  <c r="P2190" i="4"/>
  <c r="N2190" i="4"/>
  <c r="L2190" i="4"/>
  <c r="K2190" i="4"/>
  <c r="J2190" i="4"/>
  <c r="I2190" i="4"/>
  <c r="H2190" i="4"/>
  <c r="G2190" i="4"/>
  <c r="F2190" i="4"/>
  <c r="E2190" i="4"/>
  <c r="D2190" i="4"/>
  <c r="C2190" i="4"/>
  <c r="B2190" i="4"/>
  <c r="A2190" i="4"/>
  <c r="R2189" i="4"/>
  <c r="P2189" i="4"/>
  <c r="N2189" i="4"/>
  <c r="L2189" i="4"/>
  <c r="K2189" i="4"/>
  <c r="J2189" i="4"/>
  <c r="I2189" i="4"/>
  <c r="H2189" i="4"/>
  <c r="G2189" i="4"/>
  <c r="F2189" i="4"/>
  <c r="E2189" i="4"/>
  <c r="D2189" i="4"/>
  <c r="C2189" i="4"/>
  <c r="B2189" i="4"/>
  <c r="A2189" i="4"/>
  <c r="R2188" i="4"/>
  <c r="P2188" i="4"/>
  <c r="N2188" i="4"/>
  <c r="L2188" i="4"/>
  <c r="K2188" i="4"/>
  <c r="J2188" i="4"/>
  <c r="I2188" i="4"/>
  <c r="H2188" i="4"/>
  <c r="G2188" i="4"/>
  <c r="F2188" i="4"/>
  <c r="E2188" i="4"/>
  <c r="D2188" i="4"/>
  <c r="C2188" i="4"/>
  <c r="B2188" i="4"/>
  <c r="A2188" i="4"/>
  <c r="R2187" i="4"/>
  <c r="P2187" i="4"/>
  <c r="N2187" i="4"/>
  <c r="L2187" i="4"/>
  <c r="K2187" i="4"/>
  <c r="J2187" i="4"/>
  <c r="I2187" i="4"/>
  <c r="H2187" i="4"/>
  <c r="G2187" i="4"/>
  <c r="F2187" i="4"/>
  <c r="E2187" i="4"/>
  <c r="D2187" i="4"/>
  <c r="C2187" i="4"/>
  <c r="B2187" i="4"/>
  <c r="A2187" i="4"/>
  <c r="R2186" i="4"/>
  <c r="P2186" i="4"/>
  <c r="N2186" i="4"/>
  <c r="L2186" i="4"/>
  <c r="K2186" i="4"/>
  <c r="J2186" i="4"/>
  <c r="I2186" i="4"/>
  <c r="H2186" i="4"/>
  <c r="G2186" i="4"/>
  <c r="F2186" i="4"/>
  <c r="E2186" i="4"/>
  <c r="D2186" i="4"/>
  <c r="C2186" i="4"/>
  <c r="B2186" i="4"/>
  <c r="A2186" i="4"/>
  <c r="R2185" i="4"/>
  <c r="P2185" i="4"/>
  <c r="N2185" i="4"/>
  <c r="L2185" i="4"/>
  <c r="K2185" i="4"/>
  <c r="J2185" i="4"/>
  <c r="I2185" i="4"/>
  <c r="H2185" i="4"/>
  <c r="G2185" i="4"/>
  <c r="F2185" i="4"/>
  <c r="E2185" i="4"/>
  <c r="D2185" i="4"/>
  <c r="C2185" i="4"/>
  <c r="B2185" i="4"/>
  <c r="A2185" i="4"/>
  <c r="R2184" i="4"/>
  <c r="P2184" i="4"/>
  <c r="N2184" i="4"/>
  <c r="L2184" i="4"/>
  <c r="K2184" i="4"/>
  <c r="J2184" i="4"/>
  <c r="I2184" i="4"/>
  <c r="H2184" i="4"/>
  <c r="G2184" i="4"/>
  <c r="F2184" i="4"/>
  <c r="E2184" i="4"/>
  <c r="D2184" i="4"/>
  <c r="C2184" i="4"/>
  <c r="B2184" i="4"/>
  <c r="A2184" i="4"/>
  <c r="R2183" i="4"/>
  <c r="P2183" i="4"/>
  <c r="N2183" i="4"/>
  <c r="L2183" i="4"/>
  <c r="K2183" i="4"/>
  <c r="J2183" i="4"/>
  <c r="I2183" i="4"/>
  <c r="H2183" i="4"/>
  <c r="G2183" i="4"/>
  <c r="F2183" i="4"/>
  <c r="E2183" i="4"/>
  <c r="D2183" i="4"/>
  <c r="C2183" i="4"/>
  <c r="B2183" i="4"/>
  <c r="A2183" i="4"/>
  <c r="R2182" i="4"/>
  <c r="P2182" i="4"/>
  <c r="N2182" i="4"/>
  <c r="L2182" i="4"/>
  <c r="K2182" i="4"/>
  <c r="J2182" i="4"/>
  <c r="I2182" i="4"/>
  <c r="H2182" i="4"/>
  <c r="G2182" i="4"/>
  <c r="F2182" i="4"/>
  <c r="E2182" i="4"/>
  <c r="D2182" i="4"/>
  <c r="C2182" i="4"/>
  <c r="B2182" i="4"/>
  <c r="A2182" i="4"/>
  <c r="R2181" i="4"/>
  <c r="P2181" i="4"/>
  <c r="N2181" i="4"/>
  <c r="L2181" i="4"/>
  <c r="K2181" i="4"/>
  <c r="J2181" i="4"/>
  <c r="I2181" i="4"/>
  <c r="H2181" i="4"/>
  <c r="G2181" i="4"/>
  <c r="F2181" i="4"/>
  <c r="E2181" i="4"/>
  <c r="D2181" i="4"/>
  <c r="C2181" i="4"/>
  <c r="B2181" i="4"/>
  <c r="A2181" i="4"/>
  <c r="R2180" i="4"/>
  <c r="P2180" i="4"/>
  <c r="N2180" i="4"/>
  <c r="L2180" i="4"/>
  <c r="K2180" i="4"/>
  <c r="J2180" i="4"/>
  <c r="I2180" i="4"/>
  <c r="H2180" i="4"/>
  <c r="G2180" i="4"/>
  <c r="F2180" i="4"/>
  <c r="E2180" i="4"/>
  <c r="D2180" i="4"/>
  <c r="C2180" i="4"/>
  <c r="B2180" i="4"/>
  <c r="A2180" i="4"/>
  <c r="R2179" i="4"/>
  <c r="P2179" i="4"/>
  <c r="N2179" i="4"/>
  <c r="L2179" i="4"/>
  <c r="K2179" i="4"/>
  <c r="J2179" i="4"/>
  <c r="I2179" i="4"/>
  <c r="H2179" i="4"/>
  <c r="G2179" i="4"/>
  <c r="F2179" i="4"/>
  <c r="E2179" i="4"/>
  <c r="D2179" i="4"/>
  <c r="C2179" i="4"/>
  <c r="B2179" i="4"/>
  <c r="A2179" i="4"/>
  <c r="R2178" i="4"/>
  <c r="P2178" i="4"/>
  <c r="N2178" i="4"/>
  <c r="L2178" i="4"/>
  <c r="K2178" i="4"/>
  <c r="J2178" i="4"/>
  <c r="I2178" i="4"/>
  <c r="H2178" i="4"/>
  <c r="G2178" i="4"/>
  <c r="F2178" i="4"/>
  <c r="E2178" i="4"/>
  <c r="D2178" i="4"/>
  <c r="C2178" i="4"/>
  <c r="B2178" i="4"/>
  <c r="A2178" i="4"/>
  <c r="R2177" i="4"/>
  <c r="P2177" i="4"/>
  <c r="N2177" i="4"/>
  <c r="L2177" i="4"/>
  <c r="K2177" i="4"/>
  <c r="J2177" i="4"/>
  <c r="I2177" i="4"/>
  <c r="H2177" i="4"/>
  <c r="G2177" i="4"/>
  <c r="F2177" i="4"/>
  <c r="E2177" i="4"/>
  <c r="D2177" i="4"/>
  <c r="C2177" i="4"/>
  <c r="B2177" i="4"/>
  <c r="A2177" i="4"/>
  <c r="R2176" i="4"/>
  <c r="P2176" i="4"/>
  <c r="N2176" i="4"/>
  <c r="L2176" i="4"/>
  <c r="K2176" i="4"/>
  <c r="J2176" i="4"/>
  <c r="I2176" i="4"/>
  <c r="H2176" i="4"/>
  <c r="G2176" i="4"/>
  <c r="F2176" i="4"/>
  <c r="E2176" i="4"/>
  <c r="D2176" i="4"/>
  <c r="C2176" i="4"/>
  <c r="B2176" i="4"/>
  <c r="A2176" i="4"/>
  <c r="R2175" i="4"/>
  <c r="P2175" i="4"/>
  <c r="N2175" i="4"/>
  <c r="L2175" i="4"/>
  <c r="K2175" i="4"/>
  <c r="J2175" i="4"/>
  <c r="I2175" i="4"/>
  <c r="H2175" i="4"/>
  <c r="G2175" i="4"/>
  <c r="F2175" i="4"/>
  <c r="E2175" i="4"/>
  <c r="D2175" i="4"/>
  <c r="C2175" i="4"/>
  <c r="B2175" i="4"/>
  <c r="A2175" i="4"/>
  <c r="R2174" i="4"/>
  <c r="P2174" i="4"/>
  <c r="N2174" i="4"/>
  <c r="L2174" i="4"/>
  <c r="K2174" i="4"/>
  <c r="J2174" i="4"/>
  <c r="I2174" i="4"/>
  <c r="H2174" i="4"/>
  <c r="G2174" i="4"/>
  <c r="F2174" i="4"/>
  <c r="E2174" i="4"/>
  <c r="D2174" i="4"/>
  <c r="C2174" i="4"/>
  <c r="B2174" i="4"/>
  <c r="A2174" i="4"/>
  <c r="R2173" i="4"/>
  <c r="P2173" i="4"/>
  <c r="N2173" i="4"/>
  <c r="L2173" i="4"/>
  <c r="K2173" i="4"/>
  <c r="J2173" i="4"/>
  <c r="I2173" i="4"/>
  <c r="H2173" i="4"/>
  <c r="G2173" i="4"/>
  <c r="F2173" i="4"/>
  <c r="E2173" i="4"/>
  <c r="D2173" i="4"/>
  <c r="C2173" i="4"/>
  <c r="B2173" i="4"/>
  <c r="A2173" i="4"/>
  <c r="R2172" i="4"/>
  <c r="P2172" i="4"/>
  <c r="N2172" i="4"/>
  <c r="L2172" i="4"/>
  <c r="K2172" i="4"/>
  <c r="J2172" i="4"/>
  <c r="I2172" i="4"/>
  <c r="H2172" i="4"/>
  <c r="G2172" i="4"/>
  <c r="F2172" i="4"/>
  <c r="E2172" i="4"/>
  <c r="D2172" i="4"/>
  <c r="C2172" i="4"/>
  <c r="B2172" i="4"/>
  <c r="A2172" i="4"/>
  <c r="R2171" i="4"/>
  <c r="P2171" i="4"/>
  <c r="N2171" i="4"/>
  <c r="L2171" i="4"/>
  <c r="K2171" i="4"/>
  <c r="J2171" i="4"/>
  <c r="I2171" i="4"/>
  <c r="H2171" i="4"/>
  <c r="G2171" i="4"/>
  <c r="F2171" i="4"/>
  <c r="E2171" i="4"/>
  <c r="D2171" i="4"/>
  <c r="C2171" i="4"/>
  <c r="B2171" i="4"/>
  <c r="A2171" i="4"/>
  <c r="R2170" i="4"/>
  <c r="P2170" i="4"/>
  <c r="N2170" i="4"/>
  <c r="L2170" i="4"/>
  <c r="K2170" i="4"/>
  <c r="J2170" i="4"/>
  <c r="I2170" i="4"/>
  <c r="H2170" i="4"/>
  <c r="G2170" i="4"/>
  <c r="F2170" i="4"/>
  <c r="E2170" i="4"/>
  <c r="D2170" i="4"/>
  <c r="C2170" i="4"/>
  <c r="B2170" i="4"/>
  <c r="A2170" i="4"/>
  <c r="R2169" i="4"/>
  <c r="P2169" i="4"/>
  <c r="N2169" i="4"/>
  <c r="L2169" i="4"/>
  <c r="K2169" i="4"/>
  <c r="J2169" i="4"/>
  <c r="I2169" i="4"/>
  <c r="H2169" i="4"/>
  <c r="G2169" i="4"/>
  <c r="F2169" i="4"/>
  <c r="E2169" i="4"/>
  <c r="D2169" i="4"/>
  <c r="C2169" i="4"/>
  <c r="B2169" i="4"/>
  <c r="A2169" i="4"/>
  <c r="R2168" i="4"/>
  <c r="P2168" i="4"/>
  <c r="N2168" i="4"/>
  <c r="L2168" i="4"/>
  <c r="K2168" i="4"/>
  <c r="J2168" i="4"/>
  <c r="I2168" i="4"/>
  <c r="H2168" i="4"/>
  <c r="G2168" i="4"/>
  <c r="F2168" i="4"/>
  <c r="E2168" i="4"/>
  <c r="D2168" i="4"/>
  <c r="C2168" i="4"/>
  <c r="B2168" i="4"/>
  <c r="A2168" i="4"/>
  <c r="R2167" i="4"/>
  <c r="P2167" i="4"/>
  <c r="N2167" i="4"/>
  <c r="L2167" i="4"/>
  <c r="K2167" i="4"/>
  <c r="J2167" i="4"/>
  <c r="I2167" i="4"/>
  <c r="H2167" i="4"/>
  <c r="G2167" i="4"/>
  <c r="F2167" i="4"/>
  <c r="E2167" i="4"/>
  <c r="D2167" i="4"/>
  <c r="C2167" i="4"/>
  <c r="B2167" i="4"/>
  <c r="A2167" i="4"/>
  <c r="R2166" i="4"/>
  <c r="P2166" i="4"/>
  <c r="N2166" i="4"/>
  <c r="L2166" i="4"/>
  <c r="K2166" i="4"/>
  <c r="J2166" i="4"/>
  <c r="I2166" i="4"/>
  <c r="H2166" i="4"/>
  <c r="G2166" i="4"/>
  <c r="F2166" i="4"/>
  <c r="E2166" i="4"/>
  <c r="D2166" i="4"/>
  <c r="C2166" i="4"/>
  <c r="B2166" i="4"/>
  <c r="A2166" i="4"/>
  <c r="R2165" i="4"/>
  <c r="P2165" i="4"/>
  <c r="N2165" i="4"/>
  <c r="L2165" i="4"/>
  <c r="K2165" i="4"/>
  <c r="J2165" i="4"/>
  <c r="I2165" i="4"/>
  <c r="H2165" i="4"/>
  <c r="G2165" i="4"/>
  <c r="F2165" i="4"/>
  <c r="E2165" i="4"/>
  <c r="D2165" i="4"/>
  <c r="C2165" i="4"/>
  <c r="B2165" i="4"/>
  <c r="A2165" i="4"/>
  <c r="R2164" i="4"/>
  <c r="P2164" i="4"/>
  <c r="N2164" i="4"/>
  <c r="L2164" i="4"/>
  <c r="K2164" i="4"/>
  <c r="J2164" i="4"/>
  <c r="I2164" i="4"/>
  <c r="H2164" i="4"/>
  <c r="G2164" i="4"/>
  <c r="F2164" i="4"/>
  <c r="E2164" i="4"/>
  <c r="D2164" i="4"/>
  <c r="C2164" i="4"/>
  <c r="B2164" i="4"/>
  <c r="A2164" i="4"/>
  <c r="R2163" i="4"/>
  <c r="P2163" i="4"/>
  <c r="N2163" i="4"/>
  <c r="L2163" i="4"/>
  <c r="K2163" i="4"/>
  <c r="J2163" i="4"/>
  <c r="I2163" i="4"/>
  <c r="H2163" i="4"/>
  <c r="G2163" i="4"/>
  <c r="F2163" i="4"/>
  <c r="E2163" i="4"/>
  <c r="D2163" i="4"/>
  <c r="C2163" i="4"/>
  <c r="B2163" i="4"/>
  <c r="A2163" i="4"/>
  <c r="R2162" i="4"/>
  <c r="P2162" i="4"/>
  <c r="N2162" i="4"/>
  <c r="L2162" i="4"/>
  <c r="K2162" i="4"/>
  <c r="J2162" i="4"/>
  <c r="I2162" i="4"/>
  <c r="H2162" i="4"/>
  <c r="G2162" i="4"/>
  <c r="F2162" i="4"/>
  <c r="E2162" i="4"/>
  <c r="D2162" i="4"/>
  <c r="C2162" i="4"/>
  <c r="B2162" i="4"/>
  <c r="A2162" i="4"/>
  <c r="R2161" i="4"/>
  <c r="P2161" i="4"/>
  <c r="N2161" i="4"/>
  <c r="L2161" i="4"/>
  <c r="K2161" i="4"/>
  <c r="J2161" i="4"/>
  <c r="I2161" i="4"/>
  <c r="H2161" i="4"/>
  <c r="G2161" i="4"/>
  <c r="F2161" i="4"/>
  <c r="E2161" i="4"/>
  <c r="D2161" i="4"/>
  <c r="C2161" i="4"/>
  <c r="B2161" i="4"/>
  <c r="A2161" i="4"/>
  <c r="R2160" i="4"/>
  <c r="P2160" i="4"/>
  <c r="N2160" i="4"/>
  <c r="L2160" i="4"/>
  <c r="K2160" i="4"/>
  <c r="J2160" i="4"/>
  <c r="I2160" i="4"/>
  <c r="H2160" i="4"/>
  <c r="G2160" i="4"/>
  <c r="F2160" i="4"/>
  <c r="E2160" i="4"/>
  <c r="D2160" i="4"/>
  <c r="C2160" i="4"/>
  <c r="B2160" i="4"/>
  <c r="A2160" i="4"/>
  <c r="R2159" i="4"/>
  <c r="P2159" i="4"/>
  <c r="N2159" i="4"/>
  <c r="L2159" i="4"/>
  <c r="K2159" i="4"/>
  <c r="J2159" i="4"/>
  <c r="I2159" i="4"/>
  <c r="H2159" i="4"/>
  <c r="G2159" i="4"/>
  <c r="F2159" i="4"/>
  <c r="E2159" i="4"/>
  <c r="D2159" i="4"/>
  <c r="C2159" i="4"/>
  <c r="B2159" i="4"/>
  <c r="A2159" i="4"/>
  <c r="R2158" i="4"/>
  <c r="P2158" i="4"/>
  <c r="N2158" i="4"/>
  <c r="L2158" i="4"/>
  <c r="K2158" i="4"/>
  <c r="J2158" i="4"/>
  <c r="I2158" i="4"/>
  <c r="H2158" i="4"/>
  <c r="G2158" i="4"/>
  <c r="F2158" i="4"/>
  <c r="E2158" i="4"/>
  <c r="D2158" i="4"/>
  <c r="C2158" i="4"/>
  <c r="B2158" i="4"/>
  <c r="A2158" i="4"/>
  <c r="R2157" i="4"/>
  <c r="P2157" i="4"/>
  <c r="N2157" i="4"/>
  <c r="L2157" i="4"/>
  <c r="K2157" i="4"/>
  <c r="J2157" i="4"/>
  <c r="I2157" i="4"/>
  <c r="H2157" i="4"/>
  <c r="G2157" i="4"/>
  <c r="F2157" i="4"/>
  <c r="E2157" i="4"/>
  <c r="D2157" i="4"/>
  <c r="C2157" i="4"/>
  <c r="B2157" i="4"/>
  <c r="A2157" i="4"/>
  <c r="R2156" i="4"/>
  <c r="P2156" i="4"/>
  <c r="N2156" i="4"/>
  <c r="L2156" i="4"/>
  <c r="K2156" i="4"/>
  <c r="J2156" i="4"/>
  <c r="I2156" i="4"/>
  <c r="H2156" i="4"/>
  <c r="G2156" i="4"/>
  <c r="F2156" i="4"/>
  <c r="E2156" i="4"/>
  <c r="D2156" i="4"/>
  <c r="C2156" i="4"/>
  <c r="B2156" i="4"/>
  <c r="A2156" i="4"/>
  <c r="R2155" i="4"/>
  <c r="P2155" i="4"/>
  <c r="N2155" i="4"/>
  <c r="L2155" i="4"/>
  <c r="K2155" i="4"/>
  <c r="J2155" i="4"/>
  <c r="I2155" i="4"/>
  <c r="H2155" i="4"/>
  <c r="G2155" i="4"/>
  <c r="F2155" i="4"/>
  <c r="E2155" i="4"/>
  <c r="D2155" i="4"/>
  <c r="C2155" i="4"/>
  <c r="B2155" i="4"/>
  <c r="A2155" i="4"/>
  <c r="R2154" i="4"/>
  <c r="P2154" i="4"/>
  <c r="N2154" i="4"/>
  <c r="L2154" i="4"/>
  <c r="K2154" i="4"/>
  <c r="J2154" i="4"/>
  <c r="I2154" i="4"/>
  <c r="H2154" i="4"/>
  <c r="G2154" i="4"/>
  <c r="F2154" i="4"/>
  <c r="E2154" i="4"/>
  <c r="D2154" i="4"/>
  <c r="C2154" i="4"/>
  <c r="B2154" i="4"/>
  <c r="A2154" i="4"/>
  <c r="R2153" i="4"/>
  <c r="P2153" i="4"/>
  <c r="N2153" i="4"/>
  <c r="L2153" i="4"/>
  <c r="K2153" i="4"/>
  <c r="J2153" i="4"/>
  <c r="I2153" i="4"/>
  <c r="H2153" i="4"/>
  <c r="G2153" i="4"/>
  <c r="F2153" i="4"/>
  <c r="E2153" i="4"/>
  <c r="D2153" i="4"/>
  <c r="C2153" i="4"/>
  <c r="B2153" i="4"/>
  <c r="A2153" i="4"/>
  <c r="R2152" i="4"/>
  <c r="P2152" i="4"/>
  <c r="N2152" i="4"/>
  <c r="L2152" i="4"/>
  <c r="K2152" i="4"/>
  <c r="J2152" i="4"/>
  <c r="I2152" i="4"/>
  <c r="H2152" i="4"/>
  <c r="G2152" i="4"/>
  <c r="F2152" i="4"/>
  <c r="E2152" i="4"/>
  <c r="D2152" i="4"/>
  <c r="C2152" i="4"/>
  <c r="B2152" i="4"/>
  <c r="A2152" i="4"/>
  <c r="R2151" i="4"/>
  <c r="P2151" i="4"/>
  <c r="N2151" i="4"/>
  <c r="L2151" i="4"/>
  <c r="K2151" i="4"/>
  <c r="J2151" i="4"/>
  <c r="I2151" i="4"/>
  <c r="H2151" i="4"/>
  <c r="G2151" i="4"/>
  <c r="F2151" i="4"/>
  <c r="E2151" i="4"/>
  <c r="D2151" i="4"/>
  <c r="C2151" i="4"/>
  <c r="B2151" i="4"/>
  <c r="A2151" i="4"/>
  <c r="R2150" i="4"/>
  <c r="P2150" i="4"/>
  <c r="N2150" i="4"/>
  <c r="L2150" i="4"/>
  <c r="K2150" i="4"/>
  <c r="J2150" i="4"/>
  <c r="I2150" i="4"/>
  <c r="H2150" i="4"/>
  <c r="G2150" i="4"/>
  <c r="F2150" i="4"/>
  <c r="E2150" i="4"/>
  <c r="D2150" i="4"/>
  <c r="C2150" i="4"/>
  <c r="B2150" i="4"/>
  <c r="A2150" i="4"/>
  <c r="R2149" i="4"/>
  <c r="P2149" i="4"/>
  <c r="N2149" i="4"/>
  <c r="L2149" i="4"/>
  <c r="K2149" i="4"/>
  <c r="J2149" i="4"/>
  <c r="I2149" i="4"/>
  <c r="H2149" i="4"/>
  <c r="G2149" i="4"/>
  <c r="F2149" i="4"/>
  <c r="E2149" i="4"/>
  <c r="D2149" i="4"/>
  <c r="C2149" i="4"/>
  <c r="B2149" i="4"/>
  <c r="A2149" i="4"/>
  <c r="R2148" i="4"/>
  <c r="P2148" i="4"/>
  <c r="N2148" i="4"/>
  <c r="L2148" i="4"/>
  <c r="K2148" i="4"/>
  <c r="J2148" i="4"/>
  <c r="I2148" i="4"/>
  <c r="H2148" i="4"/>
  <c r="G2148" i="4"/>
  <c r="F2148" i="4"/>
  <c r="E2148" i="4"/>
  <c r="D2148" i="4"/>
  <c r="C2148" i="4"/>
  <c r="B2148" i="4"/>
  <c r="A2148" i="4"/>
  <c r="R2147" i="4"/>
  <c r="P2147" i="4"/>
  <c r="N2147" i="4"/>
  <c r="L2147" i="4"/>
  <c r="K2147" i="4"/>
  <c r="J2147" i="4"/>
  <c r="I2147" i="4"/>
  <c r="H2147" i="4"/>
  <c r="G2147" i="4"/>
  <c r="F2147" i="4"/>
  <c r="E2147" i="4"/>
  <c r="D2147" i="4"/>
  <c r="C2147" i="4"/>
  <c r="B2147" i="4"/>
  <c r="A2147" i="4"/>
  <c r="R2146" i="4"/>
  <c r="P2146" i="4"/>
  <c r="N2146" i="4"/>
  <c r="L2146" i="4"/>
  <c r="K2146" i="4"/>
  <c r="J2146" i="4"/>
  <c r="I2146" i="4"/>
  <c r="H2146" i="4"/>
  <c r="G2146" i="4"/>
  <c r="F2146" i="4"/>
  <c r="E2146" i="4"/>
  <c r="D2146" i="4"/>
  <c r="C2146" i="4"/>
  <c r="B2146" i="4"/>
  <c r="A2146" i="4"/>
  <c r="R2145" i="4"/>
  <c r="P2145" i="4"/>
  <c r="N2145" i="4"/>
  <c r="L2145" i="4"/>
  <c r="K2145" i="4"/>
  <c r="J2145" i="4"/>
  <c r="I2145" i="4"/>
  <c r="H2145" i="4"/>
  <c r="G2145" i="4"/>
  <c r="F2145" i="4"/>
  <c r="E2145" i="4"/>
  <c r="D2145" i="4"/>
  <c r="C2145" i="4"/>
  <c r="B2145" i="4"/>
  <c r="A2145" i="4"/>
  <c r="R2144" i="4"/>
  <c r="P2144" i="4"/>
  <c r="N2144" i="4"/>
  <c r="L2144" i="4"/>
  <c r="K2144" i="4"/>
  <c r="J2144" i="4"/>
  <c r="I2144" i="4"/>
  <c r="H2144" i="4"/>
  <c r="G2144" i="4"/>
  <c r="F2144" i="4"/>
  <c r="E2144" i="4"/>
  <c r="D2144" i="4"/>
  <c r="C2144" i="4"/>
  <c r="B2144" i="4"/>
  <c r="A2144" i="4"/>
  <c r="R2143" i="4"/>
  <c r="P2143" i="4"/>
  <c r="N2143" i="4"/>
  <c r="L2143" i="4"/>
  <c r="K2143" i="4"/>
  <c r="J2143" i="4"/>
  <c r="I2143" i="4"/>
  <c r="H2143" i="4"/>
  <c r="G2143" i="4"/>
  <c r="F2143" i="4"/>
  <c r="E2143" i="4"/>
  <c r="D2143" i="4"/>
  <c r="C2143" i="4"/>
  <c r="B2143" i="4"/>
  <c r="A2143" i="4"/>
  <c r="R2142" i="4"/>
  <c r="P2142" i="4"/>
  <c r="N2142" i="4"/>
  <c r="L2142" i="4"/>
  <c r="K2142" i="4"/>
  <c r="J2142" i="4"/>
  <c r="I2142" i="4"/>
  <c r="H2142" i="4"/>
  <c r="G2142" i="4"/>
  <c r="F2142" i="4"/>
  <c r="E2142" i="4"/>
  <c r="D2142" i="4"/>
  <c r="C2142" i="4"/>
  <c r="B2142" i="4"/>
  <c r="A2142" i="4"/>
  <c r="R2141" i="4"/>
  <c r="P2141" i="4"/>
  <c r="N2141" i="4"/>
  <c r="L2141" i="4"/>
  <c r="K2141" i="4"/>
  <c r="J2141" i="4"/>
  <c r="I2141" i="4"/>
  <c r="H2141" i="4"/>
  <c r="G2141" i="4"/>
  <c r="F2141" i="4"/>
  <c r="E2141" i="4"/>
  <c r="D2141" i="4"/>
  <c r="C2141" i="4"/>
  <c r="B2141" i="4"/>
  <c r="A2141" i="4"/>
  <c r="R2140" i="4"/>
  <c r="P2140" i="4"/>
  <c r="N2140" i="4"/>
  <c r="L2140" i="4"/>
  <c r="K2140" i="4"/>
  <c r="J2140" i="4"/>
  <c r="I2140" i="4"/>
  <c r="H2140" i="4"/>
  <c r="G2140" i="4"/>
  <c r="F2140" i="4"/>
  <c r="E2140" i="4"/>
  <c r="D2140" i="4"/>
  <c r="C2140" i="4"/>
  <c r="B2140" i="4"/>
  <c r="A2140" i="4"/>
  <c r="R2139" i="4"/>
  <c r="P2139" i="4"/>
  <c r="N2139" i="4"/>
  <c r="L2139" i="4"/>
  <c r="K2139" i="4"/>
  <c r="J2139" i="4"/>
  <c r="I2139" i="4"/>
  <c r="H2139" i="4"/>
  <c r="G2139" i="4"/>
  <c r="F2139" i="4"/>
  <c r="E2139" i="4"/>
  <c r="D2139" i="4"/>
  <c r="C2139" i="4"/>
  <c r="B2139" i="4"/>
  <c r="A2139" i="4"/>
  <c r="R2138" i="4"/>
  <c r="P2138" i="4"/>
  <c r="N2138" i="4"/>
  <c r="L2138" i="4"/>
  <c r="K2138" i="4"/>
  <c r="J2138" i="4"/>
  <c r="I2138" i="4"/>
  <c r="H2138" i="4"/>
  <c r="G2138" i="4"/>
  <c r="F2138" i="4"/>
  <c r="E2138" i="4"/>
  <c r="D2138" i="4"/>
  <c r="C2138" i="4"/>
  <c r="B2138" i="4"/>
  <c r="A2138" i="4"/>
  <c r="R2137" i="4"/>
  <c r="P2137" i="4"/>
  <c r="N2137" i="4"/>
  <c r="L2137" i="4"/>
  <c r="K2137" i="4"/>
  <c r="J2137" i="4"/>
  <c r="I2137" i="4"/>
  <c r="H2137" i="4"/>
  <c r="G2137" i="4"/>
  <c r="F2137" i="4"/>
  <c r="E2137" i="4"/>
  <c r="D2137" i="4"/>
  <c r="C2137" i="4"/>
  <c r="B2137" i="4"/>
  <c r="A2137" i="4"/>
  <c r="R2136" i="4"/>
  <c r="P2136" i="4"/>
  <c r="N2136" i="4"/>
  <c r="L2136" i="4"/>
  <c r="K2136" i="4"/>
  <c r="J2136" i="4"/>
  <c r="I2136" i="4"/>
  <c r="H2136" i="4"/>
  <c r="G2136" i="4"/>
  <c r="F2136" i="4"/>
  <c r="E2136" i="4"/>
  <c r="D2136" i="4"/>
  <c r="C2136" i="4"/>
  <c r="B2136" i="4"/>
  <c r="A2136" i="4"/>
  <c r="R2135" i="4"/>
  <c r="P2135" i="4"/>
  <c r="N2135" i="4"/>
  <c r="L2135" i="4"/>
  <c r="K2135" i="4"/>
  <c r="J2135" i="4"/>
  <c r="I2135" i="4"/>
  <c r="H2135" i="4"/>
  <c r="G2135" i="4"/>
  <c r="F2135" i="4"/>
  <c r="E2135" i="4"/>
  <c r="D2135" i="4"/>
  <c r="C2135" i="4"/>
  <c r="B2135" i="4"/>
  <c r="A2135" i="4"/>
  <c r="R2134" i="4"/>
  <c r="P2134" i="4"/>
  <c r="N2134" i="4"/>
  <c r="L2134" i="4"/>
  <c r="K2134" i="4"/>
  <c r="J2134" i="4"/>
  <c r="I2134" i="4"/>
  <c r="H2134" i="4"/>
  <c r="G2134" i="4"/>
  <c r="F2134" i="4"/>
  <c r="E2134" i="4"/>
  <c r="D2134" i="4"/>
  <c r="C2134" i="4"/>
  <c r="B2134" i="4"/>
  <c r="A2134" i="4"/>
  <c r="R2133" i="4"/>
  <c r="P2133" i="4"/>
  <c r="N2133" i="4"/>
  <c r="L2133" i="4"/>
  <c r="K2133" i="4"/>
  <c r="J2133" i="4"/>
  <c r="I2133" i="4"/>
  <c r="H2133" i="4"/>
  <c r="G2133" i="4"/>
  <c r="F2133" i="4"/>
  <c r="E2133" i="4"/>
  <c r="D2133" i="4"/>
  <c r="C2133" i="4"/>
  <c r="B2133" i="4"/>
  <c r="A2133" i="4"/>
  <c r="R2132" i="4"/>
  <c r="P2132" i="4"/>
  <c r="N2132" i="4"/>
  <c r="L2132" i="4"/>
  <c r="K2132" i="4"/>
  <c r="J2132" i="4"/>
  <c r="I2132" i="4"/>
  <c r="H2132" i="4"/>
  <c r="G2132" i="4"/>
  <c r="F2132" i="4"/>
  <c r="E2132" i="4"/>
  <c r="D2132" i="4"/>
  <c r="C2132" i="4"/>
  <c r="B2132" i="4"/>
  <c r="A2132" i="4"/>
  <c r="R2131" i="4"/>
  <c r="P2131" i="4"/>
  <c r="N2131" i="4"/>
  <c r="L2131" i="4"/>
  <c r="K2131" i="4"/>
  <c r="J2131" i="4"/>
  <c r="I2131" i="4"/>
  <c r="H2131" i="4"/>
  <c r="G2131" i="4"/>
  <c r="F2131" i="4"/>
  <c r="E2131" i="4"/>
  <c r="D2131" i="4"/>
  <c r="C2131" i="4"/>
  <c r="B2131" i="4"/>
  <c r="A2131" i="4"/>
  <c r="R2130" i="4"/>
  <c r="P2130" i="4"/>
  <c r="N2130" i="4"/>
  <c r="L2130" i="4"/>
  <c r="K2130" i="4"/>
  <c r="J2130" i="4"/>
  <c r="I2130" i="4"/>
  <c r="H2130" i="4"/>
  <c r="G2130" i="4"/>
  <c r="F2130" i="4"/>
  <c r="E2130" i="4"/>
  <c r="D2130" i="4"/>
  <c r="C2130" i="4"/>
  <c r="B2130" i="4"/>
  <c r="A2130" i="4"/>
  <c r="R2129" i="4"/>
  <c r="P2129" i="4"/>
  <c r="N2129" i="4"/>
  <c r="L2129" i="4"/>
  <c r="K2129" i="4"/>
  <c r="J2129" i="4"/>
  <c r="I2129" i="4"/>
  <c r="H2129" i="4"/>
  <c r="G2129" i="4"/>
  <c r="F2129" i="4"/>
  <c r="E2129" i="4"/>
  <c r="D2129" i="4"/>
  <c r="C2129" i="4"/>
  <c r="B2129" i="4"/>
  <c r="A2129" i="4"/>
  <c r="R2128" i="4"/>
  <c r="P2128" i="4"/>
  <c r="N2128" i="4"/>
  <c r="L2128" i="4"/>
  <c r="K2128" i="4"/>
  <c r="J2128" i="4"/>
  <c r="I2128" i="4"/>
  <c r="H2128" i="4"/>
  <c r="G2128" i="4"/>
  <c r="F2128" i="4"/>
  <c r="E2128" i="4"/>
  <c r="D2128" i="4"/>
  <c r="C2128" i="4"/>
  <c r="B2128" i="4"/>
  <c r="A2128" i="4"/>
  <c r="R2127" i="4"/>
  <c r="P2127" i="4"/>
  <c r="N2127" i="4"/>
  <c r="L2127" i="4"/>
  <c r="K2127" i="4"/>
  <c r="J2127" i="4"/>
  <c r="I2127" i="4"/>
  <c r="H2127" i="4"/>
  <c r="G2127" i="4"/>
  <c r="F2127" i="4"/>
  <c r="E2127" i="4"/>
  <c r="D2127" i="4"/>
  <c r="C2127" i="4"/>
  <c r="B2127" i="4"/>
  <c r="A2127" i="4"/>
  <c r="R2126" i="4"/>
  <c r="P2126" i="4"/>
  <c r="N2126" i="4"/>
  <c r="L2126" i="4"/>
  <c r="K2126" i="4"/>
  <c r="J2126" i="4"/>
  <c r="I2126" i="4"/>
  <c r="H2126" i="4"/>
  <c r="G2126" i="4"/>
  <c r="F2126" i="4"/>
  <c r="E2126" i="4"/>
  <c r="D2126" i="4"/>
  <c r="C2126" i="4"/>
  <c r="B2126" i="4"/>
  <c r="A2126" i="4"/>
  <c r="R2125" i="4"/>
  <c r="P2125" i="4"/>
  <c r="N2125" i="4"/>
  <c r="L2125" i="4"/>
  <c r="K2125" i="4"/>
  <c r="J2125" i="4"/>
  <c r="I2125" i="4"/>
  <c r="H2125" i="4"/>
  <c r="G2125" i="4"/>
  <c r="F2125" i="4"/>
  <c r="E2125" i="4"/>
  <c r="D2125" i="4"/>
  <c r="C2125" i="4"/>
  <c r="B2125" i="4"/>
  <c r="A2125" i="4"/>
  <c r="R2124" i="4"/>
  <c r="P2124" i="4"/>
  <c r="N2124" i="4"/>
  <c r="L2124" i="4"/>
  <c r="K2124" i="4"/>
  <c r="J2124" i="4"/>
  <c r="I2124" i="4"/>
  <c r="H2124" i="4"/>
  <c r="G2124" i="4"/>
  <c r="F2124" i="4"/>
  <c r="E2124" i="4"/>
  <c r="D2124" i="4"/>
  <c r="C2124" i="4"/>
  <c r="B2124" i="4"/>
  <c r="A2124" i="4"/>
  <c r="R2123" i="4"/>
  <c r="P2123" i="4"/>
  <c r="N2123" i="4"/>
  <c r="L2123" i="4"/>
  <c r="K2123" i="4"/>
  <c r="J2123" i="4"/>
  <c r="I2123" i="4"/>
  <c r="H2123" i="4"/>
  <c r="G2123" i="4"/>
  <c r="F2123" i="4"/>
  <c r="E2123" i="4"/>
  <c r="D2123" i="4"/>
  <c r="C2123" i="4"/>
  <c r="B2123" i="4"/>
  <c r="A2123" i="4"/>
  <c r="R2122" i="4"/>
  <c r="P2122" i="4"/>
  <c r="N2122" i="4"/>
  <c r="L2122" i="4"/>
  <c r="K2122" i="4"/>
  <c r="J2122" i="4"/>
  <c r="I2122" i="4"/>
  <c r="H2122" i="4"/>
  <c r="G2122" i="4"/>
  <c r="F2122" i="4"/>
  <c r="E2122" i="4"/>
  <c r="D2122" i="4"/>
  <c r="C2122" i="4"/>
  <c r="B2122" i="4"/>
  <c r="A2122" i="4"/>
  <c r="R2121" i="4"/>
  <c r="P2121" i="4"/>
  <c r="N2121" i="4"/>
  <c r="L2121" i="4"/>
  <c r="K2121" i="4"/>
  <c r="J2121" i="4"/>
  <c r="I2121" i="4"/>
  <c r="H2121" i="4"/>
  <c r="G2121" i="4"/>
  <c r="F2121" i="4"/>
  <c r="E2121" i="4"/>
  <c r="D2121" i="4"/>
  <c r="C2121" i="4"/>
  <c r="B2121" i="4"/>
  <c r="A2121" i="4"/>
  <c r="R2120" i="4"/>
  <c r="P2120" i="4"/>
  <c r="N2120" i="4"/>
  <c r="L2120" i="4"/>
  <c r="K2120" i="4"/>
  <c r="J2120" i="4"/>
  <c r="I2120" i="4"/>
  <c r="H2120" i="4"/>
  <c r="G2120" i="4"/>
  <c r="F2120" i="4"/>
  <c r="E2120" i="4"/>
  <c r="D2120" i="4"/>
  <c r="C2120" i="4"/>
  <c r="B2120" i="4"/>
  <c r="A2120" i="4"/>
  <c r="R2119" i="4"/>
  <c r="P2119" i="4"/>
  <c r="N2119" i="4"/>
  <c r="L2119" i="4"/>
  <c r="K2119" i="4"/>
  <c r="J2119" i="4"/>
  <c r="I2119" i="4"/>
  <c r="H2119" i="4"/>
  <c r="G2119" i="4"/>
  <c r="F2119" i="4"/>
  <c r="E2119" i="4"/>
  <c r="D2119" i="4"/>
  <c r="C2119" i="4"/>
  <c r="B2119" i="4"/>
  <c r="A2119" i="4"/>
  <c r="R2118" i="4"/>
  <c r="P2118" i="4"/>
  <c r="N2118" i="4"/>
  <c r="L2118" i="4"/>
  <c r="K2118" i="4"/>
  <c r="J2118" i="4"/>
  <c r="I2118" i="4"/>
  <c r="H2118" i="4"/>
  <c r="G2118" i="4"/>
  <c r="F2118" i="4"/>
  <c r="E2118" i="4"/>
  <c r="D2118" i="4"/>
  <c r="C2118" i="4"/>
  <c r="B2118" i="4"/>
  <c r="A2118" i="4"/>
  <c r="R2117" i="4"/>
  <c r="P2117" i="4"/>
  <c r="N2117" i="4"/>
  <c r="L2117" i="4"/>
  <c r="K2117" i="4"/>
  <c r="J2117" i="4"/>
  <c r="I2117" i="4"/>
  <c r="H2117" i="4"/>
  <c r="G2117" i="4"/>
  <c r="F2117" i="4"/>
  <c r="E2117" i="4"/>
  <c r="D2117" i="4"/>
  <c r="C2117" i="4"/>
  <c r="B2117" i="4"/>
  <c r="A2117" i="4"/>
  <c r="R2116" i="4"/>
  <c r="P2116" i="4"/>
  <c r="N2116" i="4"/>
  <c r="L2116" i="4"/>
  <c r="K2116" i="4"/>
  <c r="J2116" i="4"/>
  <c r="I2116" i="4"/>
  <c r="H2116" i="4"/>
  <c r="G2116" i="4"/>
  <c r="F2116" i="4"/>
  <c r="E2116" i="4"/>
  <c r="D2116" i="4"/>
  <c r="C2116" i="4"/>
  <c r="B2116" i="4"/>
  <c r="A2116" i="4"/>
  <c r="R2115" i="4"/>
  <c r="P2115" i="4"/>
  <c r="N2115" i="4"/>
  <c r="L2115" i="4"/>
  <c r="K2115" i="4"/>
  <c r="J2115" i="4"/>
  <c r="I2115" i="4"/>
  <c r="H2115" i="4"/>
  <c r="G2115" i="4"/>
  <c r="F2115" i="4"/>
  <c r="E2115" i="4"/>
  <c r="D2115" i="4"/>
  <c r="C2115" i="4"/>
  <c r="B2115" i="4"/>
  <c r="A2115" i="4"/>
  <c r="R2114" i="4"/>
  <c r="P2114" i="4"/>
  <c r="N2114" i="4"/>
  <c r="L2114" i="4"/>
  <c r="K2114" i="4"/>
  <c r="J2114" i="4"/>
  <c r="I2114" i="4"/>
  <c r="H2114" i="4"/>
  <c r="G2114" i="4"/>
  <c r="F2114" i="4"/>
  <c r="E2114" i="4"/>
  <c r="D2114" i="4"/>
  <c r="C2114" i="4"/>
  <c r="B2114" i="4"/>
  <c r="A2114" i="4"/>
  <c r="R2113" i="4"/>
  <c r="P2113" i="4"/>
  <c r="N2113" i="4"/>
  <c r="L2113" i="4"/>
  <c r="K2113" i="4"/>
  <c r="J2113" i="4"/>
  <c r="I2113" i="4"/>
  <c r="H2113" i="4"/>
  <c r="G2113" i="4"/>
  <c r="F2113" i="4"/>
  <c r="E2113" i="4"/>
  <c r="D2113" i="4"/>
  <c r="C2113" i="4"/>
  <c r="B2113" i="4"/>
  <c r="A2113" i="4"/>
  <c r="R2112" i="4"/>
  <c r="P2112" i="4"/>
  <c r="N2112" i="4"/>
  <c r="L2112" i="4"/>
  <c r="K2112" i="4"/>
  <c r="J2112" i="4"/>
  <c r="I2112" i="4"/>
  <c r="H2112" i="4"/>
  <c r="G2112" i="4"/>
  <c r="F2112" i="4"/>
  <c r="E2112" i="4"/>
  <c r="D2112" i="4"/>
  <c r="C2112" i="4"/>
  <c r="B2112" i="4"/>
  <c r="A2112" i="4"/>
  <c r="R2111" i="4"/>
  <c r="P2111" i="4"/>
  <c r="N2111" i="4"/>
  <c r="L2111" i="4"/>
  <c r="K2111" i="4"/>
  <c r="J2111" i="4"/>
  <c r="I2111" i="4"/>
  <c r="H2111" i="4"/>
  <c r="G2111" i="4"/>
  <c r="F2111" i="4"/>
  <c r="E2111" i="4"/>
  <c r="D2111" i="4"/>
  <c r="C2111" i="4"/>
  <c r="B2111" i="4"/>
  <c r="A2111" i="4"/>
  <c r="R2110" i="4"/>
  <c r="P2110" i="4"/>
  <c r="N2110" i="4"/>
  <c r="L2110" i="4"/>
  <c r="K2110" i="4"/>
  <c r="J2110" i="4"/>
  <c r="I2110" i="4"/>
  <c r="H2110" i="4"/>
  <c r="G2110" i="4"/>
  <c r="F2110" i="4"/>
  <c r="E2110" i="4"/>
  <c r="D2110" i="4"/>
  <c r="C2110" i="4"/>
  <c r="B2110" i="4"/>
  <c r="A2110" i="4"/>
  <c r="R2109" i="4"/>
  <c r="P2109" i="4"/>
  <c r="N2109" i="4"/>
  <c r="L2109" i="4"/>
  <c r="K2109" i="4"/>
  <c r="J2109" i="4"/>
  <c r="I2109" i="4"/>
  <c r="H2109" i="4"/>
  <c r="G2109" i="4"/>
  <c r="F2109" i="4"/>
  <c r="E2109" i="4"/>
  <c r="D2109" i="4"/>
  <c r="C2109" i="4"/>
  <c r="B2109" i="4"/>
  <c r="A2109" i="4"/>
  <c r="R2108" i="4"/>
  <c r="P2108" i="4"/>
  <c r="N2108" i="4"/>
  <c r="L2108" i="4"/>
  <c r="K2108" i="4"/>
  <c r="J2108" i="4"/>
  <c r="I2108" i="4"/>
  <c r="H2108" i="4"/>
  <c r="G2108" i="4"/>
  <c r="F2108" i="4"/>
  <c r="E2108" i="4"/>
  <c r="D2108" i="4"/>
  <c r="C2108" i="4"/>
  <c r="B2108" i="4"/>
  <c r="A2108" i="4"/>
  <c r="R2107" i="4"/>
  <c r="P2107" i="4"/>
  <c r="N2107" i="4"/>
  <c r="L2107" i="4"/>
  <c r="K2107" i="4"/>
  <c r="J2107" i="4"/>
  <c r="I2107" i="4"/>
  <c r="H2107" i="4"/>
  <c r="G2107" i="4"/>
  <c r="F2107" i="4"/>
  <c r="E2107" i="4"/>
  <c r="D2107" i="4"/>
  <c r="C2107" i="4"/>
  <c r="B2107" i="4"/>
  <c r="A2107" i="4"/>
  <c r="R2106" i="4"/>
  <c r="P2106" i="4"/>
  <c r="N2106" i="4"/>
  <c r="L2106" i="4"/>
  <c r="K2106" i="4"/>
  <c r="J2106" i="4"/>
  <c r="I2106" i="4"/>
  <c r="H2106" i="4"/>
  <c r="G2106" i="4"/>
  <c r="F2106" i="4"/>
  <c r="E2106" i="4"/>
  <c r="D2106" i="4"/>
  <c r="C2106" i="4"/>
  <c r="B2106" i="4"/>
  <c r="A2106" i="4"/>
  <c r="R2105" i="4"/>
  <c r="P2105" i="4"/>
  <c r="N2105" i="4"/>
  <c r="L2105" i="4"/>
  <c r="K2105" i="4"/>
  <c r="J2105" i="4"/>
  <c r="I2105" i="4"/>
  <c r="H2105" i="4"/>
  <c r="G2105" i="4"/>
  <c r="F2105" i="4"/>
  <c r="E2105" i="4"/>
  <c r="D2105" i="4"/>
  <c r="C2105" i="4"/>
  <c r="B2105" i="4"/>
  <c r="A2105" i="4"/>
  <c r="R2104" i="4"/>
  <c r="P2104" i="4"/>
  <c r="N2104" i="4"/>
  <c r="L2104" i="4"/>
  <c r="K2104" i="4"/>
  <c r="J2104" i="4"/>
  <c r="I2104" i="4"/>
  <c r="H2104" i="4"/>
  <c r="G2104" i="4"/>
  <c r="F2104" i="4"/>
  <c r="E2104" i="4"/>
  <c r="D2104" i="4"/>
  <c r="C2104" i="4"/>
  <c r="B2104" i="4"/>
  <c r="A2104" i="4"/>
  <c r="R2103" i="4"/>
  <c r="P2103" i="4"/>
  <c r="N2103" i="4"/>
  <c r="L2103" i="4"/>
  <c r="K2103" i="4"/>
  <c r="J2103" i="4"/>
  <c r="I2103" i="4"/>
  <c r="H2103" i="4"/>
  <c r="G2103" i="4"/>
  <c r="F2103" i="4"/>
  <c r="E2103" i="4"/>
  <c r="D2103" i="4"/>
  <c r="C2103" i="4"/>
  <c r="B2103" i="4"/>
  <c r="A2103" i="4"/>
  <c r="R2102" i="4"/>
  <c r="P2102" i="4"/>
  <c r="N2102" i="4"/>
  <c r="L2102" i="4"/>
  <c r="K2102" i="4"/>
  <c r="J2102" i="4"/>
  <c r="I2102" i="4"/>
  <c r="H2102" i="4"/>
  <c r="G2102" i="4"/>
  <c r="F2102" i="4"/>
  <c r="E2102" i="4"/>
  <c r="D2102" i="4"/>
  <c r="C2102" i="4"/>
  <c r="B2102" i="4"/>
  <c r="A2102" i="4"/>
  <c r="R2101" i="4"/>
  <c r="P2101" i="4"/>
  <c r="N2101" i="4"/>
  <c r="L2101" i="4"/>
  <c r="K2101" i="4"/>
  <c r="J2101" i="4"/>
  <c r="I2101" i="4"/>
  <c r="H2101" i="4"/>
  <c r="G2101" i="4"/>
  <c r="F2101" i="4"/>
  <c r="E2101" i="4"/>
  <c r="D2101" i="4"/>
  <c r="C2101" i="4"/>
  <c r="B2101" i="4"/>
  <c r="A2101" i="4"/>
  <c r="R2100" i="4"/>
  <c r="P2100" i="4"/>
  <c r="N2100" i="4"/>
  <c r="L2100" i="4"/>
  <c r="K2100" i="4"/>
  <c r="J2100" i="4"/>
  <c r="I2100" i="4"/>
  <c r="H2100" i="4"/>
  <c r="G2100" i="4"/>
  <c r="F2100" i="4"/>
  <c r="E2100" i="4"/>
  <c r="D2100" i="4"/>
  <c r="C2100" i="4"/>
  <c r="B2100" i="4"/>
  <c r="A2100" i="4"/>
  <c r="R2099" i="4"/>
  <c r="P2099" i="4"/>
  <c r="N2099" i="4"/>
  <c r="L2099" i="4"/>
  <c r="K2099" i="4"/>
  <c r="J2099" i="4"/>
  <c r="I2099" i="4"/>
  <c r="H2099" i="4"/>
  <c r="G2099" i="4"/>
  <c r="F2099" i="4"/>
  <c r="E2099" i="4"/>
  <c r="D2099" i="4"/>
  <c r="C2099" i="4"/>
  <c r="B2099" i="4"/>
  <c r="A2099" i="4"/>
  <c r="R2098" i="4"/>
  <c r="P2098" i="4"/>
  <c r="N2098" i="4"/>
  <c r="L2098" i="4"/>
  <c r="K2098" i="4"/>
  <c r="J2098" i="4"/>
  <c r="I2098" i="4"/>
  <c r="H2098" i="4"/>
  <c r="G2098" i="4"/>
  <c r="F2098" i="4"/>
  <c r="E2098" i="4"/>
  <c r="D2098" i="4"/>
  <c r="C2098" i="4"/>
  <c r="B2098" i="4"/>
  <c r="A2098" i="4"/>
  <c r="R2097" i="4"/>
  <c r="P2097" i="4"/>
  <c r="N2097" i="4"/>
  <c r="L2097" i="4"/>
  <c r="K2097" i="4"/>
  <c r="J2097" i="4"/>
  <c r="I2097" i="4"/>
  <c r="H2097" i="4"/>
  <c r="G2097" i="4"/>
  <c r="F2097" i="4"/>
  <c r="E2097" i="4"/>
  <c r="D2097" i="4"/>
  <c r="C2097" i="4"/>
  <c r="B2097" i="4"/>
  <c r="A2097" i="4"/>
  <c r="R2096" i="4"/>
  <c r="P2096" i="4"/>
  <c r="N2096" i="4"/>
  <c r="L2096" i="4"/>
  <c r="K2096" i="4"/>
  <c r="J2096" i="4"/>
  <c r="I2096" i="4"/>
  <c r="H2096" i="4"/>
  <c r="G2096" i="4"/>
  <c r="F2096" i="4"/>
  <c r="E2096" i="4"/>
  <c r="D2096" i="4"/>
  <c r="C2096" i="4"/>
  <c r="B2096" i="4"/>
  <c r="A2096" i="4"/>
  <c r="R2095" i="4"/>
  <c r="P2095" i="4"/>
  <c r="N2095" i="4"/>
  <c r="L2095" i="4"/>
  <c r="K2095" i="4"/>
  <c r="J2095" i="4"/>
  <c r="I2095" i="4"/>
  <c r="H2095" i="4"/>
  <c r="G2095" i="4"/>
  <c r="F2095" i="4"/>
  <c r="E2095" i="4"/>
  <c r="D2095" i="4"/>
  <c r="C2095" i="4"/>
  <c r="B2095" i="4"/>
  <c r="A2095" i="4"/>
  <c r="R2094" i="4"/>
  <c r="P2094" i="4"/>
  <c r="N2094" i="4"/>
  <c r="L2094" i="4"/>
  <c r="K2094" i="4"/>
  <c r="J2094" i="4"/>
  <c r="I2094" i="4"/>
  <c r="H2094" i="4"/>
  <c r="G2094" i="4"/>
  <c r="F2094" i="4"/>
  <c r="E2094" i="4"/>
  <c r="D2094" i="4"/>
  <c r="C2094" i="4"/>
  <c r="B2094" i="4"/>
  <c r="A2094" i="4"/>
  <c r="R2093" i="4"/>
  <c r="P2093" i="4"/>
  <c r="N2093" i="4"/>
  <c r="L2093" i="4"/>
  <c r="K2093" i="4"/>
  <c r="J2093" i="4"/>
  <c r="I2093" i="4"/>
  <c r="H2093" i="4"/>
  <c r="G2093" i="4"/>
  <c r="F2093" i="4"/>
  <c r="E2093" i="4"/>
  <c r="D2093" i="4"/>
  <c r="C2093" i="4"/>
  <c r="B2093" i="4"/>
  <c r="A2093" i="4"/>
  <c r="R2092" i="4"/>
  <c r="P2092" i="4"/>
  <c r="N2092" i="4"/>
  <c r="L2092" i="4"/>
  <c r="K2092" i="4"/>
  <c r="J2092" i="4"/>
  <c r="I2092" i="4"/>
  <c r="H2092" i="4"/>
  <c r="G2092" i="4"/>
  <c r="F2092" i="4"/>
  <c r="E2092" i="4"/>
  <c r="D2092" i="4"/>
  <c r="C2092" i="4"/>
  <c r="B2092" i="4"/>
  <c r="A2092" i="4"/>
  <c r="R2091" i="4"/>
  <c r="P2091" i="4"/>
  <c r="N2091" i="4"/>
  <c r="L2091" i="4"/>
  <c r="K2091" i="4"/>
  <c r="J2091" i="4"/>
  <c r="I2091" i="4"/>
  <c r="H2091" i="4"/>
  <c r="G2091" i="4"/>
  <c r="F2091" i="4"/>
  <c r="E2091" i="4"/>
  <c r="D2091" i="4"/>
  <c r="C2091" i="4"/>
  <c r="B2091" i="4"/>
  <c r="A2091" i="4"/>
  <c r="R2090" i="4"/>
  <c r="P2090" i="4"/>
  <c r="N2090" i="4"/>
  <c r="L2090" i="4"/>
  <c r="K2090" i="4"/>
  <c r="J2090" i="4"/>
  <c r="I2090" i="4"/>
  <c r="H2090" i="4"/>
  <c r="G2090" i="4"/>
  <c r="F2090" i="4"/>
  <c r="E2090" i="4"/>
  <c r="D2090" i="4"/>
  <c r="C2090" i="4"/>
  <c r="B2090" i="4"/>
  <c r="A2090" i="4"/>
  <c r="R2089" i="4"/>
  <c r="P2089" i="4"/>
  <c r="N2089" i="4"/>
  <c r="L2089" i="4"/>
  <c r="K2089" i="4"/>
  <c r="J2089" i="4"/>
  <c r="I2089" i="4"/>
  <c r="H2089" i="4"/>
  <c r="G2089" i="4"/>
  <c r="F2089" i="4"/>
  <c r="E2089" i="4"/>
  <c r="D2089" i="4"/>
  <c r="C2089" i="4"/>
  <c r="B2089" i="4"/>
  <c r="A2089" i="4"/>
  <c r="R2088" i="4"/>
  <c r="P2088" i="4"/>
  <c r="N2088" i="4"/>
  <c r="L2088" i="4"/>
  <c r="K2088" i="4"/>
  <c r="J2088" i="4"/>
  <c r="I2088" i="4"/>
  <c r="H2088" i="4"/>
  <c r="G2088" i="4"/>
  <c r="F2088" i="4"/>
  <c r="E2088" i="4"/>
  <c r="D2088" i="4"/>
  <c r="C2088" i="4"/>
  <c r="B2088" i="4"/>
  <c r="A2088" i="4"/>
  <c r="R2087" i="4"/>
  <c r="P2087" i="4"/>
  <c r="N2087" i="4"/>
  <c r="L2087" i="4"/>
  <c r="K2087" i="4"/>
  <c r="J2087" i="4"/>
  <c r="I2087" i="4"/>
  <c r="H2087" i="4"/>
  <c r="G2087" i="4"/>
  <c r="F2087" i="4"/>
  <c r="E2087" i="4"/>
  <c r="D2087" i="4"/>
  <c r="C2087" i="4"/>
  <c r="B2087" i="4"/>
  <c r="A2087" i="4"/>
  <c r="R2086" i="4"/>
  <c r="P2086" i="4"/>
  <c r="N2086" i="4"/>
  <c r="L2086" i="4"/>
  <c r="K2086" i="4"/>
  <c r="J2086" i="4"/>
  <c r="I2086" i="4"/>
  <c r="H2086" i="4"/>
  <c r="G2086" i="4"/>
  <c r="F2086" i="4"/>
  <c r="E2086" i="4"/>
  <c r="D2086" i="4"/>
  <c r="C2086" i="4"/>
  <c r="B2086" i="4"/>
  <c r="A2086" i="4"/>
  <c r="R2085" i="4"/>
  <c r="P2085" i="4"/>
  <c r="N2085" i="4"/>
  <c r="L2085" i="4"/>
  <c r="K2085" i="4"/>
  <c r="J2085" i="4"/>
  <c r="I2085" i="4"/>
  <c r="H2085" i="4"/>
  <c r="G2085" i="4"/>
  <c r="F2085" i="4"/>
  <c r="E2085" i="4"/>
  <c r="D2085" i="4"/>
  <c r="C2085" i="4"/>
  <c r="B2085" i="4"/>
  <c r="A2085" i="4"/>
  <c r="R2084" i="4"/>
  <c r="P2084" i="4"/>
  <c r="N2084" i="4"/>
  <c r="L2084" i="4"/>
  <c r="K2084" i="4"/>
  <c r="J2084" i="4"/>
  <c r="I2084" i="4"/>
  <c r="H2084" i="4"/>
  <c r="G2084" i="4"/>
  <c r="F2084" i="4"/>
  <c r="E2084" i="4"/>
  <c r="D2084" i="4"/>
  <c r="C2084" i="4"/>
  <c r="B2084" i="4"/>
  <c r="A2084" i="4"/>
  <c r="R2083" i="4"/>
  <c r="P2083" i="4"/>
  <c r="N2083" i="4"/>
  <c r="L2083" i="4"/>
  <c r="K2083" i="4"/>
  <c r="J2083" i="4"/>
  <c r="I2083" i="4"/>
  <c r="H2083" i="4"/>
  <c r="G2083" i="4"/>
  <c r="F2083" i="4"/>
  <c r="E2083" i="4"/>
  <c r="D2083" i="4"/>
  <c r="C2083" i="4"/>
  <c r="B2083" i="4"/>
  <c r="A2083" i="4"/>
  <c r="R2082" i="4"/>
  <c r="P2082" i="4"/>
  <c r="N2082" i="4"/>
  <c r="L2082" i="4"/>
  <c r="K2082" i="4"/>
  <c r="J2082" i="4"/>
  <c r="I2082" i="4"/>
  <c r="H2082" i="4"/>
  <c r="G2082" i="4"/>
  <c r="F2082" i="4"/>
  <c r="E2082" i="4"/>
  <c r="D2082" i="4"/>
  <c r="C2082" i="4"/>
  <c r="B2082" i="4"/>
  <c r="A2082" i="4"/>
  <c r="R2081" i="4"/>
  <c r="P2081" i="4"/>
  <c r="N2081" i="4"/>
  <c r="L2081" i="4"/>
  <c r="K2081" i="4"/>
  <c r="J2081" i="4"/>
  <c r="I2081" i="4"/>
  <c r="H2081" i="4"/>
  <c r="G2081" i="4"/>
  <c r="F2081" i="4"/>
  <c r="E2081" i="4"/>
  <c r="D2081" i="4"/>
  <c r="C2081" i="4"/>
  <c r="B2081" i="4"/>
  <c r="A2081" i="4"/>
  <c r="R2080" i="4"/>
  <c r="P2080" i="4"/>
  <c r="N2080" i="4"/>
  <c r="L2080" i="4"/>
  <c r="K2080" i="4"/>
  <c r="J2080" i="4"/>
  <c r="I2080" i="4"/>
  <c r="H2080" i="4"/>
  <c r="G2080" i="4"/>
  <c r="F2080" i="4"/>
  <c r="E2080" i="4"/>
  <c r="D2080" i="4"/>
  <c r="C2080" i="4"/>
  <c r="B2080" i="4"/>
  <c r="A2080" i="4"/>
  <c r="R2079" i="4"/>
  <c r="P2079" i="4"/>
  <c r="N2079" i="4"/>
  <c r="L2079" i="4"/>
  <c r="K2079" i="4"/>
  <c r="J2079" i="4"/>
  <c r="I2079" i="4"/>
  <c r="H2079" i="4"/>
  <c r="G2079" i="4"/>
  <c r="F2079" i="4"/>
  <c r="E2079" i="4"/>
  <c r="D2079" i="4"/>
  <c r="C2079" i="4"/>
  <c r="B2079" i="4"/>
  <c r="A2079" i="4"/>
  <c r="R2078" i="4"/>
  <c r="P2078" i="4"/>
  <c r="N2078" i="4"/>
  <c r="L2078" i="4"/>
  <c r="K2078" i="4"/>
  <c r="J2078" i="4"/>
  <c r="I2078" i="4"/>
  <c r="H2078" i="4"/>
  <c r="G2078" i="4"/>
  <c r="F2078" i="4"/>
  <c r="E2078" i="4"/>
  <c r="D2078" i="4"/>
  <c r="C2078" i="4"/>
  <c r="B2078" i="4"/>
  <c r="A2078" i="4"/>
  <c r="R2077" i="4"/>
  <c r="P2077" i="4"/>
  <c r="N2077" i="4"/>
  <c r="L2077" i="4"/>
  <c r="K2077" i="4"/>
  <c r="J2077" i="4"/>
  <c r="I2077" i="4"/>
  <c r="H2077" i="4"/>
  <c r="G2077" i="4"/>
  <c r="F2077" i="4"/>
  <c r="E2077" i="4"/>
  <c r="D2077" i="4"/>
  <c r="C2077" i="4"/>
  <c r="B2077" i="4"/>
  <c r="A2077" i="4"/>
  <c r="R2076" i="4"/>
  <c r="P2076" i="4"/>
  <c r="N2076" i="4"/>
  <c r="L2076" i="4"/>
  <c r="K2076" i="4"/>
  <c r="J2076" i="4"/>
  <c r="I2076" i="4"/>
  <c r="H2076" i="4"/>
  <c r="G2076" i="4"/>
  <c r="F2076" i="4"/>
  <c r="E2076" i="4"/>
  <c r="D2076" i="4"/>
  <c r="C2076" i="4"/>
  <c r="B2076" i="4"/>
  <c r="A2076" i="4"/>
  <c r="R2075" i="4"/>
  <c r="P2075" i="4"/>
  <c r="N2075" i="4"/>
  <c r="L2075" i="4"/>
  <c r="K2075" i="4"/>
  <c r="J2075" i="4"/>
  <c r="I2075" i="4"/>
  <c r="H2075" i="4"/>
  <c r="G2075" i="4"/>
  <c r="F2075" i="4"/>
  <c r="E2075" i="4"/>
  <c r="D2075" i="4"/>
  <c r="C2075" i="4"/>
  <c r="B2075" i="4"/>
  <c r="A2075" i="4"/>
  <c r="R2074" i="4"/>
  <c r="P2074" i="4"/>
  <c r="N2074" i="4"/>
  <c r="L2074" i="4"/>
  <c r="K2074" i="4"/>
  <c r="J2074" i="4"/>
  <c r="I2074" i="4"/>
  <c r="H2074" i="4"/>
  <c r="G2074" i="4"/>
  <c r="F2074" i="4"/>
  <c r="E2074" i="4"/>
  <c r="D2074" i="4"/>
  <c r="C2074" i="4"/>
  <c r="B2074" i="4"/>
  <c r="A2074" i="4"/>
  <c r="R2073" i="4"/>
  <c r="P2073" i="4"/>
  <c r="N2073" i="4"/>
  <c r="L2073" i="4"/>
  <c r="K2073" i="4"/>
  <c r="J2073" i="4"/>
  <c r="I2073" i="4"/>
  <c r="H2073" i="4"/>
  <c r="G2073" i="4"/>
  <c r="F2073" i="4"/>
  <c r="E2073" i="4"/>
  <c r="D2073" i="4"/>
  <c r="C2073" i="4"/>
  <c r="B2073" i="4"/>
  <c r="A2073" i="4"/>
  <c r="R2072" i="4"/>
  <c r="P2072" i="4"/>
  <c r="N2072" i="4"/>
  <c r="L2072" i="4"/>
  <c r="K2072" i="4"/>
  <c r="J2072" i="4"/>
  <c r="I2072" i="4"/>
  <c r="H2072" i="4"/>
  <c r="G2072" i="4"/>
  <c r="F2072" i="4"/>
  <c r="E2072" i="4"/>
  <c r="D2072" i="4"/>
  <c r="C2072" i="4"/>
  <c r="B2072" i="4"/>
  <c r="A2072" i="4"/>
  <c r="R2071" i="4"/>
  <c r="P2071" i="4"/>
  <c r="N2071" i="4"/>
  <c r="L2071" i="4"/>
  <c r="K2071" i="4"/>
  <c r="J2071" i="4"/>
  <c r="I2071" i="4"/>
  <c r="H2071" i="4"/>
  <c r="G2071" i="4"/>
  <c r="F2071" i="4"/>
  <c r="E2071" i="4"/>
  <c r="D2071" i="4"/>
  <c r="C2071" i="4"/>
  <c r="B2071" i="4"/>
  <c r="A2071" i="4"/>
  <c r="R2070" i="4"/>
  <c r="P2070" i="4"/>
  <c r="N2070" i="4"/>
  <c r="L2070" i="4"/>
  <c r="K2070" i="4"/>
  <c r="J2070" i="4"/>
  <c r="I2070" i="4"/>
  <c r="H2070" i="4"/>
  <c r="G2070" i="4"/>
  <c r="F2070" i="4"/>
  <c r="E2070" i="4"/>
  <c r="D2070" i="4"/>
  <c r="C2070" i="4"/>
  <c r="B2070" i="4"/>
  <c r="A2070" i="4"/>
  <c r="R2069" i="4"/>
  <c r="P2069" i="4"/>
  <c r="N2069" i="4"/>
  <c r="L2069" i="4"/>
  <c r="K2069" i="4"/>
  <c r="J2069" i="4"/>
  <c r="I2069" i="4"/>
  <c r="H2069" i="4"/>
  <c r="G2069" i="4"/>
  <c r="F2069" i="4"/>
  <c r="E2069" i="4"/>
  <c r="D2069" i="4"/>
  <c r="C2069" i="4"/>
  <c r="B2069" i="4"/>
  <c r="A2069" i="4"/>
  <c r="R2068" i="4"/>
  <c r="P2068" i="4"/>
  <c r="N2068" i="4"/>
  <c r="L2068" i="4"/>
  <c r="K2068" i="4"/>
  <c r="J2068" i="4"/>
  <c r="I2068" i="4"/>
  <c r="H2068" i="4"/>
  <c r="G2068" i="4"/>
  <c r="F2068" i="4"/>
  <c r="E2068" i="4"/>
  <c r="D2068" i="4"/>
  <c r="C2068" i="4"/>
  <c r="B2068" i="4"/>
  <c r="A2068" i="4"/>
  <c r="R2067" i="4"/>
  <c r="P2067" i="4"/>
  <c r="N2067" i="4"/>
  <c r="L2067" i="4"/>
  <c r="K2067" i="4"/>
  <c r="J2067" i="4"/>
  <c r="I2067" i="4"/>
  <c r="H2067" i="4"/>
  <c r="G2067" i="4"/>
  <c r="F2067" i="4"/>
  <c r="E2067" i="4"/>
  <c r="D2067" i="4"/>
  <c r="C2067" i="4"/>
  <c r="B2067" i="4"/>
  <c r="A2067" i="4"/>
  <c r="R2066" i="4"/>
  <c r="P2066" i="4"/>
  <c r="N2066" i="4"/>
  <c r="L2066" i="4"/>
  <c r="K2066" i="4"/>
  <c r="J2066" i="4"/>
  <c r="I2066" i="4"/>
  <c r="H2066" i="4"/>
  <c r="G2066" i="4"/>
  <c r="F2066" i="4"/>
  <c r="E2066" i="4"/>
  <c r="D2066" i="4"/>
  <c r="C2066" i="4"/>
  <c r="B2066" i="4"/>
  <c r="A2066" i="4"/>
  <c r="R2065" i="4"/>
  <c r="P2065" i="4"/>
  <c r="N2065" i="4"/>
  <c r="L2065" i="4"/>
  <c r="K2065" i="4"/>
  <c r="J2065" i="4"/>
  <c r="I2065" i="4"/>
  <c r="H2065" i="4"/>
  <c r="G2065" i="4"/>
  <c r="F2065" i="4"/>
  <c r="E2065" i="4"/>
  <c r="D2065" i="4"/>
  <c r="C2065" i="4"/>
  <c r="B2065" i="4"/>
  <c r="A2065" i="4"/>
  <c r="R2064" i="4"/>
  <c r="P2064" i="4"/>
  <c r="N2064" i="4"/>
  <c r="L2064" i="4"/>
  <c r="K2064" i="4"/>
  <c r="J2064" i="4"/>
  <c r="I2064" i="4"/>
  <c r="H2064" i="4"/>
  <c r="G2064" i="4"/>
  <c r="F2064" i="4"/>
  <c r="E2064" i="4"/>
  <c r="D2064" i="4"/>
  <c r="C2064" i="4"/>
  <c r="B2064" i="4"/>
  <c r="A2064" i="4"/>
  <c r="R2063" i="4"/>
  <c r="P2063" i="4"/>
  <c r="N2063" i="4"/>
  <c r="L2063" i="4"/>
  <c r="K2063" i="4"/>
  <c r="J2063" i="4"/>
  <c r="I2063" i="4"/>
  <c r="H2063" i="4"/>
  <c r="G2063" i="4"/>
  <c r="F2063" i="4"/>
  <c r="E2063" i="4"/>
  <c r="D2063" i="4"/>
  <c r="C2063" i="4"/>
  <c r="B2063" i="4"/>
  <c r="A2063" i="4"/>
  <c r="R2062" i="4"/>
  <c r="P2062" i="4"/>
  <c r="N2062" i="4"/>
  <c r="L2062" i="4"/>
  <c r="K2062" i="4"/>
  <c r="J2062" i="4"/>
  <c r="I2062" i="4"/>
  <c r="H2062" i="4"/>
  <c r="G2062" i="4"/>
  <c r="F2062" i="4"/>
  <c r="E2062" i="4"/>
  <c r="D2062" i="4"/>
  <c r="C2062" i="4"/>
  <c r="B2062" i="4"/>
  <c r="A2062" i="4"/>
  <c r="R2061" i="4"/>
  <c r="P2061" i="4"/>
  <c r="N2061" i="4"/>
  <c r="L2061" i="4"/>
  <c r="K2061" i="4"/>
  <c r="J2061" i="4"/>
  <c r="I2061" i="4"/>
  <c r="H2061" i="4"/>
  <c r="G2061" i="4"/>
  <c r="F2061" i="4"/>
  <c r="E2061" i="4"/>
  <c r="D2061" i="4"/>
  <c r="C2061" i="4"/>
  <c r="B2061" i="4"/>
  <c r="A2061" i="4"/>
  <c r="R2060" i="4"/>
  <c r="P2060" i="4"/>
  <c r="N2060" i="4"/>
  <c r="L2060" i="4"/>
  <c r="K2060" i="4"/>
  <c r="J2060" i="4"/>
  <c r="I2060" i="4"/>
  <c r="H2060" i="4"/>
  <c r="G2060" i="4"/>
  <c r="F2060" i="4"/>
  <c r="E2060" i="4"/>
  <c r="D2060" i="4"/>
  <c r="C2060" i="4"/>
  <c r="B2060" i="4"/>
  <c r="A2060" i="4"/>
  <c r="R2059" i="4"/>
  <c r="P2059" i="4"/>
  <c r="N2059" i="4"/>
  <c r="L2059" i="4"/>
  <c r="K2059" i="4"/>
  <c r="J2059" i="4"/>
  <c r="I2059" i="4"/>
  <c r="H2059" i="4"/>
  <c r="G2059" i="4"/>
  <c r="F2059" i="4"/>
  <c r="E2059" i="4"/>
  <c r="D2059" i="4"/>
  <c r="C2059" i="4"/>
  <c r="B2059" i="4"/>
  <c r="A2059" i="4"/>
  <c r="R2058" i="4"/>
  <c r="P2058" i="4"/>
  <c r="N2058" i="4"/>
  <c r="L2058" i="4"/>
  <c r="K2058" i="4"/>
  <c r="J2058" i="4"/>
  <c r="I2058" i="4"/>
  <c r="H2058" i="4"/>
  <c r="G2058" i="4"/>
  <c r="F2058" i="4"/>
  <c r="E2058" i="4"/>
  <c r="D2058" i="4"/>
  <c r="C2058" i="4"/>
  <c r="B2058" i="4"/>
  <c r="A2058" i="4"/>
  <c r="R2057" i="4"/>
  <c r="P2057" i="4"/>
  <c r="N2057" i="4"/>
  <c r="L2057" i="4"/>
  <c r="K2057" i="4"/>
  <c r="J2057" i="4"/>
  <c r="I2057" i="4"/>
  <c r="H2057" i="4"/>
  <c r="G2057" i="4"/>
  <c r="F2057" i="4"/>
  <c r="E2057" i="4"/>
  <c r="D2057" i="4"/>
  <c r="C2057" i="4"/>
  <c r="B2057" i="4"/>
  <c r="A2057" i="4"/>
  <c r="R2056" i="4"/>
  <c r="P2056" i="4"/>
  <c r="N2056" i="4"/>
  <c r="L2056" i="4"/>
  <c r="K2056" i="4"/>
  <c r="J2056" i="4"/>
  <c r="I2056" i="4"/>
  <c r="H2056" i="4"/>
  <c r="G2056" i="4"/>
  <c r="F2056" i="4"/>
  <c r="E2056" i="4"/>
  <c r="D2056" i="4"/>
  <c r="C2056" i="4"/>
  <c r="B2056" i="4"/>
  <c r="A2056" i="4"/>
  <c r="R2055" i="4"/>
  <c r="P2055" i="4"/>
  <c r="N2055" i="4"/>
  <c r="L2055" i="4"/>
  <c r="K2055" i="4"/>
  <c r="J2055" i="4"/>
  <c r="I2055" i="4"/>
  <c r="H2055" i="4"/>
  <c r="G2055" i="4"/>
  <c r="F2055" i="4"/>
  <c r="E2055" i="4"/>
  <c r="D2055" i="4"/>
  <c r="C2055" i="4"/>
  <c r="B2055" i="4"/>
  <c r="A2055" i="4"/>
  <c r="R2054" i="4"/>
  <c r="P2054" i="4"/>
  <c r="N2054" i="4"/>
  <c r="L2054" i="4"/>
  <c r="K2054" i="4"/>
  <c r="J2054" i="4"/>
  <c r="I2054" i="4"/>
  <c r="H2054" i="4"/>
  <c r="G2054" i="4"/>
  <c r="F2054" i="4"/>
  <c r="E2054" i="4"/>
  <c r="D2054" i="4"/>
  <c r="C2054" i="4"/>
  <c r="B2054" i="4"/>
  <c r="A2054" i="4"/>
  <c r="R2053" i="4"/>
  <c r="P2053" i="4"/>
  <c r="N2053" i="4"/>
  <c r="L2053" i="4"/>
  <c r="K2053" i="4"/>
  <c r="J2053" i="4"/>
  <c r="I2053" i="4"/>
  <c r="H2053" i="4"/>
  <c r="G2053" i="4"/>
  <c r="F2053" i="4"/>
  <c r="E2053" i="4"/>
  <c r="D2053" i="4"/>
  <c r="C2053" i="4"/>
  <c r="B2053" i="4"/>
  <c r="A2053" i="4"/>
  <c r="R2052" i="4"/>
  <c r="P2052" i="4"/>
  <c r="N2052" i="4"/>
  <c r="L2052" i="4"/>
  <c r="K2052" i="4"/>
  <c r="J2052" i="4"/>
  <c r="I2052" i="4"/>
  <c r="H2052" i="4"/>
  <c r="G2052" i="4"/>
  <c r="F2052" i="4"/>
  <c r="E2052" i="4"/>
  <c r="D2052" i="4"/>
  <c r="C2052" i="4"/>
  <c r="B2052" i="4"/>
  <c r="A2052" i="4"/>
  <c r="R2051" i="4"/>
  <c r="P2051" i="4"/>
  <c r="N2051" i="4"/>
  <c r="L2051" i="4"/>
  <c r="K2051" i="4"/>
  <c r="J2051" i="4"/>
  <c r="I2051" i="4"/>
  <c r="H2051" i="4"/>
  <c r="G2051" i="4"/>
  <c r="F2051" i="4"/>
  <c r="E2051" i="4"/>
  <c r="D2051" i="4"/>
  <c r="C2051" i="4"/>
  <c r="B2051" i="4"/>
  <c r="A2051" i="4"/>
  <c r="R2050" i="4"/>
  <c r="P2050" i="4"/>
  <c r="N2050" i="4"/>
  <c r="L2050" i="4"/>
  <c r="K2050" i="4"/>
  <c r="J2050" i="4"/>
  <c r="I2050" i="4"/>
  <c r="H2050" i="4"/>
  <c r="G2050" i="4"/>
  <c r="F2050" i="4"/>
  <c r="E2050" i="4"/>
  <c r="D2050" i="4"/>
  <c r="C2050" i="4"/>
  <c r="B2050" i="4"/>
  <c r="A2050" i="4"/>
  <c r="R2049" i="4"/>
  <c r="P2049" i="4"/>
  <c r="N2049" i="4"/>
  <c r="L2049" i="4"/>
  <c r="K2049" i="4"/>
  <c r="J2049" i="4"/>
  <c r="I2049" i="4"/>
  <c r="H2049" i="4"/>
  <c r="G2049" i="4"/>
  <c r="F2049" i="4"/>
  <c r="E2049" i="4"/>
  <c r="D2049" i="4"/>
  <c r="C2049" i="4"/>
  <c r="B2049" i="4"/>
  <c r="A2049" i="4"/>
  <c r="R2048" i="4"/>
  <c r="P2048" i="4"/>
  <c r="N2048" i="4"/>
  <c r="L2048" i="4"/>
  <c r="K2048" i="4"/>
  <c r="J2048" i="4"/>
  <c r="I2048" i="4"/>
  <c r="H2048" i="4"/>
  <c r="G2048" i="4"/>
  <c r="F2048" i="4"/>
  <c r="E2048" i="4"/>
  <c r="D2048" i="4"/>
  <c r="C2048" i="4"/>
  <c r="B2048" i="4"/>
  <c r="A2048" i="4"/>
  <c r="R2047" i="4"/>
  <c r="P2047" i="4"/>
  <c r="N2047" i="4"/>
  <c r="L2047" i="4"/>
  <c r="K2047" i="4"/>
  <c r="J2047" i="4"/>
  <c r="I2047" i="4"/>
  <c r="H2047" i="4"/>
  <c r="G2047" i="4"/>
  <c r="F2047" i="4"/>
  <c r="E2047" i="4"/>
  <c r="D2047" i="4"/>
  <c r="C2047" i="4"/>
  <c r="B2047" i="4"/>
  <c r="A2047" i="4"/>
  <c r="R2046" i="4"/>
  <c r="P2046" i="4"/>
  <c r="N2046" i="4"/>
  <c r="L2046" i="4"/>
  <c r="K2046" i="4"/>
  <c r="J2046" i="4"/>
  <c r="I2046" i="4"/>
  <c r="H2046" i="4"/>
  <c r="G2046" i="4"/>
  <c r="F2046" i="4"/>
  <c r="E2046" i="4"/>
  <c r="D2046" i="4"/>
  <c r="C2046" i="4"/>
  <c r="B2046" i="4"/>
  <c r="A2046" i="4"/>
  <c r="R2045" i="4"/>
  <c r="P2045" i="4"/>
  <c r="N2045" i="4"/>
  <c r="L2045" i="4"/>
  <c r="K2045" i="4"/>
  <c r="J2045" i="4"/>
  <c r="I2045" i="4"/>
  <c r="H2045" i="4"/>
  <c r="G2045" i="4"/>
  <c r="F2045" i="4"/>
  <c r="E2045" i="4"/>
  <c r="D2045" i="4"/>
  <c r="C2045" i="4"/>
  <c r="B2045" i="4"/>
  <c r="A2045" i="4"/>
  <c r="R2044" i="4"/>
  <c r="P2044" i="4"/>
  <c r="N2044" i="4"/>
  <c r="L2044" i="4"/>
  <c r="K2044" i="4"/>
  <c r="J2044" i="4"/>
  <c r="I2044" i="4"/>
  <c r="H2044" i="4"/>
  <c r="G2044" i="4"/>
  <c r="F2044" i="4"/>
  <c r="E2044" i="4"/>
  <c r="D2044" i="4"/>
  <c r="C2044" i="4"/>
  <c r="B2044" i="4"/>
  <c r="A2044" i="4"/>
  <c r="R2043" i="4"/>
  <c r="P2043" i="4"/>
  <c r="N2043" i="4"/>
  <c r="L2043" i="4"/>
  <c r="K2043" i="4"/>
  <c r="J2043" i="4"/>
  <c r="I2043" i="4"/>
  <c r="H2043" i="4"/>
  <c r="G2043" i="4"/>
  <c r="F2043" i="4"/>
  <c r="E2043" i="4"/>
  <c r="D2043" i="4"/>
  <c r="C2043" i="4"/>
  <c r="B2043" i="4"/>
  <c r="A2043" i="4"/>
  <c r="R2042" i="4"/>
  <c r="P2042" i="4"/>
  <c r="N2042" i="4"/>
  <c r="L2042" i="4"/>
  <c r="K2042" i="4"/>
  <c r="J2042" i="4"/>
  <c r="I2042" i="4"/>
  <c r="H2042" i="4"/>
  <c r="G2042" i="4"/>
  <c r="F2042" i="4"/>
  <c r="E2042" i="4"/>
  <c r="D2042" i="4"/>
  <c r="C2042" i="4"/>
  <c r="B2042" i="4"/>
  <c r="A2042" i="4"/>
  <c r="R2041" i="4"/>
  <c r="P2041" i="4"/>
  <c r="N2041" i="4"/>
  <c r="L2041" i="4"/>
  <c r="K2041" i="4"/>
  <c r="J2041" i="4"/>
  <c r="I2041" i="4"/>
  <c r="H2041" i="4"/>
  <c r="G2041" i="4"/>
  <c r="F2041" i="4"/>
  <c r="E2041" i="4"/>
  <c r="D2041" i="4"/>
  <c r="C2041" i="4"/>
  <c r="B2041" i="4"/>
  <c r="A2041" i="4"/>
  <c r="R2040" i="4"/>
  <c r="P2040" i="4"/>
  <c r="N2040" i="4"/>
  <c r="L2040" i="4"/>
  <c r="K2040" i="4"/>
  <c r="J2040" i="4"/>
  <c r="I2040" i="4"/>
  <c r="H2040" i="4"/>
  <c r="G2040" i="4"/>
  <c r="F2040" i="4"/>
  <c r="E2040" i="4"/>
  <c r="D2040" i="4"/>
  <c r="C2040" i="4"/>
  <c r="B2040" i="4"/>
  <c r="A2040" i="4"/>
  <c r="R2039" i="4"/>
  <c r="P2039" i="4"/>
  <c r="N2039" i="4"/>
  <c r="L2039" i="4"/>
  <c r="K2039" i="4"/>
  <c r="J2039" i="4"/>
  <c r="I2039" i="4"/>
  <c r="H2039" i="4"/>
  <c r="G2039" i="4"/>
  <c r="F2039" i="4"/>
  <c r="E2039" i="4"/>
  <c r="D2039" i="4"/>
  <c r="C2039" i="4"/>
  <c r="B2039" i="4"/>
  <c r="A2039" i="4"/>
  <c r="R2038" i="4"/>
  <c r="P2038" i="4"/>
  <c r="N2038" i="4"/>
  <c r="L2038" i="4"/>
  <c r="K2038" i="4"/>
  <c r="J2038" i="4"/>
  <c r="I2038" i="4"/>
  <c r="H2038" i="4"/>
  <c r="G2038" i="4"/>
  <c r="F2038" i="4"/>
  <c r="E2038" i="4"/>
  <c r="D2038" i="4"/>
  <c r="C2038" i="4"/>
  <c r="B2038" i="4"/>
  <c r="A2038" i="4"/>
  <c r="R2037" i="4"/>
  <c r="P2037" i="4"/>
  <c r="N2037" i="4"/>
  <c r="L2037" i="4"/>
  <c r="K2037" i="4"/>
  <c r="J2037" i="4"/>
  <c r="I2037" i="4"/>
  <c r="H2037" i="4"/>
  <c r="G2037" i="4"/>
  <c r="F2037" i="4"/>
  <c r="E2037" i="4"/>
  <c r="D2037" i="4"/>
  <c r="C2037" i="4"/>
  <c r="B2037" i="4"/>
  <c r="A2037" i="4"/>
  <c r="R2036" i="4"/>
  <c r="P2036" i="4"/>
  <c r="N2036" i="4"/>
  <c r="L2036" i="4"/>
  <c r="K2036" i="4"/>
  <c r="J2036" i="4"/>
  <c r="I2036" i="4"/>
  <c r="H2036" i="4"/>
  <c r="G2036" i="4"/>
  <c r="F2036" i="4"/>
  <c r="E2036" i="4"/>
  <c r="D2036" i="4"/>
  <c r="C2036" i="4"/>
  <c r="B2036" i="4"/>
  <c r="A2036" i="4"/>
  <c r="R2035" i="4"/>
  <c r="P2035" i="4"/>
  <c r="N2035" i="4"/>
  <c r="L2035" i="4"/>
  <c r="K2035" i="4"/>
  <c r="J2035" i="4"/>
  <c r="I2035" i="4"/>
  <c r="H2035" i="4"/>
  <c r="G2035" i="4"/>
  <c r="F2035" i="4"/>
  <c r="E2035" i="4"/>
  <c r="D2035" i="4"/>
  <c r="C2035" i="4"/>
  <c r="B2035" i="4"/>
  <c r="A2035" i="4"/>
  <c r="R2034" i="4"/>
  <c r="P2034" i="4"/>
  <c r="N2034" i="4"/>
  <c r="L2034" i="4"/>
  <c r="K2034" i="4"/>
  <c r="J2034" i="4"/>
  <c r="I2034" i="4"/>
  <c r="H2034" i="4"/>
  <c r="G2034" i="4"/>
  <c r="F2034" i="4"/>
  <c r="E2034" i="4"/>
  <c r="D2034" i="4"/>
  <c r="C2034" i="4"/>
  <c r="B2034" i="4"/>
  <c r="A2034" i="4"/>
  <c r="R2033" i="4"/>
  <c r="P2033" i="4"/>
  <c r="N2033" i="4"/>
  <c r="L2033" i="4"/>
  <c r="K2033" i="4"/>
  <c r="J2033" i="4"/>
  <c r="I2033" i="4"/>
  <c r="H2033" i="4"/>
  <c r="G2033" i="4"/>
  <c r="F2033" i="4"/>
  <c r="E2033" i="4"/>
  <c r="D2033" i="4"/>
  <c r="C2033" i="4"/>
  <c r="B2033" i="4"/>
  <c r="A2033" i="4"/>
  <c r="R2032" i="4"/>
  <c r="P2032" i="4"/>
  <c r="N2032" i="4"/>
  <c r="L2032" i="4"/>
  <c r="K2032" i="4"/>
  <c r="J2032" i="4"/>
  <c r="I2032" i="4"/>
  <c r="H2032" i="4"/>
  <c r="G2032" i="4"/>
  <c r="F2032" i="4"/>
  <c r="E2032" i="4"/>
  <c r="D2032" i="4"/>
  <c r="C2032" i="4"/>
  <c r="B2032" i="4"/>
  <c r="A2032" i="4"/>
  <c r="R2031" i="4"/>
  <c r="P2031" i="4"/>
  <c r="N2031" i="4"/>
  <c r="L2031" i="4"/>
  <c r="K2031" i="4"/>
  <c r="J2031" i="4"/>
  <c r="I2031" i="4"/>
  <c r="H2031" i="4"/>
  <c r="G2031" i="4"/>
  <c r="F2031" i="4"/>
  <c r="E2031" i="4"/>
  <c r="D2031" i="4"/>
  <c r="C2031" i="4"/>
  <c r="B2031" i="4"/>
  <c r="A2031" i="4"/>
  <c r="R2030" i="4"/>
  <c r="P2030" i="4"/>
  <c r="N2030" i="4"/>
  <c r="L2030" i="4"/>
  <c r="K2030" i="4"/>
  <c r="J2030" i="4"/>
  <c r="I2030" i="4"/>
  <c r="H2030" i="4"/>
  <c r="G2030" i="4"/>
  <c r="F2030" i="4"/>
  <c r="E2030" i="4"/>
  <c r="D2030" i="4"/>
  <c r="C2030" i="4"/>
  <c r="B2030" i="4"/>
  <c r="A2030" i="4"/>
  <c r="R2029" i="4"/>
  <c r="P2029" i="4"/>
  <c r="N2029" i="4"/>
  <c r="L2029" i="4"/>
  <c r="K2029" i="4"/>
  <c r="J2029" i="4"/>
  <c r="I2029" i="4"/>
  <c r="H2029" i="4"/>
  <c r="G2029" i="4"/>
  <c r="F2029" i="4"/>
  <c r="E2029" i="4"/>
  <c r="D2029" i="4"/>
  <c r="C2029" i="4"/>
  <c r="B2029" i="4"/>
  <c r="A2029" i="4"/>
  <c r="R2028" i="4"/>
  <c r="P2028" i="4"/>
  <c r="N2028" i="4"/>
  <c r="L2028" i="4"/>
  <c r="K2028" i="4"/>
  <c r="J2028" i="4"/>
  <c r="I2028" i="4"/>
  <c r="H2028" i="4"/>
  <c r="G2028" i="4"/>
  <c r="F2028" i="4"/>
  <c r="E2028" i="4"/>
  <c r="D2028" i="4"/>
  <c r="C2028" i="4"/>
  <c r="B2028" i="4"/>
  <c r="A2028" i="4"/>
  <c r="R2027" i="4"/>
  <c r="P2027" i="4"/>
  <c r="N2027" i="4"/>
  <c r="L2027" i="4"/>
  <c r="K2027" i="4"/>
  <c r="J2027" i="4"/>
  <c r="I2027" i="4"/>
  <c r="H2027" i="4"/>
  <c r="G2027" i="4"/>
  <c r="F2027" i="4"/>
  <c r="E2027" i="4"/>
  <c r="D2027" i="4"/>
  <c r="C2027" i="4"/>
  <c r="B2027" i="4"/>
  <c r="A2027" i="4"/>
  <c r="R2026" i="4"/>
  <c r="P2026" i="4"/>
  <c r="N2026" i="4"/>
  <c r="L2026" i="4"/>
  <c r="K2026" i="4"/>
  <c r="J2026" i="4"/>
  <c r="I2026" i="4"/>
  <c r="H2026" i="4"/>
  <c r="G2026" i="4"/>
  <c r="F2026" i="4"/>
  <c r="E2026" i="4"/>
  <c r="D2026" i="4"/>
  <c r="C2026" i="4"/>
  <c r="B2026" i="4"/>
  <c r="A2026" i="4"/>
  <c r="R2025" i="4"/>
  <c r="P2025" i="4"/>
  <c r="N2025" i="4"/>
  <c r="L2025" i="4"/>
  <c r="K2025" i="4"/>
  <c r="J2025" i="4"/>
  <c r="I2025" i="4"/>
  <c r="H2025" i="4"/>
  <c r="G2025" i="4"/>
  <c r="F2025" i="4"/>
  <c r="E2025" i="4"/>
  <c r="D2025" i="4"/>
  <c r="C2025" i="4"/>
  <c r="B2025" i="4"/>
  <c r="A2025" i="4"/>
  <c r="R2024" i="4"/>
  <c r="P2024" i="4"/>
  <c r="N2024" i="4"/>
  <c r="L2024" i="4"/>
  <c r="K2024" i="4"/>
  <c r="J2024" i="4"/>
  <c r="I2024" i="4"/>
  <c r="H2024" i="4"/>
  <c r="G2024" i="4"/>
  <c r="F2024" i="4"/>
  <c r="E2024" i="4"/>
  <c r="D2024" i="4"/>
  <c r="C2024" i="4"/>
  <c r="B2024" i="4"/>
  <c r="A2024" i="4"/>
  <c r="R2023" i="4"/>
  <c r="P2023" i="4"/>
  <c r="N2023" i="4"/>
  <c r="L2023" i="4"/>
  <c r="K2023" i="4"/>
  <c r="J2023" i="4"/>
  <c r="I2023" i="4"/>
  <c r="H2023" i="4"/>
  <c r="G2023" i="4"/>
  <c r="F2023" i="4"/>
  <c r="E2023" i="4"/>
  <c r="D2023" i="4"/>
  <c r="C2023" i="4"/>
  <c r="B2023" i="4"/>
  <c r="A2023" i="4"/>
  <c r="R2022" i="4"/>
  <c r="P2022" i="4"/>
  <c r="N2022" i="4"/>
  <c r="L2022" i="4"/>
  <c r="K2022" i="4"/>
  <c r="J2022" i="4"/>
  <c r="I2022" i="4"/>
  <c r="H2022" i="4"/>
  <c r="G2022" i="4"/>
  <c r="F2022" i="4"/>
  <c r="E2022" i="4"/>
  <c r="D2022" i="4"/>
  <c r="C2022" i="4"/>
  <c r="B2022" i="4"/>
  <c r="A2022" i="4"/>
  <c r="R2021" i="4"/>
  <c r="P2021" i="4"/>
  <c r="N2021" i="4"/>
  <c r="L2021" i="4"/>
  <c r="K2021" i="4"/>
  <c r="J2021" i="4"/>
  <c r="I2021" i="4"/>
  <c r="H2021" i="4"/>
  <c r="G2021" i="4"/>
  <c r="F2021" i="4"/>
  <c r="E2021" i="4"/>
  <c r="D2021" i="4"/>
  <c r="C2021" i="4"/>
  <c r="B2021" i="4"/>
  <c r="A2021" i="4"/>
  <c r="R2020" i="4"/>
  <c r="P2020" i="4"/>
  <c r="N2020" i="4"/>
  <c r="L2020" i="4"/>
  <c r="K2020" i="4"/>
  <c r="J2020" i="4"/>
  <c r="I2020" i="4"/>
  <c r="H2020" i="4"/>
  <c r="G2020" i="4"/>
  <c r="F2020" i="4"/>
  <c r="E2020" i="4"/>
  <c r="D2020" i="4"/>
  <c r="C2020" i="4"/>
  <c r="B2020" i="4"/>
  <c r="A2020" i="4"/>
  <c r="R2019" i="4"/>
  <c r="P2019" i="4"/>
  <c r="N2019" i="4"/>
  <c r="L2019" i="4"/>
  <c r="K2019" i="4"/>
  <c r="J2019" i="4"/>
  <c r="I2019" i="4"/>
  <c r="H2019" i="4"/>
  <c r="G2019" i="4"/>
  <c r="F2019" i="4"/>
  <c r="E2019" i="4"/>
  <c r="D2019" i="4"/>
  <c r="C2019" i="4"/>
  <c r="B2019" i="4"/>
  <c r="A2019" i="4"/>
  <c r="R2018" i="4"/>
  <c r="P2018" i="4"/>
  <c r="N2018" i="4"/>
  <c r="L2018" i="4"/>
  <c r="K2018" i="4"/>
  <c r="J2018" i="4"/>
  <c r="I2018" i="4"/>
  <c r="H2018" i="4"/>
  <c r="G2018" i="4"/>
  <c r="F2018" i="4"/>
  <c r="E2018" i="4"/>
  <c r="D2018" i="4"/>
  <c r="C2018" i="4"/>
  <c r="B2018" i="4"/>
  <c r="A2018" i="4"/>
  <c r="R2017" i="4"/>
  <c r="P2017" i="4"/>
  <c r="N2017" i="4"/>
  <c r="L2017" i="4"/>
  <c r="K2017" i="4"/>
  <c r="J2017" i="4"/>
  <c r="I2017" i="4"/>
  <c r="H2017" i="4"/>
  <c r="G2017" i="4"/>
  <c r="F2017" i="4"/>
  <c r="E2017" i="4"/>
  <c r="D2017" i="4"/>
  <c r="C2017" i="4"/>
  <c r="B2017" i="4"/>
  <c r="A2017" i="4"/>
  <c r="R2016" i="4"/>
  <c r="P2016" i="4"/>
  <c r="N2016" i="4"/>
  <c r="L2016" i="4"/>
  <c r="K2016" i="4"/>
  <c r="J2016" i="4"/>
  <c r="I2016" i="4"/>
  <c r="H2016" i="4"/>
  <c r="G2016" i="4"/>
  <c r="F2016" i="4"/>
  <c r="E2016" i="4"/>
  <c r="D2016" i="4"/>
  <c r="C2016" i="4"/>
  <c r="B2016" i="4"/>
  <c r="A2016" i="4"/>
  <c r="R2015" i="4"/>
  <c r="P2015" i="4"/>
  <c r="N2015" i="4"/>
  <c r="L2015" i="4"/>
  <c r="K2015" i="4"/>
  <c r="J2015" i="4"/>
  <c r="I2015" i="4"/>
  <c r="H2015" i="4"/>
  <c r="G2015" i="4"/>
  <c r="F2015" i="4"/>
  <c r="E2015" i="4"/>
  <c r="D2015" i="4"/>
  <c r="C2015" i="4"/>
  <c r="B2015" i="4"/>
  <c r="A2015" i="4"/>
  <c r="R2014" i="4"/>
  <c r="P2014" i="4"/>
  <c r="N2014" i="4"/>
  <c r="L2014" i="4"/>
  <c r="K2014" i="4"/>
  <c r="J2014" i="4"/>
  <c r="I2014" i="4"/>
  <c r="H2014" i="4"/>
  <c r="G2014" i="4"/>
  <c r="F2014" i="4"/>
  <c r="E2014" i="4"/>
  <c r="D2014" i="4"/>
  <c r="C2014" i="4"/>
  <c r="B2014" i="4"/>
  <c r="A2014" i="4"/>
  <c r="R2013" i="4"/>
  <c r="P2013" i="4"/>
  <c r="N2013" i="4"/>
  <c r="L2013" i="4"/>
  <c r="K2013" i="4"/>
  <c r="J2013" i="4"/>
  <c r="I2013" i="4"/>
  <c r="H2013" i="4"/>
  <c r="G2013" i="4"/>
  <c r="F2013" i="4"/>
  <c r="E2013" i="4"/>
  <c r="D2013" i="4"/>
  <c r="C2013" i="4"/>
  <c r="B2013" i="4"/>
  <c r="A2013" i="4"/>
  <c r="R2012" i="4"/>
  <c r="P2012" i="4"/>
  <c r="N2012" i="4"/>
  <c r="L2012" i="4"/>
  <c r="K2012" i="4"/>
  <c r="J2012" i="4"/>
  <c r="I2012" i="4"/>
  <c r="H2012" i="4"/>
  <c r="G2012" i="4"/>
  <c r="F2012" i="4"/>
  <c r="E2012" i="4"/>
  <c r="D2012" i="4"/>
  <c r="C2012" i="4"/>
  <c r="B2012" i="4"/>
  <c r="A2012" i="4"/>
  <c r="R2011" i="4"/>
  <c r="P2011" i="4"/>
  <c r="N2011" i="4"/>
  <c r="L2011" i="4"/>
  <c r="K2011" i="4"/>
  <c r="J2011" i="4"/>
  <c r="I2011" i="4"/>
  <c r="H2011" i="4"/>
  <c r="G2011" i="4"/>
  <c r="F2011" i="4"/>
  <c r="E2011" i="4"/>
  <c r="D2011" i="4"/>
  <c r="C2011" i="4"/>
  <c r="B2011" i="4"/>
  <c r="A2011" i="4"/>
  <c r="R2010" i="4"/>
  <c r="P2010" i="4"/>
  <c r="N2010" i="4"/>
  <c r="L2010" i="4"/>
  <c r="K2010" i="4"/>
  <c r="J2010" i="4"/>
  <c r="I2010" i="4"/>
  <c r="H2010" i="4"/>
  <c r="G2010" i="4"/>
  <c r="F2010" i="4"/>
  <c r="E2010" i="4"/>
  <c r="D2010" i="4"/>
  <c r="C2010" i="4"/>
  <c r="B2010" i="4"/>
  <c r="A2010" i="4"/>
  <c r="R2009" i="4"/>
  <c r="P2009" i="4"/>
  <c r="N2009" i="4"/>
  <c r="L2009" i="4"/>
  <c r="K2009" i="4"/>
  <c r="J2009" i="4"/>
  <c r="I2009" i="4"/>
  <c r="H2009" i="4"/>
  <c r="G2009" i="4"/>
  <c r="F2009" i="4"/>
  <c r="E2009" i="4"/>
  <c r="D2009" i="4"/>
  <c r="C2009" i="4"/>
  <c r="B2009" i="4"/>
  <c r="A2009" i="4"/>
  <c r="R2008" i="4"/>
  <c r="P2008" i="4"/>
  <c r="N2008" i="4"/>
  <c r="L2008" i="4"/>
  <c r="K2008" i="4"/>
  <c r="J2008" i="4"/>
  <c r="I2008" i="4"/>
  <c r="H2008" i="4"/>
  <c r="G2008" i="4"/>
  <c r="F2008" i="4"/>
  <c r="E2008" i="4"/>
  <c r="D2008" i="4"/>
  <c r="C2008" i="4"/>
  <c r="B2008" i="4"/>
  <c r="A2008" i="4"/>
  <c r="R2007" i="4"/>
  <c r="P2007" i="4"/>
  <c r="N2007" i="4"/>
  <c r="L2007" i="4"/>
  <c r="K2007" i="4"/>
  <c r="J2007" i="4"/>
  <c r="I2007" i="4"/>
  <c r="H2007" i="4"/>
  <c r="G2007" i="4"/>
  <c r="F2007" i="4"/>
  <c r="E2007" i="4"/>
  <c r="D2007" i="4"/>
  <c r="C2007" i="4"/>
  <c r="B2007" i="4"/>
  <c r="A2007" i="4"/>
  <c r="R2006" i="4"/>
  <c r="P2006" i="4"/>
  <c r="N2006" i="4"/>
  <c r="L2006" i="4"/>
  <c r="K2006" i="4"/>
  <c r="J2006" i="4"/>
  <c r="I2006" i="4"/>
  <c r="H2006" i="4"/>
  <c r="G2006" i="4"/>
  <c r="F2006" i="4"/>
  <c r="E2006" i="4"/>
  <c r="D2006" i="4"/>
  <c r="C2006" i="4"/>
  <c r="B2006" i="4"/>
  <c r="A2006" i="4"/>
  <c r="R2005" i="4"/>
  <c r="P2005" i="4"/>
  <c r="N2005" i="4"/>
  <c r="L2005" i="4"/>
  <c r="K2005" i="4"/>
  <c r="J2005" i="4"/>
  <c r="I2005" i="4"/>
  <c r="H2005" i="4"/>
  <c r="G2005" i="4"/>
  <c r="F2005" i="4"/>
  <c r="E2005" i="4"/>
  <c r="D2005" i="4"/>
  <c r="C2005" i="4"/>
  <c r="B2005" i="4"/>
  <c r="A2005" i="4"/>
  <c r="R2004" i="4"/>
  <c r="P2004" i="4"/>
  <c r="N2004" i="4"/>
  <c r="L2004" i="4"/>
  <c r="K2004" i="4"/>
  <c r="J2004" i="4"/>
  <c r="I2004" i="4"/>
  <c r="H2004" i="4"/>
  <c r="G2004" i="4"/>
  <c r="F2004" i="4"/>
  <c r="E2004" i="4"/>
  <c r="D2004" i="4"/>
  <c r="C2004" i="4"/>
  <c r="B2004" i="4"/>
  <c r="A2004" i="4"/>
  <c r="R2003" i="4"/>
  <c r="P2003" i="4"/>
  <c r="N2003" i="4"/>
  <c r="L2003" i="4"/>
  <c r="K2003" i="4"/>
  <c r="J2003" i="4"/>
  <c r="I2003" i="4"/>
  <c r="H2003" i="4"/>
  <c r="G2003" i="4"/>
  <c r="F2003" i="4"/>
  <c r="E2003" i="4"/>
  <c r="D2003" i="4"/>
  <c r="C2003" i="4"/>
  <c r="B2003" i="4"/>
  <c r="A2003" i="4"/>
  <c r="R2002" i="4"/>
  <c r="P2002" i="4"/>
  <c r="N2002" i="4"/>
  <c r="L2002" i="4"/>
  <c r="K2002" i="4"/>
  <c r="J2002" i="4"/>
  <c r="I2002" i="4"/>
  <c r="H2002" i="4"/>
  <c r="G2002" i="4"/>
  <c r="F2002" i="4"/>
  <c r="E2002" i="4"/>
  <c r="D2002" i="4"/>
  <c r="C2002" i="4"/>
  <c r="B2002" i="4"/>
  <c r="A2002" i="4"/>
  <c r="R2001" i="4"/>
  <c r="P2001" i="4"/>
  <c r="N2001" i="4"/>
  <c r="L2001" i="4"/>
  <c r="K2001" i="4"/>
  <c r="J2001" i="4"/>
  <c r="I2001" i="4"/>
  <c r="H2001" i="4"/>
  <c r="G2001" i="4"/>
  <c r="F2001" i="4"/>
  <c r="E2001" i="4"/>
  <c r="D2001" i="4"/>
  <c r="C2001" i="4"/>
  <c r="B2001" i="4"/>
  <c r="A2001" i="4"/>
  <c r="R2000" i="4"/>
  <c r="P2000" i="4"/>
  <c r="N2000" i="4"/>
  <c r="L2000" i="4"/>
  <c r="K2000" i="4"/>
  <c r="J2000" i="4"/>
  <c r="I2000" i="4"/>
  <c r="H2000" i="4"/>
  <c r="G2000" i="4"/>
  <c r="F2000" i="4"/>
  <c r="E2000" i="4"/>
  <c r="D2000" i="4"/>
  <c r="C2000" i="4"/>
  <c r="B2000" i="4"/>
  <c r="A2000" i="4"/>
  <c r="R1999" i="4"/>
  <c r="P1999" i="4"/>
  <c r="N1999" i="4"/>
  <c r="L1999" i="4"/>
  <c r="K1999" i="4"/>
  <c r="J1999" i="4"/>
  <c r="I1999" i="4"/>
  <c r="H1999" i="4"/>
  <c r="G1999" i="4"/>
  <c r="F1999" i="4"/>
  <c r="E1999" i="4"/>
  <c r="D1999" i="4"/>
  <c r="C1999" i="4"/>
  <c r="B1999" i="4"/>
  <c r="A1999" i="4"/>
  <c r="R1998" i="4"/>
  <c r="P1998" i="4"/>
  <c r="N1998" i="4"/>
  <c r="L1998" i="4"/>
  <c r="K1998" i="4"/>
  <c r="J1998" i="4"/>
  <c r="I1998" i="4"/>
  <c r="H1998" i="4"/>
  <c r="G1998" i="4"/>
  <c r="F1998" i="4"/>
  <c r="E1998" i="4"/>
  <c r="D1998" i="4"/>
  <c r="C1998" i="4"/>
  <c r="B1998" i="4"/>
  <c r="A1998" i="4"/>
  <c r="R1997" i="4"/>
  <c r="P1997" i="4"/>
  <c r="N1997" i="4"/>
  <c r="L1997" i="4"/>
  <c r="K1997" i="4"/>
  <c r="J1997" i="4"/>
  <c r="I1997" i="4"/>
  <c r="H1997" i="4"/>
  <c r="G1997" i="4"/>
  <c r="F1997" i="4"/>
  <c r="E1997" i="4"/>
  <c r="D1997" i="4"/>
  <c r="C1997" i="4"/>
  <c r="B1997" i="4"/>
  <c r="A1997" i="4"/>
  <c r="R1996" i="4"/>
  <c r="P1996" i="4"/>
  <c r="N1996" i="4"/>
  <c r="L1996" i="4"/>
  <c r="K1996" i="4"/>
  <c r="J1996" i="4"/>
  <c r="I1996" i="4"/>
  <c r="H1996" i="4"/>
  <c r="G1996" i="4"/>
  <c r="F1996" i="4"/>
  <c r="E1996" i="4"/>
  <c r="D1996" i="4"/>
  <c r="C1996" i="4"/>
  <c r="B1996" i="4"/>
  <c r="A1996" i="4"/>
  <c r="R1995" i="4"/>
  <c r="P1995" i="4"/>
  <c r="N1995" i="4"/>
  <c r="L1995" i="4"/>
  <c r="K1995" i="4"/>
  <c r="J1995" i="4"/>
  <c r="I1995" i="4"/>
  <c r="H1995" i="4"/>
  <c r="G1995" i="4"/>
  <c r="F1995" i="4"/>
  <c r="E1995" i="4"/>
  <c r="D1995" i="4"/>
  <c r="C1995" i="4"/>
  <c r="B1995" i="4"/>
  <c r="A1995" i="4"/>
  <c r="R1994" i="4"/>
  <c r="P1994" i="4"/>
  <c r="N1994" i="4"/>
  <c r="L1994" i="4"/>
  <c r="K1994" i="4"/>
  <c r="J1994" i="4"/>
  <c r="I1994" i="4"/>
  <c r="H1994" i="4"/>
  <c r="G1994" i="4"/>
  <c r="F1994" i="4"/>
  <c r="E1994" i="4"/>
  <c r="D1994" i="4"/>
  <c r="C1994" i="4"/>
  <c r="B1994" i="4"/>
  <c r="A1994" i="4"/>
  <c r="R1993" i="4"/>
  <c r="P1993" i="4"/>
  <c r="N1993" i="4"/>
  <c r="L1993" i="4"/>
  <c r="K1993" i="4"/>
  <c r="J1993" i="4"/>
  <c r="I1993" i="4"/>
  <c r="H1993" i="4"/>
  <c r="G1993" i="4"/>
  <c r="F1993" i="4"/>
  <c r="E1993" i="4"/>
  <c r="D1993" i="4"/>
  <c r="C1993" i="4"/>
  <c r="B1993" i="4"/>
  <c r="A1993" i="4"/>
  <c r="R1992" i="4"/>
  <c r="P1992" i="4"/>
  <c r="N1992" i="4"/>
  <c r="L1992" i="4"/>
  <c r="K1992" i="4"/>
  <c r="J1992" i="4"/>
  <c r="I1992" i="4"/>
  <c r="H1992" i="4"/>
  <c r="G1992" i="4"/>
  <c r="F1992" i="4"/>
  <c r="E1992" i="4"/>
  <c r="D1992" i="4"/>
  <c r="C1992" i="4"/>
  <c r="B1992" i="4"/>
  <c r="A1992" i="4"/>
  <c r="R1991" i="4"/>
  <c r="P1991" i="4"/>
  <c r="N1991" i="4"/>
  <c r="L1991" i="4"/>
  <c r="K1991" i="4"/>
  <c r="J1991" i="4"/>
  <c r="I1991" i="4"/>
  <c r="H1991" i="4"/>
  <c r="G1991" i="4"/>
  <c r="F1991" i="4"/>
  <c r="E1991" i="4"/>
  <c r="D1991" i="4"/>
  <c r="C1991" i="4"/>
  <c r="B1991" i="4"/>
  <c r="A1991" i="4"/>
  <c r="R1990" i="4"/>
  <c r="P1990" i="4"/>
  <c r="N1990" i="4"/>
  <c r="L1990" i="4"/>
  <c r="K1990" i="4"/>
  <c r="J1990" i="4"/>
  <c r="I1990" i="4"/>
  <c r="H1990" i="4"/>
  <c r="G1990" i="4"/>
  <c r="F1990" i="4"/>
  <c r="E1990" i="4"/>
  <c r="D1990" i="4"/>
  <c r="C1990" i="4"/>
  <c r="B1990" i="4"/>
  <c r="A1990" i="4"/>
  <c r="R1989" i="4"/>
  <c r="P1989" i="4"/>
  <c r="N1989" i="4"/>
  <c r="L1989" i="4"/>
  <c r="K1989" i="4"/>
  <c r="J1989" i="4"/>
  <c r="I1989" i="4"/>
  <c r="H1989" i="4"/>
  <c r="G1989" i="4"/>
  <c r="F1989" i="4"/>
  <c r="E1989" i="4"/>
  <c r="D1989" i="4"/>
  <c r="C1989" i="4"/>
  <c r="B1989" i="4"/>
  <c r="A1989" i="4"/>
  <c r="R1988" i="4"/>
  <c r="P1988" i="4"/>
  <c r="N1988" i="4"/>
  <c r="L1988" i="4"/>
  <c r="K1988" i="4"/>
  <c r="J1988" i="4"/>
  <c r="I1988" i="4"/>
  <c r="H1988" i="4"/>
  <c r="G1988" i="4"/>
  <c r="F1988" i="4"/>
  <c r="E1988" i="4"/>
  <c r="D1988" i="4"/>
  <c r="C1988" i="4"/>
  <c r="B1988" i="4"/>
  <c r="A1988" i="4"/>
  <c r="R1987" i="4"/>
  <c r="P1987" i="4"/>
  <c r="N1987" i="4"/>
  <c r="L1987" i="4"/>
  <c r="K1987" i="4"/>
  <c r="J1987" i="4"/>
  <c r="I1987" i="4"/>
  <c r="H1987" i="4"/>
  <c r="G1987" i="4"/>
  <c r="F1987" i="4"/>
  <c r="E1987" i="4"/>
  <c r="D1987" i="4"/>
  <c r="C1987" i="4"/>
  <c r="B1987" i="4"/>
  <c r="A1987" i="4"/>
  <c r="R1986" i="4"/>
  <c r="P1986" i="4"/>
  <c r="N1986" i="4"/>
  <c r="L1986" i="4"/>
  <c r="K1986" i="4"/>
  <c r="J1986" i="4"/>
  <c r="I1986" i="4"/>
  <c r="H1986" i="4"/>
  <c r="G1986" i="4"/>
  <c r="F1986" i="4"/>
  <c r="E1986" i="4"/>
  <c r="D1986" i="4"/>
  <c r="C1986" i="4"/>
  <c r="B1986" i="4"/>
  <c r="A1986" i="4"/>
  <c r="R1985" i="4"/>
  <c r="P1985" i="4"/>
  <c r="N1985" i="4"/>
  <c r="L1985" i="4"/>
  <c r="K1985" i="4"/>
  <c r="J1985" i="4"/>
  <c r="I1985" i="4"/>
  <c r="H1985" i="4"/>
  <c r="G1985" i="4"/>
  <c r="F1985" i="4"/>
  <c r="E1985" i="4"/>
  <c r="D1985" i="4"/>
  <c r="C1985" i="4"/>
  <c r="B1985" i="4"/>
  <c r="A1985" i="4"/>
  <c r="R1984" i="4"/>
  <c r="P1984" i="4"/>
  <c r="N1984" i="4"/>
  <c r="L1984" i="4"/>
  <c r="K1984" i="4"/>
  <c r="J1984" i="4"/>
  <c r="I1984" i="4"/>
  <c r="H1984" i="4"/>
  <c r="G1984" i="4"/>
  <c r="F1984" i="4"/>
  <c r="E1984" i="4"/>
  <c r="D1984" i="4"/>
  <c r="C1984" i="4"/>
  <c r="B1984" i="4"/>
  <c r="A1984" i="4"/>
  <c r="R1983" i="4"/>
  <c r="P1983" i="4"/>
  <c r="N1983" i="4"/>
  <c r="L1983" i="4"/>
  <c r="K1983" i="4"/>
  <c r="J1983" i="4"/>
  <c r="I1983" i="4"/>
  <c r="H1983" i="4"/>
  <c r="G1983" i="4"/>
  <c r="F1983" i="4"/>
  <c r="E1983" i="4"/>
  <c r="D1983" i="4"/>
  <c r="C1983" i="4"/>
  <c r="B1983" i="4"/>
  <c r="A1983" i="4"/>
  <c r="R1982" i="4"/>
  <c r="P1982" i="4"/>
  <c r="N1982" i="4"/>
  <c r="L1982" i="4"/>
  <c r="K1982" i="4"/>
  <c r="J1982" i="4"/>
  <c r="I1982" i="4"/>
  <c r="H1982" i="4"/>
  <c r="G1982" i="4"/>
  <c r="F1982" i="4"/>
  <c r="E1982" i="4"/>
  <c r="D1982" i="4"/>
  <c r="C1982" i="4"/>
  <c r="B1982" i="4"/>
  <c r="A1982" i="4"/>
  <c r="R1981" i="4"/>
  <c r="P1981" i="4"/>
  <c r="N1981" i="4"/>
  <c r="L1981" i="4"/>
  <c r="K1981" i="4"/>
  <c r="J1981" i="4"/>
  <c r="I1981" i="4"/>
  <c r="H1981" i="4"/>
  <c r="G1981" i="4"/>
  <c r="F1981" i="4"/>
  <c r="E1981" i="4"/>
  <c r="D1981" i="4"/>
  <c r="C1981" i="4"/>
  <c r="B1981" i="4"/>
  <c r="A1981" i="4"/>
  <c r="R1980" i="4"/>
  <c r="P1980" i="4"/>
  <c r="N1980" i="4"/>
  <c r="L1980" i="4"/>
  <c r="K1980" i="4"/>
  <c r="J1980" i="4"/>
  <c r="I1980" i="4"/>
  <c r="H1980" i="4"/>
  <c r="G1980" i="4"/>
  <c r="F1980" i="4"/>
  <c r="E1980" i="4"/>
  <c r="D1980" i="4"/>
  <c r="C1980" i="4"/>
  <c r="B1980" i="4"/>
  <c r="A1980" i="4"/>
  <c r="R1979" i="4"/>
  <c r="P1979" i="4"/>
  <c r="N1979" i="4"/>
  <c r="L1979" i="4"/>
  <c r="K1979" i="4"/>
  <c r="J1979" i="4"/>
  <c r="I1979" i="4"/>
  <c r="H1979" i="4"/>
  <c r="G1979" i="4"/>
  <c r="F1979" i="4"/>
  <c r="E1979" i="4"/>
  <c r="D1979" i="4"/>
  <c r="C1979" i="4"/>
  <c r="B1979" i="4"/>
  <c r="A1979" i="4"/>
  <c r="R1978" i="4"/>
  <c r="P1978" i="4"/>
  <c r="N1978" i="4"/>
  <c r="L1978" i="4"/>
  <c r="K1978" i="4"/>
  <c r="J1978" i="4"/>
  <c r="I1978" i="4"/>
  <c r="H1978" i="4"/>
  <c r="G1978" i="4"/>
  <c r="F1978" i="4"/>
  <c r="E1978" i="4"/>
  <c r="D1978" i="4"/>
  <c r="C1978" i="4"/>
  <c r="B1978" i="4"/>
  <c r="A1978" i="4"/>
  <c r="R1977" i="4"/>
  <c r="P1977" i="4"/>
  <c r="N1977" i="4"/>
  <c r="L1977" i="4"/>
  <c r="K1977" i="4"/>
  <c r="J1977" i="4"/>
  <c r="I1977" i="4"/>
  <c r="H1977" i="4"/>
  <c r="G1977" i="4"/>
  <c r="F1977" i="4"/>
  <c r="E1977" i="4"/>
  <c r="D1977" i="4"/>
  <c r="C1977" i="4"/>
  <c r="B1977" i="4"/>
  <c r="A1977" i="4"/>
  <c r="R1976" i="4"/>
  <c r="P1976" i="4"/>
  <c r="N1976" i="4"/>
  <c r="L1976" i="4"/>
  <c r="K1976" i="4"/>
  <c r="J1976" i="4"/>
  <c r="I1976" i="4"/>
  <c r="H1976" i="4"/>
  <c r="G1976" i="4"/>
  <c r="F1976" i="4"/>
  <c r="E1976" i="4"/>
  <c r="D1976" i="4"/>
  <c r="C1976" i="4"/>
  <c r="B1976" i="4"/>
  <c r="A1976" i="4"/>
  <c r="R1975" i="4"/>
  <c r="P1975" i="4"/>
  <c r="N1975" i="4"/>
  <c r="L1975" i="4"/>
  <c r="K1975" i="4"/>
  <c r="J1975" i="4"/>
  <c r="I1975" i="4"/>
  <c r="H1975" i="4"/>
  <c r="G1975" i="4"/>
  <c r="F1975" i="4"/>
  <c r="E1975" i="4"/>
  <c r="D1975" i="4"/>
  <c r="C1975" i="4"/>
  <c r="B1975" i="4"/>
  <c r="A1975" i="4"/>
  <c r="R1974" i="4"/>
  <c r="P1974" i="4"/>
  <c r="N1974" i="4"/>
  <c r="L1974" i="4"/>
  <c r="K1974" i="4"/>
  <c r="J1974" i="4"/>
  <c r="I1974" i="4"/>
  <c r="H1974" i="4"/>
  <c r="G1974" i="4"/>
  <c r="F1974" i="4"/>
  <c r="E1974" i="4"/>
  <c r="D1974" i="4"/>
  <c r="C1974" i="4"/>
  <c r="B1974" i="4"/>
  <c r="A1974" i="4"/>
  <c r="R1973" i="4"/>
  <c r="P1973" i="4"/>
  <c r="N1973" i="4"/>
  <c r="L1973" i="4"/>
  <c r="K1973" i="4"/>
  <c r="J1973" i="4"/>
  <c r="I1973" i="4"/>
  <c r="H1973" i="4"/>
  <c r="G1973" i="4"/>
  <c r="F1973" i="4"/>
  <c r="E1973" i="4"/>
  <c r="D1973" i="4"/>
  <c r="C1973" i="4"/>
  <c r="B1973" i="4"/>
  <c r="A1973" i="4"/>
  <c r="R1972" i="4"/>
  <c r="P1972" i="4"/>
  <c r="N1972" i="4"/>
  <c r="L1972" i="4"/>
  <c r="K1972" i="4"/>
  <c r="J1972" i="4"/>
  <c r="I1972" i="4"/>
  <c r="H1972" i="4"/>
  <c r="G1972" i="4"/>
  <c r="F1972" i="4"/>
  <c r="E1972" i="4"/>
  <c r="D1972" i="4"/>
  <c r="C1972" i="4"/>
  <c r="B1972" i="4"/>
  <c r="A1972" i="4"/>
  <c r="R1971" i="4"/>
  <c r="P1971" i="4"/>
  <c r="N1971" i="4"/>
  <c r="L1971" i="4"/>
  <c r="K1971" i="4"/>
  <c r="J1971" i="4"/>
  <c r="I1971" i="4"/>
  <c r="H1971" i="4"/>
  <c r="G1971" i="4"/>
  <c r="F1971" i="4"/>
  <c r="E1971" i="4"/>
  <c r="D1971" i="4"/>
  <c r="C1971" i="4"/>
  <c r="B1971" i="4"/>
  <c r="A1971" i="4"/>
  <c r="R1970" i="4"/>
  <c r="P1970" i="4"/>
  <c r="N1970" i="4"/>
  <c r="L1970" i="4"/>
  <c r="K1970" i="4"/>
  <c r="J1970" i="4"/>
  <c r="I1970" i="4"/>
  <c r="H1970" i="4"/>
  <c r="G1970" i="4"/>
  <c r="F1970" i="4"/>
  <c r="E1970" i="4"/>
  <c r="D1970" i="4"/>
  <c r="C1970" i="4"/>
  <c r="B1970" i="4"/>
  <c r="A1970" i="4"/>
  <c r="R1969" i="4"/>
  <c r="P1969" i="4"/>
  <c r="N1969" i="4"/>
  <c r="L1969" i="4"/>
  <c r="K1969" i="4"/>
  <c r="J1969" i="4"/>
  <c r="I1969" i="4"/>
  <c r="H1969" i="4"/>
  <c r="G1969" i="4"/>
  <c r="F1969" i="4"/>
  <c r="E1969" i="4"/>
  <c r="D1969" i="4"/>
  <c r="C1969" i="4"/>
  <c r="B1969" i="4"/>
  <c r="A1969" i="4"/>
  <c r="R1968" i="4"/>
  <c r="P1968" i="4"/>
  <c r="N1968" i="4"/>
  <c r="L1968" i="4"/>
  <c r="K1968" i="4"/>
  <c r="J1968" i="4"/>
  <c r="I1968" i="4"/>
  <c r="H1968" i="4"/>
  <c r="G1968" i="4"/>
  <c r="F1968" i="4"/>
  <c r="E1968" i="4"/>
  <c r="D1968" i="4"/>
  <c r="C1968" i="4"/>
  <c r="B1968" i="4"/>
  <c r="A1968" i="4"/>
  <c r="R1967" i="4"/>
  <c r="P1967" i="4"/>
  <c r="N1967" i="4"/>
  <c r="L1967" i="4"/>
  <c r="K1967" i="4"/>
  <c r="J1967" i="4"/>
  <c r="I1967" i="4"/>
  <c r="H1967" i="4"/>
  <c r="G1967" i="4"/>
  <c r="F1967" i="4"/>
  <c r="E1967" i="4"/>
  <c r="D1967" i="4"/>
  <c r="C1967" i="4"/>
  <c r="B1967" i="4"/>
  <c r="A1967" i="4"/>
  <c r="R1966" i="4"/>
  <c r="P1966" i="4"/>
  <c r="N1966" i="4"/>
  <c r="L1966" i="4"/>
  <c r="K1966" i="4"/>
  <c r="J1966" i="4"/>
  <c r="I1966" i="4"/>
  <c r="H1966" i="4"/>
  <c r="G1966" i="4"/>
  <c r="F1966" i="4"/>
  <c r="E1966" i="4"/>
  <c r="D1966" i="4"/>
  <c r="C1966" i="4"/>
  <c r="B1966" i="4"/>
  <c r="A1966" i="4"/>
  <c r="R1965" i="4"/>
  <c r="P1965" i="4"/>
  <c r="N1965" i="4"/>
  <c r="L1965" i="4"/>
  <c r="K1965" i="4"/>
  <c r="J1965" i="4"/>
  <c r="I1965" i="4"/>
  <c r="H1965" i="4"/>
  <c r="G1965" i="4"/>
  <c r="F1965" i="4"/>
  <c r="E1965" i="4"/>
  <c r="D1965" i="4"/>
  <c r="C1965" i="4"/>
  <c r="B1965" i="4"/>
  <c r="A1965" i="4"/>
  <c r="R1964" i="4"/>
  <c r="P1964" i="4"/>
  <c r="N1964" i="4"/>
  <c r="L1964" i="4"/>
  <c r="K1964" i="4"/>
  <c r="J1964" i="4"/>
  <c r="I1964" i="4"/>
  <c r="H1964" i="4"/>
  <c r="G1964" i="4"/>
  <c r="F1964" i="4"/>
  <c r="E1964" i="4"/>
  <c r="D1964" i="4"/>
  <c r="C1964" i="4"/>
  <c r="B1964" i="4"/>
  <c r="A1964" i="4"/>
  <c r="R1963" i="4"/>
  <c r="P1963" i="4"/>
  <c r="N1963" i="4"/>
  <c r="L1963" i="4"/>
  <c r="K1963" i="4"/>
  <c r="J1963" i="4"/>
  <c r="I1963" i="4"/>
  <c r="H1963" i="4"/>
  <c r="G1963" i="4"/>
  <c r="F1963" i="4"/>
  <c r="E1963" i="4"/>
  <c r="D1963" i="4"/>
  <c r="C1963" i="4"/>
  <c r="B1963" i="4"/>
  <c r="A1963" i="4"/>
  <c r="R1962" i="4"/>
  <c r="P1962" i="4"/>
  <c r="N1962" i="4"/>
  <c r="L1962" i="4"/>
  <c r="K1962" i="4"/>
  <c r="J1962" i="4"/>
  <c r="I1962" i="4"/>
  <c r="H1962" i="4"/>
  <c r="G1962" i="4"/>
  <c r="F1962" i="4"/>
  <c r="E1962" i="4"/>
  <c r="D1962" i="4"/>
  <c r="C1962" i="4"/>
  <c r="B1962" i="4"/>
  <c r="A1962" i="4"/>
  <c r="R1961" i="4"/>
  <c r="P1961" i="4"/>
  <c r="N1961" i="4"/>
  <c r="L1961" i="4"/>
  <c r="K1961" i="4"/>
  <c r="J1961" i="4"/>
  <c r="I1961" i="4"/>
  <c r="H1961" i="4"/>
  <c r="G1961" i="4"/>
  <c r="F1961" i="4"/>
  <c r="E1961" i="4"/>
  <c r="D1961" i="4"/>
  <c r="C1961" i="4"/>
  <c r="B1961" i="4"/>
  <c r="A1961" i="4"/>
  <c r="R1960" i="4"/>
  <c r="P1960" i="4"/>
  <c r="N1960" i="4"/>
  <c r="L1960" i="4"/>
  <c r="K1960" i="4"/>
  <c r="J1960" i="4"/>
  <c r="I1960" i="4"/>
  <c r="H1960" i="4"/>
  <c r="G1960" i="4"/>
  <c r="F1960" i="4"/>
  <c r="E1960" i="4"/>
  <c r="D1960" i="4"/>
  <c r="C1960" i="4"/>
  <c r="B1960" i="4"/>
  <c r="A1960" i="4"/>
  <c r="R1959" i="4"/>
  <c r="P1959" i="4"/>
  <c r="N1959" i="4"/>
  <c r="L1959" i="4"/>
  <c r="K1959" i="4"/>
  <c r="J1959" i="4"/>
  <c r="I1959" i="4"/>
  <c r="H1959" i="4"/>
  <c r="G1959" i="4"/>
  <c r="F1959" i="4"/>
  <c r="E1959" i="4"/>
  <c r="D1959" i="4"/>
  <c r="C1959" i="4"/>
  <c r="B1959" i="4"/>
  <c r="A1959" i="4"/>
  <c r="R1958" i="4"/>
  <c r="P1958" i="4"/>
  <c r="N1958" i="4"/>
  <c r="L1958" i="4"/>
  <c r="K1958" i="4"/>
  <c r="J1958" i="4"/>
  <c r="I1958" i="4"/>
  <c r="H1958" i="4"/>
  <c r="G1958" i="4"/>
  <c r="F1958" i="4"/>
  <c r="E1958" i="4"/>
  <c r="D1958" i="4"/>
  <c r="C1958" i="4"/>
  <c r="B1958" i="4"/>
  <c r="A1958" i="4"/>
  <c r="R1957" i="4"/>
  <c r="P1957" i="4"/>
  <c r="N1957" i="4"/>
  <c r="L1957" i="4"/>
  <c r="K1957" i="4"/>
  <c r="J1957" i="4"/>
  <c r="I1957" i="4"/>
  <c r="H1957" i="4"/>
  <c r="G1957" i="4"/>
  <c r="F1957" i="4"/>
  <c r="E1957" i="4"/>
  <c r="D1957" i="4"/>
  <c r="C1957" i="4"/>
  <c r="B1957" i="4"/>
  <c r="A1957" i="4"/>
  <c r="R1956" i="4"/>
  <c r="P1956" i="4"/>
  <c r="N1956" i="4"/>
  <c r="L1956" i="4"/>
  <c r="K1956" i="4"/>
  <c r="J1956" i="4"/>
  <c r="I1956" i="4"/>
  <c r="H1956" i="4"/>
  <c r="G1956" i="4"/>
  <c r="F1956" i="4"/>
  <c r="E1956" i="4"/>
  <c r="D1956" i="4"/>
  <c r="C1956" i="4"/>
  <c r="B1956" i="4"/>
  <c r="A1956" i="4"/>
  <c r="R1955" i="4"/>
  <c r="P1955" i="4"/>
  <c r="N1955" i="4"/>
  <c r="L1955" i="4"/>
  <c r="K1955" i="4"/>
  <c r="J1955" i="4"/>
  <c r="I1955" i="4"/>
  <c r="H1955" i="4"/>
  <c r="G1955" i="4"/>
  <c r="F1955" i="4"/>
  <c r="E1955" i="4"/>
  <c r="D1955" i="4"/>
  <c r="C1955" i="4"/>
  <c r="B1955" i="4"/>
  <c r="A1955" i="4"/>
  <c r="R1954" i="4"/>
  <c r="P1954" i="4"/>
  <c r="N1954" i="4"/>
  <c r="L1954" i="4"/>
  <c r="K1954" i="4"/>
  <c r="J1954" i="4"/>
  <c r="I1954" i="4"/>
  <c r="H1954" i="4"/>
  <c r="G1954" i="4"/>
  <c r="F1954" i="4"/>
  <c r="E1954" i="4"/>
  <c r="D1954" i="4"/>
  <c r="C1954" i="4"/>
  <c r="B1954" i="4"/>
  <c r="A1954" i="4"/>
  <c r="R1953" i="4"/>
  <c r="P1953" i="4"/>
  <c r="N1953" i="4"/>
  <c r="L1953" i="4"/>
  <c r="K1953" i="4"/>
  <c r="J1953" i="4"/>
  <c r="I1953" i="4"/>
  <c r="H1953" i="4"/>
  <c r="G1953" i="4"/>
  <c r="F1953" i="4"/>
  <c r="E1953" i="4"/>
  <c r="D1953" i="4"/>
  <c r="C1953" i="4"/>
  <c r="B1953" i="4"/>
  <c r="A1953" i="4"/>
  <c r="R1952" i="4"/>
  <c r="P1952" i="4"/>
  <c r="N1952" i="4"/>
  <c r="L1952" i="4"/>
  <c r="K1952" i="4"/>
  <c r="J1952" i="4"/>
  <c r="I1952" i="4"/>
  <c r="H1952" i="4"/>
  <c r="G1952" i="4"/>
  <c r="F1952" i="4"/>
  <c r="E1952" i="4"/>
  <c r="D1952" i="4"/>
  <c r="C1952" i="4"/>
  <c r="B1952" i="4"/>
  <c r="A1952" i="4"/>
  <c r="R1951" i="4"/>
  <c r="P1951" i="4"/>
  <c r="N1951" i="4"/>
  <c r="L1951" i="4"/>
  <c r="K1951" i="4"/>
  <c r="J1951" i="4"/>
  <c r="I1951" i="4"/>
  <c r="H1951" i="4"/>
  <c r="G1951" i="4"/>
  <c r="F1951" i="4"/>
  <c r="E1951" i="4"/>
  <c r="D1951" i="4"/>
  <c r="C1951" i="4"/>
  <c r="B1951" i="4"/>
  <c r="A1951" i="4"/>
  <c r="R1950" i="4"/>
  <c r="P1950" i="4"/>
  <c r="N1950" i="4"/>
  <c r="L1950" i="4"/>
  <c r="K1950" i="4"/>
  <c r="J1950" i="4"/>
  <c r="I1950" i="4"/>
  <c r="H1950" i="4"/>
  <c r="G1950" i="4"/>
  <c r="F1950" i="4"/>
  <c r="E1950" i="4"/>
  <c r="D1950" i="4"/>
  <c r="C1950" i="4"/>
  <c r="B1950" i="4"/>
  <c r="A1950" i="4"/>
  <c r="R1949" i="4"/>
  <c r="P1949" i="4"/>
  <c r="N1949" i="4"/>
  <c r="L1949" i="4"/>
  <c r="K1949" i="4"/>
  <c r="J1949" i="4"/>
  <c r="I1949" i="4"/>
  <c r="H1949" i="4"/>
  <c r="G1949" i="4"/>
  <c r="F1949" i="4"/>
  <c r="E1949" i="4"/>
  <c r="D1949" i="4"/>
  <c r="C1949" i="4"/>
  <c r="B1949" i="4"/>
  <c r="A1949" i="4"/>
  <c r="R1948" i="4"/>
  <c r="P1948" i="4"/>
  <c r="N1948" i="4"/>
  <c r="L1948" i="4"/>
  <c r="K1948" i="4"/>
  <c r="J1948" i="4"/>
  <c r="I1948" i="4"/>
  <c r="H1948" i="4"/>
  <c r="G1948" i="4"/>
  <c r="F1948" i="4"/>
  <c r="E1948" i="4"/>
  <c r="D1948" i="4"/>
  <c r="C1948" i="4"/>
  <c r="B1948" i="4"/>
  <c r="A1948" i="4"/>
  <c r="R1947" i="4"/>
  <c r="P1947" i="4"/>
  <c r="N1947" i="4"/>
  <c r="L1947" i="4"/>
  <c r="K1947" i="4"/>
  <c r="J1947" i="4"/>
  <c r="I1947" i="4"/>
  <c r="H1947" i="4"/>
  <c r="G1947" i="4"/>
  <c r="F1947" i="4"/>
  <c r="E1947" i="4"/>
  <c r="D1947" i="4"/>
  <c r="C1947" i="4"/>
  <c r="B1947" i="4"/>
  <c r="A1947" i="4"/>
  <c r="R1946" i="4"/>
  <c r="P1946" i="4"/>
  <c r="N1946" i="4"/>
  <c r="L1946" i="4"/>
  <c r="K1946" i="4"/>
  <c r="J1946" i="4"/>
  <c r="I1946" i="4"/>
  <c r="H1946" i="4"/>
  <c r="G1946" i="4"/>
  <c r="F1946" i="4"/>
  <c r="E1946" i="4"/>
  <c r="D1946" i="4"/>
  <c r="C1946" i="4"/>
  <c r="B1946" i="4"/>
  <c r="A1946" i="4"/>
  <c r="R1945" i="4"/>
  <c r="P1945" i="4"/>
  <c r="N1945" i="4"/>
  <c r="L1945" i="4"/>
  <c r="K1945" i="4"/>
  <c r="J1945" i="4"/>
  <c r="I1945" i="4"/>
  <c r="H1945" i="4"/>
  <c r="G1945" i="4"/>
  <c r="F1945" i="4"/>
  <c r="E1945" i="4"/>
  <c r="D1945" i="4"/>
  <c r="C1945" i="4"/>
  <c r="B1945" i="4"/>
  <c r="A1945" i="4"/>
  <c r="R1944" i="4"/>
  <c r="P1944" i="4"/>
  <c r="N1944" i="4"/>
  <c r="L1944" i="4"/>
  <c r="K1944" i="4"/>
  <c r="J1944" i="4"/>
  <c r="I1944" i="4"/>
  <c r="H1944" i="4"/>
  <c r="G1944" i="4"/>
  <c r="F1944" i="4"/>
  <c r="E1944" i="4"/>
  <c r="D1944" i="4"/>
  <c r="C1944" i="4"/>
  <c r="B1944" i="4"/>
  <c r="A1944" i="4"/>
  <c r="R1943" i="4"/>
  <c r="P1943" i="4"/>
  <c r="N1943" i="4"/>
  <c r="L1943" i="4"/>
  <c r="K1943" i="4"/>
  <c r="J1943" i="4"/>
  <c r="I1943" i="4"/>
  <c r="H1943" i="4"/>
  <c r="G1943" i="4"/>
  <c r="F1943" i="4"/>
  <c r="E1943" i="4"/>
  <c r="D1943" i="4"/>
  <c r="C1943" i="4"/>
  <c r="B1943" i="4"/>
  <c r="A1943" i="4"/>
  <c r="R1942" i="4"/>
  <c r="P1942" i="4"/>
  <c r="N1942" i="4"/>
  <c r="L1942" i="4"/>
  <c r="K1942" i="4"/>
  <c r="J1942" i="4"/>
  <c r="I1942" i="4"/>
  <c r="H1942" i="4"/>
  <c r="G1942" i="4"/>
  <c r="F1942" i="4"/>
  <c r="E1942" i="4"/>
  <c r="D1942" i="4"/>
  <c r="C1942" i="4"/>
  <c r="B1942" i="4"/>
  <c r="A1942" i="4"/>
  <c r="R1941" i="4"/>
  <c r="P1941" i="4"/>
  <c r="N1941" i="4"/>
  <c r="L1941" i="4"/>
  <c r="K1941" i="4"/>
  <c r="J1941" i="4"/>
  <c r="I1941" i="4"/>
  <c r="H1941" i="4"/>
  <c r="G1941" i="4"/>
  <c r="F1941" i="4"/>
  <c r="E1941" i="4"/>
  <c r="D1941" i="4"/>
  <c r="C1941" i="4"/>
  <c r="B1941" i="4"/>
  <c r="A1941" i="4"/>
  <c r="R1940" i="4"/>
  <c r="P1940" i="4"/>
  <c r="N1940" i="4"/>
  <c r="L1940" i="4"/>
  <c r="K1940" i="4"/>
  <c r="J1940" i="4"/>
  <c r="I1940" i="4"/>
  <c r="H1940" i="4"/>
  <c r="G1940" i="4"/>
  <c r="F1940" i="4"/>
  <c r="E1940" i="4"/>
  <c r="D1940" i="4"/>
  <c r="C1940" i="4"/>
  <c r="B1940" i="4"/>
  <c r="A1940" i="4"/>
  <c r="R1939" i="4"/>
  <c r="P1939" i="4"/>
  <c r="N1939" i="4"/>
  <c r="L1939" i="4"/>
  <c r="K1939" i="4"/>
  <c r="J1939" i="4"/>
  <c r="I1939" i="4"/>
  <c r="H1939" i="4"/>
  <c r="G1939" i="4"/>
  <c r="F1939" i="4"/>
  <c r="E1939" i="4"/>
  <c r="D1939" i="4"/>
  <c r="C1939" i="4"/>
  <c r="B1939" i="4"/>
  <c r="A1939" i="4"/>
  <c r="R1938" i="4"/>
  <c r="P1938" i="4"/>
  <c r="N1938" i="4"/>
  <c r="L1938" i="4"/>
  <c r="K1938" i="4"/>
  <c r="J1938" i="4"/>
  <c r="I1938" i="4"/>
  <c r="H1938" i="4"/>
  <c r="G1938" i="4"/>
  <c r="F1938" i="4"/>
  <c r="E1938" i="4"/>
  <c r="D1938" i="4"/>
  <c r="C1938" i="4"/>
  <c r="B1938" i="4"/>
  <c r="A1938" i="4"/>
  <c r="R1937" i="4"/>
  <c r="P1937" i="4"/>
  <c r="N1937" i="4"/>
  <c r="L1937" i="4"/>
  <c r="K1937" i="4"/>
  <c r="J1937" i="4"/>
  <c r="I1937" i="4"/>
  <c r="H1937" i="4"/>
  <c r="G1937" i="4"/>
  <c r="F1937" i="4"/>
  <c r="E1937" i="4"/>
  <c r="D1937" i="4"/>
  <c r="C1937" i="4"/>
  <c r="B1937" i="4"/>
  <c r="A1937" i="4"/>
  <c r="R1936" i="4"/>
  <c r="P1936" i="4"/>
  <c r="N1936" i="4"/>
  <c r="L1936" i="4"/>
  <c r="K1936" i="4"/>
  <c r="J1936" i="4"/>
  <c r="I1936" i="4"/>
  <c r="H1936" i="4"/>
  <c r="G1936" i="4"/>
  <c r="F1936" i="4"/>
  <c r="E1936" i="4"/>
  <c r="D1936" i="4"/>
  <c r="C1936" i="4"/>
  <c r="B1936" i="4"/>
  <c r="A1936" i="4"/>
  <c r="R1935" i="4"/>
  <c r="P1935" i="4"/>
  <c r="N1935" i="4"/>
  <c r="L1935" i="4"/>
  <c r="K1935" i="4"/>
  <c r="J1935" i="4"/>
  <c r="I1935" i="4"/>
  <c r="H1935" i="4"/>
  <c r="G1935" i="4"/>
  <c r="F1935" i="4"/>
  <c r="E1935" i="4"/>
  <c r="D1935" i="4"/>
  <c r="C1935" i="4"/>
  <c r="B1935" i="4"/>
  <c r="A1935" i="4"/>
  <c r="R1934" i="4"/>
  <c r="P1934" i="4"/>
  <c r="N1934" i="4"/>
  <c r="L1934" i="4"/>
  <c r="K1934" i="4"/>
  <c r="J1934" i="4"/>
  <c r="I1934" i="4"/>
  <c r="H1934" i="4"/>
  <c r="G1934" i="4"/>
  <c r="F1934" i="4"/>
  <c r="E1934" i="4"/>
  <c r="D1934" i="4"/>
  <c r="C1934" i="4"/>
  <c r="B1934" i="4"/>
  <c r="A1934" i="4"/>
  <c r="R1933" i="4"/>
  <c r="P1933" i="4"/>
  <c r="N1933" i="4"/>
  <c r="L1933" i="4"/>
  <c r="K1933" i="4"/>
  <c r="J1933" i="4"/>
  <c r="I1933" i="4"/>
  <c r="H1933" i="4"/>
  <c r="G1933" i="4"/>
  <c r="F1933" i="4"/>
  <c r="E1933" i="4"/>
  <c r="D1933" i="4"/>
  <c r="C1933" i="4"/>
  <c r="B1933" i="4"/>
  <c r="A1933" i="4"/>
  <c r="R1932" i="4"/>
  <c r="P1932" i="4"/>
  <c r="N1932" i="4"/>
  <c r="L1932" i="4"/>
  <c r="K1932" i="4"/>
  <c r="J1932" i="4"/>
  <c r="I1932" i="4"/>
  <c r="H1932" i="4"/>
  <c r="G1932" i="4"/>
  <c r="F1932" i="4"/>
  <c r="E1932" i="4"/>
  <c r="D1932" i="4"/>
  <c r="C1932" i="4"/>
  <c r="B1932" i="4"/>
  <c r="A1932" i="4"/>
  <c r="R1931" i="4"/>
  <c r="P1931" i="4"/>
  <c r="N1931" i="4"/>
  <c r="L1931" i="4"/>
  <c r="K1931" i="4"/>
  <c r="J1931" i="4"/>
  <c r="I1931" i="4"/>
  <c r="H1931" i="4"/>
  <c r="G1931" i="4"/>
  <c r="F1931" i="4"/>
  <c r="E1931" i="4"/>
  <c r="D1931" i="4"/>
  <c r="C1931" i="4"/>
  <c r="B1931" i="4"/>
  <c r="A1931" i="4"/>
  <c r="R1930" i="4"/>
  <c r="P1930" i="4"/>
  <c r="N1930" i="4"/>
  <c r="L1930" i="4"/>
  <c r="K1930" i="4"/>
  <c r="J1930" i="4"/>
  <c r="I1930" i="4"/>
  <c r="H1930" i="4"/>
  <c r="G1930" i="4"/>
  <c r="F1930" i="4"/>
  <c r="E1930" i="4"/>
  <c r="D1930" i="4"/>
  <c r="C1930" i="4"/>
  <c r="B1930" i="4"/>
  <c r="A1930" i="4"/>
  <c r="R1929" i="4"/>
  <c r="P1929" i="4"/>
  <c r="N1929" i="4"/>
  <c r="L1929" i="4"/>
  <c r="K1929" i="4"/>
  <c r="J1929" i="4"/>
  <c r="I1929" i="4"/>
  <c r="H1929" i="4"/>
  <c r="G1929" i="4"/>
  <c r="F1929" i="4"/>
  <c r="E1929" i="4"/>
  <c r="D1929" i="4"/>
  <c r="C1929" i="4"/>
  <c r="B1929" i="4"/>
  <c r="A1929" i="4"/>
  <c r="R1928" i="4"/>
  <c r="P1928" i="4"/>
  <c r="N1928" i="4"/>
  <c r="L1928" i="4"/>
  <c r="K1928" i="4"/>
  <c r="J1928" i="4"/>
  <c r="I1928" i="4"/>
  <c r="H1928" i="4"/>
  <c r="G1928" i="4"/>
  <c r="F1928" i="4"/>
  <c r="E1928" i="4"/>
  <c r="D1928" i="4"/>
  <c r="C1928" i="4"/>
  <c r="B1928" i="4"/>
  <c r="A1928" i="4"/>
  <c r="R1927" i="4"/>
  <c r="P1927" i="4"/>
  <c r="N1927" i="4"/>
  <c r="L1927" i="4"/>
  <c r="K1927" i="4"/>
  <c r="J1927" i="4"/>
  <c r="I1927" i="4"/>
  <c r="H1927" i="4"/>
  <c r="G1927" i="4"/>
  <c r="F1927" i="4"/>
  <c r="E1927" i="4"/>
  <c r="D1927" i="4"/>
  <c r="C1927" i="4"/>
  <c r="B1927" i="4"/>
  <c r="A1927" i="4"/>
  <c r="R1926" i="4"/>
  <c r="P1926" i="4"/>
  <c r="N1926" i="4"/>
  <c r="L1926" i="4"/>
  <c r="K1926" i="4"/>
  <c r="J1926" i="4"/>
  <c r="I1926" i="4"/>
  <c r="H1926" i="4"/>
  <c r="G1926" i="4"/>
  <c r="F1926" i="4"/>
  <c r="E1926" i="4"/>
  <c r="D1926" i="4"/>
  <c r="C1926" i="4"/>
  <c r="B1926" i="4"/>
  <c r="A1926" i="4"/>
  <c r="R1925" i="4"/>
  <c r="P1925" i="4"/>
  <c r="N1925" i="4"/>
  <c r="L1925" i="4"/>
  <c r="K1925" i="4"/>
  <c r="J1925" i="4"/>
  <c r="I1925" i="4"/>
  <c r="H1925" i="4"/>
  <c r="G1925" i="4"/>
  <c r="F1925" i="4"/>
  <c r="E1925" i="4"/>
  <c r="D1925" i="4"/>
  <c r="C1925" i="4"/>
  <c r="B1925" i="4"/>
  <c r="A1925" i="4"/>
  <c r="R1924" i="4"/>
  <c r="P1924" i="4"/>
  <c r="N1924" i="4"/>
  <c r="L1924" i="4"/>
  <c r="K1924" i="4"/>
  <c r="J1924" i="4"/>
  <c r="I1924" i="4"/>
  <c r="H1924" i="4"/>
  <c r="G1924" i="4"/>
  <c r="F1924" i="4"/>
  <c r="E1924" i="4"/>
  <c r="D1924" i="4"/>
  <c r="C1924" i="4"/>
  <c r="B1924" i="4"/>
  <c r="A1924" i="4"/>
  <c r="R1923" i="4"/>
  <c r="P1923" i="4"/>
  <c r="N1923" i="4"/>
  <c r="L1923" i="4"/>
  <c r="K1923" i="4"/>
  <c r="J1923" i="4"/>
  <c r="I1923" i="4"/>
  <c r="H1923" i="4"/>
  <c r="G1923" i="4"/>
  <c r="F1923" i="4"/>
  <c r="E1923" i="4"/>
  <c r="D1923" i="4"/>
  <c r="C1923" i="4"/>
  <c r="B1923" i="4"/>
  <c r="A1923" i="4"/>
  <c r="R1922" i="4"/>
  <c r="P1922" i="4"/>
  <c r="N1922" i="4"/>
  <c r="L1922" i="4"/>
  <c r="K1922" i="4"/>
  <c r="J1922" i="4"/>
  <c r="I1922" i="4"/>
  <c r="H1922" i="4"/>
  <c r="G1922" i="4"/>
  <c r="F1922" i="4"/>
  <c r="E1922" i="4"/>
  <c r="D1922" i="4"/>
  <c r="C1922" i="4"/>
  <c r="B1922" i="4"/>
  <c r="A1922" i="4"/>
  <c r="R1921" i="4"/>
  <c r="P1921" i="4"/>
  <c r="N1921" i="4"/>
  <c r="L1921" i="4"/>
  <c r="K1921" i="4"/>
  <c r="J1921" i="4"/>
  <c r="I1921" i="4"/>
  <c r="H1921" i="4"/>
  <c r="G1921" i="4"/>
  <c r="F1921" i="4"/>
  <c r="E1921" i="4"/>
  <c r="D1921" i="4"/>
  <c r="C1921" i="4"/>
  <c r="B1921" i="4"/>
  <c r="A1921" i="4"/>
  <c r="R1920" i="4"/>
  <c r="P1920" i="4"/>
  <c r="N1920" i="4"/>
  <c r="L1920" i="4"/>
  <c r="K1920" i="4"/>
  <c r="J1920" i="4"/>
  <c r="I1920" i="4"/>
  <c r="H1920" i="4"/>
  <c r="G1920" i="4"/>
  <c r="F1920" i="4"/>
  <c r="E1920" i="4"/>
  <c r="D1920" i="4"/>
  <c r="C1920" i="4"/>
  <c r="B1920" i="4"/>
  <c r="A1920" i="4"/>
  <c r="R1919" i="4"/>
  <c r="P1919" i="4"/>
  <c r="N1919" i="4"/>
  <c r="L1919" i="4"/>
  <c r="K1919" i="4"/>
  <c r="J1919" i="4"/>
  <c r="I1919" i="4"/>
  <c r="H1919" i="4"/>
  <c r="G1919" i="4"/>
  <c r="F1919" i="4"/>
  <c r="E1919" i="4"/>
  <c r="D1919" i="4"/>
  <c r="C1919" i="4"/>
  <c r="B1919" i="4"/>
  <c r="A1919" i="4"/>
  <c r="R1918" i="4"/>
  <c r="P1918" i="4"/>
  <c r="N1918" i="4"/>
  <c r="L1918" i="4"/>
  <c r="K1918" i="4"/>
  <c r="J1918" i="4"/>
  <c r="I1918" i="4"/>
  <c r="H1918" i="4"/>
  <c r="G1918" i="4"/>
  <c r="F1918" i="4"/>
  <c r="E1918" i="4"/>
  <c r="D1918" i="4"/>
  <c r="C1918" i="4"/>
  <c r="B1918" i="4"/>
  <c r="A1918" i="4"/>
  <c r="R1917" i="4"/>
  <c r="P1917" i="4"/>
  <c r="N1917" i="4"/>
  <c r="L1917" i="4"/>
  <c r="K1917" i="4"/>
  <c r="J1917" i="4"/>
  <c r="I1917" i="4"/>
  <c r="H1917" i="4"/>
  <c r="G1917" i="4"/>
  <c r="F1917" i="4"/>
  <c r="E1917" i="4"/>
  <c r="D1917" i="4"/>
  <c r="C1917" i="4"/>
  <c r="B1917" i="4"/>
  <c r="A1917" i="4"/>
  <c r="R1916" i="4"/>
  <c r="P1916" i="4"/>
  <c r="N1916" i="4"/>
  <c r="L1916" i="4"/>
  <c r="K1916" i="4"/>
  <c r="J1916" i="4"/>
  <c r="I1916" i="4"/>
  <c r="H1916" i="4"/>
  <c r="G1916" i="4"/>
  <c r="F1916" i="4"/>
  <c r="E1916" i="4"/>
  <c r="D1916" i="4"/>
  <c r="C1916" i="4"/>
  <c r="B1916" i="4"/>
  <c r="A1916" i="4"/>
  <c r="R1915" i="4"/>
  <c r="P1915" i="4"/>
  <c r="N1915" i="4"/>
  <c r="L1915" i="4"/>
  <c r="K1915" i="4"/>
  <c r="J1915" i="4"/>
  <c r="I1915" i="4"/>
  <c r="H1915" i="4"/>
  <c r="G1915" i="4"/>
  <c r="F1915" i="4"/>
  <c r="E1915" i="4"/>
  <c r="D1915" i="4"/>
  <c r="C1915" i="4"/>
  <c r="B1915" i="4"/>
  <c r="A1915" i="4"/>
  <c r="R1914" i="4"/>
  <c r="P1914" i="4"/>
  <c r="N1914" i="4"/>
  <c r="L1914" i="4"/>
  <c r="K1914" i="4"/>
  <c r="J1914" i="4"/>
  <c r="I1914" i="4"/>
  <c r="H1914" i="4"/>
  <c r="G1914" i="4"/>
  <c r="F1914" i="4"/>
  <c r="E1914" i="4"/>
  <c r="D1914" i="4"/>
  <c r="C1914" i="4"/>
  <c r="B1914" i="4"/>
  <c r="A1914" i="4"/>
  <c r="R1913" i="4"/>
  <c r="P1913" i="4"/>
  <c r="N1913" i="4"/>
  <c r="L1913" i="4"/>
  <c r="K1913" i="4"/>
  <c r="J1913" i="4"/>
  <c r="I1913" i="4"/>
  <c r="H1913" i="4"/>
  <c r="G1913" i="4"/>
  <c r="F1913" i="4"/>
  <c r="E1913" i="4"/>
  <c r="D1913" i="4"/>
  <c r="C1913" i="4"/>
  <c r="B1913" i="4"/>
  <c r="A1913" i="4"/>
  <c r="R1912" i="4"/>
  <c r="P1912" i="4"/>
  <c r="N1912" i="4"/>
  <c r="L1912" i="4"/>
  <c r="K1912" i="4"/>
  <c r="J1912" i="4"/>
  <c r="I1912" i="4"/>
  <c r="H1912" i="4"/>
  <c r="G1912" i="4"/>
  <c r="F1912" i="4"/>
  <c r="E1912" i="4"/>
  <c r="D1912" i="4"/>
  <c r="C1912" i="4"/>
  <c r="B1912" i="4"/>
  <c r="A1912" i="4"/>
  <c r="R1911" i="4"/>
  <c r="P1911" i="4"/>
  <c r="N1911" i="4"/>
  <c r="L1911" i="4"/>
  <c r="K1911" i="4"/>
  <c r="J1911" i="4"/>
  <c r="I1911" i="4"/>
  <c r="H1911" i="4"/>
  <c r="G1911" i="4"/>
  <c r="F1911" i="4"/>
  <c r="E1911" i="4"/>
  <c r="D1911" i="4"/>
  <c r="C1911" i="4"/>
  <c r="B1911" i="4"/>
  <c r="A1911" i="4"/>
  <c r="R1910" i="4"/>
  <c r="P1910" i="4"/>
  <c r="N1910" i="4"/>
  <c r="L1910" i="4"/>
  <c r="K1910" i="4"/>
  <c r="J1910" i="4"/>
  <c r="I1910" i="4"/>
  <c r="H1910" i="4"/>
  <c r="G1910" i="4"/>
  <c r="F1910" i="4"/>
  <c r="E1910" i="4"/>
  <c r="D1910" i="4"/>
  <c r="C1910" i="4"/>
  <c r="B1910" i="4"/>
  <c r="A1910" i="4"/>
  <c r="R1909" i="4"/>
  <c r="P1909" i="4"/>
  <c r="N1909" i="4"/>
  <c r="L1909" i="4"/>
  <c r="K1909" i="4"/>
  <c r="J1909" i="4"/>
  <c r="I1909" i="4"/>
  <c r="H1909" i="4"/>
  <c r="G1909" i="4"/>
  <c r="F1909" i="4"/>
  <c r="E1909" i="4"/>
  <c r="D1909" i="4"/>
  <c r="C1909" i="4"/>
  <c r="B1909" i="4"/>
  <c r="A1909" i="4"/>
  <c r="R1908" i="4"/>
  <c r="P1908" i="4"/>
  <c r="N1908" i="4"/>
  <c r="L1908" i="4"/>
  <c r="K1908" i="4"/>
  <c r="J1908" i="4"/>
  <c r="I1908" i="4"/>
  <c r="H1908" i="4"/>
  <c r="G1908" i="4"/>
  <c r="F1908" i="4"/>
  <c r="E1908" i="4"/>
  <c r="D1908" i="4"/>
  <c r="C1908" i="4"/>
  <c r="B1908" i="4"/>
  <c r="A1908" i="4"/>
  <c r="R1907" i="4"/>
  <c r="P1907" i="4"/>
  <c r="N1907" i="4"/>
  <c r="L1907" i="4"/>
  <c r="K1907" i="4"/>
  <c r="J1907" i="4"/>
  <c r="I1907" i="4"/>
  <c r="H1907" i="4"/>
  <c r="G1907" i="4"/>
  <c r="F1907" i="4"/>
  <c r="E1907" i="4"/>
  <c r="D1907" i="4"/>
  <c r="C1907" i="4"/>
  <c r="B1907" i="4"/>
  <c r="A1907" i="4"/>
  <c r="R1906" i="4"/>
  <c r="P1906" i="4"/>
  <c r="N1906" i="4"/>
  <c r="L1906" i="4"/>
  <c r="K1906" i="4"/>
  <c r="J1906" i="4"/>
  <c r="I1906" i="4"/>
  <c r="H1906" i="4"/>
  <c r="G1906" i="4"/>
  <c r="F1906" i="4"/>
  <c r="E1906" i="4"/>
  <c r="D1906" i="4"/>
  <c r="C1906" i="4"/>
  <c r="B1906" i="4"/>
  <c r="A1906" i="4"/>
  <c r="R1905" i="4"/>
  <c r="P1905" i="4"/>
  <c r="N1905" i="4"/>
  <c r="L1905" i="4"/>
  <c r="K1905" i="4"/>
  <c r="J1905" i="4"/>
  <c r="I1905" i="4"/>
  <c r="H1905" i="4"/>
  <c r="G1905" i="4"/>
  <c r="F1905" i="4"/>
  <c r="E1905" i="4"/>
  <c r="D1905" i="4"/>
  <c r="C1905" i="4"/>
  <c r="B1905" i="4"/>
  <c r="A1905" i="4"/>
  <c r="R1904" i="4"/>
  <c r="P1904" i="4"/>
  <c r="N1904" i="4"/>
  <c r="L1904" i="4"/>
  <c r="K1904" i="4"/>
  <c r="J1904" i="4"/>
  <c r="I1904" i="4"/>
  <c r="H1904" i="4"/>
  <c r="G1904" i="4"/>
  <c r="F1904" i="4"/>
  <c r="E1904" i="4"/>
  <c r="D1904" i="4"/>
  <c r="C1904" i="4"/>
  <c r="B1904" i="4"/>
  <c r="A1904" i="4"/>
  <c r="R1903" i="4"/>
  <c r="P1903" i="4"/>
  <c r="N1903" i="4"/>
  <c r="L1903" i="4"/>
  <c r="K1903" i="4"/>
  <c r="J1903" i="4"/>
  <c r="I1903" i="4"/>
  <c r="H1903" i="4"/>
  <c r="G1903" i="4"/>
  <c r="F1903" i="4"/>
  <c r="E1903" i="4"/>
  <c r="D1903" i="4"/>
  <c r="C1903" i="4"/>
  <c r="B1903" i="4"/>
  <c r="A1903" i="4"/>
  <c r="R1902" i="4"/>
  <c r="P1902" i="4"/>
  <c r="N1902" i="4"/>
  <c r="L1902" i="4"/>
  <c r="K1902" i="4"/>
  <c r="J1902" i="4"/>
  <c r="I1902" i="4"/>
  <c r="H1902" i="4"/>
  <c r="G1902" i="4"/>
  <c r="F1902" i="4"/>
  <c r="E1902" i="4"/>
  <c r="D1902" i="4"/>
  <c r="C1902" i="4"/>
  <c r="B1902" i="4"/>
  <c r="A1902" i="4"/>
  <c r="R1901" i="4"/>
  <c r="P1901" i="4"/>
  <c r="N1901" i="4"/>
  <c r="L1901" i="4"/>
  <c r="K1901" i="4"/>
  <c r="J1901" i="4"/>
  <c r="I1901" i="4"/>
  <c r="H1901" i="4"/>
  <c r="G1901" i="4"/>
  <c r="F1901" i="4"/>
  <c r="E1901" i="4"/>
  <c r="D1901" i="4"/>
  <c r="C1901" i="4"/>
  <c r="B1901" i="4"/>
  <c r="A1901" i="4"/>
  <c r="R1900" i="4"/>
  <c r="P1900" i="4"/>
  <c r="N1900" i="4"/>
  <c r="L1900" i="4"/>
  <c r="K1900" i="4"/>
  <c r="J1900" i="4"/>
  <c r="I1900" i="4"/>
  <c r="H1900" i="4"/>
  <c r="G1900" i="4"/>
  <c r="F1900" i="4"/>
  <c r="E1900" i="4"/>
  <c r="D1900" i="4"/>
  <c r="C1900" i="4"/>
  <c r="B1900" i="4"/>
  <c r="A1900" i="4"/>
  <c r="R1899" i="4"/>
  <c r="P1899" i="4"/>
  <c r="N1899" i="4"/>
  <c r="L1899" i="4"/>
  <c r="K1899" i="4"/>
  <c r="J1899" i="4"/>
  <c r="I1899" i="4"/>
  <c r="H1899" i="4"/>
  <c r="G1899" i="4"/>
  <c r="F1899" i="4"/>
  <c r="E1899" i="4"/>
  <c r="D1899" i="4"/>
  <c r="C1899" i="4"/>
  <c r="B1899" i="4"/>
  <c r="A1899" i="4"/>
  <c r="R1898" i="4"/>
  <c r="P1898" i="4"/>
  <c r="N1898" i="4"/>
  <c r="L1898" i="4"/>
  <c r="K1898" i="4"/>
  <c r="J1898" i="4"/>
  <c r="I1898" i="4"/>
  <c r="H1898" i="4"/>
  <c r="G1898" i="4"/>
  <c r="F1898" i="4"/>
  <c r="E1898" i="4"/>
  <c r="D1898" i="4"/>
  <c r="C1898" i="4"/>
  <c r="B1898" i="4"/>
  <c r="A1898" i="4"/>
  <c r="R1897" i="4"/>
  <c r="P1897" i="4"/>
  <c r="N1897" i="4"/>
  <c r="L1897" i="4"/>
  <c r="K1897" i="4"/>
  <c r="J1897" i="4"/>
  <c r="I1897" i="4"/>
  <c r="H1897" i="4"/>
  <c r="G1897" i="4"/>
  <c r="F1897" i="4"/>
  <c r="E1897" i="4"/>
  <c r="D1897" i="4"/>
  <c r="C1897" i="4"/>
  <c r="B1897" i="4"/>
  <c r="A1897" i="4"/>
  <c r="R1896" i="4"/>
  <c r="P1896" i="4"/>
  <c r="N1896" i="4"/>
  <c r="L1896" i="4"/>
  <c r="K1896" i="4"/>
  <c r="J1896" i="4"/>
  <c r="I1896" i="4"/>
  <c r="H1896" i="4"/>
  <c r="G1896" i="4"/>
  <c r="F1896" i="4"/>
  <c r="E1896" i="4"/>
  <c r="D1896" i="4"/>
  <c r="C1896" i="4"/>
  <c r="B1896" i="4"/>
  <c r="A1896" i="4"/>
  <c r="R1895" i="4"/>
  <c r="P1895" i="4"/>
  <c r="N1895" i="4"/>
  <c r="L1895" i="4"/>
  <c r="K1895" i="4"/>
  <c r="J1895" i="4"/>
  <c r="I1895" i="4"/>
  <c r="H1895" i="4"/>
  <c r="G1895" i="4"/>
  <c r="F1895" i="4"/>
  <c r="E1895" i="4"/>
  <c r="D1895" i="4"/>
  <c r="C1895" i="4"/>
  <c r="B1895" i="4"/>
  <c r="A1895" i="4"/>
  <c r="R1894" i="4"/>
  <c r="P1894" i="4"/>
  <c r="N1894" i="4"/>
  <c r="L1894" i="4"/>
  <c r="K1894" i="4"/>
  <c r="J1894" i="4"/>
  <c r="I1894" i="4"/>
  <c r="H1894" i="4"/>
  <c r="G1894" i="4"/>
  <c r="F1894" i="4"/>
  <c r="E1894" i="4"/>
  <c r="D1894" i="4"/>
  <c r="C1894" i="4"/>
  <c r="B1894" i="4"/>
  <c r="A1894" i="4"/>
  <c r="R1893" i="4"/>
  <c r="P1893" i="4"/>
  <c r="N1893" i="4"/>
  <c r="L1893" i="4"/>
  <c r="K1893" i="4"/>
  <c r="J1893" i="4"/>
  <c r="I1893" i="4"/>
  <c r="H1893" i="4"/>
  <c r="G1893" i="4"/>
  <c r="F1893" i="4"/>
  <c r="E1893" i="4"/>
  <c r="D1893" i="4"/>
  <c r="C1893" i="4"/>
  <c r="B1893" i="4"/>
  <c r="A1893" i="4"/>
  <c r="R1892" i="4"/>
  <c r="P1892" i="4"/>
  <c r="N1892" i="4"/>
  <c r="L1892" i="4"/>
  <c r="K1892" i="4"/>
  <c r="J1892" i="4"/>
  <c r="I1892" i="4"/>
  <c r="H1892" i="4"/>
  <c r="G1892" i="4"/>
  <c r="F1892" i="4"/>
  <c r="E1892" i="4"/>
  <c r="D1892" i="4"/>
  <c r="C1892" i="4"/>
  <c r="B1892" i="4"/>
  <c r="A1892" i="4"/>
  <c r="R1891" i="4"/>
  <c r="P1891" i="4"/>
  <c r="N1891" i="4"/>
  <c r="L1891" i="4"/>
  <c r="K1891" i="4"/>
  <c r="J1891" i="4"/>
  <c r="I1891" i="4"/>
  <c r="H1891" i="4"/>
  <c r="G1891" i="4"/>
  <c r="F1891" i="4"/>
  <c r="E1891" i="4"/>
  <c r="D1891" i="4"/>
  <c r="C1891" i="4"/>
  <c r="B1891" i="4"/>
  <c r="A1891" i="4"/>
  <c r="R1890" i="4"/>
  <c r="P1890" i="4"/>
  <c r="N1890" i="4"/>
  <c r="L1890" i="4"/>
  <c r="K1890" i="4"/>
  <c r="J1890" i="4"/>
  <c r="I1890" i="4"/>
  <c r="H1890" i="4"/>
  <c r="G1890" i="4"/>
  <c r="F1890" i="4"/>
  <c r="E1890" i="4"/>
  <c r="D1890" i="4"/>
  <c r="C1890" i="4"/>
  <c r="B1890" i="4"/>
  <c r="A1890" i="4"/>
  <c r="R1889" i="4"/>
  <c r="P1889" i="4"/>
  <c r="N1889" i="4"/>
  <c r="L1889" i="4"/>
  <c r="K1889" i="4"/>
  <c r="J1889" i="4"/>
  <c r="I1889" i="4"/>
  <c r="H1889" i="4"/>
  <c r="G1889" i="4"/>
  <c r="F1889" i="4"/>
  <c r="E1889" i="4"/>
  <c r="D1889" i="4"/>
  <c r="C1889" i="4"/>
  <c r="B1889" i="4"/>
  <c r="A1889" i="4"/>
  <c r="R1888" i="4"/>
  <c r="P1888" i="4"/>
  <c r="N1888" i="4"/>
  <c r="L1888" i="4"/>
  <c r="K1888" i="4"/>
  <c r="J1888" i="4"/>
  <c r="I1888" i="4"/>
  <c r="H1888" i="4"/>
  <c r="G1888" i="4"/>
  <c r="F1888" i="4"/>
  <c r="E1888" i="4"/>
  <c r="D1888" i="4"/>
  <c r="C1888" i="4"/>
  <c r="B1888" i="4"/>
  <c r="A1888" i="4"/>
  <c r="R1887" i="4"/>
  <c r="P1887" i="4"/>
  <c r="N1887" i="4"/>
  <c r="L1887" i="4"/>
  <c r="K1887" i="4"/>
  <c r="J1887" i="4"/>
  <c r="I1887" i="4"/>
  <c r="H1887" i="4"/>
  <c r="G1887" i="4"/>
  <c r="F1887" i="4"/>
  <c r="E1887" i="4"/>
  <c r="D1887" i="4"/>
  <c r="C1887" i="4"/>
  <c r="B1887" i="4"/>
  <c r="A1887" i="4"/>
  <c r="R1886" i="4"/>
  <c r="P1886" i="4"/>
  <c r="N1886" i="4"/>
  <c r="L1886" i="4"/>
  <c r="K1886" i="4"/>
  <c r="J1886" i="4"/>
  <c r="I1886" i="4"/>
  <c r="H1886" i="4"/>
  <c r="G1886" i="4"/>
  <c r="F1886" i="4"/>
  <c r="E1886" i="4"/>
  <c r="D1886" i="4"/>
  <c r="C1886" i="4"/>
  <c r="B1886" i="4"/>
  <c r="A1886" i="4"/>
  <c r="R1885" i="4"/>
  <c r="P1885" i="4"/>
  <c r="N1885" i="4"/>
  <c r="L1885" i="4"/>
  <c r="K1885" i="4"/>
  <c r="J1885" i="4"/>
  <c r="I1885" i="4"/>
  <c r="H1885" i="4"/>
  <c r="G1885" i="4"/>
  <c r="F1885" i="4"/>
  <c r="E1885" i="4"/>
  <c r="D1885" i="4"/>
  <c r="C1885" i="4"/>
  <c r="B1885" i="4"/>
  <c r="A1885" i="4"/>
  <c r="R1884" i="4"/>
  <c r="P1884" i="4"/>
  <c r="N1884" i="4"/>
  <c r="L1884" i="4"/>
  <c r="K1884" i="4"/>
  <c r="J1884" i="4"/>
  <c r="I1884" i="4"/>
  <c r="H1884" i="4"/>
  <c r="G1884" i="4"/>
  <c r="F1884" i="4"/>
  <c r="E1884" i="4"/>
  <c r="D1884" i="4"/>
  <c r="C1884" i="4"/>
  <c r="B1884" i="4"/>
  <c r="A1884" i="4"/>
  <c r="R1883" i="4"/>
  <c r="P1883" i="4"/>
  <c r="N1883" i="4"/>
  <c r="L1883" i="4"/>
  <c r="K1883" i="4"/>
  <c r="J1883" i="4"/>
  <c r="I1883" i="4"/>
  <c r="H1883" i="4"/>
  <c r="G1883" i="4"/>
  <c r="F1883" i="4"/>
  <c r="E1883" i="4"/>
  <c r="D1883" i="4"/>
  <c r="C1883" i="4"/>
  <c r="B1883" i="4"/>
  <c r="A1883" i="4"/>
  <c r="R1882" i="4"/>
  <c r="P1882" i="4"/>
  <c r="N1882" i="4"/>
  <c r="L1882" i="4"/>
  <c r="K1882" i="4"/>
  <c r="J1882" i="4"/>
  <c r="I1882" i="4"/>
  <c r="H1882" i="4"/>
  <c r="G1882" i="4"/>
  <c r="F1882" i="4"/>
  <c r="E1882" i="4"/>
  <c r="D1882" i="4"/>
  <c r="C1882" i="4"/>
  <c r="B1882" i="4"/>
  <c r="A1882" i="4"/>
  <c r="R1881" i="4"/>
  <c r="P1881" i="4"/>
  <c r="N1881" i="4"/>
  <c r="L1881" i="4"/>
  <c r="K1881" i="4"/>
  <c r="J1881" i="4"/>
  <c r="I1881" i="4"/>
  <c r="H1881" i="4"/>
  <c r="G1881" i="4"/>
  <c r="F1881" i="4"/>
  <c r="E1881" i="4"/>
  <c r="D1881" i="4"/>
  <c r="C1881" i="4"/>
  <c r="B1881" i="4"/>
  <c r="A1881" i="4"/>
  <c r="R1880" i="4"/>
  <c r="P1880" i="4"/>
  <c r="N1880" i="4"/>
  <c r="L1880" i="4"/>
  <c r="K1880" i="4"/>
  <c r="J1880" i="4"/>
  <c r="I1880" i="4"/>
  <c r="H1880" i="4"/>
  <c r="G1880" i="4"/>
  <c r="F1880" i="4"/>
  <c r="E1880" i="4"/>
  <c r="D1880" i="4"/>
  <c r="C1880" i="4"/>
  <c r="B1880" i="4"/>
  <c r="A1880" i="4"/>
  <c r="R1879" i="4"/>
  <c r="P1879" i="4"/>
  <c r="N1879" i="4"/>
  <c r="L1879" i="4"/>
  <c r="K1879" i="4"/>
  <c r="J1879" i="4"/>
  <c r="I1879" i="4"/>
  <c r="H1879" i="4"/>
  <c r="G1879" i="4"/>
  <c r="F1879" i="4"/>
  <c r="E1879" i="4"/>
  <c r="D1879" i="4"/>
  <c r="C1879" i="4"/>
  <c r="B1879" i="4"/>
  <c r="A1879" i="4"/>
  <c r="R1878" i="4"/>
  <c r="P1878" i="4"/>
  <c r="N1878" i="4"/>
  <c r="L1878" i="4"/>
  <c r="K1878" i="4"/>
  <c r="J1878" i="4"/>
  <c r="I1878" i="4"/>
  <c r="H1878" i="4"/>
  <c r="G1878" i="4"/>
  <c r="F1878" i="4"/>
  <c r="E1878" i="4"/>
  <c r="D1878" i="4"/>
  <c r="C1878" i="4"/>
  <c r="B1878" i="4"/>
  <c r="A1878" i="4"/>
  <c r="R1877" i="4"/>
  <c r="P1877" i="4"/>
  <c r="N1877" i="4"/>
  <c r="L1877" i="4"/>
  <c r="K1877" i="4"/>
  <c r="J1877" i="4"/>
  <c r="I1877" i="4"/>
  <c r="H1877" i="4"/>
  <c r="G1877" i="4"/>
  <c r="F1877" i="4"/>
  <c r="E1877" i="4"/>
  <c r="D1877" i="4"/>
  <c r="C1877" i="4"/>
  <c r="B1877" i="4"/>
  <c r="A1877" i="4"/>
  <c r="R1876" i="4"/>
  <c r="P1876" i="4"/>
  <c r="N1876" i="4"/>
  <c r="L1876" i="4"/>
  <c r="K1876" i="4"/>
  <c r="J1876" i="4"/>
  <c r="I1876" i="4"/>
  <c r="H1876" i="4"/>
  <c r="G1876" i="4"/>
  <c r="F1876" i="4"/>
  <c r="E1876" i="4"/>
  <c r="D1876" i="4"/>
  <c r="C1876" i="4"/>
  <c r="B1876" i="4"/>
  <c r="A1876" i="4"/>
  <c r="R1875" i="4"/>
  <c r="P1875" i="4"/>
  <c r="N1875" i="4"/>
  <c r="L1875" i="4"/>
  <c r="K1875" i="4"/>
  <c r="J1875" i="4"/>
  <c r="I1875" i="4"/>
  <c r="H1875" i="4"/>
  <c r="G1875" i="4"/>
  <c r="F1875" i="4"/>
  <c r="E1875" i="4"/>
  <c r="D1875" i="4"/>
  <c r="C1875" i="4"/>
  <c r="B1875" i="4"/>
  <c r="A1875" i="4"/>
  <c r="R1874" i="4"/>
  <c r="P1874" i="4"/>
  <c r="N1874" i="4"/>
  <c r="L1874" i="4"/>
  <c r="K1874" i="4"/>
  <c r="J1874" i="4"/>
  <c r="I1874" i="4"/>
  <c r="H1874" i="4"/>
  <c r="G1874" i="4"/>
  <c r="F1874" i="4"/>
  <c r="E1874" i="4"/>
  <c r="D1874" i="4"/>
  <c r="C1874" i="4"/>
  <c r="B1874" i="4"/>
  <c r="A1874" i="4"/>
  <c r="R1873" i="4"/>
  <c r="P1873" i="4"/>
  <c r="N1873" i="4"/>
  <c r="L1873" i="4"/>
  <c r="K1873" i="4"/>
  <c r="J1873" i="4"/>
  <c r="I1873" i="4"/>
  <c r="H1873" i="4"/>
  <c r="G1873" i="4"/>
  <c r="F1873" i="4"/>
  <c r="E1873" i="4"/>
  <c r="D1873" i="4"/>
  <c r="C1873" i="4"/>
  <c r="B1873" i="4"/>
  <c r="A1873" i="4"/>
  <c r="R1872" i="4"/>
  <c r="P1872" i="4"/>
  <c r="N1872" i="4"/>
  <c r="L1872" i="4"/>
  <c r="K1872" i="4"/>
  <c r="J1872" i="4"/>
  <c r="I1872" i="4"/>
  <c r="H1872" i="4"/>
  <c r="G1872" i="4"/>
  <c r="F1872" i="4"/>
  <c r="E1872" i="4"/>
  <c r="D1872" i="4"/>
  <c r="C1872" i="4"/>
  <c r="B1872" i="4"/>
  <c r="A1872" i="4"/>
  <c r="R1871" i="4"/>
  <c r="P1871" i="4"/>
  <c r="N1871" i="4"/>
  <c r="L1871" i="4"/>
  <c r="K1871" i="4"/>
  <c r="J1871" i="4"/>
  <c r="I1871" i="4"/>
  <c r="H1871" i="4"/>
  <c r="G1871" i="4"/>
  <c r="F1871" i="4"/>
  <c r="E1871" i="4"/>
  <c r="D1871" i="4"/>
  <c r="C1871" i="4"/>
  <c r="B1871" i="4"/>
  <c r="A1871" i="4"/>
  <c r="R1870" i="4"/>
  <c r="P1870" i="4"/>
  <c r="N1870" i="4"/>
  <c r="L1870" i="4"/>
  <c r="K1870" i="4"/>
  <c r="J1870" i="4"/>
  <c r="I1870" i="4"/>
  <c r="H1870" i="4"/>
  <c r="G1870" i="4"/>
  <c r="F1870" i="4"/>
  <c r="E1870" i="4"/>
  <c r="D1870" i="4"/>
  <c r="C1870" i="4"/>
  <c r="B1870" i="4"/>
  <c r="A1870" i="4"/>
  <c r="R1869" i="4"/>
  <c r="P1869" i="4"/>
  <c r="N1869" i="4"/>
  <c r="L1869" i="4"/>
  <c r="K1869" i="4"/>
  <c r="J1869" i="4"/>
  <c r="I1869" i="4"/>
  <c r="H1869" i="4"/>
  <c r="G1869" i="4"/>
  <c r="F1869" i="4"/>
  <c r="E1869" i="4"/>
  <c r="D1869" i="4"/>
  <c r="C1869" i="4"/>
  <c r="B1869" i="4"/>
  <c r="A1869" i="4"/>
  <c r="R1868" i="4"/>
  <c r="P1868" i="4"/>
  <c r="N1868" i="4"/>
  <c r="L1868" i="4"/>
  <c r="K1868" i="4"/>
  <c r="J1868" i="4"/>
  <c r="I1868" i="4"/>
  <c r="H1868" i="4"/>
  <c r="G1868" i="4"/>
  <c r="F1868" i="4"/>
  <c r="E1868" i="4"/>
  <c r="D1868" i="4"/>
  <c r="C1868" i="4"/>
  <c r="B1868" i="4"/>
  <c r="A1868" i="4"/>
  <c r="R1867" i="4"/>
  <c r="P1867" i="4"/>
  <c r="N1867" i="4"/>
  <c r="L1867" i="4"/>
  <c r="K1867" i="4"/>
  <c r="J1867" i="4"/>
  <c r="I1867" i="4"/>
  <c r="H1867" i="4"/>
  <c r="G1867" i="4"/>
  <c r="F1867" i="4"/>
  <c r="E1867" i="4"/>
  <c r="D1867" i="4"/>
  <c r="C1867" i="4"/>
  <c r="B1867" i="4"/>
  <c r="A1867" i="4"/>
  <c r="R1866" i="4"/>
  <c r="P1866" i="4"/>
  <c r="N1866" i="4"/>
  <c r="L1866" i="4"/>
  <c r="K1866" i="4"/>
  <c r="J1866" i="4"/>
  <c r="I1866" i="4"/>
  <c r="H1866" i="4"/>
  <c r="G1866" i="4"/>
  <c r="F1866" i="4"/>
  <c r="E1866" i="4"/>
  <c r="D1866" i="4"/>
  <c r="C1866" i="4"/>
  <c r="B1866" i="4"/>
  <c r="A1866" i="4"/>
  <c r="R1865" i="4"/>
  <c r="P1865" i="4"/>
  <c r="N1865" i="4"/>
  <c r="L1865" i="4"/>
  <c r="K1865" i="4"/>
  <c r="J1865" i="4"/>
  <c r="I1865" i="4"/>
  <c r="H1865" i="4"/>
  <c r="G1865" i="4"/>
  <c r="F1865" i="4"/>
  <c r="E1865" i="4"/>
  <c r="D1865" i="4"/>
  <c r="C1865" i="4"/>
  <c r="B1865" i="4"/>
  <c r="A1865" i="4"/>
  <c r="R1864" i="4"/>
  <c r="P1864" i="4"/>
  <c r="N1864" i="4"/>
  <c r="L1864" i="4"/>
  <c r="K1864" i="4"/>
  <c r="J1864" i="4"/>
  <c r="I1864" i="4"/>
  <c r="H1864" i="4"/>
  <c r="G1864" i="4"/>
  <c r="F1864" i="4"/>
  <c r="E1864" i="4"/>
  <c r="D1864" i="4"/>
  <c r="C1864" i="4"/>
  <c r="B1864" i="4"/>
  <c r="A1864" i="4"/>
  <c r="R1863" i="4"/>
  <c r="P1863" i="4"/>
  <c r="N1863" i="4"/>
  <c r="L1863" i="4"/>
  <c r="K1863" i="4"/>
  <c r="J1863" i="4"/>
  <c r="I1863" i="4"/>
  <c r="H1863" i="4"/>
  <c r="G1863" i="4"/>
  <c r="F1863" i="4"/>
  <c r="E1863" i="4"/>
  <c r="D1863" i="4"/>
  <c r="C1863" i="4"/>
  <c r="B1863" i="4"/>
  <c r="A1863" i="4"/>
  <c r="R1862" i="4"/>
  <c r="P1862" i="4"/>
  <c r="N1862" i="4"/>
  <c r="L1862" i="4"/>
  <c r="K1862" i="4"/>
  <c r="J1862" i="4"/>
  <c r="I1862" i="4"/>
  <c r="H1862" i="4"/>
  <c r="G1862" i="4"/>
  <c r="F1862" i="4"/>
  <c r="E1862" i="4"/>
  <c r="D1862" i="4"/>
  <c r="C1862" i="4"/>
  <c r="B1862" i="4"/>
  <c r="A1862" i="4"/>
  <c r="R1861" i="4"/>
  <c r="P1861" i="4"/>
  <c r="N1861" i="4"/>
  <c r="L1861" i="4"/>
  <c r="K1861" i="4"/>
  <c r="J1861" i="4"/>
  <c r="I1861" i="4"/>
  <c r="H1861" i="4"/>
  <c r="G1861" i="4"/>
  <c r="F1861" i="4"/>
  <c r="E1861" i="4"/>
  <c r="D1861" i="4"/>
  <c r="C1861" i="4"/>
  <c r="B1861" i="4"/>
  <c r="A1861" i="4"/>
  <c r="R1860" i="4"/>
  <c r="P1860" i="4"/>
  <c r="N1860" i="4"/>
  <c r="L1860" i="4"/>
  <c r="K1860" i="4"/>
  <c r="J1860" i="4"/>
  <c r="I1860" i="4"/>
  <c r="H1860" i="4"/>
  <c r="G1860" i="4"/>
  <c r="F1860" i="4"/>
  <c r="E1860" i="4"/>
  <c r="D1860" i="4"/>
  <c r="C1860" i="4"/>
  <c r="B1860" i="4"/>
  <c r="A1860" i="4"/>
  <c r="R1859" i="4"/>
  <c r="P1859" i="4"/>
  <c r="N1859" i="4"/>
  <c r="L1859" i="4"/>
  <c r="K1859" i="4"/>
  <c r="J1859" i="4"/>
  <c r="I1859" i="4"/>
  <c r="H1859" i="4"/>
  <c r="G1859" i="4"/>
  <c r="F1859" i="4"/>
  <c r="E1859" i="4"/>
  <c r="D1859" i="4"/>
  <c r="C1859" i="4"/>
  <c r="B1859" i="4"/>
  <c r="A1859" i="4"/>
  <c r="R1858" i="4"/>
  <c r="P1858" i="4"/>
  <c r="N1858" i="4"/>
  <c r="L1858" i="4"/>
  <c r="K1858" i="4"/>
  <c r="J1858" i="4"/>
  <c r="I1858" i="4"/>
  <c r="H1858" i="4"/>
  <c r="G1858" i="4"/>
  <c r="F1858" i="4"/>
  <c r="E1858" i="4"/>
  <c r="D1858" i="4"/>
  <c r="C1858" i="4"/>
  <c r="B1858" i="4"/>
  <c r="A1858" i="4"/>
  <c r="R1857" i="4"/>
  <c r="P1857" i="4"/>
  <c r="N1857" i="4"/>
  <c r="L1857" i="4"/>
  <c r="K1857" i="4"/>
  <c r="J1857" i="4"/>
  <c r="I1857" i="4"/>
  <c r="H1857" i="4"/>
  <c r="G1857" i="4"/>
  <c r="F1857" i="4"/>
  <c r="E1857" i="4"/>
  <c r="D1857" i="4"/>
  <c r="C1857" i="4"/>
  <c r="B1857" i="4"/>
  <c r="A1857" i="4"/>
  <c r="R1856" i="4"/>
  <c r="P1856" i="4"/>
  <c r="N1856" i="4"/>
  <c r="L1856" i="4"/>
  <c r="K1856" i="4"/>
  <c r="J1856" i="4"/>
  <c r="I1856" i="4"/>
  <c r="H1856" i="4"/>
  <c r="G1856" i="4"/>
  <c r="F1856" i="4"/>
  <c r="E1856" i="4"/>
  <c r="D1856" i="4"/>
  <c r="C1856" i="4"/>
  <c r="B1856" i="4"/>
  <c r="A1856" i="4"/>
  <c r="R1855" i="4"/>
  <c r="P1855" i="4"/>
  <c r="N1855" i="4"/>
  <c r="L1855" i="4"/>
  <c r="K1855" i="4"/>
  <c r="J1855" i="4"/>
  <c r="I1855" i="4"/>
  <c r="H1855" i="4"/>
  <c r="G1855" i="4"/>
  <c r="F1855" i="4"/>
  <c r="E1855" i="4"/>
  <c r="D1855" i="4"/>
  <c r="C1855" i="4"/>
  <c r="B1855" i="4"/>
  <c r="A1855" i="4"/>
  <c r="R1854" i="4"/>
  <c r="P1854" i="4"/>
  <c r="N1854" i="4"/>
  <c r="L1854" i="4"/>
  <c r="K1854" i="4"/>
  <c r="J1854" i="4"/>
  <c r="I1854" i="4"/>
  <c r="H1854" i="4"/>
  <c r="G1854" i="4"/>
  <c r="F1854" i="4"/>
  <c r="E1854" i="4"/>
  <c r="D1854" i="4"/>
  <c r="C1854" i="4"/>
  <c r="B1854" i="4"/>
  <c r="A1854" i="4"/>
  <c r="R1853" i="4"/>
  <c r="P1853" i="4"/>
  <c r="N1853" i="4"/>
  <c r="L1853" i="4"/>
  <c r="K1853" i="4"/>
  <c r="J1853" i="4"/>
  <c r="I1853" i="4"/>
  <c r="H1853" i="4"/>
  <c r="G1853" i="4"/>
  <c r="F1853" i="4"/>
  <c r="E1853" i="4"/>
  <c r="D1853" i="4"/>
  <c r="C1853" i="4"/>
  <c r="B1853" i="4"/>
  <c r="A1853" i="4"/>
  <c r="R1852" i="4"/>
  <c r="P1852" i="4"/>
  <c r="N1852" i="4"/>
  <c r="L1852" i="4"/>
  <c r="K1852" i="4"/>
  <c r="J1852" i="4"/>
  <c r="I1852" i="4"/>
  <c r="H1852" i="4"/>
  <c r="G1852" i="4"/>
  <c r="F1852" i="4"/>
  <c r="E1852" i="4"/>
  <c r="D1852" i="4"/>
  <c r="C1852" i="4"/>
  <c r="B1852" i="4"/>
  <c r="A1852" i="4"/>
  <c r="R1851" i="4"/>
  <c r="P1851" i="4"/>
  <c r="N1851" i="4"/>
  <c r="L1851" i="4"/>
  <c r="K1851" i="4"/>
  <c r="J1851" i="4"/>
  <c r="I1851" i="4"/>
  <c r="H1851" i="4"/>
  <c r="G1851" i="4"/>
  <c r="F1851" i="4"/>
  <c r="E1851" i="4"/>
  <c r="D1851" i="4"/>
  <c r="C1851" i="4"/>
  <c r="B1851" i="4"/>
  <c r="A1851" i="4"/>
  <c r="R1850" i="4"/>
  <c r="P1850" i="4"/>
  <c r="N1850" i="4"/>
  <c r="L1850" i="4"/>
  <c r="K1850" i="4"/>
  <c r="J1850" i="4"/>
  <c r="I1850" i="4"/>
  <c r="H1850" i="4"/>
  <c r="G1850" i="4"/>
  <c r="F1850" i="4"/>
  <c r="E1850" i="4"/>
  <c r="D1850" i="4"/>
  <c r="C1850" i="4"/>
  <c r="B1850" i="4"/>
  <c r="A1850" i="4"/>
  <c r="R1849" i="4"/>
  <c r="P1849" i="4"/>
  <c r="N1849" i="4"/>
  <c r="L1849" i="4"/>
  <c r="K1849" i="4"/>
  <c r="J1849" i="4"/>
  <c r="I1849" i="4"/>
  <c r="H1849" i="4"/>
  <c r="G1849" i="4"/>
  <c r="F1849" i="4"/>
  <c r="E1849" i="4"/>
  <c r="D1849" i="4"/>
  <c r="C1849" i="4"/>
  <c r="B1849" i="4"/>
  <c r="A1849" i="4"/>
  <c r="R1848" i="4"/>
  <c r="P1848" i="4"/>
  <c r="N1848" i="4"/>
  <c r="L1848" i="4"/>
  <c r="K1848" i="4"/>
  <c r="J1848" i="4"/>
  <c r="I1848" i="4"/>
  <c r="H1848" i="4"/>
  <c r="G1848" i="4"/>
  <c r="F1848" i="4"/>
  <c r="E1848" i="4"/>
  <c r="D1848" i="4"/>
  <c r="C1848" i="4"/>
  <c r="B1848" i="4"/>
  <c r="A1848" i="4"/>
  <c r="R1847" i="4"/>
  <c r="P1847" i="4"/>
  <c r="N1847" i="4"/>
  <c r="L1847" i="4"/>
  <c r="K1847" i="4"/>
  <c r="J1847" i="4"/>
  <c r="I1847" i="4"/>
  <c r="H1847" i="4"/>
  <c r="G1847" i="4"/>
  <c r="F1847" i="4"/>
  <c r="E1847" i="4"/>
  <c r="D1847" i="4"/>
  <c r="C1847" i="4"/>
  <c r="B1847" i="4"/>
  <c r="A1847" i="4"/>
  <c r="R1846" i="4"/>
  <c r="P1846" i="4"/>
  <c r="N1846" i="4"/>
  <c r="L1846" i="4"/>
  <c r="K1846" i="4"/>
  <c r="J1846" i="4"/>
  <c r="I1846" i="4"/>
  <c r="H1846" i="4"/>
  <c r="G1846" i="4"/>
  <c r="F1846" i="4"/>
  <c r="E1846" i="4"/>
  <c r="D1846" i="4"/>
  <c r="C1846" i="4"/>
  <c r="B1846" i="4"/>
  <c r="A1846" i="4"/>
  <c r="R1845" i="4"/>
  <c r="P1845" i="4"/>
  <c r="N1845" i="4"/>
  <c r="L1845" i="4"/>
  <c r="K1845" i="4"/>
  <c r="J1845" i="4"/>
  <c r="I1845" i="4"/>
  <c r="H1845" i="4"/>
  <c r="G1845" i="4"/>
  <c r="F1845" i="4"/>
  <c r="E1845" i="4"/>
  <c r="D1845" i="4"/>
  <c r="C1845" i="4"/>
  <c r="B1845" i="4"/>
  <c r="A1845" i="4"/>
  <c r="R1844" i="4"/>
  <c r="P1844" i="4"/>
  <c r="N1844" i="4"/>
  <c r="L1844" i="4"/>
  <c r="K1844" i="4"/>
  <c r="J1844" i="4"/>
  <c r="I1844" i="4"/>
  <c r="H1844" i="4"/>
  <c r="G1844" i="4"/>
  <c r="F1844" i="4"/>
  <c r="E1844" i="4"/>
  <c r="D1844" i="4"/>
  <c r="C1844" i="4"/>
  <c r="B1844" i="4"/>
  <c r="A1844" i="4"/>
  <c r="R1843" i="4"/>
  <c r="P1843" i="4"/>
  <c r="N1843" i="4"/>
  <c r="L1843" i="4"/>
  <c r="K1843" i="4"/>
  <c r="J1843" i="4"/>
  <c r="I1843" i="4"/>
  <c r="H1843" i="4"/>
  <c r="G1843" i="4"/>
  <c r="F1843" i="4"/>
  <c r="E1843" i="4"/>
  <c r="D1843" i="4"/>
  <c r="C1843" i="4"/>
  <c r="B1843" i="4"/>
  <c r="A1843" i="4"/>
  <c r="R1842" i="4"/>
  <c r="P1842" i="4"/>
  <c r="N1842" i="4"/>
  <c r="L1842" i="4"/>
  <c r="K1842" i="4"/>
  <c r="J1842" i="4"/>
  <c r="I1842" i="4"/>
  <c r="H1842" i="4"/>
  <c r="G1842" i="4"/>
  <c r="F1842" i="4"/>
  <c r="E1842" i="4"/>
  <c r="D1842" i="4"/>
  <c r="C1842" i="4"/>
  <c r="B1842" i="4"/>
  <c r="A1842" i="4"/>
  <c r="R1841" i="4"/>
  <c r="P1841" i="4"/>
  <c r="N1841" i="4"/>
  <c r="L1841" i="4"/>
  <c r="K1841" i="4"/>
  <c r="J1841" i="4"/>
  <c r="I1841" i="4"/>
  <c r="H1841" i="4"/>
  <c r="G1841" i="4"/>
  <c r="F1841" i="4"/>
  <c r="E1841" i="4"/>
  <c r="D1841" i="4"/>
  <c r="C1841" i="4"/>
  <c r="B1841" i="4"/>
  <c r="A1841" i="4"/>
  <c r="R1840" i="4"/>
  <c r="P1840" i="4"/>
  <c r="N1840" i="4"/>
  <c r="L1840" i="4"/>
  <c r="K1840" i="4"/>
  <c r="J1840" i="4"/>
  <c r="I1840" i="4"/>
  <c r="H1840" i="4"/>
  <c r="G1840" i="4"/>
  <c r="F1840" i="4"/>
  <c r="E1840" i="4"/>
  <c r="D1840" i="4"/>
  <c r="C1840" i="4"/>
  <c r="B1840" i="4"/>
  <c r="A1840" i="4"/>
  <c r="R1839" i="4"/>
  <c r="P1839" i="4"/>
  <c r="N1839" i="4"/>
  <c r="L1839" i="4"/>
  <c r="K1839" i="4"/>
  <c r="J1839" i="4"/>
  <c r="I1839" i="4"/>
  <c r="H1839" i="4"/>
  <c r="G1839" i="4"/>
  <c r="F1839" i="4"/>
  <c r="E1839" i="4"/>
  <c r="D1839" i="4"/>
  <c r="C1839" i="4"/>
  <c r="B1839" i="4"/>
  <c r="A1839" i="4"/>
  <c r="R1838" i="4"/>
  <c r="P1838" i="4"/>
  <c r="N1838" i="4"/>
  <c r="L1838" i="4"/>
  <c r="K1838" i="4"/>
  <c r="J1838" i="4"/>
  <c r="I1838" i="4"/>
  <c r="H1838" i="4"/>
  <c r="G1838" i="4"/>
  <c r="F1838" i="4"/>
  <c r="E1838" i="4"/>
  <c r="D1838" i="4"/>
  <c r="C1838" i="4"/>
  <c r="B1838" i="4"/>
  <c r="A1838" i="4"/>
  <c r="R1837" i="4"/>
  <c r="P1837" i="4"/>
  <c r="N1837" i="4"/>
  <c r="L1837" i="4"/>
  <c r="K1837" i="4"/>
  <c r="J1837" i="4"/>
  <c r="I1837" i="4"/>
  <c r="H1837" i="4"/>
  <c r="G1837" i="4"/>
  <c r="F1837" i="4"/>
  <c r="E1837" i="4"/>
  <c r="D1837" i="4"/>
  <c r="C1837" i="4"/>
  <c r="B1837" i="4"/>
  <c r="A1837" i="4"/>
  <c r="R1836" i="4"/>
  <c r="P1836" i="4"/>
  <c r="N1836" i="4"/>
  <c r="L1836" i="4"/>
  <c r="K1836" i="4"/>
  <c r="J1836" i="4"/>
  <c r="I1836" i="4"/>
  <c r="H1836" i="4"/>
  <c r="G1836" i="4"/>
  <c r="F1836" i="4"/>
  <c r="E1836" i="4"/>
  <c r="D1836" i="4"/>
  <c r="C1836" i="4"/>
  <c r="B1836" i="4"/>
  <c r="A1836" i="4"/>
  <c r="R1835" i="4"/>
  <c r="P1835" i="4"/>
  <c r="N1835" i="4"/>
  <c r="L1835" i="4"/>
  <c r="K1835" i="4"/>
  <c r="J1835" i="4"/>
  <c r="I1835" i="4"/>
  <c r="H1835" i="4"/>
  <c r="G1835" i="4"/>
  <c r="F1835" i="4"/>
  <c r="E1835" i="4"/>
  <c r="D1835" i="4"/>
  <c r="C1835" i="4"/>
  <c r="B1835" i="4"/>
  <c r="A1835" i="4"/>
  <c r="R1834" i="4"/>
  <c r="P1834" i="4"/>
  <c r="N1834" i="4"/>
  <c r="L1834" i="4"/>
  <c r="K1834" i="4"/>
  <c r="J1834" i="4"/>
  <c r="I1834" i="4"/>
  <c r="H1834" i="4"/>
  <c r="G1834" i="4"/>
  <c r="F1834" i="4"/>
  <c r="E1834" i="4"/>
  <c r="D1834" i="4"/>
  <c r="C1834" i="4"/>
  <c r="B1834" i="4"/>
  <c r="A1834" i="4"/>
  <c r="R1833" i="4"/>
  <c r="P1833" i="4"/>
  <c r="N1833" i="4"/>
  <c r="L1833" i="4"/>
  <c r="K1833" i="4"/>
  <c r="J1833" i="4"/>
  <c r="I1833" i="4"/>
  <c r="H1833" i="4"/>
  <c r="G1833" i="4"/>
  <c r="F1833" i="4"/>
  <c r="E1833" i="4"/>
  <c r="D1833" i="4"/>
  <c r="C1833" i="4"/>
  <c r="B1833" i="4"/>
  <c r="A1833" i="4"/>
  <c r="R1832" i="4"/>
  <c r="P1832" i="4"/>
  <c r="N1832" i="4"/>
  <c r="L1832" i="4"/>
  <c r="K1832" i="4"/>
  <c r="J1832" i="4"/>
  <c r="I1832" i="4"/>
  <c r="H1832" i="4"/>
  <c r="G1832" i="4"/>
  <c r="F1832" i="4"/>
  <c r="E1832" i="4"/>
  <c r="D1832" i="4"/>
  <c r="C1832" i="4"/>
  <c r="B1832" i="4"/>
  <c r="A1832" i="4"/>
  <c r="R1831" i="4"/>
  <c r="P1831" i="4"/>
  <c r="N1831" i="4"/>
  <c r="L1831" i="4"/>
  <c r="K1831" i="4"/>
  <c r="J1831" i="4"/>
  <c r="I1831" i="4"/>
  <c r="H1831" i="4"/>
  <c r="G1831" i="4"/>
  <c r="F1831" i="4"/>
  <c r="E1831" i="4"/>
  <c r="D1831" i="4"/>
  <c r="C1831" i="4"/>
  <c r="B1831" i="4"/>
  <c r="A1831" i="4"/>
  <c r="R1830" i="4"/>
  <c r="P1830" i="4"/>
  <c r="N1830" i="4"/>
  <c r="L1830" i="4"/>
  <c r="K1830" i="4"/>
  <c r="J1830" i="4"/>
  <c r="I1830" i="4"/>
  <c r="H1830" i="4"/>
  <c r="G1830" i="4"/>
  <c r="F1830" i="4"/>
  <c r="E1830" i="4"/>
  <c r="D1830" i="4"/>
  <c r="C1830" i="4"/>
  <c r="B1830" i="4"/>
  <c r="A1830" i="4"/>
  <c r="R1829" i="4"/>
  <c r="P1829" i="4"/>
  <c r="N1829" i="4"/>
  <c r="L1829" i="4"/>
  <c r="K1829" i="4"/>
  <c r="J1829" i="4"/>
  <c r="I1829" i="4"/>
  <c r="H1829" i="4"/>
  <c r="G1829" i="4"/>
  <c r="F1829" i="4"/>
  <c r="E1829" i="4"/>
  <c r="D1829" i="4"/>
  <c r="C1829" i="4"/>
  <c r="B1829" i="4"/>
  <c r="A1829" i="4"/>
  <c r="R1828" i="4"/>
  <c r="P1828" i="4"/>
  <c r="N1828" i="4"/>
  <c r="L1828" i="4"/>
  <c r="K1828" i="4"/>
  <c r="J1828" i="4"/>
  <c r="I1828" i="4"/>
  <c r="H1828" i="4"/>
  <c r="G1828" i="4"/>
  <c r="F1828" i="4"/>
  <c r="E1828" i="4"/>
  <c r="D1828" i="4"/>
  <c r="C1828" i="4"/>
  <c r="B1828" i="4"/>
  <c r="A1828" i="4"/>
  <c r="R1827" i="4"/>
  <c r="P1827" i="4"/>
  <c r="N1827" i="4"/>
  <c r="L1827" i="4"/>
  <c r="K1827" i="4"/>
  <c r="J1827" i="4"/>
  <c r="I1827" i="4"/>
  <c r="H1827" i="4"/>
  <c r="G1827" i="4"/>
  <c r="F1827" i="4"/>
  <c r="E1827" i="4"/>
  <c r="D1827" i="4"/>
  <c r="C1827" i="4"/>
  <c r="B1827" i="4"/>
  <c r="A1827" i="4"/>
  <c r="R1826" i="4"/>
  <c r="P1826" i="4"/>
  <c r="N1826" i="4"/>
  <c r="L1826" i="4"/>
  <c r="K1826" i="4"/>
  <c r="J1826" i="4"/>
  <c r="I1826" i="4"/>
  <c r="H1826" i="4"/>
  <c r="G1826" i="4"/>
  <c r="F1826" i="4"/>
  <c r="E1826" i="4"/>
  <c r="D1826" i="4"/>
  <c r="C1826" i="4"/>
  <c r="B1826" i="4"/>
  <c r="A1826" i="4"/>
  <c r="R1825" i="4"/>
  <c r="P1825" i="4"/>
  <c r="N1825" i="4"/>
  <c r="L1825" i="4"/>
  <c r="K1825" i="4"/>
  <c r="J1825" i="4"/>
  <c r="I1825" i="4"/>
  <c r="H1825" i="4"/>
  <c r="G1825" i="4"/>
  <c r="F1825" i="4"/>
  <c r="E1825" i="4"/>
  <c r="D1825" i="4"/>
  <c r="C1825" i="4"/>
  <c r="B1825" i="4"/>
  <c r="A1825" i="4"/>
  <c r="R1824" i="4"/>
  <c r="P1824" i="4"/>
  <c r="N1824" i="4"/>
  <c r="L1824" i="4"/>
  <c r="K1824" i="4"/>
  <c r="J1824" i="4"/>
  <c r="I1824" i="4"/>
  <c r="H1824" i="4"/>
  <c r="G1824" i="4"/>
  <c r="F1824" i="4"/>
  <c r="E1824" i="4"/>
  <c r="D1824" i="4"/>
  <c r="C1824" i="4"/>
  <c r="B1824" i="4"/>
  <c r="A1824" i="4"/>
  <c r="R1823" i="4"/>
  <c r="P1823" i="4"/>
  <c r="N1823" i="4"/>
  <c r="L1823" i="4"/>
  <c r="K1823" i="4"/>
  <c r="J1823" i="4"/>
  <c r="I1823" i="4"/>
  <c r="H1823" i="4"/>
  <c r="G1823" i="4"/>
  <c r="F1823" i="4"/>
  <c r="E1823" i="4"/>
  <c r="D1823" i="4"/>
  <c r="C1823" i="4"/>
  <c r="B1823" i="4"/>
  <c r="A1823" i="4"/>
  <c r="R1822" i="4"/>
  <c r="P1822" i="4"/>
  <c r="N1822" i="4"/>
  <c r="L1822" i="4"/>
  <c r="K1822" i="4"/>
  <c r="J1822" i="4"/>
  <c r="I1822" i="4"/>
  <c r="H1822" i="4"/>
  <c r="G1822" i="4"/>
  <c r="F1822" i="4"/>
  <c r="E1822" i="4"/>
  <c r="D1822" i="4"/>
  <c r="C1822" i="4"/>
  <c r="B1822" i="4"/>
  <c r="A1822" i="4"/>
  <c r="R1821" i="4"/>
  <c r="P1821" i="4"/>
  <c r="N1821" i="4"/>
  <c r="L1821" i="4"/>
  <c r="K1821" i="4"/>
  <c r="J1821" i="4"/>
  <c r="I1821" i="4"/>
  <c r="H1821" i="4"/>
  <c r="G1821" i="4"/>
  <c r="F1821" i="4"/>
  <c r="E1821" i="4"/>
  <c r="D1821" i="4"/>
  <c r="C1821" i="4"/>
  <c r="B1821" i="4"/>
  <c r="A1821" i="4"/>
  <c r="R1820" i="4"/>
  <c r="P1820" i="4"/>
  <c r="N1820" i="4"/>
  <c r="L1820" i="4"/>
  <c r="K1820" i="4"/>
  <c r="J1820" i="4"/>
  <c r="I1820" i="4"/>
  <c r="H1820" i="4"/>
  <c r="G1820" i="4"/>
  <c r="F1820" i="4"/>
  <c r="E1820" i="4"/>
  <c r="D1820" i="4"/>
  <c r="C1820" i="4"/>
  <c r="B1820" i="4"/>
  <c r="A1820" i="4"/>
  <c r="R1819" i="4"/>
  <c r="P1819" i="4"/>
  <c r="N1819" i="4"/>
  <c r="L1819" i="4"/>
  <c r="K1819" i="4"/>
  <c r="J1819" i="4"/>
  <c r="I1819" i="4"/>
  <c r="H1819" i="4"/>
  <c r="G1819" i="4"/>
  <c r="F1819" i="4"/>
  <c r="E1819" i="4"/>
  <c r="D1819" i="4"/>
  <c r="C1819" i="4"/>
  <c r="B1819" i="4"/>
  <c r="A1819" i="4"/>
  <c r="R1818" i="4"/>
  <c r="P1818" i="4"/>
  <c r="N1818" i="4"/>
  <c r="L1818" i="4"/>
  <c r="K1818" i="4"/>
  <c r="J1818" i="4"/>
  <c r="I1818" i="4"/>
  <c r="H1818" i="4"/>
  <c r="G1818" i="4"/>
  <c r="F1818" i="4"/>
  <c r="E1818" i="4"/>
  <c r="D1818" i="4"/>
  <c r="C1818" i="4"/>
  <c r="B1818" i="4"/>
  <c r="A1818" i="4"/>
  <c r="R1817" i="4"/>
  <c r="P1817" i="4"/>
  <c r="N1817" i="4"/>
  <c r="L1817" i="4"/>
  <c r="K1817" i="4"/>
  <c r="J1817" i="4"/>
  <c r="I1817" i="4"/>
  <c r="H1817" i="4"/>
  <c r="G1817" i="4"/>
  <c r="F1817" i="4"/>
  <c r="E1817" i="4"/>
  <c r="D1817" i="4"/>
  <c r="C1817" i="4"/>
  <c r="B1817" i="4"/>
  <c r="A1817" i="4"/>
  <c r="R1816" i="4"/>
  <c r="P1816" i="4"/>
  <c r="N1816" i="4"/>
  <c r="L1816" i="4"/>
  <c r="K1816" i="4"/>
  <c r="J1816" i="4"/>
  <c r="I1816" i="4"/>
  <c r="H1816" i="4"/>
  <c r="G1816" i="4"/>
  <c r="F1816" i="4"/>
  <c r="E1816" i="4"/>
  <c r="D1816" i="4"/>
  <c r="C1816" i="4"/>
  <c r="B1816" i="4"/>
  <c r="A1816" i="4"/>
  <c r="R1815" i="4"/>
  <c r="P1815" i="4"/>
  <c r="N1815" i="4"/>
  <c r="L1815" i="4"/>
  <c r="K1815" i="4"/>
  <c r="J1815" i="4"/>
  <c r="I1815" i="4"/>
  <c r="H1815" i="4"/>
  <c r="G1815" i="4"/>
  <c r="F1815" i="4"/>
  <c r="E1815" i="4"/>
  <c r="D1815" i="4"/>
  <c r="C1815" i="4"/>
  <c r="B1815" i="4"/>
  <c r="A1815" i="4"/>
  <c r="R1814" i="4"/>
  <c r="P1814" i="4"/>
  <c r="N1814" i="4"/>
  <c r="L1814" i="4"/>
  <c r="K1814" i="4"/>
  <c r="J1814" i="4"/>
  <c r="I1814" i="4"/>
  <c r="H1814" i="4"/>
  <c r="G1814" i="4"/>
  <c r="F1814" i="4"/>
  <c r="E1814" i="4"/>
  <c r="D1814" i="4"/>
  <c r="C1814" i="4"/>
  <c r="B1814" i="4"/>
  <c r="A1814" i="4"/>
  <c r="R1813" i="4"/>
  <c r="P1813" i="4"/>
  <c r="N1813" i="4"/>
  <c r="L1813" i="4"/>
  <c r="K1813" i="4"/>
  <c r="J1813" i="4"/>
  <c r="I1813" i="4"/>
  <c r="H1813" i="4"/>
  <c r="G1813" i="4"/>
  <c r="F1813" i="4"/>
  <c r="E1813" i="4"/>
  <c r="D1813" i="4"/>
  <c r="C1813" i="4"/>
  <c r="B1813" i="4"/>
  <c r="A1813" i="4"/>
  <c r="R1812" i="4"/>
  <c r="P1812" i="4"/>
  <c r="N1812" i="4"/>
  <c r="L1812" i="4"/>
  <c r="K1812" i="4"/>
  <c r="J1812" i="4"/>
  <c r="I1812" i="4"/>
  <c r="H1812" i="4"/>
  <c r="G1812" i="4"/>
  <c r="F1812" i="4"/>
  <c r="E1812" i="4"/>
  <c r="D1812" i="4"/>
  <c r="C1812" i="4"/>
  <c r="B1812" i="4"/>
  <c r="A1812" i="4"/>
  <c r="R1811" i="4"/>
  <c r="P1811" i="4"/>
  <c r="N1811" i="4"/>
  <c r="L1811" i="4"/>
  <c r="K1811" i="4"/>
  <c r="J1811" i="4"/>
  <c r="I1811" i="4"/>
  <c r="H1811" i="4"/>
  <c r="G1811" i="4"/>
  <c r="F1811" i="4"/>
  <c r="E1811" i="4"/>
  <c r="D1811" i="4"/>
  <c r="C1811" i="4"/>
  <c r="B1811" i="4"/>
  <c r="A1811" i="4"/>
  <c r="R1810" i="4"/>
  <c r="P1810" i="4"/>
  <c r="N1810" i="4"/>
  <c r="L1810" i="4"/>
  <c r="K1810" i="4"/>
  <c r="J1810" i="4"/>
  <c r="I1810" i="4"/>
  <c r="H1810" i="4"/>
  <c r="G1810" i="4"/>
  <c r="F1810" i="4"/>
  <c r="E1810" i="4"/>
  <c r="D1810" i="4"/>
  <c r="C1810" i="4"/>
  <c r="B1810" i="4"/>
  <c r="A1810" i="4"/>
  <c r="R1809" i="4"/>
  <c r="P1809" i="4"/>
  <c r="N1809" i="4"/>
  <c r="L1809" i="4"/>
  <c r="K1809" i="4"/>
  <c r="J1809" i="4"/>
  <c r="I1809" i="4"/>
  <c r="H1809" i="4"/>
  <c r="G1809" i="4"/>
  <c r="F1809" i="4"/>
  <c r="E1809" i="4"/>
  <c r="D1809" i="4"/>
  <c r="C1809" i="4"/>
  <c r="B1809" i="4"/>
  <c r="A1809" i="4"/>
  <c r="R1808" i="4"/>
  <c r="P1808" i="4"/>
  <c r="N1808" i="4"/>
  <c r="L1808" i="4"/>
  <c r="K1808" i="4"/>
  <c r="J1808" i="4"/>
  <c r="I1808" i="4"/>
  <c r="H1808" i="4"/>
  <c r="G1808" i="4"/>
  <c r="F1808" i="4"/>
  <c r="E1808" i="4"/>
  <c r="D1808" i="4"/>
  <c r="C1808" i="4"/>
  <c r="B1808" i="4"/>
  <c r="A1808" i="4"/>
  <c r="R1807" i="4"/>
  <c r="P1807" i="4"/>
  <c r="N1807" i="4"/>
  <c r="L1807" i="4"/>
  <c r="K1807" i="4"/>
  <c r="J1807" i="4"/>
  <c r="I1807" i="4"/>
  <c r="H1807" i="4"/>
  <c r="G1807" i="4"/>
  <c r="F1807" i="4"/>
  <c r="E1807" i="4"/>
  <c r="D1807" i="4"/>
  <c r="C1807" i="4"/>
  <c r="B1807" i="4"/>
  <c r="A1807" i="4"/>
  <c r="R1806" i="4"/>
  <c r="P1806" i="4"/>
  <c r="N1806" i="4"/>
  <c r="L1806" i="4"/>
  <c r="K1806" i="4"/>
  <c r="J1806" i="4"/>
  <c r="I1806" i="4"/>
  <c r="H1806" i="4"/>
  <c r="G1806" i="4"/>
  <c r="F1806" i="4"/>
  <c r="E1806" i="4"/>
  <c r="D1806" i="4"/>
  <c r="C1806" i="4"/>
  <c r="B1806" i="4"/>
  <c r="A1806" i="4"/>
  <c r="R1805" i="4"/>
  <c r="P1805" i="4"/>
  <c r="N1805" i="4"/>
  <c r="L1805" i="4"/>
  <c r="K1805" i="4"/>
  <c r="J1805" i="4"/>
  <c r="I1805" i="4"/>
  <c r="H1805" i="4"/>
  <c r="G1805" i="4"/>
  <c r="F1805" i="4"/>
  <c r="E1805" i="4"/>
  <c r="D1805" i="4"/>
  <c r="C1805" i="4"/>
  <c r="B1805" i="4"/>
  <c r="A1805" i="4"/>
  <c r="R1804" i="4"/>
  <c r="P1804" i="4"/>
  <c r="N1804" i="4"/>
  <c r="L1804" i="4"/>
  <c r="K1804" i="4"/>
  <c r="J1804" i="4"/>
  <c r="I1804" i="4"/>
  <c r="H1804" i="4"/>
  <c r="G1804" i="4"/>
  <c r="F1804" i="4"/>
  <c r="E1804" i="4"/>
  <c r="D1804" i="4"/>
  <c r="C1804" i="4"/>
  <c r="B1804" i="4"/>
  <c r="A1804" i="4"/>
  <c r="R1803" i="4"/>
  <c r="P1803" i="4"/>
  <c r="N1803" i="4"/>
  <c r="L1803" i="4"/>
  <c r="K1803" i="4"/>
  <c r="J1803" i="4"/>
  <c r="I1803" i="4"/>
  <c r="H1803" i="4"/>
  <c r="G1803" i="4"/>
  <c r="F1803" i="4"/>
  <c r="E1803" i="4"/>
  <c r="D1803" i="4"/>
  <c r="C1803" i="4"/>
  <c r="B1803" i="4"/>
  <c r="A1803" i="4"/>
  <c r="R1802" i="4"/>
  <c r="P1802" i="4"/>
  <c r="N1802" i="4"/>
  <c r="L1802" i="4"/>
  <c r="K1802" i="4"/>
  <c r="J1802" i="4"/>
  <c r="I1802" i="4"/>
  <c r="H1802" i="4"/>
  <c r="G1802" i="4"/>
  <c r="F1802" i="4"/>
  <c r="E1802" i="4"/>
  <c r="D1802" i="4"/>
  <c r="C1802" i="4"/>
  <c r="B1802" i="4"/>
  <c r="A1802" i="4"/>
  <c r="R1801" i="4"/>
  <c r="P1801" i="4"/>
  <c r="N1801" i="4"/>
  <c r="L1801" i="4"/>
  <c r="K1801" i="4"/>
  <c r="J1801" i="4"/>
  <c r="I1801" i="4"/>
  <c r="H1801" i="4"/>
  <c r="G1801" i="4"/>
  <c r="F1801" i="4"/>
  <c r="E1801" i="4"/>
  <c r="D1801" i="4"/>
  <c r="C1801" i="4"/>
  <c r="B1801" i="4"/>
  <c r="A1801" i="4"/>
  <c r="R1800" i="4"/>
  <c r="P1800" i="4"/>
  <c r="N1800" i="4"/>
  <c r="L1800" i="4"/>
  <c r="K1800" i="4"/>
  <c r="J1800" i="4"/>
  <c r="I1800" i="4"/>
  <c r="H1800" i="4"/>
  <c r="G1800" i="4"/>
  <c r="F1800" i="4"/>
  <c r="E1800" i="4"/>
  <c r="D1800" i="4"/>
  <c r="C1800" i="4"/>
  <c r="B1800" i="4"/>
  <c r="A1800" i="4"/>
  <c r="R1799" i="4"/>
  <c r="P1799" i="4"/>
  <c r="N1799" i="4"/>
  <c r="L1799" i="4"/>
  <c r="K1799" i="4"/>
  <c r="J1799" i="4"/>
  <c r="I1799" i="4"/>
  <c r="H1799" i="4"/>
  <c r="G1799" i="4"/>
  <c r="F1799" i="4"/>
  <c r="E1799" i="4"/>
  <c r="D1799" i="4"/>
  <c r="C1799" i="4"/>
  <c r="B1799" i="4"/>
  <c r="A1799" i="4"/>
  <c r="R1798" i="4"/>
  <c r="P1798" i="4"/>
  <c r="N1798" i="4"/>
  <c r="L1798" i="4"/>
  <c r="K1798" i="4"/>
  <c r="J1798" i="4"/>
  <c r="I1798" i="4"/>
  <c r="H1798" i="4"/>
  <c r="G1798" i="4"/>
  <c r="F1798" i="4"/>
  <c r="E1798" i="4"/>
  <c r="D1798" i="4"/>
  <c r="C1798" i="4"/>
  <c r="B1798" i="4"/>
  <c r="A1798" i="4"/>
  <c r="R1797" i="4"/>
  <c r="P1797" i="4"/>
  <c r="N1797" i="4"/>
  <c r="L1797" i="4"/>
  <c r="K1797" i="4"/>
  <c r="J1797" i="4"/>
  <c r="I1797" i="4"/>
  <c r="H1797" i="4"/>
  <c r="G1797" i="4"/>
  <c r="F1797" i="4"/>
  <c r="E1797" i="4"/>
  <c r="D1797" i="4"/>
  <c r="C1797" i="4"/>
  <c r="B1797" i="4"/>
  <c r="A1797" i="4"/>
  <c r="R1796" i="4"/>
  <c r="P1796" i="4"/>
  <c r="N1796" i="4"/>
  <c r="L1796" i="4"/>
  <c r="K1796" i="4"/>
  <c r="J1796" i="4"/>
  <c r="I1796" i="4"/>
  <c r="H1796" i="4"/>
  <c r="G1796" i="4"/>
  <c r="F1796" i="4"/>
  <c r="E1796" i="4"/>
  <c r="D1796" i="4"/>
  <c r="C1796" i="4"/>
  <c r="B1796" i="4"/>
  <c r="A1796" i="4"/>
  <c r="R1795" i="4"/>
  <c r="P1795" i="4"/>
  <c r="N1795" i="4"/>
  <c r="L1795" i="4"/>
  <c r="K1795" i="4"/>
  <c r="J1795" i="4"/>
  <c r="I1795" i="4"/>
  <c r="H1795" i="4"/>
  <c r="G1795" i="4"/>
  <c r="F1795" i="4"/>
  <c r="E1795" i="4"/>
  <c r="D1795" i="4"/>
  <c r="C1795" i="4"/>
  <c r="B1795" i="4"/>
  <c r="A1795" i="4"/>
  <c r="R1794" i="4"/>
  <c r="P1794" i="4"/>
  <c r="N1794" i="4"/>
  <c r="L1794" i="4"/>
  <c r="K1794" i="4"/>
  <c r="J1794" i="4"/>
  <c r="I1794" i="4"/>
  <c r="H1794" i="4"/>
  <c r="G1794" i="4"/>
  <c r="F1794" i="4"/>
  <c r="E1794" i="4"/>
  <c r="D1794" i="4"/>
  <c r="C1794" i="4"/>
  <c r="B1794" i="4"/>
  <c r="A1794" i="4"/>
  <c r="R1793" i="4"/>
  <c r="P1793" i="4"/>
  <c r="N1793" i="4"/>
  <c r="L1793" i="4"/>
  <c r="K1793" i="4"/>
  <c r="J1793" i="4"/>
  <c r="I1793" i="4"/>
  <c r="H1793" i="4"/>
  <c r="G1793" i="4"/>
  <c r="F1793" i="4"/>
  <c r="E1793" i="4"/>
  <c r="D1793" i="4"/>
  <c r="C1793" i="4"/>
  <c r="B1793" i="4"/>
  <c r="A1793" i="4"/>
  <c r="R1792" i="4"/>
  <c r="P1792" i="4"/>
  <c r="N1792" i="4"/>
  <c r="L1792" i="4"/>
  <c r="K1792" i="4"/>
  <c r="J1792" i="4"/>
  <c r="I1792" i="4"/>
  <c r="H1792" i="4"/>
  <c r="G1792" i="4"/>
  <c r="F1792" i="4"/>
  <c r="E1792" i="4"/>
  <c r="D1792" i="4"/>
  <c r="C1792" i="4"/>
  <c r="B1792" i="4"/>
  <c r="A1792" i="4"/>
  <c r="R1791" i="4"/>
  <c r="P1791" i="4"/>
  <c r="N1791" i="4"/>
  <c r="L1791" i="4"/>
  <c r="K1791" i="4"/>
  <c r="J1791" i="4"/>
  <c r="I1791" i="4"/>
  <c r="H1791" i="4"/>
  <c r="G1791" i="4"/>
  <c r="F1791" i="4"/>
  <c r="E1791" i="4"/>
  <c r="D1791" i="4"/>
  <c r="C1791" i="4"/>
  <c r="B1791" i="4"/>
  <c r="A1791" i="4"/>
  <c r="R1790" i="4"/>
  <c r="P1790" i="4"/>
  <c r="N1790" i="4"/>
  <c r="L1790" i="4"/>
  <c r="K1790" i="4"/>
  <c r="J1790" i="4"/>
  <c r="I1790" i="4"/>
  <c r="H1790" i="4"/>
  <c r="G1790" i="4"/>
  <c r="F1790" i="4"/>
  <c r="E1790" i="4"/>
  <c r="D1790" i="4"/>
  <c r="C1790" i="4"/>
  <c r="B1790" i="4"/>
  <c r="A1790" i="4"/>
  <c r="R1789" i="4"/>
  <c r="P1789" i="4"/>
  <c r="N1789" i="4"/>
  <c r="L1789" i="4"/>
  <c r="K1789" i="4"/>
  <c r="J1789" i="4"/>
  <c r="I1789" i="4"/>
  <c r="H1789" i="4"/>
  <c r="G1789" i="4"/>
  <c r="F1789" i="4"/>
  <c r="E1789" i="4"/>
  <c r="D1789" i="4"/>
  <c r="C1789" i="4"/>
  <c r="B1789" i="4"/>
  <c r="A1789" i="4"/>
  <c r="R1788" i="4"/>
  <c r="P1788" i="4"/>
  <c r="N1788" i="4"/>
  <c r="L1788" i="4"/>
  <c r="K1788" i="4"/>
  <c r="J1788" i="4"/>
  <c r="I1788" i="4"/>
  <c r="H1788" i="4"/>
  <c r="G1788" i="4"/>
  <c r="F1788" i="4"/>
  <c r="E1788" i="4"/>
  <c r="D1788" i="4"/>
  <c r="C1788" i="4"/>
  <c r="B1788" i="4"/>
  <c r="A1788" i="4"/>
  <c r="R1787" i="4"/>
  <c r="P1787" i="4"/>
  <c r="N1787" i="4"/>
  <c r="L1787" i="4"/>
  <c r="K1787" i="4"/>
  <c r="J1787" i="4"/>
  <c r="I1787" i="4"/>
  <c r="H1787" i="4"/>
  <c r="G1787" i="4"/>
  <c r="F1787" i="4"/>
  <c r="E1787" i="4"/>
  <c r="D1787" i="4"/>
  <c r="C1787" i="4"/>
  <c r="B1787" i="4"/>
  <c r="A1787" i="4"/>
  <c r="R1786" i="4"/>
  <c r="P1786" i="4"/>
  <c r="N1786" i="4"/>
  <c r="L1786" i="4"/>
  <c r="K1786" i="4"/>
  <c r="J1786" i="4"/>
  <c r="I1786" i="4"/>
  <c r="H1786" i="4"/>
  <c r="G1786" i="4"/>
  <c r="F1786" i="4"/>
  <c r="E1786" i="4"/>
  <c r="D1786" i="4"/>
  <c r="C1786" i="4"/>
  <c r="B1786" i="4"/>
  <c r="A1786" i="4"/>
  <c r="R1785" i="4"/>
  <c r="P1785" i="4"/>
  <c r="N1785" i="4"/>
  <c r="L1785" i="4"/>
  <c r="K1785" i="4"/>
  <c r="J1785" i="4"/>
  <c r="I1785" i="4"/>
  <c r="H1785" i="4"/>
  <c r="G1785" i="4"/>
  <c r="F1785" i="4"/>
  <c r="E1785" i="4"/>
  <c r="D1785" i="4"/>
  <c r="C1785" i="4"/>
  <c r="B1785" i="4"/>
  <c r="A1785" i="4"/>
  <c r="R1784" i="4"/>
  <c r="P1784" i="4"/>
  <c r="N1784" i="4"/>
  <c r="L1784" i="4"/>
  <c r="K1784" i="4"/>
  <c r="J1784" i="4"/>
  <c r="I1784" i="4"/>
  <c r="H1784" i="4"/>
  <c r="G1784" i="4"/>
  <c r="F1784" i="4"/>
  <c r="E1784" i="4"/>
  <c r="D1784" i="4"/>
  <c r="C1784" i="4"/>
  <c r="B1784" i="4"/>
  <c r="A1784" i="4"/>
  <c r="R1783" i="4"/>
  <c r="P1783" i="4"/>
  <c r="N1783" i="4"/>
  <c r="L1783" i="4"/>
  <c r="K1783" i="4"/>
  <c r="J1783" i="4"/>
  <c r="I1783" i="4"/>
  <c r="H1783" i="4"/>
  <c r="G1783" i="4"/>
  <c r="F1783" i="4"/>
  <c r="E1783" i="4"/>
  <c r="D1783" i="4"/>
  <c r="C1783" i="4"/>
  <c r="B1783" i="4"/>
  <c r="A1783" i="4"/>
  <c r="R1782" i="4"/>
  <c r="P1782" i="4"/>
  <c r="N1782" i="4"/>
  <c r="L1782" i="4"/>
  <c r="K1782" i="4"/>
  <c r="J1782" i="4"/>
  <c r="I1782" i="4"/>
  <c r="H1782" i="4"/>
  <c r="G1782" i="4"/>
  <c r="F1782" i="4"/>
  <c r="E1782" i="4"/>
  <c r="D1782" i="4"/>
  <c r="C1782" i="4"/>
  <c r="B1782" i="4"/>
  <c r="A1782" i="4"/>
  <c r="R1781" i="4"/>
  <c r="P1781" i="4"/>
  <c r="N1781" i="4"/>
  <c r="L1781" i="4"/>
  <c r="K1781" i="4"/>
  <c r="J1781" i="4"/>
  <c r="I1781" i="4"/>
  <c r="H1781" i="4"/>
  <c r="G1781" i="4"/>
  <c r="F1781" i="4"/>
  <c r="E1781" i="4"/>
  <c r="D1781" i="4"/>
  <c r="C1781" i="4"/>
  <c r="B1781" i="4"/>
  <c r="A1781" i="4"/>
  <c r="R1780" i="4"/>
  <c r="P1780" i="4"/>
  <c r="N1780" i="4"/>
  <c r="L1780" i="4"/>
  <c r="K1780" i="4"/>
  <c r="J1780" i="4"/>
  <c r="I1780" i="4"/>
  <c r="H1780" i="4"/>
  <c r="G1780" i="4"/>
  <c r="F1780" i="4"/>
  <c r="E1780" i="4"/>
  <c r="D1780" i="4"/>
  <c r="C1780" i="4"/>
  <c r="B1780" i="4"/>
  <c r="A1780" i="4"/>
  <c r="R1779" i="4"/>
  <c r="P1779" i="4"/>
  <c r="N1779" i="4"/>
  <c r="L1779" i="4"/>
  <c r="K1779" i="4"/>
  <c r="J1779" i="4"/>
  <c r="I1779" i="4"/>
  <c r="H1779" i="4"/>
  <c r="G1779" i="4"/>
  <c r="F1779" i="4"/>
  <c r="E1779" i="4"/>
  <c r="D1779" i="4"/>
  <c r="C1779" i="4"/>
  <c r="B1779" i="4"/>
  <c r="A1779" i="4"/>
  <c r="R1778" i="4"/>
  <c r="P1778" i="4"/>
  <c r="N1778" i="4"/>
  <c r="L1778" i="4"/>
  <c r="K1778" i="4"/>
  <c r="J1778" i="4"/>
  <c r="I1778" i="4"/>
  <c r="H1778" i="4"/>
  <c r="G1778" i="4"/>
  <c r="F1778" i="4"/>
  <c r="E1778" i="4"/>
  <c r="D1778" i="4"/>
  <c r="C1778" i="4"/>
  <c r="B1778" i="4"/>
  <c r="A1778" i="4"/>
  <c r="R1777" i="4"/>
  <c r="P1777" i="4"/>
  <c r="N1777" i="4"/>
  <c r="L1777" i="4"/>
  <c r="K1777" i="4"/>
  <c r="J1777" i="4"/>
  <c r="I1777" i="4"/>
  <c r="H1777" i="4"/>
  <c r="G1777" i="4"/>
  <c r="F1777" i="4"/>
  <c r="E1777" i="4"/>
  <c r="D1777" i="4"/>
  <c r="C1777" i="4"/>
  <c r="B1777" i="4"/>
  <c r="A1777" i="4"/>
  <c r="R1776" i="4"/>
  <c r="P1776" i="4"/>
  <c r="N1776" i="4"/>
  <c r="L1776" i="4"/>
  <c r="K1776" i="4"/>
  <c r="J1776" i="4"/>
  <c r="I1776" i="4"/>
  <c r="H1776" i="4"/>
  <c r="G1776" i="4"/>
  <c r="F1776" i="4"/>
  <c r="E1776" i="4"/>
  <c r="D1776" i="4"/>
  <c r="C1776" i="4"/>
  <c r="B1776" i="4"/>
  <c r="A1776" i="4"/>
  <c r="R1775" i="4"/>
  <c r="P1775" i="4"/>
  <c r="N1775" i="4"/>
  <c r="L1775" i="4"/>
  <c r="K1775" i="4"/>
  <c r="J1775" i="4"/>
  <c r="I1775" i="4"/>
  <c r="H1775" i="4"/>
  <c r="G1775" i="4"/>
  <c r="F1775" i="4"/>
  <c r="E1775" i="4"/>
  <c r="D1775" i="4"/>
  <c r="C1775" i="4"/>
  <c r="B1775" i="4"/>
  <c r="A1775" i="4"/>
  <c r="R1774" i="4"/>
  <c r="P1774" i="4"/>
  <c r="N1774" i="4"/>
  <c r="L1774" i="4"/>
  <c r="K1774" i="4"/>
  <c r="J1774" i="4"/>
  <c r="I1774" i="4"/>
  <c r="H1774" i="4"/>
  <c r="G1774" i="4"/>
  <c r="F1774" i="4"/>
  <c r="E1774" i="4"/>
  <c r="D1774" i="4"/>
  <c r="C1774" i="4"/>
  <c r="B1774" i="4"/>
  <c r="A1774" i="4"/>
  <c r="R1773" i="4"/>
  <c r="P1773" i="4"/>
  <c r="N1773" i="4"/>
  <c r="L1773" i="4"/>
  <c r="K1773" i="4"/>
  <c r="J1773" i="4"/>
  <c r="I1773" i="4"/>
  <c r="H1773" i="4"/>
  <c r="G1773" i="4"/>
  <c r="F1773" i="4"/>
  <c r="E1773" i="4"/>
  <c r="D1773" i="4"/>
  <c r="C1773" i="4"/>
  <c r="B1773" i="4"/>
  <c r="A1773" i="4"/>
  <c r="R1772" i="4"/>
  <c r="P1772" i="4"/>
  <c r="N1772" i="4"/>
  <c r="L1772" i="4"/>
  <c r="K1772" i="4"/>
  <c r="J1772" i="4"/>
  <c r="I1772" i="4"/>
  <c r="H1772" i="4"/>
  <c r="G1772" i="4"/>
  <c r="F1772" i="4"/>
  <c r="E1772" i="4"/>
  <c r="D1772" i="4"/>
  <c r="C1772" i="4"/>
  <c r="B1772" i="4"/>
  <c r="A1772" i="4"/>
  <c r="R1771" i="4"/>
  <c r="P1771" i="4"/>
  <c r="N1771" i="4"/>
  <c r="L1771" i="4"/>
  <c r="K1771" i="4"/>
  <c r="J1771" i="4"/>
  <c r="I1771" i="4"/>
  <c r="H1771" i="4"/>
  <c r="G1771" i="4"/>
  <c r="F1771" i="4"/>
  <c r="E1771" i="4"/>
  <c r="D1771" i="4"/>
  <c r="C1771" i="4"/>
  <c r="B1771" i="4"/>
  <c r="A1771" i="4"/>
  <c r="R1770" i="4"/>
  <c r="P1770" i="4"/>
  <c r="N1770" i="4"/>
  <c r="L1770" i="4"/>
  <c r="K1770" i="4"/>
  <c r="J1770" i="4"/>
  <c r="I1770" i="4"/>
  <c r="H1770" i="4"/>
  <c r="G1770" i="4"/>
  <c r="F1770" i="4"/>
  <c r="E1770" i="4"/>
  <c r="D1770" i="4"/>
  <c r="C1770" i="4"/>
  <c r="B1770" i="4"/>
  <c r="A1770" i="4"/>
  <c r="R1769" i="4"/>
  <c r="P1769" i="4"/>
  <c r="N1769" i="4"/>
  <c r="L1769" i="4"/>
  <c r="K1769" i="4"/>
  <c r="J1769" i="4"/>
  <c r="I1769" i="4"/>
  <c r="H1769" i="4"/>
  <c r="G1769" i="4"/>
  <c r="F1769" i="4"/>
  <c r="E1769" i="4"/>
  <c r="D1769" i="4"/>
  <c r="C1769" i="4"/>
  <c r="B1769" i="4"/>
  <c r="A1769" i="4"/>
  <c r="R1768" i="4"/>
  <c r="P1768" i="4"/>
  <c r="N1768" i="4"/>
  <c r="L1768" i="4"/>
  <c r="K1768" i="4"/>
  <c r="J1768" i="4"/>
  <c r="I1768" i="4"/>
  <c r="H1768" i="4"/>
  <c r="G1768" i="4"/>
  <c r="F1768" i="4"/>
  <c r="E1768" i="4"/>
  <c r="D1768" i="4"/>
  <c r="C1768" i="4"/>
  <c r="B1768" i="4"/>
  <c r="A1768" i="4"/>
  <c r="R1767" i="4"/>
  <c r="P1767" i="4"/>
  <c r="N1767" i="4"/>
  <c r="L1767" i="4"/>
  <c r="K1767" i="4"/>
  <c r="J1767" i="4"/>
  <c r="I1767" i="4"/>
  <c r="H1767" i="4"/>
  <c r="G1767" i="4"/>
  <c r="F1767" i="4"/>
  <c r="E1767" i="4"/>
  <c r="D1767" i="4"/>
  <c r="C1767" i="4"/>
  <c r="B1767" i="4"/>
  <c r="A1767" i="4"/>
  <c r="R1766" i="4"/>
  <c r="P1766" i="4"/>
  <c r="N1766" i="4"/>
  <c r="L1766" i="4"/>
  <c r="K1766" i="4"/>
  <c r="J1766" i="4"/>
  <c r="I1766" i="4"/>
  <c r="H1766" i="4"/>
  <c r="G1766" i="4"/>
  <c r="F1766" i="4"/>
  <c r="E1766" i="4"/>
  <c r="D1766" i="4"/>
  <c r="C1766" i="4"/>
  <c r="B1766" i="4"/>
  <c r="A1766" i="4"/>
  <c r="R1765" i="4"/>
  <c r="P1765" i="4"/>
  <c r="N1765" i="4"/>
  <c r="L1765" i="4"/>
  <c r="K1765" i="4"/>
  <c r="J1765" i="4"/>
  <c r="I1765" i="4"/>
  <c r="H1765" i="4"/>
  <c r="G1765" i="4"/>
  <c r="F1765" i="4"/>
  <c r="E1765" i="4"/>
  <c r="D1765" i="4"/>
  <c r="C1765" i="4"/>
  <c r="B1765" i="4"/>
  <c r="A1765" i="4"/>
  <c r="R1764" i="4"/>
  <c r="P1764" i="4"/>
  <c r="N1764" i="4"/>
  <c r="L1764" i="4"/>
  <c r="K1764" i="4"/>
  <c r="J1764" i="4"/>
  <c r="I1764" i="4"/>
  <c r="H1764" i="4"/>
  <c r="G1764" i="4"/>
  <c r="F1764" i="4"/>
  <c r="E1764" i="4"/>
  <c r="D1764" i="4"/>
  <c r="C1764" i="4"/>
  <c r="B1764" i="4"/>
  <c r="A1764" i="4"/>
  <c r="R1763" i="4"/>
  <c r="P1763" i="4"/>
  <c r="N1763" i="4"/>
  <c r="L1763" i="4"/>
  <c r="K1763" i="4"/>
  <c r="J1763" i="4"/>
  <c r="I1763" i="4"/>
  <c r="H1763" i="4"/>
  <c r="G1763" i="4"/>
  <c r="F1763" i="4"/>
  <c r="E1763" i="4"/>
  <c r="D1763" i="4"/>
  <c r="C1763" i="4"/>
  <c r="B1763" i="4"/>
  <c r="A1763" i="4"/>
  <c r="R1762" i="4"/>
  <c r="P1762" i="4"/>
  <c r="N1762" i="4"/>
  <c r="L1762" i="4"/>
  <c r="K1762" i="4"/>
  <c r="J1762" i="4"/>
  <c r="I1762" i="4"/>
  <c r="H1762" i="4"/>
  <c r="G1762" i="4"/>
  <c r="F1762" i="4"/>
  <c r="E1762" i="4"/>
  <c r="D1762" i="4"/>
  <c r="C1762" i="4"/>
  <c r="B1762" i="4"/>
  <c r="A1762" i="4"/>
  <c r="R1761" i="4"/>
  <c r="P1761" i="4"/>
  <c r="N1761" i="4"/>
  <c r="L1761" i="4"/>
  <c r="K1761" i="4"/>
  <c r="J1761" i="4"/>
  <c r="I1761" i="4"/>
  <c r="H1761" i="4"/>
  <c r="G1761" i="4"/>
  <c r="F1761" i="4"/>
  <c r="E1761" i="4"/>
  <c r="D1761" i="4"/>
  <c r="C1761" i="4"/>
  <c r="B1761" i="4"/>
  <c r="A1761" i="4"/>
  <c r="R1760" i="4"/>
  <c r="P1760" i="4"/>
  <c r="N1760" i="4"/>
  <c r="L1760" i="4"/>
  <c r="K1760" i="4"/>
  <c r="J1760" i="4"/>
  <c r="I1760" i="4"/>
  <c r="H1760" i="4"/>
  <c r="G1760" i="4"/>
  <c r="F1760" i="4"/>
  <c r="E1760" i="4"/>
  <c r="D1760" i="4"/>
  <c r="C1760" i="4"/>
  <c r="B1760" i="4"/>
  <c r="A1760" i="4"/>
  <c r="R1759" i="4"/>
  <c r="P1759" i="4"/>
  <c r="N1759" i="4"/>
  <c r="L1759" i="4"/>
  <c r="K1759" i="4"/>
  <c r="J1759" i="4"/>
  <c r="I1759" i="4"/>
  <c r="H1759" i="4"/>
  <c r="G1759" i="4"/>
  <c r="F1759" i="4"/>
  <c r="E1759" i="4"/>
  <c r="D1759" i="4"/>
  <c r="C1759" i="4"/>
  <c r="B1759" i="4"/>
  <c r="A1759" i="4"/>
  <c r="R1758" i="4"/>
  <c r="P1758" i="4"/>
  <c r="N1758" i="4"/>
  <c r="L1758" i="4"/>
  <c r="K1758" i="4"/>
  <c r="J1758" i="4"/>
  <c r="I1758" i="4"/>
  <c r="H1758" i="4"/>
  <c r="G1758" i="4"/>
  <c r="F1758" i="4"/>
  <c r="E1758" i="4"/>
  <c r="D1758" i="4"/>
  <c r="C1758" i="4"/>
  <c r="B1758" i="4"/>
  <c r="A1758" i="4"/>
  <c r="R1757" i="4"/>
  <c r="P1757" i="4"/>
  <c r="N1757" i="4"/>
  <c r="L1757" i="4"/>
  <c r="K1757" i="4"/>
  <c r="J1757" i="4"/>
  <c r="I1757" i="4"/>
  <c r="H1757" i="4"/>
  <c r="G1757" i="4"/>
  <c r="F1757" i="4"/>
  <c r="E1757" i="4"/>
  <c r="D1757" i="4"/>
  <c r="C1757" i="4"/>
  <c r="B1757" i="4"/>
  <c r="A1757" i="4"/>
  <c r="R1756" i="4"/>
  <c r="P1756" i="4"/>
  <c r="N1756" i="4"/>
  <c r="L1756" i="4"/>
  <c r="K1756" i="4"/>
  <c r="J1756" i="4"/>
  <c r="I1756" i="4"/>
  <c r="H1756" i="4"/>
  <c r="G1756" i="4"/>
  <c r="F1756" i="4"/>
  <c r="E1756" i="4"/>
  <c r="D1756" i="4"/>
  <c r="C1756" i="4"/>
  <c r="B1756" i="4"/>
  <c r="A1756" i="4"/>
  <c r="R1755" i="4"/>
  <c r="P1755" i="4"/>
  <c r="N1755" i="4"/>
  <c r="L1755" i="4"/>
  <c r="K1755" i="4"/>
  <c r="J1755" i="4"/>
  <c r="I1755" i="4"/>
  <c r="H1755" i="4"/>
  <c r="G1755" i="4"/>
  <c r="F1755" i="4"/>
  <c r="E1755" i="4"/>
  <c r="D1755" i="4"/>
  <c r="C1755" i="4"/>
  <c r="B1755" i="4"/>
  <c r="A1755" i="4"/>
  <c r="R1754" i="4"/>
  <c r="P1754" i="4"/>
  <c r="N1754" i="4"/>
  <c r="L1754" i="4"/>
  <c r="K1754" i="4"/>
  <c r="J1754" i="4"/>
  <c r="I1754" i="4"/>
  <c r="H1754" i="4"/>
  <c r="G1754" i="4"/>
  <c r="F1754" i="4"/>
  <c r="E1754" i="4"/>
  <c r="D1754" i="4"/>
  <c r="C1754" i="4"/>
  <c r="B1754" i="4"/>
  <c r="A1754" i="4"/>
  <c r="R1753" i="4"/>
  <c r="P1753" i="4"/>
  <c r="N1753" i="4"/>
  <c r="L1753" i="4"/>
  <c r="K1753" i="4"/>
  <c r="J1753" i="4"/>
  <c r="I1753" i="4"/>
  <c r="H1753" i="4"/>
  <c r="G1753" i="4"/>
  <c r="F1753" i="4"/>
  <c r="E1753" i="4"/>
  <c r="D1753" i="4"/>
  <c r="C1753" i="4"/>
  <c r="B1753" i="4"/>
  <c r="A1753" i="4"/>
  <c r="R1752" i="4"/>
  <c r="P1752" i="4"/>
  <c r="N1752" i="4"/>
  <c r="L1752" i="4"/>
  <c r="K1752" i="4"/>
  <c r="J1752" i="4"/>
  <c r="I1752" i="4"/>
  <c r="H1752" i="4"/>
  <c r="G1752" i="4"/>
  <c r="F1752" i="4"/>
  <c r="E1752" i="4"/>
  <c r="D1752" i="4"/>
  <c r="C1752" i="4"/>
  <c r="B1752" i="4"/>
  <c r="A1752" i="4"/>
  <c r="R1751" i="4"/>
  <c r="P1751" i="4"/>
  <c r="N1751" i="4"/>
  <c r="L1751" i="4"/>
  <c r="K1751" i="4"/>
  <c r="J1751" i="4"/>
  <c r="I1751" i="4"/>
  <c r="H1751" i="4"/>
  <c r="G1751" i="4"/>
  <c r="F1751" i="4"/>
  <c r="E1751" i="4"/>
  <c r="D1751" i="4"/>
  <c r="C1751" i="4"/>
  <c r="B1751" i="4"/>
  <c r="A1751" i="4"/>
  <c r="R1750" i="4"/>
  <c r="P1750" i="4"/>
  <c r="N1750" i="4"/>
  <c r="L1750" i="4"/>
  <c r="K1750" i="4"/>
  <c r="J1750" i="4"/>
  <c r="I1750" i="4"/>
  <c r="H1750" i="4"/>
  <c r="G1750" i="4"/>
  <c r="F1750" i="4"/>
  <c r="E1750" i="4"/>
  <c r="D1750" i="4"/>
  <c r="C1750" i="4"/>
  <c r="B1750" i="4"/>
  <c r="A1750" i="4"/>
  <c r="R1749" i="4"/>
  <c r="P1749" i="4"/>
  <c r="N1749" i="4"/>
  <c r="L1749" i="4"/>
  <c r="K1749" i="4"/>
  <c r="J1749" i="4"/>
  <c r="I1749" i="4"/>
  <c r="H1749" i="4"/>
  <c r="G1749" i="4"/>
  <c r="F1749" i="4"/>
  <c r="E1749" i="4"/>
  <c r="D1749" i="4"/>
  <c r="C1749" i="4"/>
  <c r="B1749" i="4"/>
  <c r="A1749" i="4"/>
  <c r="R1748" i="4"/>
  <c r="P1748" i="4"/>
  <c r="N1748" i="4"/>
  <c r="L1748" i="4"/>
  <c r="K1748" i="4"/>
  <c r="J1748" i="4"/>
  <c r="I1748" i="4"/>
  <c r="H1748" i="4"/>
  <c r="G1748" i="4"/>
  <c r="F1748" i="4"/>
  <c r="E1748" i="4"/>
  <c r="D1748" i="4"/>
  <c r="C1748" i="4"/>
  <c r="B1748" i="4"/>
  <c r="A1748" i="4"/>
  <c r="R1747" i="4"/>
  <c r="P1747" i="4"/>
  <c r="N1747" i="4"/>
  <c r="L1747" i="4"/>
  <c r="K1747" i="4"/>
  <c r="J1747" i="4"/>
  <c r="I1747" i="4"/>
  <c r="H1747" i="4"/>
  <c r="G1747" i="4"/>
  <c r="F1747" i="4"/>
  <c r="E1747" i="4"/>
  <c r="D1747" i="4"/>
  <c r="C1747" i="4"/>
  <c r="B1747" i="4"/>
  <c r="A1747" i="4"/>
  <c r="R1746" i="4"/>
  <c r="P1746" i="4"/>
  <c r="N1746" i="4"/>
  <c r="L1746" i="4"/>
  <c r="K1746" i="4"/>
  <c r="J1746" i="4"/>
  <c r="I1746" i="4"/>
  <c r="H1746" i="4"/>
  <c r="G1746" i="4"/>
  <c r="F1746" i="4"/>
  <c r="E1746" i="4"/>
  <c r="D1746" i="4"/>
  <c r="C1746" i="4"/>
  <c r="B1746" i="4"/>
  <c r="A1746" i="4"/>
  <c r="R1745" i="4"/>
  <c r="P1745" i="4"/>
  <c r="N1745" i="4"/>
  <c r="L1745" i="4"/>
  <c r="K1745" i="4"/>
  <c r="J1745" i="4"/>
  <c r="I1745" i="4"/>
  <c r="H1745" i="4"/>
  <c r="G1745" i="4"/>
  <c r="F1745" i="4"/>
  <c r="E1745" i="4"/>
  <c r="D1745" i="4"/>
  <c r="C1745" i="4"/>
  <c r="B1745" i="4"/>
  <c r="A1745" i="4"/>
  <c r="R1744" i="4"/>
  <c r="P1744" i="4"/>
  <c r="N1744" i="4"/>
  <c r="L1744" i="4"/>
  <c r="K1744" i="4"/>
  <c r="J1744" i="4"/>
  <c r="I1744" i="4"/>
  <c r="H1744" i="4"/>
  <c r="G1744" i="4"/>
  <c r="F1744" i="4"/>
  <c r="E1744" i="4"/>
  <c r="D1744" i="4"/>
  <c r="C1744" i="4"/>
  <c r="B1744" i="4"/>
  <c r="A1744" i="4"/>
  <c r="R1743" i="4"/>
  <c r="P1743" i="4"/>
  <c r="N1743" i="4"/>
  <c r="L1743" i="4"/>
  <c r="K1743" i="4"/>
  <c r="J1743" i="4"/>
  <c r="I1743" i="4"/>
  <c r="H1743" i="4"/>
  <c r="G1743" i="4"/>
  <c r="F1743" i="4"/>
  <c r="E1743" i="4"/>
  <c r="D1743" i="4"/>
  <c r="C1743" i="4"/>
  <c r="B1743" i="4"/>
  <c r="A1743" i="4"/>
  <c r="R1742" i="4"/>
  <c r="P1742" i="4"/>
  <c r="N1742" i="4"/>
  <c r="L1742" i="4"/>
  <c r="K1742" i="4"/>
  <c r="J1742" i="4"/>
  <c r="I1742" i="4"/>
  <c r="H1742" i="4"/>
  <c r="G1742" i="4"/>
  <c r="F1742" i="4"/>
  <c r="E1742" i="4"/>
  <c r="D1742" i="4"/>
  <c r="C1742" i="4"/>
  <c r="B1742" i="4"/>
  <c r="A1742" i="4"/>
  <c r="R1741" i="4"/>
  <c r="P1741" i="4"/>
  <c r="N1741" i="4"/>
  <c r="L1741" i="4"/>
  <c r="K1741" i="4"/>
  <c r="J1741" i="4"/>
  <c r="I1741" i="4"/>
  <c r="H1741" i="4"/>
  <c r="G1741" i="4"/>
  <c r="F1741" i="4"/>
  <c r="E1741" i="4"/>
  <c r="D1741" i="4"/>
  <c r="C1741" i="4"/>
  <c r="B1741" i="4"/>
  <c r="A1741" i="4"/>
  <c r="R1740" i="4"/>
  <c r="P1740" i="4"/>
  <c r="N1740" i="4"/>
  <c r="L1740" i="4"/>
  <c r="K1740" i="4"/>
  <c r="J1740" i="4"/>
  <c r="I1740" i="4"/>
  <c r="H1740" i="4"/>
  <c r="G1740" i="4"/>
  <c r="F1740" i="4"/>
  <c r="E1740" i="4"/>
  <c r="D1740" i="4"/>
  <c r="C1740" i="4"/>
  <c r="B1740" i="4"/>
  <c r="A1740" i="4"/>
  <c r="R1739" i="4"/>
  <c r="P1739" i="4"/>
  <c r="N1739" i="4"/>
  <c r="L1739" i="4"/>
  <c r="K1739" i="4"/>
  <c r="J1739" i="4"/>
  <c r="I1739" i="4"/>
  <c r="H1739" i="4"/>
  <c r="G1739" i="4"/>
  <c r="F1739" i="4"/>
  <c r="E1739" i="4"/>
  <c r="D1739" i="4"/>
  <c r="C1739" i="4"/>
  <c r="B1739" i="4"/>
  <c r="A1739" i="4"/>
  <c r="R1738" i="4"/>
  <c r="P1738" i="4"/>
  <c r="N1738" i="4"/>
  <c r="L1738" i="4"/>
  <c r="K1738" i="4"/>
  <c r="J1738" i="4"/>
  <c r="I1738" i="4"/>
  <c r="H1738" i="4"/>
  <c r="G1738" i="4"/>
  <c r="F1738" i="4"/>
  <c r="E1738" i="4"/>
  <c r="D1738" i="4"/>
  <c r="C1738" i="4"/>
  <c r="B1738" i="4"/>
  <c r="A1738" i="4"/>
  <c r="R1737" i="4"/>
  <c r="P1737" i="4"/>
  <c r="N1737" i="4"/>
  <c r="L1737" i="4"/>
  <c r="K1737" i="4"/>
  <c r="J1737" i="4"/>
  <c r="I1737" i="4"/>
  <c r="H1737" i="4"/>
  <c r="G1737" i="4"/>
  <c r="F1737" i="4"/>
  <c r="E1737" i="4"/>
  <c r="D1737" i="4"/>
  <c r="C1737" i="4"/>
  <c r="B1737" i="4"/>
  <c r="A1737" i="4"/>
  <c r="R1736" i="4"/>
  <c r="P1736" i="4"/>
  <c r="N1736" i="4"/>
  <c r="L1736" i="4"/>
  <c r="K1736" i="4"/>
  <c r="J1736" i="4"/>
  <c r="I1736" i="4"/>
  <c r="H1736" i="4"/>
  <c r="G1736" i="4"/>
  <c r="F1736" i="4"/>
  <c r="E1736" i="4"/>
  <c r="D1736" i="4"/>
  <c r="C1736" i="4"/>
  <c r="B1736" i="4"/>
  <c r="A1736" i="4"/>
  <c r="R1735" i="4"/>
  <c r="P1735" i="4"/>
  <c r="N1735" i="4"/>
  <c r="L1735" i="4"/>
  <c r="K1735" i="4"/>
  <c r="J1735" i="4"/>
  <c r="I1735" i="4"/>
  <c r="H1735" i="4"/>
  <c r="G1735" i="4"/>
  <c r="F1735" i="4"/>
  <c r="E1735" i="4"/>
  <c r="D1735" i="4"/>
  <c r="C1735" i="4"/>
  <c r="B1735" i="4"/>
  <c r="A1735" i="4"/>
  <c r="R1734" i="4"/>
  <c r="P1734" i="4"/>
  <c r="N1734" i="4"/>
  <c r="L1734" i="4"/>
  <c r="K1734" i="4"/>
  <c r="J1734" i="4"/>
  <c r="I1734" i="4"/>
  <c r="H1734" i="4"/>
  <c r="G1734" i="4"/>
  <c r="F1734" i="4"/>
  <c r="E1734" i="4"/>
  <c r="D1734" i="4"/>
  <c r="C1734" i="4"/>
  <c r="B1734" i="4"/>
  <c r="A1734" i="4"/>
  <c r="R1733" i="4"/>
  <c r="P1733" i="4"/>
  <c r="N1733" i="4"/>
  <c r="L1733" i="4"/>
  <c r="K1733" i="4"/>
  <c r="J1733" i="4"/>
  <c r="I1733" i="4"/>
  <c r="H1733" i="4"/>
  <c r="G1733" i="4"/>
  <c r="F1733" i="4"/>
  <c r="E1733" i="4"/>
  <c r="D1733" i="4"/>
  <c r="C1733" i="4"/>
  <c r="B1733" i="4"/>
  <c r="A1733" i="4"/>
  <c r="R1732" i="4"/>
  <c r="P1732" i="4"/>
  <c r="N1732" i="4"/>
  <c r="L1732" i="4"/>
  <c r="K1732" i="4"/>
  <c r="J1732" i="4"/>
  <c r="I1732" i="4"/>
  <c r="H1732" i="4"/>
  <c r="G1732" i="4"/>
  <c r="F1732" i="4"/>
  <c r="E1732" i="4"/>
  <c r="D1732" i="4"/>
  <c r="C1732" i="4"/>
  <c r="B1732" i="4"/>
  <c r="A1732" i="4"/>
  <c r="R1731" i="4"/>
  <c r="P1731" i="4"/>
  <c r="N1731" i="4"/>
  <c r="L1731" i="4"/>
  <c r="K1731" i="4"/>
  <c r="J1731" i="4"/>
  <c r="I1731" i="4"/>
  <c r="H1731" i="4"/>
  <c r="G1731" i="4"/>
  <c r="F1731" i="4"/>
  <c r="E1731" i="4"/>
  <c r="D1731" i="4"/>
  <c r="C1731" i="4"/>
  <c r="B1731" i="4"/>
  <c r="A1731" i="4"/>
  <c r="R1730" i="4"/>
  <c r="P1730" i="4"/>
  <c r="N1730" i="4"/>
  <c r="L1730" i="4"/>
  <c r="K1730" i="4"/>
  <c r="J1730" i="4"/>
  <c r="I1730" i="4"/>
  <c r="H1730" i="4"/>
  <c r="G1730" i="4"/>
  <c r="F1730" i="4"/>
  <c r="E1730" i="4"/>
  <c r="D1730" i="4"/>
  <c r="C1730" i="4"/>
  <c r="B1730" i="4"/>
  <c r="A1730" i="4"/>
  <c r="R1729" i="4"/>
  <c r="P1729" i="4"/>
  <c r="N1729" i="4"/>
  <c r="L1729" i="4"/>
  <c r="K1729" i="4"/>
  <c r="J1729" i="4"/>
  <c r="I1729" i="4"/>
  <c r="H1729" i="4"/>
  <c r="G1729" i="4"/>
  <c r="F1729" i="4"/>
  <c r="E1729" i="4"/>
  <c r="D1729" i="4"/>
  <c r="C1729" i="4"/>
  <c r="B1729" i="4"/>
  <c r="A1729" i="4"/>
  <c r="R1728" i="4"/>
  <c r="P1728" i="4"/>
  <c r="N1728" i="4"/>
  <c r="L1728" i="4"/>
  <c r="K1728" i="4"/>
  <c r="J1728" i="4"/>
  <c r="I1728" i="4"/>
  <c r="H1728" i="4"/>
  <c r="G1728" i="4"/>
  <c r="F1728" i="4"/>
  <c r="E1728" i="4"/>
  <c r="D1728" i="4"/>
  <c r="C1728" i="4"/>
  <c r="B1728" i="4"/>
  <c r="A1728" i="4"/>
  <c r="R1727" i="4"/>
  <c r="P1727" i="4"/>
  <c r="N1727" i="4"/>
  <c r="L1727" i="4"/>
  <c r="K1727" i="4"/>
  <c r="J1727" i="4"/>
  <c r="I1727" i="4"/>
  <c r="H1727" i="4"/>
  <c r="G1727" i="4"/>
  <c r="F1727" i="4"/>
  <c r="E1727" i="4"/>
  <c r="D1727" i="4"/>
  <c r="C1727" i="4"/>
  <c r="B1727" i="4"/>
  <c r="A1727" i="4"/>
  <c r="R1726" i="4"/>
  <c r="P1726" i="4"/>
  <c r="N1726" i="4"/>
  <c r="L1726" i="4"/>
  <c r="K1726" i="4"/>
  <c r="J1726" i="4"/>
  <c r="I1726" i="4"/>
  <c r="H1726" i="4"/>
  <c r="G1726" i="4"/>
  <c r="F1726" i="4"/>
  <c r="E1726" i="4"/>
  <c r="D1726" i="4"/>
  <c r="C1726" i="4"/>
  <c r="B1726" i="4"/>
  <c r="A1726" i="4"/>
  <c r="R1725" i="4"/>
  <c r="P1725" i="4"/>
  <c r="N1725" i="4"/>
  <c r="L1725" i="4"/>
  <c r="K1725" i="4"/>
  <c r="J1725" i="4"/>
  <c r="I1725" i="4"/>
  <c r="H1725" i="4"/>
  <c r="G1725" i="4"/>
  <c r="F1725" i="4"/>
  <c r="E1725" i="4"/>
  <c r="D1725" i="4"/>
  <c r="C1725" i="4"/>
  <c r="B1725" i="4"/>
  <c r="A1725" i="4"/>
  <c r="R1724" i="4"/>
  <c r="P1724" i="4"/>
  <c r="N1724" i="4"/>
  <c r="L1724" i="4"/>
  <c r="K1724" i="4"/>
  <c r="J1724" i="4"/>
  <c r="I1724" i="4"/>
  <c r="H1724" i="4"/>
  <c r="G1724" i="4"/>
  <c r="F1724" i="4"/>
  <c r="E1724" i="4"/>
  <c r="D1724" i="4"/>
  <c r="C1724" i="4"/>
  <c r="B1724" i="4"/>
  <c r="A1724" i="4"/>
  <c r="R1723" i="4"/>
  <c r="P1723" i="4"/>
  <c r="N1723" i="4"/>
  <c r="L1723" i="4"/>
  <c r="K1723" i="4"/>
  <c r="J1723" i="4"/>
  <c r="I1723" i="4"/>
  <c r="H1723" i="4"/>
  <c r="G1723" i="4"/>
  <c r="F1723" i="4"/>
  <c r="E1723" i="4"/>
  <c r="D1723" i="4"/>
  <c r="C1723" i="4"/>
  <c r="B1723" i="4"/>
  <c r="A1723" i="4"/>
  <c r="R1722" i="4"/>
  <c r="P1722" i="4"/>
  <c r="N1722" i="4"/>
  <c r="L1722" i="4"/>
  <c r="K1722" i="4"/>
  <c r="J1722" i="4"/>
  <c r="I1722" i="4"/>
  <c r="H1722" i="4"/>
  <c r="G1722" i="4"/>
  <c r="F1722" i="4"/>
  <c r="E1722" i="4"/>
  <c r="D1722" i="4"/>
  <c r="C1722" i="4"/>
  <c r="B1722" i="4"/>
  <c r="A1722" i="4"/>
  <c r="R1721" i="4"/>
  <c r="P1721" i="4"/>
  <c r="N1721" i="4"/>
  <c r="L1721" i="4"/>
  <c r="K1721" i="4"/>
  <c r="J1721" i="4"/>
  <c r="I1721" i="4"/>
  <c r="H1721" i="4"/>
  <c r="G1721" i="4"/>
  <c r="F1721" i="4"/>
  <c r="E1721" i="4"/>
  <c r="D1721" i="4"/>
  <c r="C1721" i="4"/>
  <c r="B1721" i="4"/>
  <c r="A1721" i="4"/>
  <c r="R1720" i="4"/>
  <c r="P1720" i="4"/>
  <c r="N1720" i="4"/>
  <c r="L1720" i="4"/>
  <c r="K1720" i="4"/>
  <c r="J1720" i="4"/>
  <c r="I1720" i="4"/>
  <c r="H1720" i="4"/>
  <c r="G1720" i="4"/>
  <c r="F1720" i="4"/>
  <c r="E1720" i="4"/>
  <c r="D1720" i="4"/>
  <c r="C1720" i="4"/>
  <c r="B1720" i="4"/>
  <c r="A1720" i="4"/>
  <c r="R1719" i="4"/>
  <c r="P1719" i="4"/>
  <c r="N1719" i="4"/>
  <c r="L1719" i="4"/>
  <c r="K1719" i="4"/>
  <c r="J1719" i="4"/>
  <c r="I1719" i="4"/>
  <c r="H1719" i="4"/>
  <c r="G1719" i="4"/>
  <c r="F1719" i="4"/>
  <c r="E1719" i="4"/>
  <c r="D1719" i="4"/>
  <c r="C1719" i="4"/>
  <c r="B1719" i="4"/>
  <c r="A1719" i="4"/>
  <c r="R1718" i="4"/>
  <c r="P1718" i="4"/>
  <c r="N1718" i="4"/>
  <c r="L1718" i="4"/>
  <c r="K1718" i="4"/>
  <c r="J1718" i="4"/>
  <c r="I1718" i="4"/>
  <c r="H1718" i="4"/>
  <c r="G1718" i="4"/>
  <c r="F1718" i="4"/>
  <c r="E1718" i="4"/>
  <c r="D1718" i="4"/>
  <c r="C1718" i="4"/>
  <c r="B1718" i="4"/>
  <c r="A1718" i="4"/>
  <c r="R1717" i="4"/>
  <c r="P1717" i="4"/>
  <c r="N1717" i="4"/>
  <c r="L1717" i="4"/>
  <c r="K1717" i="4"/>
  <c r="J1717" i="4"/>
  <c r="I1717" i="4"/>
  <c r="H1717" i="4"/>
  <c r="G1717" i="4"/>
  <c r="F1717" i="4"/>
  <c r="E1717" i="4"/>
  <c r="D1717" i="4"/>
  <c r="C1717" i="4"/>
  <c r="B1717" i="4"/>
  <c r="A1717" i="4"/>
  <c r="R1716" i="4"/>
  <c r="P1716" i="4"/>
  <c r="N1716" i="4"/>
  <c r="L1716" i="4"/>
  <c r="K1716" i="4"/>
  <c r="J1716" i="4"/>
  <c r="I1716" i="4"/>
  <c r="H1716" i="4"/>
  <c r="G1716" i="4"/>
  <c r="F1716" i="4"/>
  <c r="E1716" i="4"/>
  <c r="D1716" i="4"/>
  <c r="C1716" i="4"/>
  <c r="B1716" i="4"/>
  <c r="A1716" i="4"/>
  <c r="R1715" i="4"/>
  <c r="P1715" i="4"/>
  <c r="N1715" i="4"/>
  <c r="L1715" i="4"/>
  <c r="K1715" i="4"/>
  <c r="J1715" i="4"/>
  <c r="I1715" i="4"/>
  <c r="H1715" i="4"/>
  <c r="G1715" i="4"/>
  <c r="F1715" i="4"/>
  <c r="E1715" i="4"/>
  <c r="D1715" i="4"/>
  <c r="C1715" i="4"/>
  <c r="B1715" i="4"/>
  <c r="A1715" i="4"/>
  <c r="R1714" i="4"/>
  <c r="P1714" i="4"/>
  <c r="N1714" i="4"/>
  <c r="L1714" i="4"/>
  <c r="K1714" i="4"/>
  <c r="J1714" i="4"/>
  <c r="I1714" i="4"/>
  <c r="H1714" i="4"/>
  <c r="G1714" i="4"/>
  <c r="F1714" i="4"/>
  <c r="E1714" i="4"/>
  <c r="D1714" i="4"/>
  <c r="C1714" i="4"/>
  <c r="B1714" i="4"/>
  <c r="A1714" i="4"/>
  <c r="R1713" i="4"/>
  <c r="P1713" i="4"/>
  <c r="N1713" i="4"/>
  <c r="L1713" i="4"/>
  <c r="K1713" i="4"/>
  <c r="J1713" i="4"/>
  <c r="I1713" i="4"/>
  <c r="H1713" i="4"/>
  <c r="G1713" i="4"/>
  <c r="F1713" i="4"/>
  <c r="E1713" i="4"/>
  <c r="D1713" i="4"/>
  <c r="C1713" i="4"/>
  <c r="B1713" i="4"/>
  <c r="A1713" i="4"/>
  <c r="R1712" i="4"/>
  <c r="P1712" i="4"/>
  <c r="N1712" i="4"/>
  <c r="L1712" i="4"/>
  <c r="K1712" i="4"/>
  <c r="J1712" i="4"/>
  <c r="I1712" i="4"/>
  <c r="H1712" i="4"/>
  <c r="G1712" i="4"/>
  <c r="F1712" i="4"/>
  <c r="E1712" i="4"/>
  <c r="D1712" i="4"/>
  <c r="C1712" i="4"/>
  <c r="B1712" i="4"/>
  <c r="A1712" i="4"/>
  <c r="R1711" i="4"/>
  <c r="P1711" i="4"/>
  <c r="N1711" i="4"/>
  <c r="L1711" i="4"/>
  <c r="K1711" i="4"/>
  <c r="J1711" i="4"/>
  <c r="I1711" i="4"/>
  <c r="H1711" i="4"/>
  <c r="G1711" i="4"/>
  <c r="F1711" i="4"/>
  <c r="E1711" i="4"/>
  <c r="D1711" i="4"/>
  <c r="C1711" i="4"/>
  <c r="B1711" i="4"/>
  <c r="A1711" i="4"/>
  <c r="R1710" i="4"/>
  <c r="P1710" i="4"/>
  <c r="N1710" i="4"/>
  <c r="L1710" i="4"/>
  <c r="K1710" i="4"/>
  <c r="J1710" i="4"/>
  <c r="I1710" i="4"/>
  <c r="H1710" i="4"/>
  <c r="G1710" i="4"/>
  <c r="F1710" i="4"/>
  <c r="E1710" i="4"/>
  <c r="D1710" i="4"/>
  <c r="C1710" i="4"/>
  <c r="B1710" i="4"/>
  <c r="A1710" i="4"/>
  <c r="R1709" i="4"/>
  <c r="P1709" i="4"/>
  <c r="N1709" i="4"/>
  <c r="L1709" i="4"/>
  <c r="K1709" i="4"/>
  <c r="J1709" i="4"/>
  <c r="I1709" i="4"/>
  <c r="H1709" i="4"/>
  <c r="G1709" i="4"/>
  <c r="F1709" i="4"/>
  <c r="E1709" i="4"/>
  <c r="D1709" i="4"/>
  <c r="C1709" i="4"/>
  <c r="B1709" i="4"/>
  <c r="A1709" i="4"/>
  <c r="R1708" i="4"/>
  <c r="P1708" i="4"/>
  <c r="N1708" i="4"/>
  <c r="L1708" i="4"/>
  <c r="K1708" i="4"/>
  <c r="J1708" i="4"/>
  <c r="I1708" i="4"/>
  <c r="H1708" i="4"/>
  <c r="G1708" i="4"/>
  <c r="F1708" i="4"/>
  <c r="E1708" i="4"/>
  <c r="D1708" i="4"/>
  <c r="C1708" i="4"/>
  <c r="B1708" i="4"/>
  <c r="A1708" i="4"/>
  <c r="R1707" i="4"/>
  <c r="P1707" i="4"/>
  <c r="N1707" i="4"/>
  <c r="L1707" i="4"/>
  <c r="K1707" i="4"/>
  <c r="J1707" i="4"/>
  <c r="I1707" i="4"/>
  <c r="H1707" i="4"/>
  <c r="G1707" i="4"/>
  <c r="F1707" i="4"/>
  <c r="E1707" i="4"/>
  <c r="D1707" i="4"/>
  <c r="C1707" i="4"/>
  <c r="B1707" i="4"/>
  <c r="A1707" i="4"/>
  <c r="R1706" i="4"/>
  <c r="P1706" i="4"/>
  <c r="N1706" i="4"/>
  <c r="L1706" i="4"/>
  <c r="K1706" i="4"/>
  <c r="J1706" i="4"/>
  <c r="I1706" i="4"/>
  <c r="H1706" i="4"/>
  <c r="G1706" i="4"/>
  <c r="F1706" i="4"/>
  <c r="E1706" i="4"/>
  <c r="D1706" i="4"/>
  <c r="C1706" i="4"/>
  <c r="B1706" i="4"/>
  <c r="A1706" i="4"/>
  <c r="R1705" i="4"/>
  <c r="P1705" i="4"/>
  <c r="N1705" i="4"/>
  <c r="L1705" i="4"/>
  <c r="K1705" i="4"/>
  <c r="J1705" i="4"/>
  <c r="I1705" i="4"/>
  <c r="H1705" i="4"/>
  <c r="G1705" i="4"/>
  <c r="F1705" i="4"/>
  <c r="E1705" i="4"/>
  <c r="D1705" i="4"/>
  <c r="C1705" i="4"/>
  <c r="B1705" i="4"/>
  <c r="A1705" i="4"/>
  <c r="R1704" i="4"/>
  <c r="P1704" i="4"/>
  <c r="N1704" i="4"/>
  <c r="L1704" i="4"/>
  <c r="K1704" i="4"/>
  <c r="J1704" i="4"/>
  <c r="I1704" i="4"/>
  <c r="H1704" i="4"/>
  <c r="G1704" i="4"/>
  <c r="F1704" i="4"/>
  <c r="E1704" i="4"/>
  <c r="D1704" i="4"/>
  <c r="C1704" i="4"/>
  <c r="B1704" i="4"/>
  <c r="A1704" i="4"/>
  <c r="R1703" i="4"/>
  <c r="P1703" i="4"/>
  <c r="N1703" i="4"/>
  <c r="L1703" i="4"/>
  <c r="K1703" i="4"/>
  <c r="J1703" i="4"/>
  <c r="I1703" i="4"/>
  <c r="H1703" i="4"/>
  <c r="G1703" i="4"/>
  <c r="F1703" i="4"/>
  <c r="E1703" i="4"/>
  <c r="D1703" i="4"/>
  <c r="C1703" i="4"/>
  <c r="B1703" i="4"/>
  <c r="A1703" i="4"/>
  <c r="R1702" i="4"/>
  <c r="P1702" i="4"/>
  <c r="N1702" i="4"/>
  <c r="L1702" i="4"/>
  <c r="K1702" i="4"/>
  <c r="J1702" i="4"/>
  <c r="I1702" i="4"/>
  <c r="H1702" i="4"/>
  <c r="G1702" i="4"/>
  <c r="F1702" i="4"/>
  <c r="E1702" i="4"/>
  <c r="D1702" i="4"/>
  <c r="C1702" i="4"/>
  <c r="B1702" i="4"/>
  <c r="A1702" i="4"/>
  <c r="R1701" i="4"/>
  <c r="P1701" i="4"/>
  <c r="N1701" i="4"/>
  <c r="L1701" i="4"/>
  <c r="K1701" i="4"/>
  <c r="J1701" i="4"/>
  <c r="I1701" i="4"/>
  <c r="H1701" i="4"/>
  <c r="G1701" i="4"/>
  <c r="F1701" i="4"/>
  <c r="E1701" i="4"/>
  <c r="D1701" i="4"/>
  <c r="C1701" i="4"/>
  <c r="B1701" i="4"/>
  <c r="A1701" i="4"/>
  <c r="R1700" i="4"/>
  <c r="P1700" i="4"/>
  <c r="N1700" i="4"/>
  <c r="L1700" i="4"/>
  <c r="K1700" i="4"/>
  <c r="J1700" i="4"/>
  <c r="I1700" i="4"/>
  <c r="H1700" i="4"/>
  <c r="G1700" i="4"/>
  <c r="F1700" i="4"/>
  <c r="E1700" i="4"/>
  <c r="D1700" i="4"/>
  <c r="C1700" i="4"/>
  <c r="B1700" i="4"/>
  <c r="A1700" i="4"/>
  <c r="R1699" i="4"/>
  <c r="P1699" i="4"/>
  <c r="N1699" i="4"/>
  <c r="L1699" i="4"/>
  <c r="K1699" i="4"/>
  <c r="J1699" i="4"/>
  <c r="I1699" i="4"/>
  <c r="H1699" i="4"/>
  <c r="G1699" i="4"/>
  <c r="F1699" i="4"/>
  <c r="E1699" i="4"/>
  <c r="D1699" i="4"/>
  <c r="C1699" i="4"/>
  <c r="B1699" i="4"/>
  <c r="A1699" i="4"/>
  <c r="R1698" i="4"/>
  <c r="P1698" i="4"/>
  <c r="N1698" i="4"/>
  <c r="L1698" i="4"/>
  <c r="K1698" i="4"/>
  <c r="J1698" i="4"/>
  <c r="I1698" i="4"/>
  <c r="H1698" i="4"/>
  <c r="G1698" i="4"/>
  <c r="F1698" i="4"/>
  <c r="E1698" i="4"/>
  <c r="D1698" i="4"/>
  <c r="C1698" i="4"/>
  <c r="B1698" i="4"/>
  <c r="A1698" i="4"/>
  <c r="R1697" i="4"/>
  <c r="P1697" i="4"/>
  <c r="N1697" i="4"/>
  <c r="L1697" i="4"/>
  <c r="K1697" i="4"/>
  <c r="J1697" i="4"/>
  <c r="I1697" i="4"/>
  <c r="H1697" i="4"/>
  <c r="G1697" i="4"/>
  <c r="F1697" i="4"/>
  <c r="E1697" i="4"/>
  <c r="D1697" i="4"/>
  <c r="C1697" i="4"/>
  <c r="B1697" i="4"/>
  <c r="A1697" i="4"/>
  <c r="R1696" i="4"/>
  <c r="P1696" i="4"/>
  <c r="N1696" i="4"/>
  <c r="L1696" i="4"/>
  <c r="K1696" i="4"/>
  <c r="J1696" i="4"/>
  <c r="I1696" i="4"/>
  <c r="H1696" i="4"/>
  <c r="G1696" i="4"/>
  <c r="F1696" i="4"/>
  <c r="E1696" i="4"/>
  <c r="D1696" i="4"/>
  <c r="C1696" i="4"/>
  <c r="B1696" i="4"/>
  <c r="A1696" i="4"/>
  <c r="R1695" i="4"/>
  <c r="P1695" i="4"/>
  <c r="N1695" i="4"/>
  <c r="L1695" i="4"/>
  <c r="K1695" i="4"/>
  <c r="J1695" i="4"/>
  <c r="I1695" i="4"/>
  <c r="H1695" i="4"/>
  <c r="G1695" i="4"/>
  <c r="F1695" i="4"/>
  <c r="E1695" i="4"/>
  <c r="D1695" i="4"/>
  <c r="C1695" i="4"/>
  <c r="B1695" i="4"/>
  <c r="A1695" i="4"/>
  <c r="R1694" i="4"/>
  <c r="P1694" i="4"/>
  <c r="N1694" i="4"/>
  <c r="L1694" i="4"/>
  <c r="K1694" i="4"/>
  <c r="J1694" i="4"/>
  <c r="I1694" i="4"/>
  <c r="H1694" i="4"/>
  <c r="G1694" i="4"/>
  <c r="F1694" i="4"/>
  <c r="E1694" i="4"/>
  <c r="D1694" i="4"/>
  <c r="C1694" i="4"/>
  <c r="B1694" i="4"/>
  <c r="A1694" i="4"/>
  <c r="R1693" i="4"/>
  <c r="P1693" i="4"/>
  <c r="N1693" i="4"/>
  <c r="L1693" i="4"/>
  <c r="K1693" i="4"/>
  <c r="J1693" i="4"/>
  <c r="I1693" i="4"/>
  <c r="H1693" i="4"/>
  <c r="G1693" i="4"/>
  <c r="F1693" i="4"/>
  <c r="E1693" i="4"/>
  <c r="D1693" i="4"/>
  <c r="C1693" i="4"/>
  <c r="B1693" i="4"/>
  <c r="A1693" i="4"/>
  <c r="R1692" i="4"/>
  <c r="P1692" i="4"/>
  <c r="N1692" i="4"/>
  <c r="L1692" i="4"/>
  <c r="K1692" i="4"/>
  <c r="J1692" i="4"/>
  <c r="I1692" i="4"/>
  <c r="H1692" i="4"/>
  <c r="G1692" i="4"/>
  <c r="F1692" i="4"/>
  <c r="E1692" i="4"/>
  <c r="D1692" i="4"/>
  <c r="C1692" i="4"/>
  <c r="B1692" i="4"/>
  <c r="A1692" i="4"/>
  <c r="R1691" i="4"/>
  <c r="P1691" i="4"/>
  <c r="N1691" i="4"/>
  <c r="L1691" i="4"/>
  <c r="K1691" i="4"/>
  <c r="J1691" i="4"/>
  <c r="I1691" i="4"/>
  <c r="H1691" i="4"/>
  <c r="G1691" i="4"/>
  <c r="F1691" i="4"/>
  <c r="E1691" i="4"/>
  <c r="D1691" i="4"/>
  <c r="C1691" i="4"/>
  <c r="B1691" i="4"/>
  <c r="A1691" i="4"/>
  <c r="R1690" i="4"/>
  <c r="P1690" i="4"/>
  <c r="N1690" i="4"/>
  <c r="L1690" i="4"/>
  <c r="K1690" i="4"/>
  <c r="J1690" i="4"/>
  <c r="I1690" i="4"/>
  <c r="H1690" i="4"/>
  <c r="G1690" i="4"/>
  <c r="F1690" i="4"/>
  <c r="E1690" i="4"/>
  <c r="D1690" i="4"/>
  <c r="C1690" i="4"/>
  <c r="B1690" i="4"/>
  <c r="A1690" i="4"/>
  <c r="R1689" i="4"/>
  <c r="P1689" i="4"/>
  <c r="N1689" i="4"/>
  <c r="L1689" i="4"/>
  <c r="K1689" i="4"/>
  <c r="J1689" i="4"/>
  <c r="I1689" i="4"/>
  <c r="H1689" i="4"/>
  <c r="G1689" i="4"/>
  <c r="F1689" i="4"/>
  <c r="E1689" i="4"/>
  <c r="D1689" i="4"/>
  <c r="C1689" i="4"/>
  <c r="B1689" i="4"/>
  <c r="A1689" i="4"/>
  <c r="R1688" i="4"/>
  <c r="P1688" i="4"/>
  <c r="N1688" i="4"/>
  <c r="L1688" i="4"/>
  <c r="K1688" i="4"/>
  <c r="J1688" i="4"/>
  <c r="I1688" i="4"/>
  <c r="H1688" i="4"/>
  <c r="G1688" i="4"/>
  <c r="F1688" i="4"/>
  <c r="E1688" i="4"/>
  <c r="D1688" i="4"/>
  <c r="C1688" i="4"/>
  <c r="B1688" i="4"/>
  <c r="A1688" i="4"/>
  <c r="R1687" i="4"/>
  <c r="P1687" i="4"/>
  <c r="N1687" i="4"/>
  <c r="L1687" i="4"/>
  <c r="K1687" i="4"/>
  <c r="J1687" i="4"/>
  <c r="I1687" i="4"/>
  <c r="H1687" i="4"/>
  <c r="G1687" i="4"/>
  <c r="F1687" i="4"/>
  <c r="E1687" i="4"/>
  <c r="D1687" i="4"/>
  <c r="C1687" i="4"/>
  <c r="B1687" i="4"/>
  <c r="A1687" i="4"/>
  <c r="R1686" i="4"/>
  <c r="P1686" i="4"/>
  <c r="N1686" i="4"/>
  <c r="L1686" i="4"/>
  <c r="K1686" i="4"/>
  <c r="J1686" i="4"/>
  <c r="I1686" i="4"/>
  <c r="H1686" i="4"/>
  <c r="G1686" i="4"/>
  <c r="F1686" i="4"/>
  <c r="E1686" i="4"/>
  <c r="D1686" i="4"/>
  <c r="C1686" i="4"/>
  <c r="B1686" i="4"/>
  <c r="A1686" i="4"/>
  <c r="R1685" i="4"/>
  <c r="P1685" i="4"/>
  <c r="N1685" i="4"/>
  <c r="L1685" i="4"/>
  <c r="K1685" i="4"/>
  <c r="J1685" i="4"/>
  <c r="I1685" i="4"/>
  <c r="H1685" i="4"/>
  <c r="G1685" i="4"/>
  <c r="F1685" i="4"/>
  <c r="E1685" i="4"/>
  <c r="D1685" i="4"/>
  <c r="C1685" i="4"/>
  <c r="B1685" i="4"/>
  <c r="A1685" i="4"/>
  <c r="R1684" i="4"/>
  <c r="P1684" i="4"/>
  <c r="N1684" i="4"/>
  <c r="L1684" i="4"/>
  <c r="K1684" i="4"/>
  <c r="J1684" i="4"/>
  <c r="I1684" i="4"/>
  <c r="H1684" i="4"/>
  <c r="G1684" i="4"/>
  <c r="F1684" i="4"/>
  <c r="E1684" i="4"/>
  <c r="D1684" i="4"/>
  <c r="C1684" i="4"/>
  <c r="B1684" i="4"/>
  <c r="A1684" i="4"/>
  <c r="R1683" i="4"/>
  <c r="P1683" i="4"/>
  <c r="N1683" i="4"/>
  <c r="L1683" i="4"/>
  <c r="K1683" i="4"/>
  <c r="J1683" i="4"/>
  <c r="I1683" i="4"/>
  <c r="H1683" i="4"/>
  <c r="G1683" i="4"/>
  <c r="F1683" i="4"/>
  <c r="E1683" i="4"/>
  <c r="D1683" i="4"/>
  <c r="C1683" i="4"/>
  <c r="B1683" i="4"/>
  <c r="A1683" i="4"/>
  <c r="R1682" i="4"/>
  <c r="P1682" i="4"/>
  <c r="N1682" i="4"/>
  <c r="L1682" i="4"/>
  <c r="K1682" i="4"/>
  <c r="J1682" i="4"/>
  <c r="I1682" i="4"/>
  <c r="H1682" i="4"/>
  <c r="G1682" i="4"/>
  <c r="F1682" i="4"/>
  <c r="E1682" i="4"/>
  <c r="D1682" i="4"/>
  <c r="C1682" i="4"/>
  <c r="B1682" i="4"/>
  <c r="A1682" i="4"/>
  <c r="R1681" i="4"/>
  <c r="P1681" i="4"/>
  <c r="N1681" i="4"/>
  <c r="L1681" i="4"/>
  <c r="K1681" i="4"/>
  <c r="J1681" i="4"/>
  <c r="I1681" i="4"/>
  <c r="H1681" i="4"/>
  <c r="G1681" i="4"/>
  <c r="F1681" i="4"/>
  <c r="E1681" i="4"/>
  <c r="D1681" i="4"/>
  <c r="C1681" i="4"/>
  <c r="B1681" i="4"/>
  <c r="A1681" i="4"/>
  <c r="R1680" i="4"/>
  <c r="P1680" i="4"/>
  <c r="N1680" i="4"/>
  <c r="L1680" i="4"/>
  <c r="K1680" i="4"/>
  <c r="J1680" i="4"/>
  <c r="I1680" i="4"/>
  <c r="H1680" i="4"/>
  <c r="G1680" i="4"/>
  <c r="F1680" i="4"/>
  <c r="E1680" i="4"/>
  <c r="D1680" i="4"/>
  <c r="C1680" i="4"/>
  <c r="B1680" i="4"/>
  <c r="A1680" i="4"/>
  <c r="R1679" i="4"/>
  <c r="P1679" i="4"/>
  <c r="N1679" i="4"/>
  <c r="L1679" i="4"/>
  <c r="K1679" i="4"/>
  <c r="J1679" i="4"/>
  <c r="I1679" i="4"/>
  <c r="H1679" i="4"/>
  <c r="G1679" i="4"/>
  <c r="F1679" i="4"/>
  <c r="E1679" i="4"/>
  <c r="D1679" i="4"/>
  <c r="C1679" i="4"/>
  <c r="B1679" i="4"/>
  <c r="A1679" i="4"/>
  <c r="R1678" i="4"/>
  <c r="P1678" i="4"/>
  <c r="N1678" i="4"/>
  <c r="L1678" i="4"/>
  <c r="K1678" i="4"/>
  <c r="J1678" i="4"/>
  <c r="I1678" i="4"/>
  <c r="H1678" i="4"/>
  <c r="G1678" i="4"/>
  <c r="F1678" i="4"/>
  <c r="E1678" i="4"/>
  <c r="D1678" i="4"/>
  <c r="C1678" i="4"/>
  <c r="B1678" i="4"/>
  <c r="A1678" i="4"/>
  <c r="R1677" i="4"/>
  <c r="P1677" i="4"/>
  <c r="N1677" i="4"/>
  <c r="L1677" i="4"/>
  <c r="K1677" i="4"/>
  <c r="J1677" i="4"/>
  <c r="I1677" i="4"/>
  <c r="H1677" i="4"/>
  <c r="G1677" i="4"/>
  <c r="F1677" i="4"/>
  <c r="E1677" i="4"/>
  <c r="D1677" i="4"/>
  <c r="C1677" i="4"/>
  <c r="B1677" i="4"/>
  <c r="A1677" i="4"/>
  <c r="R1676" i="4"/>
  <c r="P1676" i="4"/>
  <c r="N1676" i="4"/>
  <c r="L1676" i="4"/>
  <c r="K1676" i="4"/>
  <c r="J1676" i="4"/>
  <c r="I1676" i="4"/>
  <c r="H1676" i="4"/>
  <c r="G1676" i="4"/>
  <c r="F1676" i="4"/>
  <c r="E1676" i="4"/>
  <c r="D1676" i="4"/>
  <c r="C1676" i="4"/>
  <c r="B1676" i="4"/>
  <c r="A1676" i="4"/>
  <c r="R1675" i="4"/>
  <c r="P1675" i="4"/>
  <c r="N1675" i="4"/>
  <c r="L1675" i="4"/>
  <c r="K1675" i="4"/>
  <c r="J1675" i="4"/>
  <c r="I1675" i="4"/>
  <c r="H1675" i="4"/>
  <c r="G1675" i="4"/>
  <c r="F1675" i="4"/>
  <c r="E1675" i="4"/>
  <c r="D1675" i="4"/>
  <c r="C1675" i="4"/>
  <c r="B1675" i="4"/>
  <c r="A1675" i="4"/>
  <c r="R1674" i="4"/>
  <c r="P1674" i="4"/>
  <c r="N1674" i="4"/>
  <c r="L1674" i="4"/>
  <c r="K1674" i="4"/>
  <c r="J1674" i="4"/>
  <c r="I1674" i="4"/>
  <c r="H1674" i="4"/>
  <c r="G1674" i="4"/>
  <c r="F1674" i="4"/>
  <c r="E1674" i="4"/>
  <c r="D1674" i="4"/>
  <c r="C1674" i="4"/>
  <c r="B1674" i="4"/>
  <c r="A1674" i="4"/>
  <c r="R1673" i="4"/>
  <c r="P1673" i="4"/>
  <c r="N1673" i="4"/>
  <c r="L1673" i="4"/>
  <c r="K1673" i="4"/>
  <c r="J1673" i="4"/>
  <c r="I1673" i="4"/>
  <c r="H1673" i="4"/>
  <c r="G1673" i="4"/>
  <c r="F1673" i="4"/>
  <c r="E1673" i="4"/>
  <c r="D1673" i="4"/>
  <c r="C1673" i="4"/>
  <c r="B1673" i="4"/>
  <c r="A1673" i="4"/>
  <c r="R1672" i="4"/>
  <c r="P1672" i="4"/>
  <c r="N1672" i="4"/>
  <c r="L1672" i="4"/>
  <c r="K1672" i="4"/>
  <c r="J1672" i="4"/>
  <c r="I1672" i="4"/>
  <c r="H1672" i="4"/>
  <c r="G1672" i="4"/>
  <c r="F1672" i="4"/>
  <c r="E1672" i="4"/>
  <c r="D1672" i="4"/>
  <c r="C1672" i="4"/>
  <c r="B1672" i="4"/>
  <c r="A1672" i="4"/>
  <c r="R1671" i="4"/>
  <c r="P1671" i="4"/>
  <c r="N1671" i="4"/>
  <c r="L1671" i="4"/>
  <c r="K1671" i="4"/>
  <c r="J1671" i="4"/>
  <c r="I1671" i="4"/>
  <c r="H1671" i="4"/>
  <c r="G1671" i="4"/>
  <c r="F1671" i="4"/>
  <c r="E1671" i="4"/>
  <c r="D1671" i="4"/>
  <c r="C1671" i="4"/>
  <c r="B1671" i="4"/>
  <c r="A1671" i="4"/>
  <c r="R1670" i="4"/>
  <c r="P1670" i="4"/>
  <c r="N1670" i="4"/>
  <c r="L1670" i="4"/>
  <c r="K1670" i="4"/>
  <c r="J1670" i="4"/>
  <c r="I1670" i="4"/>
  <c r="H1670" i="4"/>
  <c r="G1670" i="4"/>
  <c r="F1670" i="4"/>
  <c r="E1670" i="4"/>
  <c r="D1670" i="4"/>
  <c r="C1670" i="4"/>
  <c r="B1670" i="4"/>
  <c r="A1670" i="4"/>
  <c r="R1669" i="4"/>
  <c r="P1669" i="4"/>
  <c r="N1669" i="4"/>
  <c r="L1669" i="4"/>
  <c r="K1669" i="4"/>
  <c r="J1669" i="4"/>
  <c r="I1669" i="4"/>
  <c r="H1669" i="4"/>
  <c r="G1669" i="4"/>
  <c r="F1669" i="4"/>
  <c r="E1669" i="4"/>
  <c r="D1669" i="4"/>
  <c r="C1669" i="4"/>
  <c r="B1669" i="4"/>
  <c r="A1669" i="4"/>
  <c r="R1668" i="4"/>
  <c r="P1668" i="4"/>
  <c r="N1668" i="4"/>
  <c r="L1668" i="4"/>
  <c r="K1668" i="4"/>
  <c r="J1668" i="4"/>
  <c r="I1668" i="4"/>
  <c r="H1668" i="4"/>
  <c r="G1668" i="4"/>
  <c r="F1668" i="4"/>
  <c r="E1668" i="4"/>
  <c r="D1668" i="4"/>
  <c r="C1668" i="4"/>
  <c r="B1668" i="4"/>
  <c r="A1668" i="4"/>
  <c r="R1667" i="4"/>
  <c r="P1667" i="4"/>
  <c r="N1667" i="4"/>
  <c r="L1667" i="4"/>
  <c r="K1667" i="4"/>
  <c r="J1667" i="4"/>
  <c r="I1667" i="4"/>
  <c r="H1667" i="4"/>
  <c r="G1667" i="4"/>
  <c r="F1667" i="4"/>
  <c r="E1667" i="4"/>
  <c r="D1667" i="4"/>
  <c r="C1667" i="4"/>
  <c r="B1667" i="4"/>
  <c r="A1667" i="4"/>
  <c r="R1666" i="4"/>
  <c r="P1666" i="4"/>
  <c r="N1666" i="4"/>
  <c r="L1666" i="4"/>
  <c r="K1666" i="4"/>
  <c r="J1666" i="4"/>
  <c r="I1666" i="4"/>
  <c r="H1666" i="4"/>
  <c r="G1666" i="4"/>
  <c r="F1666" i="4"/>
  <c r="E1666" i="4"/>
  <c r="D1666" i="4"/>
  <c r="C1666" i="4"/>
  <c r="B1666" i="4"/>
  <c r="A1666" i="4"/>
  <c r="R1665" i="4"/>
  <c r="P1665" i="4"/>
  <c r="N1665" i="4"/>
  <c r="L1665" i="4"/>
  <c r="K1665" i="4"/>
  <c r="J1665" i="4"/>
  <c r="I1665" i="4"/>
  <c r="H1665" i="4"/>
  <c r="G1665" i="4"/>
  <c r="F1665" i="4"/>
  <c r="E1665" i="4"/>
  <c r="D1665" i="4"/>
  <c r="C1665" i="4"/>
  <c r="B1665" i="4"/>
  <c r="A1665" i="4"/>
  <c r="R1664" i="4"/>
  <c r="P1664" i="4"/>
  <c r="N1664" i="4"/>
  <c r="L1664" i="4"/>
  <c r="K1664" i="4"/>
  <c r="J1664" i="4"/>
  <c r="I1664" i="4"/>
  <c r="H1664" i="4"/>
  <c r="G1664" i="4"/>
  <c r="F1664" i="4"/>
  <c r="E1664" i="4"/>
  <c r="D1664" i="4"/>
  <c r="C1664" i="4"/>
  <c r="B1664" i="4"/>
  <c r="A1664" i="4"/>
  <c r="R1663" i="4"/>
  <c r="P1663" i="4"/>
  <c r="N1663" i="4"/>
  <c r="L1663" i="4"/>
  <c r="K1663" i="4"/>
  <c r="J1663" i="4"/>
  <c r="I1663" i="4"/>
  <c r="H1663" i="4"/>
  <c r="G1663" i="4"/>
  <c r="F1663" i="4"/>
  <c r="E1663" i="4"/>
  <c r="D1663" i="4"/>
  <c r="C1663" i="4"/>
  <c r="B1663" i="4"/>
  <c r="A1663" i="4"/>
  <c r="R1662" i="4"/>
  <c r="P1662" i="4"/>
  <c r="N1662" i="4"/>
  <c r="L1662" i="4"/>
  <c r="K1662" i="4"/>
  <c r="J1662" i="4"/>
  <c r="I1662" i="4"/>
  <c r="H1662" i="4"/>
  <c r="G1662" i="4"/>
  <c r="F1662" i="4"/>
  <c r="E1662" i="4"/>
  <c r="D1662" i="4"/>
  <c r="C1662" i="4"/>
  <c r="B1662" i="4"/>
  <c r="A1662" i="4"/>
  <c r="R1661" i="4"/>
  <c r="P1661" i="4"/>
  <c r="N1661" i="4"/>
  <c r="L1661" i="4"/>
  <c r="K1661" i="4"/>
  <c r="J1661" i="4"/>
  <c r="I1661" i="4"/>
  <c r="H1661" i="4"/>
  <c r="G1661" i="4"/>
  <c r="F1661" i="4"/>
  <c r="E1661" i="4"/>
  <c r="D1661" i="4"/>
  <c r="C1661" i="4"/>
  <c r="B1661" i="4"/>
  <c r="A1661" i="4"/>
  <c r="R1660" i="4"/>
  <c r="P1660" i="4"/>
  <c r="N1660" i="4"/>
  <c r="L1660" i="4"/>
  <c r="K1660" i="4"/>
  <c r="J1660" i="4"/>
  <c r="I1660" i="4"/>
  <c r="H1660" i="4"/>
  <c r="G1660" i="4"/>
  <c r="F1660" i="4"/>
  <c r="E1660" i="4"/>
  <c r="D1660" i="4"/>
  <c r="C1660" i="4"/>
  <c r="B1660" i="4"/>
  <c r="A1660" i="4"/>
  <c r="R1659" i="4"/>
  <c r="P1659" i="4"/>
  <c r="N1659" i="4"/>
  <c r="L1659" i="4"/>
  <c r="K1659" i="4"/>
  <c r="J1659" i="4"/>
  <c r="I1659" i="4"/>
  <c r="H1659" i="4"/>
  <c r="G1659" i="4"/>
  <c r="F1659" i="4"/>
  <c r="E1659" i="4"/>
  <c r="D1659" i="4"/>
  <c r="C1659" i="4"/>
  <c r="B1659" i="4"/>
  <c r="A1659" i="4"/>
  <c r="R1658" i="4"/>
  <c r="P1658" i="4"/>
  <c r="N1658" i="4"/>
  <c r="L1658" i="4"/>
  <c r="K1658" i="4"/>
  <c r="J1658" i="4"/>
  <c r="I1658" i="4"/>
  <c r="H1658" i="4"/>
  <c r="G1658" i="4"/>
  <c r="F1658" i="4"/>
  <c r="E1658" i="4"/>
  <c r="D1658" i="4"/>
  <c r="C1658" i="4"/>
  <c r="B1658" i="4"/>
  <c r="A1658" i="4"/>
  <c r="R1657" i="4"/>
  <c r="P1657" i="4"/>
  <c r="N1657" i="4"/>
  <c r="L1657" i="4"/>
  <c r="K1657" i="4"/>
  <c r="J1657" i="4"/>
  <c r="I1657" i="4"/>
  <c r="H1657" i="4"/>
  <c r="G1657" i="4"/>
  <c r="F1657" i="4"/>
  <c r="E1657" i="4"/>
  <c r="D1657" i="4"/>
  <c r="C1657" i="4"/>
  <c r="B1657" i="4"/>
  <c r="A1657" i="4"/>
  <c r="R1656" i="4"/>
  <c r="P1656" i="4"/>
  <c r="N1656" i="4"/>
  <c r="L1656" i="4"/>
  <c r="K1656" i="4"/>
  <c r="J1656" i="4"/>
  <c r="I1656" i="4"/>
  <c r="H1656" i="4"/>
  <c r="G1656" i="4"/>
  <c r="F1656" i="4"/>
  <c r="E1656" i="4"/>
  <c r="D1656" i="4"/>
  <c r="C1656" i="4"/>
  <c r="B1656" i="4"/>
  <c r="A1656" i="4"/>
  <c r="R1655" i="4"/>
  <c r="P1655" i="4"/>
  <c r="N1655" i="4"/>
  <c r="L1655" i="4"/>
  <c r="K1655" i="4"/>
  <c r="J1655" i="4"/>
  <c r="I1655" i="4"/>
  <c r="H1655" i="4"/>
  <c r="G1655" i="4"/>
  <c r="F1655" i="4"/>
  <c r="E1655" i="4"/>
  <c r="D1655" i="4"/>
  <c r="C1655" i="4"/>
  <c r="B1655" i="4"/>
  <c r="A1655" i="4"/>
  <c r="R1654" i="4"/>
  <c r="P1654" i="4"/>
  <c r="N1654" i="4"/>
  <c r="L1654" i="4"/>
  <c r="K1654" i="4"/>
  <c r="J1654" i="4"/>
  <c r="I1654" i="4"/>
  <c r="H1654" i="4"/>
  <c r="G1654" i="4"/>
  <c r="F1654" i="4"/>
  <c r="E1654" i="4"/>
  <c r="D1654" i="4"/>
  <c r="C1654" i="4"/>
  <c r="B1654" i="4"/>
  <c r="A1654" i="4"/>
  <c r="R1653" i="4"/>
  <c r="P1653" i="4"/>
  <c r="N1653" i="4"/>
  <c r="L1653" i="4"/>
  <c r="K1653" i="4"/>
  <c r="J1653" i="4"/>
  <c r="I1653" i="4"/>
  <c r="H1653" i="4"/>
  <c r="G1653" i="4"/>
  <c r="F1653" i="4"/>
  <c r="E1653" i="4"/>
  <c r="D1653" i="4"/>
  <c r="C1653" i="4"/>
  <c r="B1653" i="4"/>
  <c r="A1653" i="4"/>
  <c r="R1652" i="4"/>
  <c r="P1652" i="4"/>
  <c r="N1652" i="4"/>
  <c r="L1652" i="4"/>
  <c r="K1652" i="4"/>
  <c r="J1652" i="4"/>
  <c r="I1652" i="4"/>
  <c r="H1652" i="4"/>
  <c r="G1652" i="4"/>
  <c r="F1652" i="4"/>
  <c r="E1652" i="4"/>
  <c r="D1652" i="4"/>
  <c r="C1652" i="4"/>
  <c r="B1652" i="4"/>
  <c r="A1652" i="4"/>
  <c r="R1651" i="4"/>
  <c r="P1651" i="4"/>
  <c r="N1651" i="4"/>
  <c r="L1651" i="4"/>
  <c r="K1651" i="4"/>
  <c r="J1651" i="4"/>
  <c r="I1651" i="4"/>
  <c r="H1651" i="4"/>
  <c r="G1651" i="4"/>
  <c r="F1651" i="4"/>
  <c r="E1651" i="4"/>
  <c r="D1651" i="4"/>
  <c r="C1651" i="4"/>
  <c r="B1651" i="4"/>
  <c r="A1651" i="4"/>
  <c r="R1650" i="4"/>
  <c r="P1650" i="4"/>
  <c r="N1650" i="4"/>
  <c r="L1650" i="4"/>
  <c r="K1650" i="4"/>
  <c r="J1650" i="4"/>
  <c r="I1650" i="4"/>
  <c r="H1650" i="4"/>
  <c r="G1650" i="4"/>
  <c r="F1650" i="4"/>
  <c r="E1650" i="4"/>
  <c r="D1650" i="4"/>
  <c r="C1650" i="4"/>
  <c r="B1650" i="4"/>
  <c r="A1650" i="4"/>
  <c r="R1649" i="4"/>
  <c r="P1649" i="4"/>
  <c r="N1649" i="4"/>
  <c r="L1649" i="4"/>
  <c r="K1649" i="4"/>
  <c r="J1649" i="4"/>
  <c r="I1649" i="4"/>
  <c r="H1649" i="4"/>
  <c r="G1649" i="4"/>
  <c r="F1649" i="4"/>
  <c r="E1649" i="4"/>
  <c r="D1649" i="4"/>
  <c r="C1649" i="4"/>
  <c r="B1649" i="4"/>
  <c r="A1649" i="4"/>
  <c r="R1648" i="4"/>
  <c r="P1648" i="4"/>
  <c r="N1648" i="4"/>
  <c r="L1648" i="4"/>
  <c r="K1648" i="4"/>
  <c r="J1648" i="4"/>
  <c r="I1648" i="4"/>
  <c r="H1648" i="4"/>
  <c r="G1648" i="4"/>
  <c r="F1648" i="4"/>
  <c r="E1648" i="4"/>
  <c r="D1648" i="4"/>
  <c r="C1648" i="4"/>
  <c r="B1648" i="4"/>
  <c r="A1648" i="4"/>
  <c r="R1647" i="4"/>
  <c r="P1647" i="4"/>
  <c r="N1647" i="4"/>
  <c r="L1647" i="4"/>
  <c r="K1647" i="4"/>
  <c r="J1647" i="4"/>
  <c r="I1647" i="4"/>
  <c r="H1647" i="4"/>
  <c r="G1647" i="4"/>
  <c r="F1647" i="4"/>
  <c r="E1647" i="4"/>
  <c r="D1647" i="4"/>
  <c r="C1647" i="4"/>
  <c r="B1647" i="4"/>
  <c r="A1647" i="4"/>
  <c r="R1646" i="4"/>
  <c r="P1646" i="4"/>
  <c r="N1646" i="4"/>
  <c r="L1646" i="4"/>
  <c r="K1646" i="4"/>
  <c r="J1646" i="4"/>
  <c r="I1646" i="4"/>
  <c r="H1646" i="4"/>
  <c r="G1646" i="4"/>
  <c r="F1646" i="4"/>
  <c r="E1646" i="4"/>
  <c r="D1646" i="4"/>
  <c r="C1646" i="4"/>
  <c r="B1646" i="4"/>
  <c r="A1646" i="4"/>
  <c r="R1645" i="4"/>
  <c r="P1645" i="4"/>
  <c r="N1645" i="4"/>
  <c r="L1645" i="4"/>
  <c r="K1645" i="4"/>
  <c r="J1645" i="4"/>
  <c r="I1645" i="4"/>
  <c r="H1645" i="4"/>
  <c r="G1645" i="4"/>
  <c r="F1645" i="4"/>
  <c r="E1645" i="4"/>
  <c r="D1645" i="4"/>
  <c r="C1645" i="4"/>
  <c r="B1645" i="4"/>
  <c r="A1645" i="4"/>
  <c r="R1644" i="4"/>
  <c r="P1644" i="4"/>
  <c r="N1644" i="4"/>
  <c r="L1644" i="4"/>
  <c r="K1644" i="4"/>
  <c r="J1644" i="4"/>
  <c r="I1644" i="4"/>
  <c r="H1644" i="4"/>
  <c r="G1644" i="4"/>
  <c r="F1644" i="4"/>
  <c r="E1644" i="4"/>
  <c r="D1644" i="4"/>
  <c r="C1644" i="4"/>
  <c r="B1644" i="4"/>
  <c r="A1644" i="4"/>
  <c r="R1643" i="4"/>
  <c r="P1643" i="4"/>
  <c r="N1643" i="4"/>
  <c r="L1643" i="4"/>
  <c r="K1643" i="4"/>
  <c r="J1643" i="4"/>
  <c r="I1643" i="4"/>
  <c r="H1643" i="4"/>
  <c r="G1643" i="4"/>
  <c r="F1643" i="4"/>
  <c r="E1643" i="4"/>
  <c r="D1643" i="4"/>
  <c r="C1643" i="4"/>
  <c r="B1643" i="4"/>
  <c r="A1643" i="4"/>
  <c r="R1642" i="4"/>
  <c r="P1642" i="4"/>
  <c r="N1642" i="4"/>
  <c r="L1642" i="4"/>
  <c r="K1642" i="4"/>
  <c r="J1642" i="4"/>
  <c r="I1642" i="4"/>
  <c r="H1642" i="4"/>
  <c r="G1642" i="4"/>
  <c r="F1642" i="4"/>
  <c r="E1642" i="4"/>
  <c r="D1642" i="4"/>
  <c r="C1642" i="4"/>
  <c r="B1642" i="4"/>
  <c r="A1642" i="4"/>
  <c r="R1641" i="4"/>
  <c r="P1641" i="4"/>
  <c r="N1641" i="4"/>
  <c r="L1641" i="4"/>
  <c r="K1641" i="4"/>
  <c r="J1641" i="4"/>
  <c r="I1641" i="4"/>
  <c r="H1641" i="4"/>
  <c r="G1641" i="4"/>
  <c r="F1641" i="4"/>
  <c r="E1641" i="4"/>
  <c r="D1641" i="4"/>
  <c r="C1641" i="4"/>
  <c r="B1641" i="4"/>
  <c r="A1641" i="4"/>
  <c r="R1640" i="4"/>
  <c r="P1640" i="4"/>
  <c r="N1640" i="4"/>
  <c r="L1640" i="4"/>
  <c r="K1640" i="4"/>
  <c r="J1640" i="4"/>
  <c r="I1640" i="4"/>
  <c r="H1640" i="4"/>
  <c r="G1640" i="4"/>
  <c r="F1640" i="4"/>
  <c r="E1640" i="4"/>
  <c r="D1640" i="4"/>
  <c r="C1640" i="4"/>
  <c r="B1640" i="4"/>
  <c r="A1640" i="4"/>
  <c r="R1639" i="4"/>
  <c r="P1639" i="4"/>
  <c r="N1639" i="4"/>
  <c r="L1639" i="4"/>
  <c r="K1639" i="4"/>
  <c r="J1639" i="4"/>
  <c r="I1639" i="4"/>
  <c r="H1639" i="4"/>
  <c r="G1639" i="4"/>
  <c r="F1639" i="4"/>
  <c r="E1639" i="4"/>
  <c r="D1639" i="4"/>
  <c r="C1639" i="4"/>
  <c r="B1639" i="4"/>
  <c r="A1639" i="4"/>
  <c r="R1638" i="4"/>
  <c r="P1638" i="4"/>
  <c r="N1638" i="4"/>
  <c r="L1638" i="4"/>
  <c r="K1638" i="4"/>
  <c r="J1638" i="4"/>
  <c r="I1638" i="4"/>
  <c r="H1638" i="4"/>
  <c r="G1638" i="4"/>
  <c r="F1638" i="4"/>
  <c r="E1638" i="4"/>
  <c r="D1638" i="4"/>
  <c r="C1638" i="4"/>
  <c r="B1638" i="4"/>
  <c r="A1638" i="4"/>
  <c r="R1637" i="4"/>
  <c r="P1637" i="4"/>
  <c r="N1637" i="4"/>
  <c r="L1637" i="4"/>
  <c r="K1637" i="4"/>
  <c r="J1637" i="4"/>
  <c r="I1637" i="4"/>
  <c r="H1637" i="4"/>
  <c r="G1637" i="4"/>
  <c r="F1637" i="4"/>
  <c r="E1637" i="4"/>
  <c r="D1637" i="4"/>
  <c r="C1637" i="4"/>
  <c r="B1637" i="4"/>
  <c r="A1637" i="4"/>
  <c r="R1636" i="4"/>
  <c r="P1636" i="4"/>
  <c r="N1636" i="4"/>
  <c r="L1636" i="4"/>
  <c r="K1636" i="4"/>
  <c r="J1636" i="4"/>
  <c r="I1636" i="4"/>
  <c r="H1636" i="4"/>
  <c r="G1636" i="4"/>
  <c r="F1636" i="4"/>
  <c r="E1636" i="4"/>
  <c r="D1636" i="4"/>
  <c r="C1636" i="4"/>
  <c r="B1636" i="4"/>
  <c r="A1636" i="4"/>
  <c r="R1635" i="4"/>
  <c r="P1635" i="4"/>
  <c r="N1635" i="4"/>
  <c r="L1635" i="4"/>
  <c r="K1635" i="4"/>
  <c r="J1635" i="4"/>
  <c r="I1635" i="4"/>
  <c r="H1635" i="4"/>
  <c r="G1635" i="4"/>
  <c r="F1635" i="4"/>
  <c r="E1635" i="4"/>
  <c r="D1635" i="4"/>
  <c r="C1635" i="4"/>
  <c r="B1635" i="4"/>
  <c r="A1635" i="4"/>
  <c r="R1634" i="4"/>
  <c r="P1634" i="4"/>
  <c r="N1634" i="4"/>
  <c r="L1634" i="4"/>
  <c r="K1634" i="4"/>
  <c r="J1634" i="4"/>
  <c r="I1634" i="4"/>
  <c r="H1634" i="4"/>
  <c r="G1634" i="4"/>
  <c r="F1634" i="4"/>
  <c r="E1634" i="4"/>
  <c r="D1634" i="4"/>
  <c r="C1634" i="4"/>
  <c r="B1634" i="4"/>
  <c r="A1634" i="4"/>
  <c r="R1633" i="4"/>
  <c r="P1633" i="4"/>
  <c r="N1633" i="4"/>
  <c r="L1633" i="4"/>
  <c r="K1633" i="4"/>
  <c r="J1633" i="4"/>
  <c r="I1633" i="4"/>
  <c r="H1633" i="4"/>
  <c r="G1633" i="4"/>
  <c r="F1633" i="4"/>
  <c r="E1633" i="4"/>
  <c r="D1633" i="4"/>
  <c r="C1633" i="4"/>
  <c r="B1633" i="4"/>
  <c r="A1633" i="4"/>
  <c r="R1632" i="4"/>
  <c r="P1632" i="4"/>
  <c r="N1632" i="4"/>
  <c r="L1632" i="4"/>
  <c r="K1632" i="4"/>
  <c r="J1632" i="4"/>
  <c r="I1632" i="4"/>
  <c r="H1632" i="4"/>
  <c r="G1632" i="4"/>
  <c r="F1632" i="4"/>
  <c r="E1632" i="4"/>
  <c r="D1632" i="4"/>
  <c r="C1632" i="4"/>
  <c r="B1632" i="4"/>
  <c r="A1632" i="4"/>
  <c r="R1631" i="4"/>
  <c r="P1631" i="4"/>
  <c r="N1631" i="4"/>
  <c r="L1631" i="4"/>
  <c r="K1631" i="4"/>
  <c r="J1631" i="4"/>
  <c r="I1631" i="4"/>
  <c r="H1631" i="4"/>
  <c r="G1631" i="4"/>
  <c r="F1631" i="4"/>
  <c r="E1631" i="4"/>
  <c r="D1631" i="4"/>
  <c r="C1631" i="4"/>
  <c r="B1631" i="4"/>
  <c r="A1631" i="4"/>
  <c r="R1630" i="4"/>
  <c r="P1630" i="4"/>
  <c r="N1630" i="4"/>
  <c r="L1630" i="4"/>
  <c r="K1630" i="4"/>
  <c r="J1630" i="4"/>
  <c r="I1630" i="4"/>
  <c r="H1630" i="4"/>
  <c r="G1630" i="4"/>
  <c r="F1630" i="4"/>
  <c r="E1630" i="4"/>
  <c r="D1630" i="4"/>
  <c r="C1630" i="4"/>
  <c r="B1630" i="4"/>
  <c r="A1630" i="4"/>
  <c r="R1629" i="4"/>
  <c r="P1629" i="4"/>
  <c r="N1629" i="4"/>
  <c r="L1629" i="4"/>
  <c r="K1629" i="4"/>
  <c r="J1629" i="4"/>
  <c r="I1629" i="4"/>
  <c r="H1629" i="4"/>
  <c r="G1629" i="4"/>
  <c r="F1629" i="4"/>
  <c r="E1629" i="4"/>
  <c r="D1629" i="4"/>
  <c r="C1629" i="4"/>
  <c r="B1629" i="4"/>
  <c r="A1629" i="4"/>
  <c r="R1628" i="4"/>
  <c r="P1628" i="4"/>
  <c r="N1628" i="4"/>
  <c r="L1628" i="4"/>
  <c r="K1628" i="4"/>
  <c r="J1628" i="4"/>
  <c r="I1628" i="4"/>
  <c r="H1628" i="4"/>
  <c r="G1628" i="4"/>
  <c r="F1628" i="4"/>
  <c r="E1628" i="4"/>
  <c r="D1628" i="4"/>
  <c r="C1628" i="4"/>
  <c r="B1628" i="4"/>
  <c r="A1628" i="4"/>
  <c r="R1627" i="4"/>
  <c r="P1627" i="4"/>
  <c r="N1627" i="4"/>
  <c r="L1627" i="4"/>
  <c r="K1627" i="4"/>
  <c r="J1627" i="4"/>
  <c r="I1627" i="4"/>
  <c r="H1627" i="4"/>
  <c r="G1627" i="4"/>
  <c r="F1627" i="4"/>
  <c r="E1627" i="4"/>
  <c r="D1627" i="4"/>
  <c r="C1627" i="4"/>
  <c r="B1627" i="4"/>
  <c r="A1627" i="4"/>
  <c r="R1626" i="4"/>
  <c r="P1626" i="4"/>
  <c r="N1626" i="4"/>
  <c r="L1626" i="4"/>
  <c r="K1626" i="4"/>
  <c r="J1626" i="4"/>
  <c r="I1626" i="4"/>
  <c r="H1626" i="4"/>
  <c r="G1626" i="4"/>
  <c r="F1626" i="4"/>
  <c r="E1626" i="4"/>
  <c r="D1626" i="4"/>
  <c r="C1626" i="4"/>
  <c r="B1626" i="4"/>
  <c r="A1626" i="4"/>
  <c r="R1625" i="4"/>
  <c r="P1625" i="4"/>
  <c r="N1625" i="4"/>
  <c r="L1625" i="4"/>
  <c r="K1625" i="4"/>
  <c r="J1625" i="4"/>
  <c r="I1625" i="4"/>
  <c r="H1625" i="4"/>
  <c r="G1625" i="4"/>
  <c r="F1625" i="4"/>
  <c r="E1625" i="4"/>
  <c r="D1625" i="4"/>
  <c r="C1625" i="4"/>
  <c r="B1625" i="4"/>
  <c r="A1625" i="4"/>
  <c r="R1624" i="4"/>
  <c r="P1624" i="4"/>
  <c r="N1624" i="4"/>
  <c r="L1624" i="4"/>
  <c r="K1624" i="4"/>
  <c r="J1624" i="4"/>
  <c r="I1624" i="4"/>
  <c r="H1624" i="4"/>
  <c r="G1624" i="4"/>
  <c r="F1624" i="4"/>
  <c r="E1624" i="4"/>
  <c r="D1624" i="4"/>
  <c r="C1624" i="4"/>
  <c r="B1624" i="4"/>
  <c r="A1624" i="4"/>
  <c r="R1623" i="4"/>
  <c r="P1623" i="4"/>
  <c r="N1623" i="4"/>
  <c r="L1623" i="4"/>
  <c r="K1623" i="4"/>
  <c r="J1623" i="4"/>
  <c r="I1623" i="4"/>
  <c r="H1623" i="4"/>
  <c r="G1623" i="4"/>
  <c r="F1623" i="4"/>
  <c r="E1623" i="4"/>
  <c r="D1623" i="4"/>
  <c r="C1623" i="4"/>
  <c r="B1623" i="4"/>
  <c r="A1623" i="4"/>
  <c r="R1622" i="4"/>
  <c r="P1622" i="4"/>
  <c r="N1622" i="4"/>
  <c r="L1622" i="4"/>
  <c r="K1622" i="4"/>
  <c r="J1622" i="4"/>
  <c r="I1622" i="4"/>
  <c r="H1622" i="4"/>
  <c r="G1622" i="4"/>
  <c r="F1622" i="4"/>
  <c r="E1622" i="4"/>
  <c r="D1622" i="4"/>
  <c r="C1622" i="4"/>
  <c r="B1622" i="4"/>
  <c r="A1622" i="4"/>
  <c r="R1621" i="4"/>
  <c r="P1621" i="4"/>
  <c r="N1621" i="4"/>
  <c r="L1621" i="4"/>
  <c r="K1621" i="4"/>
  <c r="J1621" i="4"/>
  <c r="I1621" i="4"/>
  <c r="H1621" i="4"/>
  <c r="G1621" i="4"/>
  <c r="F1621" i="4"/>
  <c r="E1621" i="4"/>
  <c r="D1621" i="4"/>
  <c r="C1621" i="4"/>
  <c r="B1621" i="4"/>
  <c r="A1621" i="4"/>
  <c r="R1620" i="4"/>
  <c r="P1620" i="4"/>
  <c r="N1620" i="4"/>
  <c r="L1620" i="4"/>
  <c r="K1620" i="4"/>
  <c r="J1620" i="4"/>
  <c r="I1620" i="4"/>
  <c r="H1620" i="4"/>
  <c r="G1620" i="4"/>
  <c r="F1620" i="4"/>
  <c r="E1620" i="4"/>
  <c r="D1620" i="4"/>
  <c r="C1620" i="4"/>
  <c r="B1620" i="4"/>
  <c r="A1620" i="4"/>
  <c r="R1619" i="4"/>
  <c r="P1619" i="4"/>
  <c r="N1619" i="4"/>
  <c r="L1619" i="4"/>
  <c r="K1619" i="4"/>
  <c r="J1619" i="4"/>
  <c r="I1619" i="4"/>
  <c r="H1619" i="4"/>
  <c r="G1619" i="4"/>
  <c r="F1619" i="4"/>
  <c r="E1619" i="4"/>
  <c r="D1619" i="4"/>
  <c r="C1619" i="4"/>
  <c r="B1619" i="4"/>
  <c r="A1619" i="4"/>
  <c r="R1618" i="4"/>
  <c r="P1618" i="4"/>
  <c r="N1618" i="4"/>
  <c r="L1618" i="4"/>
  <c r="K1618" i="4"/>
  <c r="J1618" i="4"/>
  <c r="I1618" i="4"/>
  <c r="H1618" i="4"/>
  <c r="G1618" i="4"/>
  <c r="F1618" i="4"/>
  <c r="E1618" i="4"/>
  <c r="D1618" i="4"/>
  <c r="C1618" i="4"/>
  <c r="B1618" i="4"/>
  <c r="A1618" i="4"/>
  <c r="R1617" i="4"/>
  <c r="P1617" i="4"/>
  <c r="N1617" i="4"/>
  <c r="L1617" i="4"/>
  <c r="K1617" i="4"/>
  <c r="J1617" i="4"/>
  <c r="I1617" i="4"/>
  <c r="H1617" i="4"/>
  <c r="G1617" i="4"/>
  <c r="F1617" i="4"/>
  <c r="E1617" i="4"/>
  <c r="D1617" i="4"/>
  <c r="C1617" i="4"/>
  <c r="B1617" i="4"/>
  <c r="A1617" i="4"/>
  <c r="R1616" i="4"/>
  <c r="P1616" i="4"/>
  <c r="N1616" i="4"/>
  <c r="L1616" i="4"/>
  <c r="K1616" i="4"/>
  <c r="J1616" i="4"/>
  <c r="I1616" i="4"/>
  <c r="H1616" i="4"/>
  <c r="G1616" i="4"/>
  <c r="F1616" i="4"/>
  <c r="E1616" i="4"/>
  <c r="D1616" i="4"/>
  <c r="C1616" i="4"/>
  <c r="B1616" i="4"/>
  <c r="A1616" i="4"/>
  <c r="R1615" i="4"/>
  <c r="P1615" i="4"/>
  <c r="N1615" i="4"/>
  <c r="L1615" i="4"/>
  <c r="K1615" i="4"/>
  <c r="J1615" i="4"/>
  <c r="I1615" i="4"/>
  <c r="H1615" i="4"/>
  <c r="G1615" i="4"/>
  <c r="F1615" i="4"/>
  <c r="E1615" i="4"/>
  <c r="D1615" i="4"/>
  <c r="C1615" i="4"/>
  <c r="B1615" i="4"/>
  <c r="A1615" i="4"/>
  <c r="R1614" i="4"/>
  <c r="P1614" i="4"/>
  <c r="N1614" i="4"/>
  <c r="L1614" i="4"/>
  <c r="K1614" i="4"/>
  <c r="J1614" i="4"/>
  <c r="I1614" i="4"/>
  <c r="H1614" i="4"/>
  <c r="G1614" i="4"/>
  <c r="F1614" i="4"/>
  <c r="E1614" i="4"/>
  <c r="D1614" i="4"/>
  <c r="C1614" i="4"/>
  <c r="B1614" i="4"/>
  <c r="A1614" i="4"/>
  <c r="R1613" i="4"/>
  <c r="P1613" i="4"/>
  <c r="N1613" i="4"/>
  <c r="L1613" i="4"/>
  <c r="K1613" i="4"/>
  <c r="J1613" i="4"/>
  <c r="I1613" i="4"/>
  <c r="H1613" i="4"/>
  <c r="G1613" i="4"/>
  <c r="F1613" i="4"/>
  <c r="E1613" i="4"/>
  <c r="D1613" i="4"/>
  <c r="C1613" i="4"/>
  <c r="B1613" i="4"/>
  <c r="A1613" i="4"/>
  <c r="R1612" i="4"/>
  <c r="P1612" i="4"/>
  <c r="N1612" i="4"/>
  <c r="L1612" i="4"/>
  <c r="K1612" i="4"/>
  <c r="J1612" i="4"/>
  <c r="I1612" i="4"/>
  <c r="H1612" i="4"/>
  <c r="G1612" i="4"/>
  <c r="F1612" i="4"/>
  <c r="E1612" i="4"/>
  <c r="D1612" i="4"/>
  <c r="C1612" i="4"/>
  <c r="B1612" i="4"/>
  <c r="A1612" i="4"/>
  <c r="R1611" i="4"/>
  <c r="P1611" i="4"/>
  <c r="N1611" i="4"/>
  <c r="L1611" i="4"/>
  <c r="K1611" i="4"/>
  <c r="J1611" i="4"/>
  <c r="I1611" i="4"/>
  <c r="H1611" i="4"/>
  <c r="G1611" i="4"/>
  <c r="F1611" i="4"/>
  <c r="E1611" i="4"/>
  <c r="D1611" i="4"/>
  <c r="C1611" i="4"/>
  <c r="B1611" i="4"/>
  <c r="A1611" i="4"/>
  <c r="R1610" i="4"/>
  <c r="P1610" i="4"/>
  <c r="N1610" i="4"/>
  <c r="L1610" i="4"/>
  <c r="K1610" i="4"/>
  <c r="J1610" i="4"/>
  <c r="I1610" i="4"/>
  <c r="H1610" i="4"/>
  <c r="G1610" i="4"/>
  <c r="F1610" i="4"/>
  <c r="E1610" i="4"/>
  <c r="D1610" i="4"/>
  <c r="C1610" i="4"/>
  <c r="B1610" i="4"/>
  <c r="A1610" i="4"/>
  <c r="R1609" i="4"/>
  <c r="P1609" i="4"/>
  <c r="N1609" i="4"/>
  <c r="L1609" i="4"/>
  <c r="K1609" i="4"/>
  <c r="J1609" i="4"/>
  <c r="I1609" i="4"/>
  <c r="H1609" i="4"/>
  <c r="G1609" i="4"/>
  <c r="F1609" i="4"/>
  <c r="E1609" i="4"/>
  <c r="D1609" i="4"/>
  <c r="C1609" i="4"/>
  <c r="B1609" i="4"/>
  <c r="A1609" i="4"/>
  <c r="R1608" i="4"/>
  <c r="P1608" i="4"/>
  <c r="N1608" i="4"/>
  <c r="L1608" i="4"/>
  <c r="K1608" i="4"/>
  <c r="J1608" i="4"/>
  <c r="I1608" i="4"/>
  <c r="H1608" i="4"/>
  <c r="G1608" i="4"/>
  <c r="F1608" i="4"/>
  <c r="E1608" i="4"/>
  <c r="D1608" i="4"/>
  <c r="C1608" i="4"/>
  <c r="B1608" i="4"/>
  <c r="A1608" i="4"/>
  <c r="R1607" i="4"/>
  <c r="P1607" i="4"/>
  <c r="N1607" i="4"/>
  <c r="L1607" i="4"/>
  <c r="K1607" i="4"/>
  <c r="J1607" i="4"/>
  <c r="I1607" i="4"/>
  <c r="H1607" i="4"/>
  <c r="G1607" i="4"/>
  <c r="F1607" i="4"/>
  <c r="E1607" i="4"/>
  <c r="D1607" i="4"/>
  <c r="C1607" i="4"/>
  <c r="B1607" i="4"/>
  <c r="A1607" i="4"/>
  <c r="R1606" i="4"/>
  <c r="P1606" i="4"/>
  <c r="N1606" i="4"/>
  <c r="L1606" i="4"/>
  <c r="K1606" i="4"/>
  <c r="J1606" i="4"/>
  <c r="I1606" i="4"/>
  <c r="H1606" i="4"/>
  <c r="G1606" i="4"/>
  <c r="F1606" i="4"/>
  <c r="E1606" i="4"/>
  <c r="D1606" i="4"/>
  <c r="C1606" i="4"/>
  <c r="B1606" i="4"/>
  <c r="A1606" i="4"/>
  <c r="R1605" i="4"/>
  <c r="P1605" i="4"/>
  <c r="N1605" i="4"/>
  <c r="L1605" i="4"/>
  <c r="K1605" i="4"/>
  <c r="J1605" i="4"/>
  <c r="I1605" i="4"/>
  <c r="H1605" i="4"/>
  <c r="G1605" i="4"/>
  <c r="F1605" i="4"/>
  <c r="E1605" i="4"/>
  <c r="D1605" i="4"/>
  <c r="C1605" i="4"/>
  <c r="B1605" i="4"/>
  <c r="A1605" i="4"/>
  <c r="R1604" i="4"/>
  <c r="P1604" i="4"/>
  <c r="N1604" i="4"/>
  <c r="L1604" i="4"/>
  <c r="K1604" i="4"/>
  <c r="J1604" i="4"/>
  <c r="I1604" i="4"/>
  <c r="H1604" i="4"/>
  <c r="G1604" i="4"/>
  <c r="F1604" i="4"/>
  <c r="E1604" i="4"/>
  <c r="D1604" i="4"/>
  <c r="C1604" i="4"/>
  <c r="B1604" i="4"/>
  <c r="A1604" i="4"/>
  <c r="R1603" i="4"/>
  <c r="P1603" i="4"/>
  <c r="N1603" i="4"/>
  <c r="L1603" i="4"/>
  <c r="K1603" i="4"/>
  <c r="J1603" i="4"/>
  <c r="I1603" i="4"/>
  <c r="H1603" i="4"/>
  <c r="G1603" i="4"/>
  <c r="F1603" i="4"/>
  <c r="E1603" i="4"/>
  <c r="D1603" i="4"/>
  <c r="C1603" i="4"/>
  <c r="B1603" i="4"/>
  <c r="A1603" i="4"/>
  <c r="R1602" i="4"/>
  <c r="P1602" i="4"/>
  <c r="N1602" i="4"/>
  <c r="L1602" i="4"/>
  <c r="K1602" i="4"/>
  <c r="J1602" i="4"/>
  <c r="I1602" i="4"/>
  <c r="H1602" i="4"/>
  <c r="G1602" i="4"/>
  <c r="F1602" i="4"/>
  <c r="E1602" i="4"/>
  <c r="D1602" i="4"/>
  <c r="C1602" i="4"/>
  <c r="B1602" i="4"/>
  <c r="A1602" i="4"/>
  <c r="R1601" i="4"/>
  <c r="P1601" i="4"/>
  <c r="N1601" i="4"/>
  <c r="L1601" i="4"/>
  <c r="K1601" i="4"/>
  <c r="J1601" i="4"/>
  <c r="I1601" i="4"/>
  <c r="H1601" i="4"/>
  <c r="G1601" i="4"/>
  <c r="F1601" i="4"/>
  <c r="E1601" i="4"/>
  <c r="D1601" i="4"/>
  <c r="C1601" i="4"/>
  <c r="B1601" i="4"/>
  <c r="A1601" i="4"/>
  <c r="R1600" i="4"/>
  <c r="P1600" i="4"/>
  <c r="N1600" i="4"/>
  <c r="L1600" i="4"/>
  <c r="K1600" i="4"/>
  <c r="J1600" i="4"/>
  <c r="I1600" i="4"/>
  <c r="H1600" i="4"/>
  <c r="G1600" i="4"/>
  <c r="F1600" i="4"/>
  <c r="E1600" i="4"/>
  <c r="D1600" i="4"/>
  <c r="C1600" i="4"/>
  <c r="B1600" i="4"/>
  <c r="A1600" i="4"/>
  <c r="R1599" i="4"/>
  <c r="P1599" i="4"/>
  <c r="N1599" i="4"/>
  <c r="L1599" i="4"/>
  <c r="K1599" i="4"/>
  <c r="J1599" i="4"/>
  <c r="I1599" i="4"/>
  <c r="H1599" i="4"/>
  <c r="G1599" i="4"/>
  <c r="F1599" i="4"/>
  <c r="E1599" i="4"/>
  <c r="D1599" i="4"/>
  <c r="C1599" i="4"/>
  <c r="B1599" i="4"/>
  <c r="A1599" i="4"/>
  <c r="R1598" i="4"/>
  <c r="P1598" i="4"/>
  <c r="N1598" i="4"/>
  <c r="L1598" i="4"/>
  <c r="K1598" i="4"/>
  <c r="J1598" i="4"/>
  <c r="I1598" i="4"/>
  <c r="H1598" i="4"/>
  <c r="G1598" i="4"/>
  <c r="F1598" i="4"/>
  <c r="E1598" i="4"/>
  <c r="D1598" i="4"/>
  <c r="C1598" i="4"/>
  <c r="B1598" i="4"/>
  <c r="A1598" i="4"/>
  <c r="R1597" i="4"/>
  <c r="P1597" i="4"/>
  <c r="N1597" i="4"/>
  <c r="L1597" i="4"/>
  <c r="K1597" i="4"/>
  <c r="J1597" i="4"/>
  <c r="I1597" i="4"/>
  <c r="H1597" i="4"/>
  <c r="G1597" i="4"/>
  <c r="F1597" i="4"/>
  <c r="E1597" i="4"/>
  <c r="D1597" i="4"/>
  <c r="C1597" i="4"/>
  <c r="B1597" i="4"/>
  <c r="A1597" i="4"/>
  <c r="R1596" i="4"/>
  <c r="P1596" i="4"/>
  <c r="N1596" i="4"/>
  <c r="L1596" i="4"/>
  <c r="K1596" i="4"/>
  <c r="J1596" i="4"/>
  <c r="I1596" i="4"/>
  <c r="H1596" i="4"/>
  <c r="G1596" i="4"/>
  <c r="F1596" i="4"/>
  <c r="E1596" i="4"/>
  <c r="D1596" i="4"/>
  <c r="C1596" i="4"/>
  <c r="B1596" i="4"/>
  <c r="A1596" i="4"/>
  <c r="R1595" i="4"/>
  <c r="P1595" i="4"/>
  <c r="N1595" i="4"/>
  <c r="L1595" i="4"/>
  <c r="K1595" i="4"/>
  <c r="J1595" i="4"/>
  <c r="I1595" i="4"/>
  <c r="H1595" i="4"/>
  <c r="G1595" i="4"/>
  <c r="F1595" i="4"/>
  <c r="E1595" i="4"/>
  <c r="D1595" i="4"/>
  <c r="C1595" i="4"/>
  <c r="B1595" i="4"/>
  <c r="A1595" i="4"/>
  <c r="R1594" i="4"/>
  <c r="P1594" i="4"/>
  <c r="N1594" i="4"/>
  <c r="L1594" i="4"/>
  <c r="K1594" i="4"/>
  <c r="J1594" i="4"/>
  <c r="I1594" i="4"/>
  <c r="H1594" i="4"/>
  <c r="G1594" i="4"/>
  <c r="F1594" i="4"/>
  <c r="E1594" i="4"/>
  <c r="D1594" i="4"/>
  <c r="C1594" i="4"/>
  <c r="B1594" i="4"/>
  <c r="A1594" i="4"/>
  <c r="R1593" i="4"/>
  <c r="P1593" i="4"/>
  <c r="N1593" i="4"/>
  <c r="L1593" i="4"/>
  <c r="K1593" i="4"/>
  <c r="J1593" i="4"/>
  <c r="I1593" i="4"/>
  <c r="H1593" i="4"/>
  <c r="G1593" i="4"/>
  <c r="F1593" i="4"/>
  <c r="E1593" i="4"/>
  <c r="D1593" i="4"/>
  <c r="C1593" i="4"/>
  <c r="B1593" i="4"/>
  <c r="A1593" i="4"/>
  <c r="R1592" i="4"/>
  <c r="P1592" i="4"/>
  <c r="N1592" i="4"/>
  <c r="L1592" i="4"/>
  <c r="K1592" i="4"/>
  <c r="J1592" i="4"/>
  <c r="I1592" i="4"/>
  <c r="H1592" i="4"/>
  <c r="G1592" i="4"/>
  <c r="F1592" i="4"/>
  <c r="E1592" i="4"/>
  <c r="D1592" i="4"/>
  <c r="C1592" i="4"/>
  <c r="B1592" i="4"/>
  <c r="A1592" i="4"/>
  <c r="R1591" i="4"/>
  <c r="P1591" i="4"/>
  <c r="N1591" i="4"/>
  <c r="L1591" i="4"/>
  <c r="K1591" i="4"/>
  <c r="J1591" i="4"/>
  <c r="I1591" i="4"/>
  <c r="H1591" i="4"/>
  <c r="G1591" i="4"/>
  <c r="F1591" i="4"/>
  <c r="E1591" i="4"/>
  <c r="D1591" i="4"/>
  <c r="C1591" i="4"/>
  <c r="B1591" i="4"/>
  <c r="A1591" i="4"/>
  <c r="R1590" i="4"/>
  <c r="P1590" i="4"/>
  <c r="N1590" i="4"/>
  <c r="L1590" i="4"/>
  <c r="K1590" i="4"/>
  <c r="J1590" i="4"/>
  <c r="I1590" i="4"/>
  <c r="H1590" i="4"/>
  <c r="G1590" i="4"/>
  <c r="F1590" i="4"/>
  <c r="E1590" i="4"/>
  <c r="D1590" i="4"/>
  <c r="C1590" i="4"/>
  <c r="B1590" i="4"/>
  <c r="A1590" i="4"/>
  <c r="R1589" i="4"/>
  <c r="P1589" i="4"/>
  <c r="N1589" i="4"/>
  <c r="L1589" i="4"/>
  <c r="K1589" i="4"/>
  <c r="J1589" i="4"/>
  <c r="I1589" i="4"/>
  <c r="H1589" i="4"/>
  <c r="G1589" i="4"/>
  <c r="F1589" i="4"/>
  <c r="E1589" i="4"/>
  <c r="D1589" i="4"/>
  <c r="C1589" i="4"/>
  <c r="B1589" i="4"/>
  <c r="A1589" i="4"/>
  <c r="R1588" i="4"/>
  <c r="P1588" i="4"/>
  <c r="N1588" i="4"/>
  <c r="L1588" i="4"/>
  <c r="K1588" i="4"/>
  <c r="J1588" i="4"/>
  <c r="I1588" i="4"/>
  <c r="H1588" i="4"/>
  <c r="G1588" i="4"/>
  <c r="F1588" i="4"/>
  <c r="E1588" i="4"/>
  <c r="D1588" i="4"/>
  <c r="C1588" i="4"/>
  <c r="B1588" i="4"/>
  <c r="A1588" i="4"/>
  <c r="R1587" i="4"/>
  <c r="P1587" i="4"/>
  <c r="N1587" i="4"/>
  <c r="L1587" i="4"/>
  <c r="K1587" i="4"/>
  <c r="J1587" i="4"/>
  <c r="I1587" i="4"/>
  <c r="H1587" i="4"/>
  <c r="G1587" i="4"/>
  <c r="F1587" i="4"/>
  <c r="E1587" i="4"/>
  <c r="D1587" i="4"/>
  <c r="C1587" i="4"/>
  <c r="B1587" i="4"/>
  <c r="A1587" i="4"/>
  <c r="R1586" i="4"/>
  <c r="P1586" i="4"/>
  <c r="N1586" i="4"/>
  <c r="L1586" i="4"/>
  <c r="K1586" i="4"/>
  <c r="J1586" i="4"/>
  <c r="I1586" i="4"/>
  <c r="H1586" i="4"/>
  <c r="G1586" i="4"/>
  <c r="F1586" i="4"/>
  <c r="E1586" i="4"/>
  <c r="D1586" i="4"/>
  <c r="C1586" i="4"/>
  <c r="B1586" i="4"/>
  <c r="A1586" i="4"/>
  <c r="R1585" i="4"/>
  <c r="P1585" i="4"/>
  <c r="N1585" i="4"/>
  <c r="L1585" i="4"/>
  <c r="K1585" i="4"/>
  <c r="J1585" i="4"/>
  <c r="I1585" i="4"/>
  <c r="H1585" i="4"/>
  <c r="G1585" i="4"/>
  <c r="F1585" i="4"/>
  <c r="E1585" i="4"/>
  <c r="D1585" i="4"/>
  <c r="C1585" i="4"/>
  <c r="B1585" i="4"/>
  <c r="A1585" i="4"/>
  <c r="R1584" i="4"/>
  <c r="P1584" i="4"/>
  <c r="N1584" i="4"/>
  <c r="L1584" i="4"/>
  <c r="K1584" i="4"/>
  <c r="J1584" i="4"/>
  <c r="I1584" i="4"/>
  <c r="H1584" i="4"/>
  <c r="G1584" i="4"/>
  <c r="F1584" i="4"/>
  <c r="E1584" i="4"/>
  <c r="D1584" i="4"/>
  <c r="C1584" i="4"/>
  <c r="B1584" i="4"/>
  <c r="A1584" i="4"/>
  <c r="R1583" i="4"/>
  <c r="P1583" i="4"/>
  <c r="N1583" i="4"/>
  <c r="L1583" i="4"/>
  <c r="K1583" i="4"/>
  <c r="J1583" i="4"/>
  <c r="I1583" i="4"/>
  <c r="H1583" i="4"/>
  <c r="G1583" i="4"/>
  <c r="F1583" i="4"/>
  <c r="E1583" i="4"/>
  <c r="D1583" i="4"/>
  <c r="C1583" i="4"/>
  <c r="B1583" i="4"/>
  <c r="A1583" i="4"/>
  <c r="R1582" i="4"/>
  <c r="P1582" i="4"/>
  <c r="N1582" i="4"/>
  <c r="L1582" i="4"/>
  <c r="K1582" i="4"/>
  <c r="J1582" i="4"/>
  <c r="I1582" i="4"/>
  <c r="H1582" i="4"/>
  <c r="G1582" i="4"/>
  <c r="F1582" i="4"/>
  <c r="E1582" i="4"/>
  <c r="D1582" i="4"/>
  <c r="C1582" i="4"/>
  <c r="B1582" i="4"/>
  <c r="A1582" i="4"/>
  <c r="R1581" i="4"/>
  <c r="P1581" i="4"/>
  <c r="N1581" i="4"/>
  <c r="L1581" i="4"/>
  <c r="K1581" i="4"/>
  <c r="J1581" i="4"/>
  <c r="I1581" i="4"/>
  <c r="H1581" i="4"/>
  <c r="G1581" i="4"/>
  <c r="F1581" i="4"/>
  <c r="E1581" i="4"/>
  <c r="D1581" i="4"/>
  <c r="C1581" i="4"/>
  <c r="B1581" i="4"/>
  <c r="A1581" i="4"/>
  <c r="R1580" i="4"/>
  <c r="P1580" i="4"/>
  <c r="N1580" i="4"/>
  <c r="L1580" i="4"/>
  <c r="K1580" i="4"/>
  <c r="J1580" i="4"/>
  <c r="I1580" i="4"/>
  <c r="H1580" i="4"/>
  <c r="G1580" i="4"/>
  <c r="F1580" i="4"/>
  <c r="E1580" i="4"/>
  <c r="D1580" i="4"/>
  <c r="C1580" i="4"/>
  <c r="B1580" i="4"/>
  <c r="A1580" i="4"/>
  <c r="R1579" i="4"/>
  <c r="P1579" i="4"/>
  <c r="N1579" i="4"/>
  <c r="L1579" i="4"/>
  <c r="K1579" i="4"/>
  <c r="J1579" i="4"/>
  <c r="I1579" i="4"/>
  <c r="H1579" i="4"/>
  <c r="G1579" i="4"/>
  <c r="F1579" i="4"/>
  <c r="E1579" i="4"/>
  <c r="D1579" i="4"/>
  <c r="C1579" i="4"/>
  <c r="B1579" i="4"/>
  <c r="A1579" i="4"/>
  <c r="R1578" i="4"/>
  <c r="P1578" i="4"/>
  <c r="N1578" i="4"/>
  <c r="L1578" i="4"/>
  <c r="K1578" i="4"/>
  <c r="J1578" i="4"/>
  <c r="I1578" i="4"/>
  <c r="H1578" i="4"/>
  <c r="G1578" i="4"/>
  <c r="F1578" i="4"/>
  <c r="E1578" i="4"/>
  <c r="D1578" i="4"/>
  <c r="C1578" i="4"/>
  <c r="B1578" i="4"/>
  <c r="A1578" i="4"/>
  <c r="R1577" i="4"/>
  <c r="P1577" i="4"/>
  <c r="N1577" i="4"/>
  <c r="L1577" i="4"/>
  <c r="K1577" i="4"/>
  <c r="J1577" i="4"/>
  <c r="I1577" i="4"/>
  <c r="H1577" i="4"/>
  <c r="G1577" i="4"/>
  <c r="F1577" i="4"/>
  <c r="E1577" i="4"/>
  <c r="D1577" i="4"/>
  <c r="C1577" i="4"/>
  <c r="B1577" i="4"/>
  <c r="A1577" i="4"/>
  <c r="R1576" i="4"/>
  <c r="P1576" i="4"/>
  <c r="N1576" i="4"/>
  <c r="L1576" i="4"/>
  <c r="K1576" i="4"/>
  <c r="J1576" i="4"/>
  <c r="I1576" i="4"/>
  <c r="H1576" i="4"/>
  <c r="G1576" i="4"/>
  <c r="F1576" i="4"/>
  <c r="E1576" i="4"/>
  <c r="D1576" i="4"/>
  <c r="C1576" i="4"/>
  <c r="B1576" i="4"/>
  <c r="A1576" i="4"/>
  <c r="R1575" i="4"/>
  <c r="P1575" i="4"/>
  <c r="N1575" i="4"/>
  <c r="L1575" i="4"/>
  <c r="K1575" i="4"/>
  <c r="J1575" i="4"/>
  <c r="I1575" i="4"/>
  <c r="H1575" i="4"/>
  <c r="G1575" i="4"/>
  <c r="F1575" i="4"/>
  <c r="E1575" i="4"/>
  <c r="D1575" i="4"/>
  <c r="C1575" i="4"/>
  <c r="B1575" i="4"/>
  <c r="A1575" i="4"/>
  <c r="R1574" i="4"/>
  <c r="P1574" i="4"/>
  <c r="N1574" i="4"/>
  <c r="L1574" i="4"/>
  <c r="K1574" i="4"/>
  <c r="J1574" i="4"/>
  <c r="I1574" i="4"/>
  <c r="H1574" i="4"/>
  <c r="G1574" i="4"/>
  <c r="F1574" i="4"/>
  <c r="E1574" i="4"/>
  <c r="D1574" i="4"/>
  <c r="C1574" i="4"/>
  <c r="B1574" i="4"/>
  <c r="A1574" i="4"/>
  <c r="R1573" i="4"/>
  <c r="P1573" i="4"/>
  <c r="N1573" i="4"/>
  <c r="L1573" i="4"/>
  <c r="K1573" i="4"/>
  <c r="J1573" i="4"/>
  <c r="I1573" i="4"/>
  <c r="H1573" i="4"/>
  <c r="G1573" i="4"/>
  <c r="F1573" i="4"/>
  <c r="E1573" i="4"/>
  <c r="D1573" i="4"/>
  <c r="C1573" i="4"/>
  <c r="B1573" i="4"/>
  <c r="A1573" i="4"/>
  <c r="R1572" i="4"/>
  <c r="P1572" i="4"/>
  <c r="N1572" i="4"/>
  <c r="L1572" i="4"/>
  <c r="K1572" i="4"/>
  <c r="J1572" i="4"/>
  <c r="I1572" i="4"/>
  <c r="H1572" i="4"/>
  <c r="G1572" i="4"/>
  <c r="F1572" i="4"/>
  <c r="E1572" i="4"/>
  <c r="D1572" i="4"/>
  <c r="C1572" i="4"/>
  <c r="B1572" i="4"/>
  <c r="A1572" i="4"/>
  <c r="R1571" i="4"/>
  <c r="P1571" i="4"/>
  <c r="N1571" i="4"/>
  <c r="L1571" i="4"/>
  <c r="K1571" i="4"/>
  <c r="J1571" i="4"/>
  <c r="I1571" i="4"/>
  <c r="H1571" i="4"/>
  <c r="G1571" i="4"/>
  <c r="F1571" i="4"/>
  <c r="E1571" i="4"/>
  <c r="D1571" i="4"/>
  <c r="C1571" i="4"/>
  <c r="B1571" i="4"/>
  <c r="A1571" i="4"/>
  <c r="R1570" i="4"/>
  <c r="P1570" i="4"/>
  <c r="N1570" i="4"/>
  <c r="L1570" i="4"/>
  <c r="K1570" i="4"/>
  <c r="J1570" i="4"/>
  <c r="I1570" i="4"/>
  <c r="H1570" i="4"/>
  <c r="G1570" i="4"/>
  <c r="F1570" i="4"/>
  <c r="E1570" i="4"/>
  <c r="D1570" i="4"/>
  <c r="C1570" i="4"/>
  <c r="B1570" i="4"/>
  <c r="A1570" i="4"/>
  <c r="R1569" i="4"/>
  <c r="P1569" i="4"/>
  <c r="N1569" i="4"/>
  <c r="L1569" i="4"/>
  <c r="K1569" i="4"/>
  <c r="J1569" i="4"/>
  <c r="I1569" i="4"/>
  <c r="H1569" i="4"/>
  <c r="G1569" i="4"/>
  <c r="F1569" i="4"/>
  <c r="E1569" i="4"/>
  <c r="D1569" i="4"/>
  <c r="C1569" i="4"/>
  <c r="B1569" i="4"/>
  <c r="A1569" i="4"/>
  <c r="R1568" i="4"/>
  <c r="P1568" i="4"/>
  <c r="N1568" i="4"/>
  <c r="L1568" i="4"/>
  <c r="K1568" i="4"/>
  <c r="J1568" i="4"/>
  <c r="I1568" i="4"/>
  <c r="H1568" i="4"/>
  <c r="G1568" i="4"/>
  <c r="F1568" i="4"/>
  <c r="E1568" i="4"/>
  <c r="D1568" i="4"/>
  <c r="C1568" i="4"/>
  <c r="B1568" i="4"/>
  <c r="A1568" i="4"/>
  <c r="R1567" i="4"/>
  <c r="P1567" i="4"/>
  <c r="N1567" i="4"/>
  <c r="L1567" i="4"/>
  <c r="K1567" i="4"/>
  <c r="J1567" i="4"/>
  <c r="I1567" i="4"/>
  <c r="H1567" i="4"/>
  <c r="G1567" i="4"/>
  <c r="F1567" i="4"/>
  <c r="E1567" i="4"/>
  <c r="D1567" i="4"/>
  <c r="C1567" i="4"/>
  <c r="B1567" i="4"/>
  <c r="A1567" i="4"/>
  <c r="R1566" i="4"/>
  <c r="P1566" i="4"/>
  <c r="N1566" i="4"/>
  <c r="L1566" i="4"/>
  <c r="K1566" i="4"/>
  <c r="J1566" i="4"/>
  <c r="I1566" i="4"/>
  <c r="H1566" i="4"/>
  <c r="G1566" i="4"/>
  <c r="F1566" i="4"/>
  <c r="E1566" i="4"/>
  <c r="D1566" i="4"/>
  <c r="C1566" i="4"/>
  <c r="B1566" i="4"/>
  <c r="A1566" i="4"/>
  <c r="R1565" i="4"/>
  <c r="P1565" i="4"/>
  <c r="N1565" i="4"/>
  <c r="L1565" i="4"/>
  <c r="K1565" i="4"/>
  <c r="J1565" i="4"/>
  <c r="I1565" i="4"/>
  <c r="H1565" i="4"/>
  <c r="G1565" i="4"/>
  <c r="F1565" i="4"/>
  <c r="E1565" i="4"/>
  <c r="D1565" i="4"/>
  <c r="C1565" i="4"/>
  <c r="B1565" i="4"/>
  <c r="A1565" i="4"/>
  <c r="R1564" i="4"/>
  <c r="P1564" i="4"/>
  <c r="N1564" i="4"/>
  <c r="L1564" i="4"/>
  <c r="K1564" i="4"/>
  <c r="J1564" i="4"/>
  <c r="I1564" i="4"/>
  <c r="H1564" i="4"/>
  <c r="G1564" i="4"/>
  <c r="F1564" i="4"/>
  <c r="E1564" i="4"/>
  <c r="D1564" i="4"/>
  <c r="C1564" i="4"/>
  <c r="B1564" i="4"/>
  <c r="A1564" i="4"/>
  <c r="R1563" i="4"/>
  <c r="P1563" i="4"/>
  <c r="N1563" i="4"/>
  <c r="L1563" i="4"/>
  <c r="K1563" i="4"/>
  <c r="J1563" i="4"/>
  <c r="I1563" i="4"/>
  <c r="H1563" i="4"/>
  <c r="G1563" i="4"/>
  <c r="F1563" i="4"/>
  <c r="E1563" i="4"/>
  <c r="D1563" i="4"/>
  <c r="C1563" i="4"/>
  <c r="B1563" i="4"/>
  <c r="A1563" i="4"/>
  <c r="R1562" i="4"/>
  <c r="P1562" i="4"/>
  <c r="N1562" i="4"/>
  <c r="L1562" i="4"/>
  <c r="K1562" i="4"/>
  <c r="J1562" i="4"/>
  <c r="I1562" i="4"/>
  <c r="H1562" i="4"/>
  <c r="G1562" i="4"/>
  <c r="F1562" i="4"/>
  <c r="E1562" i="4"/>
  <c r="D1562" i="4"/>
  <c r="C1562" i="4"/>
  <c r="B1562" i="4"/>
  <c r="A1562" i="4"/>
  <c r="R1561" i="4"/>
  <c r="P1561" i="4"/>
  <c r="N1561" i="4"/>
  <c r="L1561" i="4"/>
  <c r="K1561" i="4"/>
  <c r="J1561" i="4"/>
  <c r="I1561" i="4"/>
  <c r="H1561" i="4"/>
  <c r="G1561" i="4"/>
  <c r="F1561" i="4"/>
  <c r="E1561" i="4"/>
  <c r="D1561" i="4"/>
  <c r="C1561" i="4"/>
  <c r="B1561" i="4"/>
  <c r="A1561" i="4"/>
  <c r="R1560" i="4"/>
  <c r="P1560" i="4"/>
  <c r="N1560" i="4"/>
  <c r="L1560" i="4"/>
  <c r="K1560" i="4"/>
  <c r="J1560" i="4"/>
  <c r="I1560" i="4"/>
  <c r="H1560" i="4"/>
  <c r="G1560" i="4"/>
  <c r="F1560" i="4"/>
  <c r="E1560" i="4"/>
  <c r="D1560" i="4"/>
  <c r="C1560" i="4"/>
  <c r="B1560" i="4"/>
  <c r="A1560" i="4"/>
  <c r="R1559" i="4"/>
  <c r="P1559" i="4"/>
  <c r="N1559" i="4"/>
  <c r="L1559" i="4"/>
  <c r="K1559" i="4"/>
  <c r="J1559" i="4"/>
  <c r="I1559" i="4"/>
  <c r="H1559" i="4"/>
  <c r="G1559" i="4"/>
  <c r="F1559" i="4"/>
  <c r="E1559" i="4"/>
  <c r="D1559" i="4"/>
  <c r="C1559" i="4"/>
  <c r="B1559" i="4"/>
  <c r="A1559" i="4"/>
  <c r="R1558" i="4"/>
  <c r="P1558" i="4"/>
  <c r="N1558" i="4"/>
  <c r="L1558" i="4"/>
  <c r="K1558" i="4"/>
  <c r="J1558" i="4"/>
  <c r="I1558" i="4"/>
  <c r="H1558" i="4"/>
  <c r="G1558" i="4"/>
  <c r="F1558" i="4"/>
  <c r="E1558" i="4"/>
  <c r="D1558" i="4"/>
  <c r="C1558" i="4"/>
  <c r="B1558" i="4"/>
  <c r="A1558" i="4"/>
  <c r="R1557" i="4"/>
  <c r="P1557" i="4"/>
  <c r="N1557" i="4"/>
  <c r="L1557" i="4"/>
  <c r="K1557" i="4"/>
  <c r="J1557" i="4"/>
  <c r="I1557" i="4"/>
  <c r="H1557" i="4"/>
  <c r="G1557" i="4"/>
  <c r="F1557" i="4"/>
  <c r="E1557" i="4"/>
  <c r="D1557" i="4"/>
  <c r="C1557" i="4"/>
  <c r="B1557" i="4"/>
  <c r="A1557" i="4"/>
  <c r="R1556" i="4"/>
  <c r="P1556" i="4"/>
  <c r="N1556" i="4"/>
  <c r="L1556" i="4"/>
  <c r="K1556" i="4"/>
  <c r="J1556" i="4"/>
  <c r="I1556" i="4"/>
  <c r="H1556" i="4"/>
  <c r="G1556" i="4"/>
  <c r="F1556" i="4"/>
  <c r="E1556" i="4"/>
  <c r="D1556" i="4"/>
  <c r="C1556" i="4"/>
  <c r="B1556" i="4"/>
  <c r="A1556" i="4"/>
  <c r="R1555" i="4"/>
  <c r="P1555" i="4"/>
  <c r="N1555" i="4"/>
  <c r="L1555" i="4"/>
  <c r="K1555" i="4"/>
  <c r="J1555" i="4"/>
  <c r="I1555" i="4"/>
  <c r="H1555" i="4"/>
  <c r="G1555" i="4"/>
  <c r="F1555" i="4"/>
  <c r="E1555" i="4"/>
  <c r="D1555" i="4"/>
  <c r="C1555" i="4"/>
  <c r="B1555" i="4"/>
  <c r="A1555" i="4"/>
  <c r="R1554" i="4"/>
  <c r="P1554" i="4"/>
  <c r="N1554" i="4"/>
  <c r="L1554" i="4"/>
  <c r="K1554" i="4"/>
  <c r="J1554" i="4"/>
  <c r="I1554" i="4"/>
  <c r="H1554" i="4"/>
  <c r="G1554" i="4"/>
  <c r="F1554" i="4"/>
  <c r="E1554" i="4"/>
  <c r="D1554" i="4"/>
  <c r="C1554" i="4"/>
  <c r="B1554" i="4"/>
  <c r="A1554" i="4"/>
  <c r="R1553" i="4"/>
  <c r="P1553" i="4"/>
  <c r="N1553" i="4"/>
  <c r="L1553" i="4"/>
  <c r="K1553" i="4"/>
  <c r="J1553" i="4"/>
  <c r="I1553" i="4"/>
  <c r="H1553" i="4"/>
  <c r="G1553" i="4"/>
  <c r="F1553" i="4"/>
  <c r="E1553" i="4"/>
  <c r="D1553" i="4"/>
  <c r="C1553" i="4"/>
  <c r="B1553" i="4"/>
  <c r="A1553" i="4"/>
  <c r="R1552" i="4"/>
  <c r="P1552" i="4"/>
  <c r="N1552" i="4"/>
  <c r="L1552" i="4"/>
  <c r="K1552" i="4"/>
  <c r="J1552" i="4"/>
  <c r="I1552" i="4"/>
  <c r="H1552" i="4"/>
  <c r="G1552" i="4"/>
  <c r="F1552" i="4"/>
  <c r="E1552" i="4"/>
  <c r="D1552" i="4"/>
  <c r="C1552" i="4"/>
  <c r="B1552" i="4"/>
  <c r="A1552" i="4"/>
  <c r="R1551" i="4"/>
  <c r="P1551" i="4"/>
  <c r="N1551" i="4"/>
  <c r="L1551" i="4"/>
  <c r="K1551" i="4"/>
  <c r="J1551" i="4"/>
  <c r="I1551" i="4"/>
  <c r="H1551" i="4"/>
  <c r="G1551" i="4"/>
  <c r="F1551" i="4"/>
  <c r="E1551" i="4"/>
  <c r="D1551" i="4"/>
  <c r="C1551" i="4"/>
  <c r="B1551" i="4"/>
  <c r="A1551" i="4"/>
  <c r="R1550" i="4"/>
  <c r="P1550" i="4"/>
  <c r="N1550" i="4"/>
  <c r="L1550" i="4"/>
  <c r="K1550" i="4"/>
  <c r="J1550" i="4"/>
  <c r="I1550" i="4"/>
  <c r="H1550" i="4"/>
  <c r="G1550" i="4"/>
  <c r="F1550" i="4"/>
  <c r="E1550" i="4"/>
  <c r="D1550" i="4"/>
  <c r="C1550" i="4"/>
  <c r="B1550" i="4"/>
  <c r="A1550" i="4"/>
  <c r="R1549" i="4"/>
  <c r="P1549" i="4"/>
  <c r="N1549" i="4"/>
  <c r="L1549" i="4"/>
  <c r="K1549" i="4"/>
  <c r="J1549" i="4"/>
  <c r="I1549" i="4"/>
  <c r="H1549" i="4"/>
  <c r="G1549" i="4"/>
  <c r="F1549" i="4"/>
  <c r="E1549" i="4"/>
  <c r="D1549" i="4"/>
  <c r="C1549" i="4"/>
  <c r="B1549" i="4"/>
  <c r="A1549" i="4"/>
  <c r="R1548" i="4"/>
  <c r="P1548" i="4"/>
  <c r="N1548" i="4"/>
  <c r="L1548" i="4"/>
  <c r="K1548" i="4"/>
  <c r="J1548" i="4"/>
  <c r="I1548" i="4"/>
  <c r="H1548" i="4"/>
  <c r="G1548" i="4"/>
  <c r="F1548" i="4"/>
  <c r="E1548" i="4"/>
  <c r="D1548" i="4"/>
  <c r="C1548" i="4"/>
  <c r="B1548" i="4"/>
  <c r="A1548" i="4"/>
  <c r="R1547" i="4"/>
  <c r="P1547" i="4"/>
  <c r="N1547" i="4"/>
  <c r="L1547" i="4"/>
  <c r="K1547" i="4"/>
  <c r="J1547" i="4"/>
  <c r="I1547" i="4"/>
  <c r="H1547" i="4"/>
  <c r="G1547" i="4"/>
  <c r="F1547" i="4"/>
  <c r="E1547" i="4"/>
  <c r="D1547" i="4"/>
  <c r="C1547" i="4"/>
  <c r="B1547" i="4"/>
  <c r="A1547" i="4"/>
  <c r="R1546" i="4"/>
  <c r="P1546" i="4"/>
  <c r="N1546" i="4"/>
  <c r="L1546" i="4"/>
  <c r="K1546" i="4"/>
  <c r="J1546" i="4"/>
  <c r="I1546" i="4"/>
  <c r="H1546" i="4"/>
  <c r="G1546" i="4"/>
  <c r="F1546" i="4"/>
  <c r="E1546" i="4"/>
  <c r="D1546" i="4"/>
  <c r="C1546" i="4"/>
  <c r="B1546" i="4"/>
  <c r="A1546" i="4"/>
  <c r="R1545" i="4"/>
  <c r="P1545" i="4"/>
  <c r="N1545" i="4"/>
  <c r="L1545" i="4"/>
  <c r="K1545" i="4"/>
  <c r="J1545" i="4"/>
  <c r="I1545" i="4"/>
  <c r="H1545" i="4"/>
  <c r="G1545" i="4"/>
  <c r="F1545" i="4"/>
  <c r="E1545" i="4"/>
  <c r="D1545" i="4"/>
  <c r="C1545" i="4"/>
  <c r="B1545" i="4"/>
  <c r="A1545" i="4"/>
  <c r="R1544" i="4"/>
  <c r="P1544" i="4"/>
  <c r="N1544" i="4"/>
  <c r="L1544" i="4"/>
  <c r="K1544" i="4"/>
  <c r="J1544" i="4"/>
  <c r="I1544" i="4"/>
  <c r="H1544" i="4"/>
  <c r="G1544" i="4"/>
  <c r="F1544" i="4"/>
  <c r="E1544" i="4"/>
  <c r="D1544" i="4"/>
  <c r="C1544" i="4"/>
  <c r="B1544" i="4"/>
  <c r="A1544" i="4"/>
  <c r="R1543" i="4"/>
  <c r="P1543" i="4"/>
  <c r="N1543" i="4"/>
  <c r="L1543" i="4"/>
  <c r="K1543" i="4"/>
  <c r="J1543" i="4"/>
  <c r="I1543" i="4"/>
  <c r="H1543" i="4"/>
  <c r="G1543" i="4"/>
  <c r="F1543" i="4"/>
  <c r="E1543" i="4"/>
  <c r="D1543" i="4"/>
  <c r="C1543" i="4"/>
  <c r="B1543" i="4"/>
  <c r="A1543" i="4"/>
  <c r="R1542" i="4"/>
  <c r="P1542" i="4"/>
  <c r="N1542" i="4"/>
  <c r="L1542" i="4"/>
  <c r="K1542" i="4"/>
  <c r="J1542" i="4"/>
  <c r="I1542" i="4"/>
  <c r="H1542" i="4"/>
  <c r="G1542" i="4"/>
  <c r="F1542" i="4"/>
  <c r="E1542" i="4"/>
  <c r="D1542" i="4"/>
  <c r="C1542" i="4"/>
  <c r="B1542" i="4"/>
  <c r="A1542" i="4"/>
  <c r="R1541" i="4"/>
  <c r="P1541" i="4"/>
  <c r="N1541" i="4"/>
  <c r="L1541" i="4"/>
  <c r="K1541" i="4"/>
  <c r="J1541" i="4"/>
  <c r="I1541" i="4"/>
  <c r="H1541" i="4"/>
  <c r="G1541" i="4"/>
  <c r="F1541" i="4"/>
  <c r="E1541" i="4"/>
  <c r="D1541" i="4"/>
  <c r="C1541" i="4"/>
  <c r="B1541" i="4"/>
  <c r="A1541" i="4"/>
  <c r="R1540" i="4"/>
  <c r="P1540" i="4"/>
  <c r="N1540" i="4"/>
  <c r="L1540" i="4"/>
  <c r="K1540" i="4"/>
  <c r="J1540" i="4"/>
  <c r="I1540" i="4"/>
  <c r="H1540" i="4"/>
  <c r="G1540" i="4"/>
  <c r="F1540" i="4"/>
  <c r="E1540" i="4"/>
  <c r="D1540" i="4"/>
  <c r="C1540" i="4"/>
  <c r="B1540" i="4"/>
  <c r="A1540" i="4"/>
  <c r="R1539" i="4"/>
  <c r="P1539" i="4"/>
  <c r="N1539" i="4"/>
  <c r="L1539" i="4"/>
  <c r="K1539" i="4"/>
  <c r="J1539" i="4"/>
  <c r="I1539" i="4"/>
  <c r="H1539" i="4"/>
  <c r="G1539" i="4"/>
  <c r="F1539" i="4"/>
  <c r="E1539" i="4"/>
  <c r="D1539" i="4"/>
  <c r="C1539" i="4"/>
  <c r="B1539" i="4"/>
  <c r="A1539" i="4"/>
  <c r="R1538" i="4"/>
  <c r="P1538" i="4"/>
  <c r="N1538" i="4"/>
  <c r="L1538" i="4"/>
  <c r="K1538" i="4"/>
  <c r="J1538" i="4"/>
  <c r="I1538" i="4"/>
  <c r="H1538" i="4"/>
  <c r="G1538" i="4"/>
  <c r="F1538" i="4"/>
  <c r="E1538" i="4"/>
  <c r="D1538" i="4"/>
  <c r="C1538" i="4"/>
  <c r="B1538" i="4"/>
  <c r="A1538" i="4"/>
  <c r="R1537" i="4"/>
  <c r="P1537" i="4"/>
  <c r="N1537" i="4"/>
  <c r="L1537" i="4"/>
  <c r="K1537" i="4"/>
  <c r="J1537" i="4"/>
  <c r="I1537" i="4"/>
  <c r="H1537" i="4"/>
  <c r="G1537" i="4"/>
  <c r="F1537" i="4"/>
  <c r="E1537" i="4"/>
  <c r="D1537" i="4"/>
  <c r="C1537" i="4"/>
  <c r="B1537" i="4"/>
  <c r="A1537" i="4"/>
  <c r="R1536" i="4"/>
  <c r="P1536" i="4"/>
  <c r="N1536" i="4"/>
  <c r="L1536" i="4"/>
  <c r="K1536" i="4"/>
  <c r="J1536" i="4"/>
  <c r="I1536" i="4"/>
  <c r="H1536" i="4"/>
  <c r="G1536" i="4"/>
  <c r="F1536" i="4"/>
  <c r="E1536" i="4"/>
  <c r="D1536" i="4"/>
  <c r="C1536" i="4"/>
  <c r="B1536" i="4"/>
  <c r="A1536" i="4"/>
  <c r="R1535" i="4"/>
  <c r="P1535" i="4"/>
  <c r="N1535" i="4"/>
  <c r="L1535" i="4"/>
  <c r="K1535" i="4"/>
  <c r="J1535" i="4"/>
  <c r="I1535" i="4"/>
  <c r="H1535" i="4"/>
  <c r="G1535" i="4"/>
  <c r="F1535" i="4"/>
  <c r="E1535" i="4"/>
  <c r="D1535" i="4"/>
  <c r="C1535" i="4"/>
  <c r="B1535" i="4"/>
  <c r="A1535" i="4"/>
  <c r="R1534" i="4"/>
  <c r="P1534" i="4"/>
  <c r="N1534" i="4"/>
  <c r="L1534" i="4"/>
  <c r="K1534" i="4"/>
  <c r="J1534" i="4"/>
  <c r="I1534" i="4"/>
  <c r="H1534" i="4"/>
  <c r="G1534" i="4"/>
  <c r="F1534" i="4"/>
  <c r="E1534" i="4"/>
  <c r="D1534" i="4"/>
  <c r="C1534" i="4"/>
  <c r="B1534" i="4"/>
  <c r="A1534" i="4"/>
  <c r="R1533" i="4"/>
  <c r="P1533" i="4"/>
  <c r="N1533" i="4"/>
  <c r="L1533" i="4"/>
  <c r="K1533" i="4"/>
  <c r="J1533" i="4"/>
  <c r="I1533" i="4"/>
  <c r="H1533" i="4"/>
  <c r="G1533" i="4"/>
  <c r="F1533" i="4"/>
  <c r="E1533" i="4"/>
  <c r="D1533" i="4"/>
  <c r="C1533" i="4"/>
  <c r="B1533" i="4"/>
  <c r="A1533" i="4"/>
  <c r="R1532" i="4"/>
  <c r="P1532" i="4"/>
  <c r="N1532" i="4"/>
  <c r="L1532" i="4"/>
  <c r="K1532" i="4"/>
  <c r="J1532" i="4"/>
  <c r="I1532" i="4"/>
  <c r="H1532" i="4"/>
  <c r="G1532" i="4"/>
  <c r="F1532" i="4"/>
  <c r="E1532" i="4"/>
  <c r="D1532" i="4"/>
  <c r="C1532" i="4"/>
  <c r="B1532" i="4"/>
  <c r="A1532" i="4"/>
  <c r="R1531" i="4"/>
  <c r="P1531" i="4"/>
  <c r="N1531" i="4"/>
  <c r="L1531" i="4"/>
  <c r="K1531" i="4"/>
  <c r="J1531" i="4"/>
  <c r="I1531" i="4"/>
  <c r="H1531" i="4"/>
  <c r="G1531" i="4"/>
  <c r="F1531" i="4"/>
  <c r="E1531" i="4"/>
  <c r="D1531" i="4"/>
  <c r="C1531" i="4"/>
  <c r="B1531" i="4"/>
  <c r="A1531" i="4"/>
  <c r="R1530" i="4"/>
  <c r="P1530" i="4"/>
  <c r="N1530" i="4"/>
  <c r="L1530" i="4"/>
  <c r="K1530" i="4"/>
  <c r="J1530" i="4"/>
  <c r="I1530" i="4"/>
  <c r="H1530" i="4"/>
  <c r="G1530" i="4"/>
  <c r="F1530" i="4"/>
  <c r="E1530" i="4"/>
  <c r="D1530" i="4"/>
  <c r="C1530" i="4"/>
  <c r="B1530" i="4"/>
  <c r="A1530" i="4"/>
  <c r="R1529" i="4"/>
  <c r="P1529" i="4"/>
  <c r="N1529" i="4"/>
  <c r="L1529" i="4"/>
  <c r="K1529" i="4"/>
  <c r="J1529" i="4"/>
  <c r="I1529" i="4"/>
  <c r="H1529" i="4"/>
  <c r="G1529" i="4"/>
  <c r="F1529" i="4"/>
  <c r="E1529" i="4"/>
  <c r="D1529" i="4"/>
  <c r="C1529" i="4"/>
  <c r="B1529" i="4"/>
  <c r="A1529" i="4"/>
  <c r="R1528" i="4"/>
  <c r="P1528" i="4"/>
  <c r="N1528" i="4"/>
  <c r="L1528" i="4"/>
  <c r="K1528" i="4"/>
  <c r="J1528" i="4"/>
  <c r="I1528" i="4"/>
  <c r="H1528" i="4"/>
  <c r="G1528" i="4"/>
  <c r="F1528" i="4"/>
  <c r="E1528" i="4"/>
  <c r="D1528" i="4"/>
  <c r="C1528" i="4"/>
  <c r="B1528" i="4"/>
  <c r="A1528" i="4"/>
  <c r="R1527" i="4"/>
  <c r="P1527" i="4"/>
  <c r="N1527" i="4"/>
  <c r="L1527" i="4"/>
  <c r="K1527" i="4"/>
  <c r="J1527" i="4"/>
  <c r="I1527" i="4"/>
  <c r="H1527" i="4"/>
  <c r="G1527" i="4"/>
  <c r="F1527" i="4"/>
  <c r="E1527" i="4"/>
  <c r="D1527" i="4"/>
  <c r="C1527" i="4"/>
  <c r="B1527" i="4"/>
  <c r="A1527" i="4"/>
  <c r="R1526" i="4"/>
  <c r="P1526" i="4"/>
  <c r="N1526" i="4"/>
  <c r="L1526" i="4"/>
  <c r="K1526" i="4"/>
  <c r="J1526" i="4"/>
  <c r="I1526" i="4"/>
  <c r="H1526" i="4"/>
  <c r="G1526" i="4"/>
  <c r="F1526" i="4"/>
  <c r="E1526" i="4"/>
  <c r="D1526" i="4"/>
  <c r="C1526" i="4"/>
  <c r="B1526" i="4"/>
  <c r="A1526" i="4"/>
  <c r="R1525" i="4"/>
  <c r="P1525" i="4"/>
  <c r="N1525" i="4"/>
  <c r="L1525" i="4"/>
  <c r="K1525" i="4"/>
  <c r="J1525" i="4"/>
  <c r="I1525" i="4"/>
  <c r="H1525" i="4"/>
  <c r="G1525" i="4"/>
  <c r="F1525" i="4"/>
  <c r="E1525" i="4"/>
  <c r="D1525" i="4"/>
  <c r="C1525" i="4"/>
  <c r="B1525" i="4"/>
  <c r="A1525" i="4"/>
  <c r="R1524" i="4"/>
  <c r="P1524" i="4"/>
  <c r="N1524" i="4"/>
  <c r="L1524" i="4"/>
  <c r="K1524" i="4"/>
  <c r="J1524" i="4"/>
  <c r="I1524" i="4"/>
  <c r="H1524" i="4"/>
  <c r="G1524" i="4"/>
  <c r="F1524" i="4"/>
  <c r="E1524" i="4"/>
  <c r="D1524" i="4"/>
  <c r="C1524" i="4"/>
  <c r="B1524" i="4"/>
  <c r="A1524" i="4"/>
  <c r="R1523" i="4"/>
  <c r="P1523" i="4"/>
  <c r="N1523" i="4"/>
  <c r="L1523" i="4"/>
  <c r="K1523" i="4"/>
  <c r="J1523" i="4"/>
  <c r="I1523" i="4"/>
  <c r="H1523" i="4"/>
  <c r="G1523" i="4"/>
  <c r="F1523" i="4"/>
  <c r="E1523" i="4"/>
  <c r="D1523" i="4"/>
  <c r="C1523" i="4"/>
  <c r="B1523" i="4"/>
  <c r="A1523" i="4"/>
  <c r="R1522" i="4"/>
  <c r="P1522" i="4"/>
  <c r="N1522" i="4"/>
  <c r="L1522" i="4"/>
  <c r="K1522" i="4"/>
  <c r="J1522" i="4"/>
  <c r="I1522" i="4"/>
  <c r="H1522" i="4"/>
  <c r="G1522" i="4"/>
  <c r="F1522" i="4"/>
  <c r="E1522" i="4"/>
  <c r="D1522" i="4"/>
  <c r="C1522" i="4"/>
  <c r="B1522" i="4"/>
  <c r="A1522" i="4"/>
  <c r="R1521" i="4"/>
  <c r="P1521" i="4"/>
  <c r="N1521" i="4"/>
  <c r="L1521" i="4"/>
  <c r="K1521" i="4"/>
  <c r="J1521" i="4"/>
  <c r="I1521" i="4"/>
  <c r="H1521" i="4"/>
  <c r="G1521" i="4"/>
  <c r="F1521" i="4"/>
  <c r="E1521" i="4"/>
  <c r="D1521" i="4"/>
  <c r="C1521" i="4"/>
  <c r="B1521" i="4"/>
  <c r="A1521" i="4"/>
  <c r="R1520" i="4"/>
  <c r="P1520" i="4"/>
  <c r="N1520" i="4"/>
  <c r="L1520" i="4"/>
  <c r="K1520" i="4"/>
  <c r="J1520" i="4"/>
  <c r="I1520" i="4"/>
  <c r="H1520" i="4"/>
  <c r="G1520" i="4"/>
  <c r="F1520" i="4"/>
  <c r="E1520" i="4"/>
  <c r="D1520" i="4"/>
  <c r="C1520" i="4"/>
  <c r="B1520" i="4"/>
  <c r="A1520" i="4"/>
  <c r="R1519" i="4"/>
  <c r="P1519" i="4"/>
  <c r="N1519" i="4"/>
  <c r="L1519" i="4"/>
  <c r="K1519" i="4"/>
  <c r="J1519" i="4"/>
  <c r="I1519" i="4"/>
  <c r="H1519" i="4"/>
  <c r="G1519" i="4"/>
  <c r="F1519" i="4"/>
  <c r="E1519" i="4"/>
  <c r="D1519" i="4"/>
  <c r="C1519" i="4"/>
  <c r="B1519" i="4"/>
  <c r="A1519" i="4"/>
  <c r="R1518" i="4"/>
  <c r="P1518" i="4"/>
  <c r="N1518" i="4"/>
  <c r="L1518" i="4"/>
  <c r="K1518" i="4"/>
  <c r="J1518" i="4"/>
  <c r="I1518" i="4"/>
  <c r="H1518" i="4"/>
  <c r="G1518" i="4"/>
  <c r="F1518" i="4"/>
  <c r="E1518" i="4"/>
  <c r="D1518" i="4"/>
  <c r="C1518" i="4"/>
  <c r="B1518" i="4"/>
  <c r="A1518" i="4"/>
  <c r="R1517" i="4"/>
  <c r="P1517" i="4"/>
  <c r="N1517" i="4"/>
  <c r="L1517" i="4"/>
  <c r="K1517" i="4"/>
  <c r="J1517" i="4"/>
  <c r="I1517" i="4"/>
  <c r="H1517" i="4"/>
  <c r="G1517" i="4"/>
  <c r="F1517" i="4"/>
  <c r="E1517" i="4"/>
  <c r="D1517" i="4"/>
  <c r="C1517" i="4"/>
  <c r="B1517" i="4"/>
  <c r="A1517" i="4"/>
  <c r="R1516" i="4"/>
  <c r="P1516" i="4"/>
  <c r="N1516" i="4"/>
  <c r="L1516" i="4"/>
  <c r="K1516" i="4"/>
  <c r="J1516" i="4"/>
  <c r="I1516" i="4"/>
  <c r="H1516" i="4"/>
  <c r="G1516" i="4"/>
  <c r="F1516" i="4"/>
  <c r="E1516" i="4"/>
  <c r="D1516" i="4"/>
  <c r="C1516" i="4"/>
  <c r="B1516" i="4"/>
  <c r="A1516" i="4"/>
  <c r="R1515" i="4"/>
  <c r="P1515" i="4"/>
  <c r="N1515" i="4"/>
  <c r="L1515" i="4"/>
  <c r="K1515" i="4"/>
  <c r="J1515" i="4"/>
  <c r="I1515" i="4"/>
  <c r="H1515" i="4"/>
  <c r="G1515" i="4"/>
  <c r="F1515" i="4"/>
  <c r="E1515" i="4"/>
  <c r="D1515" i="4"/>
  <c r="C1515" i="4"/>
  <c r="B1515" i="4"/>
  <c r="A1515" i="4"/>
  <c r="R1514" i="4"/>
  <c r="P1514" i="4"/>
  <c r="N1514" i="4"/>
  <c r="L1514" i="4"/>
  <c r="K1514" i="4"/>
  <c r="J1514" i="4"/>
  <c r="I1514" i="4"/>
  <c r="H1514" i="4"/>
  <c r="G1514" i="4"/>
  <c r="F1514" i="4"/>
  <c r="E1514" i="4"/>
  <c r="D1514" i="4"/>
  <c r="C1514" i="4"/>
  <c r="B1514" i="4"/>
  <c r="A1514" i="4"/>
  <c r="R1513" i="4"/>
  <c r="P1513" i="4"/>
  <c r="N1513" i="4"/>
  <c r="L1513" i="4"/>
  <c r="K1513" i="4"/>
  <c r="J1513" i="4"/>
  <c r="I1513" i="4"/>
  <c r="H1513" i="4"/>
  <c r="G1513" i="4"/>
  <c r="F1513" i="4"/>
  <c r="E1513" i="4"/>
  <c r="D1513" i="4"/>
  <c r="C1513" i="4"/>
  <c r="B1513" i="4"/>
  <c r="A1513" i="4"/>
  <c r="R1512" i="4"/>
  <c r="P1512" i="4"/>
  <c r="N1512" i="4"/>
  <c r="L1512" i="4"/>
  <c r="K1512" i="4"/>
  <c r="J1512" i="4"/>
  <c r="I1512" i="4"/>
  <c r="H1512" i="4"/>
  <c r="G1512" i="4"/>
  <c r="F1512" i="4"/>
  <c r="E1512" i="4"/>
  <c r="D1512" i="4"/>
  <c r="C1512" i="4"/>
  <c r="B1512" i="4"/>
  <c r="A1512" i="4"/>
  <c r="R1511" i="4"/>
  <c r="P1511" i="4"/>
  <c r="N1511" i="4"/>
  <c r="L1511" i="4"/>
  <c r="K1511" i="4"/>
  <c r="J1511" i="4"/>
  <c r="I1511" i="4"/>
  <c r="H1511" i="4"/>
  <c r="G1511" i="4"/>
  <c r="F1511" i="4"/>
  <c r="E1511" i="4"/>
  <c r="D1511" i="4"/>
  <c r="C1511" i="4"/>
  <c r="B1511" i="4"/>
  <c r="A1511" i="4"/>
  <c r="R1510" i="4"/>
  <c r="P1510" i="4"/>
  <c r="N1510" i="4"/>
  <c r="L1510" i="4"/>
  <c r="K1510" i="4"/>
  <c r="J1510" i="4"/>
  <c r="I1510" i="4"/>
  <c r="H1510" i="4"/>
  <c r="G1510" i="4"/>
  <c r="F1510" i="4"/>
  <c r="E1510" i="4"/>
  <c r="D1510" i="4"/>
  <c r="C1510" i="4"/>
  <c r="B1510" i="4"/>
  <c r="A1510" i="4"/>
  <c r="R1509" i="4"/>
  <c r="P1509" i="4"/>
  <c r="N1509" i="4"/>
  <c r="L1509" i="4"/>
  <c r="K1509" i="4"/>
  <c r="J1509" i="4"/>
  <c r="I1509" i="4"/>
  <c r="H1509" i="4"/>
  <c r="G1509" i="4"/>
  <c r="F1509" i="4"/>
  <c r="E1509" i="4"/>
  <c r="D1509" i="4"/>
  <c r="C1509" i="4"/>
  <c r="B1509" i="4"/>
  <c r="A1509" i="4"/>
  <c r="R1508" i="4"/>
  <c r="P1508" i="4"/>
  <c r="N1508" i="4"/>
  <c r="L1508" i="4"/>
  <c r="K1508" i="4"/>
  <c r="J1508" i="4"/>
  <c r="I1508" i="4"/>
  <c r="H1508" i="4"/>
  <c r="G1508" i="4"/>
  <c r="F1508" i="4"/>
  <c r="E1508" i="4"/>
  <c r="D1508" i="4"/>
  <c r="C1508" i="4"/>
  <c r="B1508" i="4"/>
  <c r="A1508" i="4"/>
  <c r="R1507" i="4"/>
  <c r="P1507" i="4"/>
  <c r="N1507" i="4"/>
  <c r="L1507" i="4"/>
  <c r="K1507" i="4"/>
  <c r="J1507" i="4"/>
  <c r="I1507" i="4"/>
  <c r="H1507" i="4"/>
  <c r="G1507" i="4"/>
  <c r="F1507" i="4"/>
  <c r="E1507" i="4"/>
  <c r="D1507" i="4"/>
  <c r="C1507" i="4"/>
  <c r="B1507" i="4"/>
  <c r="A1507" i="4"/>
  <c r="R1506" i="4"/>
  <c r="P1506" i="4"/>
  <c r="N1506" i="4"/>
  <c r="L1506" i="4"/>
  <c r="K1506" i="4"/>
  <c r="J1506" i="4"/>
  <c r="I1506" i="4"/>
  <c r="H1506" i="4"/>
  <c r="G1506" i="4"/>
  <c r="F1506" i="4"/>
  <c r="E1506" i="4"/>
  <c r="D1506" i="4"/>
  <c r="C1506" i="4"/>
  <c r="B1506" i="4"/>
  <c r="A1506" i="4"/>
  <c r="R1505" i="4"/>
  <c r="P1505" i="4"/>
  <c r="N1505" i="4"/>
  <c r="L1505" i="4"/>
  <c r="K1505" i="4"/>
  <c r="J1505" i="4"/>
  <c r="I1505" i="4"/>
  <c r="H1505" i="4"/>
  <c r="G1505" i="4"/>
  <c r="F1505" i="4"/>
  <c r="E1505" i="4"/>
  <c r="D1505" i="4"/>
  <c r="C1505" i="4"/>
  <c r="B1505" i="4"/>
  <c r="A1505" i="4"/>
  <c r="R1504" i="4"/>
  <c r="P1504" i="4"/>
  <c r="N1504" i="4"/>
  <c r="L1504" i="4"/>
  <c r="K1504" i="4"/>
  <c r="J1504" i="4"/>
  <c r="I1504" i="4"/>
  <c r="H1504" i="4"/>
  <c r="G1504" i="4"/>
  <c r="F1504" i="4"/>
  <c r="E1504" i="4"/>
  <c r="D1504" i="4"/>
  <c r="C1504" i="4"/>
  <c r="B1504" i="4"/>
  <c r="A1504" i="4"/>
  <c r="R1503" i="4"/>
  <c r="P1503" i="4"/>
  <c r="N1503" i="4"/>
  <c r="L1503" i="4"/>
  <c r="K1503" i="4"/>
  <c r="J1503" i="4"/>
  <c r="I1503" i="4"/>
  <c r="H1503" i="4"/>
  <c r="G1503" i="4"/>
  <c r="F1503" i="4"/>
  <c r="E1503" i="4"/>
  <c r="D1503" i="4"/>
  <c r="C1503" i="4"/>
  <c r="B1503" i="4"/>
  <c r="A1503" i="4"/>
  <c r="R1502" i="4"/>
  <c r="P1502" i="4"/>
  <c r="N1502" i="4"/>
  <c r="L1502" i="4"/>
  <c r="K1502" i="4"/>
  <c r="J1502" i="4"/>
  <c r="I1502" i="4"/>
  <c r="H1502" i="4"/>
  <c r="G1502" i="4"/>
  <c r="F1502" i="4"/>
  <c r="E1502" i="4"/>
  <c r="D1502" i="4"/>
  <c r="C1502" i="4"/>
  <c r="B1502" i="4"/>
  <c r="A1502" i="4"/>
  <c r="R1501" i="4"/>
  <c r="P1501" i="4"/>
  <c r="N1501" i="4"/>
  <c r="L1501" i="4"/>
  <c r="K1501" i="4"/>
  <c r="J1501" i="4"/>
  <c r="I1501" i="4"/>
  <c r="H1501" i="4"/>
  <c r="G1501" i="4"/>
  <c r="F1501" i="4"/>
  <c r="E1501" i="4"/>
  <c r="D1501" i="4"/>
  <c r="C1501" i="4"/>
  <c r="B1501" i="4"/>
  <c r="A1501" i="4"/>
  <c r="R1500" i="4"/>
  <c r="P1500" i="4"/>
  <c r="N1500" i="4"/>
  <c r="L1500" i="4"/>
  <c r="K1500" i="4"/>
  <c r="J1500" i="4"/>
  <c r="I1500" i="4"/>
  <c r="H1500" i="4"/>
  <c r="G1500" i="4"/>
  <c r="F1500" i="4"/>
  <c r="E1500" i="4"/>
  <c r="D1500" i="4"/>
  <c r="C1500" i="4"/>
  <c r="B1500" i="4"/>
  <c r="A1500" i="4"/>
  <c r="R1499" i="4"/>
  <c r="P1499" i="4"/>
  <c r="N1499" i="4"/>
  <c r="L1499" i="4"/>
  <c r="K1499" i="4"/>
  <c r="J1499" i="4"/>
  <c r="I1499" i="4"/>
  <c r="H1499" i="4"/>
  <c r="G1499" i="4"/>
  <c r="F1499" i="4"/>
  <c r="E1499" i="4"/>
  <c r="D1499" i="4"/>
  <c r="C1499" i="4"/>
  <c r="B1499" i="4"/>
  <c r="A1499" i="4"/>
  <c r="R1498" i="4"/>
  <c r="P1498" i="4"/>
  <c r="N1498" i="4"/>
  <c r="L1498" i="4"/>
  <c r="K1498" i="4"/>
  <c r="J1498" i="4"/>
  <c r="I1498" i="4"/>
  <c r="H1498" i="4"/>
  <c r="G1498" i="4"/>
  <c r="F1498" i="4"/>
  <c r="E1498" i="4"/>
  <c r="D1498" i="4"/>
  <c r="C1498" i="4"/>
  <c r="B1498" i="4"/>
  <c r="A1498" i="4"/>
  <c r="R1497" i="4"/>
  <c r="P1497" i="4"/>
  <c r="N1497" i="4"/>
  <c r="L1497" i="4"/>
  <c r="K1497" i="4"/>
  <c r="J1497" i="4"/>
  <c r="I1497" i="4"/>
  <c r="H1497" i="4"/>
  <c r="G1497" i="4"/>
  <c r="F1497" i="4"/>
  <c r="E1497" i="4"/>
  <c r="D1497" i="4"/>
  <c r="C1497" i="4"/>
  <c r="B1497" i="4"/>
  <c r="A1497" i="4"/>
  <c r="R1496" i="4"/>
  <c r="P1496" i="4"/>
  <c r="N1496" i="4"/>
  <c r="L1496" i="4"/>
  <c r="K1496" i="4"/>
  <c r="J1496" i="4"/>
  <c r="I1496" i="4"/>
  <c r="H1496" i="4"/>
  <c r="G1496" i="4"/>
  <c r="F1496" i="4"/>
  <c r="E1496" i="4"/>
  <c r="D1496" i="4"/>
  <c r="C1496" i="4"/>
  <c r="B1496" i="4"/>
  <c r="A1496" i="4"/>
  <c r="R1495" i="4"/>
  <c r="P1495" i="4"/>
  <c r="N1495" i="4"/>
  <c r="L1495" i="4"/>
  <c r="K1495" i="4"/>
  <c r="J1495" i="4"/>
  <c r="I1495" i="4"/>
  <c r="H1495" i="4"/>
  <c r="G1495" i="4"/>
  <c r="F1495" i="4"/>
  <c r="E1495" i="4"/>
  <c r="D1495" i="4"/>
  <c r="C1495" i="4"/>
  <c r="B1495" i="4"/>
  <c r="A1495" i="4"/>
  <c r="R1494" i="4"/>
  <c r="P1494" i="4"/>
  <c r="N1494" i="4"/>
  <c r="L1494" i="4"/>
  <c r="K1494" i="4"/>
  <c r="J1494" i="4"/>
  <c r="I1494" i="4"/>
  <c r="H1494" i="4"/>
  <c r="G1494" i="4"/>
  <c r="F1494" i="4"/>
  <c r="E1494" i="4"/>
  <c r="D1494" i="4"/>
  <c r="C1494" i="4"/>
  <c r="B1494" i="4"/>
  <c r="A1494" i="4"/>
  <c r="R1493" i="4"/>
  <c r="P1493" i="4"/>
  <c r="N1493" i="4"/>
  <c r="L1493" i="4"/>
  <c r="K1493" i="4"/>
  <c r="J1493" i="4"/>
  <c r="I1493" i="4"/>
  <c r="H1493" i="4"/>
  <c r="G1493" i="4"/>
  <c r="F1493" i="4"/>
  <c r="E1493" i="4"/>
  <c r="D1493" i="4"/>
  <c r="C1493" i="4"/>
  <c r="B1493" i="4"/>
  <c r="A1493" i="4"/>
  <c r="R1492" i="4"/>
  <c r="P1492" i="4"/>
  <c r="N1492" i="4"/>
  <c r="L1492" i="4"/>
  <c r="K1492" i="4"/>
  <c r="J1492" i="4"/>
  <c r="I1492" i="4"/>
  <c r="H1492" i="4"/>
  <c r="G1492" i="4"/>
  <c r="F1492" i="4"/>
  <c r="E1492" i="4"/>
  <c r="D1492" i="4"/>
  <c r="C1492" i="4"/>
  <c r="B1492" i="4"/>
  <c r="A1492" i="4"/>
  <c r="R1491" i="4"/>
  <c r="P1491" i="4"/>
  <c r="N1491" i="4"/>
  <c r="L1491" i="4"/>
  <c r="K1491" i="4"/>
  <c r="J1491" i="4"/>
  <c r="I1491" i="4"/>
  <c r="H1491" i="4"/>
  <c r="G1491" i="4"/>
  <c r="F1491" i="4"/>
  <c r="E1491" i="4"/>
  <c r="D1491" i="4"/>
  <c r="C1491" i="4"/>
  <c r="B1491" i="4"/>
  <c r="A1491" i="4"/>
  <c r="R1490" i="4"/>
  <c r="P1490" i="4"/>
  <c r="N1490" i="4"/>
  <c r="L1490" i="4"/>
  <c r="K1490" i="4"/>
  <c r="J1490" i="4"/>
  <c r="I1490" i="4"/>
  <c r="H1490" i="4"/>
  <c r="G1490" i="4"/>
  <c r="F1490" i="4"/>
  <c r="E1490" i="4"/>
  <c r="D1490" i="4"/>
  <c r="C1490" i="4"/>
  <c r="B1490" i="4"/>
  <c r="A1490" i="4"/>
  <c r="R1489" i="4"/>
  <c r="P1489" i="4"/>
  <c r="N1489" i="4"/>
  <c r="L1489" i="4"/>
  <c r="K1489" i="4"/>
  <c r="J1489" i="4"/>
  <c r="I1489" i="4"/>
  <c r="H1489" i="4"/>
  <c r="G1489" i="4"/>
  <c r="F1489" i="4"/>
  <c r="E1489" i="4"/>
  <c r="D1489" i="4"/>
  <c r="C1489" i="4"/>
  <c r="B1489" i="4"/>
  <c r="A1489" i="4"/>
  <c r="R1488" i="4"/>
  <c r="P1488" i="4"/>
  <c r="N1488" i="4"/>
  <c r="L1488" i="4"/>
  <c r="K1488" i="4"/>
  <c r="J1488" i="4"/>
  <c r="I1488" i="4"/>
  <c r="H1488" i="4"/>
  <c r="G1488" i="4"/>
  <c r="F1488" i="4"/>
  <c r="E1488" i="4"/>
  <c r="D1488" i="4"/>
  <c r="C1488" i="4"/>
  <c r="B1488" i="4"/>
  <c r="A1488" i="4"/>
  <c r="R1487" i="4"/>
  <c r="P1487" i="4"/>
  <c r="N1487" i="4"/>
  <c r="L1487" i="4"/>
  <c r="K1487" i="4"/>
  <c r="J1487" i="4"/>
  <c r="I1487" i="4"/>
  <c r="H1487" i="4"/>
  <c r="G1487" i="4"/>
  <c r="F1487" i="4"/>
  <c r="E1487" i="4"/>
  <c r="D1487" i="4"/>
  <c r="C1487" i="4"/>
  <c r="B1487" i="4"/>
  <c r="A1487" i="4"/>
  <c r="R1486" i="4"/>
  <c r="P1486" i="4"/>
  <c r="N1486" i="4"/>
  <c r="L1486" i="4"/>
  <c r="K1486" i="4"/>
  <c r="J1486" i="4"/>
  <c r="I1486" i="4"/>
  <c r="H1486" i="4"/>
  <c r="G1486" i="4"/>
  <c r="F1486" i="4"/>
  <c r="E1486" i="4"/>
  <c r="D1486" i="4"/>
  <c r="C1486" i="4"/>
  <c r="B1486" i="4"/>
  <c r="A1486" i="4"/>
  <c r="R1485" i="4"/>
  <c r="P1485" i="4"/>
  <c r="N1485" i="4"/>
  <c r="L1485" i="4"/>
  <c r="K1485" i="4"/>
  <c r="J1485" i="4"/>
  <c r="I1485" i="4"/>
  <c r="H1485" i="4"/>
  <c r="G1485" i="4"/>
  <c r="F1485" i="4"/>
  <c r="E1485" i="4"/>
  <c r="D1485" i="4"/>
  <c r="C1485" i="4"/>
  <c r="B1485" i="4"/>
  <c r="A1485" i="4"/>
  <c r="R1484" i="4"/>
  <c r="P1484" i="4"/>
  <c r="N1484" i="4"/>
  <c r="L1484" i="4"/>
  <c r="K1484" i="4"/>
  <c r="J1484" i="4"/>
  <c r="I1484" i="4"/>
  <c r="H1484" i="4"/>
  <c r="G1484" i="4"/>
  <c r="F1484" i="4"/>
  <c r="E1484" i="4"/>
  <c r="D1484" i="4"/>
  <c r="C1484" i="4"/>
  <c r="B1484" i="4"/>
  <c r="A1484" i="4"/>
  <c r="R1483" i="4"/>
  <c r="P1483" i="4"/>
  <c r="N1483" i="4"/>
  <c r="L1483" i="4"/>
  <c r="K1483" i="4"/>
  <c r="J1483" i="4"/>
  <c r="I1483" i="4"/>
  <c r="H1483" i="4"/>
  <c r="G1483" i="4"/>
  <c r="F1483" i="4"/>
  <c r="E1483" i="4"/>
  <c r="D1483" i="4"/>
  <c r="C1483" i="4"/>
  <c r="B1483" i="4"/>
  <c r="A1483" i="4"/>
  <c r="R1482" i="4"/>
  <c r="P1482" i="4"/>
  <c r="N1482" i="4"/>
  <c r="L1482" i="4"/>
  <c r="K1482" i="4"/>
  <c r="J1482" i="4"/>
  <c r="I1482" i="4"/>
  <c r="H1482" i="4"/>
  <c r="G1482" i="4"/>
  <c r="F1482" i="4"/>
  <c r="E1482" i="4"/>
  <c r="D1482" i="4"/>
  <c r="C1482" i="4"/>
  <c r="B1482" i="4"/>
  <c r="A1482" i="4"/>
  <c r="R1481" i="4"/>
  <c r="P1481" i="4"/>
  <c r="N1481" i="4"/>
  <c r="L1481" i="4"/>
  <c r="K1481" i="4"/>
  <c r="J1481" i="4"/>
  <c r="I1481" i="4"/>
  <c r="H1481" i="4"/>
  <c r="G1481" i="4"/>
  <c r="F1481" i="4"/>
  <c r="E1481" i="4"/>
  <c r="D1481" i="4"/>
  <c r="C1481" i="4"/>
  <c r="B1481" i="4"/>
  <c r="A1481" i="4"/>
  <c r="R1480" i="4"/>
  <c r="P1480" i="4"/>
  <c r="N1480" i="4"/>
  <c r="L1480" i="4"/>
  <c r="K1480" i="4"/>
  <c r="J1480" i="4"/>
  <c r="I1480" i="4"/>
  <c r="H1480" i="4"/>
  <c r="G1480" i="4"/>
  <c r="F1480" i="4"/>
  <c r="E1480" i="4"/>
  <c r="D1480" i="4"/>
  <c r="C1480" i="4"/>
  <c r="B1480" i="4"/>
  <c r="A1480" i="4"/>
  <c r="R1479" i="4"/>
  <c r="P1479" i="4"/>
  <c r="N1479" i="4"/>
  <c r="L1479" i="4"/>
  <c r="K1479" i="4"/>
  <c r="J1479" i="4"/>
  <c r="I1479" i="4"/>
  <c r="H1479" i="4"/>
  <c r="G1479" i="4"/>
  <c r="F1479" i="4"/>
  <c r="E1479" i="4"/>
  <c r="D1479" i="4"/>
  <c r="C1479" i="4"/>
  <c r="B1479" i="4"/>
  <c r="A1479" i="4"/>
  <c r="R1478" i="4"/>
  <c r="P1478" i="4"/>
  <c r="N1478" i="4"/>
  <c r="L1478" i="4"/>
  <c r="K1478" i="4"/>
  <c r="J1478" i="4"/>
  <c r="I1478" i="4"/>
  <c r="H1478" i="4"/>
  <c r="G1478" i="4"/>
  <c r="F1478" i="4"/>
  <c r="E1478" i="4"/>
  <c r="D1478" i="4"/>
  <c r="C1478" i="4"/>
  <c r="B1478" i="4"/>
  <c r="A1478" i="4"/>
  <c r="R1477" i="4"/>
  <c r="P1477" i="4"/>
  <c r="N1477" i="4"/>
  <c r="L1477" i="4"/>
  <c r="K1477" i="4"/>
  <c r="J1477" i="4"/>
  <c r="I1477" i="4"/>
  <c r="H1477" i="4"/>
  <c r="G1477" i="4"/>
  <c r="F1477" i="4"/>
  <c r="E1477" i="4"/>
  <c r="D1477" i="4"/>
  <c r="C1477" i="4"/>
  <c r="B1477" i="4"/>
  <c r="A1477" i="4"/>
  <c r="R1476" i="4"/>
  <c r="P1476" i="4"/>
  <c r="N1476" i="4"/>
  <c r="L1476" i="4"/>
  <c r="K1476" i="4"/>
  <c r="J1476" i="4"/>
  <c r="I1476" i="4"/>
  <c r="H1476" i="4"/>
  <c r="G1476" i="4"/>
  <c r="F1476" i="4"/>
  <c r="E1476" i="4"/>
  <c r="D1476" i="4"/>
  <c r="C1476" i="4"/>
  <c r="B1476" i="4"/>
  <c r="A1476" i="4"/>
  <c r="R1475" i="4"/>
  <c r="P1475" i="4"/>
  <c r="N1475" i="4"/>
  <c r="L1475" i="4"/>
  <c r="K1475" i="4"/>
  <c r="J1475" i="4"/>
  <c r="I1475" i="4"/>
  <c r="H1475" i="4"/>
  <c r="G1475" i="4"/>
  <c r="F1475" i="4"/>
  <c r="E1475" i="4"/>
  <c r="D1475" i="4"/>
  <c r="C1475" i="4"/>
  <c r="B1475" i="4"/>
  <c r="A1475" i="4"/>
  <c r="R1474" i="4"/>
  <c r="P1474" i="4"/>
  <c r="N1474" i="4"/>
  <c r="L1474" i="4"/>
  <c r="K1474" i="4"/>
  <c r="J1474" i="4"/>
  <c r="I1474" i="4"/>
  <c r="H1474" i="4"/>
  <c r="G1474" i="4"/>
  <c r="F1474" i="4"/>
  <c r="E1474" i="4"/>
  <c r="D1474" i="4"/>
  <c r="C1474" i="4"/>
  <c r="B1474" i="4"/>
  <c r="A1474" i="4"/>
  <c r="R1473" i="4"/>
  <c r="P1473" i="4"/>
  <c r="N1473" i="4"/>
  <c r="L1473" i="4"/>
  <c r="K1473" i="4"/>
  <c r="J1473" i="4"/>
  <c r="I1473" i="4"/>
  <c r="H1473" i="4"/>
  <c r="G1473" i="4"/>
  <c r="F1473" i="4"/>
  <c r="E1473" i="4"/>
  <c r="D1473" i="4"/>
  <c r="C1473" i="4"/>
  <c r="B1473" i="4"/>
  <c r="A1473" i="4"/>
  <c r="R1472" i="4"/>
  <c r="P1472" i="4"/>
  <c r="N1472" i="4"/>
  <c r="L1472" i="4"/>
  <c r="K1472" i="4"/>
  <c r="J1472" i="4"/>
  <c r="I1472" i="4"/>
  <c r="H1472" i="4"/>
  <c r="G1472" i="4"/>
  <c r="F1472" i="4"/>
  <c r="E1472" i="4"/>
  <c r="D1472" i="4"/>
  <c r="C1472" i="4"/>
  <c r="B1472" i="4"/>
  <c r="A1472" i="4"/>
  <c r="R1471" i="4"/>
  <c r="P1471" i="4"/>
  <c r="N1471" i="4"/>
  <c r="L1471" i="4"/>
  <c r="K1471" i="4"/>
  <c r="J1471" i="4"/>
  <c r="I1471" i="4"/>
  <c r="H1471" i="4"/>
  <c r="G1471" i="4"/>
  <c r="F1471" i="4"/>
  <c r="E1471" i="4"/>
  <c r="D1471" i="4"/>
  <c r="C1471" i="4"/>
  <c r="B1471" i="4"/>
  <c r="A1471" i="4"/>
  <c r="R1470" i="4"/>
  <c r="P1470" i="4"/>
  <c r="N1470" i="4"/>
  <c r="L1470" i="4"/>
  <c r="K1470" i="4"/>
  <c r="J1470" i="4"/>
  <c r="I1470" i="4"/>
  <c r="H1470" i="4"/>
  <c r="G1470" i="4"/>
  <c r="F1470" i="4"/>
  <c r="E1470" i="4"/>
  <c r="D1470" i="4"/>
  <c r="C1470" i="4"/>
  <c r="B1470" i="4"/>
  <c r="A1470" i="4"/>
  <c r="R1469" i="4"/>
  <c r="P1469" i="4"/>
  <c r="N1469" i="4"/>
  <c r="L1469" i="4"/>
  <c r="K1469" i="4"/>
  <c r="J1469" i="4"/>
  <c r="I1469" i="4"/>
  <c r="H1469" i="4"/>
  <c r="G1469" i="4"/>
  <c r="F1469" i="4"/>
  <c r="E1469" i="4"/>
  <c r="D1469" i="4"/>
  <c r="C1469" i="4"/>
  <c r="B1469" i="4"/>
  <c r="A1469" i="4"/>
  <c r="R1468" i="4"/>
  <c r="P1468" i="4"/>
  <c r="N1468" i="4"/>
  <c r="L1468" i="4"/>
  <c r="K1468" i="4"/>
  <c r="J1468" i="4"/>
  <c r="I1468" i="4"/>
  <c r="H1468" i="4"/>
  <c r="G1468" i="4"/>
  <c r="F1468" i="4"/>
  <c r="E1468" i="4"/>
  <c r="D1468" i="4"/>
  <c r="C1468" i="4"/>
  <c r="B1468" i="4"/>
  <c r="A1468" i="4"/>
  <c r="R1467" i="4"/>
  <c r="P1467" i="4"/>
  <c r="N1467" i="4"/>
  <c r="L1467" i="4"/>
  <c r="K1467" i="4"/>
  <c r="J1467" i="4"/>
  <c r="I1467" i="4"/>
  <c r="H1467" i="4"/>
  <c r="G1467" i="4"/>
  <c r="F1467" i="4"/>
  <c r="E1467" i="4"/>
  <c r="D1467" i="4"/>
  <c r="C1467" i="4"/>
  <c r="B1467" i="4"/>
  <c r="A1467" i="4"/>
  <c r="R1466" i="4"/>
  <c r="P1466" i="4"/>
  <c r="N1466" i="4"/>
  <c r="L1466" i="4"/>
  <c r="K1466" i="4"/>
  <c r="J1466" i="4"/>
  <c r="I1466" i="4"/>
  <c r="H1466" i="4"/>
  <c r="G1466" i="4"/>
  <c r="F1466" i="4"/>
  <c r="E1466" i="4"/>
  <c r="D1466" i="4"/>
  <c r="C1466" i="4"/>
  <c r="B1466" i="4"/>
  <c r="A1466" i="4"/>
  <c r="R1465" i="4"/>
  <c r="P1465" i="4"/>
  <c r="N1465" i="4"/>
  <c r="L1465" i="4"/>
  <c r="K1465" i="4"/>
  <c r="J1465" i="4"/>
  <c r="I1465" i="4"/>
  <c r="H1465" i="4"/>
  <c r="G1465" i="4"/>
  <c r="F1465" i="4"/>
  <c r="E1465" i="4"/>
  <c r="D1465" i="4"/>
  <c r="C1465" i="4"/>
  <c r="B1465" i="4"/>
  <c r="A1465" i="4"/>
  <c r="R1464" i="4"/>
  <c r="P1464" i="4"/>
  <c r="N1464" i="4"/>
  <c r="L1464" i="4"/>
  <c r="K1464" i="4"/>
  <c r="J1464" i="4"/>
  <c r="I1464" i="4"/>
  <c r="H1464" i="4"/>
  <c r="G1464" i="4"/>
  <c r="F1464" i="4"/>
  <c r="E1464" i="4"/>
  <c r="D1464" i="4"/>
  <c r="C1464" i="4"/>
  <c r="B1464" i="4"/>
  <c r="A1464" i="4"/>
  <c r="R1463" i="4"/>
  <c r="P1463" i="4"/>
  <c r="N1463" i="4"/>
  <c r="L1463" i="4"/>
  <c r="K1463" i="4"/>
  <c r="J1463" i="4"/>
  <c r="I1463" i="4"/>
  <c r="H1463" i="4"/>
  <c r="G1463" i="4"/>
  <c r="F1463" i="4"/>
  <c r="E1463" i="4"/>
  <c r="D1463" i="4"/>
  <c r="C1463" i="4"/>
  <c r="B1463" i="4"/>
  <c r="A1463" i="4"/>
  <c r="R1462" i="4"/>
  <c r="P1462" i="4"/>
  <c r="N1462" i="4"/>
  <c r="L1462" i="4"/>
  <c r="K1462" i="4"/>
  <c r="J1462" i="4"/>
  <c r="I1462" i="4"/>
  <c r="H1462" i="4"/>
  <c r="G1462" i="4"/>
  <c r="F1462" i="4"/>
  <c r="E1462" i="4"/>
  <c r="D1462" i="4"/>
  <c r="C1462" i="4"/>
  <c r="B1462" i="4"/>
  <c r="A1462" i="4"/>
  <c r="R1461" i="4"/>
  <c r="P1461" i="4"/>
  <c r="N1461" i="4"/>
  <c r="L1461" i="4"/>
  <c r="K1461" i="4"/>
  <c r="J1461" i="4"/>
  <c r="I1461" i="4"/>
  <c r="H1461" i="4"/>
  <c r="G1461" i="4"/>
  <c r="F1461" i="4"/>
  <c r="E1461" i="4"/>
  <c r="D1461" i="4"/>
  <c r="C1461" i="4"/>
  <c r="B1461" i="4"/>
  <c r="A1461" i="4"/>
  <c r="R1460" i="4"/>
  <c r="P1460" i="4"/>
  <c r="N1460" i="4"/>
  <c r="L1460" i="4"/>
  <c r="K1460" i="4"/>
  <c r="J1460" i="4"/>
  <c r="I1460" i="4"/>
  <c r="H1460" i="4"/>
  <c r="G1460" i="4"/>
  <c r="F1460" i="4"/>
  <c r="E1460" i="4"/>
  <c r="D1460" i="4"/>
  <c r="C1460" i="4"/>
  <c r="B1460" i="4"/>
  <c r="A1460" i="4"/>
  <c r="R1459" i="4"/>
  <c r="P1459" i="4"/>
  <c r="N1459" i="4"/>
  <c r="L1459" i="4"/>
  <c r="K1459" i="4"/>
  <c r="J1459" i="4"/>
  <c r="I1459" i="4"/>
  <c r="H1459" i="4"/>
  <c r="G1459" i="4"/>
  <c r="F1459" i="4"/>
  <c r="E1459" i="4"/>
  <c r="D1459" i="4"/>
  <c r="C1459" i="4"/>
  <c r="B1459" i="4"/>
  <c r="A1459" i="4"/>
  <c r="R1458" i="4"/>
  <c r="P1458" i="4"/>
  <c r="N1458" i="4"/>
  <c r="L1458" i="4"/>
  <c r="K1458" i="4"/>
  <c r="J1458" i="4"/>
  <c r="I1458" i="4"/>
  <c r="H1458" i="4"/>
  <c r="G1458" i="4"/>
  <c r="F1458" i="4"/>
  <c r="E1458" i="4"/>
  <c r="D1458" i="4"/>
  <c r="C1458" i="4"/>
  <c r="B1458" i="4"/>
  <c r="A1458" i="4"/>
  <c r="R1457" i="4"/>
  <c r="P1457" i="4"/>
  <c r="N1457" i="4"/>
  <c r="L1457" i="4"/>
  <c r="K1457" i="4"/>
  <c r="J1457" i="4"/>
  <c r="I1457" i="4"/>
  <c r="H1457" i="4"/>
  <c r="G1457" i="4"/>
  <c r="F1457" i="4"/>
  <c r="E1457" i="4"/>
  <c r="D1457" i="4"/>
  <c r="C1457" i="4"/>
  <c r="B1457" i="4"/>
  <c r="A1457" i="4"/>
  <c r="R1456" i="4"/>
  <c r="P1456" i="4"/>
  <c r="N1456" i="4"/>
  <c r="L1456" i="4"/>
  <c r="K1456" i="4"/>
  <c r="J1456" i="4"/>
  <c r="I1456" i="4"/>
  <c r="H1456" i="4"/>
  <c r="G1456" i="4"/>
  <c r="F1456" i="4"/>
  <c r="E1456" i="4"/>
  <c r="D1456" i="4"/>
  <c r="C1456" i="4"/>
  <c r="B1456" i="4"/>
  <c r="A1456" i="4"/>
  <c r="R1455" i="4"/>
  <c r="P1455" i="4"/>
  <c r="N1455" i="4"/>
  <c r="L1455" i="4"/>
  <c r="K1455" i="4"/>
  <c r="J1455" i="4"/>
  <c r="I1455" i="4"/>
  <c r="H1455" i="4"/>
  <c r="G1455" i="4"/>
  <c r="F1455" i="4"/>
  <c r="E1455" i="4"/>
  <c r="D1455" i="4"/>
  <c r="C1455" i="4"/>
  <c r="B1455" i="4"/>
  <c r="A1455" i="4"/>
  <c r="R1454" i="4"/>
  <c r="P1454" i="4"/>
  <c r="N1454" i="4"/>
  <c r="L1454" i="4"/>
  <c r="K1454" i="4"/>
  <c r="J1454" i="4"/>
  <c r="I1454" i="4"/>
  <c r="H1454" i="4"/>
  <c r="G1454" i="4"/>
  <c r="F1454" i="4"/>
  <c r="E1454" i="4"/>
  <c r="D1454" i="4"/>
  <c r="C1454" i="4"/>
  <c r="B1454" i="4"/>
  <c r="A1454" i="4"/>
  <c r="R1453" i="4"/>
  <c r="P1453" i="4"/>
  <c r="N1453" i="4"/>
  <c r="L1453" i="4"/>
  <c r="K1453" i="4"/>
  <c r="J1453" i="4"/>
  <c r="I1453" i="4"/>
  <c r="H1453" i="4"/>
  <c r="G1453" i="4"/>
  <c r="F1453" i="4"/>
  <c r="E1453" i="4"/>
  <c r="D1453" i="4"/>
  <c r="C1453" i="4"/>
  <c r="B1453" i="4"/>
  <c r="A1453" i="4"/>
  <c r="R1452" i="4"/>
  <c r="P1452" i="4"/>
  <c r="N1452" i="4"/>
  <c r="L1452" i="4"/>
  <c r="K1452" i="4"/>
  <c r="J1452" i="4"/>
  <c r="I1452" i="4"/>
  <c r="H1452" i="4"/>
  <c r="G1452" i="4"/>
  <c r="F1452" i="4"/>
  <c r="E1452" i="4"/>
  <c r="D1452" i="4"/>
  <c r="C1452" i="4"/>
  <c r="B1452" i="4"/>
  <c r="A1452" i="4"/>
  <c r="R1451" i="4"/>
  <c r="P1451" i="4"/>
  <c r="N1451" i="4"/>
  <c r="L1451" i="4"/>
  <c r="K1451" i="4"/>
  <c r="J1451" i="4"/>
  <c r="I1451" i="4"/>
  <c r="H1451" i="4"/>
  <c r="G1451" i="4"/>
  <c r="F1451" i="4"/>
  <c r="E1451" i="4"/>
  <c r="D1451" i="4"/>
  <c r="C1451" i="4"/>
  <c r="B1451" i="4"/>
  <c r="A1451" i="4"/>
  <c r="R1450" i="4"/>
  <c r="P1450" i="4"/>
  <c r="N1450" i="4"/>
  <c r="L1450" i="4"/>
  <c r="K1450" i="4"/>
  <c r="J1450" i="4"/>
  <c r="I1450" i="4"/>
  <c r="H1450" i="4"/>
  <c r="G1450" i="4"/>
  <c r="F1450" i="4"/>
  <c r="E1450" i="4"/>
  <c r="D1450" i="4"/>
  <c r="C1450" i="4"/>
  <c r="B1450" i="4"/>
  <c r="A1450" i="4"/>
  <c r="R1449" i="4"/>
  <c r="P1449" i="4"/>
  <c r="N1449" i="4"/>
  <c r="L1449" i="4"/>
  <c r="K1449" i="4"/>
  <c r="J1449" i="4"/>
  <c r="I1449" i="4"/>
  <c r="H1449" i="4"/>
  <c r="G1449" i="4"/>
  <c r="F1449" i="4"/>
  <c r="E1449" i="4"/>
  <c r="D1449" i="4"/>
  <c r="C1449" i="4"/>
  <c r="B1449" i="4"/>
  <c r="A1449" i="4"/>
  <c r="R1448" i="4"/>
  <c r="P1448" i="4"/>
  <c r="N1448" i="4"/>
  <c r="L1448" i="4"/>
  <c r="K1448" i="4"/>
  <c r="J1448" i="4"/>
  <c r="I1448" i="4"/>
  <c r="H1448" i="4"/>
  <c r="G1448" i="4"/>
  <c r="F1448" i="4"/>
  <c r="E1448" i="4"/>
  <c r="D1448" i="4"/>
  <c r="C1448" i="4"/>
  <c r="B1448" i="4"/>
  <c r="A1448" i="4"/>
  <c r="R1447" i="4"/>
  <c r="P1447" i="4"/>
  <c r="N1447" i="4"/>
  <c r="L1447" i="4"/>
  <c r="K1447" i="4"/>
  <c r="J1447" i="4"/>
  <c r="I1447" i="4"/>
  <c r="H1447" i="4"/>
  <c r="G1447" i="4"/>
  <c r="F1447" i="4"/>
  <c r="E1447" i="4"/>
  <c r="D1447" i="4"/>
  <c r="C1447" i="4"/>
  <c r="B1447" i="4"/>
  <c r="A1447" i="4"/>
  <c r="R1446" i="4"/>
  <c r="P1446" i="4"/>
  <c r="N1446" i="4"/>
  <c r="L1446" i="4"/>
  <c r="K1446" i="4"/>
  <c r="J1446" i="4"/>
  <c r="I1446" i="4"/>
  <c r="H1446" i="4"/>
  <c r="G1446" i="4"/>
  <c r="F1446" i="4"/>
  <c r="E1446" i="4"/>
  <c r="D1446" i="4"/>
  <c r="C1446" i="4"/>
  <c r="B1446" i="4"/>
  <c r="A1446" i="4"/>
  <c r="R1445" i="4"/>
  <c r="P1445" i="4"/>
  <c r="N1445" i="4"/>
  <c r="L1445" i="4"/>
  <c r="K1445" i="4"/>
  <c r="J1445" i="4"/>
  <c r="I1445" i="4"/>
  <c r="H1445" i="4"/>
  <c r="G1445" i="4"/>
  <c r="F1445" i="4"/>
  <c r="E1445" i="4"/>
  <c r="D1445" i="4"/>
  <c r="C1445" i="4"/>
  <c r="B1445" i="4"/>
  <c r="A1445" i="4"/>
  <c r="R1444" i="4"/>
  <c r="P1444" i="4"/>
  <c r="N1444" i="4"/>
  <c r="L1444" i="4"/>
  <c r="K1444" i="4"/>
  <c r="J1444" i="4"/>
  <c r="I1444" i="4"/>
  <c r="H1444" i="4"/>
  <c r="G1444" i="4"/>
  <c r="F1444" i="4"/>
  <c r="E1444" i="4"/>
  <c r="D1444" i="4"/>
  <c r="C1444" i="4"/>
  <c r="B1444" i="4"/>
  <c r="A1444" i="4"/>
  <c r="R1443" i="4"/>
  <c r="P1443" i="4"/>
  <c r="N1443" i="4"/>
  <c r="L1443" i="4"/>
  <c r="K1443" i="4"/>
  <c r="J1443" i="4"/>
  <c r="I1443" i="4"/>
  <c r="H1443" i="4"/>
  <c r="G1443" i="4"/>
  <c r="F1443" i="4"/>
  <c r="E1443" i="4"/>
  <c r="D1443" i="4"/>
  <c r="C1443" i="4"/>
  <c r="B1443" i="4"/>
  <c r="A1443" i="4"/>
  <c r="R1442" i="4"/>
  <c r="P1442" i="4"/>
  <c r="N1442" i="4"/>
  <c r="L1442" i="4"/>
  <c r="K1442" i="4"/>
  <c r="J1442" i="4"/>
  <c r="I1442" i="4"/>
  <c r="H1442" i="4"/>
  <c r="G1442" i="4"/>
  <c r="F1442" i="4"/>
  <c r="E1442" i="4"/>
  <c r="D1442" i="4"/>
  <c r="C1442" i="4"/>
  <c r="B1442" i="4"/>
  <c r="A1442" i="4"/>
  <c r="R1441" i="4"/>
  <c r="P1441" i="4"/>
  <c r="N1441" i="4"/>
  <c r="L1441" i="4"/>
  <c r="K1441" i="4"/>
  <c r="J1441" i="4"/>
  <c r="I1441" i="4"/>
  <c r="H1441" i="4"/>
  <c r="G1441" i="4"/>
  <c r="F1441" i="4"/>
  <c r="E1441" i="4"/>
  <c r="D1441" i="4"/>
  <c r="C1441" i="4"/>
  <c r="B1441" i="4"/>
  <c r="A1441" i="4"/>
  <c r="R1440" i="4"/>
  <c r="P1440" i="4"/>
  <c r="N1440" i="4"/>
  <c r="L1440" i="4"/>
  <c r="K1440" i="4"/>
  <c r="J1440" i="4"/>
  <c r="I1440" i="4"/>
  <c r="H1440" i="4"/>
  <c r="G1440" i="4"/>
  <c r="F1440" i="4"/>
  <c r="E1440" i="4"/>
  <c r="D1440" i="4"/>
  <c r="C1440" i="4"/>
  <c r="B1440" i="4"/>
  <c r="A1440" i="4"/>
  <c r="R1439" i="4"/>
  <c r="P1439" i="4"/>
  <c r="N1439" i="4"/>
  <c r="L1439" i="4"/>
  <c r="K1439" i="4"/>
  <c r="J1439" i="4"/>
  <c r="I1439" i="4"/>
  <c r="H1439" i="4"/>
  <c r="G1439" i="4"/>
  <c r="F1439" i="4"/>
  <c r="E1439" i="4"/>
  <c r="D1439" i="4"/>
  <c r="C1439" i="4"/>
  <c r="B1439" i="4"/>
  <c r="A1439" i="4"/>
  <c r="R1438" i="4"/>
  <c r="P1438" i="4"/>
  <c r="N1438" i="4"/>
  <c r="L1438" i="4"/>
  <c r="K1438" i="4"/>
  <c r="J1438" i="4"/>
  <c r="I1438" i="4"/>
  <c r="H1438" i="4"/>
  <c r="G1438" i="4"/>
  <c r="F1438" i="4"/>
  <c r="E1438" i="4"/>
  <c r="D1438" i="4"/>
  <c r="C1438" i="4"/>
  <c r="B1438" i="4"/>
  <c r="A1438" i="4"/>
  <c r="R1437" i="4"/>
  <c r="P1437" i="4"/>
  <c r="N1437" i="4"/>
  <c r="L1437" i="4"/>
  <c r="K1437" i="4"/>
  <c r="J1437" i="4"/>
  <c r="I1437" i="4"/>
  <c r="H1437" i="4"/>
  <c r="G1437" i="4"/>
  <c r="F1437" i="4"/>
  <c r="E1437" i="4"/>
  <c r="D1437" i="4"/>
  <c r="C1437" i="4"/>
  <c r="B1437" i="4"/>
  <c r="A1437" i="4"/>
  <c r="R1436" i="4"/>
  <c r="P1436" i="4"/>
  <c r="N1436" i="4"/>
  <c r="L1436" i="4"/>
  <c r="K1436" i="4"/>
  <c r="J1436" i="4"/>
  <c r="I1436" i="4"/>
  <c r="H1436" i="4"/>
  <c r="G1436" i="4"/>
  <c r="F1436" i="4"/>
  <c r="E1436" i="4"/>
  <c r="D1436" i="4"/>
  <c r="C1436" i="4"/>
  <c r="B1436" i="4"/>
  <c r="A1436" i="4"/>
  <c r="R1435" i="4"/>
  <c r="P1435" i="4"/>
  <c r="N1435" i="4"/>
  <c r="L1435" i="4"/>
  <c r="K1435" i="4"/>
  <c r="J1435" i="4"/>
  <c r="I1435" i="4"/>
  <c r="H1435" i="4"/>
  <c r="G1435" i="4"/>
  <c r="F1435" i="4"/>
  <c r="E1435" i="4"/>
  <c r="D1435" i="4"/>
  <c r="C1435" i="4"/>
  <c r="B1435" i="4"/>
  <c r="A1435" i="4"/>
  <c r="R1434" i="4"/>
  <c r="P1434" i="4"/>
  <c r="N1434" i="4"/>
  <c r="L1434" i="4"/>
  <c r="K1434" i="4"/>
  <c r="J1434" i="4"/>
  <c r="I1434" i="4"/>
  <c r="H1434" i="4"/>
  <c r="G1434" i="4"/>
  <c r="F1434" i="4"/>
  <c r="E1434" i="4"/>
  <c r="D1434" i="4"/>
  <c r="C1434" i="4"/>
  <c r="B1434" i="4"/>
  <c r="A1434" i="4"/>
  <c r="R1433" i="4"/>
  <c r="P1433" i="4"/>
  <c r="N1433" i="4"/>
  <c r="L1433" i="4"/>
  <c r="K1433" i="4"/>
  <c r="J1433" i="4"/>
  <c r="I1433" i="4"/>
  <c r="H1433" i="4"/>
  <c r="G1433" i="4"/>
  <c r="F1433" i="4"/>
  <c r="E1433" i="4"/>
  <c r="D1433" i="4"/>
  <c r="C1433" i="4"/>
  <c r="B1433" i="4"/>
  <c r="A1433" i="4"/>
  <c r="R1432" i="4"/>
  <c r="P1432" i="4"/>
  <c r="N1432" i="4"/>
  <c r="L1432" i="4"/>
  <c r="K1432" i="4"/>
  <c r="J1432" i="4"/>
  <c r="I1432" i="4"/>
  <c r="H1432" i="4"/>
  <c r="G1432" i="4"/>
  <c r="F1432" i="4"/>
  <c r="E1432" i="4"/>
  <c r="D1432" i="4"/>
  <c r="C1432" i="4"/>
  <c r="B1432" i="4"/>
  <c r="A1432" i="4"/>
  <c r="R1431" i="4"/>
  <c r="P1431" i="4"/>
  <c r="N1431" i="4"/>
  <c r="L1431" i="4"/>
  <c r="K1431" i="4"/>
  <c r="J1431" i="4"/>
  <c r="I1431" i="4"/>
  <c r="H1431" i="4"/>
  <c r="G1431" i="4"/>
  <c r="F1431" i="4"/>
  <c r="E1431" i="4"/>
  <c r="D1431" i="4"/>
  <c r="C1431" i="4"/>
  <c r="B1431" i="4"/>
  <c r="A1431" i="4"/>
  <c r="R1430" i="4"/>
  <c r="P1430" i="4"/>
  <c r="N1430" i="4"/>
  <c r="L1430" i="4"/>
  <c r="K1430" i="4"/>
  <c r="J1430" i="4"/>
  <c r="I1430" i="4"/>
  <c r="H1430" i="4"/>
  <c r="G1430" i="4"/>
  <c r="F1430" i="4"/>
  <c r="E1430" i="4"/>
  <c r="D1430" i="4"/>
  <c r="C1430" i="4"/>
  <c r="B1430" i="4"/>
  <c r="A1430" i="4"/>
  <c r="R1429" i="4"/>
  <c r="P1429" i="4"/>
  <c r="N1429" i="4"/>
  <c r="L1429" i="4"/>
  <c r="K1429" i="4"/>
  <c r="J1429" i="4"/>
  <c r="I1429" i="4"/>
  <c r="H1429" i="4"/>
  <c r="G1429" i="4"/>
  <c r="F1429" i="4"/>
  <c r="E1429" i="4"/>
  <c r="D1429" i="4"/>
  <c r="C1429" i="4"/>
  <c r="B1429" i="4"/>
  <c r="A1429" i="4"/>
  <c r="R1428" i="4"/>
  <c r="P1428" i="4"/>
  <c r="N1428" i="4"/>
  <c r="L1428" i="4"/>
  <c r="K1428" i="4"/>
  <c r="J1428" i="4"/>
  <c r="I1428" i="4"/>
  <c r="H1428" i="4"/>
  <c r="G1428" i="4"/>
  <c r="F1428" i="4"/>
  <c r="E1428" i="4"/>
  <c r="D1428" i="4"/>
  <c r="C1428" i="4"/>
  <c r="B1428" i="4"/>
  <c r="A1428" i="4"/>
  <c r="R1427" i="4"/>
  <c r="P1427" i="4"/>
  <c r="N1427" i="4"/>
  <c r="L1427" i="4"/>
  <c r="K1427" i="4"/>
  <c r="J1427" i="4"/>
  <c r="I1427" i="4"/>
  <c r="H1427" i="4"/>
  <c r="G1427" i="4"/>
  <c r="F1427" i="4"/>
  <c r="E1427" i="4"/>
  <c r="D1427" i="4"/>
  <c r="C1427" i="4"/>
  <c r="B1427" i="4"/>
  <c r="A1427" i="4"/>
  <c r="R1426" i="4"/>
  <c r="P1426" i="4"/>
  <c r="N1426" i="4"/>
  <c r="L1426" i="4"/>
  <c r="K1426" i="4"/>
  <c r="J1426" i="4"/>
  <c r="I1426" i="4"/>
  <c r="H1426" i="4"/>
  <c r="G1426" i="4"/>
  <c r="F1426" i="4"/>
  <c r="E1426" i="4"/>
  <c r="D1426" i="4"/>
  <c r="C1426" i="4"/>
  <c r="B1426" i="4"/>
  <c r="A1426" i="4"/>
  <c r="R1425" i="4"/>
  <c r="P1425" i="4"/>
  <c r="N1425" i="4"/>
  <c r="L1425" i="4"/>
  <c r="K1425" i="4"/>
  <c r="J1425" i="4"/>
  <c r="I1425" i="4"/>
  <c r="H1425" i="4"/>
  <c r="G1425" i="4"/>
  <c r="F1425" i="4"/>
  <c r="E1425" i="4"/>
  <c r="D1425" i="4"/>
  <c r="C1425" i="4"/>
  <c r="B1425" i="4"/>
  <c r="A1425" i="4"/>
  <c r="R1424" i="4"/>
  <c r="P1424" i="4"/>
  <c r="N1424" i="4"/>
  <c r="L1424" i="4"/>
  <c r="K1424" i="4"/>
  <c r="J1424" i="4"/>
  <c r="I1424" i="4"/>
  <c r="H1424" i="4"/>
  <c r="G1424" i="4"/>
  <c r="F1424" i="4"/>
  <c r="E1424" i="4"/>
  <c r="D1424" i="4"/>
  <c r="C1424" i="4"/>
  <c r="B1424" i="4"/>
  <c r="A1424" i="4"/>
  <c r="R1423" i="4"/>
  <c r="P1423" i="4"/>
  <c r="N1423" i="4"/>
  <c r="L1423" i="4"/>
  <c r="K1423" i="4"/>
  <c r="J1423" i="4"/>
  <c r="I1423" i="4"/>
  <c r="H1423" i="4"/>
  <c r="G1423" i="4"/>
  <c r="F1423" i="4"/>
  <c r="E1423" i="4"/>
  <c r="D1423" i="4"/>
  <c r="C1423" i="4"/>
  <c r="B1423" i="4"/>
  <c r="A1423" i="4"/>
  <c r="R1422" i="4"/>
  <c r="P1422" i="4"/>
  <c r="N1422" i="4"/>
  <c r="L1422" i="4"/>
  <c r="K1422" i="4"/>
  <c r="J1422" i="4"/>
  <c r="I1422" i="4"/>
  <c r="H1422" i="4"/>
  <c r="G1422" i="4"/>
  <c r="F1422" i="4"/>
  <c r="E1422" i="4"/>
  <c r="D1422" i="4"/>
  <c r="C1422" i="4"/>
  <c r="B1422" i="4"/>
  <c r="A1422" i="4"/>
  <c r="R1421" i="4"/>
  <c r="P1421" i="4"/>
  <c r="N1421" i="4"/>
  <c r="L1421" i="4"/>
  <c r="K1421" i="4"/>
  <c r="J1421" i="4"/>
  <c r="I1421" i="4"/>
  <c r="H1421" i="4"/>
  <c r="G1421" i="4"/>
  <c r="F1421" i="4"/>
  <c r="E1421" i="4"/>
  <c r="D1421" i="4"/>
  <c r="C1421" i="4"/>
  <c r="B1421" i="4"/>
  <c r="A1421" i="4"/>
  <c r="R1420" i="4"/>
  <c r="P1420" i="4"/>
  <c r="N1420" i="4"/>
  <c r="L1420" i="4"/>
  <c r="K1420" i="4"/>
  <c r="J1420" i="4"/>
  <c r="I1420" i="4"/>
  <c r="H1420" i="4"/>
  <c r="G1420" i="4"/>
  <c r="F1420" i="4"/>
  <c r="E1420" i="4"/>
  <c r="D1420" i="4"/>
  <c r="C1420" i="4"/>
  <c r="B1420" i="4"/>
  <c r="A1420" i="4"/>
  <c r="R1419" i="4"/>
  <c r="P1419" i="4"/>
  <c r="N1419" i="4"/>
  <c r="L1419" i="4"/>
  <c r="K1419" i="4"/>
  <c r="J1419" i="4"/>
  <c r="I1419" i="4"/>
  <c r="H1419" i="4"/>
  <c r="G1419" i="4"/>
  <c r="F1419" i="4"/>
  <c r="E1419" i="4"/>
  <c r="D1419" i="4"/>
  <c r="C1419" i="4"/>
  <c r="B1419" i="4"/>
  <c r="A1419" i="4"/>
  <c r="R1418" i="4"/>
  <c r="P1418" i="4"/>
  <c r="N1418" i="4"/>
  <c r="L1418" i="4"/>
  <c r="K1418" i="4"/>
  <c r="J1418" i="4"/>
  <c r="I1418" i="4"/>
  <c r="H1418" i="4"/>
  <c r="G1418" i="4"/>
  <c r="F1418" i="4"/>
  <c r="E1418" i="4"/>
  <c r="D1418" i="4"/>
  <c r="C1418" i="4"/>
  <c r="B1418" i="4"/>
  <c r="A1418" i="4"/>
  <c r="R1417" i="4"/>
  <c r="P1417" i="4"/>
  <c r="N1417" i="4"/>
  <c r="L1417" i="4"/>
  <c r="K1417" i="4"/>
  <c r="J1417" i="4"/>
  <c r="I1417" i="4"/>
  <c r="H1417" i="4"/>
  <c r="G1417" i="4"/>
  <c r="F1417" i="4"/>
  <c r="E1417" i="4"/>
  <c r="D1417" i="4"/>
  <c r="C1417" i="4"/>
  <c r="B1417" i="4"/>
  <c r="A1417" i="4"/>
  <c r="R1416" i="4"/>
  <c r="P1416" i="4"/>
  <c r="N1416" i="4"/>
  <c r="L1416" i="4"/>
  <c r="K1416" i="4"/>
  <c r="J1416" i="4"/>
  <c r="I1416" i="4"/>
  <c r="H1416" i="4"/>
  <c r="G1416" i="4"/>
  <c r="F1416" i="4"/>
  <c r="E1416" i="4"/>
  <c r="D1416" i="4"/>
  <c r="C1416" i="4"/>
  <c r="B1416" i="4"/>
  <c r="A1416" i="4"/>
  <c r="R1415" i="4"/>
  <c r="P1415" i="4"/>
  <c r="N1415" i="4"/>
  <c r="L1415" i="4"/>
  <c r="K1415" i="4"/>
  <c r="J1415" i="4"/>
  <c r="I1415" i="4"/>
  <c r="H1415" i="4"/>
  <c r="G1415" i="4"/>
  <c r="F1415" i="4"/>
  <c r="E1415" i="4"/>
  <c r="D1415" i="4"/>
  <c r="C1415" i="4"/>
  <c r="B1415" i="4"/>
  <c r="A1415" i="4"/>
  <c r="R1414" i="4"/>
  <c r="P1414" i="4"/>
  <c r="N1414" i="4"/>
  <c r="L1414" i="4"/>
  <c r="K1414" i="4"/>
  <c r="J1414" i="4"/>
  <c r="I1414" i="4"/>
  <c r="H1414" i="4"/>
  <c r="G1414" i="4"/>
  <c r="F1414" i="4"/>
  <c r="E1414" i="4"/>
  <c r="D1414" i="4"/>
  <c r="C1414" i="4"/>
  <c r="B1414" i="4"/>
  <c r="A1414" i="4"/>
  <c r="R1413" i="4"/>
  <c r="P1413" i="4"/>
  <c r="N1413" i="4"/>
  <c r="L1413" i="4"/>
  <c r="K1413" i="4"/>
  <c r="J1413" i="4"/>
  <c r="I1413" i="4"/>
  <c r="H1413" i="4"/>
  <c r="G1413" i="4"/>
  <c r="F1413" i="4"/>
  <c r="E1413" i="4"/>
  <c r="D1413" i="4"/>
  <c r="C1413" i="4"/>
  <c r="B1413" i="4"/>
  <c r="A1413" i="4"/>
  <c r="R1412" i="4"/>
  <c r="P1412" i="4"/>
  <c r="N1412" i="4"/>
  <c r="L1412" i="4"/>
  <c r="K1412" i="4"/>
  <c r="J1412" i="4"/>
  <c r="I1412" i="4"/>
  <c r="H1412" i="4"/>
  <c r="G1412" i="4"/>
  <c r="F1412" i="4"/>
  <c r="E1412" i="4"/>
  <c r="D1412" i="4"/>
  <c r="C1412" i="4"/>
  <c r="B1412" i="4"/>
  <c r="A1412" i="4"/>
  <c r="R1411" i="4"/>
  <c r="P1411" i="4"/>
  <c r="N1411" i="4"/>
  <c r="L1411" i="4"/>
  <c r="K1411" i="4"/>
  <c r="J1411" i="4"/>
  <c r="I1411" i="4"/>
  <c r="H1411" i="4"/>
  <c r="G1411" i="4"/>
  <c r="F1411" i="4"/>
  <c r="E1411" i="4"/>
  <c r="D1411" i="4"/>
  <c r="C1411" i="4"/>
  <c r="B1411" i="4"/>
  <c r="A1411" i="4"/>
  <c r="R1410" i="4"/>
  <c r="P1410" i="4"/>
  <c r="N1410" i="4"/>
  <c r="L1410" i="4"/>
  <c r="K1410" i="4"/>
  <c r="J1410" i="4"/>
  <c r="I1410" i="4"/>
  <c r="H1410" i="4"/>
  <c r="G1410" i="4"/>
  <c r="F1410" i="4"/>
  <c r="E1410" i="4"/>
  <c r="D1410" i="4"/>
  <c r="C1410" i="4"/>
  <c r="B1410" i="4"/>
  <c r="A1410" i="4"/>
  <c r="R1409" i="4"/>
  <c r="P1409" i="4"/>
  <c r="N1409" i="4"/>
  <c r="L1409" i="4"/>
  <c r="K1409" i="4"/>
  <c r="J1409" i="4"/>
  <c r="I1409" i="4"/>
  <c r="H1409" i="4"/>
  <c r="G1409" i="4"/>
  <c r="F1409" i="4"/>
  <c r="E1409" i="4"/>
  <c r="D1409" i="4"/>
  <c r="C1409" i="4"/>
  <c r="B1409" i="4"/>
  <c r="A1409" i="4"/>
  <c r="R1408" i="4"/>
  <c r="P1408" i="4"/>
  <c r="N1408" i="4"/>
  <c r="L1408" i="4"/>
  <c r="K1408" i="4"/>
  <c r="J1408" i="4"/>
  <c r="I1408" i="4"/>
  <c r="H1408" i="4"/>
  <c r="G1408" i="4"/>
  <c r="F1408" i="4"/>
  <c r="E1408" i="4"/>
  <c r="D1408" i="4"/>
  <c r="C1408" i="4"/>
  <c r="B1408" i="4"/>
  <c r="A1408" i="4"/>
  <c r="R1407" i="4"/>
  <c r="P1407" i="4"/>
  <c r="N1407" i="4"/>
  <c r="L1407" i="4"/>
  <c r="K1407" i="4"/>
  <c r="J1407" i="4"/>
  <c r="I1407" i="4"/>
  <c r="H1407" i="4"/>
  <c r="G1407" i="4"/>
  <c r="F1407" i="4"/>
  <c r="E1407" i="4"/>
  <c r="D1407" i="4"/>
  <c r="C1407" i="4"/>
  <c r="B1407" i="4"/>
  <c r="A1407" i="4"/>
  <c r="R1406" i="4"/>
  <c r="P1406" i="4"/>
  <c r="N1406" i="4"/>
  <c r="L1406" i="4"/>
  <c r="K1406" i="4"/>
  <c r="J1406" i="4"/>
  <c r="I1406" i="4"/>
  <c r="H1406" i="4"/>
  <c r="G1406" i="4"/>
  <c r="F1406" i="4"/>
  <c r="E1406" i="4"/>
  <c r="D1406" i="4"/>
  <c r="C1406" i="4"/>
  <c r="B1406" i="4"/>
  <c r="A1406" i="4"/>
  <c r="R1405" i="4"/>
  <c r="P1405" i="4"/>
  <c r="N1405" i="4"/>
  <c r="L1405" i="4"/>
  <c r="K1405" i="4"/>
  <c r="J1405" i="4"/>
  <c r="I1405" i="4"/>
  <c r="H1405" i="4"/>
  <c r="G1405" i="4"/>
  <c r="F1405" i="4"/>
  <c r="E1405" i="4"/>
  <c r="D1405" i="4"/>
  <c r="C1405" i="4"/>
  <c r="B1405" i="4"/>
  <c r="A1405" i="4"/>
  <c r="R1404" i="4"/>
  <c r="P1404" i="4"/>
  <c r="N1404" i="4"/>
  <c r="L1404" i="4"/>
  <c r="K1404" i="4"/>
  <c r="J1404" i="4"/>
  <c r="I1404" i="4"/>
  <c r="H1404" i="4"/>
  <c r="G1404" i="4"/>
  <c r="F1404" i="4"/>
  <c r="E1404" i="4"/>
  <c r="D1404" i="4"/>
  <c r="C1404" i="4"/>
  <c r="B1404" i="4"/>
  <c r="A1404" i="4"/>
  <c r="R1403" i="4"/>
  <c r="P1403" i="4"/>
  <c r="N1403" i="4"/>
  <c r="L1403" i="4"/>
  <c r="K1403" i="4"/>
  <c r="J1403" i="4"/>
  <c r="I1403" i="4"/>
  <c r="H1403" i="4"/>
  <c r="G1403" i="4"/>
  <c r="F1403" i="4"/>
  <c r="E1403" i="4"/>
  <c r="D1403" i="4"/>
  <c r="C1403" i="4"/>
  <c r="B1403" i="4"/>
  <c r="A1403" i="4"/>
  <c r="R1402" i="4"/>
  <c r="P1402" i="4"/>
  <c r="N1402" i="4"/>
  <c r="L1402" i="4"/>
  <c r="K1402" i="4"/>
  <c r="J1402" i="4"/>
  <c r="I1402" i="4"/>
  <c r="H1402" i="4"/>
  <c r="G1402" i="4"/>
  <c r="F1402" i="4"/>
  <c r="E1402" i="4"/>
  <c r="D1402" i="4"/>
  <c r="C1402" i="4"/>
  <c r="B1402" i="4"/>
  <c r="A1402" i="4"/>
  <c r="R1401" i="4"/>
  <c r="P1401" i="4"/>
  <c r="N1401" i="4"/>
  <c r="L1401" i="4"/>
  <c r="K1401" i="4"/>
  <c r="J1401" i="4"/>
  <c r="I1401" i="4"/>
  <c r="H1401" i="4"/>
  <c r="G1401" i="4"/>
  <c r="F1401" i="4"/>
  <c r="E1401" i="4"/>
  <c r="D1401" i="4"/>
  <c r="C1401" i="4"/>
  <c r="B1401" i="4"/>
  <c r="A1401" i="4"/>
  <c r="R1400" i="4"/>
  <c r="P1400" i="4"/>
  <c r="N1400" i="4"/>
  <c r="L1400" i="4"/>
  <c r="K1400" i="4"/>
  <c r="J1400" i="4"/>
  <c r="I1400" i="4"/>
  <c r="H1400" i="4"/>
  <c r="G1400" i="4"/>
  <c r="F1400" i="4"/>
  <c r="E1400" i="4"/>
  <c r="D1400" i="4"/>
  <c r="C1400" i="4"/>
  <c r="B1400" i="4"/>
  <c r="A1400" i="4"/>
  <c r="R1399" i="4"/>
  <c r="P1399" i="4"/>
  <c r="N1399" i="4"/>
  <c r="L1399" i="4"/>
  <c r="K1399" i="4"/>
  <c r="J1399" i="4"/>
  <c r="I1399" i="4"/>
  <c r="H1399" i="4"/>
  <c r="G1399" i="4"/>
  <c r="F1399" i="4"/>
  <c r="E1399" i="4"/>
  <c r="D1399" i="4"/>
  <c r="C1399" i="4"/>
  <c r="B1399" i="4"/>
  <c r="A1399" i="4"/>
  <c r="R1398" i="4"/>
  <c r="P1398" i="4"/>
  <c r="N1398" i="4"/>
  <c r="L1398" i="4"/>
  <c r="K1398" i="4"/>
  <c r="J1398" i="4"/>
  <c r="I1398" i="4"/>
  <c r="H1398" i="4"/>
  <c r="G1398" i="4"/>
  <c r="F1398" i="4"/>
  <c r="E1398" i="4"/>
  <c r="D1398" i="4"/>
  <c r="C1398" i="4"/>
  <c r="B1398" i="4"/>
  <c r="A1398" i="4"/>
  <c r="R1397" i="4"/>
  <c r="P1397" i="4"/>
  <c r="N1397" i="4"/>
  <c r="L1397" i="4"/>
  <c r="K1397" i="4"/>
  <c r="J1397" i="4"/>
  <c r="I1397" i="4"/>
  <c r="H1397" i="4"/>
  <c r="G1397" i="4"/>
  <c r="F1397" i="4"/>
  <c r="E1397" i="4"/>
  <c r="D1397" i="4"/>
  <c r="C1397" i="4"/>
  <c r="B1397" i="4"/>
  <c r="A1397" i="4"/>
  <c r="R1396" i="4"/>
  <c r="P1396" i="4"/>
  <c r="N1396" i="4"/>
  <c r="L1396" i="4"/>
  <c r="K1396" i="4"/>
  <c r="J1396" i="4"/>
  <c r="I1396" i="4"/>
  <c r="H1396" i="4"/>
  <c r="G1396" i="4"/>
  <c r="F1396" i="4"/>
  <c r="E1396" i="4"/>
  <c r="D1396" i="4"/>
  <c r="C1396" i="4"/>
  <c r="B1396" i="4"/>
  <c r="A1396" i="4"/>
  <c r="R1395" i="4"/>
  <c r="P1395" i="4"/>
  <c r="N1395" i="4"/>
  <c r="L1395" i="4"/>
  <c r="K1395" i="4"/>
  <c r="J1395" i="4"/>
  <c r="I1395" i="4"/>
  <c r="H1395" i="4"/>
  <c r="G1395" i="4"/>
  <c r="F1395" i="4"/>
  <c r="E1395" i="4"/>
  <c r="D1395" i="4"/>
  <c r="C1395" i="4"/>
  <c r="B1395" i="4"/>
  <c r="A1395" i="4"/>
  <c r="R1394" i="4"/>
  <c r="P1394" i="4"/>
  <c r="N1394" i="4"/>
  <c r="L1394" i="4"/>
  <c r="K1394" i="4"/>
  <c r="J1394" i="4"/>
  <c r="I1394" i="4"/>
  <c r="H1394" i="4"/>
  <c r="G1394" i="4"/>
  <c r="F1394" i="4"/>
  <c r="E1394" i="4"/>
  <c r="D1394" i="4"/>
  <c r="C1394" i="4"/>
  <c r="B1394" i="4"/>
  <c r="A1394" i="4"/>
  <c r="R1393" i="4"/>
  <c r="P1393" i="4"/>
  <c r="N1393" i="4"/>
  <c r="L1393" i="4"/>
  <c r="K1393" i="4"/>
  <c r="J1393" i="4"/>
  <c r="I1393" i="4"/>
  <c r="H1393" i="4"/>
  <c r="G1393" i="4"/>
  <c r="F1393" i="4"/>
  <c r="E1393" i="4"/>
  <c r="D1393" i="4"/>
  <c r="C1393" i="4"/>
  <c r="B1393" i="4"/>
  <c r="A1393" i="4"/>
  <c r="R1392" i="4"/>
  <c r="P1392" i="4"/>
  <c r="N1392" i="4"/>
  <c r="L1392" i="4"/>
  <c r="K1392" i="4"/>
  <c r="J1392" i="4"/>
  <c r="I1392" i="4"/>
  <c r="H1392" i="4"/>
  <c r="G1392" i="4"/>
  <c r="F1392" i="4"/>
  <c r="E1392" i="4"/>
  <c r="D1392" i="4"/>
  <c r="C1392" i="4"/>
  <c r="B1392" i="4"/>
  <c r="A1392" i="4"/>
  <c r="R1391" i="4"/>
  <c r="P1391" i="4"/>
  <c r="N1391" i="4"/>
  <c r="L1391" i="4"/>
  <c r="K1391" i="4"/>
  <c r="J1391" i="4"/>
  <c r="I1391" i="4"/>
  <c r="H1391" i="4"/>
  <c r="G1391" i="4"/>
  <c r="F1391" i="4"/>
  <c r="E1391" i="4"/>
  <c r="D1391" i="4"/>
  <c r="C1391" i="4"/>
  <c r="B1391" i="4"/>
  <c r="A1391" i="4"/>
  <c r="R1390" i="4"/>
  <c r="P1390" i="4"/>
  <c r="N1390" i="4"/>
  <c r="L1390" i="4"/>
  <c r="K1390" i="4"/>
  <c r="J1390" i="4"/>
  <c r="I1390" i="4"/>
  <c r="H1390" i="4"/>
  <c r="G1390" i="4"/>
  <c r="F1390" i="4"/>
  <c r="E1390" i="4"/>
  <c r="D1390" i="4"/>
  <c r="C1390" i="4"/>
  <c r="B1390" i="4"/>
  <c r="A1390" i="4"/>
  <c r="R1389" i="4"/>
  <c r="P1389" i="4"/>
  <c r="N1389" i="4"/>
  <c r="L1389" i="4"/>
  <c r="K1389" i="4"/>
  <c r="J1389" i="4"/>
  <c r="I1389" i="4"/>
  <c r="H1389" i="4"/>
  <c r="G1389" i="4"/>
  <c r="F1389" i="4"/>
  <c r="E1389" i="4"/>
  <c r="D1389" i="4"/>
  <c r="C1389" i="4"/>
  <c r="B1389" i="4"/>
  <c r="A1389" i="4"/>
  <c r="R1388" i="4"/>
  <c r="P1388" i="4"/>
  <c r="N1388" i="4"/>
  <c r="L1388" i="4"/>
  <c r="K1388" i="4"/>
  <c r="J1388" i="4"/>
  <c r="I1388" i="4"/>
  <c r="H1388" i="4"/>
  <c r="G1388" i="4"/>
  <c r="F1388" i="4"/>
  <c r="E1388" i="4"/>
  <c r="D1388" i="4"/>
  <c r="C1388" i="4"/>
  <c r="B1388" i="4"/>
  <c r="A1388" i="4"/>
  <c r="R1387" i="4"/>
  <c r="P1387" i="4"/>
  <c r="N1387" i="4"/>
  <c r="L1387" i="4"/>
  <c r="K1387" i="4"/>
  <c r="J1387" i="4"/>
  <c r="I1387" i="4"/>
  <c r="H1387" i="4"/>
  <c r="G1387" i="4"/>
  <c r="F1387" i="4"/>
  <c r="E1387" i="4"/>
  <c r="D1387" i="4"/>
  <c r="C1387" i="4"/>
  <c r="B1387" i="4"/>
  <c r="A1387" i="4"/>
  <c r="R1386" i="4"/>
  <c r="P1386" i="4"/>
  <c r="N1386" i="4"/>
  <c r="L1386" i="4"/>
  <c r="K1386" i="4"/>
  <c r="J1386" i="4"/>
  <c r="I1386" i="4"/>
  <c r="H1386" i="4"/>
  <c r="G1386" i="4"/>
  <c r="F1386" i="4"/>
  <c r="E1386" i="4"/>
  <c r="D1386" i="4"/>
  <c r="C1386" i="4"/>
  <c r="B1386" i="4"/>
  <c r="A1386" i="4"/>
  <c r="R1385" i="4"/>
  <c r="P1385" i="4"/>
  <c r="N1385" i="4"/>
  <c r="L1385" i="4"/>
  <c r="K1385" i="4"/>
  <c r="J1385" i="4"/>
  <c r="I1385" i="4"/>
  <c r="H1385" i="4"/>
  <c r="G1385" i="4"/>
  <c r="F1385" i="4"/>
  <c r="E1385" i="4"/>
  <c r="D1385" i="4"/>
  <c r="C1385" i="4"/>
  <c r="B1385" i="4"/>
  <c r="A1385" i="4"/>
  <c r="R1384" i="4"/>
  <c r="P1384" i="4"/>
  <c r="N1384" i="4"/>
  <c r="L1384" i="4"/>
  <c r="K1384" i="4"/>
  <c r="J1384" i="4"/>
  <c r="I1384" i="4"/>
  <c r="H1384" i="4"/>
  <c r="G1384" i="4"/>
  <c r="F1384" i="4"/>
  <c r="E1384" i="4"/>
  <c r="D1384" i="4"/>
  <c r="C1384" i="4"/>
  <c r="B1384" i="4"/>
  <c r="A1384" i="4"/>
  <c r="R1383" i="4"/>
  <c r="P1383" i="4"/>
  <c r="N1383" i="4"/>
  <c r="L1383" i="4"/>
  <c r="K1383" i="4"/>
  <c r="J1383" i="4"/>
  <c r="I1383" i="4"/>
  <c r="H1383" i="4"/>
  <c r="G1383" i="4"/>
  <c r="F1383" i="4"/>
  <c r="E1383" i="4"/>
  <c r="D1383" i="4"/>
  <c r="C1383" i="4"/>
  <c r="B1383" i="4"/>
  <c r="A1383" i="4"/>
  <c r="R1382" i="4"/>
  <c r="P1382" i="4"/>
  <c r="N1382" i="4"/>
  <c r="L1382" i="4"/>
  <c r="K1382" i="4"/>
  <c r="J1382" i="4"/>
  <c r="I1382" i="4"/>
  <c r="H1382" i="4"/>
  <c r="G1382" i="4"/>
  <c r="F1382" i="4"/>
  <c r="E1382" i="4"/>
  <c r="D1382" i="4"/>
  <c r="C1382" i="4"/>
  <c r="B1382" i="4"/>
  <c r="A1382" i="4"/>
  <c r="R1381" i="4"/>
  <c r="P1381" i="4"/>
  <c r="N1381" i="4"/>
  <c r="L1381" i="4"/>
  <c r="K1381" i="4"/>
  <c r="J1381" i="4"/>
  <c r="I1381" i="4"/>
  <c r="H1381" i="4"/>
  <c r="G1381" i="4"/>
  <c r="F1381" i="4"/>
  <c r="E1381" i="4"/>
  <c r="D1381" i="4"/>
  <c r="C1381" i="4"/>
  <c r="B1381" i="4"/>
  <c r="A1381" i="4"/>
  <c r="R1380" i="4"/>
  <c r="P1380" i="4"/>
  <c r="N1380" i="4"/>
  <c r="L1380" i="4"/>
  <c r="K1380" i="4"/>
  <c r="J1380" i="4"/>
  <c r="I1380" i="4"/>
  <c r="H1380" i="4"/>
  <c r="G1380" i="4"/>
  <c r="F1380" i="4"/>
  <c r="E1380" i="4"/>
  <c r="D1380" i="4"/>
  <c r="C1380" i="4"/>
  <c r="B1380" i="4"/>
  <c r="A1380" i="4"/>
  <c r="R1379" i="4"/>
  <c r="P1379" i="4"/>
  <c r="N1379" i="4"/>
  <c r="L1379" i="4"/>
  <c r="K1379" i="4"/>
  <c r="J1379" i="4"/>
  <c r="I1379" i="4"/>
  <c r="H1379" i="4"/>
  <c r="G1379" i="4"/>
  <c r="F1379" i="4"/>
  <c r="E1379" i="4"/>
  <c r="D1379" i="4"/>
  <c r="C1379" i="4"/>
  <c r="B1379" i="4"/>
  <c r="A1379" i="4"/>
  <c r="R1378" i="4"/>
  <c r="P1378" i="4"/>
  <c r="N1378" i="4"/>
  <c r="L1378" i="4"/>
  <c r="K1378" i="4"/>
  <c r="J1378" i="4"/>
  <c r="I1378" i="4"/>
  <c r="H1378" i="4"/>
  <c r="G1378" i="4"/>
  <c r="F1378" i="4"/>
  <c r="E1378" i="4"/>
  <c r="D1378" i="4"/>
  <c r="C1378" i="4"/>
  <c r="B1378" i="4"/>
  <c r="A1378" i="4"/>
  <c r="R1377" i="4"/>
  <c r="P1377" i="4"/>
  <c r="N1377" i="4"/>
  <c r="L1377" i="4"/>
  <c r="K1377" i="4"/>
  <c r="J1377" i="4"/>
  <c r="I1377" i="4"/>
  <c r="H1377" i="4"/>
  <c r="G1377" i="4"/>
  <c r="F1377" i="4"/>
  <c r="E1377" i="4"/>
  <c r="D1377" i="4"/>
  <c r="C1377" i="4"/>
  <c r="B1377" i="4"/>
  <c r="A1377" i="4"/>
  <c r="R1376" i="4"/>
  <c r="P1376" i="4"/>
  <c r="N1376" i="4"/>
  <c r="L1376" i="4"/>
  <c r="K1376" i="4"/>
  <c r="J1376" i="4"/>
  <c r="I1376" i="4"/>
  <c r="H1376" i="4"/>
  <c r="G1376" i="4"/>
  <c r="F1376" i="4"/>
  <c r="E1376" i="4"/>
  <c r="D1376" i="4"/>
  <c r="C1376" i="4"/>
  <c r="B1376" i="4"/>
  <c r="A1376" i="4"/>
  <c r="R1375" i="4"/>
  <c r="P1375" i="4"/>
  <c r="N1375" i="4"/>
  <c r="L1375" i="4"/>
  <c r="K1375" i="4"/>
  <c r="J1375" i="4"/>
  <c r="I1375" i="4"/>
  <c r="H1375" i="4"/>
  <c r="G1375" i="4"/>
  <c r="F1375" i="4"/>
  <c r="E1375" i="4"/>
  <c r="D1375" i="4"/>
  <c r="C1375" i="4"/>
  <c r="B1375" i="4"/>
  <c r="A1375" i="4"/>
  <c r="R1374" i="4"/>
  <c r="P1374" i="4"/>
  <c r="N1374" i="4"/>
  <c r="L1374" i="4"/>
  <c r="K1374" i="4"/>
  <c r="J1374" i="4"/>
  <c r="I1374" i="4"/>
  <c r="H1374" i="4"/>
  <c r="G1374" i="4"/>
  <c r="F1374" i="4"/>
  <c r="E1374" i="4"/>
  <c r="D1374" i="4"/>
  <c r="C1374" i="4"/>
  <c r="B1374" i="4"/>
  <c r="A1374" i="4"/>
  <c r="R1373" i="4"/>
  <c r="P1373" i="4"/>
  <c r="N1373" i="4"/>
  <c r="L1373" i="4"/>
  <c r="K1373" i="4"/>
  <c r="J1373" i="4"/>
  <c r="I1373" i="4"/>
  <c r="H1373" i="4"/>
  <c r="G1373" i="4"/>
  <c r="F1373" i="4"/>
  <c r="E1373" i="4"/>
  <c r="D1373" i="4"/>
  <c r="C1373" i="4"/>
  <c r="B1373" i="4"/>
  <c r="A1373" i="4"/>
  <c r="R1372" i="4"/>
  <c r="P1372" i="4"/>
  <c r="N1372" i="4"/>
  <c r="L1372" i="4"/>
  <c r="K1372" i="4"/>
  <c r="J1372" i="4"/>
  <c r="I1372" i="4"/>
  <c r="H1372" i="4"/>
  <c r="G1372" i="4"/>
  <c r="F1372" i="4"/>
  <c r="E1372" i="4"/>
  <c r="D1372" i="4"/>
  <c r="C1372" i="4"/>
  <c r="B1372" i="4"/>
  <c r="A1372" i="4"/>
  <c r="R1371" i="4"/>
  <c r="P1371" i="4"/>
  <c r="N1371" i="4"/>
  <c r="L1371" i="4"/>
  <c r="K1371" i="4"/>
  <c r="J1371" i="4"/>
  <c r="I1371" i="4"/>
  <c r="H1371" i="4"/>
  <c r="G1371" i="4"/>
  <c r="F1371" i="4"/>
  <c r="E1371" i="4"/>
  <c r="D1371" i="4"/>
  <c r="C1371" i="4"/>
  <c r="B1371" i="4"/>
  <c r="A1371" i="4"/>
  <c r="R1370" i="4"/>
  <c r="P1370" i="4"/>
  <c r="N1370" i="4"/>
  <c r="L1370" i="4"/>
  <c r="K1370" i="4"/>
  <c r="J1370" i="4"/>
  <c r="I1370" i="4"/>
  <c r="H1370" i="4"/>
  <c r="G1370" i="4"/>
  <c r="F1370" i="4"/>
  <c r="E1370" i="4"/>
  <c r="D1370" i="4"/>
  <c r="C1370" i="4"/>
  <c r="B1370" i="4"/>
  <c r="A1370" i="4"/>
  <c r="R1369" i="4"/>
  <c r="P1369" i="4"/>
  <c r="N1369" i="4"/>
  <c r="L1369" i="4"/>
  <c r="K1369" i="4"/>
  <c r="J1369" i="4"/>
  <c r="I1369" i="4"/>
  <c r="H1369" i="4"/>
  <c r="G1369" i="4"/>
  <c r="F1369" i="4"/>
  <c r="E1369" i="4"/>
  <c r="D1369" i="4"/>
  <c r="C1369" i="4"/>
  <c r="B1369" i="4"/>
  <c r="A1369" i="4"/>
  <c r="R1368" i="4"/>
  <c r="P1368" i="4"/>
  <c r="N1368" i="4"/>
  <c r="L1368" i="4"/>
  <c r="K1368" i="4"/>
  <c r="J1368" i="4"/>
  <c r="I1368" i="4"/>
  <c r="H1368" i="4"/>
  <c r="G1368" i="4"/>
  <c r="F1368" i="4"/>
  <c r="E1368" i="4"/>
  <c r="D1368" i="4"/>
  <c r="C1368" i="4"/>
  <c r="B1368" i="4"/>
  <c r="A1368" i="4"/>
  <c r="R1367" i="4"/>
  <c r="P1367" i="4"/>
  <c r="N1367" i="4"/>
  <c r="L1367" i="4"/>
  <c r="K1367" i="4"/>
  <c r="J1367" i="4"/>
  <c r="I1367" i="4"/>
  <c r="H1367" i="4"/>
  <c r="G1367" i="4"/>
  <c r="F1367" i="4"/>
  <c r="E1367" i="4"/>
  <c r="D1367" i="4"/>
  <c r="C1367" i="4"/>
  <c r="B1367" i="4"/>
  <c r="A1367" i="4"/>
  <c r="R1366" i="4"/>
  <c r="P1366" i="4"/>
  <c r="N1366" i="4"/>
  <c r="L1366" i="4"/>
  <c r="K1366" i="4"/>
  <c r="J1366" i="4"/>
  <c r="I1366" i="4"/>
  <c r="H1366" i="4"/>
  <c r="G1366" i="4"/>
  <c r="F1366" i="4"/>
  <c r="E1366" i="4"/>
  <c r="D1366" i="4"/>
  <c r="C1366" i="4"/>
  <c r="B1366" i="4"/>
  <c r="A1366" i="4"/>
  <c r="R1365" i="4"/>
  <c r="P1365" i="4"/>
  <c r="N1365" i="4"/>
  <c r="L1365" i="4"/>
  <c r="K1365" i="4"/>
  <c r="J1365" i="4"/>
  <c r="I1365" i="4"/>
  <c r="H1365" i="4"/>
  <c r="G1365" i="4"/>
  <c r="F1365" i="4"/>
  <c r="E1365" i="4"/>
  <c r="D1365" i="4"/>
  <c r="C1365" i="4"/>
  <c r="B1365" i="4"/>
  <c r="A1365" i="4"/>
  <c r="R1364" i="4"/>
  <c r="P1364" i="4"/>
  <c r="N1364" i="4"/>
  <c r="L1364" i="4"/>
  <c r="K1364" i="4"/>
  <c r="J1364" i="4"/>
  <c r="I1364" i="4"/>
  <c r="H1364" i="4"/>
  <c r="G1364" i="4"/>
  <c r="F1364" i="4"/>
  <c r="E1364" i="4"/>
  <c r="D1364" i="4"/>
  <c r="C1364" i="4"/>
  <c r="B1364" i="4"/>
  <c r="A1364" i="4"/>
  <c r="R1363" i="4"/>
  <c r="P1363" i="4"/>
  <c r="N1363" i="4"/>
  <c r="L1363" i="4"/>
  <c r="K1363" i="4"/>
  <c r="J1363" i="4"/>
  <c r="I1363" i="4"/>
  <c r="H1363" i="4"/>
  <c r="G1363" i="4"/>
  <c r="F1363" i="4"/>
  <c r="E1363" i="4"/>
  <c r="D1363" i="4"/>
  <c r="C1363" i="4"/>
  <c r="B1363" i="4"/>
  <c r="A1363" i="4"/>
  <c r="R1362" i="4"/>
  <c r="P1362" i="4"/>
  <c r="N1362" i="4"/>
  <c r="L1362" i="4"/>
  <c r="K1362" i="4"/>
  <c r="J1362" i="4"/>
  <c r="I1362" i="4"/>
  <c r="H1362" i="4"/>
  <c r="G1362" i="4"/>
  <c r="F1362" i="4"/>
  <c r="E1362" i="4"/>
  <c r="D1362" i="4"/>
  <c r="C1362" i="4"/>
  <c r="B1362" i="4"/>
  <c r="A1362" i="4"/>
  <c r="R1361" i="4"/>
  <c r="P1361" i="4"/>
  <c r="N1361" i="4"/>
  <c r="L1361" i="4"/>
  <c r="K1361" i="4"/>
  <c r="J1361" i="4"/>
  <c r="I1361" i="4"/>
  <c r="H1361" i="4"/>
  <c r="G1361" i="4"/>
  <c r="F1361" i="4"/>
  <c r="E1361" i="4"/>
  <c r="D1361" i="4"/>
  <c r="C1361" i="4"/>
  <c r="B1361" i="4"/>
  <c r="A1361" i="4"/>
  <c r="R1360" i="4"/>
  <c r="P1360" i="4"/>
  <c r="N1360" i="4"/>
  <c r="L1360" i="4"/>
  <c r="K1360" i="4"/>
  <c r="J1360" i="4"/>
  <c r="I1360" i="4"/>
  <c r="H1360" i="4"/>
  <c r="G1360" i="4"/>
  <c r="F1360" i="4"/>
  <c r="E1360" i="4"/>
  <c r="D1360" i="4"/>
  <c r="C1360" i="4"/>
  <c r="B1360" i="4"/>
  <c r="A1360" i="4"/>
  <c r="R1359" i="4"/>
  <c r="P1359" i="4"/>
  <c r="N1359" i="4"/>
  <c r="L1359" i="4"/>
  <c r="K1359" i="4"/>
  <c r="J1359" i="4"/>
  <c r="I1359" i="4"/>
  <c r="H1359" i="4"/>
  <c r="G1359" i="4"/>
  <c r="F1359" i="4"/>
  <c r="E1359" i="4"/>
  <c r="D1359" i="4"/>
  <c r="C1359" i="4"/>
  <c r="B1359" i="4"/>
  <c r="A1359" i="4"/>
  <c r="R1358" i="4"/>
  <c r="P1358" i="4"/>
  <c r="N1358" i="4"/>
  <c r="L1358" i="4"/>
  <c r="K1358" i="4"/>
  <c r="J1358" i="4"/>
  <c r="I1358" i="4"/>
  <c r="H1358" i="4"/>
  <c r="G1358" i="4"/>
  <c r="F1358" i="4"/>
  <c r="E1358" i="4"/>
  <c r="D1358" i="4"/>
  <c r="C1358" i="4"/>
  <c r="B1358" i="4"/>
  <c r="A1358" i="4"/>
  <c r="R1357" i="4"/>
  <c r="P1357" i="4"/>
  <c r="N1357" i="4"/>
  <c r="L1357" i="4"/>
  <c r="K1357" i="4"/>
  <c r="J1357" i="4"/>
  <c r="I1357" i="4"/>
  <c r="H1357" i="4"/>
  <c r="G1357" i="4"/>
  <c r="F1357" i="4"/>
  <c r="E1357" i="4"/>
  <c r="D1357" i="4"/>
  <c r="C1357" i="4"/>
  <c r="B1357" i="4"/>
  <c r="A1357" i="4"/>
  <c r="R1356" i="4"/>
  <c r="P1356" i="4"/>
  <c r="N1356" i="4"/>
  <c r="L1356" i="4"/>
  <c r="K1356" i="4"/>
  <c r="J1356" i="4"/>
  <c r="I1356" i="4"/>
  <c r="H1356" i="4"/>
  <c r="G1356" i="4"/>
  <c r="F1356" i="4"/>
  <c r="E1356" i="4"/>
  <c r="D1356" i="4"/>
  <c r="C1356" i="4"/>
  <c r="B1356" i="4"/>
  <c r="A1356" i="4"/>
  <c r="R1355" i="4"/>
  <c r="P1355" i="4"/>
  <c r="N1355" i="4"/>
  <c r="L1355" i="4"/>
  <c r="K1355" i="4"/>
  <c r="J1355" i="4"/>
  <c r="I1355" i="4"/>
  <c r="H1355" i="4"/>
  <c r="G1355" i="4"/>
  <c r="F1355" i="4"/>
  <c r="E1355" i="4"/>
  <c r="D1355" i="4"/>
  <c r="C1355" i="4"/>
  <c r="B1355" i="4"/>
  <c r="A1355" i="4"/>
  <c r="R1354" i="4"/>
  <c r="P1354" i="4"/>
  <c r="N1354" i="4"/>
  <c r="L1354" i="4"/>
  <c r="K1354" i="4"/>
  <c r="J1354" i="4"/>
  <c r="I1354" i="4"/>
  <c r="H1354" i="4"/>
  <c r="G1354" i="4"/>
  <c r="F1354" i="4"/>
  <c r="E1354" i="4"/>
  <c r="D1354" i="4"/>
  <c r="C1354" i="4"/>
  <c r="B1354" i="4"/>
  <c r="A1354" i="4"/>
  <c r="R1353" i="4"/>
  <c r="P1353" i="4"/>
  <c r="N1353" i="4"/>
  <c r="L1353" i="4"/>
  <c r="K1353" i="4"/>
  <c r="J1353" i="4"/>
  <c r="I1353" i="4"/>
  <c r="H1353" i="4"/>
  <c r="G1353" i="4"/>
  <c r="F1353" i="4"/>
  <c r="E1353" i="4"/>
  <c r="D1353" i="4"/>
  <c r="C1353" i="4"/>
  <c r="B1353" i="4"/>
  <c r="A1353" i="4"/>
  <c r="R1352" i="4"/>
  <c r="P1352" i="4"/>
  <c r="N1352" i="4"/>
  <c r="L1352" i="4"/>
  <c r="K1352" i="4"/>
  <c r="J1352" i="4"/>
  <c r="I1352" i="4"/>
  <c r="H1352" i="4"/>
  <c r="G1352" i="4"/>
  <c r="F1352" i="4"/>
  <c r="E1352" i="4"/>
  <c r="D1352" i="4"/>
  <c r="C1352" i="4"/>
  <c r="B1352" i="4"/>
  <c r="A1352" i="4"/>
  <c r="R1351" i="4"/>
  <c r="P1351" i="4"/>
  <c r="N1351" i="4"/>
  <c r="L1351" i="4"/>
  <c r="K1351" i="4"/>
  <c r="J1351" i="4"/>
  <c r="I1351" i="4"/>
  <c r="H1351" i="4"/>
  <c r="G1351" i="4"/>
  <c r="F1351" i="4"/>
  <c r="E1351" i="4"/>
  <c r="D1351" i="4"/>
  <c r="C1351" i="4"/>
  <c r="B1351" i="4"/>
  <c r="A1351" i="4"/>
  <c r="R1350" i="4"/>
  <c r="P1350" i="4"/>
  <c r="N1350" i="4"/>
  <c r="L1350" i="4"/>
  <c r="K1350" i="4"/>
  <c r="J1350" i="4"/>
  <c r="I1350" i="4"/>
  <c r="H1350" i="4"/>
  <c r="G1350" i="4"/>
  <c r="F1350" i="4"/>
  <c r="E1350" i="4"/>
  <c r="D1350" i="4"/>
  <c r="C1350" i="4"/>
  <c r="B1350" i="4"/>
  <c r="A1350" i="4"/>
  <c r="R1349" i="4"/>
  <c r="P1349" i="4"/>
  <c r="N1349" i="4"/>
  <c r="L1349" i="4"/>
  <c r="K1349" i="4"/>
  <c r="J1349" i="4"/>
  <c r="I1349" i="4"/>
  <c r="H1349" i="4"/>
  <c r="G1349" i="4"/>
  <c r="F1349" i="4"/>
  <c r="E1349" i="4"/>
  <c r="D1349" i="4"/>
  <c r="C1349" i="4"/>
  <c r="B1349" i="4"/>
  <c r="A1349" i="4"/>
  <c r="R1348" i="4"/>
  <c r="P1348" i="4"/>
  <c r="N1348" i="4"/>
  <c r="L1348" i="4"/>
  <c r="K1348" i="4"/>
  <c r="J1348" i="4"/>
  <c r="I1348" i="4"/>
  <c r="H1348" i="4"/>
  <c r="G1348" i="4"/>
  <c r="F1348" i="4"/>
  <c r="E1348" i="4"/>
  <c r="D1348" i="4"/>
  <c r="C1348" i="4"/>
  <c r="B1348" i="4"/>
  <c r="A1348" i="4"/>
  <c r="R1347" i="4"/>
  <c r="P1347" i="4"/>
  <c r="N1347" i="4"/>
  <c r="L1347" i="4"/>
  <c r="K1347" i="4"/>
  <c r="J1347" i="4"/>
  <c r="I1347" i="4"/>
  <c r="H1347" i="4"/>
  <c r="G1347" i="4"/>
  <c r="F1347" i="4"/>
  <c r="E1347" i="4"/>
  <c r="D1347" i="4"/>
  <c r="C1347" i="4"/>
  <c r="B1347" i="4"/>
  <c r="A1347" i="4"/>
  <c r="R1346" i="4"/>
  <c r="P1346" i="4"/>
  <c r="N1346" i="4"/>
  <c r="L1346" i="4"/>
  <c r="K1346" i="4"/>
  <c r="J1346" i="4"/>
  <c r="I1346" i="4"/>
  <c r="H1346" i="4"/>
  <c r="G1346" i="4"/>
  <c r="F1346" i="4"/>
  <c r="E1346" i="4"/>
  <c r="D1346" i="4"/>
  <c r="C1346" i="4"/>
  <c r="B1346" i="4"/>
  <c r="A1346" i="4"/>
  <c r="R1345" i="4"/>
  <c r="P1345" i="4"/>
  <c r="N1345" i="4"/>
  <c r="L1345" i="4"/>
  <c r="K1345" i="4"/>
  <c r="J1345" i="4"/>
  <c r="I1345" i="4"/>
  <c r="H1345" i="4"/>
  <c r="G1345" i="4"/>
  <c r="F1345" i="4"/>
  <c r="E1345" i="4"/>
  <c r="D1345" i="4"/>
  <c r="C1345" i="4"/>
  <c r="B1345" i="4"/>
  <c r="A1345" i="4"/>
  <c r="R1344" i="4"/>
  <c r="P1344" i="4"/>
  <c r="N1344" i="4"/>
  <c r="L1344" i="4"/>
  <c r="K1344" i="4"/>
  <c r="J1344" i="4"/>
  <c r="I1344" i="4"/>
  <c r="H1344" i="4"/>
  <c r="G1344" i="4"/>
  <c r="F1344" i="4"/>
  <c r="E1344" i="4"/>
  <c r="D1344" i="4"/>
  <c r="C1344" i="4"/>
  <c r="B1344" i="4"/>
  <c r="A1344" i="4"/>
  <c r="R1343" i="4"/>
  <c r="P1343" i="4"/>
  <c r="N1343" i="4"/>
  <c r="L1343" i="4"/>
  <c r="K1343" i="4"/>
  <c r="J1343" i="4"/>
  <c r="I1343" i="4"/>
  <c r="H1343" i="4"/>
  <c r="G1343" i="4"/>
  <c r="F1343" i="4"/>
  <c r="E1343" i="4"/>
  <c r="D1343" i="4"/>
  <c r="C1343" i="4"/>
  <c r="B1343" i="4"/>
  <c r="A1343" i="4"/>
  <c r="R1342" i="4"/>
  <c r="P1342" i="4"/>
  <c r="N1342" i="4"/>
  <c r="L1342" i="4"/>
  <c r="K1342" i="4"/>
  <c r="J1342" i="4"/>
  <c r="I1342" i="4"/>
  <c r="H1342" i="4"/>
  <c r="G1342" i="4"/>
  <c r="F1342" i="4"/>
  <c r="E1342" i="4"/>
  <c r="D1342" i="4"/>
  <c r="C1342" i="4"/>
  <c r="B1342" i="4"/>
  <c r="A1342" i="4"/>
  <c r="R1341" i="4"/>
  <c r="P1341" i="4"/>
  <c r="N1341" i="4"/>
  <c r="L1341" i="4"/>
  <c r="K1341" i="4"/>
  <c r="J1341" i="4"/>
  <c r="I1341" i="4"/>
  <c r="H1341" i="4"/>
  <c r="G1341" i="4"/>
  <c r="F1341" i="4"/>
  <c r="E1341" i="4"/>
  <c r="D1341" i="4"/>
  <c r="C1341" i="4"/>
  <c r="B1341" i="4"/>
  <c r="A1341" i="4"/>
  <c r="R1340" i="4"/>
  <c r="P1340" i="4"/>
  <c r="N1340" i="4"/>
  <c r="L1340" i="4"/>
  <c r="K1340" i="4"/>
  <c r="J1340" i="4"/>
  <c r="I1340" i="4"/>
  <c r="H1340" i="4"/>
  <c r="G1340" i="4"/>
  <c r="F1340" i="4"/>
  <c r="E1340" i="4"/>
  <c r="D1340" i="4"/>
  <c r="C1340" i="4"/>
  <c r="B1340" i="4"/>
  <c r="A1340" i="4"/>
  <c r="R1339" i="4"/>
  <c r="P1339" i="4"/>
  <c r="N1339" i="4"/>
  <c r="L1339" i="4"/>
  <c r="K1339" i="4"/>
  <c r="J1339" i="4"/>
  <c r="I1339" i="4"/>
  <c r="H1339" i="4"/>
  <c r="G1339" i="4"/>
  <c r="F1339" i="4"/>
  <c r="E1339" i="4"/>
  <c r="D1339" i="4"/>
  <c r="C1339" i="4"/>
  <c r="B1339" i="4"/>
  <c r="A1339" i="4"/>
  <c r="R1338" i="4"/>
  <c r="P1338" i="4"/>
  <c r="N1338" i="4"/>
  <c r="L1338" i="4"/>
  <c r="K1338" i="4"/>
  <c r="J1338" i="4"/>
  <c r="I1338" i="4"/>
  <c r="H1338" i="4"/>
  <c r="G1338" i="4"/>
  <c r="F1338" i="4"/>
  <c r="E1338" i="4"/>
  <c r="D1338" i="4"/>
  <c r="C1338" i="4"/>
  <c r="B1338" i="4"/>
  <c r="A1338" i="4"/>
  <c r="R1337" i="4"/>
  <c r="P1337" i="4"/>
  <c r="N1337" i="4"/>
  <c r="L1337" i="4"/>
  <c r="K1337" i="4"/>
  <c r="J1337" i="4"/>
  <c r="I1337" i="4"/>
  <c r="H1337" i="4"/>
  <c r="G1337" i="4"/>
  <c r="F1337" i="4"/>
  <c r="E1337" i="4"/>
  <c r="D1337" i="4"/>
  <c r="C1337" i="4"/>
  <c r="B1337" i="4"/>
  <c r="A1337" i="4"/>
  <c r="R1336" i="4"/>
  <c r="P1336" i="4"/>
  <c r="N1336" i="4"/>
  <c r="L1336" i="4"/>
  <c r="K1336" i="4"/>
  <c r="J1336" i="4"/>
  <c r="I1336" i="4"/>
  <c r="H1336" i="4"/>
  <c r="G1336" i="4"/>
  <c r="F1336" i="4"/>
  <c r="E1336" i="4"/>
  <c r="D1336" i="4"/>
  <c r="C1336" i="4"/>
  <c r="B1336" i="4"/>
  <c r="A1336" i="4"/>
  <c r="R1335" i="4"/>
  <c r="P1335" i="4"/>
  <c r="N1335" i="4"/>
  <c r="L1335" i="4"/>
  <c r="K1335" i="4"/>
  <c r="J1335" i="4"/>
  <c r="I1335" i="4"/>
  <c r="H1335" i="4"/>
  <c r="G1335" i="4"/>
  <c r="F1335" i="4"/>
  <c r="E1335" i="4"/>
  <c r="D1335" i="4"/>
  <c r="C1335" i="4"/>
  <c r="B1335" i="4"/>
  <c r="A1335" i="4"/>
  <c r="R1334" i="4"/>
  <c r="P1334" i="4"/>
  <c r="N1334" i="4"/>
  <c r="L1334" i="4"/>
  <c r="K1334" i="4"/>
  <c r="J1334" i="4"/>
  <c r="I1334" i="4"/>
  <c r="H1334" i="4"/>
  <c r="G1334" i="4"/>
  <c r="F1334" i="4"/>
  <c r="E1334" i="4"/>
  <c r="D1334" i="4"/>
  <c r="C1334" i="4"/>
  <c r="B1334" i="4"/>
  <c r="A1334" i="4"/>
  <c r="R1333" i="4"/>
  <c r="P1333" i="4"/>
  <c r="N1333" i="4"/>
  <c r="L1333" i="4"/>
  <c r="K1333" i="4"/>
  <c r="J1333" i="4"/>
  <c r="I1333" i="4"/>
  <c r="H1333" i="4"/>
  <c r="G1333" i="4"/>
  <c r="F1333" i="4"/>
  <c r="E1333" i="4"/>
  <c r="D1333" i="4"/>
  <c r="C1333" i="4"/>
  <c r="B1333" i="4"/>
  <c r="A1333" i="4"/>
  <c r="R1332" i="4"/>
  <c r="P1332" i="4"/>
  <c r="N1332" i="4"/>
  <c r="L1332" i="4"/>
  <c r="K1332" i="4"/>
  <c r="J1332" i="4"/>
  <c r="I1332" i="4"/>
  <c r="H1332" i="4"/>
  <c r="G1332" i="4"/>
  <c r="F1332" i="4"/>
  <c r="E1332" i="4"/>
  <c r="D1332" i="4"/>
  <c r="C1332" i="4"/>
  <c r="B1332" i="4"/>
  <c r="A1332" i="4"/>
  <c r="R1331" i="4"/>
  <c r="P1331" i="4"/>
  <c r="N1331" i="4"/>
  <c r="L1331" i="4"/>
  <c r="K1331" i="4"/>
  <c r="J1331" i="4"/>
  <c r="I1331" i="4"/>
  <c r="H1331" i="4"/>
  <c r="G1331" i="4"/>
  <c r="F1331" i="4"/>
  <c r="E1331" i="4"/>
  <c r="D1331" i="4"/>
  <c r="C1331" i="4"/>
  <c r="B1331" i="4"/>
  <c r="A1331" i="4"/>
  <c r="R1330" i="4"/>
  <c r="P1330" i="4"/>
  <c r="N1330" i="4"/>
  <c r="L1330" i="4"/>
  <c r="K1330" i="4"/>
  <c r="J1330" i="4"/>
  <c r="I1330" i="4"/>
  <c r="H1330" i="4"/>
  <c r="G1330" i="4"/>
  <c r="F1330" i="4"/>
  <c r="E1330" i="4"/>
  <c r="D1330" i="4"/>
  <c r="C1330" i="4"/>
  <c r="B1330" i="4"/>
  <c r="A1330" i="4"/>
  <c r="R1329" i="4"/>
  <c r="P1329" i="4"/>
  <c r="N1329" i="4"/>
  <c r="L1329" i="4"/>
  <c r="K1329" i="4"/>
  <c r="J1329" i="4"/>
  <c r="I1329" i="4"/>
  <c r="H1329" i="4"/>
  <c r="G1329" i="4"/>
  <c r="F1329" i="4"/>
  <c r="E1329" i="4"/>
  <c r="D1329" i="4"/>
  <c r="C1329" i="4"/>
  <c r="B1329" i="4"/>
  <c r="A1329" i="4"/>
  <c r="R1328" i="4"/>
  <c r="P1328" i="4"/>
  <c r="N1328" i="4"/>
  <c r="L1328" i="4"/>
  <c r="K1328" i="4"/>
  <c r="J1328" i="4"/>
  <c r="I1328" i="4"/>
  <c r="H1328" i="4"/>
  <c r="G1328" i="4"/>
  <c r="F1328" i="4"/>
  <c r="E1328" i="4"/>
  <c r="D1328" i="4"/>
  <c r="C1328" i="4"/>
  <c r="B1328" i="4"/>
  <c r="A1328" i="4"/>
  <c r="R1327" i="4"/>
  <c r="P1327" i="4"/>
  <c r="N1327" i="4"/>
  <c r="L1327" i="4"/>
  <c r="K1327" i="4"/>
  <c r="J1327" i="4"/>
  <c r="I1327" i="4"/>
  <c r="H1327" i="4"/>
  <c r="G1327" i="4"/>
  <c r="F1327" i="4"/>
  <c r="E1327" i="4"/>
  <c r="D1327" i="4"/>
  <c r="C1327" i="4"/>
  <c r="B1327" i="4"/>
  <c r="A1327" i="4"/>
  <c r="R1326" i="4"/>
  <c r="P1326" i="4"/>
  <c r="N1326" i="4"/>
  <c r="L1326" i="4"/>
  <c r="K1326" i="4"/>
  <c r="J1326" i="4"/>
  <c r="I1326" i="4"/>
  <c r="H1326" i="4"/>
  <c r="G1326" i="4"/>
  <c r="F1326" i="4"/>
  <c r="E1326" i="4"/>
  <c r="D1326" i="4"/>
  <c r="C1326" i="4"/>
  <c r="B1326" i="4"/>
  <c r="A1326" i="4"/>
  <c r="R1325" i="4"/>
  <c r="P1325" i="4"/>
  <c r="N1325" i="4"/>
  <c r="L1325" i="4"/>
  <c r="K1325" i="4"/>
  <c r="J1325" i="4"/>
  <c r="I1325" i="4"/>
  <c r="H1325" i="4"/>
  <c r="G1325" i="4"/>
  <c r="F1325" i="4"/>
  <c r="E1325" i="4"/>
  <c r="D1325" i="4"/>
  <c r="C1325" i="4"/>
  <c r="B1325" i="4"/>
  <c r="A1325" i="4"/>
  <c r="R1324" i="4"/>
  <c r="P1324" i="4"/>
  <c r="N1324" i="4"/>
  <c r="L1324" i="4"/>
  <c r="K1324" i="4"/>
  <c r="J1324" i="4"/>
  <c r="I1324" i="4"/>
  <c r="H1324" i="4"/>
  <c r="G1324" i="4"/>
  <c r="F1324" i="4"/>
  <c r="E1324" i="4"/>
  <c r="D1324" i="4"/>
  <c r="C1324" i="4"/>
  <c r="B1324" i="4"/>
  <c r="A1324" i="4"/>
  <c r="R1323" i="4"/>
  <c r="P1323" i="4"/>
  <c r="N1323" i="4"/>
  <c r="L1323" i="4"/>
  <c r="K1323" i="4"/>
  <c r="J1323" i="4"/>
  <c r="I1323" i="4"/>
  <c r="H1323" i="4"/>
  <c r="G1323" i="4"/>
  <c r="F1323" i="4"/>
  <c r="E1323" i="4"/>
  <c r="D1323" i="4"/>
  <c r="C1323" i="4"/>
  <c r="B1323" i="4"/>
  <c r="A1323" i="4"/>
  <c r="R1322" i="4"/>
  <c r="P1322" i="4"/>
  <c r="N1322" i="4"/>
  <c r="L1322" i="4"/>
  <c r="K1322" i="4"/>
  <c r="J1322" i="4"/>
  <c r="I1322" i="4"/>
  <c r="H1322" i="4"/>
  <c r="G1322" i="4"/>
  <c r="F1322" i="4"/>
  <c r="E1322" i="4"/>
  <c r="D1322" i="4"/>
  <c r="C1322" i="4"/>
  <c r="B1322" i="4"/>
  <c r="A1322" i="4"/>
  <c r="R1321" i="4"/>
  <c r="P1321" i="4"/>
  <c r="N1321" i="4"/>
  <c r="L1321" i="4"/>
  <c r="K1321" i="4"/>
  <c r="J1321" i="4"/>
  <c r="I1321" i="4"/>
  <c r="H1321" i="4"/>
  <c r="G1321" i="4"/>
  <c r="F1321" i="4"/>
  <c r="E1321" i="4"/>
  <c r="D1321" i="4"/>
  <c r="C1321" i="4"/>
  <c r="B1321" i="4"/>
  <c r="A1321" i="4"/>
  <c r="R1320" i="4"/>
  <c r="P1320" i="4"/>
  <c r="N1320" i="4"/>
  <c r="L1320" i="4"/>
  <c r="K1320" i="4"/>
  <c r="J1320" i="4"/>
  <c r="I1320" i="4"/>
  <c r="H1320" i="4"/>
  <c r="G1320" i="4"/>
  <c r="F1320" i="4"/>
  <c r="E1320" i="4"/>
  <c r="D1320" i="4"/>
  <c r="C1320" i="4"/>
  <c r="B1320" i="4"/>
  <c r="A1320" i="4"/>
  <c r="R1319" i="4"/>
  <c r="P1319" i="4"/>
  <c r="N1319" i="4"/>
  <c r="L1319" i="4"/>
  <c r="K1319" i="4"/>
  <c r="J1319" i="4"/>
  <c r="I1319" i="4"/>
  <c r="H1319" i="4"/>
  <c r="G1319" i="4"/>
  <c r="F1319" i="4"/>
  <c r="E1319" i="4"/>
  <c r="D1319" i="4"/>
  <c r="C1319" i="4"/>
  <c r="B1319" i="4"/>
  <c r="A1319" i="4"/>
  <c r="R1318" i="4"/>
  <c r="P1318" i="4"/>
  <c r="N1318" i="4"/>
  <c r="L1318" i="4"/>
  <c r="K1318" i="4"/>
  <c r="J1318" i="4"/>
  <c r="I1318" i="4"/>
  <c r="H1318" i="4"/>
  <c r="G1318" i="4"/>
  <c r="F1318" i="4"/>
  <c r="E1318" i="4"/>
  <c r="D1318" i="4"/>
  <c r="C1318" i="4"/>
  <c r="B1318" i="4"/>
  <c r="A1318" i="4"/>
  <c r="R1317" i="4"/>
  <c r="P1317" i="4"/>
  <c r="N1317" i="4"/>
  <c r="L1317" i="4"/>
  <c r="K1317" i="4"/>
  <c r="J1317" i="4"/>
  <c r="I1317" i="4"/>
  <c r="H1317" i="4"/>
  <c r="G1317" i="4"/>
  <c r="F1317" i="4"/>
  <c r="E1317" i="4"/>
  <c r="D1317" i="4"/>
  <c r="C1317" i="4"/>
  <c r="B1317" i="4"/>
  <c r="A1317" i="4"/>
  <c r="R1316" i="4"/>
  <c r="P1316" i="4"/>
  <c r="N1316" i="4"/>
  <c r="L1316" i="4"/>
  <c r="K1316" i="4"/>
  <c r="J1316" i="4"/>
  <c r="I1316" i="4"/>
  <c r="H1316" i="4"/>
  <c r="G1316" i="4"/>
  <c r="F1316" i="4"/>
  <c r="E1316" i="4"/>
  <c r="D1316" i="4"/>
  <c r="C1316" i="4"/>
  <c r="B1316" i="4"/>
  <c r="A1316" i="4"/>
  <c r="R1315" i="4"/>
  <c r="P1315" i="4"/>
  <c r="N1315" i="4"/>
  <c r="L1315" i="4"/>
  <c r="K1315" i="4"/>
  <c r="J1315" i="4"/>
  <c r="I1315" i="4"/>
  <c r="H1315" i="4"/>
  <c r="G1315" i="4"/>
  <c r="F1315" i="4"/>
  <c r="E1315" i="4"/>
  <c r="D1315" i="4"/>
  <c r="C1315" i="4"/>
  <c r="B1315" i="4"/>
  <c r="A1315" i="4"/>
  <c r="R1314" i="4"/>
  <c r="P1314" i="4"/>
  <c r="N1314" i="4"/>
  <c r="L1314" i="4"/>
  <c r="K1314" i="4"/>
  <c r="J1314" i="4"/>
  <c r="I1314" i="4"/>
  <c r="H1314" i="4"/>
  <c r="G1314" i="4"/>
  <c r="F1314" i="4"/>
  <c r="E1314" i="4"/>
  <c r="D1314" i="4"/>
  <c r="C1314" i="4"/>
  <c r="B1314" i="4"/>
  <c r="A1314" i="4"/>
  <c r="R1313" i="4"/>
  <c r="P1313" i="4"/>
  <c r="N1313" i="4"/>
  <c r="L1313" i="4"/>
  <c r="K1313" i="4"/>
  <c r="J1313" i="4"/>
  <c r="I1313" i="4"/>
  <c r="H1313" i="4"/>
  <c r="G1313" i="4"/>
  <c r="F1313" i="4"/>
  <c r="E1313" i="4"/>
  <c r="D1313" i="4"/>
  <c r="C1313" i="4"/>
  <c r="B1313" i="4"/>
  <c r="A1313" i="4"/>
  <c r="R1312" i="4"/>
  <c r="P1312" i="4"/>
  <c r="N1312" i="4"/>
  <c r="L1312" i="4"/>
  <c r="K1312" i="4"/>
  <c r="J1312" i="4"/>
  <c r="I1312" i="4"/>
  <c r="H1312" i="4"/>
  <c r="G1312" i="4"/>
  <c r="F1312" i="4"/>
  <c r="E1312" i="4"/>
  <c r="D1312" i="4"/>
  <c r="C1312" i="4"/>
  <c r="B1312" i="4"/>
  <c r="A1312" i="4"/>
  <c r="R1311" i="4"/>
  <c r="P1311" i="4"/>
  <c r="N1311" i="4"/>
  <c r="L1311" i="4"/>
  <c r="K1311" i="4"/>
  <c r="J1311" i="4"/>
  <c r="I1311" i="4"/>
  <c r="H1311" i="4"/>
  <c r="G1311" i="4"/>
  <c r="F1311" i="4"/>
  <c r="E1311" i="4"/>
  <c r="D1311" i="4"/>
  <c r="C1311" i="4"/>
  <c r="B1311" i="4"/>
  <c r="A1311" i="4"/>
  <c r="R1310" i="4"/>
  <c r="P1310" i="4"/>
  <c r="N1310" i="4"/>
  <c r="L1310" i="4"/>
  <c r="K1310" i="4"/>
  <c r="J1310" i="4"/>
  <c r="I1310" i="4"/>
  <c r="H1310" i="4"/>
  <c r="G1310" i="4"/>
  <c r="F1310" i="4"/>
  <c r="E1310" i="4"/>
  <c r="D1310" i="4"/>
  <c r="C1310" i="4"/>
  <c r="B1310" i="4"/>
  <c r="A1310" i="4"/>
  <c r="R1309" i="4"/>
  <c r="P1309" i="4"/>
  <c r="N1309" i="4"/>
  <c r="L1309" i="4"/>
  <c r="K1309" i="4"/>
  <c r="J1309" i="4"/>
  <c r="I1309" i="4"/>
  <c r="H1309" i="4"/>
  <c r="G1309" i="4"/>
  <c r="F1309" i="4"/>
  <c r="E1309" i="4"/>
  <c r="D1309" i="4"/>
  <c r="C1309" i="4"/>
  <c r="B1309" i="4"/>
  <c r="A1309" i="4"/>
  <c r="R1308" i="4"/>
  <c r="P1308" i="4"/>
  <c r="N1308" i="4"/>
  <c r="L1308" i="4"/>
  <c r="K1308" i="4"/>
  <c r="J1308" i="4"/>
  <c r="I1308" i="4"/>
  <c r="H1308" i="4"/>
  <c r="G1308" i="4"/>
  <c r="F1308" i="4"/>
  <c r="E1308" i="4"/>
  <c r="D1308" i="4"/>
  <c r="C1308" i="4"/>
  <c r="B1308" i="4"/>
  <c r="A1308" i="4"/>
  <c r="R1307" i="4"/>
  <c r="P1307" i="4"/>
  <c r="N1307" i="4"/>
  <c r="L1307" i="4"/>
  <c r="K1307" i="4"/>
  <c r="J1307" i="4"/>
  <c r="I1307" i="4"/>
  <c r="H1307" i="4"/>
  <c r="G1307" i="4"/>
  <c r="F1307" i="4"/>
  <c r="E1307" i="4"/>
  <c r="D1307" i="4"/>
  <c r="C1307" i="4"/>
  <c r="B1307" i="4"/>
  <c r="A1307" i="4"/>
  <c r="R1306" i="4"/>
  <c r="P1306" i="4"/>
  <c r="N1306" i="4"/>
  <c r="L1306" i="4"/>
  <c r="K1306" i="4"/>
  <c r="J1306" i="4"/>
  <c r="I1306" i="4"/>
  <c r="H1306" i="4"/>
  <c r="G1306" i="4"/>
  <c r="F1306" i="4"/>
  <c r="E1306" i="4"/>
  <c r="D1306" i="4"/>
  <c r="C1306" i="4"/>
  <c r="B1306" i="4"/>
  <c r="A1306" i="4"/>
  <c r="R1305" i="4"/>
  <c r="P1305" i="4"/>
  <c r="N1305" i="4"/>
  <c r="L1305" i="4"/>
  <c r="K1305" i="4"/>
  <c r="J1305" i="4"/>
  <c r="I1305" i="4"/>
  <c r="H1305" i="4"/>
  <c r="G1305" i="4"/>
  <c r="F1305" i="4"/>
  <c r="E1305" i="4"/>
  <c r="D1305" i="4"/>
  <c r="C1305" i="4"/>
  <c r="B1305" i="4"/>
  <c r="A1305" i="4"/>
  <c r="R1304" i="4"/>
  <c r="P1304" i="4"/>
  <c r="N1304" i="4"/>
  <c r="L1304" i="4"/>
  <c r="K1304" i="4"/>
  <c r="J1304" i="4"/>
  <c r="I1304" i="4"/>
  <c r="H1304" i="4"/>
  <c r="G1304" i="4"/>
  <c r="F1304" i="4"/>
  <c r="E1304" i="4"/>
  <c r="D1304" i="4"/>
  <c r="C1304" i="4"/>
  <c r="B1304" i="4"/>
  <c r="A1304" i="4"/>
  <c r="R1303" i="4"/>
  <c r="P1303" i="4"/>
  <c r="N1303" i="4"/>
  <c r="L1303" i="4"/>
  <c r="K1303" i="4"/>
  <c r="J1303" i="4"/>
  <c r="I1303" i="4"/>
  <c r="H1303" i="4"/>
  <c r="G1303" i="4"/>
  <c r="F1303" i="4"/>
  <c r="E1303" i="4"/>
  <c r="D1303" i="4"/>
  <c r="C1303" i="4"/>
  <c r="B1303" i="4"/>
  <c r="A1303" i="4"/>
  <c r="R1302" i="4"/>
  <c r="P1302" i="4"/>
  <c r="N1302" i="4"/>
  <c r="L1302" i="4"/>
  <c r="K1302" i="4"/>
  <c r="J1302" i="4"/>
  <c r="I1302" i="4"/>
  <c r="H1302" i="4"/>
  <c r="G1302" i="4"/>
  <c r="F1302" i="4"/>
  <c r="E1302" i="4"/>
  <c r="D1302" i="4"/>
  <c r="C1302" i="4"/>
  <c r="B1302" i="4"/>
  <c r="A1302" i="4"/>
  <c r="R1301" i="4"/>
  <c r="P1301" i="4"/>
  <c r="N1301" i="4"/>
  <c r="L1301" i="4"/>
  <c r="K1301" i="4"/>
  <c r="J1301" i="4"/>
  <c r="I1301" i="4"/>
  <c r="H1301" i="4"/>
  <c r="G1301" i="4"/>
  <c r="F1301" i="4"/>
  <c r="E1301" i="4"/>
  <c r="D1301" i="4"/>
  <c r="C1301" i="4"/>
  <c r="B1301" i="4"/>
  <c r="A1301" i="4"/>
  <c r="R1300" i="4"/>
  <c r="P1300" i="4"/>
  <c r="N1300" i="4"/>
  <c r="L1300" i="4"/>
  <c r="K1300" i="4"/>
  <c r="J1300" i="4"/>
  <c r="I1300" i="4"/>
  <c r="H1300" i="4"/>
  <c r="G1300" i="4"/>
  <c r="F1300" i="4"/>
  <c r="E1300" i="4"/>
  <c r="D1300" i="4"/>
  <c r="C1300" i="4"/>
  <c r="B1300" i="4"/>
  <c r="A1300" i="4"/>
  <c r="R1299" i="4"/>
  <c r="P1299" i="4"/>
  <c r="N1299" i="4"/>
  <c r="L1299" i="4"/>
  <c r="K1299" i="4"/>
  <c r="J1299" i="4"/>
  <c r="I1299" i="4"/>
  <c r="H1299" i="4"/>
  <c r="G1299" i="4"/>
  <c r="F1299" i="4"/>
  <c r="E1299" i="4"/>
  <c r="D1299" i="4"/>
  <c r="C1299" i="4"/>
  <c r="B1299" i="4"/>
  <c r="A1299" i="4"/>
  <c r="R1298" i="4"/>
  <c r="P1298" i="4"/>
  <c r="N1298" i="4"/>
  <c r="L1298" i="4"/>
  <c r="K1298" i="4"/>
  <c r="J1298" i="4"/>
  <c r="I1298" i="4"/>
  <c r="H1298" i="4"/>
  <c r="G1298" i="4"/>
  <c r="F1298" i="4"/>
  <c r="E1298" i="4"/>
  <c r="D1298" i="4"/>
  <c r="C1298" i="4"/>
  <c r="B1298" i="4"/>
  <c r="A1298" i="4"/>
  <c r="R1297" i="4"/>
  <c r="P1297" i="4"/>
  <c r="N1297" i="4"/>
  <c r="L1297" i="4"/>
  <c r="K1297" i="4"/>
  <c r="J1297" i="4"/>
  <c r="I1297" i="4"/>
  <c r="H1297" i="4"/>
  <c r="G1297" i="4"/>
  <c r="F1297" i="4"/>
  <c r="E1297" i="4"/>
  <c r="D1297" i="4"/>
  <c r="C1297" i="4"/>
  <c r="B1297" i="4"/>
  <c r="A1297" i="4"/>
  <c r="R1296" i="4"/>
  <c r="P1296" i="4"/>
  <c r="N1296" i="4"/>
  <c r="L1296" i="4"/>
  <c r="K1296" i="4"/>
  <c r="J1296" i="4"/>
  <c r="I1296" i="4"/>
  <c r="H1296" i="4"/>
  <c r="G1296" i="4"/>
  <c r="F1296" i="4"/>
  <c r="E1296" i="4"/>
  <c r="D1296" i="4"/>
  <c r="C1296" i="4"/>
  <c r="B1296" i="4"/>
  <c r="A1296" i="4"/>
  <c r="R1295" i="4"/>
  <c r="P1295" i="4"/>
  <c r="N1295" i="4"/>
  <c r="L1295" i="4"/>
  <c r="K1295" i="4"/>
  <c r="J1295" i="4"/>
  <c r="I1295" i="4"/>
  <c r="H1295" i="4"/>
  <c r="G1295" i="4"/>
  <c r="F1295" i="4"/>
  <c r="E1295" i="4"/>
  <c r="D1295" i="4"/>
  <c r="C1295" i="4"/>
  <c r="B1295" i="4"/>
  <c r="A1295" i="4"/>
  <c r="R1294" i="4"/>
  <c r="P1294" i="4"/>
  <c r="N1294" i="4"/>
  <c r="L1294" i="4"/>
  <c r="K1294" i="4"/>
  <c r="J1294" i="4"/>
  <c r="I1294" i="4"/>
  <c r="H1294" i="4"/>
  <c r="G1294" i="4"/>
  <c r="F1294" i="4"/>
  <c r="E1294" i="4"/>
  <c r="D1294" i="4"/>
  <c r="C1294" i="4"/>
  <c r="B1294" i="4"/>
  <c r="A1294" i="4"/>
  <c r="R1293" i="4"/>
  <c r="P1293" i="4"/>
  <c r="N1293" i="4"/>
  <c r="L1293" i="4"/>
  <c r="K1293" i="4"/>
  <c r="J1293" i="4"/>
  <c r="I1293" i="4"/>
  <c r="H1293" i="4"/>
  <c r="G1293" i="4"/>
  <c r="F1293" i="4"/>
  <c r="E1293" i="4"/>
  <c r="D1293" i="4"/>
  <c r="C1293" i="4"/>
  <c r="B1293" i="4"/>
  <c r="A1293" i="4"/>
  <c r="R1292" i="4"/>
  <c r="P1292" i="4"/>
  <c r="N1292" i="4"/>
  <c r="L1292" i="4"/>
  <c r="K1292" i="4"/>
  <c r="J1292" i="4"/>
  <c r="I1292" i="4"/>
  <c r="H1292" i="4"/>
  <c r="G1292" i="4"/>
  <c r="F1292" i="4"/>
  <c r="E1292" i="4"/>
  <c r="D1292" i="4"/>
  <c r="C1292" i="4"/>
  <c r="B1292" i="4"/>
  <c r="A1292" i="4"/>
  <c r="R1291" i="4"/>
  <c r="P1291" i="4"/>
  <c r="N1291" i="4"/>
  <c r="L1291" i="4"/>
  <c r="K1291" i="4"/>
  <c r="J1291" i="4"/>
  <c r="I1291" i="4"/>
  <c r="H1291" i="4"/>
  <c r="G1291" i="4"/>
  <c r="F1291" i="4"/>
  <c r="E1291" i="4"/>
  <c r="D1291" i="4"/>
  <c r="C1291" i="4"/>
  <c r="B1291" i="4"/>
  <c r="A1291" i="4"/>
  <c r="R1290" i="4"/>
  <c r="P1290" i="4"/>
  <c r="N1290" i="4"/>
  <c r="L1290" i="4"/>
  <c r="K1290" i="4"/>
  <c r="J1290" i="4"/>
  <c r="I1290" i="4"/>
  <c r="H1290" i="4"/>
  <c r="G1290" i="4"/>
  <c r="F1290" i="4"/>
  <c r="E1290" i="4"/>
  <c r="D1290" i="4"/>
  <c r="C1290" i="4"/>
  <c r="B1290" i="4"/>
  <c r="A1290" i="4"/>
  <c r="R1289" i="4"/>
  <c r="P1289" i="4"/>
  <c r="N1289" i="4"/>
  <c r="L1289" i="4"/>
  <c r="K1289" i="4"/>
  <c r="J1289" i="4"/>
  <c r="I1289" i="4"/>
  <c r="H1289" i="4"/>
  <c r="G1289" i="4"/>
  <c r="F1289" i="4"/>
  <c r="E1289" i="4"/>
  <c r="D1289" i="4"/>
  <c r="C1289" i="4"/>
  <c r="B1289" i="4"/>
  <c r="A1289" i="4"/>
  <c r="R1288" i="4"/>
  <c r="P1288" i="4"/>
  <c r="N1288" i="4"/>
  <c r="L1288" i="4"/>
  <c r="K1288" i="4"/>
  <c r="J1288" i="4"/>
  <c r="I1288" i="4"/>
  <c r="H1288" i="4"/>
  <c r="G1288" i="4"/>
  <c r="F1288" i="4"/>
  <c r="E1288" i="4"/>
  <c r="D1288" i="4"/>
  <c r="C1288" i="4"/>
  <c r="B1288" i="4"/>
  <c r="A1288" i="4"/>
  <c r="R1287" i="4"/>
  <c r="P1287" i="4"/>
  <c r="N1287" i="4"/>
  <c r="L1287" i="4"/>
  <c r="K1287" i="4"/>
  <c r="J1287" i="4"/>
  <c r="I1287" i="4"/>
  <c r="H1287" i="4"/>
  <c r="G1287" i="4"/>
  <c r="F1287" i="4"/>
  <c r="E1287" i="4"/>
  <c r="D1287" i="4"/>
  <c r="C1287" i="4"/>
  <c r="B1287" i="4"/>
  <c r="A1287" i="4"/>
  <c r="R1286" i="4"/>
  <c r="P1286" i="4"/>
  <c r="N1286" i="4"/>
  <c r="L1286" i="4"/>
  <c r="K1286" i="4"/>
  <c r="J1286" i="4"/>
  <c r="I1286" i="4"/>
  <c r="H1286" i="4"/>
  <c r="G1286" i="4"/>
  <c r="F1286" i="4"/>
  <c r="E1286" i="4"/>
  <c r="D1286" i="4"/>
  <c r="C1286" i="4"/>
  <c r="B1286" i="4"/>
  <c r="A1286" i="4"/>
  <c r="R1285" i="4"/>
  <c r="P1285" i="4"/>
  <c r="N1285" i="4"/>
  <c r="L1285" i="4"/>
  <c r="K1285" i="4"/>
  <c r="J1285" i="4"/>
  <c r="I1285" i="4"/>
  <c r="H1285" i="4"/>
  <c r="G1285" i="4"/>
  <c r="F1285" i="4"/>
  <c r="E1285" i="4"/>
  <c r="D1285" i="4"/>
  <c r="C1285" i="4"/>
  <c r="B1285" i="4"/>
  <c r="A1285" i="4"/>
  <c r="R1284" i="4"/>
  <c r="P1284" i="4"/>
  <c r="N1284" i="4"/>
  <c r="L1284" i="4"/>
  <c r="K1284" i="4"/>
  <c r="J1284" i="4"/>
  <c r="I1284" i="4"/>
  <c r="H1284" i="4"/>
  <c r="G1284" i="4"/>
  <c r="F1284" i="4"/>
  <c r="E1284" i="4"/>
  <c r="D1284" i="4"/>
  <c r="C1284" i="4"/>
  <c r="B1284" i="4"/>
  <c r="A1284" i="4"/>
  <c r="R1283" i="4"/>
  <c r="P1283" i="4"/>
  <c r="N1283" i="4"/>
  <c r="L1283" i="4"/>
  <c r="K1283" i="4"/>
  <c r="J1283" i="4"/>
  <c r="I1283" i="4"/>
  <c r="H1283" i="4"/>
  <c r="G1283" i="4"/>
  <c r="F1283" i="4"/>
  <c r="E1283" i="4"/>
  <c r="D1283" i="4"/>
  <c r="C1283" i="4"/>
  <c r="B1283" i="4"/>
  <c r="A1283" i="4"/>
  <c r="R1282" i="4"/>
  <c r="P1282" i="4"/>
  <c r="N1282" i="4"/>
  <c r="L1282" i="4"/>
  <c r="K1282" i="4"/>
  <c r="J1282" i="4"/>
  <c r="I1282" i="4"/>
  <c r="H1282" i="4"/>
  <c r="G1282" i="4"/>
  <c r="F1282" i="4"/>
  <c r="E1282" i="4"/>
  <c r="D1282" i="4"/>
  <c r="C1282" i="4"/>
  <c r="B1282" i="4"/>
  <c r="A1282" i="4"/>
  <c r="R1281" i="4"/>
  <c r="P1281" i="4"/>
  <c r="N1281" i="4"/>
  <c r="L1281" i="4"/>
  <c r="K1281" i="4"/>
  <c r="J1281" i="4"/>
  <c r="I1281" i="4"/>
  <c r="H1281" i="4"/>
  <c r="G1281" i="4"/>
  <c r="F1281" i="4"/>
  <c r="E1281" i="4"/>
  <c r="D1281" i="4"/>
  <c r="C1281" i="4"/>
  <c r="B1281" i="4"/>
  <c r="A1281" i="4"/>
  <c r="R1280" i="4"/>
  <c r="P1280" i="4"/>
  <c r="N1280" i="4"/>
  <c r="L1280" i="4"/>
  <c r="K1280" i="4"/>
  <c r="J1280" i="4"/>
  <c r="I1280" i="4"/>
  <c r="H1280" i="4"/>
  <c r="G1280" i="4"/>
  <c r="F1280" i="4"/>
  <c r="E1280" i="4"/>
  <c r="D1280" i="4"/>
  <c r="C1280" i="4"/>
  <c r="B1280" i="4"/>
  <c r="A1280" i="4"/>
  <c r="R1279" i="4"/>
  <c r="P1279" i="4"/>
  <c r="N1279" i="4"/>
  <c r="L1279" i="4"/>
  <c r="K1279" i="4"/>
  <c r="J1279" i="4"/>
  <c r="I1279" i="4"/>
  <c r="H1279" i="4"/>
  <c r="G1279" i="4"/>
  <c r="F1279" i="4"/>
  <c r="E1279" i="4"/>
  <c r="D1279" i="4"/>
  <c r="C1279" i="4"/>
  <c r="B1279" i="4"/>
  <c r="A1279" i="4"/>
  <c r="R1278" i="4"/>
  <c r="P1278" i="4"/>
  <c r="N1278" i="4"/>
  <c r="L1278" i="4"/>
  <c r="K1278" i="4"/>
  <c r="J1278" i="4"/>
  <c r="I1278" i="4"/>
  <c r="H1278" i="4"/>
  <c r="G1278" i="4"/>
  <c r="F1278" i="4"/>
  <c r="E1278" i="4"/>
  <c r="D1278" i="4"/>
  <c r="C1278" i="4"/>
  <c r="B1278" i="4"/>
  <c r="A1278" i="4"/>
  <c r="R1277" i="4"/>
  <c r="P1277" i="4"/>
  <c r="N1277" i="4"/>
  <c r="L1277" i="4"/>
  <c r="K1277" i="4"/>
  <c r="J1277" i="4"/>
  <c r="I1277" i="4"/>
  <c r="H1277" i="4"/>
  <c r="G1277" i="4"/>
  <c r="F1277" i="4"/>
  <c r="E1277" i="4"/>
  <c r="D1277" i="4"/>
  <c r="C1277" i="4"/>
  <c r="B1277" i="4"/>
  <c r="A1277" i="4"/>
  <c r="R1276" i="4"/>
  <c r="P1276" i="4"/>
  <c r="N1276" i="4"/>
  <c r="L1276" i="4"/>
  <c r="K1276" i="4"/>
  <c r="J1276" i="4"/>
  <c r="I1276" i="4"/>
  <c r="H1276" i="4"/>
  <c r="G1276" i="4"/>
  <c r="F1276" i="4"/>
  <c r="E1276" i="4"/>
  <c r="D1276" i="4"/>
  <c r="C1276" i="4"/>
  <c r="B1276" i="4"/>
  <c r="A1276" i="4"/>
  <c r="R1275" i="4"/>
  <c r="P1275" i="4"/>
  <c r="N1275" i="4"/>
  <c r="L1275" i="4"/>
  <c r="K1275" i="4"/>
  <c r="J1275" i="4"/>
  <c r="I1275" i="4"/>
  <c r="H1275" i="4"/>
  <c r="G1275" i="4"/>
  <c r="F1275" i="4"/>
  <c r="E1275" i="4"/>
  <c r="D1275" i="4"/>
  <c r="C1275" i="4"/>
  <c r="B1275" i="4"/>
  <c r="A1275" i="4"/>
  <c r="R1274" i="4"/>
  <c r="P1274" i="4"/>
  <c r="N1274" i="4"/>
  <c r="L1274" i="4"/>
  <c r="K1274" i="4"/>
  <c r="J1274" i="4"/>
  <c r="I1274" i="4"/>
  <c r="H1274" i="4"/>
  <c r="G1274" i="4"/>
  <c r="F1274" i="4"/>
  <c r="E1274" i="4"/>
  <c r="D1274" i="4"/>
  <c r="C1274" i="4"/>
  <c r="B1274" i="4"/>
  <c r="A1274" i="4"/>
  <c r="R1273" i="4"/>
  <c r="P1273" i="4"/>
  <c r="N1273" i="4"/>
  <c r="L1273" i="4"/>
  <c r="K1273" i="4"/>
  <c r="J1273" i="4"/>
  <c r="I1273" i="4"/>
  <c r="H1273" i="4"/>
  <c r="G1273" i="4"/>
  <c r="F1273" i="4"/>
  <c r="E1273" i="4"/>
  <c r="D1273" i="4"/>
  <c r="C1273" i="4"/>
  <c r="B1273" i="4"/>
  <c r="A1273" i="4"/>
  <c r="R1272" i="4"/>
  <c r="P1272" i="4"/>
  <c r="N1272" i="4"/>
  <c r="L1272" i="4"/>
  <c r="K1272" i="4"/>
  <c r="J1272" i="4"/>
  <c r="I1272" i="4"/>
  <c r="H1272" i="4"/>
  <c r="G1272" i="4"/>
  <c r="F1272" i="4"/>
  <c r="E1272" i="4"/>
  <c r="D1272" i="4"/>
  <c r="C1272" i="4"/>
  <c r="B1272" i="4"/>
  <c r="A1272" i="4"/>
  <c r="R1271" i="4"/>
  <c r="P1271" i="4"/>
  <c r="N1271" i="4"/>
  <c r="L1271" i="4"/>
  <c r="K1271" i="4"/>
  <c r="J1271" i="4"/>
  <c r="I1271" i="4"/>
  <c r="H1271" i="4"/>
  <c r="G1271" i="4"/>
  <c r="F1271" i="4"/>
  <c r="E1271" i="4"/>
  <c r="D1271" i="4"/>
  <c r="C1271" i="4"/>
  <c r="B1271" i="4"/>
  <c r="A1271" i="4"/>
  <c r="R1270" i="4"/>
  <c r="P1270" i="4"/>
  <c r="N1270" i="4"/>
  <c r="L1270" i="4"/>
  <c r="K1270" i="4"/>
  <c r="J1270" i="4"/>
  <c r="I1270" i="4"/>
  <c r="H1270" i="4"/>
  <c r="G1270" i="4"/>
  <c r="F1270" i="4"/>
  <c r="E1270" i="4"/>
  <c r="D1270" i="4"/>
  <c r="C1270" i="4"/>
  <c r="B1270" i="4"/>
  <c r="A1270" i="4"/>
  <c r="R1269" i="4"/>
  <c r="P1269" i="4"/>
  <c r="N1269" i="4"/>
  <c r="L1269" i="4"/>
  <c r="K1269" i="4"/>
  <c r="J1269" i="4"/>
  <c r="I1269" i="4"/>
  <c r="H1269" i="4"/>
  <c r="G1269" i="4"/>
  <c r="F1269" i="4"/>
  <c r="E1269" i="4"/>
  <c r="D1269" i="4"/>
  <c r="C1269" i="4"/>
  <c r="B1269" i="4"/>
  <c r="A1269" i="4"/>
  <c r="R1268" i="4"/>
  <c r="P1268" i="4"/>
  <c r="N1268" i="4"/>
  <c r="L1268" i="4"/>
  <c r="K1268" i="4"/>
  <c r="J1268" i="4"/>
  <c r="I1268" i="4"/>
  <c r="H1268" i="4"/>
  <c r="G1268" i="4"/>
  <c r="F1268" i="4"/>
  <c r="E1268" i="4"/>
  <c r="D1268" i="4"/>
  <c r="C1268" i="4"/>
  <c r="B1268" i="4"/>
  <c r="A1268" i="4"/>
  <c r="R1267" i="4"/>
  <c r="P1267" i="4"/>
  <c r="N1267" i="4"/>
  <c r="L1267" i="4"/>
  <c r="K1267" i="4"/>
  <c r="J1267" i="4"/>
  <c r="I1267" i="4"/>
  <c r="H1267" i="4"/>
  <c r="G1267" i="4"/>
  <c r="F1267" i="4"/>
  <c r="E1267" i="4"/>
  <c r="D1267" i="4"/>
  <c r="C1267" i="4"/>
  <c r="B1267" i="4"/>
  <c r="A1267" i="4"/>
  <c r="R1266" i="4"/>
  <c r="P1266" i="4"/>
  <c r="N1266" i="4"/>
  <c r="L1266" i="4"/>
  <c r="K1266" i="4"/>
  <c r="J1266" i="4"/>
  <c r="I1266" i="4"/>
  <c r="H1266" i="4"/>
  <c r="G1266" i="4"/>
  <c r="F1266" i="4"/>
  <c r="E1266" i="4"/>
  <c r="D1266" i="4"/>
  <c r="C1266" i="4"/>
  <c r="B1266" i="4"/>
  <c r="A1266" i="4"/>
  <c r="R1265" i="4"/>
  <c r="P1265" i="4"/>
  <c r="N1265" i="4"/>
  <c r="L1265" i="4"/>
  <c r="K1265" i="4"/>
  <c r="J1265" i="4"/>
  <c r="I1265" i="4"/>
  <c r="H1265" i="4"/>
  <c r="G1265" i="4"/>
  <c r="F1265" i="4"/>
  <c r="E1265" i="4"/>
  <c r="D1265" i="4"/>
  <c r="C1265" i="4"/>
  <c r="B1265" i="4"/>
  <c r="A1265" i="4"/>
  <c r="R1264" i="4"/>
  <c r="P1264" i="4"/>
  <c r="N1264" i="4"/>
  <c r="L1264" i="4"/>
  <c r="K1264" i="4"/>
  <c r="J1264" i="4"/>
  <c r="I1264" i="4"/>
  <c r="H1264" i="4"/>
  <c r="G1264" i="4"/>
  <c r="F1264" i="4"/>
  <c r="E1264" i="4"/>
  <c r="D1264" i="4"/>
  <c r="C1264" i="4"/>
  <c r="B1264" i="4"/>
  <c r="A1264" i="4"/>
  <c r="R1263" i="4"/>
  <c r="P1263" i="4"/>
  <c r="N1263" i="4"/>
  <c r="L1263" i="4"/>
  <c r="K1263" i="4"/>
  <c r="J1263" i="4"/>
  <c r="I1263" i="4"/>
  <c r="H1263" i="4"/>
  <c r="G1263" i="4"/>
  <c r="F1263" i="4"/>
  <c r="E1263" i="4"/>
  <c r="D1263" i="4"/>
  <c r="C1263" i="4"/>
  <c r="B1263" i="4"/>
  <c r="A1263" i="4"/>
  <c r="R1262" i="4"/>
  <c r="P1262" i="4"/>
  <c r="N1262" i="4"/>
  <c r="L1262" i="4"/>
  <c r="K1262" i="4"/>
  <c r="J1262" i="4"/>
  <c r="I1262" i="4"/>
  <c r="H1262" i="4"/>
  <c r="G1262" i="4"/>
  <c r="F1262" i="4"/>
  <c r="E1262" i="4"/>
  <c r="D1262" i="4"/>
  <c r="C1262" i="4"/>
  <c r="B1262" i="4"/>
  <c r="A1262" i="4"/>
  <c r="R1261" i="4"/>
  <c r="P1261" i="4"/>
  <c r="N1261" i="4"/>
  <c r="L1261" i="4"/>
  <c r="K1261" i="4"/>
  <c r="J1261" i="4"/>
  <c r="I1261" i="4"/>
  <c r="H1261" i="4"/>
  <c r="G1261" i="4"/>
  <c r="F1261" i="4"/>
  <c r="E1261" i="4"/>
  <c r="D1261" i="4"/>
  <c r="C1261" i="4"/>
  <c r="B1261" i="4"/>
  <c r="A1261" i="4"/>
  <c r="R1260" i="4"/>
  <c r="P1260" i="4"/>
  <c r="N1260" i="4"/>
  <c r="L1260" i="4"/>
  <c r="K1260" i="4"/>
  <c r="J1260" i="4"/>
  <c r="I1260" i="4"/>
  <c r="H1260" i="4"/>
  <c r="G1260" i="4"/>
  <c r="F1260" i="4"/>
  <c r="E1260" i="4"/>
  <c r="D1260" i="4"/>
  <c r="C1260" i="4"/>
  <c r="B1260" i="4"/>
  <c r="A1260" i="4"/>
  <c r="R1259" i="4"/>
  <c r="P1259" i="4"/>
  <c r="N1259" i="4"/>
  <c r="L1259" i="4"/>
  <c r="K1259" i="4"/>
  <c r="J1259" i="4"/>
  <c r="I1259" i="4"/>
  <c r="H1259" i="4"/>
  <c r="G1259" i="4"/>
  <c r="F1259" i="4"/>
  <c r="E1259" i="4"/>
  <c r="D1259" i="4"/>
  <c r="C1259" i="4"/>
  <c r="B1259" i="4"/>
  <c r="A1259" i="4"/>
  <c r="R1258" i="4"/>
  <c r="P1258" i="4"/>
  <c r="N1258" i="4"/>
  <c r="L1258" i="4"/>
  <c r="K1258" i="4"/>
  <c r="J1258" i="4"/>
  <c r="I1258" i="4"/>
  <c r="H1258" i="4"/>
  <c r="G1258" i="4"/>
  <c r="F1258" i="4"/>
  <c r="E1258" i="4"/>
  <c r="D1258" i="4"/>
  <c r="C1258" i="4"/>
  <c r="B1258" i="4"/>
  <c r="A1258" i="4"/>
  <c r="R1257" i="4"/>
  <c r="P1257" i="4"/>
  <c r="N1257" i="4"/>
  <c r="L1257" i="4"/>
  <c r="K1257" i="4"/>
  <c r="J1257" i="4"/>
  <c r="I1257" i="4"/>
  <c r="H1257" i="4"/>
  <c r="G1257" i="4"/>
  <c r="F1257" i="4"/>
  <c r="E1257" i="4"/>
  <c r="D1257" i="4"/>
  <c r="C1257" i="4"/>
  <c r="B1257" i="4"/>
  <c r="A1257" i="4"/>
  <c r="R1256" i="4"/>
  <c r="P1256" i="4"/>
  <c r="N1256" i="4"/>
  <c r="L1256" i="4"/>
  <c r="K1256" i="4"/>
  <c r="J1256" i="4"/>
  <c r="I1256" i="4"/>
  <c r="H1256" i="4"/>
  <c r="G1256" i="4"/>
  <c r="F1256" i="4"/>
  <c r="E1256" i="4"/>
  <c r="D1256" i="4"/>
  <c r="C1256" i="4"/>
  <c r="B1256" i="4"/>
  <c r="A1256" i="4"/>
  <c r="R1255" i="4"/>
  <c r="P1255" i="4"/>
  <c r="N1255" i="4"/>
  <c r="L1255" i="4"/>
  <c r="K1255" i="4"/>
  <c r="J1255" i="4"/>
  <c r="I1255" i="4"/>
  <c r="H1255" i="4"/>
  <c r="G1255" i="4"/>
  <c r="F1255" i="4"/>
  <c r="E1255" i="4"/>
  <c r="D1255" i="4"/>
  <c r="C1255" i="4"/>
  <c r="B1255" i="4"/>
  <c r="A1255" i="4"/>
  <c r="R1254" i="4"/>
  <c r="P1254" i="4"/>
  <c r="N1254" i="4"/>
  <c r="L1254" i="4"/>
  <c r="K1254" i="4"/>
  <c r="J1254" i="4"/>
  <c r="I1254" i="4"/>
  <c r="H1254" i="4"/>
  <c r="G1254" i="4"/>
  <c r="F1254" i="4"/>
  <c r="E1254" i="4"/>
  <c r="D1254" i="4"/>
  <c r="C1254" i="4"/>
  <c r="B1254" i="4"/>
  <c r="A1254" i="4"/>
  <c r="R1253" i="4"/>
  <c r="P1253" i="4"/>
  <c r="N1253" i="4"/>
  <c r="L1253" i="4"/>
  <c r="K1253" i="4"/>
  <c r="J1253" i="4"/>
  <c r="I1253" i="4"/>
  <c r="H1253" i="4"/>
  <c r="G1253" i="4"/>
  <c r="F1253" i="4"/>
  <c r="E1253" i="4"/>
  <c r="D1253" i="4"/>
  <c r="C1253" i="4"/>
  <c r="B1253" i="4"/>
  <c r="A1253" i="4"/>
  <c r="R1252" i="4"/>
  <c r="P1252" i="4"/>
  <c r="N1252" i="4"/>
  <c r="L1252" i="4"/>
  <c r="K1252" i="4"/>
  <c r="J1252" i="4"/>
  <c r="I1252" i="4"/>
  <c r="H1252" i="4"/>
  <c r="G1252" i="4"/>
  <c r="F1252" i="4"/>
  <c r="E1252" i="4"/>
  <c r="D1252" i="4"/>
  <c r="C1252" i="4"/>
  <c r="B1252" i="4"/>
  <c r="A1252" i="4"/>
  <c r="R1251" i="4"/>
  <c r="P1251" i="4"/>
  <c r="N1251" i="4"/>
  <c r="L1251" i="4"/>
  <c r="K1251" i="4"/>
  <c r="J1251" i="4"/>
  <c r="I1251" i="4"/>
  <c r="H1251" i="4"/>
  <c r="G1251" i="4"/>
  <c r="F1251" i="4"/>
  <c r="E1251" i="4"/>
  <c r="D1251" i="4"/>
  <c r="C1251" i="4"/>
  <c r="B1251" i="4"/>
  <c r="A1251" i="4"/>
  <c r="R1250" i="4"/>
  <c r="P1250" i="4"/>
  <c r="N1250" i="4"/>
  <c r="L1250" i="4"/>
  <c r="K1250" i="4"/>
  <c r="J1250" i="4"/>
  <c r="I1250" i="4"/>
  <c r="H1250" i="4"/>
  <c r="G1250" i="4"/>
  <c r="F1250" i="4"/>
  <c r="E1250" i="4"/>
  <c r="D1250" i="4"/>
  <c r="C1250" i="4"/>
  <c r="B1250" i="4"/>
  <c r="A1250" i="4"/>
  <c r="R1249" i="4"/>
  <c r="P1249" i="4"/>
  <c r="N1249" i="4"/>
  <c r="L1249" i="4"/>
  <c r="K1249" i="4"/>
  <c r="J1249" i="4"/>
  <c r="I1249" i="4"/>
  <c r="H1249" i="4"/>
  <c r="G1249" i="4"/>
  <c r="F1249" i="4"/>
  <c r="E1249" i="4"/>
  <c r="D1249" i="4"/>
  <c r="C1249" i="4"/>
  <c r="B1249" i="4"/>
  <c r="A1249" i="4"/>
  <c r="R1248" i="4"/>
  <c r="P1248" i="4"/>
  <c r="N1248" i="4"/>
  <c r="L1248" i="4"/>
  <c r="K1248" i="4"/>
  <c r="J1248" i="4"/>
  <c r="I1248" i="4"/>
  <c r="H1248" i="4"/>
  <c r="G1248" i="4"/>
  <c r="F1248" i="4"/>
  <c r="E1248" i="4"/>
  <c r="D1248" i="4"/>
  <c r="C1248" i="4"/>
  <c r="B1248" i="4"/>
  <c r="A1248" i="4"/>
  <c r="R1247" i="4"/>
  <c r="P1247" i="4"/>
  <c r="N1247" i="4"/>
  <c r="L1247" i="4"/>
  <c r="K1247" i="4"/>
  <c r="J1247" i="4"/>
  <c r="I1247" i="4"/>
  <c r="H1247" i="4"/>
  <c r="G1247" i="4"/>
  <c r="F1247" i="4"/>
  <c r="E1247" i="4"/>
  <c r="D1247" i="4"/>
  <c r="C1247" i="4"/>
  <c r="B1247" i="4"/>
  <c r="A1247" i="4"/>
  <c r="R1246" i="4"/>
  <c r="P1246" i="4"/>
  <c r="N1246" i="4"/>
  <c r="L1246" i="4"/>
  <c r="K1246" i="4"/>
  <c r="J1246" i="4"/>
  <c r="I1246" i="4"/>
  <c r="H1246" i="4"/>
  <c r="G1246" i="4"/>
  <c r="F1246" i="4"/>
  <c r="E1246" i="4"/>
  <c r="D1246" i="4"/>
  <c r="C1246" i="4"/>
  <c r="B1246" i="4"/>
  <c r="A1246" i="4"/>
  <c r="R1245" i="4"/>
  <c r="P1245" i="4"/>
  <c r="N1245" i="4"/>
  <c r="L1245" i="4"/>
  <c r="K1245" i="4"/>
  <c r="J1245" i="4"/>
  <c r="I1245" i="4"/>
  <c r="H1245" i="4"/>
  <c r="G1245" i="4"/>
  <c r="F1245" i="4"/>
  <c r="E1245" i="4"/>
  <c r="D1245" i="4"/>
  <c r="C1245" i="4"/>
  <c r="B1245" i="4"/>
  <c r="A1245" i="4"/>
  <c r="R1244" i="4"/>
  <c r="P1244" i="4"/>
  <c r="N1244" i="4"/>
  <c r="L1244" i="4"/>
  <c r="K1244" i="4"/>
  <c r="J1244" i="4"/>
  <c r="I1244" i="4"/>
  <c r="H1244" i="4"/>
  <c r="G1244" i="4"/>
  <c r="F1244" i="4"/>
  <c r="E1244" i="4"/>
  <c r="D1244" i="4"/>
  <c r="C1244" i="4"/>
  <c r="B1244" i="4"/>
  <c r="A1244" i="4"/>
  <c r="R1243" i="4"/>
  <c r="P1243" i="4"/>
  <c r="N1243" i="4"/>
  <c r="L1243" i="4"/>
  <c r="K1243" i="4"/>
  <c r="J1243" i="4"/>
  <c r="I1243" i="4"/>
  <c r="H1243" i="4"/>
  <c r="G1243" i="4"/>
  <c r="F1243" i="4"/>
  <c r="E1243" i="4"/>
  <c r="D1243" i="4"/>
  <c r="C1243" i="4"/>
  <c r="B1243" i="4"/>
  <c r="A1243" i="4"/>
  <c r="R1242" i="4"/>
  <c r="P1242" i="4"/>
  <c r="N1242" i="4"/>
  <c r="L1242" i="4"/>
  <c r="K1242" i="4"/>
  <c r="J1242" i="4"/>
  <c r="I1242" i="4"/>
  <c r="H1242" i="4"/>
  <c r="G1242" i="4"/>
  <c r="F1242" i="4"/>
  <c r="E1242" i="4"/>
  <c r="D1242" i="4"/>
  <c r="C1242" i="4"/>
  <c r="B1242" i="4"/>
  <c r="A1242" i="4"/>
  <c r="R1241" i="4"/>
  <c r="P1241" i="4"/>
  <c r="N1241" i="4"/>
  <c r="L1241" i="4"/>
  <c r="K1241" i="4"/>
  <c r="J1241" i="4"/>
  <c r="I1241" i="4"/>
  <c r="H1241" i="4"/>
  <c r="G1241" i="4"/>
  <c r="F1241" i="4"/>
  <c r="E1241" i="4"/>
  <c r="D1241" i="4"/>
  <c r="C1241" i="4"/>
  <c r="B1241" i="4"/>
  <c r="A1241" i="4"/>
  <c r="R1240" i="4"/>
  <c r="P1240" i="4"/>
  <c r="N1240" i="4"/>
  <c r="L1240" i="4"/>
  <c r="K1240" i="4"/>
  <c r="J1240" i="4"/>
  <c r="I1240" i="4"/>
  <c r="H1240" i="4"/>
  <c r="G1240" i="4"/>
  <c r="F1240" i="4"/>
  <c r="E1240" i="4"/>
  <c r="D1240" i="4"/>
  <c r="C1240" i="4"/>
  <c r="B1240" i="4"/>
  <c r="A1240" i="4"/>
  <c r="R1239" i="4"/>
  <c r="P1239" i="4"/>
  <c r="N1239" i="4"/>
  <c r="L1239" i="4"/>
  <c r="K1239" i="4"/>
  <c r="J1239" i="4"/>
  <c r="I1239" i="4"/>
  <c r="H1239" i="4"/>
  <c r="G1239" i="4"/>
  <c r="F1239" i="4"/>
  <c r="E1239" i="4"/>
  <c r="D1239" i="4"/>
  <c r="C1239" i="4"/>
  <c r="B1239" i="4"/>
  <c r="A1239" i="4"/>
  <c r="R1238" i="4"/>
  <c r="P1238" i="4"/>
  <c r="N1238" i="4"/>
  <c r="L1238" i="4"/>
  <c r="K1238" i="4"/>
  <c r="J1238" i="4"/>
  <c r="I1238" i="4"/>
  <c r="H1238" i="4"/>
  <c r="G1238" i="4"/>
  <c r="F1238" i="4"/>
  <c r="E1238" i="4"/>
  <c r="D1238" i="4"/>
  <c r="C1238" i="4"/>
  <c r="B1238" i="4"/>
  <c r="A1238" i="4"/>
  <c r="R1237" i="4"/>
  <c r="P1237" i="4"/>
  <c r="N1237" i="4"/>
  <c r="L1237" i="4"/>
  <c r="K1237" i="4"/>
  <c r="J1237" i="4"/>
  <c r="I1237" i="4"/>
  <c r="H1237" i="4"/>
  <c r="G1237" i="4"/>
  <c r="F1237" i="4"/>
  <c r="E1237" i="4"/>
  <c r="D1237" i="4"/>
  <c r="C1237" i="4"/>
  <c r="B1237" i="4"/>
  <c r="A1237" i="4"/>
  <c r="R1236" i="4"/>
  <c r="P1236" i="4"/>
  <c r="N1236" i="4"/>
  <c r="L1236" i="4"/>
  <c r="K1236" i="4"/>
  <c r="J1236" i="4"/>
  <c r="I1236" i="4"/>
  <c r="H1236" i="4"/>
  <c r="G1236" i="4"/>
  <c r="F1236" i="4"/>
  <c r="E1236" i="4"/>
  <c r="D1236" i="4"/>
  <c r="C1236" i="4"/>
  <c r="B1236" i="4"/>
  <c r="A1236" i="4"/>
  <c r="R1235" i="4"/>
  <c r="P1235" i="4"/>
  <c r="N1235" i="4"/>
  <c r="L1235" i="4"/>
  <c r="K1235" i="4"/>
  <c r="J1235" i="4"/>
  <c r="I1235" i="4"/>
  <c r="H1235" i="4"/>
  <c r="G1235" i="4"/>
  <c r="F1235" i="4"/>
  <c r="E1235" i="4"/>
  <c r="D1235" i="4"/>
  <c r="C1235" i="4"/>
  <c r="B1235" i="4"/>
  <c r="A1235" i="4"/>
  <c r="R1234" i="4"/>
  <c r="P1234" i="4"/>
  <c r="N1234" i="4"/>
  <c r="L1234" i="4"/>
  <c r="K1234" i="4"/>
  <c r="J1234" i="4"/>
  <c r="I1234" i="4"/>
  <c r="H1234" i="4"/>
  <c r="G1234" i="4"/>
  <c r="F1234" i="4"/>
  <c r="E1234" i="4"/>
  <c r="D1234" i="4"/>
  <c r="C1234" i="4"/>
  <c r="B1234" i="4"/>
  <c r="A1234" i="4"/>
  <c r="R1233" i="4"/>
  <c r="P1233" i="4"/>
  <c r="N1233" i="4"/>
  <c r="L1233" i="4"/>
  <c r="K1233" i="4"/>
  <c r="J1233" i="4"/>
  <c r="I1233" i="4"/>
  <c r="H1233" i="4"/>
  <c r="G1233" i="4"/>
  <c r="F1233" i="4"/>
  <c r="E1233" i="4"/>
  <c r="D1233" i="4"/>
  <c r="C1233" i="4"/>
  <c r="B1233" i="4"/>
  <c r="A1233" i="4"/>
  <c r="R1232" i="4"/>
  <c r="P1232" i="4"/>
  <c r="N1232" i="4"/>
  <c r="L1232" i="4"/>
  <c r="K1232" i="4"/>
  <c r="J1232" i="4"/>
  <c r="I1232" i="4"/>
  <c r="H1232" i="4"/>
  <c r="G1232" i="4"/>
  <c r="F1232" i="4"/>
  <c r="E1232" i="4"/>
  <c r="D1232" i="4"/>
  <c r="C1232" i="4"/>
  <c r="B1232" i="4"/>
  <c r="A1232" i="4"/>
  <c r="R1231" i="4"/>
  <c r="P1231" i="4"/>
  <c r="N1231" i="4"/>
  <c r="L1231" i="4"/>
  <c r="K1231" i="4"/>
  <c r="J1231" i="4"/>
  <c r="I1231" i="4"/>
  <c r="H1231" i="4"/>
  <c r="G1231" i="4"/>
  <c r="F1231" i="4"/>
  <c r="E1231" i="4"/>
  <c r="D1231" i="4"/>
  <c r="C1231" i="4"/>
  <c r="B1231" i="4"/>
  <c r="A1231" i="4"/>
  <c r="R1230" i="4"/>
  <c r="P1230" i="4"/>
  <c r="N1230" i="4"/>
  <c r="L1230" i="4"/>
  <c r="K1230" i="4"/>
  <c r="J1230" i="4"/>
  <c r="I1230" i="4"/>
  <c r="H1230" i="4"/>
  <c r="G1230" i="4"/>
  <c r="F1230" i="4"/>
  <c r="E1230" i="4"/>
  <c r="D1230" i="4"/>
  <c r="C1230" i="4"/>
  <c r="B1230" i="4"/>
  <c r="A1230" i="4"/>
  <c r="R1229" i="4"/>
  <c r="P1229" i="4"/>
  <c r="N1229" i="4"/>
  <c r="L1229" i="4"/>
  <c r="K1229" i="4"/>
  <c r="J1229" i="4"/>
  <c r="I1229" i="4"/>
  <c r="H1229" i="4"/>
  <c r="G1229" i="4"/>
  <c r="F1229" i="4"/>
  <c r="E1229" i="4"/>
  <c r="D1229" i="4"/>
  <c r="C1229" i="4"/>
  <c r="B1229" i="4"/>
  <c r="A1229" i="4"/>
  <c r="R1228" i="4"/>
  <c r="P1228" i="4"/>
  <c r="N1228" i="4"/>
  <c r="L1228" i="4"/>
  <c r="K1228" i="4"/>
  <c r="J1228" i="4"/>
  <c r="I1228" i="4"/>
  <c r="H1228" i="4"/>
  <c r="G1228" i="4"/>
  <c r="F1228" i="4"/>
  <c r="E1228" i="4"/>
  <c r="D1228" i="4"/>
  <c r="C1228" i="4"/>
  <c r="B1228" i="4"/>
  <c r="A1228" i="4"/>
  <c r="R1227" i="4"/>
  <c r="P1227" i="4"/>
  <c r="N1227" i="4"/>
  <c r="L1227" i="4"/>
  <c r="K1227" i="4"/>
  <c r="J1227" i="4"/>
  <c r="I1227" i="4"/>
  <c r="H1227" i="4"/>
  <c r="G1227" i="4"/>
  <c r="F1227" i="4"/>
  <c r="E1227" i="4"/>
  <c r="D1227" i="4"/>
  <c r="C1227" i="4"/>
  <c r="B1227" i="4"/>
  <c r="A1227" i="4"/>
  <c r="R1226" i="4"/>
  <c r="P1226" i="4"/>
  <c r="N1226" i="4"/>
  <c r="L1226" i="4"/>
  <c r="K1226" i="4"/>
  <c r="J1226" i="4"/>
  <c r="I1226" i="4"/>
  <c r="H1226" i="4"/>
  <c r="G1226" i="4"/>
  <c r="F1226" i="4"/>
  <c r="E1226" i="4"/>
  <c r="D1226" i="4"/>
  <c r="C1226" i="4"/>
  <c r="B1226" i="4"/>
  <c r="A1226" i="4"/>
  <c r="R1225" i="4"/>
  <c r="P1225" i="4"/>
  <c r="N1225" i="4"/>
  <c r="L1225" i="4"/>
  <c r="K1225" i="4"/>
  <c r="J1225" i="4"/>
  <c r="I1225" i="4"/>
  <c r="H1225" i="4"/>
  <c r="G1225" i="4"/>
  <c r="F1225" i="4"/>
  <c r="E1225" i="4"/>
  <c r="D1225" i="4"/>
  <c r="C1225" i="4"/>
  <c r="B1225" i="4"/>
  <c r="A1225" i="4"/>
  <c r="R1224" i="4"/>
  <c r="P1224" i="4"/>
  <c r="N1224" i="4"/>
  <c r="L1224" i="4"/>
  <c r="K1224" i="4"/>
  <c r="J1224" i="4"/>
  <c r="I1224" i="4"/>
  <c r="H1224" i="4"/>
  <c r="G1224" i="4"/>
  <c r="F1224" i="4"/>
  <c r="E1224" i="4"/>
  <c r="D1224" i="4"/>
  <c r="C1224" i="4"/>
  <c r="B1224" i="4"/>
  <c r="A1224" i="4"/>
  <c r="R1223" i="4"/>
  <c r="P1223" i="4"/>
  <c r="N1223" i="4"/>
  <c r="L1223" i="4"/>
  <c r="K1223" i="4"/>
  <c r="J1223" i="4"/>
  <c r="I1223" i="4"/>
  <c r="H1223" i="4"/>
  <c r="G1223" i="4"/>
  <c r="F1223" i="4"/>
  <c r="E1223" i="4"/>
  <c r="D1223" i="4"/>
  <c r="C1223" i="4"/>
  <c r="B1223" i="4"/>
  <c r="A1223" i="4"/>
  <c r="R1222" i="4"/>
  <c r="P1222" i="4"/>
  <c r="N1222" i="4"/>
  <c r="L1222" i="4"/>
  <c r="K1222" i="4"/>
  <c r="J1222" i="4"/>
  <c r="I1222" i="4"/>
  <c r="H1222" i="4"/>
  <c r="G1222" i="4"/>
  <c r="F1222" i="4"/>
  <c r="E1222" i="4"/>
  <c r="D1222" i="4"/>
  <c r="C1222" i="4"/>
  <c r="B1222" i="4"/>
  <c r="A1222" i="4"/>
  <c r="R1221" i="4"/>
  <c r="P1221" i="4"/>
  <c r="N1221" i="4"/>
  <c r="L1221" i="4"/>
  <c r="K1221" i="4"/>
  <c r="J1221" i="4"/>
  <c r="I1221" i="4"/>
  <c r="H1221" i="4"/>
  <c r="G1221" i="4"/>
  <c r="F1221" i="4"/>
  <c r="E1221" i="4"/>
  <c r="D1221" i="4"/>
  <c r="C1221" i="4"/>
  <c r="B1221" i="4"/>
  <c r="A1221" i="4"/>
  <c r="R1220" i="4"/>
  <c r="P1220" i="4"/>
  <c r="N1220" i="4"/>
  <c r="L1220" i="4"/>
  <c r="K1220" i="4"/>
  <c r="J1220" i="4"/>
  <c r="I1220" i="4"/>
  <c r="H1220" i="4"/>
  <c r="G1220" i="4"/>
  <c r="F1220" i="4"/>
  <c r="E1220" i="4"/>
  <c r="D1220" i="4"/>
  <c r="C1220" i="4"/>
  <c r="B1220" i="4"/>
  <c r="A1220" i="4"/>
  <c r="R1219" i="4"/>
  <c r="P1219" i="4"/>
  <c r="N1219" i="4"/>
  <c r="L1219" i="4"/>
  <c r="K1219" i="4"/>
  <c r="J1219" i="4"/>
  <c r="I1219" i="4"/>
  <c r="H1219" i="4"/>
  <c r="G1219" i="4"/>
  <c r="F1219" i="4"/>
  <c r="E1219" i="4"/>
  <c r="D1219" i="4"/>
  <c r="C1219" i="4"/>
  <c r="B1219" i="4"/>
  <c r="A1219" i="4"/>
  <c r="R1218" i="4"/>
  <c r="P1218" i="4"/>
  <c r="N1218" i="4"/>
  <c r="L1218" i="4"/>
  <c r="K1218" i="4"/>
  <c r="J1218" i="4"/>
  <c r="I1218" i="4"/>
  <c r="H1218" i="4"/>
  <c r="G1218" i="4"/>
  <c r="F1218" i="4"/>
  <c r="E1218" i="4"/>
  <c r="D1218" i="4"/>
  <c r="C1218" i="4"/>
  <c r="B1218" i="4"/>
  <c r="A1218" i="4"/>
  <c r="R1217" i="4"/>
  <c r="P1217" i="4"/>
  <c r="N1217" i="4"/>
  <c r="L1217" i="4"/>
  <c r="K1217" i="4"/>
  <c r="J1217" i="4"/>
  <c r="I1217" i="4"/>
  <c r="H1217" i="4"/>
  <c r="G1217" i="4"/>
  <c r="F1217" i="4"/>
  <c r="E1217" i="4"/>
  <c r="D1217" i="4"/>
  <c r="C1217" i="4"/>
  <c r="B1217" i="4"/>
  <c r="A1217" i="4"/>
  <c r="R1216" i="4"/>
  <c r="P1216" i="4"/>
  <c r="N1216" i="4"/>
  <c r="L1216" i="4"/>
  <c r="K1216" i="4"/>
  <c r="J1216" i="4"/>
  <c r="I1216" i="4"/>
  <c r="H1216" i="4"/>
  <c r="G1216" i="4"/>
  <c r="F1216" i="4"/>
  <c r="E1216" i="4"/>
  <c r="D1216" i="4"/>
  <c r="C1216" i="4"/>
  <c r="B1216" i="4"/>
  <c r="A1216" i="4"/>
  <c r="R1215" i="4"/>
  <c r="P1215" i="4"/>
  <c r="N1215" i="4"/>
  <c r="L1215" i="4"/>
  <c r="K1215" i="4"/>
  <c r="J1215" i="4"/>
  <c r="I1215" i="4"/>
  <c r="H1215" i="4"/>
  <c r="G1215" i="4"/>
  <c r="F1215" i="4"/>
  <c r="E1215" i="4"/>
  <c r="D1215" i="4"/>
  <c r="C1215" i="4"/>
  <c r="B1215" i="4"/>
  <c r="A1215" i="4"/>
  <c r="R1214" i="4"/>
  <c r="P1214" i="4"/>
  <c r="N1214" i="4"/>
  <c r="L1214" i="4"/>
  <c r="K1214" i="4"/>
  <c r="J1214" i="4"/>
  <c r="I1214" i="4"/>
  <c r="H1214" i="4"/>
  <c r="G1214" i="4"/>
  <c r="F1214" i="4"/>
  <c r="E1214" i="4"/>
  <c r="D1214" i="4"/>
  <c r="C1214" i="4"/>
  <c r="B1214" i="4"/>
  <c r="A1214" i="4"/>
  <c r="R1213" i="4"/>
  <c r="P1213" i="4"/>
  <c r="N1213" i="4"/>
  <c r="L1213" i="4"/>
  <c r="K1213" i="4"/>
  <c r="J1213" i="4"/>
  <c r="I1213" i="4"/>
  <c r="H1213" i="4"/>
  <c r="G1213" i="4"/>
  <c r="F1213" i="4"/>
  <c r="E1213" i="4"/>
  <c r="D1213" i="4"/>
  <c r="C1213" i="4"/>
  <c r="B1213" i="4"/>
  <c r="A1213" i="4"/>
  <c r="R1212" i="4"/>
  <c r="P1212" i="4"/>
  <c r="N1212" i="4"/>
  <c r="L1212" i="4"/>
  <c r="K1212" i="4"/>
  <c r="J1212" i="4"/>
  <c r="I1212" i="4"/>
  <c r="H1212" i="4"/>
  <c r="G1212" i="4"/>
  <c r="F1212" i="4"/>
  <c r="E1212" i="4"/>
  <c r="D1212" i="4"/>
  <c r="C1212" i="4"/>
  <c r="B1212" i="4"/>
  <c r="A1212" i="4"/>
  <c r="R1211" i="4"/>
  <c r="P1211" i="4"/>
  <c r="N1211" i="4"/>
  <c r="L1211" i="4"/>
  <c r="K1211" i="4"/>
  <c r="J1211" i="4"/>
  <c r="I1211" i="4"/>
  <c r="H1211" i="4"/>
  <c r="G1211" i="4"/>
  <c r="F1211" i="4"/>
  <c r="E1211" i="4"/>
  <c r="D1211" i="4"/>
  <c r="C1211" i="4"/>
  <c r="B1211" i="4"/>
  <c r="A1211" i="4"/>
  <c r="R1210" i="4"/>
  <c r="P1210" i="4"/>
  <c r="N1210" i="4"/>
  <c r="L1210" i="4"/>
  <c r="K1210" i="4"/>
  <c r="J1210" i="4"/>
  <c r="I1210" i="4"/>
  <c r="H1210" i="4"/>
  <c r="G1210" i="4"/>
  <c r="F1210" i="4"/>
  <c r="E1210" i="4"/>
  <c r="D1210" i="4"/>
  <c r="C1210" i="4"/>
  <c r="B1210" i="4"/>
  <c r="A1210" i="4"/>
  <c r="R1209" i="4"/>
  <c r="P1209" i="4"/>
  <c r="N1209" i="4"/>
  <c r="L1209" i="4"/>
  <c r="K1209" i="4"/>
  <c r="J1209" i="4"/>
  <c r="I1209" i="4"/>
  <c r="H1209" i="4"/>
  <c r="G1209" i="4"/>
  <c r="F1209" i="4"/>
  <c r="E1209" i="4"/>
  <c r="D1209" i="4"/>
  <c r="C1209" i="4"/>
  <c r="B1209" i="4"/>
  <c r="A1209" i="4"/>
  <c r="R1208" i="4"/>
  <c r="P1208" i="4"/>
  <c r="N1208" i="4"/>
  <c r="L1208" i="4"/>
  <c r="K1208" i="4"/>
  <c r="J1208" i="4"/>
  <c r="I1208" i="4"/>
  <c r="H1208" i="4"/>
  <c r="G1208" i="4"/>
  <c r="F1208" i="4"/>
  <c r="E1208" i="4"/>
  <c r="D1208" i="4"/>
  <c r="C1208" i="4"/>
  <c r="B1208" i="4"/>
  <c r="A1208" i="4"/>
  <c r="R1207" i="4"/>
  <c r="P1207" i="4"/>
  <c r="N1207" i="4"/>
  <c r="L1207" i="4"/>
  <c r="K1207" i="4"/>
  <c r="J1207" i="4"/>
  <c r="I1207" i="4"/>
  <c r="H1207" i="4"/>
  <c r="G1207" i="4"/>
  <c r="F1207" i="4"/>
  <c r="E1207" i="4"/>
  <c r="D1207" i="4"/>
  <c r="C1207" i="4"/>
  <c r="B1207" i="4"/>
  <c r="A1207" i="4"/>
  <c r="R1206" i="4"/>
  <c r="P1206" i="4"/>
  <c r="N1206" i="4"/>
  <c r="L1206" i="4"/>
  <c r="K1206" i="4"/>
  <c r="J1206" i="4"/>
  <c r="I1206" i="4"/>
  <c r="H1206" i="4"/>
  <c r="G1206" i="4"/>
  <c r="F1206" i="4"/>
  <c r="E1206" i="4"/>
  <c r="D1206" i="4"/>
  <c r="C1206" i="4"/>
  <c r="B1206" i="4"/>
  <c r="A1206" i="4"/>
  <c r="R1205" i="4"/>
  <c r="P1205" i="4"/>
  <c r="N1205" i="4"/>
  <c r="L1205" i="4"/>
  <c r="K1205" i="4"/>
  <c r="J1205" i="4"/>
  <c r="I1205" i="4"/>
  <c r="H1205" i="4"/>
  <c r="G1205" i="4"/>
  <c r="F1205" i="4"/>
  <c r="E1205" i="4"/>
  <c r="D1205" i="4"/>
  <c r="C1205" i="4"/>
  <c r="B1205" i="4"/>
  <c r="A1205" i="4"/>
  <c r="R1204" i="4"/>
  <c r="P1204" i="4"/>
  <c r="N1204" i="4"/>
  <c r="L1204" i="4"/>
  <c r="K1204" i="4"/>
  <c r="J1204" i="4"/>
  <c r="I1204" i="4"/>
  <c r="H1204" i="4"/>
  <c r="G1204" i="4"/>
  <c r="F1204" i="4"/>
  <c r="E1204" i="4"/>
  <c r="D1204" i="4"/>
  <c r="C1204" i="4"/>
  <c r="B1204" i="4"/>
  <c r="A1204" i="4"/>
  <c r="R1203" i="4"/>
  <c r="P1203" i="4"/>
  <c r="N1203" i="4"/>
  <c r="L1203" i="4"/>
  <c r="K1203" i="4"/>
  <c r="J1203" i="4"/>
  <c r="I1203" i="4"/>
  <c r="H1203" i="4"/>
  <c r="G1203" i="4"/>
  <c r="F1203" i="4"/>
  <c r="E1203" i="4"/>
  <c r="D1203" i="4"/>
  <c r="C1203" i="4"/>
  <c r="B1203" i="4"/>
  <c r="A1203" i="4"/>
  <c r="R1202" i="4"/>
  <c r="P1202" i="4"/>
  <c r="N1202" i="4"/>
  <c r="L1202" i="4"/>
  <c r="K1202" i="4"/>
  <c r="J1202" i="4"/>
  <c r="I1202" i="4"/>
  <c r="H1202" i="4"/>
  <c r="G1202" i="4"/>
  <c r="F1202" i="4"/>
  <c r="E1202" i="4"/>
  <c r="D1202" i="4"/>
  <c r="C1202" i="4"/>
  <c r="B1202" i="4"/>
  <c r="A1202" i="4"/>
  <c r="R1201" i="4"/>
  <c r="P1201" i="4"/>
  <c r="N1201" i="4"/>
  <c r="L1201" i="4"/>
  <c r="K1201" i="4"/>
  <c r="J1201" i="4"/>
  <c r="I1201" i="4"/>
  <c r="H1201" i="4"/>
  <c r="G1201" i="4"/>
  <c r="F1201" i="4"/>
  <c r="E1201" i="4"/>
  <c r="D1201" i="4"/>
  <c r="C1201" i="4"/>
  <c r="B1201" i="4"/>
  <c r="A1201" i="4"/>
  <c r="R1200" i="4"/>
  <c r="P1200" i="4"/>
  <c r="N1200" i="4"/>
  <c r="L1200" i="4"/>
  <c r="K1200" i="4"/>
  <c r="J1200" i="4"/>
  <c r="I1200" i="4"/>
  <c r="H1200" i="4"/>
  <c r="G1200" i="4"/>
  <c r="F1200" i="4"/>
  <c r="E1200" i="4"/>
  <c r="D1200" i="4"/>
  <c r="C1200" i="4"/>
  <c r="B1200" i="4"/>
  <c r="A1200" i="4"/>
  <c r="R1199" i="4"/>
  <c r="P1199" i="4"/>
  <c r="N1199" i="4"/>
  <c r="L1199" i="4"/>
  <c r="K1199" i="4"/>
  <c r="J1199" i="4"/>
  <c r="I1199" i="4"/>
  <c r="H1199" i="4"/>
  <c r="G1199" i="4"/>
  <c r="F1199" i="4"/>
  <c r="E1199" i="4"/>
  <c r="D1199" i="4"/>
  <c r="C1199" i="4"/>
  <c r="B1199" i="4"/>
  <c r="A1199" i="4"/>
  <c r="R1198" i="4"/>
  <c r="P1198" i="4"/>
  <c r="N1198" i="4"/>
  <c r="L1198" i="4"/>
  <c r="K1198" i="4"/>
  <c r="J1198" i="4"/>
  <c r="I1198" i="4"/>
  <c r="H1198" i="4"/>
  <c r="G1198" i="4"/>
  <c r="F1198" i="4"/>
  <c r="E1198" i="4"/>
  <c r="D1198" i="4"/>
  <c r="C1198" i="4"/>
  <c r="B1198" i="4"/>
  <c r="A1198" i="4"/>
  <c r="R1197" i="4"/>
  <c r="P1197" i="4"/>
  <c r="N1197" i="4"/>
  <c r="L1197" i="4"/>
  <c r="K1197" i="4"/>
  <c r="J1197" i="4"/>
  <c r="I1197" i="4"/>
  <c r="H1197" i="4"/>
  <c r="G1197" i="4"/>
  <c r="F1197" i="4"/>
  <c r="E1197" i="4"/>
  <c r="D1197" i="4"/>
  <c r="C1197" i="4"/>
  <c r="B1197" i="4"/>
  <c r="A1197" i="4"/>
  <c r="R1196" i="4"/>
  <c r="P1196" i="4"/>
  <c r="N1196" i="4"/>
  <c r="L1196" i="4"/>
  <c r="K1196" i="4"/>
  <c r="J1196" i="4"/>
  <c r="I1196" i="4"/>
  <c r="H1196" i="4"/>
  <c r="G1196" i="4"/>
  <c r="F1196" i="4"/>
  <c r="E1196" i="4"/>
  <c r="D1196" i="4"/>
  <c r="C1196" i="4"/>
  <c r="B1196" i="4"/>
  <c r="A1196" i="4"/>
  <c r="R1195" i="4"/>
  <c r="P1195" i="4"/>
  <c r="N1195" i="4"/>
  <c r="L1195" i="4"/>
  <c r="K1195" i="4"/>
  <c r="J1195" i="4"/>
  <c r="I1195" i="4"/>
  <c r="H1195" i="4"/>
  <c r="G1195" i="4"/>
  <c r="F1195" i="4"/>
  <c r="E1195" i="4"/>
  <c r="D1195" i="4"/>
  <c r="C1195" i="4"/>
  <c r="B1195" i="4"/>
  <c r="A1195" i="4"/>
  <c r="R1194" i="4"/>
  <c r="P1194" i="4"/>
  <c r="N1194" i="4"/>
  <c r="L1194" i="4"/>
  <c r="K1194" i="4"/>
  <c r="J1194" i="4"/>
  <c r="I1194" i="4"/>
  <c r="H1194" i="4"/>
  <c r="G1194" i="4"/>
  <c r="F1194" i="4"/>
  <c r="E1194" i="4"/>
  <c r="D1194" i="4"/>
  <c r="C1194" i="4"/>
  <c r="B1194" i="4"/>
  <c r="A1194" i="4"/>
  <c r="R1193" i="4"/>
  <c r="P1193" i="4"/>
  <c r="N1193" i="4"/>
  <c r="L1193" i="4"/>
  <c r="K1193" i="4"/>
  <c r="J1193" i="4"/>
  <c r="I1193" i="4"/>
  <c r="H1193" i="4"/>
  <c r="G1193" i="4"/>
  <c r="F1193" i="4"/>
  <c r="E1193" i="4"/>
  <c r="D1193" i="4"/>
  <c r="C1193" i="4"/>
  <c r="B1193" i="4"/>
  <c r="A1193" i="4"/>
  <c r="R1192" i="4"/>
  <c r="P1192" i="4"/>
  <c r="N1192" i="4"/>
  <c r="L1192" i="4"/>
  <c r="K1192" i="4"/>
  <c r="J1192" i="4"/>
  <c r="I1192" i="4"/>
  <c r="H1192" i="4"/>
  <c r="G1192" i="4"/>
  <c r="F1192" i="4"/>
  <c r="E1192" i="4"/>
  <c r="D1192" i="4"/>
  <c r="C1192" i="4"/>
  <c r="B1192" i="4"/>
  <c r="A1192" i="4"/>
  <c r="R1191" i="4"/>
  <c r="P1191" i="4"/>
  <c r="N1191" i="4"/>
  <c r="L1191" i="4"/>
  <c r="K1191" i="4"/>
  <c r="J1191" i="4"/>
  <c r="I1191" i="4"/>
  <c r="H1191" i="4"/>
  <c r="G1191" i="4"/>
  <c r="F1191" i="4"/>
  <c r="E1191" i="4"/>
  <c r="D1191" i="4"/>
  <c r="C1191" i="4"/>
  <c r="B1191" i="4"/>
  <c r="A1191" i="4"/>
  <c r="R1190" i="4"/>
  <c r="P1190" i="4"/>
  <c r="N1190" i="4"/>
  <c r="L1190" i="4"/>
  <c r="K1190" i="4"/>
  <c r="J1190" i="4"/>
  <c r="I1190" i="4"/>
  <c r="H1190" i="4"/>
  <c r="G1190" i="4"/>
  <c r="F1190" i="4"/>
  <c r="E1190" i="4"/>
  <c r="D1190" i="4"/>
  <c r="C1190" i="4"/>
  <c r="B1190" i="4"/>
  <c r="A1190" i="4"/>
  <c r="R1189" i="4"/>
  <c r="P1189" i="4"/>
  <c r="N1189" i="4"/>
  <c r="L1189" i="4"/>
  <c r="K1189" i="4"/>
  <c r="J1189" i="4"/>
  <c r="I1189" i="4"/>
  <c r="H1189" i="4"/>
  <c r="G1189" i="4"/>
  <c r="F1189" i="4"/>
  <c r="E1189" i="4"/>
  <c r="D1189" i="4"/>
  <c r="C1189" i="4"/>
  <c r="B1189" i="4"/>
  <c r="A1189" i="4"/>
  <c r="R1188" i="4"/>
  <c r="P1188" i="4"/>
  <c r="N1188" i="4"/>
  <c r="L1188" i="4"/>
  <c r="K1188" i="4"/>
  <c r="J1188" i="4"/>
  <c r="I1188" i="4"/>
  <c r="H1188" i="4"/>
  <c r="G1188" i="4"/>
  <c r="F1188" i="4"/>
  <c r="E1188" i="4"/>
  <c r="D1188" i="4"/>
  <c r="C1188" i="4"/>
  <c r="B1188" i="4"/>
  <c r="A1188" i="4"/>
  <c r="R1187" i="4"/>
  <c r="P1187" i="4"/>
  <c r="N1187" i="4"/>
  <c r="L1187" i="4"/>
  <c r="K1187" i="4"/>
  <c r="J1187" i="4"/>
  <c r="I1187" i="4"/>
  <c r="H1187" i="4"/>
  <c r="G1187" i="4"/>
  <c r="F1187" i="4"/>
  <c r="E1187" i="4"/>
  <c r="D1187" i="4"/>
  <c r="C1187" i="4"/>
  <c r="B1187" i="4"/>
  <c r="A1187" i="4"/>
  <c r="R1186" i="4"/>
  <c r="P1186" i="4"/>
  <c r="N1186" i="4"/>
  <c r="L1186" i="4"/>
  <c r="K1186" i="4"/>
  <c r="J1186" i="4"/>
  <c r="I1186" i="4"/>
  <c r="H1186" i="4"/>
  <c r="G1186" i="4"/>
  <c r="F1186" i="4"/>
  <c r="E1186" i="4"/>
  <c r="D1186" i="4"/>
  <c r="C1186" i="4"/>
  <c r="B1186" i="4"/>
  <c r="A1186" i="4"/>
  <c r="R1185" i="4"/>
  <c r="P1185" i="4"/>
  <c r="N1185" i="4"/>
  <c r="L1185" i="4"/>
  <c r="K1185" i="4"/>
  <c r="J1185" i="4"/>
  <c r="I1185" i="4"/>
  <c r="H1185" i="4"/>
  <c r="G1185" i="4"/>
  <c r="F1185" i="4"/>
  <c r="E1185" i="4"/>
  <c r="D1185" i="4"/>
  <c r="C1185" i="4"/>
  <c r="B1185" i="4"/>
  <c r="A1185" i="4"/>
  <c r="R1184" i="4"/>
  <c r="P1184" i="4"/>
  <c r="N1184" i="4"/>
  <c r="L1184" i="4"/>
  <c r="K1184" i="4"/>
  <c r="J1184" i="4"/>
  <c r="I1184" i="4"/>
  <c r="H1184" i="4"/>
  <c r="G1184" i="4"/>
  <c r="F1184" i="4"/>
  <c r="E1184" i="4"/>
  <c r="D1184" i="4"/>
  <c r="C1184" i="4"/>
  <c r="B1184" i="4"/>
  <c r="A1184" i="4"/>
  <c r="R1183" i="4"/>
  <c r="P1183" i="4"/>
  <c r="N1183" i="4"/>
  <c r="L1183" i="4"/>
  <c r="K1183" i="4"/>
  <c r="J1183" i="4"/>
  <c r="I1183" i="4"/>
  <c r="H1183" i="4"/>
  <c r="G1183" i="4"/>
  <c r="F1183" i="4"/>
  <c r="E1183" i="4"/>
  <c r="D1183" i="4"/>
  <c r="C1183" i="4"/>
  <c r="B1183" i="4"/>
  <c r="A1183" i="4"/>
  <c r="R1182" i="4"/>
  <c r="P1182" i="4"/>
  <c r="N1182" i="4"/>
  <c r="L1182" i="4"/>
  <c r="K1182" i="4"/>
  <c r="J1182" i="4"/>
  <c r="I1182" i="4"/>
  <c r="H1182" i="4"/>
  <c r="G1182" i="4"/>
  <c r="F1182" i="4"/>
  <c r="E1182" i="4"/>
  <c r="D1182" i="4"/>
  <c r="C1182" i="4"/>
  <c r="B1182" i="4"/>
  <c r="A1182" i="4"/>
  <c r="R1181" i="4"/>
  <c r="P1181" i="4"/>
  <c r="N1181" i="4"/>
  <c r="L1181" i="4"/>
  <c r="K1181" i="4"/>
  <c r="J1181" i="4"/>
  <c r="I1181" i="4"/>
  <c r="H1181" i="4"/>
  <c r="G1181" i="4"/>
  <c r="F1181" i="4"/>
  <c r="E1181" i="4"/>
  <c r="D1181" i="4"/>
  <c r="C1181" i="4"/>
  <c r="B1181" i="4"/>
  <c r="A1181" i="4"/>
  <c r="R1180" i="4"/>
  <c r="P1180" i="4"/>
  <c r="N1180" i="4"/>
  <c r="L1180" i="4"/>
  <c r="K1180" i="4"/>
  <c r="J1180" i="4"/>
  <c r="I1180" i="4"/>
  <c r="H1180" i="4"/>
  <c r="G1180" i="4"/>
  <c r="F1180" i="4"/>
  <c r="E1180" i="4"/>
  <c r="D1180" i="4"/>
  <c r="C1180" i="4"/>
  <c r="B1180" i="4"/>
  <c r="A1180" i="4"/>
  <c r="R1179" i="4"/>
  <c r="P1179" i="4"/>
  <c r="N1179" i="4"/>
  <c r="L1179" i="4"/>
  <c r="K1179" i="4"/>
  <c r="J1179" i="4"/>
  <c r="I1179" i="4"/>
  <c r="H1179" i="4"/>
  <c r="G1179" i="4"/>
  <c r="F1179" i="4"/>
  <c r="E1179" i="4"/>
  <c r="D1179" i="4"/>
  <c r="C1179" i="4"/>
  <c r="B1179" i="4"/>
  <c r="A1179" i="4"/>
  <c r="R1178" i="4"/>
  <c r="P1178" i="4"/>
  <c r="N1178" i="4"/>
  <c r="L1178" i="4"/>
  <c r="K1178" i="4"/>
  <c r="J1178" i="4"/>
  <c r="I1178" i="4"/>
  <c r="H1178" i="4"/>
  <c r="G1178" i="4"/>
  <c r="F1178" i="4"/>
  <c r="E1178" i="4"/>
  <c r="D1178" i="4"/>
  <c r="C1178" i="4"/>
  <c r="B1178" i="4"/>
  <c r="A1178" i="4"/>
  <c r="R1177" i="4"/>
  <c r="P1177" i="4"/>
  <c r="N1177" i="4"/>
  <c r="L1177" i="4"/>
  <c r="K1177" i="4"/>
  <c r="J1177" i="4"/>
  <c r="I1177" i="4"/>
  <c r="H1177" i="4"/>
  <c r="G1177" i="4"/>
  <c r="F1177" i="4"/>
  <c r="E1177" i="4"/>
  <c r="D1177" i="4"/>
  <c r="C1177" i="4"/>
  <c r="B1177" i="4"/>
  <c r="A1177" i="4"/>
  <c r="R1176" i="4"/>
  <c r="P1176" i="4"/>
  <c r="N1176" i="4"/>
  <c r="L1176" i="4"/>
  <c r="K1176" i="4"/>
  <c r="J1176" i="4"/>
  <c r="I1176" i="4"/>
  <c r="H1176" i="4"/>
  <c r="G1176" i="4"/>
  <c r="F1176" i="4"/>
  <c r="E1176" i="4"/>
  <c r="D1176" i="4"/>
  <c r="C1176" i="4"/>
  <c r="B1176" i="4"/>
  <c r="A1176" i="4"/>
  <c r="R1175" i="4"/>
  <c r="P1175" i="4"/>
  <c r="N1175" i="4"/>
  <c r="L1175" i="4"/>
  <c r="K1175" i="4"/>
  <c r="J1175" i="4"/>
  <c r="I1175" i="4"/>
  <c r="H1175" i="4"/>
  <c r="G1175" i="4"/>
  <c r="F1175" i="4"/>
  <c r="E1175" i="4"/>
  <c r="D1175" i="4"/>
  <c r="C1175" i="4"/>
  <c r="B1175" i="4"/>
  <c r="A1175" i="4"/>
  <c r="R1174" i="4"/>
  <c r="P1174" i="4"/>
  <c r="N1174" i="4"/>
  <c r="L1174" i="4"/>
  <c r="K1174" i="4"/>
  <c r="J1174" i="4"/>
  <c r="I1174" i="4"/>
  <c r="H1174" i="4"/>
  <c r="G1174" i="4"/>
  <c r="F1174" i="4"/>
  <c r="E1174" i="4"/>
  <c r="D1174" i="4"/>
  <c r="C1174" i="4"/>
  <c r="B1174" i="4"/>
  <c r="A1174" i="4"/>
  <c r="R1173" i="4"/>
  <c r="P1173" i="4"/>
  <c r="N1173" i="4"/>
  <c r="L1173" i="4"/>
  <c r="K1173" i="4"/>
  <c r="J1173" i="4"/>
  <c r="I1173" i="4"/>
  <c r="H1173" i="4"/>
  <c r="G1173" i="4"/>
  <c r="F1173" i="4"/>
  <c r="E1173" i="4"/>
  <c r="D1173" i="4"/>
  <c r="C1173" i="4"/>
  <c r="B1173" i="4"/>
  <c r="A1173" i="4"/>
  <c r="R1172" i="4"/>
  <c r="P1172" i="4"/>
  <c r="N1172" i="4"/>
  <c r="L1172" i="4"/>
  <c r="K1172" i="4"/>
  <c r="J1172" i="4"/>
  <c r="I1172" i="4"/>
  <c r="H1172" i="4"/>
  <c r="G1172" i="4"/>
  <c r="F1172" i="4"/>
  <c r="E1172" i="4"/>
  <c r="D1172" i="4"/>
  <c r="C1172" i="4"/>
  <c r="B1172" i="4"/>
  <c r="A1172" i="4"/>
  <c r="R1171" i="4"/>
  <c r="P1171" i="4"/>
  <c r="N1171" i="4"/>
  <c r="L1171" i="4"/>
  <c r="K1171" i="4"/>
  <c r="J1171" i="4"/>
  <c r="I1171" i="4"/>
  <c r="H1171" i="4"/>
  <c r="G1171" i="4"/>
  <c r="F1171" i="4"/>
  <c r="E1171" i="4"/>
  <c r="D1171" i="4"/>
  <c r="C1171" i="4"/>
  <c r="B1171" i="4"/>
  <c r="A1171" i="4"/>
  <c r="R1170" i="4"/>
  <c r="P1170" i="4"/>
  <c r="N1170" i="4"/>
  <c r="L1170" i="4"/>
  <c r="K1170" i="4"/>
  <c r="J1170" i="4"/>
  <c r="I1170" i="4"/>
  <c r="H1170" i="4"/>
  <c r="G1170" i="4"/>
  <c r="F1170" i="4"/>
  <c r="E1170" i="4"/>
  <c r="D1170" i="4"/>
  <c r="C1170" i="4"/>
  <c r="B1170" i="4"/>
  <c r="A1170" i="4"/>
  <c r="R1169" i="4"/>
  <c r="P1169" i="4"/>
  <c r="N1169" i="4"/>
  <c r="L1169" i="4"/>
  <c r="K1169" i="4"/>
  <c r="J1169" i="4"/>
  <c r="I1169" i="4"/>
  <c r="H1169" i="4"/>
  <c r="G1169" i="4"/>
  <c r="F1169" i="4"/>
  <c r="E1169" i="4"/>
  <c r="D1169" i="4"/>
  <c r="C1169" i="4"/>
  <c r="B1169" i="4"/>
  <c r="A1169" i="4"/>
  <c r="R1168" i="4"/>
  <c r="P1168" i="4"/>
  <c r="N1168" i="4"/>
  <c r="L1168" i="4"/>
  <c r="K1168" i="4"/>
  <c r="J1168" i="4"/>
  <c r="I1168" i="4"/>
  <c r="H1168" i="4"/>
  <c r="G1168" i="4"/>
  <c r="F1168" i="4"/>
  <c r="E1168" i="4"/>
  <c r="D1168" i="4"/>
  <c r="C1168" i="4"/>
  <c r="B1168" i="4"/>
  <c r="A1168" i="4"/>
  <c r="R1167" i="4"/>
  <c r="P1167" i="4"/>
  <c r="N1167" i="4"/>
  <c r="L1167" i="4"/>
  <c r="K1167" i="4"/>
  <c r="J1167" i="4"/>
  <c r="I1167" i="4"/>
  <c r="H1167" i="4"/>
  <c r="G1167" i="4"/>
  <c r="F1167" i="4"/>
  <c r="E1167" i="4"/>
  <c r="D1167" i="4"/>
  <c r="C1167" i="4"/>
  <c r="B1167" i="4"/>
  <c r="A1167" i="4"/>
  <c r="R1166" i="4"/>
  <c r="P1166" i="4"/>
  <c r="N1166" i="4"/>
  <c r="L1166" i="4"/>
  <c r="K1166" i="4"/>
  <c r="J1166" i="4"/>
  <c r="I1166" i="4"/>
  <c r="H1166" i="4"/>
  <c r="G1166" i="4"/>
  <c r="F1166" i="4"/>
  <c r="E1166" i="4"/>
  <c r="D1166" i="4"/>
  <c r="C1166" i="4"/>
  <c r="B1166" i="4"/>
  <c r="A1166" i="4"/>
  <c r="R1165" i="4"/>
  <c r="P1165" i="4"/>
  <c r="N1165" i="4"/>
  <c r="L1165" i="4"/>
  <c r="K1165" i="4"/>
  <c r="J1165" i="4"/>
  <c r="I1165" i="4"/>
  <c r="H1165" i="4"/>
  <c r="G1165" i="4"/>
  <c r="F1165" i="4"/>
  <c r="E1165" i="4"/>
  <c r="D1165" i="4"/>
  <c r="C1165" i="4"/>
  <c r="B1165" i="4"/>
  <c r="A1165" i="4"/>
  <c r="R1164" i="4"/>
  <c r="P1164" i="4"/>
  <c r="N1164" i="4"/>
  <c r="L1164" i="4"/>
  <c r="K1164" i="4"/>
  <c r="J1164" i="4"/>
  <c r="I1164" i="4"/>
  <c r="H1164" i="4"/>
  <c r="G1164" i="4"/>
  <c r="F1164" i="4"/>
  <c r="E1164" i="4"/>
  <c r="D1164" i="4"/>
  <c r="C1164" i="4"/>
  <c r="B1164" i="4"/>
  <c r="A1164" i="4"/>
  <c r="R1163" i="4"/>
  <c r="P1163" i="4"/>
  <c r="N1163" i="4"/>
  <c r="L1163" i="4"/>
  <c r="K1163" i="4"/>
  <c r="J1163" i="4"/>
  <c r="I1163" i="4"/>
  <c r="H1163" i="4"/>
  <c r="G1163" i="4"/>
  <c r="F1163" i="4"/>
  <c r="E1163" i="4"/>
  <c r="D1163" i="4"/>
  <c r="C1163" i="4"/>
  <c r="B1163" i="4"/>
  <c r="A1163" i="4"/>
  <c r="R1162" i="4"/>
  <c r="P1162" i="4"/>
  <c r="N1162" i="4"/>
  <c r="L1162" i="4"/>
  <c r="K1162" i="4"/>
  <c r="J1162" i="4"/>
  <c r="I1162" i="4"/>
  <c r="H1162" i="4"/>
  <c r="G1162" i="4"/>
  <c r="F1162" i="4"/>
  <c r="E1162" i="4"/>
  <c r="D1162" i="4"/>
  <c r="C1162" i="4"/>
  <c r="B1162" i="4"/>
  <c r="A1162" i="4"/>
  <c r="R1161" i="4"/>
  <c r="P1161" i="4"/>
  <c r="N1161" i="4"/>
  <c r="L1161" i="4"/>
  <c r="K1161" i="4"/>
  <c r="J1161" i="4"/>
  <c r="I1161" i="4"/>
  <c r="H1161" i="4"/>
  <c r="G1161" i="4"/>
  <c r="F1161" i="4"/>
  <c r="E1161" i="4"/>
  <c r="D1161" i="4"/>
  <c r="C1161" i="4"/>
  <c r="B1161" i="4"/>
  <c r="A1161" i="4"/>
  <c r="R1160" i="4"/>
  <c r="P1160" i="4"/>
  <c r="N1160" i="4"/>
  <c r="L1160" i="4"/>
  <c r="K1160" i="4"/>
  <c r="J1160" i="4"/>
  <c r="I1160" i="4"/>
  <c r="H1160" i="4"/>
  <c r="G1160" i="4"/>
  <c r="F1160" i="4"/>
  <c r="E1160" i="4"/>
  <c r="D1160" i="4"/>
  <c r="C1160" i="4"/>
  <c r="B1160" i="4"/>
  <c r="A1160" i="4"/>
  <c r="R1159" i="4"/>
  <c r="P1159" i="4"/>
  <c r="N1159" i="4"/>
  <c r="L1159" i="4"/>
  <c r="K1159" i="4"/>
  <c r="J1159" i="4"/>
  <c r="I1159" i="4"/>
  <c r="H1159" i="4"/>
  <c r="G1159" i="4"/>
  <c r="F1159" i="4"/>
  <c r="E1159" i="4"/>
  <c r="D1159" i="4"/>
  <c r="C1159" i="4"/>
  <c r="B1159" i="4"/>
  <c r="A1159" i="4"/>
  <c r="R1158" i="4"/>
  <c r="P1158" i="4"/>
  <c r="N1158" i="4"/>
  <c r="L1158" i="4"/>
  <c r="K1158" i="4"/>
  <c r="J1158" i="4"/>
  <c r="I1158" i="4"/>
  <c r="H1158" i="4"/>
  <c r="G1158" i="4"/>
  <c r="F1158" i="4"/>
  <c r="E1158" i="4"/>
  <c r="D1158" i="4"/>
  <c r="C1158" i="4"/>
  <c r="B1158" i="4"/>
  <c r="A1158" i="4"/>
  <c r="R1157" i="4"/>
  <c r="P1157" i="4"/>
  <c r="N1157" i="4"/>
  <c r="L1157" i="4"/>
  <c r="K1157" i="4"/>
  <c r="J1157" i="4"/>
  <c r="I1157" i="4"/>
  <c r="H1157" i="4"/>
  <c r="G1157" i="4"/>
  <c r="F1157" i="4"/>
  <c r="E1157" i="4"/>
  <c r="D1157" i="4"/>
  <c r="C1157" i="4"/>
  <c r="B1157" i="4"/>
  <c r="A1157" i="4"/>
  <c r="R1156" i="4"/>
  <c r="P1156" i="4"/>
  <c r="N1156" i="4"/>
  <c r="L1156" i="4"/>
  <c r="K1156" i="4"/>
  <c r="J1156" i="4"/>
  <c r="I1156" i="4"/>
  <c r="H1156" i="4"/>
  <c r="G1156" i="4"/>
  <c r="F1156" i="4"/>
  <c r="E1156" i="4"/>
  <c r="D1156" i="4"/>
  <c r="C1156" i="4"/>
  <c r="B1156" i="4"/>
  <c r="A1156" i="4"/>
  <c r="R1155" i="4"/>
  <c r="P1155" i="4"/>
  <c r="N1155" i="4"/>
  <c r="L1155" i="4"/>
  <c r="K1155" i="4"/>
  <c r="J1155" i="4"/>
  <c r="I1155" i="4"/>
  <c r="H1155" i="4"/>
  <c r="G1155" i="4"/>
  <c r="F1155" i="4"/>
  <c r="E1155" i="4"/>
  <c r="D1155" i="4"/>
  <c r="C1155" i="4"/>
  <c r="B1155" i="4"/>
  <c r="A1155" i="4"/>
  <c r="R1154" i="4"/>
  <c r="P1154" i="4"/>
  <c r="N1154" i="4"/>
  <c r="L1154" i="4"/>
  <c r="K1154" i="4"/>
  <c r="J1154" i="4"/>
  <c r="I1154" i="4"/>
  <c r="H1154" i="4"/>
  <c r="G1154" i="4"/>
  <c r="F1154" i="4"/>
  <c r="E1154" i="4"/>
  <c r="D1154" i="4"/>
  <c r="C1154" i="4"/>
  <c r="B1154" i="4"/>
  <c r="A1154" i="4"/>
  <c r="R1153" i="4"/>
  <c r="P1153" i="4"/>
  <c r="N1153" i="4"/>
  <c r="L1153" i="4"/>
  <c r="K1153" i="4"/>
  <c r="J1153" i="4"/>
  <c r="I1153" i="4"/>
  <c r="H1153" i="4"/>
  <c r="G1153" i="4"/>
  <c r="F1153" i="4"/>
  <c r="E1153" i="4"/>
  <c r="D1153" i="4"/>
  <c r="C1153" i="4"/>
  <c r="B1153" i="4"/>
  <c r="A1153" i="4"/>
  <c r="R1152" i="4"/>
  <c r="P1152" i="4"/>
  <c r="N1152" i="4"/>
  <c r="L1152" i="4"/>
  <c r="K1152" i="4"/>
  <c r="J1152" i="4"/>
  <c r="I1152" i="4"/>
  <c r="H1152" i="4"/>
  <c r="G1152" i="4"/>
  <c r="F1152" i="4"/>
  <c r="E1152" i="4"/>
  <c r="D1152" i="4"/>
  <c r="C1152" i="4"/>
  <c r="B1152" i="4"/>
  <c r="A1152" i="4"/>
  <c r="R1151" i="4"/>
  <c r="P1151" i="4"/>
  <c r="N1151" i="4"/>
  <c r="L1151" i="4"/>
  <c r="K1151" i="4"/>
  <c r="J1151" i="4"/>
  <c r="I1151" i="4"/>
  <c r="H1151" i="4"/>
  <c r="G1151" i="4"/>
  <c r="F1151" i="4"/>
  <c r="E1151" i="4"/>
  <c r="D1151" i="4"/>
  <c r="C1151" i="4"/>
  <c r="B1151" i="4"/>
  <c r="A1151" i="4"/>
  <c r="R1150" i="4"/>
  <c r="P1150" i="4"/>
  <c r="N1150" i="4"/>
  <c r="L1150" i="4"/>
  <c r="K1150" i="4"/>
  <c r="J1150" i="4"/>
  <c r="I1150" i="4"/>
  <c r="H1150" i="4"/>
  <c r="G1150" i="4"/>
  <c r="F1150" i="4"/>
  <c r="E1150" i="4"/>
  <c r="D1150" i="4"/>
  <c r="C1150" i="4"/>
  <c r="B1150" i="4"/>
  <c r="A1150" i="4"/>
  <c r="R1149" i="4"/>
  <c r="P1149" i="4"/>
  <c r="N1149" i="4"/>
  <c r="L1149" i="4"/>
  <c r="K1149" i="4"/>
  <c r="J1149" i="4"/>
  <c r="I1149" i="4"/>
  <c r="H1149" i="4"/>
  <c r="G1149" i="4"/>
  <c r="F1149" i="4"/>
  <c r="E1149" i="4"/>
  <c r="D1149" i="4"/>
  <c r="C1149" i="4"/>
  <c r="B1149" i="4"/>
  <c r="A1149" i="4"/>
  <c r="R1148" i="4"/>
  <c r="P1148" i="4"/>
  <c r="N1148" i="4"/>
  <c r="L1148" i="4"/>
  <c r="K1148" i="4"/>
  <c r="J1148" i="4"/>
  <c r="I1148" i="4"/>
  <c r="H1148" i="4"/>
  <c r="G1148" i="4"/>
  <c r="F1148" i="4"/>
  <c r="E1148" i="4"/>
  <c r="D1148" i="4"/>
  <c r="C1148" i="4"/>
  <c r="B1148" i="4"/>
  <c r="A1148" i="4"/>
  <c r="R1147" i="4"/>
  <c r="P1147" i="4"/>
  <c r="N1147" i="4"/>
  <c r="L1147" i="4"/>
  <c r="K1147" i="4"/>
  <c r="J1147" i="4"/>
  <c r="I1147" i="4"/>
  <c r="H1147" i="4"/>
  <c r="G1147" i="4"/>
  <c r="F1147" i="4"/>
  <c r="E1147" i="4"/>
  <c r="D1147" i="4"/>
  <c r="C1147" i="4"/>
  <c r="B1147" i="4"/>
  <c r="A1147" i="4"/>
  <c r="R1146" i="4"/>
  <c r="P1146" i="4"/>
  <c r="N1146" i="4"/>
  <c r="L1146" i="4"/>
  <c r="K1146" i="4"/>
  <c r="J1146" i="4"/>
  <c r="I1146" i="4"/>
  <c r="H1146" i="4"/>
  <c r="G1146" i="4"/>
  <c r="F1146" i="4"/>
  <c r="E1146" i="4"/>
  <c r="D1146" i="4"/>
  <c r="C1146" i="4"/>
  <c r="B1146" i="4"/>
  <c r="A1146" i="4"/>
  <c r="R1145" i="4"/>
  <c r="P1145" i="4"/>
  <c r="N1145" i="4"/>
  <c r="L1145" i="4"/>
  <c r="K1145" i="4"/>
  <c r="J1145" i="4"/>
  <c r="I1145" i="4"/>
  <c r="H1145" i="4"/>
  <c r="G1145" i="4"/>
  <c r="F1145" i="4"/>
  <c r="E1145" i="4"/>
  <c r="D1145" i="4"/>
  <c r="C1145" i="4"/>
  <c r="B1145" i="4"/>
  <c r="A1145" i="4"/>
  <c r="R1144" i="4"/>
  <c r="P1144" i="4"/>
  <c r="N1144" i="4"/>
  <c r="L1144" i="4"/>
  <c r="K1144" i="4"/>
  <c r="J1144" i="4"/>
  <c r="I1144" i="4"/>
  <c r="H1144" i="4"/>
  <c r="G1144" i="4"/>
  <c r="F1144" i="4"/>
  <c r="E1144" i="4"/>
  <c r="D1144" i="4"/>
  <c r="C1144" i="4"/>
  <c r="B1144" i="4"/>
  <c r="A1144" i="4"/>
  <c r="R1143" i="4"/>
  <c r="P1143" i="4"/>
  <c r="N1143" i="4"/>
  <c r="L1143" i="4"/>
  <c r="K1143" i="4"/>
  <c r="J1143" i="4"/>
  <c r="I1143" i="4"/>
  <c r="H1143" i="4"/>
  <c r="G1143" i="4"/>
  <c r="F1143" i="4"/>
  <c r="E1143" i="4"/>
  <c r="D1143" i="4"/>
  <c r="C1143" i="4"/>
  <c r="B1143" i="4"/>
  <c r="A1143" i="4"/>
  <c r="R1142" i="4"/>
  <c r="P1142" i="4"/>
  <c r="N1142" i="4"/>
  <c r="L1142" i="4"/>
  <c r="K1142" i="4"/>
  <c r="J1142" i="4"/>
  <c r="I1142" i="4"/>
  <c r="H1142" i="4"/>
  <c r="G1142" i="4"/>
  <c r="F1142" i="4"/>
  <c r="E1142" i="4"/>
  <c r="D1142" i="4"/>
  <c r="C1142" i="4"/>
  <c r="B1142" i="4"/>
  <c r="A1142" i="4"/>
  <c r="R1141" i="4"/>
  <c r="P1141" i="4"/>
  <c r="N1141" i="4"/>
  <c r="L1141" i="4"/>
  <c r="K1141" i="4"/>
  <c r="J1141" i="4"/>
  <c r="I1141" i="4"/>
  <c r="H1141" i="4"/>
  <c r="G1141" i="4"/>
  <c r="F1141" i="4"/>
  <c r="E1141" i="4"/>
  <c r="D1141" i="4"/>
  <c r="C1141" i="4"/>
  <c r="B1141" i="4"/>
  <c r="A1141" i="4"/>
  <c r="R1140" i="4"/>
  <c r="P1140" i="4"/>
  <c r="N1140" i="4"/>
  <c r="L1140" i="4"/>
  <c r="K1140" i="4"/>
  <c r="J1140" i="4"/>
  <c r="I1140" i="4"/>
  <c r="H1140" i="4"/>
  <c r="G1140" i="4"/>
  <c r="F1140" i="4"/>
  <c r="E1140" i="4"/>
  <c r="D1140" i="4"/>
  <c r="C1140" i="4"/>
  <c r="B1140" i="4"/>
  <c r="A1140" i="4"/>
  <c r="R1139" i="4"/>
  <c r="P1139" i="4"/>
  <c r="N1139" i="4"/>
  <c r="L1139" i="4"/>
  <c r="K1139" i="4"/>
  <c r="J1139" i="4"/>
  <c r="I1139" i="4"/>
  <c r="H1139" i="4"/>
  <c r="G1139" i="4"/>
  <c r="F1139" i="4"/>
  <c r="E1139" i="4"/>
  <c r="D1139" i="4"/>
  <c r="C1139" i="4"/>
  <c r="B1139" i="4"/>
  <c r="A1139" i="4"/>
  <c r="R1138" i="4"/>
  <c r="P1138" i="4"/>
  <c r="N1138" i="4"/>
  <c r="L1138" i="4"/>
  <c r="K1138" i="4"/>
  <c r="J1138" i="4"/>
  <c r="I1138" i="4"/>
  <c r="H1138" i="4"/>
  <c r="G1138" i="4"/>
  <c r="F1138" i="4"/>
  <c r="E1138" i="4"/>
  <c r="D1138" i="4"/>
  <c r="C1138" i="4"/>
  <c r="B1138" i="4"/>
  <c r="A1138" i="4"/>
  <c r="R1137" i="4"/>
  <c r="P1137" i="4"/>
  <c r="N1137" i="4"/>
  <c r="L1137" i="4"/>
  <c r="K1137" i="4"/>
  <c r="J1137" i="4"/>
  <c r="I1137" i="4"/>
  <c r="H1137" i="4"/>
  <c r="G1137" i="4"/>
  <c r="F1137" i="4"/>
  <c r="E1137" i="4"/>
  <c r="D1137" i="4"/>
  <c r="C1137" i="4"/>
  <c r="B1137" i="4"/>
  <c r="A1137" i="4"/>
  <c r="R1136" i="4"/>
  <c r="P1136" i="4"/>
  <c r="N1136" i="4"/>
  <c r="L1136" i="4"/>
  <c r="K1136" i="4"/>
  <c r="J1136" i="4"/>
  <c r="I1136" i="4"/>
  <c r="H1136" i="4"/>
  <c r="G1136" i="4"/>
  <c r="F1136" i="4"/>
  <c r="E1136" i="4"/>
  <c r="D1136" i="4"/>
  <c r="C1136" i="4"/>
  <c r="B1136" i="4"/>
  <c r="A1136" i="4"/>
  <c r="R1135" i="4"/>
  <c r="P1135" i="4"/>
  <c r="N1135" i="4"/>
  <c r="L1135" i="4"/>
  <c r="K1135" i="4"/>
  <c r="J1135" i="4"/>
  <c r="I1135" i="4"/>
  <c r="H1135" i="4"/>
  <c r="G1135" i="4"/>
  <c r="F1135" i="4"/>
  <c r="E1135" i="4"/>
  <c r="D1135" i="4"/>
  <c r="C1135" i="4"/>
  <c r="B1135" i="4"/>
  <c r="A1135" i="4"/>
  <c r="R1134" i="4"/>
  <c r="P1134" i="4"/>
  <c r="N1134" i="4"/>
  <c r="L1134" i="4"/>
  <c r="K1134" i="4"/>
  <c r="J1134" i="4"/>
  <c r="I1134" i="4"/>
  <c r="H1134" i="4"/>
  <c r="G1134" i="4"/>
  <c r="F1134" i="4"/>
  <c r="E1134" i="4"/>
  <c r="D1134" i="4"/>
  <c r="C1134" i="4"/>
  <c r="B1134" i="4"/>
  <c r="A1134" i="4"/>
  <c r="R1133" i="4"/>
  <c r="P1133" i="4"/>
  <c r="N1133" i="4"/>
  <c r="L1133" i="4"/>
  <c r="K1133" i="4"/>
  <c r="J1133" i="4"/>
  <c r="I1133" i="4"/>
  <c r="H1133" i="4"/>
  <c r="G1133" i="4"/>
  <c r="F1133" i="4"/>
  <c r="E1133" i="4"/>
  <c r="D1133" i="4"/>
  <c r="C1133" i="4"/>
  <c r="B1133" i="4"/>
  <c r="A1133" i="4"/>
  <c r="R1132" i="4"/>
  <c r="P1132" i="4"/>
  <c r="N1132" i="4"/>
  <c r="L1132" i="4"/>
  <c r="K1132" i="4"/>
  <c r="J1132" i="4"/>
  <c r="I1132" i="4"/>
  <c r="H1132" i="4"/>
  <c r="G1132" i="4"/>
  <c r="F1132" i="4"/>
  <c r="E1132" i="4"/>
  <c r="D1132" i="4"/>
  <c r="C1132" i="4"/>
  <c r="B1132" i="4"/>
  <c r="A1132" i="4"/>
  <c r="R1131" i="4"/>
  <c r="P1131" i="4"/>
  <c r="N1131" i="4"/>
  <c r="L1131" i="4"/>
  <c r="K1131" i="4"/>
  <c r="J1131" i="4"/>
  <c r="I1131" i="4"/>
  <c r="H1131" i="4"/>
  <c r="G1131" i="4"/>
  <c r="F1131" i="4"/>
  <c r="E1131" i="4"/>
  <c r="D1131" i="4"/>
  <c r="C1131" i="4"/>
  <c r="B1131" i="4"/>
  <c r="A1131" i="4"/>
  <c r="R1130" i="4"/>
  <c r="P1130" i="4"/>
  <c r="N1130" i="4"/>
  <c r="L1130" i="4"/>
  <c r="K1130" i="4"/>
  <c r="J1130" i="4"/>
  <c r="I1130" i="4"/>
  <c r="H1130" i="4"/>
  <c r="G1130" i="4"/>
  <c r="F1130" i="4"/>
  <c r="E1130" i="4"/>
  <c r="D1130" i="4"/>
  <c r="C1130" i="4"/>
  <c r="B1130" i="4"/>
  <c r="A1130" i="4"/>
  <c r="R1129" i="4"/>
  <c r="P1129" i="4"/>
  <c r="N1129" i="4"/>
  <c r="L1129" i="4"/>
  <c r="K1129" i="4"/>
  <c r="J1129" i="4"/>
  <c r="I1129" i="4"/>
  <c r="H1129" i="4"/>
  <c r="G1129" i="4"/>
  <c r="F1129" i="4"/>
  <c r="E1129" i="4"/>
  <c r="D1129" i="4"/>
  <c r="C1129" i="4"/>
  <c r="B1129" i="4"/>
  <c r="A1129" i="4"/>
  <c r="R1128" i="4"/>
  <c r="P1128" i="4"/>
  <c r="N1128" i="4"/>
  <c r="L1128" i="4"/>
  <c r="K1128" i="4"/>
  <c r="J1128" i="4"/>
  <c r="I1128" i="4"/>
  <c r="H1128" i="4"/>
  <c r="G1128" i="4"/>
  <c r="F1128" i="4"/>
  <c r="E1128" i="4"/>
  <c r="D1128" i="4"/>
  <c r="C1128" i="4"/>
  <c r="B1128" i="4"/>
  <c r="A1128" i="4"/>
  <c r="R1127" i="4"/>
  <c r="P1127" i="4"/>
  <c r="N1127" i="4"/>
  <c r="L1127" i="4"/>
  <c r="K1127" i="4"/>
  <c r="J1127" i="4"/>
  <c r="I1127" i="4"/>
  <c r="H1127" i="4"/>
  <c r="G1127" i="4"/>
  <c r="F1127" i="4"/>
  <c r="E1127" i="4"/>
  <c r="D1127" i="4"/>
  <c r="C1127" i="4"/>
  <c r="B1127" i="4"/>
  <c r="A1127" i="4"/>
  <c r="R1126" i="4"/>
  <c r="P1126" i="4"/>
  <c r="N1126" i="4"/>
  <c r="L1126" i="4"/>
  <c r="K1126" i="4"/>
  <c r="J1126" i="4"/>
  <c r="I1126" i="4"/>
  <c r="H1126" i="4"/>
  <c r="G1126" i="4"/>
  <c r="F1126" i="4"/>
  <c r="E1126" i="4"/>
  <c r="D1126" i="4"/>
  <c r="C1126" i="4"/>
  <c r="B1126" i="4"/>
  <c r="A1126" i="4"/>
  <c r="R1125" i="4"/>
  <c r="P1125" i="4"/>
  <c r="N1125" i="4"/>
  <c r="L1125" i="4"/>
  <c r="K1125" i="4"/>
  <c r="J1125" i="4"/>
  <c r="I1125" i="4"/>
  <c r="H1125" i="4"/>
  <c r="G1125" i="4"/>
  <c r="F1125" i="4"/>
  <c r="E1125" i="4"/>
  <c r="D1125" i="4"/>
  <c r="C1125" i="4"/>
  <c r="B1125" i="4"/>
  <c r="A1125" i="4"/>
  <c r="R1124" i="4"/>
  <c r="P1124" i="4"/>
  <c r="N1124" i="4"/>
  <c r="L1124" i="4"/>
  <c r="K1124" i="4"/>
  <c r="J1124" i="4"/>
  <c r="I1124" i="4"/>
  <c r="H1124" i="4"/>
  <c r="G1124" i="4"/>
  <c r="F1124" i="4"/>
  <c r="E1124" i="4"/>
  <c r="D1124" i="4"/>
  <c r="C1124" i="4"/>
  <c r="B1124" i="4"/>
  <c r="A1124" i="4"/>
  <c r="R1123" i="4"/>
  <c r="P1123" i="4"/>
  <c r="N1123" i="4"/>
  <c r="L1123" i="4"/>
  <c r="K1123" i="4"/>
  <c r="J1123" i="4"/>
  <c r="I1123" i="4"/>
  <c r="H1123" i="4"/>
  <c r="G1123" i="4"/>
  <c r="F1123" i="4"/>
  <c r="E1123" i="4"/>
  <c r="D1123" i="4"/>
  <c r="C1123" i="4"/>
  <c r="B1123" i="4"/>
  <c r="A1123" i="4"/>
  <c r="R1122" i="4"/>
  <c r="P1122" i="4"/>
  <c r="N1122" i="4"/>
  <c r="L1122" i="4"/>
  <c r="K1122" i="4"/>
  <c r="J1122" i="4"/>
  <c r="I1122" i="4"/>
  <c r="H1122" i="4"/>
  <c r="G1122" i="4"/>
  <c r="F1122" i="4"/>
  <c r="E1122" i="4"/>
  <c r="D1122" i="4"/>
  <c r="C1122" i="4"/>
  <c r="B1122" i="4"/>
  <c r="A1122" i="4"/>
  <c r="R1121" i="4"/>
  <c r="P1121" i="4"/>
  <c r="N1121" i="4"/>
  <c r="L1121" i="4"/>
  <c r="K1121" i="4"/>
  <c r="J1121" i="4"/>
  <c r="I1121" i="4"/>
  <c r="H1121" i="4"/>
  <c r="G1121" i="4"/>
  <c r="F1121" i="4"/>
  <c r="E1121" i="4"/>
  <c r="D1121" i="4"/>
  <c r="C1121" i="4"/>
  <c r="B1121" i="4"/>
  <c r="A1121" i="4"/>
  <c r="R1120" i="4"/>
  <c r="P1120" i="4"/>
  <c r="N1120" i="4"/>
  <c r="L1120" i="4"/>
  <c r="K1120" i="4"/>
  <c r="J1120" i="4"/>
  <c r="I1120" i="4"/>
  <c r="H1120" i="4"/>
  <c r="G1120" i="4"/>
  <c r="F1120" i="4"/>
  <c r="E1120" i="4"/>
  <c r="D1120" i="4"/>
  <c r="C1120" i="4"/>
  <c r="B1120" i="4"/>
  <c r="A1120" i="4"/>
  <c r="R1119" i="4"/>
  <c r="P1119" i="4"/>
  <c r="N1119" i="4"/>
  <c r="L1119" i="4"/>
  <c r="K1119" i="4"/>
  <c r="J1119" i="4"/>
  <c r="I1119" i="4"/>
  <c r="H1119" i="4"/>
  <c r="G1119" i="4"/>
  <c r="F1119" i="4"/>
  <c r="E1119" i="4"/>
  <c r="D1119" i="4"/>
  <c r="C1119" i="4"/>
  <c r="B1119" i="4"/>
  <c r="A1119" i="4"/>
  <c r="R1118" i="4"/>
  <c r="P1118" i="4"/>
  <c r="N1118" i="4"/>
  <c r="L1118" i="4"/>
  <c r="K1118" i="4"/>
  <c r="J1118" i="4"/>
  <c r="I1118" i="4"/>
  <c r="H1118" i="4"/>
  <c r="G1118" i="4"/>
  <c r="F1118" i="4"/>
  <c r="E1118" i="4"/>
  <c r="D1118" i="4"/>
  <c r="C1118" i="4"/>
  <c r="B1118" i="4"/>
  <c r="A1118" i="4"/>
  <c r="R1117" i="4"/>
  <c r="P1117" i="4"/>
  <c r="N1117" i="4"/>
  <c r="L1117" i="4"/>
  <c r="K1117" i="4"/>
  <c r="J1117" i="4"/>
  <c r="I1117" i="4"/>
  <c r="H1117" i="4"/>
  <c r="G1117" i="4"/>
  <c r="F1117" i="4"/>
  <c r="E1117" i="4"/>
  <c r="D1117" i="4"/>
  <c r="C1117" i="4"/>
  <c r="B1117" i="4"/>
  <c r="A1117" i="4"/>
  <c r="R1116" i="4"/>
  <c r="P1116" i="4"/>
  <c r="N1116" i="4"/>
  <c r="L1116" i="4"/>
  <c r="K1116" i="4"/>
  <c r="J1116" i="4"/>
  <c r="I1116" i="4"/>
  <c r="H1116" i="4"/>
  <c r="G1116" i="4"/>
  <c r="F1116" i="4"/>
  <c r="E1116" i="4"/>
  <c r="D1116" i="4"/>
  <c r="C1116" i="4"/>
  <c r="B1116" i="4"/>
  <c r="A1116" i="4"/>
  <c r="R1115" i="4"/>
  <c r="P1115" i="4"/>
  <c r="N1115" i="4"/>
  <c r="L1115" i="4"/>
  <c r="K1115" i="4"/>
  <c r="J1115" i="4"/>
  <c r="I1115" i="4"/>
  <c r="H1115" i="4"/>
  <c r="G1115" i="4"/>
  <c r="F1115" i="4"/>
  <c r="E1115" i="4"/>
  <c r="D1115" i="4"/>
  <c r="C1115" i="4"/>
  <c r="B1115" i="4"/>
  <c r="A1115" i="4"/>
  <c r="R1114" i="4"/>
  <c r="P1114" i="4"/>
  <c r="N1114" i="4"/>
  <c r="L1114" i="4"/>
  <c r="K1114" i="4"/>
  <c r="J1114" i="4"/>
  <c r="I1114" i="4"/>
  <c r="H1114" i="4"/>
  <c r="G1114" i="4"/>
  <c r="F1114" i="4"/>
  <c r="E1114" i="4"/>
  <c r="D1114" i="4"/>
  <c r="C1114" i="4"/>
  <c r="B1114" i="4"/>
  <c r="A1114" i="4"/>
  <c r="R1113" i="4"/>
  <c r="P1113" i="4"/>
  <c r="N1113" i="4"/>
  <c r="L1113" i="4"/>
  <c r="K1113" i="4"/>
  <c r="J1113" i="4"/>
  <c r="I1113" i="4"/>
  <c r="H1113" i="4"/>
  <c r="G1113" i="4"/>
  <c r="F1113" i="4"/>
  <c r="E1113" i="4"/>
  <c r="D1113" i="4"/>
  <c r="C1113" i="4"/>
  <c r="B1113" i="4"/>
  <c r="A1113" i="4"/>
  <c r="R1112" i="4"/>
  <c r="P1112" i="4"/>
  <c r="N1112" i="4"/>
  <c r="L1112" i="4"/>
  <c r="K1112" i="4"/>
  <c r="J1112" i="4"/>
  <c r="I1112" i="4"/>
  <c r="H1112" i="4"/>
  <c r="G1112" i="4"/>
  <c r="F1112" i="4"/>
  <c r="E1112" i="4"/>
  <c r="D1112" i="4"/>
  <c r="C1112" i="4"/>
  <c r="B1112" i="4"/>
  <c r="A1112" i="4"/>
  <c r="R1111" i="4"/>
  <c r="P1111" i="4"/>
  <c r="N1111" i="4"/>
  <c r="L1111" i="4"/>
  <c r="K1111" i="4"/>
  <c r="J1111" i="4"/>
  <c r="I1111" i="4"/>
  <c r="H1111" i="4"/>
  <c r="G1111" i="4"/>
  <c r="F1111" i="4"/>
  <c r="E1111" i="4"/>
  <c r="D1111" i="4"/>
  <c r="C1111" i="4"/>
  <c r="B1111" i="4"/>
  <c r="A1111" i="4"/>
  <c r="R1110" i="4"/>
  <c r="P1110" i="4"/>
  <c r="N1110" i="4"/>
  <c r="L1110" i="4"/>
  <c r="K1110" i="4"/>
  <c r="J1110" i="4"/>
  <c r="I1110" i="4"/>
  <c r="H1110" i="4"/>
  <c r="G1110" i="4"/>
  <c r="F1110" i="4"/>
  <c r="E1110" i="4"/>
  <c r="D1110" i="4"/>
  <c r="C1110" i="4"/>
  <c r="B1110" i="4"/>
  <c r="A1110" i="4"/>
  <c r="R1109" i="4"/>
  <c r="P1109" i="4"/>
  <c r="N1109" i="4"/>
  <c r="L1109" i="4"/>
  <c r="K1109" i="4"/>
  <c r="J1109" i="4"/>
  <c r="I1109" i="4"/>
  <c r="H1109" i="4"/>
  <c r="G1109" i="4"/>
  <c r="F1109" i="4"/>
  <c r="E1109" i="4"/>
  <c r="D1109" i="4"/>
  <c r="C1109" i="4"/>
  <c r="B1109" i="4"/>
  <c r="A1109" i="4"/>
  <c r="R1108" i="4"/>
  <c r="P1108" i="4"/>
  <c r="N1108" i="4"/>
  <c r="L1108" i="4"/>
  <c r="K1108" i="4"/>
  <c r="J1108" i="4"/>
  <c r="I1108" i="4"/>
  <c r="H1108" i="4"/>
  <c r="G1108" i="4"/>
  <c r="F1108" i="4"/>
  <c r="E1108" i="4"/>
  <c r="D1108" i="4"/>
  <c r="C1108" i="4"/>
  <c r="B1108" i="4"/>
  <c r="A1108" i="4"/>
  <c r="R1107" i="4"/>
  <c r="P1107" i="4"/>
  <c r="N1107" i="4"/>
  <c r="L1107" i="4"/>
  <c r="K1107" i="4"/>
  <c r="J1107" i="4"/>
  <c r="I1107" i="4"/>
  <c r="H1107" i="4"/>
  <c r="G1107" i="4"/>
  <c r="F1107" i="4"/>
  <c r="E1107" i="4"/>
  <c r="D1107" i="4"/>
  <c r="C1107" i="4"/>
  <c r="B1107" i="4"/>
  <c r="A1107" i="4"/>
  <c r="R1106" i="4"/>
  <c r="P1106" i="4"/>
  <c r="N1106" i="4"/>
  <c r="L1106" i="4"/>
  <c r="K1106" i="4"/>
  <c r="J1106" i="4"/>
  <c r="I1106" i="4"/>
  <c r="H1106" i="4"/>
  <c r="G1106" i="4"/>
  <c r="F1106" i="4"/>
  <c r="E1106" i="4"/>
  <c r="D1106" i="4"/>
  <c r="C1106" i="4"/>
  <c r="B1106" i="4"/>
  <c r="A1106" i="4"/>
  <c r="R1105" i="4"/>
  <c r="P1105" i="4"/>
  <c r="N1105" i="4"/>
  <c r="L1105" i="4"/>
  <c r="K1105" i="4"/>
  <c r="J1105" i="4"/>
  <c r="I1105" i="4"/>
  <c r="H1105" i="4"/>
  <c r="G1105" i="4"/>
  <c r="F1105" i="4"/>
  <c r="E1105" i="4"/>
  <c r="D1105" i="4"/>
  <c r="C1105" i="4"/>
  <c r="B1105" i="4"/>
  <c r="A1105" i="4"/>
  <c r="R1104" i="4"/>
  <c r="P1104" i="4"/>
  <c r="N1104" i="4"/>
  <c r="L1104" i="4"/>
  <c r="K1104" i="4"/>
  <c r="J1104" i="4"/>
  <c r="I1104" i="4"/>
  <c r="H1104" i="4"/>
  <c r="G1104" i="4"/>
  <c r="F1104" i="4"/>
  <c r="E1104" i="4"/>
  <c r="D1104" i="4"/>
  <c r="C1104" i="4"/>
  <c r="B1104" i="4"/>
  <c r="A1104" i="4"/>
  <c r="R1103" i="4"/>
  <c r="P1103" i="4"/>
  <c r="N1103" i="4"/>
  <c r="L1103" i="4"/>
  <c r="K1103" i="4"/>
  <c r="J1103" i="4"/>
  <c r="I1103" i="4"/>
  <c r="H1103" i="4"/>
  <c r="G1103" i="4"/>
  <c r="F1103" i="4"/>
  <c r="E1103" i="4"/>
  <c r="D1103" i="4"/>
  <c r="C1103" i="4"/>
  <c r="B1103" i="4"/>
  <c r="A1103" i="4"/>
  <c r="R1102" i="4"/>
  <c r="P1102" i="4"/>
  <c r="N1102" i="4"/>
  <c r="L1102" i="4"/>
  <c r="K1102" i="4"/>
  <c r="J1102" i="4"/>
  <c r="I1102" i="4"/>
  <c r="H1102" i="4"/>
  <c r="G1102" i="4"/>
  <c r="F1102" i="4"/>
  <c r="E1102" i="4"/>
  <c r="D1102" i="4"/>
  <c r="C1102" i="4"/>
  <c r="B1102" i="4"/>
  <c r="A1102" i="4"/>
  <c r="R1101" i="4"/>
  <c r="P1101" i="4"/>
  <c r="N1101" i="4"/>
  <c r="L1101" i="4"/>
  <c r="K1101" i="4"/>
  <c r="J1101" i="4"/>
  <c r="I1101" i="4"/>
  <c r="H1101" i="4"/>
  <c r="G1101" i="4"/>
  <c r="F1101" i="4"/>
  <c r="E1101" i="4"/>
  <c r="D1101" i="4"/>
  <c r="C1101" i="4"/>
  <c r="B1101" i="4"/>
  <c r="A1101" i="4"/>
  <c r="R1100" i="4"/>
  <c r="P1100" i="4"/>
  <c r="N1100" i="4"/>
  <c r="L1100" i="4"/>
  <c r="K1100" i="4"/>
  <c r="J1100" i="4"/>
  <c r="I1100" i="4"/>
  <c r="H1100" i="4"/>
  <c r="G1100" i="4"/>
  <c r="F1100" i="4"/>
  <c r="E1100" i="4"/>
  <c r="D1100" i="4"/>
  <c r="C1100" i="4"/>
  <c r="B1100" i="4"/>
  <c r="A1100" i="4"/>
  <c r="R1099" i="4"/>
  <c r="P1099" i="4"/>
  <c r="N1099" i="4"/>
  <c r="L1099" i="4"/>
  <c r="K1099" i="4"/>
  <c r="J1099" i="4"/>
  <c r="I1099" i="4"/>
  <c r="H1099" i="4"/>
  <c r="G1099" i="4"/>
  <c r="F1099" i="4"/>
  <c r="E1099" i="4"/>
  <c r="D1099" i="4"/>
  <c r="C1099" i="4"/>
  <c r="B1099" i="4"/>
  <c r="A1099" i="4"/>
  <c r="R1098" i="4"/>
  <c r="P1098" i="4"/>
  <c r="N1098" i="4"/>
  <c r="L1098" i="4"/>
  <c r="K1098" i="4"/>
  <c r="J1098" i="4"/>
  <c r="I1098" i="4"/>
  <c r="H1098" i="4"/>
  <c r="G1098" i="4"/>
  <c r="F1098" i="4"/>
  <c r="E1098" i="4"/>
  <c r="D1098" i="4"/>
  <c r="C1098" i="4"/>
  <c r="B1098" i="4"/>
  <c r="A1098" i="4"/>
  <c r="R1097" i="4"/>
  <c r="P1097" i="4"/>
  <c r="N1097" i="4"/>
  <c r="L1097" i="4"/>
  <c r="K1097" i="4"/>
  <c r="J1097" i="4"/>
  <c r="I1097" i="4"/>
  <c r="H1097" i="4"/>
  <c r="G1097" i="4"/>
  <c r="F1097" i="4"/>
  <c r="E1097" i="4"/>
  <c r="D1097" i="4"/>
  <c r="C1097" i="4"/>
  <c r="B1097" i="4"/>
  <c r="A1097" i="4"/>
  <c r="R1096" i="4"/>
  <c r="P1096" i="4"/>
  <c r="N1096" i="4"/>
  <c r="L1096" i="4"/>
  <c r="K1096" i="4"/>
  <c r="J1096" i="4"/>
  <c r="I1096" i="4"/>
  <c r="H1096" i="4"/>
  <c r="G1096" i="4"/>
  <c r="F1096" i="4"/>
  <c r="E1096" i="4"/>
  <c r="D1096" i="4"/>
  <c r="C1096" i="4"/>
  <c r="B1096" i="4"/>
  <c r="A1096" i="4"/>
  <c r="R1095" i="4"/>
  <c r="P1095" i="4"/>
  <c r="N1095" i="4"/>
  <c r="L1095" i="4"/>
  <c r="K1095" i="4"/>
  <c r="J1095" i="4"/>
  <c r="I1095" i="4"/>
  <c r="H1095" i="4"/>
  <c r="G1095" i="4"/>
  <c r="F1095" i="4"/>
  <c r="E1095" i="4"/>
  <c r="D1095" i="4"/>
  <c r="C1095" i="4"/>
  <c r="B1095" i="4"/>
  <c r="A1095" i="4"/>
  <c r="R1094" i="4"/>
  <c r="P1094" i="4"/>
  <c r="N1094" i="4"/>
  <c r="L1094" i="4"/>
  <c r="K1094" i="4"/>
  <c r="J1094" i="4"/>
  <c r="I1094" i="4"/>
  <c r="H1094" i="4"/>
  <c r="G1094" i="4"/>
  <c r="F1094" i="4"/>
  <c r="E1094" i="4"/>
  <c r="D1094" i="4"/>
  <c r="C1094" i="4"/>
  <c r="B1094" i="4"/>
  <c r="A1094" i="4"/>
  <c r="R1093" i="4"/>
  <c r="P1093" i="4"/>
  <c r="N1093" i="4"/>
  <c r="L1093" i="4"/>
  <c r="K1093" i="4"/>
  <c r="J1093" i="4"/>
  <c r="I1093" i="4"/>
  <c r="H1093" i="4"/>
  <c r="G1093" i="4"/>
  <c r="F1093" i="4"/>
  <c r="E1093" i="4"/>
  <c r="D1093" i="4"/>
  <c r="C1093" i="4"/>
  <c r="B1093" i="4"/>
  <c r="A1093" i="4"/>
  <c r="R1092" i="4"/>
  <c r="P1092" i="4"/>
  <c r="N1092" i="4"/>
  <c r="L1092" i="4"/>
  <c r="K1092" i="4"/>
  <c r="J1092" i="4"/>
  <c r="I1092" i="4"/>
  <c r="H1092" i="4"/>
  <c r="G1092" i="4"/>
  <c r="F1092" i="4"/>
  <c r="E1092" i="4"/>
  <c r="D1092" i="4"/>
  <c r="C1092" i="4"/>
  <c r="B1092" i="4"/>
  <c r="A1092" i="4"/>
  <c r="R1091" i="4"/>
  <c r="P1091" i="4"/>
  <c r="N1091" i="4"/>
  <c r="L1091" i="4"/>
  <c r="K1091" i="4"/>
  <c r="J1091" i="4"/>
  <c r="I1091" i="4"/>
  <c r="H1091" i="4"/>
  <c r="G1091" i="4"/>
  <c r="F1091" i="4"/>
  <c r="E1091" i="4"/>
  <c r="D1091" i="4"/>
  <c r="C1091" i="4"/>
  <c r="B1091" i="4"/>
  <c r="A1091" i="4"/>
  <c r="R1090" i="4"/>
  <c r="P1090" i="4"/>
  <c r="N1090" i="4"/>
  <c r="L1090" i="4"/>
  <c r="K1090" i="4"/>
  <c r="J1090" i="4"/>
  <c r="I1090" i="4"/>
  <c r="H1090" i="4"/>
  <c r="G1090" i="4"/>
  <c r="F1090" i="4"/>
  <c r="E1090" i="4"/>
  <c r="D1090" i="4"/>
  <c r="C1090" i="4"/>
  <c r="B1090" i="4"/>
  <c r="A1090" i="4"/>
  <c r="R1089" i="4"/>
  <c r="P1089" i="4"/>
  <c r="N1089" i="4"/>
  <c r="L1089" i="4"/>
  <c r="K1089" i="4"/>
  <c r="J1089" i="4"/>
  <c r="I1089" i="4"/>
  <c r="H1089" i="4"/>
  <c r="G1089" i="4"/>
  <c r="F1089" i="4"/>
  <c r="E1089" i="4"/>
  <c r="D1089" i="4"/>
  <c r="C1089" i="4"/>
  <c r="B1089" i="4"/>
  <c r="A1089" i="4"/>
  <c r="R1088" i="4"/>
  <c r="P1088" i="4"/>
  <c r="N1088" i="4"/>
  <c r="L1088" i="4"/>
  <c r="K1088" i="4"/>
  <c r="J1088" i="4"/>
  <c r="I1088" i="4"/>
  <c r="H1088" i="4"/>
  <c r="G1088" i="4"/>
  <c r="F1088" i="4"/>
  <c r="E1088" i="4"/>
  <c r="D1088" i="4"/>
  <c r="C1088" i="4"/>
  <c r="B1088" i="4"/>
  <c r="A1088" i="4"/>
  <c r="R1087" i="4"/>
  <c r="P1087" i="4"/>
  <c r="N1087" i="4"/>
  <c r="L1087" i="4"/>
  <c r="K1087" i="4"/>
  <c r="J1087" i="4"/>
  <c r="I1087" i="4"/>
  <c r="H1087" i="4"/>
  <c r="G1087" i="4"/>
  <c r="F1087" i="4"/>
  <c r="E1087" i="4"/>
  <c r="D1087" i="4"/>
  <c r="C1087" i="4"/>
  <c r="B1087" i="4"/>
  <c r="A1087" i="4"/>
  <c r="R1086" i="4"/>
  <c r="P1086" i="4"/>
  <c r="N1086" i="4"/>
  <c r="L1086" i="4"/>
  <c r="K1086" i="4"/>
  <c r="J1086" i="4"/>
  <c r="I1086" i="4"/>
  <c r="H1086" i="4"/>
  <c r="G1086" i="4"/>
  <c r="F1086" i="4"/>
  <c r="E1086" i="4"/>
  <c r="D1086" i="4"/>
  <c r="C1086" i="4"/>
  <c r="B1086" i="4"/>
  <c r="A1086" i="4"/>
  <c r="R1085" i="4"/>
  <c r="P1085" i="4"/>
  <c r="N1085" i="4"/>
  <c r="L1085" i="4"/>
  <c r="K1085" i="4"/>
  <c r="J1085" i="4"/>
  <c r="I1085" i="4"/>
  <c r="H1085" i="4"/>
  <c r="G1085" i="4"/>
  <c r="F1085" i="4"/>
  <c r="E1085" i="4"/>
  <c r="D1085" i="4"/>
  <c r="C1085" i="4"/>
  <c r="B1085" i="4"/>
  <c r="A1085" i="4"/>
  <c r="R1084" i="4"/>
  <c r="P1084" i="4"/>
  <c r="N1084" i="4"/>
  <c r="L1084" i="4"/>
  <c r="K1084" i="4"/>
  <c r="J1084" i="4"/>
  <c r="I1084" i="4"/>
  <c r="H1084" i="4"/>
  <c r="G1084" i="4"/>
  <c r="F1084" i="4"/>
  <c r="E1084" i="4"/>
  <c r="D1084" i="4"/>
  <c r="C1084" i="4"/>
  <c r="B1084" i="4"/>
  <c r="A1084" i="4"/>
  <c r="R1083" i="4"/>
  <c r="P1083" i="4"/>
  <c r="N1083" i="4"/>
  <c r="L1083" i="4"/>
  <c r="K1083" i="4"/>
  <c r="J1083" i="4"/>
  <c r="I1083" i="4"/>
  <c r="H1083" i="4"/>
  <c r="G1083" i="4"/>
  <c r="F1083" i="4"/>
  <c r="E1083" i="4"/>
  <c r="D1083" i="4"/>
  <c r="C1083" i="4"/>
  <c r="B1083" i="4"/>
  <c r="A1083" i="4"/>
  <c r="R1082" i="4"/>
  <c r="P1082" i="4"/>
  <c r="N1082" i="4"/>
  <c r="L1082" i="4"/>
  <c r="K1082" i="4"/>
  <c r="J1082" i="4"/>
  <c r="I1082" i="4"/>
  <c r="H1082" i="4"/>
  <c r="G1082" i="4"/>
  <c r="F1082" i="4"/>
  <c r="E1082" i="4"/>
  <c r="D1082" i="4"/>
  <c r="C1082" i="4"/>
  <c r="B1082" i="4"/>
  <c r="A1082" i="4"/>
  <c r="R1081" i="4"/>
  <c r="P1081" i="4"/>
  <c r="N1081" i="4"/>
  <c r="L1081" i="4"/>
  <c r="K1081" i="4"/>
  <c r="J1081" i="4"/>
  <c r="I1081" i="4"/>
  <c r="H1081" i="4"/>
  <c r="G1081" i="4"/>
  <c r="F1081" i="4"/>
  <c r="E1081" i="4"/>
  <c r="D1081" i="4"/>
  <c r="C1081" i="4"/>
  <c r="B1081" i="4"/>
  <c r="A1081" i="4"/>
  <c r="R1080" i="4"/>
  <c r="P1080" i="4"/>
  <c r="N1080" i="4"/>
  <c r="L1080" i="4"/>
  <c r="K1080" i="4"/>
  <c r="J1080" i="4"/>
  <c r="I1080" i="4"/>
  <c r="H1080" i="4"/>
  <c r="G1080" i="4"/>
  <c r="F1080" i="4"/>
  <c r="E1080" i="4"/>
  <c r="D1080" i="4"/>
  <c r="C1080" i="4"/>
  <c r="B1080" i="4"/>
  <c r="A1080" i="4"/>
  <c r="R1079" i="4"/>
  <c r="P1079" i="4"/>
  <c r="N1079" i="4"/>
  <c r="L1079" i="4"/>
  <c r="K1079" i="4"/>
  <c r="J1079" i="4"/>
  <c r="I1079" i="4"/>
  <c r="H1079" i="4"/>
  <c r="G1079" i="4"/>
  <c r="F1079" i="4"/>
  <c r="E1079" i="4"/>
  <c r="D1079" i="4"/>
  <c r="C1079" i="4"/>
  <c r="B1079" i="4"/>
  <c r="A1079" i="4"/>
  <c r="R1078" i="4"/>
  <c r="P1078" i="4"/>
  <c r="N1078" i="4"/>
  <c r="L1078" i="4"/>
  <c r="K1078" i="4"/>
  <c r="J1078" i="4"/>
  <c r="I1078" i="4"/>
  <c r="H1078" i="4"/>
  <c r="G1078" i="4"/>
  <c r="F1078" i="4"/>
  <c r="E1078" i="4"/>
  <c r="D1078" i="4"/>
  <c r="C1078" i="4"/>
  <c r="B1078" i="4"/>
  <c r="A1078" i="4"/>
  <c r="R1077" i="4"/>
  <c r="P1077" i="4"/>
  <c r="N1077" i="4"/>
  <c r="L1077" i="4"/>
  <c r="K1077" i="4"/>
  <c r="J1077" i="4"/>
  <c r="I1077" i="4"/>
  <c r="H1077" i="4"/>
  <c r="G1077" i="4"/>
  <c r="F1077" i="4"/>
  <c r="E1077" i="4"/>
  <c r="D1077" i="4"/>
  <c r="C1077" i="4"/>
  <c r="B1077" i="4"/>
  <c r="A1077" i="4"/>
  <c r="R1076" i="4"/>
  <c r="P1076" i="4"/>
  <c r="N1076" i="4"/>
  <c r="L1076" i="4"/>
  <c r="K1076" i="4"/>
  <c r="J1076" i="4"/>
  <c r="I1076" i="4"/>
  <c r="H1076" i="4"/>
  <c r="G1076" i="4"/>
  <c r="F1076" i="4"/>
  <c r="E1076" i="4"/>
  <c r="D1076" i="4"/>
  <c r="C1076" i="4"/>
  <c r="B1076" i="4"/>
  <c r="A1076" i="4"/>
  <c r="R1075" i="4"/>
  <c r="P1075" i="4"/>
  <c r="N1075" i="4"/>
  <c r="L1075" i="4"/>
  <c r="K1075" i="4"/>
  <c r="J1075" i="4"/>
  <c r="I1075" i="4"/>
  <c r="H1075" i="4"/>
  <c r="G1075" i="4"/>
  <c r="F1075" i="4"/>
  <c r="E1075" i="4"/>
  <c r="D1075" i="4"/>
  <c r="C1075" i="4"/>
  <c r="B1075" i="4"/>
  <c r="A1075" i="4"/>
  <c r="R1074" i="4"/>
  <c r="P1074" i="4"/>
  <c r="N1074" i="4"/>
  <c r="L1074" i="4"/>
  <c r="K1074" i="4"/>
  <c r="J1074" i="4"/>
  <c r="I1074" i="4"/>
  <c r="H1074" i="4"/>
  <c r="G1074" i="4"/>
  <c r="F1074" i="4"/>
  <c r="E1074" i="4"/>
  <c r="D1074" i="4"/>
  <c r="C1074" i="4"/>
  <c r="B1074" i="4"/>
  <c r="A1074" i="4"/>
  <c r="R1073" i="4"/>
  <c r="P1073" i="4"/>
  <c r="N1073" i="4"/>
  <c r="L1073" i="4"/>
  <c r="K1073" i="4"/>
  <c r="J1073" i="4"/>
  <c r="I1073" i="4"/>
  <c r="H1073" i="4"/>
  <c r="G1073" i="4"/>
  <c r="F1073" i="4"/>
  <c r="E1073" i="4"/>
  <c r="D1073" i="4"/>
  <c r="C1073" i="4"/>
  <c r="B1073" i="4"/>
  <c r="A1073" i="4"/>
  <c r="R1072" i="4"/>
  <c r="P1072" i="4"/>
  <c r="N1072" i="4"/>
  <c r="L1072" i="4"/>
  <c r="K1072" i="4"/>
  <c r="J1072" i="4"/>
  <c r="I1072" i="4"/>
  <c r="H1072" i="4"/>
  <c r="G1072" i="4"/>
  <c r="F1072" i="4"/>
  <c r="E1072" i="4"/>
  <c r="D1072" i="4"/>
  <c r="C1072" i="4"/>
  <c r="B1072" i="4"/>
  <c r="A1072" i="4"/>
  <c r="R1071" i="4"/>
  <c r="P1071" i="4"/>
  <c r="N1071" i="4"/>
  <c r="L1071" i="4"/>
  <c r="K1071" i="4"/>
  <c r="J1071" i="4"/>
  <c r="I1071" i="4"/>
  <c r="H1071" i="4"/>
  <c r="G1071" i="4"/>
  <c r="F1071" i="4"/>
  <c r="E1071" i="4"/>
  <c r="D1071" i="4"/>
  <c r="C1071" i="4"/>
  <c r="B1071" i="4"/>
  <c r="A1071" i="4"/>
  <c r="R1070" i="4"/>
  <c r="P1070" i="4"/>
  <c r="N1070" i="4"/>
  <c r="L1070" i="4"/>
  <c r="K1070" i="4"/>
  <c r="J1070" i="4"/>
  <c r="I1070" i="4"/>
  <c r="H1070" i="4"/>
  <c r="G1070" i="4"/>
  <c r="F1070" i="4"/>
  <c r="E1070" i="4"/>
  <c r="D1070" i="4"/>
  <c r="C1070" i="4"/>
  <c r="B1070" i="4"/>
  <c r="A1070" i="4"/>
  <c r="R1069" i="4"/>
  <c r="P1069" i="4"/>
  <c r="N1069" i="4"/>
  <c r="L1069" i="4"/>
  <c r="K1069" i="4"/>
  <c r="J1069" i="4"/>
  <c r="I1069" i="4"/>
  <c r="H1069" i="4"/>
  <c r="G1069" i="4"/>
  <c r="F1069" i="4"/>
  <c r="E1069" i="4"/>
  <c r="D1069" i="4"/>
  <c r="C1069" i="4"/>
  <c r="B1069" i="4"/>
  <c r="A1069" i="4"/>
  <c r="R1068" i="4"/>
  <c r="P1068" i="4"/>
  <c r="N1068" i="4"/>
  <c r="L1068" i="4"/>
  <c r="K1068" i="4"/>
  <c r="J1068" i="4"/>
  <c r="I1068" i="4"/>
  <c r="H1068" i="4"/>
  <c r="G1068" i="4"/>
  <c r="F1068" i="4"/>
  <c r="E1068" i="4"/>
  <c r="D1068" i="4"/>
  <c r="C1068" i="4"/>
  <c r="B1068" i="4"/>
  <c r="A1068" i="4"/>
  <c r="R1067" i="4"/>
  <c r="P1067" i="4"/>
  <c r="N1067" i="4"/>
  <c r="L1067" i="4"/>
  <c r="K1067" i="4"/>
  <c r="J1067" i="4"/>
  <c r="I1067" i="4"/>
  <c r="H1067" i="4"/>
  <c r="G1067" i="4"/>
  <c r="F1067" i="4"/>
  <c r="E1067" i="4"/>
  <c r="D1067" i="4"/>
  <c r="C1067" i="4"/>
  <c r="B1067" i="4"/>
  <c r="A1067" i="4"/>
  <c r="R1066" i="4"/>
  <c r="P1066" i="4"/>
  <c r="N1066" i="4"/>
  <c r="L1066" i="4"/>
  <c r="K1066" i="4"/>
  <c r="J1066" i="4"/>
  <c r="I1066" i="4"/>
  <c r="H1066" i="4"/>
  <c r="G1066" i="4"/>
  <c r="F1066" i="4"/>
  <c r="E1066" i="4"/>
  <c r="D1066" i="4"/>
  <c r="C1066" i="4"/>
  <c r="B1066" i="4"/>
  <c r="A1066" i="4"/>
  <c r="R1065" i="4"/>
  <c r="P1065" i="4"/>
  <c r="N1065" i="4"/>
  <c r="L1065" i="4"/>
  <c r="K1065" i="4"/>
  <c r="J1065" i="4"/>
  <c r="I1065" i="4"/>
  <c r="H1065" i="4"/>
  <c r="G1065" i="4"/>
  <c r="F1065" i="4"/>
  <c r="E1065" i="4"/>
  <c r="D1065" i="4"/>
  <c r="C1065" i="4"/>
  <c r="B1065" i="4"/>
  <c r="A1065" i="4"/>
  <c r="R1064" i="4"/>
  <c r="P1064" i="4"/>
  <c r="N1064" i="4"/>
  <c r="L1064" i="4"/>
  <c r="K1064" i="4"/>
  <c r="J1064" i="4"/>
  <c r="I1064" i="4"/>
  <c r="H1064" i="4"/>
  <c r="G1064" i="4"/>
  <c r="F1064" i="4"/>
  <c r="E1064" i="4"/>
  <c r="D1064" i="4"/>
  <c r="C1064" i="4"/>
  <c r="B1064" i="4"/>
  <c r="A1064" i="4"/>
  <c r="R1063" i="4"/>
  <c r="P1063" i="4"/>
  <c r="N1063" i="4"/>
  <c r="L1063" i="4"/>
  <c r="K1063" i="4"/>
  <c r="J1063" i="4"/>
  <c r="I1063" i="4"/>
  <c r="H1063" i="4"/>
  <c r="G1063" i="4"/>
  <c r="F1063" i="4"/>
  <c r="E1063" i="4"/>
  <c r="D1063" i="4"/>
  <c r="C1063" i="4"/>
  <c r="B1063" i="4"/>
  <c r="A1063" i="4"/>
  <c r="R1062" i="4"/>
  <c r="P1062" i="4"/>
  <c r="N1062" i="4"/>
  <c r="L1062" i="4"/>
  <c r="K1062" i="4"/>
  <c r="J1062" i="4"/>
  <c r="I1062" i="4"/>
  <c r="H1062" i="4"/>
  <c r="G1062" i="4"/>
  <c r="F1062" i="4"/>
  <c r="E1062" i="4"/>
  <c r="D1062" i="4"/>
  <c r="C1062" i="4"/>
  <c r="B1062" i="4"/>
  <c r="A1062" i="4"/>
  <c r="R1061" i="4"/>
  <c r="P1061" i="4"/>
  <c r="N1061" i="4"/>
  <c r="L1061" i="4"/>
  <c r="K1061" i="4"/>
  <c r="J1061" i="4"/>
  <c r="I1061" i="4"/>
  <c r="H1061" i="4"/>
  <c r="G1061" i="4"/>
  <c r="F1061" i="4"/>
  <c r="E1061" i="4"/>
  <c r="D1061" i="4"/>
  <c r="C1061" i="4"/>
  <c r="B1061" i="4"/>
  <c r="A1061" i="4"/>
  <c r="R1060" i="4"/>
  <c r="P1060" i="4"/>
  <c r="N1060" i="4"/>
  <c r="L1060" i="4"/>
  <c r="K1060" i="4"/>
  <c r="J1060" i="4"/>
  <c r="I1060" i="4"/>
  <c r="H1060" i="4"/>
  <c r="G1060" i="4"/>
  <c r="F1060" i="4"/>
  <c r="E1060" i="4"/>
  <c r="D1060" i="4"/>
  <c r="C1060" i="4"/>
  <c r="B1060" i="4"/>
  <c r="A1060" i="4"/>
  <c r="R1059" i="4"/>
  <c r="P1059" i="4"/>
  <c r="N1059" i="4"/>
  <c r="L1059" i="4"/>
  <c r="K1059" i="4"/>
  <c r="J1059" i="4"/>
  <c r="I1059" i="4"/>
  <c r="H1059" i="4"/>
  <c r="G1059" i="4"/>
  <c r="F1059" i="4"/>
  <c r="E1059" i="4"/>
  <c r="D1059" i="4"/>
  <c r="C1059" i="4"/>
  <c r="B1059" i="4"/>
  <c r="A1059" i="4"/>
  <c r="R1058" i="4"/>
  <c r="P1058" i="4"/>
  <c r="N1058" i="4"/>
  <c r="L1058" i="4"/>
  <c r="K1058" i="4"/>
  <c r="J1058" i="4"/>
  <c r="I1058" i="4"/>
  <c r="H1058" i="4"/>
  <c r="G1058" i="4"/>
  <c r="F1058" i="4"/>
  <c r="E1058" i="4"/>
  <c r="D1058" i="4"/>
  <c r="C1058" i="4"/>
  <c r="B1058" i="4"/>
  <c r="A1058" i="4"/>
  <c r="R1057" i="4"/>
  <c r="P1057" i="4"/>
  <c r="N1057" i="4"/>
  <c r="L1057" i="4"/>
  <c r="K1057" i="4"/>
  <c r="J1057" i="4"/>
  <c r="I1057" i="4"/>
  <c r="H1057" i="4"/>
  <c r="G1057" i="4"/>
  <c r="F1057" i="4"/>
  <c r="E1057" i="4"/>
  <c r="D1057" i="4"/>
  <c r="C1057" i="4"/>
  <c r="B1057" i="4"/>
  <c r="A1057" i="4"/>
  <c r="R1056" i="4"/>
  <c r="P1056" i="4"/>
  <c r="N1056" i="4"/>
  <c r="L1056" i="4"/>
  <c r="K1056" i="4"/>
  <c r="J1056" i="4"/>
  <c r="I1056" i="4"/>
  <c r="H1056" i="4"/>
  <c r="G1056" i="4"/>
  <c r="F1056" i="4"/>
  <c r="E1056" i="4"/>
  <c r="D1056" i="4"/>
  <c r="C1056" i="4"/>
  <c r="B1056" i="4"/>
  <c r="A1056" i="4"/>
  <c r="R1055" i="4"/>
  <c r="P1055" i="4"/>
  <c r="N1055" i="4"/>
  <c r="L1055" i="4"/>
  <c r="K1055" i="4"/>
  <c r="J1055" i="4"/>
  <c r="I1055" i="4"/>
  <c r="H1055" i="4"/>
  <c r="G1055" i="4"/>
  <c r="F1055" i="4"/>
  <c r="E1055" i="4"/>
  <c r="D1055" i="4"/>
  <c r="C1055" i="4"/>
  <c r="B1055" i="4"/>
  <c r="A1055" i="4"/>
  <c r="R1054" i="4"/>
  <c r="P1054" i="4"/>
  <c r="N1054" i="4"/>
  <c r="L1054" i="4"/>
  <c r="K1054" i="4"/>
  <c r="J1054" i="4"/>
  <c r="I1054" i="4"/>
  <c r="H1054" i="4"/>
  <c r="G1054" i="4"/>
  <c r="F1054" i="4"/>
  <c r="E1054" i="4"/>
  <c r="D1054" i="4"/>
  <c r="C1054" i="4"/>
  <c r="B1054" i="4"/>
  <c r="A1054" i="4"/>
  <c r="R1053" i="4"/>
  <c r="P1053" i="4"/>
  <c r="N1053" i="4"/>
  <c r="L1053" i="4"/>
  <c r="K1053" i="4"/>
  <c r="J1053" i="4"/>
  <c r="I1053" i="4"/>
  <c r="H1053" i="4"/>
  <c r="G1053" i="4"/>
  <c r="F1053" i="4"/>
  <c r="E1053" i="4"/>
  <c r="D1053" i="4"/>
  <c r="C1053" i="4"/>
  <c r="B1053" i="4"/>
  <c r="A1053" i="4"/>
  <c r="R1052" i="4"/>
  <c r="P1052" i="4"/>
  <c r="N1052" i="4"/>
  <c r="L1052" i="4"/>
  <c r="K1052" i="4"/>
  <c r="J1052" i="4"/>
  <c r="I1052" i="4"/>
  <c r="H1052" i="4"/>
  <c r="G1052" i="4"/>
  <c r="F1052" i="4"/>
  <c r="E1052" i="4"/>
  <c r="D1052" i="4"/>
  <c r="C1052" i="4"/>
  <c r="B1052" i="4"/>
  <c r="A1052" i="4"/>
  <c r="R1051" i="4"/>
  <c r="P1051" i="4"/>
  <c r="N1051" i="4"/>
  <c r="L1051" i="4"/>
  <c r="K1051" i="4"/>
  <c r="J1051" i="4"/>
  <c r="I1051" i="4"/>
  <c r="H1051" i="4"/>
  <c r="G1051" i="4"/>
  <c r="F1051" i="4"/>
  <c r="E1051" i="4"/>
  <c r="D1051" i="4"/>
  <c r="C1051" i="4"/>
  <c r="B1051" i="4"/>
  <c r="A1051" i="4"/>
  <c r="R1050" i="4"/>
  <c r="P1050" i="4"/>
  <c r="N1050" i="4"/>
  <c r="L1050" i="4"/>
  <c r="K1050" i="4"/>
  <c r="J1050" i="4"/>
  <c r="I1050" i="4"/>
  <c r="H1050" i="4"/>
  <c r="G1050" i="4"/>
  <c r="F1050" i="4"/>
  <c r="E1050" i="4"/>
  <c r="D1050" i="4"/>
  <c r="C1050" i="4"/>
  <c r="B1050" i="4"/>
  <c r="A1050" i="4"/>
  <c r="R1049" i="4"/>
  <c r="P1049" i="4"/>
  <c r="N1049" i="4"/>
  <c r="L1049" i="4"/>
  <c r="K1049" i="4"/>
  <c r="J1049" i="4"/>
  <c r="I1049" i="4"/>
  <c r="H1049" i="4"/>
  <c r="G1049" i="4"/>
  <c r="F1049" i="4"/>
  <c r="E1049" i="4"/>
  <c r="D1049" i="4"/>
  <c r="C1049" i="4"/>
  <c r="B1049" i="4"/>
  <c r="A1049" i="4"/>
  <c r="R1048" i="4"/>
  <c r="P1048" i="4"/>
  <c r="N1048" i="4"/>
  <c r="L1048" i="4"/>
  <c r="K1048" i="4"/>
  <c r="J1048" i="4"/>
  <c r="I1048" i="4"/>
  <c r="H1048" i="4"/>
  <c r="G1048" i="4"/>
  <c r="F1048" i="4"/>
  <c r="E1048" i="4"/>
  <c r="D1048" i="4"/>
  <c r="C1048" i="4"/>
  <c r="B1048" i="4"/>
  <c r="A1048" i="4"/>
  <c r="R1047" i="4"/>
  <c r="P1047" i="4"/>
  <c r="N1047" i="4"/>
  <c r="L1047" i="4"/>
  <c r="K1047" i="4"/>
  <c r="J1047" i="4"/>
  <c r="I1047" i="4"/>
  <c r="H1047" i="4"/>
  <c r="G1047" i="4"/>
  <c r="F1047" i="4"/>
  <c r="E1047" i="4"/>
  <c r="D1047" i="4"/>
  <c r="C1047" i="4"/>
  <c r="B1047" i="4"/>
  <c r="A1047" i="4"/>
  <c r="R1046" i="4"/>
  <c r="P1046" i="4"/>
  <c r="N1046" i="4"/>
  <c r="L1046" i="4"/>
  <c r="K1046" i="4"/>
  <c r="J1046" i="4"/>
  <c r="I1046" i="4"/>
  <c r="H1046" i="4"/>
  <c r="G1046" i="4"/>
  <c r="F1046" i="4"/>
  <c r="E1046" i="4"/>
  <c r="D1046" i="4"/>
  <c r="C1046" i="4"/>
  <c r="B1046" i="4"/>
  <c r="A1046" i="4"/>
  <c r="R1045" i="4"/>
  <c r="P1045" i="4"/>
  <c r="N1045" i="4"/>
  <c r="L1045" i="4"/>
  <c r="K1045" i="4"/>
  <c r="J1045" i="4"/>
  <c r="I1045" i="4"/>
  <c r="H1045" i="4"/>
  <c r="G1045" i="4"/>
  <c r="F1045" i="4"/>
  <c r="E1045" i="4"/>
  <c r="D1045" i="4"/>
  <c r="C1045" i="4"/>
  <c r="B1045" i="4"/>
  <c r="A1045" i="4"/>
  <c r="R1044" i="4"/>
  <c r="P1044" i="4"/>
  <c r="N1044" i="4"/>
  <c r="L1044" i="4"/>
  <c r="K1044" i="4"/>
  <c r="J1044" i="4"/>
  <c r="I1044" i="4"/>
  <c r="H1044" i="4"/>
  <c r="G1044" i="4"/>
  <c r="F1044" i="4"/>
  <c r="E1044" i="4"/>
  <c r="D1044" i="4"/>
  <c r="C1044" i="4"/>
  <c r="B1044" i="4"/>
  <c r="A1044" i="4"/>
  <c r="R1043" i="4"/>
  <c r="P1043" i="4"/>
  <c r="N1043" i="4"/>
  <c r="L1043" i="4"/>
  <c r="K1043" i="4"/>
  <c r="J1043" i="4"/>
  <c r="I1043" i="4"/>
  <c r="H1043" i="4"/>
  <c r="G1043" i="4"/>
  <c r="F1043" i="4"/>
  <c r="E1043" i="4"/>
  <c r="D1043" i="4"/>
  <c r="C1043" i="4"/>
  <c r="B1043" i="4"/>
  <c r="A1043" i="4"/>
  <c r="R1042" i="4"/>
  <c r="P1042" i="4"/>
  <c r="N1042" i="4"/>
  <c r="L1042" i="4"/>
  <c r="K1042" i="4"/>
  <c r="J1042" i="4"/>
  <c r="I1042" i="4"/>
  <c r="H1042" i="4"/>
  <c r="G1042" i="4"/>
  <c r="F1042" i="4"/>
  <c r="E1042" i="4"/>
  <c r="D1042" i="4"/>
  <c r="C1042" i="4"/>
  <c r="B1042" i="4"/>
  <c r="A1042" i="4"/>
  <c r="R1041" i="4"/>
  <c r="P1041" i="4"/>
  <c r="N1041" i="4"/>
  <c r="L1041" i="4"/>
  <c r="K1041" i="4"/>
  <c r="J1041" i="4"/>
  <c r="I1041" i="4"/>
  <c r="H1041" i="4"/>
  <c r="G1041" i="4"/>
  <c r="F1041" i="4"/>
  <c r="E1041" i="4"/>
  <c r="D1041" i="4"/>
  <c r="C1041" i="4"/>
  <c r="B1041" i="4"/>
  <c r="A1041" i="4"/>
  <c r="R1040" i="4"/>
  <c r="P1040" i="4"/>
  <c r="N1040" i="4"/>
  <c r="L1040" i="4"/>
  <c r="K1040" i="4"/>
  <c r="J1040" i="4"/>
  <c r="I1040" i="4"/>
  <c r="H1040" i="4"/>
  <c r="G1040" i="4"/>
  <c r="F1040" i="4"/>
  <c r="E1040" i="4"/>
  <c r="D1040" i="4"/>
  <c r="C1040" i="4"/>
  <c r="B1040" i="4"/>
  <c r="A1040" i="4"/>
  <c r="R1039" i="4"/>
  <c r="P1039" i="4"/>
  <c r="N1039" i="4"/>
  <c r="L1039" i="4"/>
  <c r="K1039" i="4"/>
  <c r="J1039" i="4"/>
  <c r="I1039" i="4"/>
  <c r="H1039" i="4"/>
  <c r="G1039" i="4"/>
  <c r="F1039" i="4"/>
  <c r="E1039" i="4"/>
  <c r="D1039" i="4"/>
  <c r="C1039" i="4"/>
  <c r="B1039" i="4"/>
  <c r="A1039" i="4"/>
  <c r="R1038" i="4"/>
  <c r="P1038" i="4"/>
  <c r="N1038" i="4"/>
  <c r="L1038" i="4"/>
  <c r="K1038" i="4"/>
  <c r="J1038" i="4"/>
  <c r="I1038" i="4"/>
  <c r="H1038" i="4"/>
  <c r="G1038" i="4"/>
  <c r="F1038" i="4"/>
  <c r="E1038" i="4"/>
  <c r="D1038" i="4"/>
  <c r="C1038" i="4"/>
  <c r="B1038" i="4"/>
  <c r="A1038" i="4"/>
  <c r="R1037" i="4"/>
  <c r="P1037" i="4"/>
  <c r="N1037" i="4"/>
  <c r="L1037" i="4"/>
  <c r="K1037" i="4"/>
  <c r="J1037" i="4"/>
  <c r="I1037" i="4"/>
  <c r="H1037" i="4"/>
  <c r="G1037" i="4"/>
  <c r="F1037" i="4"/>
  <c r="E1037" i="4"/>
  <c r="D1037" i="4"/>
  <c r="C1037" i="4"/>
  <c r="B1037" i="4"/>
  <c r="A1037" i="4"/>
  <c r="R1036" i="4"/>
  <c r="P1036" i="4"/>
  <c r="N1036" i="4"/>
  <c r="L1036" i="4"/>
  <c r="K1036" i="4"/>
  <c r="J1036" i="4"/>
  <c r="I1036" i="4"/>
  <c r="H1036" i="4"/>
  <c r="G1036" i="4"/>
  <c r="F1036" i="4"/>
  <c r="E1036" i="4"/>
  <c r="D1036" i="4"/>
  <c r="C1036" i="4"/>
  <c r="B1036" i="4"/>
  <c r="A1036" i="4"/>
  <c r="R1035" i="4"/>
  <c r="P1035" i="4"/>
  <c r="N1035" i="4"/>
  <c r="L1035" i="4"/>
  <c r="K1035" i="4"/>
  <c r="J1035" i="4"/>
  <c r="I1035" i="4"/>
  <c r="H1035" i="4"/>
  <c r="G1035" i="4"/>
  <c r="F1035" i="4"/>
  <c r="E1035" i="4"/>
  <c r="D1035" i="4"/>
  <c r="C1035" i="4"/>
  <c r="B1035" i="4"/>
  <c r="A1035" i="4"/>
  <c r="R1034" i="4"/>
  <c r="P1034" i="4"/>
  <c r="N1034" i="4"/>
  <c r="L1034" i="4"/>
  <c r="K1034" i="4"/>
  <c r="J1034" i="4"/>
  <c r="I1034" i="4"/>
  <c r="H1034" i="4"/>
  <c r="G1034" i="4"/>
  <c r="F1034" i="4"/>
  <c r="E1034" i="4"/>
  <c r="D1034" i="4"/>
  <c r="C1034" i="4"/>
  <c r="B1034" i="4"/>
  <c r="A1034" i="4"/>
  <c r="R1033" i="4"/>
  <c r="P1033" i="4"/>
  <c r="N1033" i="4"/>
  <c r="L1033" i="4"/>
  <c r="K1033" i="4"/>
  <c r="J1033" i="4"/>
  <c r="I1033" i="4"/>
  <c r="H1033" i="4"/>
  <c r="G1033" i="4"/>
  <c r="F1033" i="4"/>
  <c r="E1033" i="4"/>
  <c r="D1033" i="4"/>
  <c r="C1033" i="4"/>
  <c r="B1033" i="4"/>
  <c r="A1033" i="4"/>
  <c r="R1032" i="4"/>
  <c r="P1032" i="4"/>
  <c r="N1032" i="4"/>
  <c r="L1032" i="4"/>
  <c r="K1032" i="4"/>
  <c r="J1032" i="4"/>
  <c r="I1032" i="4"/>
  <c r="H1032" i="4"/>
  <c r="G1032" i="4"/>
  <c r="F1032" i="4"/>
  <c r="E1032" i="4"/>
  <c r="D1032" i="4"/>
  <c r="C1032" i="4"/>
  <c r="B1032" i="4"/>
  <c r="A1032" i="4"/>
  <c r="R1031" i="4"/>
  <c r="P1031" i="4"/>
  <c r="N1031" i="4"/>
  <c r="L1031" i="4"/>
  <c r="K1031" i="4"/>
  <c r="J1031" i="4"/>
  <c r="I1031" i="4"/>
  <c r="H1031" i="4"/>
  <c r="G1031" i="4"/>
  <c r="F1031" i="4"/>
  <c r="E1031" i="4"/>
  <c r="D1031" i="4"/>
  <c r="C1031" i="4"/>
  <c r="B1031" i="4"/>
  <c r="A1031" i="4"/>
  <c r="R1030" i="4"/>
  <c r="P1030" i="4"/>
  <c r="N1030" i="4"/>
  <c r="L1030" i="4"/>
  <c r="K1030" i="4"/>
  <c r="J1030" i="4"/>
  <c r="I1030" i="4"/>
  <c r="H1030" i="4"/>
  <c r="G1030" i="4"/>
  <c r="F1030" i="4"/>
  <c r="E1030" i="4"/>
  <c r="D1030" i="4"/>
  <c r="C1030" i="4"/>
  <c r="B1030" i="4"/>
  <c r="A1030" i="4"/>
  <c r="R1029" i="4"/>
  <c r="P1029" i="4"/>
  <c r="N1029" i="4"/>
  <c r="L1029" i="4"/>
  <c r="K1029" i="4"/>
  <c r="J1029" i="4"/>
  <c r="I1029" i="4"/>
  <c r="H1029" i="4"/>
  <c r="G1029" i="4"/>
  <c r="F1029" i="4"/>
  <c r="E1029" i="4"/>
  <c r="D1029" i="4"/>
  <c r="C1029" i="4"/>
  <c r="B1029" i="4"/>
  <c r="A1029" i="4"/>
  <c r="R1028" i="4"/>
  <c r="P1028" i="4"/>
  <c r="N1028" i="4"/>
  <c r="L1028" i="4"/>
  <c r="K1028" i="4"/>
  <c r="J1028" i="4"/>
  <c r="I1028" i="4"/>
  <c r="H1028" i="4"/>
  <c r="G1028" i="4"/>
  <c r="F1028" i="4"/>
  <c r="E1028" i="4"/>
  <c r="D1028" i="4"/>
  <c r="C1028" i="4"/>
  <c r="B1028" i="4"/>
  <c r="A1028" i="4"/>
  <c r="R1027" i="4"/>
  <c r="P1027" i="4"/>
  <c r="N1027" i="4"/>
  <c r="L1027" i="4"/>
  <c r="K1027" i="4"/>
  <c r="J1027" i="4"/>
  <c r="I1027" i="4"/>
  <c r="H1027" i="4"/>
  <c r="G1027" i="4"/>
  <c r="F1027" i="4"/>
  <c r="E1027" i="4"/>
  <c r="D1027" i="4"/>
  <c r="C1027" i="4"/>
  <c r="B1027" i="4"/>
  <c r="A1027" i="4"/>
  <c r="R1026" i="4"/>
  <c r="P1026" i="4"/>
  <c r="N1026" i="4"/>
  <c r="L1026" i="4"/>
  <c r="K1026" i="4"/>
  <c r="J1026" i="4"/>
  <c r="I1026" i="4"/>
  <c r="H1026" i="4"/>
  <c r="G1026" i="4"/>
  <c r="F1026" i="4"/>
  <c r="E1026" i="4"/>
  <c r="D1026" i="4"/>
  <c r="C1026" i="4"/>
  <c r="B1026" i="4"/>
  <c r="A1026" i="4"/>
  <c r="R1025" i="4"/>
  <c r="P1025" i="4"/>
  <c r="N1025" i="4"/>
  <c r="L1025" i="4"/>
  <c r="K1025" i="4"/>
  <c r="J1025" i="4"/>
  <c r="I1025" i="4"/>
  <c r="H1025" i="4"/>
  <c r="G1025" i="4"/>
  <c r="F1025" i="4"/>
  <c r="E1025" i="4"/>
  <c r="D1025" i="4"/>
  <c r="C1025" i="4"/>
  <c r="B1025" i="4"/>
  <c r="A1025" i="4"/>
  <c r="R1024" i="4"/>
  <c r="P1024" i="4"/>
  <c r="N1024" i="4"/>
  <c r="L1024" i="4"/>
  <c r="K1024" i="4"/>
  <c r="J1024" i="4"/>
  <c r="I1024" i="4"/>
  <c r="H1024" i="4"/>
  <c r="G1024" i="4"/>
  <c r="F1024" i="4"/>
  <c r="E1024" i="4"/>
  <c r="D1024" i="4"/>
  <c r="C1024" i="4"/>
  <c r="B1024" i="4"/>
  <c r="A1024" i="4"/>
  <c r="R1023" i="4"/>
  <c r="P1023" i="4"/>
  <c r="N1023" i="4"/>
  <c r="L1023" i="4"/>
  <c r="K1023" i="4"/>
  <c r="J1023" i="4"/>
  <c r="I1023" i="4"/>
  <c r="H1023" i="4"/>
  <c r="G1023" i="4"/>
  <c r="F1023" i="4"/>
  <c r="E1023" i="4"/>
  <c r="D1023" i="4"/>
  <c r="C1023" i="4"/>
  <c r="B1023" i="4"/>
  <c r="A1023" i="4"/>
  <c r="R1022" i="4"/>
  <c r="P1022" i="4"/>
  <c r="N1022" i="4"/>
  <c r="L1022" i="4"/>
  <c r="K1022" i="4"/>
  <c r="J1022" i="4"/>
  <c r="I1022" i="4"/>
  <c r="H1022" i="4"/>
  <c r="G1022" i="4"/>
  <c r="F1022" i="4"/>
  <c r="E1022" i="4"/>
  <c r="D1022" i="4"/>
  <c r="C1022" i="4"/>
  <c r="B1022" i="4"/>
  <c r="A1022" i="4"/>
  <c r="R1021" i="4"/>
  <c r="P1021" i="4"/>
  <c r="N1021" i="4"/>
  <c r="L1021" i="4"/>
  <c r="K1021" i="4"/>
  <c r="J1021" i="4"/>
  <c r="I1021" i="4"/>
  <c r="H1021" i="4"/>
  <c r="G1021" i="4"/>
  <c r="F1021" i="4"/>
  <c r="E1021" i="4"/>
  <c r="D1021" i="4"/>
  <c r="C1021" i="4"/>
  <c r="B1021" i="4"/>
  <c r="A1021" i="4"/>
  <c r="R1020" i="4"/>
  <c r="P1020" i="4"/>
  <c r="N1020" i="4"/>
  <c r="L1020" i="4"/>
  <c r="K1020" i="4"/>
  <c r="J1020" i="4"/>
  <c r="I1020" i="4"/>
  <c r="H1020" i="4"/>
  <c r="G1020" i="4"/>
  <c r="F1020" i="4"/>
  <c r="E1020" i="4"/>
  <c r="D1020" i="4"/>
  <c r="C1020" i="4"/>
  <c r="B1020" i="4"/>
  <c r="A1020" i="4"/>
  <c r="R1019" i="4"/>
  <c r="P1019" i="4"/>
  <c r="N1019" i="4"/>
  <c r="L1019" i="4"/>
  <c r="K1019" i="4"/>
  <c r="J1019" i="4"/>
  <c r="I1019" i="4"/>
  <c r="H1019" i="4"/>
  <c r="G1019" i="4"/>
  <c r="F1019" i="4"/>
  <c r="E1019" i="4"/>
  <c r="D1019" i="4"/>
  <c r="C1019" i="4"/>
  <c r="B1019" i="4"/>
  <c r="A1019" i="4"/>
  <c r="R1018" i="4"/>
  <c r="P1018" i="4"/>
  <c r="N1018" i="4"/>
  <c r="L1018" i="4"/>
  <c r="K1018" i="4"/>
  <c r="J1018" i="4"/>
  <c r="I1018" i="4"/>
  <c r="H1018" i="4"/>
  <c r="G1018" i="4"/>
  <c r="F1018" i="4"/>
  <c r="E1018" i="4"/>
  <c r="D1018" i="4"/>
  <c r="C1018" i="4"/>
  <c r="B1018" i="4"/>
  <c r="A1018" i="4"/>
  <c r="R1017" i="4"/>
  <c r="P1017" i="4"/>
  <c r="N1017" i="4"/>
  <c r="L1017" i="4"/>
  <c r="K1017" i="4"/>
  <c r="J1017" i="4"/>
  <c r="I1017" i="4"/>
  <c r="H1017" i="4"/>
  <c r="G1017" i="4"/>
  <c r="F1017" i="4"/>
  <c r="E1017" i="4"/>
  <c r="D1017" i="4"/>
  <c r="C1017" i="4"/>
  <c r="B1017" i="4"/>
  <c r="A1017" i="4"/>
  <c r="R1016" i="4"/>
  <c r="P1016" i="4"/>
  <c r="N1016" i="4"/>
  <c r="L1016" i="4"/>
  <c r="K1016" i="4"/>
  <c r="J1016" i="4"/>
  <c r="I1016" i="4"/>
  <c r="H1016" i="4"/>
  <c r="G1016" i="4"/>
  <c r="F1016" i="4"/>
  <c r="E1016" i="4"/>
  <c r="D1016" i="4"/>
  <c r="C1016" i="4"/>
  <c r="B1016" i="4"/>
  <c r="A1016" i="4"/>
  <c r="R1015" i="4"/>
  <c r="P1015" i="4"/>
  <c r="N1015" i="4"/>
  <c r="L1015" i="4"/>
  <c r="K1015" i="4"/>
  <c r="J1015" i="4"/>
  <c r="I1015" i="4"/>
  <c r="H1015" i="4"/>
  <c r="G1015" i="4"/>
  <c r="F1015" i="4"/>
  <c r="E1015" i="4"/>
  <c r="D1015" i="4"/>
  <c r="C1015" i="4"/>
  <c r="B1015" i="4"/>
  <c r="A1015" i="4"/>
  <c r="R1014" i="4"/>
  <c r="P1014" i="4"/>
  <c r="N1014" i="4"/>
  <c r="L1014" i="4"/>
  <c r="K1014" i="4"/>
  <c r="J1014" i="4"/>
  <c r="I1014" i="4"/>
  <c r="H1014" i="4"/>
  <c r="G1014" i="4"/>
  <c r="F1014" i="4"/>
  <c r="E1014" i="4"/>
  <c r="D1014" i="4"/>
  <c r="C1014" i="4"/>
  <c r="B1014" i="4"/>
  <c r="A1014" i="4"/>
  <c r="R1013" i="4"/>
  <c r="P1013" i="4"/>
  <c r="N1013" i="4"/>
  <c r="L1013" i="4"/>
  <c r="K1013" i="4"/>
  <c r="J1013" i="4"/>
  <c r="I1013" i="4"/>
  <c r="H1013" i="4"/>
  <c r="G1013" i="4"/>
  <c r="F1013" i="4"/>
  <c r="E1013" i="4"/>
  <c r="D1013" i="4"/>
  <c r="C1013" i="4"/>
  <c r="B1013" i="4"/>
  <c r="A1013" i="4"/>
  <c r="R1012" i="4"/>
  <c r="P1012" i="4"/>
  <c r="N1012" i="4"/>
  <c r="L1012" i="4"/>
  <c r="K1012" i="4"/>
  <c r="J1012" i="4"/>
  <c r="I1012" i="4"/>
  <c r="H1012" i="4"/>
  <c r="G1012" i="4"/>
  <c r="F1012" i="4"/>
  <c r="E1012" i="4"/>
  <c r="D1012" i="4"/>
  <c r="C1012" i="4"/>
  <c r="B1012" i="4"/>
  <c r="A1012" i="4"/>
  <c r="R1011" i="4"/>
  <c r="P1011" i="4"/>
  <c r="N1011" i="4"/>
  <c r="L1011" i="4"/>
  <c r="K1011" i="4"/>
  <c r="J1011" i="4"/>
  <c r="I1011" i="4"/>
  <c r="H1011" i="4"/>
  <c r="G1011" i="4"/>
  <c r="F1011" i="4"/>
  <c r="E1011" i="4"/>
  <c r="D1011" i="4"/>
  <c r="C1011" i="4"/>
  <c r="B1011" i="4"/>
  <c r="A1011" i="4"/>
  <c r="R1010" i="4"/>
  <c r="P1010" i="4"/>
  <c r="N1010" i="4"/>
  <c r="L1010" i="4"/>
  <c r="K1010" i="4"/>
  <c r="J1010" i="4"/>
  <c r="I1010" i="4"/>
  <c r="H1010" i="4"/>
  <c r="G1010" i="4"/>
  <c r="F1010" i="4"/>
  <c r="E1010" i="4"/>
  <c r="D1010" i="4"/>
  <c r="C1010" i="4"/>
  <c r="B1010" i="4"/>
  <c r="A1010" i="4"/>
  <c r="R1009" i="4"/>
  <c r="P1009" i="4"/>
  <c r="N1009" i="4"/>
  <c r="L1009" i="4"/>
  <c r="K1009" i="4"/>
  <c r="J1009" i="4"/>
  <c r="I1009" i="4"/>
  <c r="H1009" i="4"/>
  <c r="G1009" i="4"/>
  <c r="F1009" i="4"/>
  <c r="E1009" i="4"/>
  <c r="D1009" i="4"/>
  <c r="C1009" i="4"/>
  <c r="B1009" i="4"/>
  <c r="A1009" i="4"/>
  <c r="R1008" i="4"/>
  <c r="P1008" i="4"/>
  <c r="N1008" i="4"/>
  <c r="L1008" i="4"/>
  <c r="K1008" i="4"/>
  <c r="J1008" i="4"/>
  <c r="I1008" i="4"/>
  <c r="H1008" i="4"/>
  <c r="G1008" i="4"/>
  <c r="F1008" i="4"/>
  <c r="E1008" i="4"/>
  <c r="D1008" i="4"/>
  <c r="C1008" i="4"/>
  <c r="B1008" i="4"/>
  <c r="A1008" i="4"/>
  <c r="R1007" i="4"/>
  <c r="P1007" i="4"/>
  <c r="N1007" i="4"/>
  <c r="L1007" i="4"/>
  <c r="K1007" i="4"/>
  <c r="J1007" i="4"/>
  <c r="I1007" i="4"/>
  <c r="H1007" i="4"/>
  <c r="G1007" i="4"/>
  <c r="F1007" i="4"/>
  <c r="E1007" i="4"/>
  <c r="D1007" i="4"/>
  <c r="C1007" i="4"/>
  <c r="B1007" i="4"/>
  <c r="A1007" i="4"/>
  <c r="R1006" i="4"/>
  <c r="P1006" i="4"/>
  <c r="N1006" i="4"/>
  <c r="L1006" i="4"/>
  <c r="K1006" i="4"/>
  <c r="J1006" i="4"/>
  <c r="I1006" i="4"/>
  <c r="H1006" i="4"/>
  <c r="G1006" i="4"/>
  <c r="F1006" i="4"/>
  <c r="E1006" i="4"/>
  <c r="D1006" i="4"/>
  <c r="C1006" i="4"/>
  <c r="B1006" i="4"/>
  <c r="A1006" i="4"/>
  <c r="R1005" i="4"/>
  <c r="P1005" i="4"/>
  <c r="N1005" i="4"/>
  <c r="L1005" i="4"/>
  <c r="K1005" i="4"/>
  <c r="J1005" i="4"/>
  <c r="I1005" i="4"/>
  <c r="H1005" i="4"/>
  <c r="G1005" i="4"/>
  <c r="F1005" i="4"/>
  <c r="E1005" i="4"/>
  <c r="D1005" i="4"/>
  <c r="C1005" i="4"/>
  <c r="B1005" i="4"/>
  <c r="A1005" i="4"/>
  <c r="R1004" i="4"/>
  <c r="P1004" i="4"/>
  <c r="N1004" i="4"/>
  <c r="L1004" i="4"/>
  <c r="K1004" i="4"/>
  <c r="J1004" i="4"/>
  <c r="I1004" i="4"/>
  <c r="H1004" i="4"/>
  <c r="G1004" i="4"/>
  <c r="F1004" i="4"/>
  <c r="E1004" i="4"/>
  <c r="D1004" i="4"/>
  <c r="C1004" i="4"/>
  <c r="B1004" i="4"/>
  <c r="A1004" i="4"/>
  <c r="R1003" i="4"/>
  <c r="P1003" i="4"/>
  <c r="N1003" i="4"/>
  <c r="L1003" i="4"/>
  <c r="K1003" i="4"/>
  <c r="J1003" i="4"/>
  <c r="I1003" i="4"/>
  <c r="H1003" i="4"/>
  <c r="G1003" i="4"/>
  <c r="F1003" i="4"/>
  <c r="E1003" i="4"/>
  <c r="D1003" i="4"/>
  <c r="C1003" i="4"/>
  <c r="B1003" i="4"/>
  <c r="A1003" i="4"/>
  <c r="R1002" i="4"/>
  <c r="P1002" i="4"/>
  <c r="N1002" i="4"/>
  <c r="L1002" i="4"/>
  <c r="K1002" i="4"/>
  <c r="J1002" i="4"/>
  <c r="I1002" i="4"/>
  <c r="H1002" i="4"/>
  <c r="G1002" i="4"/>
  <c r="F1002" i="4"/>
  <c r="E1002" i="4"/>
  <c r="D1002" i="4"/>
  <c r="C1002" i="4"/>
  <c r="B1002" i="4"/>
  <c r="A1002" i="4"/>
  <c r="R1001" i="4"/>
  <c r="P1001" i="4"/>
  <c r="N1001" i="4"/>
  <c r="L1001" i="4"/>
  <c r="K1001" i="4"/>
  <c r="J1001" i="4"/>
  <c r="I1001" i="4"/>
  <c r="H1001" i="4"/>
  <c r="G1001" i="4"/>
  <c r="F1001" i="4"/>
  <c r="E1001" i="4"/>
  <c r="D1001" i="4"/>
  <c r="C1001" i="4"/>
  <c r="B1001" i="4"/>
  <c r="A1001" i="4"/>
  <c r="R1000" i="4"/>
  <c r="P1000" i="4"/>
  <c r="N1000" i="4"/>
  <c r="L1000" i="4"/>
  <c r="K1000" i="4"/>
  <c r="J1000" i="4"/>
  <c r="I1000" i="4"/>
  <c r="H1000" i="4"/>
  <c r="G1000" i="4"/>
  <c r="F1000" i="4"/>
  <c r="E1000" i="4"/>
  <c r="D1000" i="4"/>
  <c r="C1000" i="4"/>
  <c r="B1000" i="4"/>
  <c r="A1000" i="4"/>
  <c r="R999" i="4"/>
  <c r="P999" i="4"/>
  <c r="N999" i="4"/>
  <c r="L999" i="4"/>
  <c r="K999" i="4"/>
  <c r="J999" i="4"/>
  <c r="I999" i="4"/>
  <c r="H999" i="4"/>
  <c r="G999" i="4"/>
  <c r="F999" i="4"/>
  <c r="E999" i="4"/>
  <c r="D999" i="4"/>
  <c r="C999" i="4"/>
  <c r="B999" i="4"/>
  <c r="A999" i="4"/>
  <c r="R998" i="4"/>
  <c r="P998" i="4"/>
  <c r="N998" i="4"/>
  <c r="L998" i="4"/>
  <c r="K998" i="4"/>
  <c r="J998" i="4"/>
  <c r="I998" i="4"/>
  <c r="H998" i="4"/>
  <c r="G998" i="4"/>
  <c r="F998" i="4"/>
  <c r="E998" i="4"/>
  <c r="D998" i="4"/>
  <c r="C998" i="4"/>
  <c r="B998" i="4"/>
  <c r="A998" i="4"/>
  <c r="R997" i="4"/>
  <c r="P997" i="4"/>
  <c r="N997" i="4"/>
  <c r="L997" i="4"/>
  <c r="K997" i="4"/>
  <c r="J997" i="4"/>
  <c r="I997" i="4"/>
  <c r="H997" i="4"/>
  <c r="G997" i="4"/>
  <c r="F997" i="4"/>
  <c r="E997" i="4"/>
  <c r="D997" i="4"/>
  <c r="C997" i="4"/>
  <c r="B997" i="4"/>
  <c r="A997" i="4"/>
  <c r="R996" i="4"/>
  <c r="P996" i="4"/>
  <c r="N996" i="4"/>
  <c r="L996" i="4"/>
  <c r="K996" i="4"/>
  <c r="J996" i="4"/>
  <c r="I996" i="4"/>
  <c r="H996" i="4"/>
  <c r="G996" i="4"/>
  <c r="F996" i="4"/>
  <c r="E996" i="4"/>
  <c r="D996" i="4"/>
  <c r="C996" i="4"/>
  <c r="B996" i="4"/>
  <c r="A996" i="4"/>
  <c r="R995" i="4"/>
  <c r="P995" i="4"/>
  <c r="N995" i="4"/>
  <c r="L995" i="4"/>
  <c r="K995" i="4"/>
  <c r="J995" i="4"/>
  <c r="I995" i="4"/>
  <c r="H995" i="4"/>
  <c r="G995" i="4"/>
  <c r="F995" i="4"/>
  <c r="E995" i="4"/>
  <c r="D995" i="4"/>
  <c r="C995" i="4"/>
  <c r="B995" i="4"/>
  <c r="A995" i="4"/>
  <c r="R994" i="4"/>
  <c r="P994" i="4"/>
  <c r="N994" i="4"/>
  <c r="L994" i="4"/>
  <c r="K994" i="4"/>
  <c r="J994" i="4"/>
  <c r="I994" i="4"/>
  <c r="H994" i="4"/>
  <c r="G994" i="4"/>
  <c r="F994" i="4"/>
  <c r="E994" i="4"/>
  <c r="D994" i="4"/>
  <c r="C994" i="4"/>
  <c r="B994" i="4"/>
  <c r="A994" i="4"/>
  <c r="R993" i="4"/>
  <c r="P993" i="4"/>
  <c r="N993" i="4"/>
  <c r="L993" i="4"/>
  <c r="K993" i="4"/>
  <c r="J993" i="4"/>
  <c r="I993" i="4"/>
  <c r="H993" i="4"/>
  <c r="G993" i="4"/>
  <c r="F993" i="4"/>
  <c r="E993" i="4"/>
  <c r="D993" i="4"/>
  <c r="C993" i="4"/>
  <c r="B993" i="4"/>
  <c r="A993" i="4"/>
  <c r="R992" i="4"/>
  <c r="P992" i="4"/>
  <c r="N992" i="4"/>
  <c r="L992" i="4"/>
  <c r="K992" i="4"/>
  <c r="J992" i="4"/>
  <c r="I992" i="4"/>
  <c r="H992" i="4"/>
  <c r="G992" i="4"/>
  <c r="F992" i="4"/>
  <c r="E992" i="4"/>
  <c r="D992" i="4"/>
  <c r="C992" i="4"/>
  <c r="B992" i="4"/>
  <c r="A992" i="4"/>
  <c r="R991" i="4"/>
  <c r="P991" i="4"/>
  <c r="N991" i="4"/>
  <c r="L991" i="4"/>
  <c r="K991" i="4"/>
  <c r="J991" i="4"/>
  <c r="I991" i="4"/>
  <c r="H991" i="4"/>
  <c r="G991" i="4"/>
  <c r="F991" i="4"/>
  <c r="E991" i="4"/>
  <c r="D991" i="4"/>
  <c r="C991" i="4"/>
  <c r="B991" i="4"/>
  <c r="A991" i="4"/>
  <c r="R990" i="4"/>
  <c r="P990" i="4"/>
  <c r="N990" i="4"/>
  <c r="L990" i="4"/>
  <c r="K990" i="4"/>
  <c r="J990" i="4"/>
  <c r="I990" i="4"/>
  <c r="H990" i="4"/>
  <c r="G990" i="4"/>
  <c r="F990" i="4"/>
  <c r="E990" i="4"/>
  <c r="D990" i="4"/>
  <c r="C990" i="4"/>
  <c r="B990" i="4"/>
  <c r="A990" i="4"/>
  <c r="R989" i="4"/>
  <c r="P989" i="4"/>
  <c r="N989" i="4"/>
  <c r="L989" i="4"/>
  <c r="K989" i="4"/>
  <c r="J989" i="4"/>
  <c r="I989" i="4"/>
  <c r="H989" i="4"/>
  <c r="G989" i="4"/>
  <c r="F989" i="4"/>
  <c r="E989" i="4"/>
  <c r="D989" i="4"/>
  <c r="C989" i="4"/>
  <c r="B989" i="4"/>
  <c r="A989" i="4"/>
  <c r="R988" i="4"/>
  <c r="P988" i="4"/>
  <c r="N988" i="4"/>
  <c r="L988" i="4"/>
  <c r="K988" i="4"/>
  <c r="J988" i="4"/>
  <c r="I988" i="4"/>
  <c r="H988" i="4"/>
  <c r="G988" i="4"/>
  <c r="F988" i="4"/>
  <c r="E988" i="4"/>
  <c r="D988" i="4"/>
  <c r="C988" i="4"/>
  <c r="B988" i="4"/>
  <c r="A988" i="4"/>
  <c r="R987" i="4"/>
  <c r="P987" i="4"/>
  <c r="N987" i="4"/>
  <c r="L987" i="4"/>
  <c r="K987" i="4"/>
  <c r="J987" i="4"/>
  <c r="I987" i="4"/>
  <c r="H987" i="4"/>
  <c r="G987" i="4"/>
  <c r="F987" i="4"/>
  <c r="E987" i="4"/>
  <c r="D987" i="4"/>
  <c r="C987" i="4"/>
  <c r="B987" i="4"/>
  <c r="A987" i="4"/>
  <c r="R986" i="4"/>
  <c r="P986" i="4"/>
  <c r="N986" i="4"/>
  <c r="L986" i="4"/>
  <c r="K986" i="4"/>
  <c r="J986" i="4"/>
  <c r="I986" i="4"/>
  <c r="H986" i="4"/>
  <c r="G986" i="4"/>
  <c r="F986" i="4"/>
  <c r="E986" i="4"/>
  <c r="D986" i="4"/>
  <c r="C986" i="4"/>
  <c r="B986" i="4"/>
  <c r="A986" i="4"/>
  <c r="R985" i="4"/>
  <c r="P985" i="4"/>
  <c r="N985" i="4"/>
  <c r="L985" i="4"/>
  <c r="K985" i="4"/>
  <c r="J985" i="4"/>
  <c r="I985" i="4"/>
  <c r="H985" i="4"/>
  <c r="G985" i="4"/>
  <c r="F985" i="4"/>
  <c r="E985" i="4"/>
  <c r="D985" i="4"/>
  <c r="C985" i="4"/>
  <c r="B985" i="4"/>
  <c r="A985" i="4"/>
  <c r="R984" i="4"/>
  <c r="P984" i="4"/>
  <c r="N984" i="4"/>
  <c r="L984" i="4"/>
  <c r="K984" i="4"/>
  <c r="J984" i="4"/>
  <c r="I984" i="4"/>
  <c r="H984" i="4"/>
  <c r="G984" i="4"/>
  <c r="F984" i="4"/>
  <c r="E984" i="4"/>
  <c r="D984" i="4"/>
  <c r="C984" i="4"/>
  <c r="B984" i="4"/>
  <c r="A984" i="4"/>
  <c r="R983" i="4"/>
  <c r="P983" i="4"/>
  <c r="N983" i="4"/>
  <c r="L983" i="4"/>
  <c r="K983" i="4"/>
  <c r="J983" i="4"/>
  <c r="I983" i="4"/>
  <c r="H983" i="4"/>
  <c r="G983" i="4"/>
  <c r="F983" i="4"/>
  <c r="E983" i="4"/>
  <c r="D983" i="4"/>
  <c r="C983" i="4"/>
  <c r="B983" i="4"/>
  <c r="A983" i="4"/>
  <c r="R982" i="4"/>
  <c r="P982" i="4"/>
  <c r="N982" i="4"/>
  <c r="L982" i="4"/>
  <c r="K982" i="4"/>
  <c r="J982" i="4"/>
  <c r="I982" i="4"/>
  <c r="H982" i="4"/>
  <c r="G982" i="4"/>
  <c r="F982" i="4"/>
  <c r="E982" i="4"/>
  <c r="D982" i="4"/>
  <c r="C982" i="4"/>
  <c r="B982" i="4"/>
  <c r="A982" i="4"/>
  <c r="R981" i="4"/>
  <c r="P981" i="4"/>
  <c r="N981" i="4"/>
  <c r="L981" i="4"/>
  <c r="K981" i="4"/>
  <c r="J981" i="4"/>
  <c r="I981" i="4"/>
  <c r="H981" i="4"/>
  <c r="G981" i="4"/>
  <c r="F981" i="4"/>
  <c r="E981" i="4"/>
  <c r="D981" i="4"/>
  <c r="C981" i="4"/>
  <c r="B981" i="4"/>
  <c r="A981" i="4"/>
  <c r="R980" i="4"/>
  <c r="P980" i="4"/>
  <c r="N980" i="4"/>
  <c r="L980" i="4"/>
  <c r="K980" i="4"/>
  <c r="J980" i="4"/>
  <c r="I980" i="4"/>
  <c r="H980" i="4"/>
  <c r="G980" i="4"/>
  <c r="F980" i="4"/>
  <c r="E980" i="4"/>
  <c r="D980" i="4"/>
  <c r="C980" i="4"/>
  <c r="B980" i="4"/>
  <c r="A980" i="4"/>
  <c r="R979" i="4"/>
  <c r="P979" i="4"/>
  <c r="N979" i="4"/>
  <c r="L979" i="4"/>
  <c r="K979" i="4"/>
  <c r="J979" i="4"/>
  <c r="I979" i="4"/>
  <c r="H979" i="4"/>
  <c r="G979" i="4"/>
  <c r="F979" i="4"/>
  <c r="E979" i="4"/>
  <c r="D979" i="4"/>
  <c r="C979" i="4"/>
  <c r="B979" i="4"/>
  <c r="A979" i="4"/>
  <c r="R978" i="4"/>
  <c r="P978" i="4"/>
  <c r="N978" i="4"/>
  <c r="L978" i="4"/>
  <c r="K978" i="4"/>
  <c r="J978" i="4"/>
  <c r="I978" i="4"/>
  <c r="H978" i="4"/>
  <c r="G978" i="4"/>
  <c r="F978" i="4"/>
  <c r="E978" i="4"/>
  <c r="D978" i="4"/>
  <c r="C978" i="4"/>
  <c r="B978" i="4"/>
  <c r="A978" i="4"/>
  <c r="R977" i="4"/>
  <c r="P977" i="4"/>
  <c r="N977" i="4"/>
  <c r="L977" i="4"/>
  <c r="K977" i="4"/>
  <c r="J977" i="4"/>
  <c r="I977" i="4"/>
  <c r="H977" i="4"/>
  <c r="G977" i="4"/>
  <c r="F977" i="4"/>
  <c r="E977" i="4"/>
  <c r="D977" i="4"/>
  <c r="C977" i="4"/>
  <c r="B977" i="4"/>
  <c r="A977" i="4"/>
  <c r="R976" i="4"/>
  <c r="P976" i="4"/>
  <c r="N976" i="4"/>
  <c r="L976" i="4"/>
  <c r="K976" i="4"/>
  <c r="J976" i="4"/>
  <c r="I976" i="4"/>
  <c r="H976" i="4"/>
  <c r="G976" i="4"/>
  <c r="F976" i="4"/>
  <c r="E976" i="4"/>
  <c r="D976" i="4"/>
  <c r="C976" i="4"/>
  <c r="B976" i="4"/>
  <c r="A976" i="4"/>
  <c r="R975" i="4"/>
  <c r="P975" i="4"/>
  <c r="N975" i="4"/>
  <c r="L975" i="4"/>
  <c r="K975" i="4"/>
  <c r="J975" i="4"/>
  <c r="I975" i="4"/>
  <c r="H975" i="4"/>
  <c r="G975" i="4"/>
  <c r="F975" i="4"/>
  <c r="E975" i="4"/>
  <c r="D975" i="4"/>
  <c r="C975" i="4"/>
  <c r="B975" i="4"/>
  <c r="A975" i="4"/>
  <c r="R974" i="4"/>
  <c r="P974" i="4"/>
  <c r="N974" i="4"/>
  <c r="L974" i="4"/>
  <c r="K974" i="4"/>
  <c r="J974" i="4"/>
  <c r="I974" i="4"/>
  <c r="H974" i="4"/>
  <c r="G974" i="4"/>
  <c r="F974" i="4"/>
  <c r="E974" i="4"/>
  <c r="D974" i="4"/>
  <c r="C974" i="4"/>
  <c r="B974" i="4"/>
  <c r="A974" i="4"/>
  <c r="R973" i="4"/>
  <c r="P973" i="4"/>
  <c r="N973" i="4"/>
  <c r="L973" i="4"/>
  <c r="K973" i="4"/>
  <c r="J973" i="4"/>
  <c r="I973" i="4"/>
  <c r="H973" i="4"/>
  <c r="G973" i="4"/>
  <c r="F973" i="4"/>
  <c r="E973" i="4"/>
  <c r="D973" i="4"/>
  <c r="C973" i="4"/>
  <c r="B973" i="4"/>
  <c r="A973" i="4"/>
  <c r="R972" i="4"/>
  <c r="P972" i="4"/>
  <c r="N972" i="4"/>
  <c r="L972" i="4"/>
  <c r="K972" i="4"/>
  <c r="J972" i="4"/>
  <c r="I972" i="4"/>
  <c r="H972" i="4"/>
  <c r="G972" i="4"/>
  <c r="F972" i="4"/>
  <c r="E972" i="4"/>
  <c r="D972" i="4"/>
  <c r="C972" i="4"/>
  <c r="B972" i="4"/>
  <c r="A972" i="4"/>
  <c r="R971" i="4"/>
  <c r="P971" i="4"/>
  <c r="N971" i="4"/>
  <c r="L971" i="4"/>
  <c r="K971" i="4"/>
  <c r="J971" i="4"/>
  <c r="I971" i="4"/>
  <c r="H971" i="4"/>
  <c r="G971" i="4"/>
  <c r="F971" i="4"/>
  <c r="E971" i="4"/>
  <c r="D971" i="4"/>
  <c r="C971" i="4"/>
  <c r="B971" i="4"/>
  <c r="A971" i="4"/>
  <c r="R970" i="4"/>
  <c r="P970" i="4"/>
  <c r="N970" i="4"/>
  <c r="L970" i="4"/>
  <c r="K970" i="4"/>
  <c r="J970" i="4"/>
  <c r="I970" i="4"/>
  <c r="H970" i="4"/>
  <c r="G970" i="4"/>
  <c r="F970" i="4"/>
  <c r="E970" i="4"/>
  <c r="D970" i="4"/>
  <c r="C970" i="4"/>
  <c r="B970" i="4"/>
  <c r="A970" i="4"/>
  <c r="R969" i="4"/>
  <c r="P969" i="4"/>
  <c r="N969" i="4"/>
  <c r="L969" i="4"/>
  <c r="K969" i="4"/>
  <c r="J969" i="4"/>
  <c r="I969" i="4"/>
  <c r="H969" i="4"/>
  <c r="G969" i="4"/>
  <c r="F969" i="4"/>
  <c r="E969" i="4"/>
  <c r="D969" i="4"/>
  <c r="C969" i="4"/>
  <c r="B969" i="4"/>
  <c r="A969" i="4"/>
  <c r="R968" i="4"/>
  <c r="P968" i="4"/>
  <c r="N968" i="4"/>
  <c r="L968" i="4"/>
  <c r="K968" i="4"/>
  <c r="J968" i="4"/>
  <c r="I968" i="4"/>
  <c r="H968" i="4"/>
  <c r="G968" i="4"/>
  <c r="F968" i="4"/>
  <c r="E968" i="4"/>
  <c r="D968" i="4"/>
  <c r="C968" i="4"/>
  <c r="B968" i="4"/>
  <c r="A968" i="4"/>
  <c r="R967" i="4"/>
  <c r="P967" i="4"/>
  <c r="N967" i="4"/>
  <c r="L967" i="4"/>
  <c r="K967" i="4"/>
  <c r="J967" i="4"/>
  <c r="I967" i="4"/>
  <c r="H967" i="4"/>
  <c r="G967" i="4"/>
  <c r="F967" i="4"/>
  <c r="E967" i="4"/>
  <c r="D967" i="4"/>
  <c r="C967" i="4"/>
  <c r="B967" i="4"/>
  <c r="A967" i="4"/>
  <c r="R966" i="4"/>
  <c r="P966" i="4"/>
  <c r="N966" i="4"/>
  <c r="L966" i="4"/>
  <c r="K966" i="4"/>
  <c r="J966" i="4"/>
  <c r="I966" i="4"/>
  <c r="H966" i="4"/>
  <c r="G966" i="4"/>
  <c r="F966" i="4"/>
  <c r="E966" i="4"/>
  <c r="D966" i="4"/>
  <c r="C966" i="4"/>
  <c r="B966" i="4"/>
  <c r="A966" i="4"/>
  <c r="R965" i="4"/>
  <c r="P965" i="4"/>
  <c r="N965" i="4"/>
  <c r="L965" i="4"/>
  <c r="K965" i="4"/>
  <c r="J965" i="4"/>
  <c r="I965" i="4"/>
  <c r="H965" i="4"/>
  <c r="G965" i="4"/>
  <c r="F965" i="4"/>
  <c r="E965" i="4"/>
  <c r="D965" i="4"/>
  <c r="C965" i="4"/>
  <c r="B965" i="4"/>
  <c r="A965" i="4"/>
  <c r="R964" i="4"/>
  <c r="P964" i="4"/>
  <c r="N964" i="4"/>
  <c r="L964" i="4"/>
  <c r="K964" i="4"/>
  <c r="J964" i="4"/>
  <c r="I964" i="4"/>
  <c r="H964" i="4"/>
  <c r="G964" i="4"/>
  <c r="F964" i="4"/>
  <c r="E964" i="4"/>
  <c r="D964" i="4"/>
  <c r="C964" i="4"/>
  <c r="B964" i="4"/>
  <c r="A964" i="4"/>
  <c r="R963" i="4"/>
  <c r="P963" i="4"/>
  <c r="N963" i="4"/>
  <c r="L963" i="4"/>
  <c r="K963" i="4"/>
  <c r="J963" i="4"/>
  <c r="I963" i="4"/>
  <c r="H963" i="4"/>
  <c r="G963" i="4"/>
  <c r="F963" i="4"/>
  <c r="E963" i="4"/>
  <c r="D963" i="4"/>
  <c r="C963" i="4"/>
  <c r="B963" i="4"/>
  <c r="A963" i="4"/>
  <c r="R962" i="4"/>
  <c r="P962" i="4"/>
  <c r="N962" i="4"/>
  <c r="L962" i="4"/>
  <c r="K962" i="4"/>
  <c r="J962" i="4"/>
  <c r="I962" i="4"/>
  <c r="H962" i="4"/>
  <c r="G962" i="4"/>
  <c r="F962" i="4"/>
  <c r="E962" i="4"/>
  <c r="D962" i="4"/>
  <c r="C962" i="4"/>
  <c r="B962" i="4"/>
  <c r="A962" i="4"/>
  <c r="R961" i="4"/>
  <c r="P961" i="4"/>
  <c r="N961" i="4"/>
  <c r="L961" i="4"/>
  <c r="K961" i="4"/>
  <c r="J961" i="4"/>
  <c r="I961" i="4"/>
  <c r="H961" i="4"/>
  <c r="G961" i="4"/>
  <c r="F961" i="4"/>
  <c r="E961" i="4"/>
  <c r="D961" i="4"/>
  <c r="C961" i="4"/>
  <c r="B961" i="4"/>
  <c r="A961" i="4"/>
  <c r="R960" i="4"/>
  <c r="P960" i="4"/>
  <c r="N960" i="4"/>
  <c r="L960" i="4"/>
  <c r="K960" i="4"/>
  <c r="J960" i="4"/>
  <c r="I960" i="4"/>
  <c r="H960" i="4"/>
  <c r="G960" i="4"/>
  <c r="F960" i="4"/>
  <c r="E960" i="4"/>
  <c r="D960" i="4"/>
  <c r="C960" i="4"/>
  <c r="B960" i="4"/>
  <c r="A960" i="4"/>
  <c r="R959" i="4"/>
  <c r="P959" i="4"/>
  <c r="N959" i="4"/>
  <c r="L959" i="4"/>
  <c r="K959" i="4"/>
  <c r="J959" i="4"/>
  <c r="I959" i="4"/>
  <c r="H959" i="4"/>
  <c r="G959" i="4"/>
  <c r="F959" i="4"/>
  <c r="E959" i="4"/>
  <c r="D959" i="4"/>
  <c r="C959" i="4"/>
  <c r="B959" i="4"/>
  <c r="A959" i="4"/>
  <c r="R958" i="4"/>
  <c r="P958" i="4"/>
  <c r="N958" i="4"/>
  <c r="L958" i="4"/>
  <c r="K958" i="4"/>
  <c r="J958" i="4"/>
  <c r="I958" i="4"/>
  <c r="H958" i="4"/>
  <c r="G958" i="4"/>
  <c r="F958" i="4"/>
  <c r="E958" i="4"/>
  <c r="D958" i="4"/>
  <c r="C958" i="4"/>
  <c r="B958" i="4"/>
  <c r="A958" i="4"/>
  <c r="R957" i="4"/>
  <c r="P957" i="4"/>
  <c r="N957" i="4"/>
  <c r="L957" i="4"/>
  <c r="K957" i="4"/>
  <c r="J957" i="4"/>
  <c r="I957" i="4"/>
  <c r="H957" i="4"/>
  <c r="G957" i="4"/>
  <c r="F957" i="4"/>
  <c r="E957" i="4"/>
  <c r="D957" i="4"/>
  <c r="C957" i="4"/>
  <c r="B957" i="4"/>
  <c r="A957" i="4"/>
  <c r="R956" i="4"/>
  <c r="P956" i="4"/>
  <c r="N956" i="4"/>
  <c r="L956" i="4"/>
  <c r="K956" i="4"/>
  <c r="J956" i="4"/>
  <c r="I956" i="4"/>
  <c r="H956" i="4"/>
  <c r="G956" i="4"/>
  <c r="F956" i="4"/>
  <c r="E956" i="4"/>
  <c r="D956" i="4"/>
  <c r="C956" i="4"/>
  <c r="B956" i="4"/>
  <c r="A956" i="4"/>
  <c r="R955" i="4"/>
  <c r="P955" i="4"/>
  <c r="N955" i="4"/>
  <c r="L955" i="4"/>
  <c r="K955" i="4"/>
  <c r="J955" i="4"/>
  <c r="I955" i="4"/>
  <c r="H955" i="4"/>
  <c r="G955" i="4"/>
  <c r="F955" i="4"/>
  <c r="E955" i="4"/>
  <c r="D955" i="4"/>
  <c r="C955" i="4"/>
  <c r="B955" i="4"/>
  <c r="A955" i="4"/>
  <c r="R954" i="4"/>
  <c r="P954" i="4"/>
  <c r="N954" i="4"/>
  <c r="L954" i="4"/>
  <c r="K954" i="4"/>
  <c r="J954" i="4"/>
  <c r="I954" i="4"/>
  <c r="H954" i="4"/>
  <c r="G954" i="4"/>
  <c r="F954" i="4"/>
  <c r="E954" i="4"/>
  <c r="D954" i="4"/>
  <c r="C954" i="4"/>
  <c r="B954" i="4"/>
  <c r="A954" i="4"/>
  <c r="R953" i="4"/>
  <c r="P953" i="4"/>
  <c r="N953" i="4"/>
  <c r="L953" i="4"/>
  <c r="K953" i="4"/>
  <c r="J953" i="4"/>
  <c r="I953" i="4"/>
  <c r="H953" i="4"/>
  <c r="G953" i="4"/>
  <c r="F953" i="4"/>
  <c r="E953" i="4"/>
  <c r="D953" i="4"/>
  <c r="C953" i="4"/>
  <c r="B953" i="4"/>
  <c r="A953" i="4"/>
  <c r="R952" i="4"/>
  <c r="P952" i="4"/>
  <c r="N952" i="4"/>
  <c r="L952" i="4"/>
  <c r="K952" i="4"/>
  <c r="J952" i="4"/>
  <c r="I952" i="4"/>
  <c r="H952" i="4"/>
  <c r="G952" i="4"/>
  <c r="F952" i="4"/>
  <c r="E952" i="4"/>
  <c r="D952" i="4"/>
  <c r="C952" i="4"/>
  <c r="B952" i="4"/>
  <c r="A952" i="4"/>
  <c r="R951" i="4"/>
  <c r="P951" i="4"/>
  <c r="N951" i="4"/>
  <c r="L951" i="4"/>
  <c r="K951" i="4"/>
  <c r="J951" i="4"/>
  <c r="I951" i="4"/>
  <c r="H951" i="4"/>
  <c r="G951" i="4"/>
  <c r="F951" i="4"/>
  <c r="E951" i="4"/>
  <c r="D951" i="4"/>
  <c r="C951" i="4"/>
  <c r="B951" i="4"/>
  <c r="A951" i="4"/>
  <c r="R950" i="4"/>
  <c r="P950" i="4"/>
  <c r="N950" i="4"/>
  <c r="L950" i="4"/>
  <c r="K950" i="4"/>
  <c r="J950" i="4"/>
  <c r="I950" i="4"/>
  <c r="H950" i="4"/>
  <c r="G950" i="4"/>
  <c r="F950" i="4"/>
  <c r="E950" i="4"/>
  <c r="D950" i="4"/>
  <c r="C950" i="4"/>
  <c r="B950" i="4"/>
  <c r="A950" i="4"/>
  <c r="R949" i="4"/>
  <c r="P949" i="4"/>
  <c r="N949" i="4"/>
  <c r="L949" i="4"/>
  <c r="K949" i="4"/>
  <c r="J949" i="4"/>
  <c r="I949" i="4"/>
  <c r="H949" i="4"/>
  <c r="G949" i="4"/>
  <c r="F949" i="4"/>
  <c r="E949" i="4"/>
  <c r="D949" i="4"/>
  <c r="C949" i="4"/>
  <c r="B949" i="4"/>
  <c r="A949" i="4"/>
  <c r="R948" i="4"/>
  <c r="P948" i="4"/>
  <c r="N948" i="4"/>
  <c r="L948" i="4"/>
  <c r="K948" i="4"/>
  <c r="J948" i="4"/>
  <c r="I948" i="4"/>
  <c r="H948" i="4"/>
  <c r="G948" i="4"/>
  <c r="F948" i="4"/>
  <c r="E948" i="4"/>
  <c r="D948" i="4"/>
  <c r="C948" i="4"/>
  <c r="B948" i="4"/>
  <c r="A948" i="4"/>
  <c r="R947" i="4"/>
  <c r="P947" i="4"/>
  <c r="N947" i="4"/>
  <c r="L947" i="4"/>
  <c r="K947" i="4"/>
  <c r="J947" i="4"/>
  <c r="I947" i="4"/>
  <c r="H947" i="4"/>
  <c r="G947" i="4"/>
  <c r="F947" i="4"/>
  <c r="E947" i="4"/>
  <c r="D947" i="4"/>
  <c r="C947" i="4"/>
  <c r="B947" i="4"/>
  <c r="A947" i="4"/>
  <c r="R946" i="4"/>
  <c r="P946" i="4"/>
  <c r="N946" i="4"/>
  <c r="L946" i="4"/>
  <c r="K946" i="4"/>
  <c r="J946" i="4"/>
  <c r="I946" i="4"/>
  <c r="H946" i="4"/>
  <c r="G946" i="4"/>
  <c r="F946" i="4"/>
  <c r="E946" i="4"/>
  <c r="D946" i="4"/>
  <c r="C946" i="4"/>
  <c r="B946" i="4"/>
  <c r="A946" i="4"/>
  <c r="R945" i="4"/>
  <c r="P945" i="4"/>
  <c r="N945" i="4"/>
  <c r="L945" i="4"/>
  <c r="K945" i="4"/>
  <c r="J945" i="4"/>
  <c r="I945" i="4"/>
  <c r="H945" i="4"/>
  <c r="G945" i="4"/>
  <c r="F945" i="4"/>
  <c r="E945" i="4"/>
  <c r="D945" i="4"/>
  <c r="C945" i="4"/>
  <c r="B945" i="4"/>
  <c r="A945" i="4"/>
  <c r="R944" i="4"/>
  <c r="P944" i="4"/>
  <c r="N944" i="4"/>
  <c r="L944" i="4"/>
  <c r="K944" i="4"/>
  <c r="J944" i="4"/>
  <c r="I944" i="4"/>
  <c r="H944" i="4"/>
  <c r="G944" i="4"/>
  <c r="F944" i="4"/>
  <c r="E944" i="4"/>
  <c r="D944" i="4"/>
  <c r="C944" i="4"/>
  <c r="B944" i="4"/>
  <c r="A944" i="4"/>
  <c r="R943" i="4"/>
  <c r="P943" i="4"/>
  <c r="N943" i="4"/>
  <c r="L943" i="4"/>
  <c r="K943" i="4"/>
  <c r="J943" i="4"/>
  <c r="I943" i="4"/>
  <c r="H943" i="4"/>
  <c r="G943" i="4"/>
  <c r="F943" i="4"/>
  <c r="E943" i="4"/>
  <c r="D943" i="4"/>
  <c r="C943" i="4"/>
  <c r="B943" i="4"/>
  <c r="A943" i="4"/>
  <c r="R942" i="4"/>
  <c r="P942" i="4"/>
  <c r="N942" i="4"/>
  <c r="L942" i="4"/>
  <c r="K942" i="4"/>
  <c r="J942" i="4"/>
  <c r="I942" i="4"/>
  <c r="H942" i="4"/>
  <c r="G942" i="4"/>
  <c r="F942" i="4"/>
  <c r="E942" i="4"/>
  <c r="D942" i="4"/>
  <c r="C942" i="4"/>
  <c r="B942" i="4"/>
  <c r="A942" i="4"/>
  <c r="R941" i="4"/>
  <c r="P941" i="4"/>
  <c r="N941" i="4"/>
  <c r="L941" i="4"/>
  <c r="K941" i="4"/>
  <c r="J941" i="4"/>
  <c r="I941" i="4"/>
  <c r="H941" i="4"/>
  <c r="G941" i="4"/>
  <c r="F941" i="4"/>
  <c r="E941" i="4"/>
  <c r="D941" i="4"/>
  <c r="C941" i="4"/>
  <c r="B941" i="4"/>
  <c r="A941" i="4"/>
  <c r="R940" i="4"/>
  <c r="P940" i="4"/>
  <c r="N940" i="4"/>
  <c r="L940" i="4"/>
  <c r="K940" i="4"/>
  <c r="J940" i="4"/>
  <c r="I940" i="4"/>
  <c r="H940" i="4"/>
  <c r="G940" i="4"/>
  <c r="F940" i="4"/>
  <c r="E940" i="4"/>
  <c r="D940" i="4"/>
  <c r="C940" i="4"/>
  <c r="B940" i="4"/>
  <c r="A940" i="4"/>
  <c r="R939" i="4"/>
  <c r="P939" i="4"/>
  <c r="N939" i="4"/>
  <c r="L939" i="4"/>
  <c r="K939" i="4"/>
  <c r="J939" i="4"/>
  <c r="I939" i="4"/>
  <c r="H939" i="4"/>
  <c r="G939" i="4"/>
  <c r="F939" i="4"/>
  <c r="E939" i="4"/>
  <c r="D939" i="4"/>
  <c r="C939" i="4"/>
  <c r="B939" i="4"/>
  <c r="A939" i="4"/>
  <c r="R938" i="4"/>
  <c r="P938" i="4"/>
  <c r="N938" i="4"/>
  <c r="L938" i="4"/>
  <c r="K938" i="4"/>
  <c r="J938" i="4"/>
  <c r="I938" i="4"/>
  <c r="H938" i="4"/>
  <c r="G938" i="4"/>
  <c r="F938" i="4"/>
  <c r="E938" i="4"/>
  <c r="D938" i="4"/>
  <c r="C938" i="4"/>
  <c r="B938" i="4"/>
  <c r="A938" i="4"/>
  <c r="R937" i="4"/>
  <c r="P937" i="4"/>
  <c r="N937" i="4"/>
  <c r="L937" i="4"/>
  <c r="K937" i="4"/>
  <c r="J937" i="4"/>
  <c r="I937" i="4"/>
  <c r="H937" i="4"/>
  <c r="G937" i="4"/>
  <c r="F937" i="4"/>
  <c r="E937" i="4"/>
  <c r="D937" i="4"/>
  <c r="C937" i="4"/>
  <c r="B937" i="4"/>
  <c r="A937" i="4"/>
  <c r="R936" i="4"/>
  <c r="P936" i="4"/>
  <c r="N936" i="4"/>
  <c r="L936" i="4"/>
  <c r="K936" i="4"/>
  <c r="J936" i="4"/>
  <c r="I936" i="4"/>
  <c r="H936" i="4"/>
  <c r="G936" i="4"/>
  <c r="F936" i="4"/>
  <c r="E936" i="4"/>
  <c r="D936" i="4"/>
  <c r="C936" i="4"/>
  <c r="B936" i="4"/>
  <c r="A936" i="4"/>
  <c r="R935" i="4"/>
  <c r="P935" i="4"/>
  <c r="N935" i="4"/>
  <c r="L935" i="4"/>
  <c r="K935" i="4"/>
  <c r="J935" i="4"/>
  <c r="I935" i="4"/>
  <c r="H935" i="4"/>
  <c r="G935" i="4"/>
  <c r="F935" i="4"/>
  <c r="E935" i="4"/>
  <c r="D935" i="4"/>
  <c r="C935" i="4"/>
  <c r="B935" i="4"/>
  <c r="A935" i="4"/>
  <c r="R934" i="4"/>
  <c r="P934" i="4"/>
  <c r="N934" i="4"/>
  <c r="L934" i="4"/>
  <c r="K934" i="4"/>
  <c r="J934" i="4"/>
  <c r="I934" i="4"/>
  <c r="H934" i="4"/>
  <c r="G934" i="4"/>
  <c r="F934" i="4"/>
  <c r="E934" i="4"/>
  <c r="D934" i="4"/>
  <c r="C934" i="4"/>
  <c r="B934" i="4"/>
  <c r="A934" i="4"/>
  <c r="R933" i="4"/>
  <c r="P933" i="4"/>
  <c r="N933" i="4"/>
  <c r="L933" i="4"/>
  <c r="K933" i="4"/>
  <c r="J933" i="4"/>
  <c r="I933" i="4"/>
  <c r="H933" i="4"/>
  <c r="G933" i="4"/>
  <c r="F933" i="4"/>
  <c r="E933" i="4"/>
  <c r="D933" i="4"/>
  <c r="C933" i="4"/>
  <c r="B933" i="4"/>
  <c r="A933" i="4"/>
  <c r="R932" i="4"/>
  <c r="P932" i="4"/>
  <c r="N932" i="4"/>
  <c r="L932" i="4"/>
  <c r="K932" i="4"/>
  <c r="J932" i="4"/>
  <c r="I932" i="4"/>
  <c r="H932" i="4"/>
  <c r="G932" i="4"/>
  <c r="F932" i="4"/>
  <c r="E932" i="4"/>
  <c r="D932" i="4"/>
  <c r="C932" i="4"/>
  <c r="B932" i="4"/>
  <c r="A932" i="4"/>
  <c r="R931" i="4"/>
  <c r="P931" i="4"/>
  <c r="N931" i="4"/>
  <c r="L931" i="4"/>
  <c r="K931" i="4"/>
  <c r="J931" i="4"/>
  <c r="I931" i="4"/>
  <c r="H931" i="4"/>
  <c r="G931" i="4"/>
  <c r="F931" i="4"/>
  <c r="E931" i="4"/>
  <c r="D931" i="4"/>
  <c r="C931" i="4"/>
  <c r="B931" i="4"/>
  <c r="A931" i="4"/>
  <c r="R930" i="4"/>
  <c r="P930" i="4"/>
  <c r="N930" i="4"/>
  <c r="L930" i="4"/>
  <c r="K930" i="4"/>
  <c r="J930" i="4"/>
  <c r="I930" i="4"/>
  <c r="H930" i="4"/>
  <c r="G930" i="4"/>
  <c r="F930" i="4"/>
  <c r="E930" i="4"/>
  <c r="D930" i="4"/>
  <c r="C930" i="4"/>
  <c r="B930" i="4"/>
  <c r="A930" i="4"/>
  <c r="R929" i="4"/>
  <c r="P929" i="4"/>
  <c r="N929" i="4"/>
  <c r="L929" i="4"/>
  <c r="K929" i="4"/>
  <c r="J929" i="4"/>
  <c r="I929" i="4"/>
  <c r="H929" i="4"/>
  <c r="G929" i="4"/>
  <c r="F929" i="4"/>
  <c r="E929" i="4"/>
  <c r="D929" i="4"/>
  <c r="C929" i="4"/>
  <c r="B929" i="4"/>
  <c r="A929" i="4"/>
  <c r="R928" i="4"/>
  <c r="P928" i="4"/>
  <c r="N928" i="4"/>
  <c r="L928" i="4"/>
  <c r="K928" i="4"/>
  <c r="J928" i="4"/>
  <c r="I928" i="4"/>
  <c r="H928" i="4"/>
  <c r="G928" i="4"/>
  <c r="F928" i="4"/>
  <c r="E928" i="4"/>
  <c r="D928" i="4"/>
  <c r="C928" i="4"/>
  <c r="B928" i="4"/>
  <c r="A928" i="4"/>
  <c r="R927" i="4"/>
  <c r="P927" i="4"/>
  <c r="N927" i="4"/>
  <c r="L927" i="4"/>
  <c r="K927" i="4"/>
  <c r="J927" i="4"/>
  <c r="I927" i="4"/>
  <c r="H927" i="4"/>
  <c r="G927" i="4"/>
  <c r="F927" i="4"/>
  <c r="E927" i="4"/>
  <c r="D927" i="4"/>
  <c r="C927" i="4"/>
  <c r="B927" i="4"/>
  <c r="A927" i="4"/>
  <c r="R926" i="4"/>
  <c r="P926" i="4"/>
  <c r="N926" i="4"/>
  <c r="L926" i="4"/>
  <c r="K926" i="4"/>
  <c r="J926" i="4"/>
  <c r="I926" i="4"/>
  <c r="H926" i="4"/>
  <c r="G926" i="4"/>
  <c r="F926" i="4"/>
  <c r="E926" i="4"/>
  <c r="D926" i="4"/>
  <c r="C926" i="4"/>
  <c r="B926" i="4"/>
  <c r="A926" i="4"/>
  <c r="R925" i="4"/>
  <c r="P925" i="4"/>
  <c r="N925" i="4"/>
  <c r="L925" i="4"/>
  <c r="K925" i="4"/>
  <c r="J925" i="4"/>
  <c r="I925" i="4"/>
  <c r="H925" i="4"/>
  <c r="G925" i="4"/>
  <c r="F925" i="4"/>
  <c r="E925" i="4"/>
  <c r="D925" i="4"/>
  <c r="C925" i="4"/>
  <c r="B925" i="4"/>
  <c r="A925" i="4"/>
  <c r="R924" i="4"/>
  <c r="P924" i="4"/>
  <c r="N924" i="4"/>
  <c r="L924" i="4"/>
  <c r="K924" i="4"/>
  <c r="J924" i="4"/>
  <c r="I924" i="4"/>
  <c r="H924" i="4"/>
  <c r="G924" i="4"/>
  <c r="F924" i="4"/>
  <c r="E924" i="4"/>
  <c r="D924" i="4"/>
  <c r="C924" i="4"/>
  <c r="B924" i="4"/>
  <c r="A924" i="4"/>
  <c r="R923" i="4"/>
  <c r="P923" i="4"/>
  <c r="N923" i="4"/>
  <c r="L923" i="4"/>
  <c r="K923" i="4"/>
  <c r="J923" i="4"/>
  <c r="I923" i="4"/>
  <c r="H923" i="4"/>
  <c r="G923" i="4"/>
  <c r="F923" i="4"/>
  <c r="E923" i="4"/>
  <c r="D923" i="4"/>
  <c r="C923" i="4"/>
  <c r="B923" i="4"/>
  <c r="A923" i="4"/>
  <c r="R922" i="4"/>
  <c r="P922" i="4"/>
  <c r="N922" i="4"/>
  <c r="L922" i="4"/>
  <c r="K922" i="4"/>
  <c r="J922" i="4"/>
  <c r="I922" i="4"/>
  <c r="H922" i="4"/>
  <c r="G922" i="4"/>
  <c r="F922" i="4"/>
  <c r="E922" i="4"/>
  <c r="D922" i="4"/>
  <c r="C922" i="4"/>
  <c r="B922" i="4"/>
  <c r="A922" i="4"/>
  <c r="R921" i="4"/>
  <c r="P921" i="4"/>
  <c r="N921" i="4"/>
  <c r="L921" i="4"/>
  <c r="K921" i="4"/>
  <c r="J921" i="4"/>
  <c r="I921" i="4"/>
  <c r="H921" i="4"/>
  <c r="G921" i="4"/>
  <c r="F921" i="4"/>
  <c r="E921" i="4"/>
  <c r="D921" i="4"/>
  <c r="C921" i="4"/>
  <c r="B921" i="4"/>
  <c r="A921" i="4"/>
  <c r="R920" i="4"/>
  <c r="P920" i="4"/>
  <c r="N920" i="4"/>
  <c r="L920" i="4"/>
  <c r="K920" i="4"/>
  <c r="J920" i="4"/>
  <c r="I920" i="4"/>
  <c r="H920" i="4"/>
  <c r="G920" i="4"/>
  <c r="F920" i="4"/>
  <c r="E920" i="4"/>
  <c r="D920" i="4"/>
  <c r="C920" i="4"/>
  <c r="B920" i="4"/>
  <c r="A920" i="4"/>
  <c r="R919" i="4"/>
  <c r="P919" i="4"/>
  <c r="N919" i="4"/>
  <c r="L919" i="4"/>
  <c r="K919" i="4"/>
  <c r="J919" i="4"/>
  <c r="I919" i="4"/>
  <c r="H919" i="4"/>
  <c r="G919" i="4"/>
  <c r="F919" i="4"/>
  <c r="E919" i="4"/>
  <c r="D919" i="4"/>
  <c r="C919" i="4"/>
  <c r="B919" i="4"/>
  <c r="A919" i="4"/>
  <c r="R918" i="4"/>
  <c r="P918" i="4"/>
  <c r="N918" i="4"/>
  <c r="L918" i="4"/>
  <c r="K918" i="4"/>
  <c r="J918" i="4"/>
  <c r="I918" i="4"/>
  <c r="H918" i="4"/>
  <c r="G918" i="4"/>
  <c r="F918" i="4"/>
  <c r="E918" i="4"/>
  <c r="D918" i="4"/>
  <c r="C918" i="4"/>
  <c r="B918" i="4"/>
  <c r="A918" i="4"/>
  <c r="R917" i="4"/>
  <c r="P917" i="4"/>
  <c r="N917" i="4"/>
  <c r="L917" i="4"/>
  <c r="K917" i="4"/>
  <c r="J917" i="4"/>
  <c r="I917" i="4"/>
  <c r="H917" i="4"/>
  <c r="G917" i="4"/>
  <c r="F917" i="4"/>
  <c r="E917" i="4"/>
  <c r="D917" i="4"/>
  <c r="C917" i="4"/>
  <c r="B917" i="4"/>
  <c r="A917" i="4"/>
  <c r="R916" i="4"/>
  <c r="P916" i="4"/>
  <c r="N916" i="4"/>
  <c r="L916" i="4"/>
  <c r="K916" i="4"/>
  <c r="J916" i="4"/>
  <c r="I916" i="4"/>
  <c r="H916" i="4"/>
  <c r="G916" i="4"/>
  <c r="F916" i="4"/>
  <c r="E916" i="4"/>
  <c r="D916" i="4"/>
  <c r="C916" i="4"/>
  <c r="B916" i="4"/>
  <c r="A916" i="4"/>
  <c r="R915" i="4"/>
  <c r="P915" i="4"/>
  <c r="N915" i="4"/>
  <c r="L915" i="4"/>
  <c r="K915" i="4"/>
  <c r="J915" i="4"/>
  <c r="I915" i="4"/>
  <c r="H915" i="4"/>
  <c r="G915" i="4"/>
  <c r="F915" i="4"/>
  <c r="E915" i="4"/>
  <c r="D915" i="4"/>
  <c r="C915" i="4"/>
  <c r="B915" i="4"/>
  <c r="A915" i="4"/>
  <c r="R914" i="4"/>
  <c r="P914" i="4"/>
  <c r="N914" i="4"/>
  <c r="L914" i="4"/>
  <c r="K914" i="4"/>
  <c r="J914" i="4"/>
  <c r="I914" i="4"/>
  <c r="H914" i="4"/>
  <c r="G914" i="4"/>
  <c r="F914" i="4"/>
  <c r="E914" i="4"/>
  <c r="D914" i="4"/>
  <c r="C914" i="4"/>
  <c r="B914" i="4"/>
  <c r="A914" i="4"/>
  <c r="R913" i="4"/>
  <c r="P913" i="4"/>
  <c r="N913" i="4"/>
  <c r="L913" i="4"/>
  <c r="K913" i="4"/>
  <c r="J913" i="4"/>
  <c r="I913" i="4"/>
  <c r="H913" i="4"/>
  <c r="G913" i="4"/>
  <c r="F913" i="4"/>
  <c r="E913" i="4"/>
  <c r="D913" i="4"/>
  <c r="C913" i="4"/>
  <c r="B913" i="4"/>
  <c r="A913" i="4"/>
  <c r="R912" i="4"/>
  <c r="P912" i="4"/>
  <c r="N912" i="4"/>
  <c r="L912" i="4"/>
  <c r="K912" i="4"/>
  <c r="J912" i="4"/>
  <c r="I912" i="4"/>
  <c r="H912" i="4"/>
  <c r="G912" i="4"/>
  <c r="F912" i="4"/>
  <c r="E912" i="4"/>
  <c r="D912" i="4"/>
  <c r="C912" i="4"/>
  <c r="B912" i="4"/>
  <c r="A912" i="4"/>
  <c r="R911" i="4"/>
  <c r="P911" i="4"/>
  <c r="N911" i="4"/>
  <c r="L911" i="4"/>
  <c r="K911" i="4"/>
  <c r="J911" i="4"/>
  <c r="I911" i="4"/>
  <c r="H911" i="4"/>
  <c r="G911" i="4"/>
  <c r="F911" i="4"/>
  <c r="E911" i="4"/>
  <c r="D911" i="4"/>
  <c r="C911" i="4"/>
  <c r="B911" i="4"/>
  <c r="A911" i="4"/>
  <c r="R910" i="4"/>
  <c r="P910" i="4"/>
  <c r="N910" i="4"/>
  <c r="L910" i="4"/>
  <c r="K910" i="4"/>
  <c r="J910" i="4"/>
  <c r="I910" i="4"/>
  <c r="H910" i="4"/>
  <c r="G910" i="4"/>
  <c r="F910" i="4"/>
  <c r="E910" i="4"/>
  <c r="D910" i="4"/>
  <c r="C910" i="4"/>
  <c r="B910" i="4"/>
  <c r="A910" i="4"/>
  <c r="R909" i="4"/>
  <c r="P909" i="4"/>
  <c r="N909" i="4"/>
  <c r="L909" i="4"/>
  <c r="K909" i="4"/>
  <c r="J909" i="4"/>
  <c r="I909" i="4"/>
  <c r="H909" i="4"/>
  <c r="G909" i="4"/>
  <c r="F909" i="4"/>
  <c r="E909" i="4"/>
  <c r="D909" i="4"/>
  <c r="C909" i="4"/>
  <c r="B909" i="4"/>
  <c r="A909" i="4"/>
  <c r="R908" i="4"/>
  <c r="P908" i="4"/>
  <c r="N908" i="4"/>
  <c r="L908" i="4"/>
  <c r="K908" i="4"/>
  <c r="J908" i="4"/>
  <c r="I908" i="4"/>
  <c r="H908" i="4"/>
  <c r="G908" i="4"/>
  <c r="F908" i="4"/>
  <c r="E908" i="4"/>
  <c r="D908" i="4"/>
  <c r="C908" i="4"/>
  <c r="B908" i="4"/>
  <c r="A908" i="4"/>
  <c r="R907" i="4"/>
  <c r="P907" i="4"/>
  <c r="N907" i="4"/>
  <c r="L907" i="4"/>
  <c r="K907" i="4"/>
  <c r="J907" i="4"/>
  <c r="I907" i="4"/>
  <c r="H907" i="4"/>
  <c r="G907" i="4"/>
  <c r="F907" i="4"/>
  <c r="E907" i="4"/>
  <c r="D907" i="4"/>
  <c r="C907" i="4"/>
  <c r="B907" i="4"/>
  <c r="A907" i="4"/>
  <c r="R906" i="4"/>
  <c r="P906" i="4"/>
  <c r="N906" i="4"/>
  <c r="L906" i="4"/>
  <c r="K906" i="4"/>
  <c r="J906" i="4"/>
  <c r="I906" i="4"/>
  <c r="H906" i="4"/>
  <c r="G906" i="4"/>
  <c r="F906" i="4"/>
  <c r="E906" i="4"/>
  <c r="D906" i="4"/>
  <c r="C906" i="4"/>
  <c r="B906" i="4"/>
  <c r="A906" i="4"/>
  <c r="R905" i="4"/>
  <c r="P905" i="4"/>
  <c r="N905" i="4"/>
  <c r="L905" i="4"/>
  <c r="K905" i="4"/>
  <c r="J905" i="4"/>
  <c r="I905" i="4"/>
  <c r="H905" i="4"/>
  <c r="G905" i="4"/>
  <c r="F905" i="4"/>
  <c r="E905" i="4"/>
  <c r="D905" i="4"/>
  <c r="C905" i="4"/>
  <c r="B905" i="4"/>
  <c r="A905" i="4"/>
  <c r="R904" i="4"/>
  <c r="P904" i="4"/>
  <c r="N904" i="4"/>
  <c r="L904" i="4"/>
  <c r="K904" i="4"/>
  <c r="J904" i="4"/>
  <c r="I904" i="4"/>
  <c r="H904" i="4"/>
  <c r="G904" i="4"/>
  <c r="F904" i="4"/>
  <c r="E904" i="4"/>
  <c r="D904" i="4"/>
  <c r="C904" i="4"/>
  <c r="B904" i="4"/>
  <c r="A904" i="4"/>
  <c r="R903" i="4"/>
  <c r="P903" i="4"/>
  <c r="N903" i="4"/>
  <c r="L903" i="4"/>
  <c r="K903" i="4"/>
  <c r="J903" i="4"/>
  <c r="I903" i="4"/>
  <c r="H903" i="4"/>
  <c r="G903" i="4"/>
  <c r="F903" i="4"/>
  <c r="E903" i="4"/>
  <c r="D903" i="4"/>
  <c r="C903" i="4"/>
  <c r="B903" i="4"/>
  <c r="A903" i="4"/>
  <c r="R902" i="4"/>
  <c r="P902" i="4"/>
  <c r="N902" i="4"/>
  <c r="L902" i="4"/>
  <c r="K902" i="4"/>
  <c r="J902" i="4"/>
  <c r="I902" i="4"/>
  <c r="H902" i="4"/>
  <c r="G902" i="4"/>
  <c r="F902" i="4"/>
  <c r="E902" i="4"/>
  <c r="D902" i="4"/>
  <c r="C902" i="4"/>
  <c r="B902" i="4"/>
  <c r="A902" i="4"/>
  <c r="R901" i="4"/>
  <c r="P901" i="4"/>
  <c r="N901" i="4"/>
  <c r="L901" i="4"/>
  <c r="K901" i="4"/>
  <c r="J901" i="4"/>
  <c r="I901" i="4"/>
  <c r="H901" i="4"/>
  <c r="G901" i="4"/>
  <c r="F901" i="4"/>
  <c r="E901" i="4"/>
  <c r="D901" i="4"/>
  <c r="C901" i="4"/>
  <c r="B901" i="4"/>
  <c r="A901" i="4"/>
  <c r="R900" i="4"/>
  <c r="P900" i="4"/>
  <c r="N900" i="4"/>
  <c r="L900" i="4"/>
  <c r="K900" i="4"/>
  <c r="J900" i="4"/>
  <c r="I900" i="4"/>
  <c r="H900" i="4"/>
  <c r="G900" i="4"/>
  <c r="F900" i="4"/>
  <c r="E900" i="4"/>
  <c r="D900" i="4"/>
  <c r="C900" i="4"/>
  <c r="B900" i="4"/>
  <c r="A900" i="4"/>
  <c r="R899" i="4"/>
  <c r="P899" i="4"/>
  <c r="N899" i="4"/>
  <c r="L899" i="4"/>
  <c r="K899" i="4"/>
  <c r="J899" i="4"/>
  <c r="I899" i="4"/>
  <c r="H899" i="4"/>
  <c r="G899" i="4"/>
  <c r="F899" i="4"/>
  <c r="E899" i="4"/>
  <c r="D899" i="4"/>
  <c r="C899" i="4"/>
  <c r="B899" i="4"/>
  <c r="A899" i="4"/>
  <c r="R898" i="4"/>
  <c r="P898" i="4"/>
  <c r="N898" i="4"/>
  <c r="L898" i="4"/>
  <c r="K898" i="4"/>
  <c r="J898" i="4"/>
  <c r="I898" i="4"/>
  <c r="H898" i="4"/>
  <c r="G898" i="4"/>
  <c r="F898" i="4"/>
  <c r="E898" i="4"/>
  <c r="D898" i="4"/>
  <c r="C898" i="4"/>
  <c r="B898" i="4"/>
  <c r="A898" i="4"/>
  <c r="R897" i="4"/>
  <c r="P897" i="4"/>
  <c r="N897" i="4"/>
  <c r="L897" i="4"/>
  <c r="K897" i="4"/>
  <c r="J897" i="4"/>
  <c r="I897" i="4"/>
  <c r="H897" i="4"/>
  <c r="G897" i="4"/>
  <c r="F897" i="4"/>
  <c r="E897" i="4"/>
  <c r="D897" i="4"/>
  <c r="C897" i="4"/>
  <c r="B897" i="4"/>
  <c r="A897" i="4"/>
  <c r="R896" i="4"/>
  <c r="P896" i="4"/>
  <c r="N896" i="4"/>
  <c r="L896" i="4"/>
  <c r="K896" i="4"/>
  <c r="J896" i="4"/>
  <c r="I896" i="4"/>
  <c r="H896" i="4"/>
  <c r="G896" i="4"/>
  <c r="F896" i="4"/>
  <c r="E896" i="4"/>
  <c r="D896" i="4"/>
  <c r="C896" i="4"/>
  <c r="B896" i="4"/>
  <c r="A896" i="4"/>
  <c r="R895" i="4"/>
  <c r="P895" i="4"/>
  <c r="N895" i="4"/>
  <c r="L895" i="4"/>
  <c r="K895" i="4"/>
  <c r="J895" i="4"/>
  <c r="I895" i="4"/>
  <c r="H895" i="4"/>
  <c r="G895" i="4"/>
  <c r="F895" i="4"/>
  <c r="E895" i="4"/>
  <c r="D895" i="4"/>
  <c r="C895" i="4"/>
  <c r="B895" i="4"/>
  <c r="A895" i="4"/>
  <c r="R894" i="4"/>
  <c r="P894" i="4"/>
  <c r="N894" i="4"/>
  <c r="L894" i="4"/>
  <c r="K894" i="4"/>
  <c r="J894" i="4"/>
  <c r="I894" i="4"/>
  <c r="H894" i="4"/>
  <c r="G894" i="4"/>
  <c r="F894" i="4"/>
  <c r="E894" i="4"/>
  <c r="D894" i="4"/>
  <c r="C894" i="4"/>
  <c r="B894" i="4"/>
  <c r="A894" i="4"/>
  <c r="R893" i="4"/>
  <c r="P893" i="4"/>
  <c r="N893" i="4"/>
  <c r="L893" i="4"/>
  <c r="K893" i="4"/>
  <c r="J893" i="4"/>
  <c r="I893" i="4"/>
  <c r="H893" i="4"/>
  <c r="G893" i="4"/>
  <c r="F893" i="4"/>
  <c r="E893" i="4"/>
  <c r="D893" i="4"/>
  <c r="C893" i="4"/>
  <c r="B893" i="4"/>
  <c r="A893" i="4"/>
  <c r="R892" i="4"/>
  <c r="P892" i="4"/>
  <c r="N892" i="4"/>
  <c r="L892" i="4"/>
  <c r="K892" i="4"/>
  <c r="J892" i="4"/>
  <c r="I892" i="4"/>
  <c r="H892" i="4"/>
  <c r="G892" i="4"/>
  <c r="F892" i="4"/>
  <c r="E892" i="4"/>
  <c r="D892" i="4"/>
  <c r="C892" i="4"/>
  <c r="B892" i="4"/>
  <c r="A892" i="4"/>
  <c r="R891" i="4"/>
  <c r="P891" i="4"/>
  <c r="N891" i="4"/>
  <c r="L891" i="4"/>
  <c r="K891" i="4"/>
  <c r="J891" i="4"/>
  <c r="I891" i="4"/>
  <c r="H891" i="4"/>
  <c r="G891" i="4"/>
  <c r="F891" i="4"/>
  <c r="E891" i="4"/>
  <c r="D891" i="4"/>
  <c r="C891" i="4"/>
  <c r="B891" i="4"/>
  <c r="A891" i="4"/>
  <c r="R890" i="4"/>
  <c r="P890" i="4"/>
  <c r="N890" i="4"/>
  <c r="L890" i="4"/>
  <c r="K890" i="4"/>
  <c r="J890" i="4"/>
  <c r="I890" i="4"/>
  <c r="H890" i="4"/>
  <c r="G890" i="4"/>
  <c r="F890" i="4"/>
  <c r="E890" i="4"/>
  <c r="D890" i="4"/>
  <c r="C890" i="4"/>
  <c r="B890" i="4"/>
  <c r="A890" i="4"/>
  <c r="R889" i="4"/>
  <c r="P889" i="4"/>
  <c r="N889" i="4"/>
  <c r="L889" i="4"/>
  <c r="K889" i="4"/>
  <c r="J889" i="4"/>
  <c r="I889" i="4"/>
  <c r="H889" i="4"/>
  <c r="G889" i="4"/>
  <c r="F889" i="4"/>
  <c r="E889" i="4"/>
  <c r="D889" i="4"/>
  <c r="C889" i="4"/>
  <c r="B889" i="4"/>
  <c r="A889" i="4"/>
  <c r="R888" i="4"/>
  <c r="P888" i="4"/>
  <c r="N888" i="4"/>
  <c r="L888" i="4"/>
  <c r="K888" i="4"/>
  <c r="J888" i="4"/>
  <c r="I888" i="4"/>
  <c r="H888" i="4"/>
  <c r="G888" i="4"/>
  <c r="F888" i="4"/>
  <c r="E888" i="4"/>
  <c r="D888" i="4"/>
  <c r="C888" i="4"/>
  <c r="B888" i="4"/>
  <c r="A888" i="4"/>
  <c r="R887" i="4"/>
  <c r="P887" i="4"/>
  <c r="N887" i="4"/>
  <c r="L887" i="4"/>
  <c r="K887" i="4"/>
  <c r="J887" i="4"/>
  <c r="I887" i="4"/>
  <c r="H887" i="4"/>
  <c r="G887" i="4"/>
  <c r="F887" i="4"/>
  <c r="E887" i="4"/>
  <c r="D887" i="4"/>
  <c r="C887" i="4"/>
  <c r="B887" i="4"/>
  <c r="A887" i="4"/>
  <c r="R886" i="4"/>
  <c r="P886" i="4"/>
  <c r="N886" i="4"/>
  <c r="L886" i="4"/>
  <c r="K886" i="4"/>
  <c r="J886" i="4"/>
  <c r="I886" i="4"/>
  <c r="H886" i="4"/>
  <c r="G886" i="4"/>
  <c r="F886" i="4"/>
  <c r="E886" i="4"/>
  <c r="D886" i="4"/>
  <c r="C886" i="4"/>
  <c r="B886" i="4"/>
  <c r="A886" i="4"/>
  <c r="R885" i="4"/>
  <c r="P885" i="4"/>
  <c r="N885" i="4"/>
  <c r="L885" i="4"/>
  <c r="K885" i="4"/>
  <c r="J885" i="4"/>
  <c r="I885" i="4"/>
  <c r="H885" i="4"/>
  <c r="G885" i="4"/>
  <c r="F885" i="4"/>
  <c r="E885" i="4"/>
  <c r="D885" i="4"/>
  <c r="C885" i="4"/>
  <c r="B885" i="4"/>
  <c r="A885" i="4"/>
  <c r="R884" i="4"/>
  <c r="P884" i="4"/>
  <c r="N884" i="4"/>
  <c r="L884" i="4"/>
  <c r="K884" i="4"/>
  <c r="J884" i="4"/>
  <c r="I884" i="4"/>
  <c r="H884" i="4"/>
  <c r="G884" i="4"/>
  <c r="F884" i="4"/>
  <c r="E884" i="4"/>
  <c r="D884" i="4"/>
  <c r="C884" i="4"/>
  <c r="B884" i="4"/>
  <c r="A884" i="4"/>
  <c r="R883" i="4"/>
  <c r="P883" i="4"/>
  <c r="N883" i="4"/>
  <c r="L883" i="4"/>
  <c r="K883" i="4"/>
  <c r="J883" i="4"/>
  <c r="I883" i="4"/>
  <c r="H883" i="4"/>
  <c r="G883" i="4"/>
  <c r="F883" i="4"/>
  <c r="E883" i="4"/>
  <c r="D883" i="4"/>
  <c r="C883" i="4"/>
  <c r="B883" i="4"/>
  <c r="A883" i="4"/>
  <c r="R882" i="4"/>
  <c r="P882" i="4"/>
  <c r="N882" i="4"/>
  <c r="L882" i="4"/>
  <c r="K882" i="4"/>
  <c r="J882" i="4"/>
  <c r="I882" i="4"/>
  <c r="H882" i="4"/>
  <c r="G882" i="4"/>
  <c r="F882" i="4"/>
  <c r="E882" i="4"/>
  <c r="D882" i="4"/>
  <c r="C882" i="4"/>
  <c r="B882" i="4"/>
  <c r="A882" i="4"/>
  <c r="R881" i="4"/>
  <c r="P881" i="4"/>
  <c r="N881" i="4"/>
  <c r="L881" i="4"/>
  <c r="K881" i="4"/>
  <c r="J881" i="4"/>
  <c r="I881" i="4"/>
  <c r="H881" i="4"/>
  <c r="G881" i="4"/>
  <c r="F881" i="4"/>
  <c r="E881" i="4"/>
  <c r="D881" i="4"/>
  <c r="C881" i="4"/>
  <c r="B881" i="4"/>
  <c r="A881" i="4"/>
  <c r="R880" i="4"/>
  <c r="P880" i="4"/>
  <c r="N880" i="4"/>
  <c r="L880" i="4"/>
  <c r="K880" i="4"/>
  <c r="J880" i="4"/>
  <c r="I880" i="4"/>
  <c r="H880" i="4"/>
  <c r="G880" i="4"/>
  <c r="F880" i="4"/>
  <c r="E880" i="4"/>
  <c r="D880" i="4"/>
  <c r="C880" i="4"/>
  <c r="B880" i="4"/>
  <c r="A880" i="4"/>
  <c r="R879" i="4"/>
  <c r="P879" i="4"/>
  <c r="N879" i="4"/>
  <c r="L879" i="4"/>
  <c r="K879" i="4"/>
  <c r="J879" i="4"/>
  <c r="I879" i="4"/>
  <c r="H879" i="4"/>
  <c r="G879" i="4"/>
  <c r="F879" i="4"/>
  <c r="E879" i="4"/>
  <c r="D879" i="4"/>
  <c r="C879" i="4"/>
  <c r="B879" i="4"/>
  <c r="A879" i="4"/>
  <c r="R878" i="4"/>
  <c r="P878" i="4"/>
  <c r="N878" i="4"/>
  <c r="L878" i="4"/>
  <c r="K878" i="4"/>
  <c r="J878" i="4"/>
  <c r="I878" i="4"/>
  <c r="H878" i="4"/>
  <c r="G878" i="4"/>
  <c r="F878" i="4"/>
  <c r="E878" i="4"/>
  <c r="D878" i="4"/>
  <c r="C878" i="4"/>
  <c r="B878" i="4"/>
  <c r="A878" i="4"/>
  <c r="R877" i="4"/>
  <c r="P877" i="4"/>
  <c r="N877" i="4"/>
  <c r="L877" i="4"/>
  <c r="K877" i="4"/>
  <c r="J877" i="4"/>
  <c r="I877" i="4"/>
  <c r="H877" i="4"/>
  <c r="G877" i="4"/>
  <c r="F877" i="4"/>
  <c r="E877" i="4"/>
  <c r="D877" i="4"/>
  <c r="C877" i="4"/>
  <c r="B877" i="4"/>
  <c r="A877" i="4"/>
  <c r="R876" i="4"/>
  <c r="P876" i="4"/>
  <c r="N876" i="4"/>
  <c r="L876" i="4"/>
  <c r="K876" i="4"/>
  <c r="J876" i="4"/>
  <c r="I876" i="4"/>
  <c r="H876" i="4"/>
  <c r="G876" i="4"/>
  <c r="F876" i="4"/>
  <c r="E876" i="4"/>
  <c r="D876" i="4"/>
  <c r="C876" i="4"/>
  <c r="B876" i="4"/>
  <c r="A876" i="4"/>
  <c r="R875" i="4"/>
  <c r="P875" i="4"/>
  <c r="N875" i="4"/>
  <c r="L875" i="4"/>
  <c r="K875" i="4"/>
  <c r="J875" i="4"/>
  <c r="I875" i="4"/>
  <c r="H875" i="4"/>
  <c r="G875" i="4"/>
  <c r="F875" i="4"/>
  <c r="E875" i="4"/>
  <c r="D875" i="4"/>
  <c r="C875" i="4"/>
  <c r="B875" i="4"/>
  <c r="A875" i="4"/>
  <c r="R874" i="4"/>
  <c r="P874" i="4"/>
  <c r="N874" i="4"/>
  <c r="L874" i="4"/>
  <c r="K874" i="4"/>
  <c r="J874" i="4"/>
  <c r="I874" i="4"/>
  <c r="H874" i="4"/>
  <c r="G874" i="4"/>
  <c r="F874" i="4"/>
  <c r="E874" i="4"/>
  <c r="D874" i="4"/>
  <c r="C874" i="4"/>
  <c r="B874" i="4"/>
  <c r="A874" i="4"/>
  <c r="R873" i="4"/>
  <c r="P873" i="4"/>
  <c r="N873" i="4"/>
  <c r="L873" i="4"/>
  <c r="K873" i="4"/>
  <c r="J873" i="4"/>
  <c r="I873" i="4"/>
  <c r="H873" i="4"/>
  <c r="G873" i="4"/>
  <c r="F873" i="4"/>
  <c r="E873" i="4"/>
  <c r="D873" i="4"/>
  <c r="C873" i="4"/>
  <c r="B873" i="4"/>
  <c r="A873" i="4"/>
  <c r="R872" i="4"/>
  <c r="P872" i="4"/>
  <c r="N872" i="4"/>
  <c r="L872" i="4"/>
  <c r="K872" i="4"/>
  <c r="J872" i="4"/>
  <c r="I872" i="4"/>
  <c r="H872" i="4"/>
  <c r="G872" i="4"/>
  <c r="F872" i="4"/>
  <c r="E872" i="4"/>
  <c r="D872" i="4"/>
  <c r="C872" i="4"/>
  <c r="B872" i="4"/>
  <c r="A872" i="4"/>
  <c r="R871" i="4"/>
  <c r="P871" i="4"/>
  <c r="N871" i="4"/>
  <c r="L871" i="4"/>
  <c r="K871" i="4"/>
  <c r="J871" i="4"/>
  <c r="I871" i="4"/>
  <c r="H871" i="4"/>
  <c r="G871" i="4"/>
  <c r="F871" i="4"/>
  <c r="E871" i="4"/>
  <c r="D871" i="4"/>
  <c r="C871" i="4"/>
  <c r="B871" i="4"/>
  <c r="A871" i="4"/>
  <c r="R870" i="4"/>
  <c r="P870" i="4"/>
  <c r="N870" i="4"/>
  <c r="L870" i="4"/>
  <c r="K870" i="4"/>
  <c r="J870" i="4"/>
  <c r="I870" i="4"/>
  <c r="H870" i="4"/>
  <c r="G870" i="4"/>
  <c r="F870" i="4"/>
  <c r="E870" i="4"/>
  <c r="D870" i="4"/>
  <c r="C870" i="4"/>
  <c r="B870" i="4"/>
  <c r="A870" i="4"/>
  <c r="R869" i="4"/>
  <c r="P869" i="4"/>
  <c r="N869" i="4"/>
  <c r="L869" i="4"/>
  <c r="K869" i="4"/>
  <c r="J869" i="4"/>
  <c r="I869" i="4"/>
  <c r="H869" i="4"/>
  <c r="G869" i="4"/>
  <c r="F869" i="4"/>
  <c r="E869" i="4"/>
  <c r="D869" i="4"/>
  <c r="C869" i="4"/>
  <c r="B869" i="4"/>
  <c r="A869" i="4"/>
  <c r="R868" i="4"/>
  <c r="P868" i="4"/>
  <c r="N868" i="4"/>
  <c r="L868" i="4"/>
  <c r="K868" i="4"/>
  <c r="J868" i="4"/>
  <c r="I868" i="4"/>
  <c r="H868" i="4"/>
  <c r="G868" i="4"/>
  <c r="F868" i="4"/>
  <c r="E868" i="4"/>
  <c r="D868" i="4"/>
  <c r="C868" i="4"/>
  <c r="B868" i="4"/>
  <c r="A868" i="4"/>
  <c r="R867" i="4"/>
  <c r="P867" i="4"/>
  <c r="N867" i="4"/>
  <c r="L867" i="4"/>
  <c r="K867" i="4"/>
  <c r="J867" i="4"/>
  <c r="I867" i="4"/>
  <c r="H867" i="4"/>
  <c r="G867" i="4"/>
  <c r="F867" i="4"/>
  <c r="E867" i="4"/>
  <c r="D867" i="4"/>
  <c r="C867" i="4"/>
  <c r="B867" i="4"/>
  <c r="A867" i="4"/>
  <c r="R866" i="4"/>
  <c r="P866" i="4"/>
  <c r="N866" i="4"/>
  <c r="L866" i="4"/>
  <c r="K866" i="4"/>
  <c r="J866" i="4"/>
  <c r="I866" i="4"/>
  <c r="H866" i="4"/>
  <c r="G866" i="4"/>
  <c r="F866" i="4"/>
  <c r="E866" i="4"/>
  <c r="D866" i="4"/>
  <c r="C866" i="4"/>
  <c r="B866" i="4"/>
  <c r="A866" i="4"/>
  <c r="R865" i="4"/>
  <c r="P865" i="4"/>
  <c r="N865" i="4"/>
  <c r="L865" i="4"/>
  <c r="K865" i="4"/>
  <c r="J865" i="4"/>
  <c r="I865" i="4"/>
  <c r="H865" i="4"/>
  <c r="G865" i="4"/>
  <c r="F865" i="4"/>
  <c r="E865" i="4"/>
  <c r="D865" i="4"/>
  <c r="C865" i="4"/>
  <c r="B865" i="4"/>
  <c r="A865" i="4"/>
  <c r="R864" i="4"/>
  <c r="P864" i="4"/>
  <c r="N864" i="4"/>
  <c r="L864" i="4"/>
  <c r="K864" i="4"/>
  <c r="J864" i="4"/>
  <c r="I864" i="4"/>
  <c r="H864" i="4"/>
  <c r="G864" i="4"/>
  <c r="F864" i="4"/>
  <c r="E864" i="4"/>
  <c r="D864" i="4"/>
  <c r="C864" i="4"/>
  <c r="B864" i="4"/>
  <c r="A864" i="4"/>
  <c r="R863" i="4"/>
  <c r="P863" i="4"/>
  <c r="N863" i="4"/>
  <c r="L863" i="4"/>
  <c r="K863" i="4"/>
  <c r="J863" i="4"/>
  <c r="I863" i="4"/>
  <c r="H863" i="4"/>
  <c r="G863" i="4"/>
  <c r="F863" i="4"/>
  <c r="E863" i="4"/>
  <c r="D863" i="4"/>
  <c r="C863" i="4"/>
  <c r="B863" i="4"/>
  <c r="A863" i="4"/>
  <c r="R862" i="4"/>
  <c r="P862" i="4"/>
  <c r="N862" i="4"/>
  <c r="L862" i="4"/>
  <c r="K862" i="4"/>
  <c r="J862" i="4"/>
  <c r="I862" i="4"/>
  <c r="H862" i="4"/>
  <c r="G862" i="4"/>
  <c r="F862" i="4"/>
  <c r="E862" i="4"/>
  <c r="D862" i="4"/>
  <c r="C862" i="4"/>
  <c r="B862" i="4"/>
  <c r="A862" i="4"/>
  <c r="R861" i="4"/>
  <c r="P861" i="4"/>
  <c r="N861" i="4"/>
  <c r="L861" i="4"/>
  <c r="K861" i="4"/>
  <c r="J861" i="4"/>
  <c r="I861" i="4"/>
  <c r="H861" i="4"/>
  <c r="G861" i="4"/>
  <c r="F861" i="4"/>
  <c r="E861" i="4"/>
  <c r="D861" i="4"/>
  <c r="C861" i="4"/>
  <c r="B861" i="4"/>
  <c r="A861" i="4"/>
  <c r="R860" i="4"/>
  <c r="P860" i="4"/>
  <c r="N860" i="4"/>
  <c r="L860" i="4"/>
  <c r="K860" i="4"/>
  <c r="J860" i="4"/>
  <c r="I860" i="4"/>
  <c r="H860" i="4"/>
  <c r="G860" i="4"/>
  <c r="F860" i="4"/>
  <c r="E860" i="4"/>
  <c r="D860" i="4"/>
  <c r="C860" i="4"/>
  <c r="B860" i="4"/>
  <c r="A860" i="4"/>
  <c r="R859" i="4"/>
  <c r="P859" i="4"/>
  <c r="N859" i="4"/>
  <c r="L859" i="4"/>
  <c r="K859" i="4"/>
  <c r="J859" i="4"/>
  <c r="I859" i="4"/>
  <c r="H859" i="4"/>
  <c r="G859" i="4"/>
  <c r="F859" i="4"/>
  <c r="E859" i="4"/>
  <c r="D859" i="4"/>
  <c r="C859" i="4"/>
  <c r="B859" i="4"/>
  <c r="A859" i="4"/>
  <c r="R858" i="4"/>
  <c r="P858" i="4"/>
  <c r="N858" i="4"/>
  <c r="L858" i="4"/>
  <c r="K858" i="4"/>
  <c r="J858" i="4"/>
  <c r="I858" i="4"/>
  <c r="H858" i="4"/>
  <c r="G858" i="4"/>
  <c r="F858" i="4"/>
  <c r="E858" i="4"/>
  <c r="D858" i="4"/>
  <c r="C858" i="4"/>
  <c r="B858" i="4"/>
  <c r="A858" i="4"/>
  <c r="R857" i="4"/>
  <c r="P857" i="4"/>
  <c r="N857" i="4"/>
  <c r="L857" i="4"/>
  <c r="K857" i="4"/>
  <c r="J857" i="4"/>
  <c r="I857" i="4"/>
  <c r="H857" i="4"/>
  <c r="G857" i="4"/>
  <c r="F857" i="4"/>
  <c r="E857" i="4"/>
  <c r="D857" i="4"/>
  <c r="C857" i="4"/>
  <c r="B857" i="4"/>
  <c r="A857" i="4"/>
  <c r="R856" i="4"/>
  <c r="P856" i="4"/>
  <c r="N856" i="4"/>
  <c r="L856" i="4"/>
  <c r="K856" i="4"/>
  <c r="J856" i="4"/>
  <c r="I856" i="4"/>
  <c r="H856" i="4"/>
  <c r="G856" i="4"/>
  <c r="F856" i="4"/>
  <c r="E856" i="4"/>
  <c r="D856" i="4"/>
  <c r="C856" i="4"/>
  <c r="B856" i="4"/>
  <c r="A856" i="4"/>
  <c r="R855" i="4"/>
  <c r="P855" i="4"/>
  <c r="N855" i="4"/>
  <c r="L855" i="4"/>
  <c r="K855" i="4"/>
  <c r="J855" i="4"/>
  <c r="I855" i="4"/>
  <c r="H855" i="4"/>
  <c r="G855" i="4"/>
  <c r="F855" i="4"/>
  <c r="E855" i="4"/>
  <c r="D855" i="4"/>
  <c r="C855" i="4"/>
  <c r="B855" i="4"/>
  <c r="A855" i="4"/>
  <c r="R854" i="4"/>
  <c r="P854" i="4"/>
  <c r="N854" i="4"/>
  <c r="L854" i="4"/>
  <c r="K854" i="4"/>
  <c r="J854" i="4"/>
  <c r="I854" i="4"/>
  <c r="H854" i="4"/>
  <c r="G854" i="4"/>
  <c r="F854" i="4"/>
  <c r="E854" i="4"/>
  <c r="D854" i="4"/>
  <c r="C854" i="4"/>
  <c r="B854" i="4"/>
  <c r="A854" i="4"/>
  <c r="R853" i="4"/>
  <c r="P853" i="4"/>
  <c r="N853" i="4"/>
  <c r="L853" i="4"/>
  <c r="K853" i="4"/>
  <c r="J853" i="4"/>
  <c r="I853" i="4"/>
  <c r="H853" i="4"/>
  <c r="G853" i="4"/>
  <c r="F853" i="4"/>
  <c r="E853" i="4"/>
  <c r="D853" i="4"/>
  <c r="C853" i="4"/>
  <c r="B853" i="4"/>
  <c r="A853" i="4"/>
  <c r="R852" i="4"/>
  <c r="P852" i="4"/>
  <c r="N852" i="4"/>
  <c r="L852" i="4"/>
  <c r="K852" i="4"/>
  <c r="J852" i="4"/>
  <c r="I852" i="4"/>
  <c r="H852" i="4"/>
  <c r="G852" i="4"/>
  <c r="F852" i="4"/>
  <c r="E852" i="4"/>
  <c r="D852" i="4"/>
  <c r="C852" i="4"/>
  <c r="B852" i="4"/>
  <c r="A852" i="4"/>
  <c r="R851" i="4"/>
  <c r="P851" i="4"/>
  <c r="N851" i="4"/>
  <c r="L851" i="4"/>
  <c r="K851" i="4"/>
  <c r="J851" i="4"/>
  <c r="I851" i="4"/>
  <c r="H851" i="4"/>
  <c r="G851" i="4"/>
  <c r="F851" i="4"/>
  <c r="E851" i="4"/>
  <c r="D851" i="4"/>
  <c r="C851" i="4"/>
  <c r="B851" i="4"/>
  <c r="A851" i="4"/>
  <c r="R850" i="4"/>
  <c r="P850" i="4"/>
  <c r="N850" i="4"/>
  <c r="L850" i="4"/>
  <c r="K850" i="4"/>
  <c r="J850" i="4"/>
  <c r="I850" i="4"/>
  <c r="H850" i="4"/>
  <c r="G850" i="4"/>
  <c r="F850" i="4"/>
  <c r="E850" i="4"/>
  <c r="D850" i="4"/>
  <c r="C850" i="4"/>
  <c r="B850" i="4"/>
  <c r="A850" i="4"/>
  <c r="R849" i="4"/>
  <c r="P849" i="4"/>
  <c r="N849" i="4"/>
  <c r="L849" i="4"/>
  <c r="K849" i="4"/>
  <c r="J849" i="4"/>
  <c r="I849" i="4"/>
  <c r="H849" i="4"/>
  <c r="G849" i="4"/>
  <c r="F849" i="4"/>
  <c r="E849" i="4"/>
  <c r="D849" i="4"/>
  <c r="C849" i="4"/>
  <c r="B849" i="4"/>
  <c r="A849" i="4"/>
  <c r="R848" i="4"/>
  <c r="P848" i="4"/>
  <c r="N848" i="4"/>
  <c r="L848" i="4"/>
  <c r="K848" i="4"/>
  <c r="J848" i="4"/>
  <c r="I848" i="4"/>
  <c r="H848" i="4"/>
  <c r="G848" i="4"/>
  <c r="F848" i="4"/>
  <c r="E848" i="4"/>
  <c r="D848" i="4"/>
  <c r="C848" i="4"/>
  <c r="B848" i="4"/>
  <c r="A848" i="4"/>
  <c r="R847" i="4"/>
  <c r="P847" i="4"/>
  <c r="N847" i="4"/>
  <c r="L847" i="4"/>
  <c r="K847" i="4"/>
  <c r="J847" i="4"/>
  <c r="I847" i="4"/>
  <c r="H847" i="4"/>
  <c r="G847" i="4"/>
  <c r="F847" i="4"/>
  <c r="E847" i="4"/>
  <c r="D847" i="4"/>
  <c r="C847" i="4"/>
  <c r="B847" i="4"/>
  <c r="A847" i="4"/>
  <c r="R846" i="4"/>
  <c r="P846" i="4"/>
  <c r="N846" i="4"/>
  <c r="L846" i="4"/>
  <c r="K846" i="4"/>
  <c r="J846" i="4"/>
  <c r="I846" i="4"/>
  <c r="H846" i="4"/>
  <c r="G846" i="4"/>
  <c r="F846" i="4"/>
  <c r="E846" i="4"/>
  <c r="D846" i="4"/>
  <c r="C846" i="4"/>
  <c r="B846" i="4"/>
  <c r="A846" i="4"/>
  <c r="R845" i="4"/>
  <c r="P845" i="4"/>
  <c r="N845" i="4"/>
  <c r="L845" i="4"/>
  <c r="K845" i="4"/>
  <c r="J845" i="4"/>
  <c r="I845" i="4"/>
  <c r="H845" i="4"/>
  <c r="G845" i="4"/>
  <c r="F845" i="4"/>
  <c r="E845" i="4"/>
  <c r="D845" i="4"/>
  <c r="C845" i="4"/>
  <c r="B845" i="4"/>
  <c r="A845" i="4"/>
  <c r="R844" i="4"/>
  <c r="P844" i="4"/>
  <c r="N844" i="4"/>
  <c r="L844" i="4"/>
  <c r="K844" i="4"/>
  <c r="J844" i="4"/>
  <c r="I844" i="4"/>
  <c r="H844" i="4"/>
  <c r="G844" i="4"/>
  <c r="F844" i="4"/>
  <c r="E844" i="4"/>
  <c r="D844" i="4"/>
  <c r="C844" i="4"/>
  <c r="B844" i="4"/>
  <c r="A844" i="4"/>
  <c r="R843" i="4"/>
  <c r="P843" i="4"/>
  <c r="N843" i="4"/>
  <c r="L843" i="4"/>
  <c r="K843" i="4"/>
  <c r="J843" i="4"/>
  <c r="I843" i="4"/>
  <c r="H843" i="4"/>
  <c r="G843" i="4"/>
  <c r="F843" i="4"/>
  <c r="E843" i="4"/>
  <c r="D843" i="4"/>
  <c r="C843" i="4"/>
  <c r="B843" i="4"/>
  <c r="A843" i="4"/>
  <c r="R842" i="4"/>
  <c r="P842" i="4"/>
  <c r="N842" i="4"/>
  <c r="L842" i="4"/>
  <c r="K842" i="4"/>
  <c r="J842" i="4"/>
  <c r="I842" i="4"/>
  <c r="H842" i="4"/>
  <c r="G842" i="4"/>
  <c r="F842" i="4"/>
  <c r="E842" i="4"/>
  <c r="D842" i="4"/>
  <c r="C842" i="4"/>
  <c r="B842" i="4"/>
  <c r="A842" i="4"/>
  <c r="R841" i="4"/>
  <c r="P841" i="4"/>
  <c r="N841" i="4"/>
  <c r="L841" i="4"/>
  <c r="K841" i="4"/>
  <c r="J841" i="4"/>
  <c r="I841" i="4"/>
  <c r="H841" i="4"/>
  <c r="G841" i="4"/>
  <c r="F841" i="4"/>
  <c r="E841" i="4"/>
  <c r="D841" i="4"/>
  <c r="C841" i="4"/>
  <c r="B841" i="4"/>
  <c r="A841" i="4"/>
  <c r="R840" i="4"/>
  <c r="P840" i="4"/>
  <c r="N840" i="4"/>
  <c r="L840" i="4"/>
  <c r="K840" i="4"/>
  <c r="J840" i="4"/>
  <c r="I840" i="4"/>
  <c r="H840" i="4"/>
  <c r="G840" i="4"/>
  <c r="F840" i="4"/>
  <c r="E840" i="4"/>
  <c r="D840" i="4"/>
  <c r="C840" i="4"/>
  <c r="B840" i="4"/>
  <c r="A840" i="4"/>
  <c r="R839" i="4"/>
  <c r="P839" i="4"/>
  <c r="N839" i="4"/>
  <c r="L839" i="4"/>
  <c r="K839" i="4"/>
  <c r="J839" i="4"/>
  <c r="I839" i="4"/>
  <c r="H839" i="4"/>
  <c r="G839" i="4"/>
  <c r="F839" i="4"/>
  <c r="E839" i="4"/>
  <c r="D839" i="4"/>
  <c r="C839" i="4"/>
  <c r="B839" i="4"/>
  <c r="A839" i="4"/>
  <c r="R838" i="4"/>
  <c r="P838" i="4"/>
  <c r="N838" i="4"/>
  <c r="L838" i="4"/>
  <c r="K838" i="4"/>
  <c r="J838" i="4"/>
  <c r="I838" i="4"/>
  <c r="H838" i="4"/>
  <c r="G838" i="4"/>
  <c r="F838" i="4"/>
  <c r="E838" i="4"/>
  <c r="D838" i="4"/>
  <c r="C838" i="4"/>
  <c r="B838" i="4"/>
  <c r="A838" i="4"/>
  <c r="R837" i="4"/>
  <c r="P837" i="4"/>
  <c r="N837" i="4"/>
  <c r="L837" i="4"/>
  <c r="K837" i="4"/>
  <c r="J837" i="4"/>
  <c r="I837" i="4"/>
  <c r="H837" i="4"/>
  <c r="G837" i="4"/>
  <c r="F837" i="4"/>
  <c r="E837" i="4"/>
  <c r="D837" i="4"/>
  <c r="C837" i="4"/>
  <c r="B837" i="4"/>
  <c r="A837" i="4"/>
  <c r="R836" i="4"/>
  <c r="P836" i="4"/>
  <c r="N836" i="4"/>
  <c r="L836" i="4"/>
  <c r="K836" i="4"/>
  <c r="J836" i="4"/>
  <c r="I836" i="4"/>
  <c r="H836" i="4"/>
  <c r="G836" i="4"/>
  <c r="F836" i="4"/>
  <c r="E836" i="4"/>
  <c r="D836" i="4"/>
  <c r="C836" i="4"/>
  <c r="B836" i="4"/>
  <c r="A836" i="4"/>
  <c r="R835" i="4"/>
  <c r="P835" i="4"/>
  <c r="N835" i="4"/>
  <c r="L835" i="4"/>
  <c r="K835" i="4"/>
  <c r="J835" i="4"/>
  <c r="I835" i="4"/>
  <c r="H835" i="4"/>
  <c r="G835" i="4"/>
  <c r="F835" i="4"/>
  <c r="E835" i="4"/>
  <c r="D835" i="4"/>
  <c r="C835" i="4"/>
  <c r="B835" i="4"/>
  <c r="A835" i="4"/>
  <c r="R834" i="4"/>
  <c r="P834" i="4"/>
  <c r="N834" i="4"/>
  <c r="L834" i="4"/>
  <c r="K834" i="4"/>
  <c r="J834" i="4"/>
  <c r="I834" i="4"/>
  <c r="H834" i="4"/>
  <c r="G834" i="4"/>
  <c r="F834" i="4"/>
  <c r="E834" i="4"/>
  <c r="D834" i="4"/>
  <c r="C834" i="4"/>
  <c r="B834" i="4"/>
  <c r="A834" i="4"/>
  <c r="R833" i="4"/>
  <c r="P833" i="4"/>
  <c r="N833" i="4"/>
  <c r="L833" i="4"/>
  <c r="K833" i="4"/>
  <c r="J833" i="4"/>
  <c r="I833" i="4"/>
  <c r="H833" i="4"/>
  <c r="G833" i="4"/>
  <c r="F833" i="4"/>
  <c r="E833" i="4"/>
  <c r="D833" i="4"/>
  <c r="C833" i="4"/>
  <c r="B833" i="4"/>
  <c r="A833" i="4"/>
  <c r="R832" i="4"/>
  <c r="P832" i="4"/>
  <c r="N832" i="4"/>
  <c r="L832" i="4"/>
  <c r="K832" i="4"/>
  <c r="J832" i="4"/>
  <c r="I832" i="4"/>
  <c r="H832" i="4"/>
  <c r="G832" i="4"/>
  <c r="F832" i="4"/>
  <c r="E832" i="4"/>
  <c r="D832" i="4"/>
  <c r="C832" i="4"/>
  <c r="B832" i="4"/>
  <c r="A832" i="4"/>
  <c r="R831" i="4"/>
  <c r="P831" i="4"/>
  <c r="N831" i="4"/>
  <c r="L831" i="4"/>
  <c r="K831" i="4"/>
  <c r="J831" i="4"/>
  <c r="I831" i="4"/>
  <c r="H831" i="4"/>
  <c r="G831" i="4"/>
  <c r="F831" i="4"/>
  <c r="E831" i="4"/>
  <c r="D831" i="4"/>
  <c r="C831" i="4"/>
  <c r="B831" i="4"/>
  <c r="A831" i="4"/>
  <c r="R830" i="4"/>
  <c r="P830" i="4"/>
  <c r="N830" i="4"/>
  <c r="L830" i="4"/>
  <c r="K830" i="4"/>
  <c r="J830" i="4"/>
  <c r="I830" i="4"/>
  <c r="H830" i="4"/>
  <c r="G830" i="4"/>
  <c r="F830" i="4"/>
  <c r="E830" i="4"/>
  <c r="D830" i="4"/>
  <c r="C830" i="4"/>
  <c r="B830" i="4"/>
  <c r="A830" i="4"/>
  <c r="R829" i="4"/>
  <c r="P829" i="4"/>
  <c r="N829" i="4"/>
  <c r="L829" i="4"/>
  <c r="K829" i="4"/>
  <c r="J829" i="4"/>
  <c r="I829" i="4"/>
  <c r="H829" i="4"/>
  <c r="G829" i="4"/>
  <c r="F829" i="4"/>
  <c r="E829" i="4"/>
  <c r="D829" i="4"/>
  <c r="C829" i="4"/>
  <c r="B829" i="4"/>
  <c r="A829" i="4"/>
  <c r="R828" i="4"/>
  <c r="P828" i="4"/>
  <c r="N828" i="4"/>
  <c r="L828" i="4"/>
  <c r="K828" i="4"/>
  <c r="J828" i="4"/>
  <c r="I828" i="4"/>
  <c r="H828" i="4"/>
  <c r="G828" i="4"/>
  <c r="F828" i="4"/>
  <c r="E828" i="4"/>
  <c r="D828" i="4"/>
  <c r="C828" i="4"/>
  <c r="B828" i="4"/>
  <c r="A828" i="4"/>
  <c r="R827" i="4"/>
  <c r="P827" i="4"/>
  <c r="N827" i="4"/>
  <c r="L827" i="4"/>
  <c r="K827" i="4"/>
  <c r="J827" i="4"/>
  <c r="I827" i="4"/>
  <c r="H827" i="4"/>
  <c r="G827" i="4"/>
  <c r="F827" i="4"/>
  <c r="E827" i="4"/>
  <c r="D827" i="4"/>
  <c r="C827" i="4"/>
  <c r="B827" i="4"/>
  <c r="A827" i="4"/>
  <c r="R826" i="4"/>
  <c r="P826" i="4"/>
  <c r="N826" i="4"/>
  <c r="L826" i="4"/>
  <c r="K826" i="4"/>
  <c r="J826" i="4"/>
  <c r="I826" i="4"/>
  <c r="H826" i="4"/>
  <c r="G826" i="4"/>
  <c r="F826" i="4"/>
  <c r="E826" i="4"/>
  <c r="D826" i="4"/>
  <c r="C826" i="4"/>
  <c r="B826" i="4"/>
  <c r="A826" i="4"/>
  <c r="R825" i="4"/>
  <c r="P825" i="4"/>
  <c r="N825" i="4"/>
  <c r="L825" i="4"/>
  <c r="K825" i="4"/>
  <c r="J825" i="4"/>
  <c r="I825" i="4"/>
  <c r="H825" i="4"/>
  <c r="G825" i="4"/>
  <c r="F825" i="4"/>
  <c r="E825" i="4"/>
  <c r="D825" i="4"/>
  <c r="C825" i="4"/>
  <c r="B825" i="4"/>
  <c r="A825" i="4"/>
  <c r="R824" i="4"/>
  <c r="P824" i="4"/>
  <c r="N824" i="4"/>
  <c r="L824" i="4"/>
  <c r="K824" i="4"/>
  <c r="J824" i="4"/>
  <c r="I824" i="4"/>
  <c r="H824" i="4"/>
  <c r="G824" i="4"/>
  <c r="F824" i="4"/>
  <c r="E824" i="4"/>
  <c r="D824" i="4"/>
  <c r="C824" i="4"/>
  <c r="B824" i="4"/>
  <c r="A824" i="4"/>
  <c r="R823" i="4"/>
  <c r="P823" i="4"/>
  <c r="N823" i="4"/>
  <c r="L823" i="4"/>
  <c r="K823" i="4"/>
  <c r="J823" i="4"/>
  <c r="I823" i="4"/>
  <c r="H823" i="4"/>
  <c r="G823" i="4"/>
  <c r="F823" i="4"/>
  <c r="E823" i="4"/>
  <c r="D823" i="4"/>
  <c r="C823" i="4"/>
  <c r="B823" i="4"/>
  <c r="A823" i="4"/>
  <c r="R822" i="4"/>
  <c r="P822" i="4"/>
  <c r="N822" i="4"/>
  <c r="L822" i="4"/>
  <c r="K822" i="4"/>
  <c r="J822" i="4"/>
  <c r="I822" i="4"/>
  <c r="H822" i="4"/>
  <c r="G822" i="4"/>
  <c r="F822" i="4"/>
  <c r="E822" i="4"/>
  <c r="D822" i="4"/>
  <c r="C822" i="4"/>
  <c r="B822" i="4"/>
  <c r="A822" i="4"/>
  <c r="R821" i="4"/>
  <c r="P821" i="4"/>
  <c r="N821" i="4"/>
  <c r="L821" i="4"/>
  <c r="K821" i="4"/>
  <c r="J821" i="4"/>
  <c r="I821" i="4"/>
  <c r="H821" i="4"/>
  <c r="G821" i="4"/>
  <c r="F821" i="4"/>
  <c r="E821" i="4"/>
  <c r="D821" i="4"/>
  <c r="C821" i="4"/>
  <c r="B821" i="4"/>
  <c r="A821" i="4"/>
  <c r="R820" i="4"/>
  <c r="P820" i="4"/>
  <c r="N820" i="4"/>
  <c r="L820" i="4"/>
  <c r="K820" i="4"/>
  <c r="J820" i="4"/>
  <c r="I820" i="4"/>
  <c r="H820" i="4"/>
  <c r="G820" i="4"/>
  <c r="F820" i="4"/>
  <c r="E820" i="4"/>
  <c r="D820" i="4"/>
  <c r="C820" i="4"/>
  <c r="B820" i="4"/>
  <c r="A820" i="4"/>
  <c r="R819" i="4"/>
  <c r="P819" i="4"/>
  <c r="N819" i="4"/>
  <c r="L819" i="4"/>
  <c r="K819" i="4"/>
  <c r="J819" i="4"/>
  <c r="I819" i="4"/>
  <c r="H819" i="4"/>
  <c r="G819" i="4"/>
  <c r="F819" i="4"/>
  <c r="E819" i="4"/>
  <c r="D819" i="4"/>
  <c r="C819" i="4"/>
  <c r="B819" i="4"/>
  <c r="A819" i="4"/>
  <c r="R818" i="4"/>
  <c r="P818" i="4"/>
  <c r="N818" i="4"/>
  <c r="L818" i="4"/>
  <c r="K818" i="4"/>
  <c r="J818" i="4"/>
  <c r="I818" i="4"/>
  <c r="H818" i="4"/>
  <c r="G818" i="4"/>
  <c r="F818" i="4"/>
  <c r="E818" i="4"/>
  <c r="D818" i="4"/>
  <c r="C818" i="4"/>
  <c r="B818" i="4"/>
  <c r="A818" i="4"/>
  <c r="R817" i="4"/>
  <c r="P817" i="4"/>
  <c r="N817" i="4"/>
  <c r="L817" i="4"/>
  <c r="K817" i="4"/>
  <c r="J817" i="4"/>
  <c r="I817" i="4"/>
  <c r="H817" i="4"/>
  <c r="G817" i="4"/>
  <c r="F817" i="4"/>
  <c r="E817" i="4"/>
  <c r="D817" i="4"/>
  <c r="C817" i="4"/>
  <c r="B817" i="4"/>
  <c r="A817" i="4"/>
  <c r="R816" i="4"/>
  <c r="P816" i="4"/>
  <c r="N816" i="4"/>
  <c r="L816" i="4"/>
  <c r="K816" i="4"/>
  <c r="J816" i="4"/>
  <c r="I816" i="4"/>
  <c r="H816" i="4"/>
  <c r="G816" i="4"/>
  <c r="F816" i="4"/>
  <c r="E816" i="4"/>
  <c r="D816" i="4"/>
  <c r="C816" i="4"/>
  <c r="B816" i="4"/>
  <c r="A816" i="4"/>
  <c r="R815" i="4"/>
  <c r="P815" i="4"/>
  <c r="N815" i="4"/>
  <c r="L815" i="4"/>
  <c r="K815" i="4"/>
  <c r="J815" i="4"/>
  <c r="I815" i="4"/>
  <c r="H815" i="4"/>
  <c r="G815" i="4"/>
  <c r="F815" i="4"/>
  <c r="E815" i="4"/>
  <c r="D815" i="4"/>
  <c r="C815" i="4"/>
  <c r="B815" i="4"/>
  <c r="A815" i="4"/>
  <c r="R814" i="4"/>
  <c r="P814" i="4"/>
  <c r="N814" i="4"/>
  <c r="L814" i="4"/>
  <c r="K814" i="4"/>
  <c r="J814" i="4"/>
  <c r="I814" i="4"/>
  <c r="H814" i="4"/>
  <c r="G814" i="4"/>
  <c r="F814" i="4"/>
  <c r="E814" i="4"/>
  <c r="D814" i="4"/>
  <c r="C814" i="4"/>
  <c r="B814" i="4"/>
  <c r="A814" i="4"/>
  <c r="R813" i="4"/>
  <c r="P813" i="4"/>
  <c r="N813" i="4"/>
  <c r="L813" i="4"/>
  <c r="K813" i="4"/>
  <c r="J813" i="4"/>
  <c r="I813" i="4"/>
  <c r="H813" i="4"/>
  <c r="G813" i="4"/>
  <c r="F813" i="4"/>
  <c r="E813" i="4"/>
  <c r="D813" i="4"/>
  <c r="C813" i="4"/>
  <c r="B813" i="4"/>
  <c r="A813" i="4"/>
  <c r="R812" i="4"/>
  <c r="P812" i="4"/>
  <c r="N812" i="4"/>
  <c r="L812" i="4"/>
  <c r="K812" i="4"/>
  <c r="J812" i="4"/>
  <c r="I812" i="4"/>
  <c r="H812" i="4"/>
  <c r="G812" i="4"/>
  <c r="F812" i="4"/>
  <c r="E812" i="4"/>
  <c r="D812" i="4"/>
  <c r="C812" i="4"/>
  <c r="B812" i="4"/>
  <c r="A812" i="4"/>
  <c r="R811" i="4"/>
  <c r="P811" i="4"/>
  <c r="N811" i="4"/>
  <c r="L811" i="4"/>
  <c r="K811" i="4"/>
  <c r="J811" i="4"/>
  <c r="I811" i="4"/>
  <c r="H811" i="4"/>
  <c r="G811" i="4"/>
  <c r="F811" i="4"/>
  <c r="E811" i="4"/>
  <c r="D811" i="4"/>
  <c r="C811" i="4"/>
  <c r="B811" i="4"/>
  <c r="A811" i="4"/>
  <c r="R810" i="4"/>
  <c r="P810" i="4"/>
  <c r="N810" i="4"/>
  <c r="L810" i="4"/>
  <c r="K810" i="4"/>
  <c r="J810" i="4"/>
  <c r="I810" i="4"/>
  <c r="H810" i="4"/>
  <c r="G810" i="4"/>
  <c r="F810" i="4"/>
  <c r="E810" i="4"/>
  <c r="D810" i="4"/>
  <c r="C810" i="4"/>
  <c r="B810" i="4"/>
  <c r="A810" i="4"/>
  <c r="R809" i="4"/>
  <c r="P809" i="4"/>
  <c r="N809" i="4"/>
  <c r="L809" i="4"/>
  <c r="K809" i="4"/>
  <c r="J809" i="4"/>
  <c r="I809" i="4"/>
  <c r="H809" i="4"/>
  <c r="G809" i="4"/>
  <c r="F809" i="4"/>
  <c r="E809" i="4"/>
  <c r="D809" i="4"/>
  <c r="C809" i="4"/>
  <c r="B809" i="4"/>
  <c r="A809" i="4"/>
  <c r="R808" i="4"/>
  <c r="P808" i="4"/>
  <c r="N808" i="4"/>
  <c r="L808" i="4"/>
  <c r="K808" i="4"/>
  <c r="J808" i="4"/>
  <c r="I808" i="4"/>
  <c r="H808" i="4"/>
  <c r="G808" i="4"/>
  <c r="F808" i="4"/>
  <c r="E808" i="4"/>
  <c r="D808" i="4"/>
  <c r="C808" i="4"/>
  <c r="B808" i="4"/>
  <c r="A808" i="4"/>
  <c r="R807" i="4"/>
  <c r="P807" i="4"/>
  <c r="N807" i="4"/>
  <c r="L807" i="4"/>
  <c r="K807" i="4"/>
  <c r="J807" i="4"/>
  <c r="I807" i="4"/>
  <c r="H807" i="4"/>
  <c r="G807" i="4"/>
  <c r="F807" i="4"/>
  <c r="E807" i="4"/>
  <c r="D807" i="4"/>
  <c r="C807" i="4"/>
  <c r="B807" i="4"/>
  <c r="A807" i="4"/>
  <c r="R806" i="4"/>
  <c r="P806" i="4"/>
  <c r="N806" i="4"/>
  <c r="L806" i="4"/>
  <c r="K806" i="4"/>
  <c r="J806" i="4"/>
  <c r="I806" i="4"/>
  <c r="H806" i="4"/>
  <c r="G806" i="4"/>
  <c r="F806" i="4"/>
  <c r="E806" i="4"/>
  <c r="D806" i="4"/>
  <c r="C806" i="4"/>
  <c r="B806" i="4"/>
  <c r="A806" i="4"/>
  <c r="R805" i="4"/>
  <c r="P805" i="4"/>
  <c r="N805" i="4"/>
  <c r="L805" i="4"/>
  <c r="K805" i="4"/>
  <c r="J805" i="4"/>
  <c r="I805" i="4"/>
  <c r="H805" i="4"/>
  <c r="G805" i="4"/>
  <c r="F805" i="4"/>
  <c r="E805" i="4"/>
  <c r="D805" i="4"/>
  <c r="C805" i="4"/>
  <c r="B805" i="4"/>
  <c r="A805" i="4"/>
  <c r="R804" i="4"/>
  <c r="P804" i="4"/>
  <c r="N804" i="4"/>
  <c r="L804" i="4"/>
  <c r="K804" i="4"/>
  <c r="J804" i="4"/>
  <c r="I804" i="4"/>
  <c r="H804" i="4"/>
  <c r="G804" i="4"/>
  <c r="F804" i="4"/>
  <c r="E804" i="4"/>
  <c r="D804" i="4"/>
  <c r="C804" i="4"/>
  <c r="B804" i="4"/>
  <c r="A804" i="4"/>
  <c r="R803" i="4"/>
  <c r="P803" i="4"/>
  <c r="N803" i="4"/>
  <c r="L803" i="4"/>
  <c r="K803" i="4"/>
  <c r="J803" i="4"/>
  <c r="I803" i="4"/>
  <c r="H803" i="4"/>
  <c r="G803" i="4"/>
  <c r="F803" i="4"/>
  <c r="E803" i="4"/>
  <c r="D803" i="4"/>
  <c r="C803" i="4"/>
  <c r="B803" i="4"/>
  <c r="A803" i="4"/>
  <c r="R802" i="4"/>
  <c r="P802" i="4"/>
  <c r="N802" i="4"/>
  <c r="L802" i="4"/>
  <c r="K802" i="4"/>
  <c r="J802" i="4"/>
  <c r="I802" i="4"/>
  <c r="H802" i="4"/>
  <c r="G802" i="4"/>
  <c r="F802" i="4"/>
  <c r="E802" i="4"/>
  <c r="D802" i="4"/>
  <c r="C802" i="4"/>
  <c r="B802" i="4"/>
  <c r="A802" i="4"/>
  <c r="R801" i="4"/>
  <c r="P801" i="4"/>
  <c r="N801" i="4"/>
  <c r="L801" i="4"/>
  <c r="K801" i="4"/>
  <c r="J801" i="4"/>
  <c r="I801" i="4"/>
  <c r="H801" i="4"/>
  <c r="G801" i="4"/>
  <c r="F801" i="4"/>
  <c r="E801" i="4"/>
  <c r="D801" i="4"/>
  <c r="C801" i="4"/>
  <c r="B801" i="4"/>
  <c r="A801" i="4"/>
  <c r="R800" i="4"/>
  <c r="P800" i="4"/>
  <c r="N800" i="4"/>
  <c r="L800" i="4"/>
  <c r="K800" i="4"/>
  <c r="J800" i="4"/>
  <c r="I800" i="4"/>
  <c r="H800" i="4"/>
  <c r="G800" i="4"/>
  <c r="F800" i="4"/>
  <c r="E800" i="4"/>
  <c r="D800" i="4"/>
  <c r="C800" i="4"/>
  <c r="B800" i="4"/>
  <c r="A800" i="4"/>
  <c r="R799" i="4"/>
  <c r="P799" i="4"/>
  <c r="N799" i="4"/>
  <c r="L799" i="4"/>
  <c r="K799" i="4"/>
  <c r="J799" i="4"/>
  <c r="I799" i="4"/>
  <c r="H799" i="4"/>
  <c r="G799" i="4"/>
  <c r="F799" i="4"/>
  <c r="E799" i="4"/>
  <c r="D799" i="4"/>
  <c r="C799" i="4"/>
  <c r="B799" i="4"/>
  <c r="A799" i="4"/>
  <c r="R798" i="4"/>
  <c r="P798" i="4"/>
  <c r="N798" i="4"/>
  <c r="L798" i="4"/>
  <c r="K798" i="4"/>
  <c r="J798" i="4"/>
  <c r="I798" i="4"/>
  <c r="H798" i="4"/>
  <c r="G798" i="4"/>
  <c r="F798" i="4"/>
  <c r="E798" i="4"/>
  <c r="D798" i="4"/>
  <c r="C798" i="4"/>
  <c r="B798" i="4"/>
  <c r="A798" i="4"/>
  <c r="R797" i="4"/>
  <c r="P797" i="4"/>
  <c r="N797" i="4"/>
  <c r="L797" i="4"/>
  <c r="K797" i="4"/>
  <c r="J797" i="4"/>
  <c r="I797" i="4"/>
  <c r="H797" i="4"/>
  <c r="G797" i="4"/>
  <c r="F797" i="4"/>
  <c r="E797" i="4"/>
  <c r="D797" i="4"/>
  <c r="C797" i="4"/>
  <c r="B797" i="4"/>
  <c r="A797" i="4"/>
  <c r="R796" i="4"/>
  <c r="P796" i="4"/>
  <c r="N796" i="4"/>
  <c r="L796" i="4"/>
  <c r="K796" i="4"/>
  <c r="J796" i="4"/>
  <c r="I796" i="4"/>
  <c r="H796" i="4"/>
  <c r="G796" i="4"/>
  <c r="F796" i="4"/>
  <c r="E796" i="4"/>
  <c r="D796" i="4"/>
  <c r="C796" i="4"/>
  <c r="B796" i="4"/>
  <c r="A796" i="4"/>
  <c r="R795" i="4"/>
  <c r="P795" i="4"/>
  <c r="N795" i="4"/>
  <c r="L795" i="4"/>
  <c r="K795" i="4"/>
  <c r="J795" i="4"/>
  <c r="I795" i="4"/>
  <c r="H795" i="4"/>
  <c r="G795" i="4"/>
  <c r="F795" i="4"/>
  <c r="E795" i="4"/>
  <c r="D795" i="4"/>
  <c r="C795" i="4"/>
  <c r="B795" i="4"/>
  <c r="A795" i="4"/>
  <c r="R794" i="4"/>
  <c r="P794" i="4"/>
  <c r="N794" i="4"/>
  <c r="L794" i="4"/>
  <c r="K794" i="4"/>
  <c r="J794" i="4"/>
  <c r="I794" i="4"/>
  <c r="H794" i="4"/>
  <c r="G794" i="4"/>
  <c r="F794" i="4"/>
  <c r="E794" i="4"/>
  <c r="D794" i="4"/>
  <c r="C794" i="4"/>
  <c r="B794" i="4"/>
  <c r="A794" i="4"/>
  <c r="R793" i="4"/>
  <c r="P793" i="4"/>
  <c r="N793" i="4"/>
  <c r="L793" i="4"/>
  <c r="K793" i="4"/>
  <c r="J793" i="4"/>
  <c r="I793" i="4"/>
  <c r="H793" i="4"/>
  <c r="G793" i="4"/>
  <c r="F793" i="4"/>
  <c r="E793" i="4"/>
  <c r="D793" i="4"/>
  <c r="C793" i="4"/>
  <c r="B793" i="4"/>
  <c r="A793" i="4"/>
  <c r="R792" i="4"/>
  <c r="P792" i="4"/>
  <c r="N792" i="4"/>
  <c r="L792" i="4"/>
  <c r="K792" i="4"/>
  <c r="J792" i="4"/>
  <c r="I792" i="4"/>
  <c r="H792" i="4"/>
  <c r="G792" i="4"/>
  <c r="F792" i="4"/>
  <c r="E792" i="4"/>
  <c r="D792" i="4"/>
  <c r="C792" i="4"/>
  <c r="B792" i="4"/>
  <c r="A792" i="4"/>
  <c r="R791" i="4"/>
  <c r="P791" i="4"/>
  <c r="N791" i="4"/>
  <c r="L791" i="4"/>
  <c r="K791" i="4"/>
  <c r="J791" i="4"/>
  <c r="I791" i="4"/>
  <c r="H791" i="4"/>
  <c r="G791" i="4"/>
  <c r="F791" i="4"/>
  <c r="E791" i="4"/>
  <c r="D791" i="4"/>
  <c r="C791" i="4"/>
  <c r="B791" i="4"/>
  <c r="A791" i="4"/>
  <c r="R790" i="4"/>
  <c r="P790" i="4"/>
  <c r="N790" i="4"/>
  <c r="L790" i="4"/>
  <c r="K790" i="4"/>
  <c r="J790" i="4"/>
  <c r="I790" i="4"/>
  <c r="H790" i="4"/>
  <c r="G790" i="4"/>
  <c r="F790" i="4"/>
  <c r="E790" i="4"/>
  <c r="D790" i="4"/>
  <c r="C790" i="4"/>
  <c r="B790" i="4"/>
  <c r="A790" i="4"/>
  <c r="R789" i="4"/>
  <c r="P789" i="4"/>
  <c r="N789" i="4"/>
  <c r="L789" i="4"/>
  <c r="K789" i="4"/>
  <c r="J789" i="4"/>
  <c r="I789" i="4"/>
  <c r="H789" i="4"/>
  <c r="G789" i="4"/>
  <c r="F789" i="4"/>
  <c r="E789" i="4"/>
  <c r="D789" i="4"/>
  <c r="C789" i="4"/>
  <c r="B789" i="4"/>
  <c r="A789" i="4"/>
  <c r="R788" i="4"/>
  <c r="P788" i="4"/>
  <c r="N788" i="4"/>
  <c r="L788" i="4"/>
  <c r="K788" i="4"/>
  <c r="J788" i="4"/>
  <c r="I788" i="4"/>
  <c r="H788" i="4"/>
  <c r="G788" i="4"/>
  <c r="F788" i="4"/>
  <c r="E788" i="4"/>
  <c r="D788" i="4"/>
  <c r="C788" i="4"/>
  <c r="B788" i="4"/>
  <c r="A788" i="4"/>
  <c r="R787" i="4"/>
  <c r="P787" i="4"/>
  <c r="N787" i="4"/>
  <c r="L787" i="4"/>
  <c r="K787" i="4"/>
  <c r="J787" i="4"/>
  <c r="I787" i="4"/>
  <c r="H787" i="4"/>
  <c r="G787" i="4"/>
  <c r="F787" i="4"/>
  <c r="E787" i="4"/>
  <c r="D787" i="4"/>
  <c r="C787" i="4"/>
  <c r="B787" i="4"/>
  <c r="A787" i="4"/>
  <c r="R786" i="4"/>
  <c r="P786" i="4"/>
  <c r="N786" i="4"/>
  <c r="L786" i="4"/>
  <c r="K786" i="4"/>
  <c r="J786" i="4"/>
  <c r="I786" i="4"/>
  <c r="H786" i="4"/>
  <c r="G786" i="4"/>
  <c r="F786" i="4"/>
  <c r="E786" i="4"/>
  <c r="D786" i="4"/>
  <c r="C786" i="4"/>
  <c r="B786" i="4"/>
  <c r="A786" i="4"/>
  <c r="R785" i="4"/>
  <c r="P785" i="4"/>
  <c r="N785" i="4"/>
  <c r="L785" i="4"/>
  <c r="K785" i="4"/>
  <c r="J785" i="4"/>
  <c r="I785" i="4"/>
  <c r="H785" i="4"/>
  <c r="G785" i="4"/>
  <c r="F785" i="4"/>
  <c r="E785" i="4"/>
  <c r="D785" i="4"/>
  <c r="C785" i="4"/>
  <c r="B785" i="4"/>
  <c r="A785" i="4"/>
  <c r="R784" i="4"/>
  <c r="P784" i="4"/>
  <c r="N784" i="4"/>
  <c r="L784" i="4"/>
  <c r="K784" i="4"/>
  <c r="J784" i="4"/>
  <c r="I784" i="4"/>
  <c r="H784" i="4"/>
  <c r="G784" i="4"/>
  <c r="F784" i="4"/>
  <c r="E784" i="4"/>
  <c r="D784" i="4"/>
  <c r="C784" i="4"/>
  <c r="B784" i="4"/>
  <c r="A784" i="4"/>
  <c r="R783" i="4"/>
  <c r="P783" i="4"/>
  <c r="N783" i="4"/>
  <c r="L783" i="4"/>
  <c r="K783" i="4"/>
  <c r="J783" i="4"/>
  <c r="I783" i="4"/>
  <c r="H783" i="4"/>
  <c r="G783" i="4"/>
  <c r="F783" i="4"/>
  <c r="E783" i="4"/>
  <c r="D783" i="4"/>
  <c r="C783" i="4"/>
  <c r="B783" i="4"/>
  <c r="A783" i="4"/>
  <c r="R782" i="4"/>
  <c r="P782" i="4"/>
  <c r="N782" i="4"/>
  <c r="L782" i="4"/>
  <c r="K782" i="4"/>
  <c r="J782" i="4"/>
  <c r="I782" i="4"/>
  <c r="H782" i="4"/>
  <c r="G782" i="4"/>
  <c r="F782" i="4"/>
  <c r="E782" i="4"/>
  <c r="D782" i="4"/>
  <c r="C782" i="4"/>
  <c r="B782" i="4"/>
  <c r="A782" i="4"/>
  <c r="R781" i="4"/>
  <c r="P781" i="4"/>
  <c r="N781" i="4"/>
  <c r="L781" i="4"/>
  <c r="K781" i="4"/>
  <c r="J781" i="4"/>
  <c r="I781" i="4"/>
  <c r="H781" i="4"/>
  <c r="G781" i="4"/>
  <c r="F781" i="4"/>
  <c r="E781" i="4"/>
  <c r="D781" i="4"/>
  <c r="C781" i="4"/>
  <c r="B781" i="4"/>
  <c r="A781" i="4"/>
  <c r="R780" i="4"/>
  <c r="P780" i="4"/>
  <c r="N780" i="4"/>
  <c r="L780" i="4"/>
  <c r="K780" i="4"/>
  <c r="J780" i="4"/>
  <c r="I780" i="4"/>
  <c r="H780" i="4"/>
  <c r="G780" i="4"/>
  <c r="F780" i="4"/>
  <c r="E780" i="4"/>
  <c r="D780" i="4"/>
  <c r="C780" i="4"/>
  <c r="B780" i="4"/>
  <c r="A780" i="4"/>
  <c r="R779" i="4"/>
  <c r="P779" i="4"/>
  <c r="N779" i="4"/>
  <c r="L779" i="4"/>
  <c r="K779" i="4"/>
  <c r="J779" i="4"/>
  <c r="I779" i="4"/>
  <c r="H779" i="4"/>
  <c r="G779" i="4"/>
  <c r="F779" i="4"/>
  <c r="E779" i="4"/>
  <c r="D779" i="4"/>
  <c r="C779" i="4"/>
  <c r="B779" i="4"/>
  <c r="A779" i="4"/>
  <c r="R778" i="4"/>
  <c r="P778" i="4"/>
  <c r="N778" i="4"/>
  <c r="L778" i="4"/>
  <c r="K778" i="4"/>
  <c r="J778" i="4"/>
  <c r="I778" i="4"/>
  <c r="H778" i="4"/>
  <c r="G778" i="4"/>
  <c r="F778" i="4"/>
  <c r="E778" i="4"/>
  <c r="D778" i="4"/>
  <c r="C778" i="4"/>
  <c r="B778" i="4"/>
  <c r="A778" i="4"/>
  <c r="R777" i="4"/>
  <c r="P777" i="4"/>
  <c r="N777" i="4"/>
  <c r="L777" i="4"/>
  <c r="K777" i="4"/>
  <c r="J777" i="4"/>
  <c r="I777" i="4"/>
  <c r="H777" i="4"/>
  <c r="G777" i="4"/>
  <c r="F777" i="4"/>
  <c r="E777" i="4"/>
  <c r="D777" i="4"/>
  <c r="C777" i="4"/>
  <c r="B777" i="4"/>
  <c r="A777" i="4"/>
  <c r="R776" i="4"/>
  <c r="P776" i="4"/>
  <c r="N776" i="4"/>
  <c r="L776" i="4"/>
  <c r="K776" i="4"/>
  <c r="J776" i="4"/>
  <c r="I776" i="4"/>
  <c r="H776" i="4"/>
  <c r="G776" i="4"/>
  <c r="F776" i="4"/>
  <c r="E776" i="4"/>
  <c r="D776" i="4"/>
  <c r="C776" i="4"/>
  <c r="B776" i="4"/>
  <c r="A776" i="4"/>
  <c r="R775" i="4"/>
  <c r="P775" i="4"/>
  <c r="N775" i="4"/>
  <c r="L775" i="4"/>
  <c r="K775" i="4"/>
  <c r="J775" i="4"/>
  <c r="I775" i="4"/>
  <c r="H775" i="4"/>
  <c r="G775" i="4"/>
  <c r="F775" i="4"/>
  <c r="E775" i="4"/>
  <c r="D775" i="4"/>
  <c r="C775" i="4"/>
  <c r="B775" i="4"/>
  <c r="A775" i="4"/>
  <c r="R774" i="4"/>
  <c r="P774" i="4"/>
  <c r="N774" i="4"/>
  <c r="L774" i="4"/>
  <c r="K774" i="4"/>
  <c r="J774" i="4"/>
  <c r="I774" i="4"/>
  <c r="H774" i="4"/>
  <c r="G774" i="4"/>
  <c r="F774" i="4"/>
  <c r="E774" i="4"/>
  <c r="D774" i="4"/>
  <c r="C774" i="4"/>
  <c r="B774" i="4"/>
  <c r="A774" i="4"/>
  <c r="R773" i="4"/>
  <c r="P773" i="4"/>
  <c r="N773" i="4"/>
  <c r="L773" i="4"/>
  <c r="K773" i="4"/>
  <c r="J773" i="4"/>
  <c r="I773" i="4"/>
  <c r="H773" i="4"/>
  <c r="G773" i="4"/>
  <c r="F773" i="4"/>
  <c r="E773" i="4"/>
  <c r="D773" i="4"/>
  <c r="C773" i="4"/>
  <c r="B773" i="4"/>
  <c r="A773" i="4"/>
  <c r="R772" i="4"/>
  <c r="P772" i="4"/>
  <c r="N772" i="4"/>
  <c r="L772" i="4"/>
  <c r="K772" i="4"/>
  <c r="J772" i="4"/>
  <c r="I772" i="4"/>
  <c r="H772" i="4"/>
  <c r="G772" i="4"/>
  <c r="F772" i="4"/>
  <c r="E772" i="4"/>
  <c r="D772" i="4"/>
  <c r="C772" i="4"/>
  <c r="B772" i="4"/>
  <c r="A772" i="4"/>
  <c r="R771" i="4"/>
  <c r="P771" i="4"/>
  <c r="N771" i="4"/>
  <c r="L771" i="4"/>
  <c r="K771" i="4"/>
  <c r="J771" i="4"/>
  <c r="I771" i="4"/>
  <c r="H771" i="4"/>
  <c r="G771" i="4"/>
  <c r="F771" i="4"/>
  <c r="E771" i="4"/>
  <c r="D771" i="4"/>
  <c r="C771" i="4"/>
  <c r="B771" i="4"/>
  <c r="A771" i="4"/>
  <c r="R770" i="4"/>
  <c r="P770" i="4"/>
  <c r="N770" i="4"/>
  <c r="L770" i="4"/>
  <c r="K770" i="4"/>
  <c r="J770" i="4"/>
  <c r="I770" i="4"/>
  <c r="H770" i="4"/>
  <c r="G770" i="4"/>
  <c r="F770" i="4"/>
  <c r="E770" i="4"/>
  <c r="D770" i="4"/>
  <c r="C770" i="4"/>
  <c r="B770" i="4"/>
  <c r="A770" i="4"/>
  <c r="R769" i="4"/>
  <c r="P769" i="4"/>
  <c r="N769" i="4"/>
  <c r="L769" i="4"/>
  <c r="K769" i="4"/>
  <c r="J769" i="4"/>
  <c r="I769" i="4"/>
  <c r="H769" i="4"/>
  <c r="G769" i="4"/>
  <c r="F769" i="4"/>
  <c r="E769" i="4"/>
  <c r="D769" i="4"/>
  <c r="C769" i="4"/>
  <c r="B769" i="4"/>
  <c r="A769" i="4"/>
  <c r="R768" i="4"/>
  <c r="P768" i="4"/>
  <c r="N768" i="4"/>
  <c r="L768" i="4"/>
  <c r="K768" i="4"/>
  <c r="J768" i="4"/>
  <c r="I768" i="4"/>
  <c r="H768" i="4"/>
  <c r="G768" i="4"/>
  <c r="F768" i="4"/>
  <c r="E768" i="4"/>
  <c r="D768" i="4"/>
  <c r="C768" i="4"/>
  <c r="B768" i="4"/>
  <c r="A768" i="4"/>
  <c r="R767" i="4"/>
  <c r="P767" i="4"/>
  <c r="N767" i="4"/>
  <c r="L767" i="4"/>
  <c r="K767" i="4"/>
  <c r="J767" i="4"/>
  <c r="I767" i="4"/>
  <c r="H767" i="4"/>
  <c r="G767" i="4"/>
  <c r="F767" i="4"/>
  <c r="E767" i="4"/>
  <c r="D767" i="4"/>
  <c r="C767" i="4"/>
  <c r="B767" i="4"/>
  <c r="A767" i="4"/>
  <c r="R766" i="4"/>
  <c r="P766" i="4"/>
  <c r="N766" i="4"/>
  <c r="L766" i="4"/>
  <c r="K766" i="4"/>
  <c r="J766" i="4"/>
  <c r="I766" i="4"/>
  <c r="H766" i="4"/>
  <c r="G766" i="4"/>
  <c r="F766" i="4"/>
  <c r="E766" i="4"/>
  <c r="D766" i="4"/>
  <c r="C766" i="4"/>
  <c r="B766" i="4"/>
  <c r="A766" i="4"/>
  <c r="R765" i="4"/>
  <c r="P765" i="4"/>
  <c r="N765" i="4"/>
  <c r="L765" i="4"/>
  <c r="K765" i="4"/>
  <c r="J765" i="4"/>
  <c r="I765" i="4"/>
  <c r="H765" i="4"/>
  <c r="G765" i="4"/>
  <c r="F765" i="4"/>
  <c r="E765" i="4"/>
  <c r="D765" i="4"/>
  <c r="C765" i="4"/>
  <c r="B765" i="4"/>
  <c r="A765" i="4"/>
  <c r="R764" i="4"/>
  <c r="P764" i="4"/>
  <c r="N764" i="4"/>
  <c r="L764" i="4"/>
  <c r="K764" i="4"/>
  <c r="J764" i="4"/>
  <c r="I764" i="4"/>
  <c r="H764" i="4"/>
  <c r="G764" i="4"/>
  <c r="F764" i="4"/>
  <c r="E764" i="4"/>
  <c r="D764" i="4"/>
  <c r="C764" i="4"/>
  <c r="B764" i="4"/>
  <c r="A764" i="4"/>
  <c r="R763" i="4"/>
  <c r="P763" i="4"/>
  <c r="N763" i="4"/>
  <c r="L763" i="4"/>
  <c r="K763" i="4"/>
  <c r="J763" i="4"/>
  <c r="I763" i="4"/>
  <c r="H763" i="4"/>
  <c r="G763" i="4"/>
  <c r="F763" i="4"/>
  <c r="E763" i="4"/>
  <c r="D763" i="4"/>
  <c r="C763" i="4"/>
  <c r="B763" i="4"/>
  <c r="A763" i="4"/>
  <c r="R762" i="4"/>
  <c r="P762" i="4"/>
  <c r="N762" i="4"/>
  <c r="L762" i="4"/>
  <c r="K762" i="4"/>
  <c r="J762" i="4"/>
  <c r="I762" i="4"/>
  <c r="H762" i="4"/>
  <c r="G762" i="4"/>
  <c r="F762" i="4"/>
  <c r="E762" i="4"/>
  <c r="D762" i="4"/>
  <c r="C762" i="4"/>
  <c r="B762" i="4"/>
  <c r="A762" i="4"/>
  <c r="R761" i="4"/>
  <c r="P761" i="4"/>
  <c r="N761" i="4"/>
  <c r="L761" i="4"/>
  <c r="K761" i="4"/>
  <c r="J761" i="4"/>
  <c r="I761" i="4"/>
  <c r="H761" i="4"/>
  <c r="G761" i="4"/>
  <c r="F761" i="4"/>
  <c r="E761" i="4"/>
  <c r="D761" i="4"/>
  <c r="C761" i="4"/>
  <c r="B761" i="4"/>
  <c r="A761" i="4"/>
  <c r="R760" i="4"/>
  <c r="P760" i="4"/>
  <c r="N760" i="4"/>
  <c r="L760" i="4"/>
  <c r="K760" i="4"/>
  <c r="J760" i="4"/>
  <c r="I760" i="4"/>
  <c r="H760" i="4"/>
  <c r="G760" i="4"/>
  <c r="F760" i="4"/>
  <c r="E760" i="4"/>
  <c r="D760" i="4"/>
  <c r="C760" i="4"/>
  <c r="B760" i="4"/>
  <c r="A760" i="4"/>
  <c r="R759" i="4"/>
  <c r="P759" i="4"/>
  <c r="N759" i="4"/>
  <c r="L759" i="4"/>
  <c r="K759" i="4"/>
  <c r="J759" i="4"/>
  <c r="I759" i="4"/>
  <c r="H759" i="4"/>
  <c r="G759" i="4"/>
  <c r="F759" i="4"/>
  <c r="E759" i="4"/>
  <c r="D759" i="4"/>
  <c r="C759" i="4"/>
  <c r="B759" i="4"/>
  <c r="A759" i="4"/>
  <c r="R758" i="4"/>
  <c r="P758" i="4"/>
  <c r="N758" i="4"/>
  <c r="L758" i="4"/>
  <c r="K758" i="4"/>
  <c r="J758" i="4"/>
  <c r="I758" i="4"/>
  <c r="H758" i="4"/>
  <c r="G758" i="4"/>
  <c r="F758" i="4"/>
  <c r="E758" i="4"/>
  <c r="D758" i="4"/>
  <c r="C758" i="4"/>
  <c r="B758" i="4"/>
  <c r="A758" i="4"/>
  <c r="R757" i="4"/>
  <c r="P757" i="4"/>
  <c r="N757" i="4"/>
  <c r="L757" i="4"/>
  <c r="K757" i="4"/>
  <c r="J757" i="4"/>
  <c r="I757" i="4"/>
  <c r="H757" i="4"/>
  <c r="G757" i="4"/>
  <c r="F757" i="4"/>
  <c r="E757" i="4"/>
  <c r="D757" i="4"/>
  <c r="C757" i="4"/>
  <c r="B757" i="4"/>
  <c r="A757" i="4"/>
  <c r="R756" i="4"/>
  <c r="P756" i="4"/>
  <c r="N756" i="4"/>
  <c r="L756" i="4"/>
  <c r="K756" i="4"/>
  <c r="J756" i="4"/>
  <c r="I756" i="4"/>
  <c r="H756" i="4"/>
  <c r="G756" i="4"/>
  <c r="F756" i="4"/>
  <c r="E756" i="4"/>
  <c r="D756" i="4"/>
  <c r="C756" i="4"/>
  <c r="B756" i="4"/>
  <c r="A756" i="4"/>
  <c r="R755" i="4"/>
  <c r="P755" i="4"/>
  <c r="N755" i="4"/>
  <c r="L755" i="4"/>
  <c r="K755" i="4"/>
  <c r="J755" i="4"/>
  <c r="I755" i="4"/>
  <c r="H755" i="4"/>
  <c r="G755" i="4"/>
  <c r="F755" i="4"/>
  <c r="E755" i="4"/>
  <c r="D755" i="4"/>
  <c r="C755" i="4"/>
  <c r="B755" i="4"/>
  <c r="A755" i="4"/>
  <c r="R754" i="4"/>
  <c r="P754" i="4"/>
  <c r="N754" i="4"/>
  <c r="L754" i="4"/>
  <c r="K754" i="4"/>
  <c r="J754" i="4"/>
  <c r="I754" i="4"/>
  <c r="H754" i="4"/>
  <c r="G754" i="4"/>
  <c r="F754" i="4"/>
  <c r="E754" i="4"/>
  <c r="D754" i="4"/>
  <c r="C754" i="4"/>
  <c r="B754" i="4"/>
  <c r="A754" i="4"/>
  <c r="R753" i="4"/>
  <c r="P753" i="4"/>
  <c r="N753" i="4"/>
  <c r="L753" i="4"/>
  <c r="K753" i="4"/>
  <c r="J753" i="4"/>
  <c r="I753" i="4"/>
  <c r="H753" i="4"/>
  <c r="G753" i="4"/>
  <c r="F753" i="4"/>
  <c r="E753" i="4"/>
  <c r="D753" i="4"/>
  <c r="C753" i="4"/>
  <c r="B753" i="4"/>
  <c r="A753" i="4"/>
  <c r="R752" i="4"/>
  <c r="P752" i="4"/>
  <c r="N752" i="4"/>
  <c r="L752" i="4"/>
  <c r="K752" i="4"/>
  <c r="J752" i="4"/>
  <c r="I752" i="4"/>
  <c r="H752" i="4"/>
  <c r="G752" i="4"/>
  <c r="F752" i="4"/>
  <c r="E752" i="4"/>
  <c r="D752" i="4"/>
  <c r="C752" i="4"/>
  <c r="B752" i="4"/>
  <c r="A752" i="4"/>
  <c r="R751" i="4"/>
  <c r="P751" i="4"/>
  <c r="N751" i="4"/>
  <c r="L751" i="4"/>
  <c r="K751" i="4"/>
  <c r="J751" i="4"/>
  <c r="I751" i="4"/>
  <c r="H751" i="4"/>
  <c r="G751" i="4"/>
  <c r="F751" i="4"/>
  <c r="E751" i="4"/>
  <c r="D751" i="4"/>
  <c r="C751" i="4"/>
  <c r="B751" i="4"/>
  <c r="A751" i="4"/>
  <c r="R750" i="4"/>
  <c r="P750" i="4"/>
  <c r="N750" i="4"/>
  <c r="L750" i="4"/>
  <c r="K750" i="4"/>
  <c r="J750" i="4"/>
  <c r="I750" i="4"/>
  <c r="H750" i="4"/>
  <c r="G750" i="4"/>
  <c r="F750" i="4"/>
  <c r="E750" i="4"/>
  <c r="D750" i="4"/>
  <c r="C750" i="4"/>
  <c r="B750" i="4"/>
  <c r="A750" i="4"/>
  <c r="R749" i="4"/>
  <c r="P749" i="4"/>
  <c r="N749" i="4"/>
  <c r="L749" i="4"/>
  <c r="K749" i="4"/>
  <c r="J749" i="4"/>
  <c r="I749" i="4"/>
  <c r="H749" i="4"/>
  <c r="G749" i="4"/>
  <c r="F749" i="4"/>
  <c r="E749" i="4"/>
  <c r="D749" i="4"/>
  <c r="C749" i="4"/>
  <c r="B749" i="4"/>
  <c r="A749" i="4"/>
  <c r="R748" i="4"/>
  <c r="P748" i="4"/>
  <c r="N748" i="4"/>
  <c r="L748" i="4"/>
  <c r="K748" i="4"/>
  <c r="J748" i="4"/>
  <c r="I748" i="4"/>
  <c r="H748" i="4"/>
  <c r="G748" i="4"/>
  <c r="F748" i="4"/>
  <c r="E748" i="4"/>
  <c r="D748" i="4"/>
  <c r="C748" i="4"/>
  <c r="B748" i="4"/>
  <c r="A748" i="4"/>
  <c r="R747" i="4"/>
  <c r="P747" i="4"/>
  <c r="N747" i="4"/>
  <c r="L747" i="4"/>
  <c r="K747" i="4"/>
  <c r="J747" i="4"/>
  <c r="I747" i="4"/>
  <c r="H747" i="4"/>
  <c r="G747" i="4"/>
  <c r="F747" i="4"/>
  <c r="E747" i="4"/>
  <c r="D747" i="4"/>
  <c r="C747" i="4"/>
  <c r="B747" i="4"/>
  <c r="A747" i="4"/>
  <c r="R746" i="4"/>
  <c r="P746" i="4"/>
  <c r="N746" i="4"/>
  <c r="L746" i="4"/>
  <c r="K746" i="4"/>
  <c r="J746" i="4"/>
  <c r="I746" i="4"/>
  <c r="H746" i="4"/>
  <c r="G746" i="4"/>
  <c r="F746" i="4"/>
  <c r="E746" i="4"/>
  <c r="D746" i="4"/>
  <c r="C746" i="4"/>
  <c r="B746" i="4"/>
  <c r="A746" i="4"/>
  <c r="R745" i="4"/>
  <c r="P745" i="4"/>
  <c r="N745" i="4"/>
  <c r="L745" i="4"/>
  <c r="K745" i="4"/>
  <c r="J745" i="4"/>
  <c r="I745" i="4"/>
  <c r="H745" i="4"/>
  <c r="G745" i="4"/>
  <c r="F745" i="4"/>
  <c r="E745" i="4"/>
  <c r="D745" i="4"/>
  <c r="C745" i="4"/>
  <c r="B745" i="4"/>
  <c r="A745" i="4"/>
  <c r="R744" i="4"/>
  <c r="P744" i="4"/>
  <c r="N744" i="4"/>
  <c r="L744" i="4"/>
  <c r="K744" i="4"/>
  <c r="J744" i="4"/>
  <c r="I744" i="4"/>
  <c r="H744" i="4"/>
  <c r="G744" i="4"/>
  <c r="F744" i="4"/>
  <c r="E744" i="4"/>
  <c r="D744" i="4"/>
  <c r="C744" i="4"/>
  <c r="B744" i="4"/>
  <c r="A744" i="4"/>
  <c r="R743" i="4"/>
  <c r="P743" i="4"/>
  <c r="N743" i="4"/>
  <c r="L743" i="4"/>
  <c r="K743" i="4"/>
  <c r="J743" i="4"/>
  <c r="I743" i="4"/>
  <c r="H743" i="4"/>
  <c r="G743" i="4"/>
  <c r="F743" i="4"/>
  <c r="E743" i="4"/>
  <c r="D743" i="4"/>
  <c r="C743" i="4"/>
  <c r="B743" i="4"/>
  <c r="A743" i="4"/>
  <c r="R742" i="4"/>
  <c r="P742" i="4"/>
  <c r="N742" i="4"/>
  <c r="L742" i="4"/>
  <c r="K742" i="4"/>
  <c r="J742" i="4"/>
  <c r="I742" i="4"/>
  <c r="H742" i="4"/>
  <c r="G742" i="4"/>
  <c r="F742" i="4"/>
  <c r="E742" i="4"/>
  <c r="D742" i="4"/>
  <c r="C742" i="4"/>
  <c r="B742" i="4"/>
  <c r="A742" i="4"/>
  <c r="R741" i="4"/>
  <c r="P741" i="4"/>
  <c r="N741" i="4"/>
  <c r="L741" i="4"/>
  <c r="K741" i="4"/>
  <c r="J741" i="4"/>
  <c r="I741" i="4"/>
  <c r="H741" i="4"/>
  <c r="G741" i="4"/>
  <c r="F741" i="4"/>
  <c r="E741" i="4"/>
  <c r="D741" i="4"/>
  <c r="C741" i="4"/>
  <c r="B741" i="4"/>
  <c r="A741" i="4"/>
  <c r="R740" i="4"/>
  <c r="P740" i="4"/>
  <c r="N740" i="4"/>
  <c r="L740" i="4"/>
  <c r="K740" i="4"/>
  <c r="J740" i="4"/>
  <c r="I740" i="4"/>
  <c r="H740" i="4"/>
  <c r="G740" i="4"/>
  <c r="F740" i="4"/>
  <c r="E740" i="4"/>
  <c r="D740" i="4"/>
  <c r="C740" i="4"/>
  <c r="B740" i="4"/>
  <c r="A740" i="4"/>
  <c r="R739" i="4"/>
  <c r="P739" i="4"/>
  <c r="N739" i="4"/>
  <c r="L739" i="4"/>
  <c r="K739" i="4"/>
  <c r="J739" i="4"/>
  <c r="I739" i="4"/>
  <c r="H739" i="4"/>
  <c r="G739" i="4"/>
  <c r="F739" i="4"/>
  <c r="E739" i="4"/>
  <c r="D739" i="4"/>
  <c r="C739" i="4"/>
  <c r="B739" i="4"/>
  <c r="A739" i="4"/>
  <c r="R738" i="4"/>
  <c r="P738" i="4"/>
  <c r="N738" i="4"/>
  <c r="L738" i="4"/>
  <c r="K738" i="4"/>
  <c r="J738" i="4"/>
  <c r="I738" i="4"/>
  <c r="H738" i="4"/>
  <c r="G738" i="4"/>
  <c r="F738" i="4"/>
  <c r="E738" i="4"/>
  <c r="D738" i="4"/>
  <c r="C738" i="4"/>
  <c r="B738" i="4"/>
  <c r="A738" i="4"/>
  <c r="R737" i="4"/>
  <c r="P737" i="4"/>
  <c r="N737" i="4"/>
  <c r="L737" i="4"/>
  <c r="K737" i="4"/>
  <c r="J737" i="4"/>
  <c r="I737" i="4"/>
  <c r="H737" i="4"/>
  <c r="G737" i="4"/>
  <c r="F737" i="4"/>
  <c r="E737" i="4"/>
  <c r="D737" i="4"/>
  <c r="C737" i="4"/>
  <c r="B737" i="4"/>
  <c r="A737" i="4"/>
  <c r="R736" i="4"/>
  <c r="P736" i="4"/>
  <c r="N736" i="4"/>
  <c r="L736" i="4"/>
  <c r="K736" i="4"/>
  <c r="J736" i="4"/>
  <c r="I736" i="4"/>
  <c r="H736" i="4"/>
  <c r="G736" i="4"/>
  <c r="F736" i="4"/>
  <c r="E736" i="4"/>
  <c r="D736" i="4"/>
  <c r="C736" i="4"/>
  <c r="B736" i="4"/>
  <c r="A736" i="4"/>
  <c r="R735" i="4"/>
  <c r="P735" i="4"/>
  <c r="N735" i="4"/>
  <c r="L735" i="4"/>
  <c r="K735" i="4"/>
  <c r="J735" i="4"/>
  <c r="I735" i="4"/>
  <c r="H735" i="4"/>
  <c r="G735" i="4"/>
  <c r="F735" i="4"/>
  <c r="E735" i="4"/>
  <c r="D735" i="4"/>
  <c r="C735" i="4"/>
  <c r="B735" i="4"/>
  <c r="A735" i="4"/>
  <c r="R734" i="4"/>
  <c r="P734" i="4"/>
  <c r="N734" i="4"/>
  <c r="L734" i="4"/>
  <c r="K734" i="4"/>
  <c r="J734" i="4"/>
  <c r="I734" i="4"/>
  <c r="H734" i="4"/>
  <c r="G734" i="4"/>
  <c r="F734" i="4"/>
  <c r="E734" i="4"/>
  <c r="D734" i="4"/>
  <c r="C734" i="4"/>
  <c r="B734" i="4"/>
  <c r="A734" i="4"/>
  <c r="R733" i="4"/>
  <c r="P733" i="4"/>
  <c r="N733" i="4"/>
  <c r="L733" i="4"/>
  <c r="K733" i="4"/>
  <c r="J733" i="4"/>
  <c r="I733" i="4"/>
  <c r="H733" i="4"/>
  <c r="G733" i="4"/>
  <c r="F733" i="4"/>
  <c r="E733" i="4"/>
  <c r="D733" i="4"/>
  <c r="C733" i="4"/>
  <c r="B733" i="4"/>
  <c r="A733" i="4"/>
  <c r="R732" i="4"/>
  <c r="P732" i="4"/>
  <c r="N732" i="4"/>
  <c r="L732" i="4"/>
  <c r="K732" i="4"/>
  <c r="J732" i="4"/>
  <c r="I732" i="4"/>
  <c r="H732" i="4"/>
  <c r="G732" i="4"/>
  <c r="F732" i="4"/>
  <c r="E732" i="4"/>
  <c r="D732" i="4"/>
  <c r="C732" i="4"/>
  <c r="B732" i="4"/>
  <c r="A732" i="4"/>
  <c r="R731" i="4"/>
  <c r="P731" i="4"/>
  <c r="N731" i="4"/>
  <c r="L731" i="4"/>
  <c r="K731" i="4"/>
  <c r="J731" i="4"/>
  <c r="I731" i="4"/>
  <c r="H731" i="4"/>
  <c r="G731" i="4"/>
  <c r="F731" i="4"/>
  <c r="E731" i="4"/>
  <c r="D731" i="4"/>
  <c r="C731" i="4"/>
  <c r="B731" i="4"/>
  <c r="A731" i="4"/>
  <c r="R730" i="4"/>
  <c r="P730" i="4"/>
  <c r="N730" i="4"/>
  <c r="L730" i="4"/>
  <c r="K730" i="4"/>
  <c r="J730" i="4"/>
  <c r="I730" i="4"/>
  <c r="H730" i="4"/>
  <c r="G730" i="4"/>
  <c r="F730" i="4"/>
  <c r="E730" i="4"/>
  <c r="D730" i="4"/>
  <c r="C730" i="4"/>
  <c r="B730" i="4"/>
  <c r="A730" i="4"/>
  <c r="R729" i="4"/>
  <c r="P729" i="4"/>
  <c r="N729" i="4"/>
  <c r="L729" i="4"/>
  <c r="K729" i="4"/>
  <c r="J729" i="4"/>
  <c r="I729" i="4"/>
  <c r="H729" i="4"/>
  <c r="G729" i="4"/>
  <c r="F729" i="4"/>
  <c r="E729" i="4"/>
  <c r="D729" i="4"/>
  <c r="C729" i="4"/>
  <c r="B729" i="4"/>
  <c r="A729" i="4"/>
  <c r="R728" i="4"/>
  <c r="P728" i="4"/>
  <c r="N728" i="4"/>
  <c r="L728" i="4"/>
  <c r="K728" i="4"/>
  <c r="J728" i="4"/>
  <c r="I728" i="4"/>
  <c r="H728" i="4"/>
  <c r="G728" i="4"/>
  <c r="F728" i="4"/>
  <c r="E728" i="4"/>
  <c r="D728" i="4"/>
  <c r="C728" i="4"/>
  <c r="B728" i="4"/>
  <c r="A728" i="4"/>
  <c r="R727" i="4"/>
  <c r="P727" i="4"/>
  <c r="N727" i="4"/>
  <c r="L727" i="4"/>
  <c r="K727" i="4"/>
  <c r="J727" i="4"/>
  <c r="I727" i="4"/>
  <c r="H727" i="4"/>
  <c r="G727" i="4"/>
  <c r="F727" i="4"/>
  <c r="E727" i="4"/>
  <c r="D727" i="4"/>
  <c r="C727" i="4"/>
  <c r="B727" i="4"/>
  <c r="A727" i="4"/>
  <c r="R726" i="4"/>
  <c r="P726" i="4"/>
  <c r="N726" i="4"/>
  <c r="L726" i="4"/>
  <c r="K726" i="4"/>
  <c r="J726" i="4"/>
  <c r="I726" i="4"/>
  <c r="H726" i="4"/>
  <c r="G726" i="4"/>
  <c r="F726" i="4"/>
  <c r="E726" i="4"/>
  <c r="D726" i="4"/>
  <c r="C726" i="4"/>
  <c r="B726" i="4"/>
  <c r="A726" i="4"/>
  <c r="R725" i="4"/>
  <c r="P725" i="4"/>
  <c r="N725" i="4"/>
  <c r="L725" i="4"/>
  <c r="K725" i="4"/>
  <c r="J725" i="4"/>
  <c r="I725" i="4"/>
  <c r="H725" i="4"/>
  <c r="G725" i="4"/>
  <c r="F725" i="4"/>
  <c r="E725" i="4"/>
  <c r="D725" i="4"/>
  <c r="C725" i="4"/>
  <c r="B725" i="4"/>
  <c r="A725" i="4"/>
  <c r="R724" i="4"/>
  <c r="P724" i="4"/>
  <c r="N724" i="4"/>
  <c r="L724" i="4"/>
  <c r="K724" i="4"/>
  <c r="J724" i="4"/>
  <c r="I724" i="4"/>
  <c r="H724" i="4"/>
  <c r="G724" i="4"/>
  <c r="F724" i="4"/>
  <c r="E724" i="4"/>
  <c r="D724" i="4"/>
  <c r="C724" i="4"/>
  <c r="B724" i="4"/>
  <c r="A724" i="4"/>
  <c r="R723" i="4"/>
  <c r="P723" i="4"/>
  <c r="N723" i="4"/>
  <c r="L723" i="4"/>
  <c r="K723" i="4"/>
  <c r="J723" i="4"/>
  <c r="I723" i="4"/>
  <c r="H723" i="4"/>
  <c r="G723" i="4"/>
  <c r="F723" i="4"/>
  <c r="E723" i="4"/>
  <c r="D723" i="4"/>
  <c r="C723" i="4"/>
  <c r="B723" i="4"/>
  <c r="A723" i="4"/>
  <c r="R722" i="4"/>
  <c r="P722" i="4"/>
  <c r="N722" i="4"/>
  <c r="L722" i="4"/>
  <c r="K722" i="4"/>
  <c r="J722" i="4"/>
  <c r="I722" i="4"/>
  <c r="H722" i="4"/>
  <c r="G722" i="4"/>
  <c r="F722" i="4"/>
  <c r="E722" i="4"/>
  <c r="D722" i="4"/>
  <c r="C722" i="4"/>
  <c r="B722" i="4"/>
  <c r="A722" i="4"/>
  <c r="R721" i="4"/>
  <c r="P721" i="4"/>
  <c r="N721" i="4"/>
  <c r="L721" i="4"/>
  <c r="K721" i="4"/>
  <c r="J721" i="4"/>
  <c r="I721" i="4"/>
  <c r="H721" i="4"/>
  <c r="G721" i="4"/>
  <c r="F721" i="4"/>
  <c r="E721" i="4"/>
  <c r="D721" i="4"/>
  <c r="C721" i="4"/>
  <c r="B721" i="4"/>
  <c r="A721" i="4"/>
  <c r="R720" i="4"/>
  <c r="P720" i="4"/>
  <c r="N720" i="4"/>
  <c r="L720" i="4"/>
  <c r="K720" i="4"/>
  <c r="J720" i="4"/>
  <c r="I720" i="4"/>
  <c r="H720" i="4"/>
  <c r="G720" i="4"/>
  <c r="F720" i="4"/>
  <c r="E720" i="4"/>
  <c r="D720" i="4"/>
  <c r="C720" i="4"/>
  <c r="B720" i="4"/>
  <c r="A720" i="4"/>
  <c r="R719" i="4"/>
  <c r="P719" i="4"/>
  <c r="N719" i="4"/>
  <c r="L719" i="4"/>
  <c r="K719" i="4"/>
  <c r="J719" i="4"/>
  <c r="I719" i="4"/>
  <c r="H719" i="4"/>
  <c r="G719" i="4"/>
  <c r="F719" i="4"/>
  <c r="E719" i="4"/>
  <c r="D719" i="4"/>
  <c r="C719" i="4"/>
  <c r="B719" i="4"/>
  <c r="A719" i="4"/>
  <c r="R718" i="4"/>
  <c r="P718" i="4"/>
  <c r="N718" i="4"/>
  <c r="L718" i="4"/>
  <c r="K718" i="4"/>
  <c r="J718" i="4"/>
  <c r="I718" i="4"/>
  <c r="H718" i="4"/>
  <c r="G718" i="4"/>
  <c r="F718" i="4"/>
  <c r="E718" i="4"/>
  <c r="D718" i="4"/>
  <c r="C718" i="4"/>
  <c r="B718" i="4"/>
  <c r="A718" i="4"/>
  <c r="R717" i="4"/>
  <c r="P717" i="4"/>
  <c r="N717" i="4"/>
  <c r="L717" i="4"/>
  <c r="K717" i="4"/>
  <c r="J717" i="4"/>
  <c r="I717" i="4"/>
  <c r="H717" i="4"/>
  <c r="G717" i="4"/>
  <c r="F717" i="4"/>
  <c r="E717" i="4"/>
  <c r="D717" i="4"/>
  <c r="C717" i="4"/>
  <c r="B717" i="4"/>
  <c r="A717" i="4"/>
  <c r="R716" i="4"/>
  <c r="P716" i="4"/>
  <c r="N716" i="4"/>
  <c r="L716" i="4"/>
  <c r="K716" i="4"/>
  <c r="J716" i="4"/>
  <c r="I716" i="4"/>
  <c r="H716" i="4"/>
  <c r="G716" i="4"/>
  <c r="F716" i="4"/>
  <c r="E716" i="4"/>
  <c r="D716" i="4"/>
  <c r="C716" i="4"/>
  <c r="B716" i="4"/>
  <c r="A716" i="4"/>
  <c r="R715" i="4"/>
  <c r="P715" i="4"/>
  <c r="N715" i="4"/>
  <c r="L715" i="4"/>
  <c r="K715" i="4"/>
  <c r="J715" i="4"/>
  <c r="I715" i="4"/>
  <c r="H715" i="4"/>
  <c r="G715" i="4"/>
  <c r="F715" i="4"/>
  <c r="E715" i="4"/>
  <c r="D715" i="4"/>
  <c r="C715" i="4"/>
  <c r="B715" i="4"/>
  <c r="A715" i="4"/>
  <c r="R714" i="4"/>
  <c r="P714" i="4"/>
  <c r="N714" i="4"/>
  <c r="L714" i="4"/>
  <c r="K714" i="4"/>
  <c r="J714" i="4"/>
  <c r="I714" i="4"/>
  <c r="H714" i="4"/>
  <c r="G714" i="4"/>
  <c r="F714" i="4"/>
  <c r="E714" i="4"/>
  <c r="D714" i="4"/>
  <c r="C714" i="4"/>
  <c r="B714" i="4"/>
  <c r="A714" i="4"/>
  <c r="R713" i="4"/>
  <c r="P713" i="4"/>
  <c r="N713" i="4"/>
  <c r="L713" i="4"/>
  <c r="K713" i="4"/>
  <c r="J713" i="4"/>
  <c r="I713" i="4"/>
  <c r="H713" i="4"/>
  <c r="G713" i="4"/>
  <c r="F713" i="4"/>
  <c r="E713" i="4"/>
  <c r="D713" i="4"/>
  <c r="C713" i="4"/>
  <c r="B713" i="4"/>
  <c r="A713" i="4"/>
  <c r="R712" i="4"/>
  <c r="P712" i="4"/>
  <c r="N712" i="4"/>
  <c r="L712" i="4"/>
  <c r="K712" i="4"/>
  <c r="J712" i="4"/>
  <c r="I712" i="4"/>
  <c r="H712" i="4"/>
  <c r="G712" i="4"/>
  <c r="F712" i="4"/>
  <c r="E712" i="4"/>
  <c r="D712" i="4"/>
  <c r="C712" i="4"/>
  <c r="B712" i="4"/>
  <c r="A712" i="4"/>
  <c r="R711" i="4"/>
  <c r="P711" i="4"/>
  <c r="N711" i="4"/>
  <c r="L711" i="4"/>
  <c r="K711" i="4"/>
  <c r="J711" i="4"/>
  <c r="I711" i="4"/>
  <c r="H711" i="4"/>
  <c r="G711" i="4"/>
  <c r="F711" i="4"/>
  <c r="E711" i="4"/>
  <c r="D711" i="4"/>
  <c r="C711" i="4"/>
  <c r="B711" i="4"/>
  <c r="A711" i="4"/>
  <c r="R710" i="4"/>
  <c r="P710" i="4"/>
  <c r="N710" i="4"/>
  <c r="L710" i="4"/>
  <c r="K710" i="4"/>
  <c r="J710" i="4"/>
  <c r="I710" i="4"/>
  <c r="H710" i="4"/>
  <c r="G710" i="4"/>
  <c r="F710" i="4"/>
  <c r="E710" i="4"/>
  <c r="D710" i="4"/>
  <c r="C710" i="4"/>
  <c r="B710" i="4"/>
  <c r="A710" i="4"/>
  <c r="R709" i="4"/>
  <c r="P709" i="4"/>
  <c r="N709" i="4"/>
  <c r="L709" i="4"/>
  <c r="K709" i="4"/>
  <c r="J709" i="4"/>
  <c r="I709" i="4"/>
  <c r="H709" i="4"/>
  <c r="G709" i="4"/>
  <c r="F709" i="4"/>
  <c r="E709" i="4"/>
  <c r="D709" i="4"/>
  <c r="C709" i="4"/>
  <c r="B709" i="4"/>
  <c r="A709" i="4"/>
  <c r="R708" i="4"/>
  <c r="P708" i="4"/>
  <c r="N708" i="4"/>
  <c r="L708" i="4"/>
  <c r="K708" i="4"/>
  <c r="J708" i="4"/>
  <c r="I708" i="4"/>
  <c r="H708" i="4"/>
  <c r="G708" i="4"/>
  <c r="F708" i="4"/>
  <c r="E708" i="4"/>
  <c r="D708" i="4"/>
  <c r="C708" i="4"/>
  <c r="B708" i="4"/>
  <c r="A708" i="4"/>
  <c r="R707" i="4"/>
  <c r="P707" i="4"/>
  <c r="N707" i="4"/>
  <c r="L707" i="4"/>
  <c r="K707" i="4"/>
  <c r="J707" i="4"/>
  <c r="I707" i="4"/>
  <c r="H707" i="4"/>
  <c r="G707" i="4"/>
  <c r="F707" i="4"/>
  <c r="E707" i="4"/>
  <c r="D707" i="4"/>
  <c r="C707" i="4"/>
  <c r="B707" i="4"/>
  <c r="A707" i="4"/>
  <c r="R706" i="4"/>
  <c r="P706" i="4"/>
  <c r="N706" i="4"/>
  <c r="L706" i="4"/>
  <c r="K706" i="4"/>
  <c r="J706" i="4"/>
  <c r="I706" i="4"/>
  <c r="H706" i="4"/>
  <c r="G706" i="4"/>
  <c r="F706" i="4"/>
  <c r="E706" i="4"/>
  <c r="D706" i="4"/>
  <c r="C706" i="4"/>
  <c r="B706" i="4"/>
  <c r="A706" i="4"/>
  <c r="R705" i="4"/>
  <c r="P705" i="4"/>
  <c r="N705" i="4"/>
  <c r="L705" i="4"/>
  <c r="K705" i="4"/>
  <c r="J705" i="4"/>
  <c r="I705" i="4"/>
  <c r="H705" i="4"/>
  <c r="G705" i="4"/>
  <c r="F705" i="4"/>
  <c r="E705" i="4"/>
  <c r="D705" i="4"/>
  <c r="C705" i="4"/>
  <c r="B705" i="4"/>
  <c r="A705" i="4"/>
  <c r="R704" i="4"/>
  <c r="P704" i="4"/>
  <c r="N704" i="4"/>
  <c r="L704" i="4"/>
  <c r="K704" i="4"/>
  <c r="J704" i="4"/>
  <c r="I704" i="4"/>
  <c r="H704" i="4"/>
  <c r="G704" i="4"/>
  <c r="F704" i="4"/>
  <c r="E704" i="4"/>
  <c r="D704" i="4"/>
  <c r="C704" i="4"/>
  <c r="B704" i="4"/>
  <c r="A704" i="4"/>
  <c r="R703" i="4"/>
  <c r="P703" i="4"/>
  <c r="N703" i="4"/>
  <c r="L703" i="4"/>
  <c r="K703" i="4"/>
  <c r="J703" i="4"/>
  <c r="I703" i="4"/>
  <c r="H703" i="4"/>
  <c r="G703" i="4"/>
  <c r="F703" i="4"/>
  <c r="E703" i="4"/>
  <c r="D703" i="4"/>
  <c r="C703" i="4"/>
  <c r="B703" i="4"/>
  <c r="A703" i="4"/>
  <c r="R702" i="4"/>
  <c r="P702" i="4"/>
  <c r="N702" i="4"/>
  <c r="L702" i="4"/>
  <c r="K702" i="4"/>
  <c r="J702" i="4"/>
  <c r="I702" i="4"/>
  <c r="H702" i="4"/>
  <c r="G702" i="4"/>
  <c r="F702" i="4"/>
  <c r="E702" i="4"/>
  <c r="D702" i="4"/>
  <c r="C702" i="4"/>
  <c r="B702" i="4"/>
  <c r="A702" i="4"/>
  <c r="R701" i="4"/>
  <c r="P701" i="4"/>
  <c r="N701" i="4"/>
  <c r="L701" i="4"/>
  <c r="K701" i="4"/>
  <c r="J701" i="4"/>
  <c r="I701" i="4"/>
  <c r="H701" i="4"/>
  <c r="G701" i="4"/>
  <c r="F701" i="4"/>
  <c r="E701" i="4"/>
  <c r="D701" i="4"/>
  <c r="C701" i="4"/>
  <c r="B701" i="4"/>
  <c r="A701" i="4"/>
  <c r="R700" i="4"/>
  <c r="P700" i="4"/>
  <c r="N700" i="4"/>
  <c r="L700" i="4"/>
  <c r="K700" i="4"/>
  <c r="J700" i="4"/>
  <c r="I700" i="4"/>
  <c r="H700" i="4"/>
  <c r="G700" i="4"/>
  <c r="F700" i="4"/>
  <c r="E700" i="4"/>
  <c r="D700" i="4"/>
  <c r="C700" i="4"/>
  <c r="B700" i="4"/>
  <c r="A700" i="4"/>
  <c r="R699" i="4"/>
  <c r="P699" i="4"/>
  <c r="N699" i="4"/>
  <c r="L699" i="4"/>
  <c r="K699" i="4"/>
  <c r="J699" i="4"/>
  <c r="I699" i="4"/>
  <c r="H699" i="4"/>
  <c r="G699" i="4"/>
  <c r="F699" i="4"/>
  <c r="E699" i="4"/>
  <c r="D699" i="4"/>
  <c r="C699" i="4"/>
  <c r="B699" i="4"/>
  <c r="A699" i="4"/>
  <c r="R698" i="4"/>
  <c r="P698" i="4"/>
  <c r="N698" i="4"/>
  <c r="L698" i="4"/>
  <c r="K698" i="4"/>
  <c r="J698" i="4"/>
  <c r="I698" i="4"/>
  <c r="H698" i="4"/>
  <c r="G698" i="4"/>
  <c r="F698" i="4"/>
  <c r="E698" i="4"/>
  <c r="D698" i="4"/>
  <c r="C698" i="4"/>
  <c r="B698" i="4"/>
  <c r="A698" i="4"/>
  <c r="R697" i="4"/>
  <c r="P697" i="4"/>
  <c r="N697" i="4"/>
  <c r="L697" i="4"/>
  <c r="K697" i="4"/>
  <c r="J697" i="4"/>
  <c r="I697" i="4"/>
  <c r="H697" i="4"/>
  <c r="G697" i="4"/>
  <c r="F697" i="4"/>
  <c r="E697" i="4"/>
  <c r="D697" i="4"/>
  <c r="C697" i="4"/>
  <c r="B697" i="4"/>
  <c r="A697" i="4"/>
  <c r="R696" i="4"/>
  <c r="P696" i="4"/>
  <c r="N696" i="4"/>
  <c r="L696" i="4"/>
  <c r="K696" i="4"/>
  <c r="J696" i="4"/>
  <c r="I696" i="4"/>
  <c r="H696" i="4"/>
  <c r="G696" i="4"/>
  <c r="F696" i="4"/>
  <c r="E696" i="4"/>
  <c r="D696" i="4"/>
  <c r="C696" i="4"/>
  <c r="B696" i="4"/>
  <c r="A696" i="4"/>
  <c r="R695" i="4"/>
  <c r="P695" i="4"/>
  <c r="N695" i="4"/>
  <c r="L695" i="4"/>
  <c r="K695" i="4"/>
  <c r="J695" i="4"/>
  <c r="I695" i="4"/>
  <c r="H695" i="4"/>
  <c r="G695" i="4"/>
  <c r="F695" i="4"/>
  <c r="E695" i="4"/>
  <c r="D695" i="4"/>
  <c r="C695" i="4"/>
  <c r="B695" i="4"/>
  <c r="A695" i="4"/>
  <c r="R694" i="4"/>
  <c r="P694" i="4"/>
  <c r="N694" i="4"/>
  <c r="L694" i="4"/>
  <c r="K694" i="4"/>
  <c r="J694" i="4"/>
  <c r="I694" i="4"/>
  <c r="H694" i="4"/>
  <c r="G694" i="4"/>
  <c r="F694" i="4"/>
  <c r="E694" i="4"/>
  <c r="D694" i="4"/>
  <c r="C694" i="4"/>
  <c r="B694" i="4"/>
  <c r="A694" i="4"/>
  <c r="R693" i="4"/>
  <c r="P693" i="4"/>
  <c r="N693" i="4"/>
  <c r="L693" i="4"/>
  <c r="K693" i="4"/>
  <c r="J693" i="4"/>
  <c r="I693" i="4"/>
  <c r="H693" i="4"/>
  <c r="G693" i="4"/>
  <c r="F693" i="4"/>
  <c r="E693" i="4"/>
  <c r="D693" i="4"/>
  <c r="C693" i="4"/>
  <c r="B693" i="4"/>
  <c r="A693" i="4"/>
  <c r="R692" i="4"/>
  <c r="P692" i="4"/>
  <c r="N692" i="4"/>
  <c r="L692" i="4"/>
  <c r="K692" i="4"/>
  <c r="J692" i="4"/>
  <c r="I692" i="4"/>
  <c r="H692" i="4"/>
  <c r="G692" i="4"/>
  <c r="F692" i="4"/>
  <c r="E692" i="4"/>
  <c r="D692" i="4"/>
  <c r="C692" i="4"/>
  <c r="B692" i="4"/>
  <c r="A692" i="4"/>
  <c r="R691" i="4"/>
  <c r="P691" i="4"/>
  <c r="N691" i="4"/>
  <c r="L691" i="4"/>
  <c r="K691" i="4"/>
  <c r="J691" i="4"/>
  <c r="I691" i="4"/>
  <c r="H691" i="4"/>
  <c r="G691" i="4"/>
  <c r="F691" i="4"/>
  <c r="E691" i="4"/>
  <c r="D691" i="4"/>
  <c r="C691" i="4"/>
  <c r="B691" i="4"/>
  <c r="A691" i="4"/>
  <c r="R690" i="4"/>
  <c r="P690" i="4"/>
  <c r="N690" i="4"/>
  <c r="L690" i="4"/>
  <c r="K690" i="4"/>
  <c r="J690" i="4"/>
  <c r="I690" i="4"/>
  <c r="H690" i="4"/>
  <c r="G690" i="4"/>
  <c r="F690" i="4"/>
  <c r="E690" i="4"/>
  <c r="D690" i="4"/>
  <c r="C690" i="4"/>
  <c r="B690" i="4"/>
  <c r="A690" i="4"/>
  <c r="R689" i="4"/>
  <c r="P689" i="4"/>
  <c r="N689" i="4"/>
  <c r="L689" i="4"/>
  <c r="K689" i="4"/>
  <c r="J689" i="4"/>
  <c r="I689" i="4"/>
  <c r="H689" i="4"/>
  <c r="G689" i="4"/>
  <c r="F689" i="4"/>
  <c r="E689" i="4"/>
  <c r="D689" i="4"/>
  <c r="C689" i="4"/>
  <c r="B689" i="4"/>
  <c r="A689" i="4"/>
  <c r="R688" i="4"/>
  <c r="P688" i="4"/>
  <c r="N688" i="4"/>
  <c r="L688" i="4"/>
  <c r="K688" i="4"/>
  <c r="J688" i="4"/>
  <c r="I688" i="4"/>
  <c r="H688" i="4"/>
  <c r="G688" i="4"/>
  <c r="F688" i="4"/>
  <c r="E688" i="4"/>
  <c r="D688" i="4"/>
  <c r="C688" i="4"/>
  <c r="B688" i="4"/>
  <c r="A688" i="4"/>
  <c r="R687" i="4"/>
  <c r="P687" i="4"/>
  <c r="N687" i="4"/>
  <c r="L687" i="4"/>
  <c r="K687" i="4"/>
  <c r="J687" i="4"/>
  <c r="I687" i="4"/>
  <c r="H687" i="4"/>
  <c r="G687" i="4"/>
  <c r="F687" i="4"/>
  <c r="E687" i="4"/>
  <c r="D687" i="4"/>
  <c r="C687" i="4"/>
  <c r="B687" i="4"/>
  <c r="A687" i="4"/>
  <c r="R686" i="4"/>
  <c r="P686" i="4"/>
  <c r="N686" i="4"/>
  <c r="L686" i="4"/>
  <c r="K686" i="4"/>
  <c r="J686" i="4"/>
  <c r="I686" i="4"/>
  <c r="H686" i="4"/>
  <c r="G686" i="4"/>
  <c r="F686" i="4"/>
  <c r="E686" i="4"/>
  <c r="D686" i="4"/>
  <c r="C686" i="4"/>
  <c r="B686" i="4"/>
  <c r="A686" i="4"/>
  <c r="R685" i="4"/>
  <c r="P685" i="4"/>
  <c r="N685" i="4"/>
  <c r="L685" i="4"/>
  <c r="K685" i="4"/>
  <c r="J685" i="4"/>
  <c r="I685" i="4"/>
  <c r="H685" i="4"/>
  <c r="G685" i="4"/>
  <c r="F685" i="4"/>
  <c r="E685" i="4"/>
  <c r="D685" i="4"/>
  <c r="C685" i="4"/>
  <c r="B685" i="4"/>
  <c r="A685" i="4"/>
  <c r="R684" i="4"/>
  <c r="P684" i="4"/>
  <c r="N684" i="4"/>
  <c r="L684" i="4"/>
  <c r="K684" i="4"/>
  <c r="J684" i="4"/>
  <c r="I684" i="4"/>
  <c r="H684" i="4"/>
  <c r="G684" i="4"/>
  <c r="F684" i="4"/>
  <c r="E684" i="4"/>
  <c r="D684" i="4"/>
  <c r="C684" i="4"/>
  <c r="B684" i="4"/>
  <c r="A684" i="4"/>
  <c r="R683" i="4"/>
  <c r="P683" i="4"/>
  <c r="N683" i="4"/>
  <c r="L683" i="4"/>
  <c r="K683" i="4"/>
  <c r="J683" i="4"/>
  <c r="I683" i="4"/>
  <c r="H683" i="4"/>
  <c r="G683" i="4"/>
  <c r="F683" i="4"/>
  <c r="E683" i="4"/>
  <c r="D683" i="4"/>
  <c r="C683" i="4"/>
  <c r="B683" i="4"/>
  <c r="A683" i="4"/>
  <c r="R682" i="4"/>
  <c r="P682" i="4"/>
  <c r="N682" i="4"/>
  <c r="L682" i="4"/>
  <c r="K682" i="4"/>
  <c r="J682" i="4"/>
  <c r="I682" i="4"/>
  <c r="H682" i="4"/>
  <c r="G682" i="4"/>
  <c r="F682" i="4"/>
  <c r="E682" i="4"/>
  <c r="D682" i="4"/>
  <c r="C682" i="4"/>
  <c r="B682" i="4"/>
  <c r="A682" i="4"/>
  <c r="R681" i="4"/>
  <c r="P681" i="4"/>
  <c r="N681" i="4"/>
  <c r="L681" i="4"/>
  <c r="K681" i="4"/>
  <c r="J681" i="4"/>
  <c r="I681" i="4"/>
  <c r="H681" i="4"/>
  <c r="G681" i="4"/>
  <c r="F681" i="4"/>
  <c r="E681" i="4"/>
  <c r="D681" i="4"/>
  <c r="C681" i="4"/>
  <c r="B681" i="4"/>
  <c r="A681" i="4"/>
  <c r="R680" i="4"/>
  <c r="P680" i="4"/>
  <c r="N680" i="4"/>
  <c r="L680" i="4"/>
  <c r="K680" i="4"/>
  <c r="J680" i="4"/>
  <c r="I680" i="4"/>
  <c r="H680" i="4"/>
  <c r="G680" i="4"/>
  <c r="F680" i="4"/>
  <c r="E680" i="4"/>
  <c r="D680" i="4"/>
  <c r="C680" i="4"/>
  <c r="B680" i="4"/>
  <c r="A680" i="4"/>
  <c r="R679" i="4"/>
  <c r="P679" i="4"/>
  <c r="N679" i="4"/>
  <c r="L679" i="4"/>
  <c r="K679" i="4"/>
  <c r="J679" i="4"/>
  <c r="I679" i="4"/>
  <c r="H679" i="4"/>
  <c r="G679" i="4"/>
  <c r="F679" i="4"/>
  <c r="E679" i="4"/>
  <c r="D679" i="4"/>
  <c r="C679" i="4"/>
  <c r="B679" i="4"/>
  <c r="A679" i="4"/>
  <c r="R678" i="4"/>
  <c r="P678" i="4"/>
  <c r="N678" i="4"/>
  <c r="L678" i="4"/>
  <c r="K678" i="4"/>
  <c r="J678" i="4"/>
  <c r="I678" i="4"/>
  <c r="H678" i="4"/>
  <c r="G678" i="4"/>
  <c r="F678" i="4"/>
  <c r="E678" i="4"/>
  <c r="D678" i="4"/>
  <c r="C678" i="4"/>
  <c r="B678" i="4"/>
  <c r="A678" i="4"/>
  <c r="R677" i="4"/>
  <c r="P677" i="4"/>
  <c r="N677" i="4"/>
  <c r="L677" i="4"/>
  <c r="K677" i="4"/>
  <c r="J677" i="4"/>
  <c r="I677" i="4"/>
  <c r="H677" i="4"/>
  <c r="G677" i="4"/>
  <c r="F677" i="4"/>
  <c r="E677" i="4"/>
  <c r="D677" i="4"/>
  <c r="C677" i="4"/>
  <c r="B677" i="4"/>
  <c r="A677" i="4"/>
  <c r="R676" i="4"/>
  <c r="P676" i="4"/>
  <c r="N676" i="4"/>
  <c r="L676" i="4"/>
  <c r="K676" i="4"/>
  <c r="J676" i="4"/>
  <c r="I676" i="4"/>
  <c r="H676" i="4"/>
  <c r="G676" i="4"/>
  <c r="F676" i="4"/>
  <c r="E676" i="4"/>
  <c r="D676" i="4"/>
  <c r="C676" i="4"/>
  <c r="B676" i="4"/>
  <c r="A676" i="4"/>
  <c r="R675" i="4"/>
  <c r="P675" i="4"/>
  <c r="N675" i="4"/>
  <c r="L675" i="4"/>
  <c r="K675" i="4"/>
  <c r="J675" i="4"/>
  <c r="I675" i="4"/>
  <c r="H675" i="4"/>
  <c r="G675" i="4"/>
  <c r="F675" i="4"/>
  <c r="E675" i="4"/>
  <c r="D675" i="4"/>
  <c r="C675" i="4"/>
  <c r="B675" i="4"/>
  <c r="A675" i="4"/>
  <c r="R674" i="4"/>
  <c r="P674" i="4"/>
  <c r="N674" i="4"/>
  <c r="L674" i="4"/>
  <c r="K674" i="4"/>
  <c r="J674" i="4"/>
  <c r="I674" i="4"/>
  <c r="H674" i="4"/>
  <c r="G674" i="4"/>
  <c r="F674" i="4"/>
  <c r="E674" i="4"/>
  <c r="D674" i="4"/>
  <c r="C674" i="4"/>
  <c r="B674" i="4"/>
  <c r="A674" i="4"/>
  <c r="R673" i="4"/>
  <c r="P673" i="4"/>
  <c r="N673" i="4"/>
  <c r="L673" i="4"/>
  <c r="K673" i="4"/>
  <c r="J673" i="4"/>
  <c r="I673" i="4"/>
  <c r="H673" i="4"/>
  <c r="G673" i="4"/>
  <c r="F673" i="4"/>
  <c r="E673" i="4"/>
  <c r="D673" i="4"/>
  <c r="C673" i="4"/>
  <c r="B673" i="4"/>
  <c r="A673" i="4"/>
  <c r="R672" i="4"/>
  <c r="P672" i="4"/>
  <c r="N672" i="4"/>
  <c r="L672" i="4"/>
  <c r="K672" i="4"/>
  <c r="J672" i="4"/>
  <c r="I672" i="4"/>
  <c r="H672" i="4"/>
  <c r="G672" i="4"/>
  <c r="F672" i="4"/>
  <c r="E672" i="4"/>
  <c r="D672" i="4"/>
  <c r="C672" i="4"/>
  <c r="B672" i="4"/>
  <c r="A672" i="4"/>
  <c r="R671" i="4"/>
  <c r="P671" i="4"/>
  <c r="N671" i="4"/>
  <c r="L671" i="4"/>
  <c r="K671" i="4"/>
  <c r="J671" i="4"/>
  <c r="I671" i="4"/>
  <c r="H671" i="4"/>
  <c r="G671" i="4"/>
  <c r="F671" i="4"/>
  <c r="E671" i="4"/>
  <c r="D671" i="4"/>
  <c r="C671" i="4"/>
  <c r="B671" i="4"/>
  <c r="A671" i="4"/>
  <c r="R670" i="4"/>
  <c r="P670" i="4"/>
  <c r="N670" i="4"/>
  <c r="L670" i="4"/>
  <c r="K670" i="4"/>
  <c r="J670" i="4"/>
  <c r="I670" i="4"/>
  <c r="H670" i="4"/>
  <c r="G670" i="4"/>
  <c r="F670" i="4"/>
  <c r="E670" i="4"/>
  <c r="D670" i="4"/>
  <c r="C670" i="4"/>
  <c r="B670" i="4"/>
  <c r="A670" i="4"/>
  <c r="R669" i="4"/>
  <c r="P669" i="4"/>
  <c r="N669" i="4"/>
  <c r="L669" i="4"/>
  <c r="K669" i="4"/>
  <c r="J669" i="4"/>
  <c r="I669" i="4"/>
  <c r="H669" i="4"/>
  <c r="G669" i="4"/>
  <c r="F669" i="4"/>
  <c r="E669" i="4"/>
  <c r="D669" i="4"/>
  <c r="C669" i="4"/>
  <c r="B669" i="4"/>
  <c r="A669" i="4"/>
  <c r="R668" i="4"/>
  <c r="P668" i="4"/>
  <c r="N668" i="4"/>
  <c r="L668" i="4"/>
  <c r="K668" i="4"/>
  <c r="J668" i="4"/>
  <c r="I668" i="4"/>
  <c r="H668" i="4"/>
  <c r="G668" i="4"/>
  <c r="F668" i="4"/>
  <c r="E668" i="4"/>
  <c r="D668" i="4"/>
  <c r="C668" i="4"/>
  <c r="B668" i="4"/>
  <c r="A668" i="4"/>
  <c r="R667" i="4"/>
  <c r="P667" i="4"/>
  <c r="N667" i="4"/>
  <c r="L667" i="4"/>
  <c r="K667" i="4"/>
  <c r="J667" i="4"/>
  <c r="I667" i="4"/>
  <c r="H667" i="4"/>
  <c r="G667" i="4"/>
  <c r="F667" i="4"/>
  <c r="E667" i="4"/>
  <c r="D667" i="4"/>
  <c r="C667" i="4"/>
  <c r="B667" i="4"/>
  <c r="A667" i="4"/>
  <c r="R666" i="4"/>
  <c r="P666" i="4"/>
  <c r="N666" i="4"/>
  <c r="L666" i="4"/>
  <c r="K666" i="4"/>
  <c r="J666" i="4"/>
  <c r="I666" i="4"/>
  <c r="H666" i="4"/>
  <c r="G666" i="4"/>
  <c r="F666" i="4"/>
  <c r="E666" i="4"/>
  <c r="D666" i="4"/>
  <c r="C666" i="4"/>
  <c r="B666" i="4"/>
  <c r="A666" i="4"/>
  <c r="R665" i="4"/>
  <c r="P665" i="4"/>
  <c r="N665" i="4"/>
  <c r="L665" i="4"/>
  <c r="K665" i="4"/>
  <c r="J665" i="4"/>
  <c r="I665" i="4"/>
  <c r="H665" i="4"/>
  <c r="G665" i="4"/>
  <c r="F665" i="4"/>
  <c r="E665" i="4"/>
  <c r="D665" i="4"/>
  <c r="C665" i="4"/>
  <c r="B665" i="4"/>
  <c r="A665" i="4"/>
  <c r="R664" i="4"/>
  <c r="P664" i="4"/>
  <c r="N664" i="4"/>
  <c r="L664" i="4"/>
  <c r="K664" i="4"/>
  <c r="J664" i="4"/>
  <c r="I664" i="4"/>
  <c r="H664" i="4"/>
  <c r="G664" i="4"/>
  <c r="F664" i="4"/>
  <c r="E664" i="4"/>
  <c r="D664" i="4"/>
  <c r="C664" i="4"/>
  <c r="B664" i="4"/>
  <c r="A664" i="4"/>
  <c r="R663" i="4"/>
  <c r="P663" i="4"/>
  <c r="N663" i="4"/>
  <c r="L663" i="4"/>
  <c r="K663" i="4"/>
  <c r="J663" i="4"/>
  <c r="I663" i="4"/>
  <c r="H663" i="4"/>
  <c r="G663" i="4"/>
  <c r="F663" i="4"/>
  <c r="E663" i="4"/>
  <c r="D663" i="4"/>
  <c r="C663" i="4"/>
  <c r="B663" i="4"/>
  <c r="A663" i="4"/>
  <c r="R662" i="4"/>
  <c r="P662" i="4"/>
  <c r="N662" i="4"/>
  <c r="L662" i="4"/>
  <c r="K662" i="4"/>
  <c r="J662" i="4"/>
  <c r="I662" i="4"/>
  <c r="H662" i="4"/>
  <c r="G662" i="4"/>
  <c r="F662" i="4"/>
  <c r="E662" i="4"/>
  <c r="D662" i="4"/>
  <c r="C662" i="4"/>
  <c r="B662" i="4"/>
  <c r="A662" i="4"/>
  <c r="R661" i="4"/>
  <c r="P661" i="4"/>
  <c r="N661" i="4"/>
  <c r="L661" i="4"/>
  <c r="K661" i="4"/>
  <c r="J661" i="4"/>
  <c r="I661" i="4"/>
  <c r="H661" i="4"/>
  <c r="G661" i="4"/>
  <c r="F661" i="4"/>
  <c r="E661" i="4"/>
  <c r="D661" i="4"/>
  <c r="C661" i="4"/>
  <c r="B661" i="4"/>
  <c r="A661" i="4"/>
  <c r="R660" i="4"/>
  <c r="P660" i="4"/>
  <c r="N660" i="4"/>
  <c r="L660" i="4"/>
  <c r="K660" i="4"/>
  <c r="J660" i="4"/>
  <c r="I660" i="4"/>
  <c r="H660" i="4"/>
  <c r="G660" i="4"/>
  <c r="F660" i="4"/>
  <c r="E660" i="4"/>
  <c r="D660" i="4"/>
  <c r="C660" i="4"/>
  <c r="B660" i="4"/>
  <c r="A660" i="4"/>
  <c r="R659" i="4"/>
  <c r="P659" i="4"/>
  <c r="N659" i="4"/>
  <c r="L659" i="4"/>
  <c r="K659" i="4"/>
  <c r="J659" i="4"/>
  <c r="I659" i="4"/>
  <c r="H659" i="4"/>
  <c r="G659" i="4"/>
  <c r="F659" i="4"/>
  <c r="E659" i="4"/>
  <c r="D659" i="4"/>
  <c r="C659" i="4"/>
  <c r="B659" i="4"/>
  <c r="A659" i="4"/>
  <c r="R658" i="4"/>
  <c r="P658" i="4"/>
  <c r="N658" i="4"/>
  <c r="L658" i="4"/>
  <c r="K658" i="4"/>
  <c r="J658" i="4"/>
  <c r="I658" i="4"/>
  <c r="H658" i="4"/>
  <c r="G658" i="4"/>
  <c r="F658" i="4"/>
  <c r="E658" i="4"/>
  <c r="D658" i="4"/>
  <c r="C658" i="4"/>
  <c r="B658" i="4"/>
  <c r="A658" i="4"/>
  <c r="R657" i="4"/>
  <c r="P657" i="4"/>
  <c r="N657" i="4"/>
  <c r="L657" i="4"/>
  <c r="K657" i="4"/>
  <c r="J657" i="4"/>
  <c r="I657" i="4"/>
  <c r="H657" i="4"/>
  <c r="G657" i="4"/>
  <c r="F657" i="4"/>
  <c r="E657" i="4"/>
  <c r="D657" i="4"/>
  <c r="C657" i="4"/>
  <c r="B657" i="4"/>
  <c r="A657" i="4"/>
  <c r="R656" i="4"/>
  <c r="P656" i="4"/>
  <c r="N656" i="4"/>
  <c r="L656" i="4"/>
  <c r="K656" i="4"/>
  <c r="J656" i="4"/>
  <c r="I656" i="4"/>
  <c r="H656" i="4"/>
  <c r="G656" i="4"/>
  <c r="F656" i="4"/>
  <c r="E656" i="4"/>
  <c r="D656" i="4"/>
  <c r="C656" i="4"/>
  <c r="B656" i="4"/>
  <c r="A656" i="4"/>
  <c r="R655" i="4"/>
  <c r="P655" i="4"/>
  <c r="N655" i="4"/>
  <c r="L655" i="4"/>
  <c r="K655" i="4"/>
  <c r="J655" i="4"/>
  <c r="I655" i="4"/>
  <c r="H655" i="4"/>
  <c r="G655" i="4"/>
  <c r="F655" i="4"/>
  <c r="E655" i="4"/>
  <c r="D655" i="4"/>
  <c r="C655" i="4"/>
  <c r="B655" i="4"/>
  <c r="A655" i="4"/>
  <c r="R654" i="4"/>
  <c r="P654" i="4"/>
  <c r="N654" i="4"/>
  <c r="L654" i="4"/>
  <c r="K654" i="4"/>
  <c r="J654" i="4"/>
  <c r="I654" i="4"/>
  <c r="H654" i="4"/>
  <c r="G654" i="4"/>
  <c r="F654" i="4"/>
  <c r="E654" i="4"/>
  <c r="D654" i="4"/>
  <c r="C654" i="4"/>
  <c r="B654" i="4"/>
  <c r="A654" i="4"/>
  <c r="R653" i="4"/>
  <c r="P653" i="4"/>
  <c r="N653" i="4"/>
  <c r="L653" i="4"/>
  <c r="K653" i="4"/>
  <c r="J653" i="4"/>
  <c r="I653" i="4"/>
  <c r="H653" i="4"/>
  <c r="G653" i="4"/>
  <c r="F653" i="4"/>
  <c r="E653" i="4"/>
  <c r="D653" i="4"/>
  <c r="C653" i="4"/>
  <c r="B653" i="4"/>
  <c r="A653" i="4"/>
  <c r="R652" i="4"/>
  <c r="P652" i="4"/>
  <c r="N652" i="4"/>
  <c r="L652" i="4"/>
  <c r="K652" i="4"/>
  <c r="J652" i="4"/>
  <c r="I652" i="4"/>
  <c r="H652" i="4"/>
  <c r="G652" i="4"/>
  <c r="F652" i="4"/>
  <c r="E652" i="4"/>
  <c r="D652" i="4"/>
  <c r="C652" i="4"/>
  <c r="B652" i="4"/>
  <c r="A652" i="4"/>
  <c r="R651" i="4"/>
  <c r="P651" i="4"/>
  <c r="N651" i="4"/>
  <c r="L651" i="4"/>
  <c r="K651" i="4"/>
  <c r="J651" i="4"/>
  <c r="I651" i="4"/>
  <c r="H651" i="4"/>
  <c r="G651" i="4"/>
  <c r="F651" i="4"/>
  <c r="E651" i="4"/>
  <c r="D651" i="4"/>
  <c r="C651" i="4"/>
  <c r="B651" i="4"/>
  <c r="A651" i="4"/>
  <c r="R650" i="4"/>
  <c r="P650" i="4"/>
  <c r="N650" i="4"/>
  <c r="L650" i="4"/>
  <c r="K650" i="4"/>
  <c r="J650" i="4"/>
  <c r="I650" i="4"/>
  <c r="H650" i="4"/>
  <c r="G650" i="4"/>
  <c r="F650" i="4"/>
  <c r="E650" i="4"/>
  <c r="D650" i="4"/>
  <c r="C650" i="4"/>
  <c r="B650" i="4"/>
  <c r="A650" i="4"/>
  <c r="R649" i="4"/>
  <c r="P649" i="4"/>
  <c r="N649" i="4"/>
  <c r="L649" i="4"/>
  <c r="K649" i="4"/>
  <c r="J649" i="4"/>
  <c r="I649" i="4"/>
  <c r="H649" i="4"/>
  <c r="G649" i="4"/>
  <c r="F649" i="4"/>
  <c r="E649" i="4"/>
  <c r="D649" i="4"/>
  <c r="C649" i="4"/>
  <c r="B649" i="4"/>
  <c r="A649" i="4"/>
  <c r="R648" i="4"/>
  <c r="P648" i="4"/>
  <c r="N648" i="4"/>
  <c r="L648" i="4"/>
  <c r="K648" i="4"/>
  <c r="J648" i="4"/>
  <c r="I648" i="4"/>
  <c r="H648" i="4"/>
  <c r="G648" i="4"/>
  <c r="F648" i="4"/>
  <c r="E648" i="4"/>
  <c r="D648" i="4"/>
  <c r="C648" i="4"/>
  <c r="B648" i="4"/>
  <c r="A648" i="4"/>
  <c r="R647" i="4"/>
  <c r="P647" i="4"/>
  <c r="N647" i="4"/>
  <c r="L647" i="4"/>
  <c r="K647" i="4"/>
  <c r="J647" i="4"/>
  <c r="I647" i="4"/>
  <c r="H647" i="4"/>
  <c r="G647" i="4"/>
  <c r="F647" i="4"/>
  <c r="E647" i="4"/>
  <c r="D647" i="4"/>
  <c r="C647" i="4"/>
  <c r="B647" i="4"/>
  <c r="A647" i="4"/>
  <c r="R646" i="4"/>
  <c r="P646" i="4"/>
  <c r="N646" i="4"/>
  <c r="L646" i="4"/>
  <c r="K646" i="4"/>
  <c r="J646" i="4"/>
  <c r="I646" i="4"/>
  <c r="H646" i="4"/>
  <c r="G646" i="4"/>
  <c r="F646" i="4"/>
  <c r="E646" i="4"/>
  <c r="D646" i="4"/>
  <c r="C646" i="4"/>
  <c r="B646" i="4"/>
  <c r="A646" i="4"/>
  <c r="R645" i="4"/>
  <c r="P645" i="4"/>
  <c r="N645" i="4"/>
  <c r="L645" i="4"/>
  <c r="K645" i="4"/>
  <c r="J645" i="4"/>
  <c r="I645" i="4"/>
  <c r="H645" i="4"/>
  <c r="G645" i="4"/>
  <c r="F645" i="4"/>
  <c r="E645" i="4"/>
  <c r="D645" i="4"/>
  <c r="C645" i="4"/>
  <c r="B645" i="4"/>
  <c r="A645" i="4"/>
  <c r="R644" i="4"/>
  <c r="P644" i="4"/>
  <c r="N644" i="4"/>
  <c r="L644" i="4"/>
  <c r="K644" i="4"/>
  <c r="J644" i="4"/>
  <c r="I644" i="4"/>
  <c r="H644" i="4"/>
  <c r="G644" i="4"/>
  <c r="F644" i="4"/>
  <c r="E644" i="4"/>
  <c r="D644" i="4"/>
  <c r="C644" i="4"/>
  <c r="B644" i="4"/>
  <c r="A644" i="4"/>
  <c r="R643" i="4"/>
  <c r="P643" i="4"/>
  <c r="N643" i="4"/>
  <c r="L643" i="4"/>
  <c r="K643" i="4"/>
  <c r="J643" i="4"/>
  <c r="I643" i="4"/>
  <c r="H643" i="4"/>
  <c r="G643" i="4"/>
  <c r="F643" i="4"/>
  <c r="E643" i="4"/>
  <c r="D643" i="4"/>
  <c r="C643" i="4"/>
  <c r="B643" i="4"/>
  <c r="A643" i="4"/>
  <c r="R642" i="4"/>
  <c r="P642" i="4"/>
  <c r="N642" i="4"/>
  <c r="L642" i="4"/>
  <c r="K642" i="4"/>
  <c r="J642" i="4"/>
  <c r="I642" i="4"/>
  <c r="H642" i="4"/>
  <c r="G642" i="4"/>
  <c r="F642" i="4"/>
  <c r="E642" i="4"/>
  <c r="D642" i="4"/>
  <c r="C642" i="4"/>
  <c r="B642" i="4"/>
  <c r="A642" i="4"/>
  <c r="R641" i="4"/>
  <c r="P641" i="4"/>
  <c r="N641" i="4"/>
  <c r="L641" i="4"/>
  <c r="K641" i="4"/>
  <c r="J641" i="4"/>
  <c r="I641" i="4"/>
  <c r="H641" i="4"/>
  <c r="G641" i="4"/>
  <c r="F641" i="4"/>
  <c r="E641" i="4"/>
  <c r="D641" i="4"/>
  <c r="C641" i="4"/>
  <c r="B641" i="4"/>
  <c r="A641" i="4"/>
  <c r="R640" i="4"/>
  <c r="P640" i="4"/>
  <c r="N640" i="4"/>
  <c r="L640" i="4"/>
  <c r="K640" i="4"/>
  <c r="J640" i="4"/>
  <c r="I640" i="4"/>
  <c r="H640" i="4"/>
  <c r="G640" i="4"/>
  <c r="F640" i="4"/>
  <c r="E640" i="4"/>
  <c r="D640" i="4"/>
  <c r="C640" i="4"/>
  <c r="B640" i="4"/>
  <c r="A640" i="4"/>
  <c r="R639" i="4"/>
  <c r="P639" i="4"/>
  <c r="N639" i="4"/>
  <c r="L639" i="4"/>
  <c r="K639" i="4"/>
  <c r="J639" i="4"/>
  <c r="I639" i="4"/>
  <c r="H639" i="4"/>
  <c r="G639" i="4"/>
  <c r="F639" i="4"/>
  <c r="E639" i="4"/>
  <c r="D639" i="4"/>
  <c r="C639" i="4"/>
  <c r="B639" i="4"/>
  <c r="A639" i="4"/>
  <c r="R638" i="4"/>
  <c r="P638" i="4"/>
  <c r="N638" i="4"/>
  <c r="L638" i="4"/>
  <c r="K638" i="4"/>
  <c r="J638" i="4"/>
  <c r="I638" i="4"/>
  <c r="H638" i="4"/>
  <c r="G638" i="4"/>
  <c r="F638" i="4"/>
  <c r="E638" i="4"/>
  <c r="D638" i="4"/>
  <c r="C638" i="4"/>
  <c r="B638" i="4"/>
  <c r="A638" i="4"/>
  <c r="R637" i="4"/>
  <c r="P637" i="4"/>
  <c r="N637" i="4"/>
  <c r="L637" i="4"/>
  <c r="K637" i="4"/>
  <c r="J637" i="4"/>
  <c r="I637" i="4"/>
  <c r="H637" i="4"/>
  <c r="G637" i="4"/>
  <c r="F637" i="4"/>
  <c r="E637" i="4"/>
  <c r="D637" i="4"/>
  <c r="C637" i="4"/>
  <c r="B637" i="4"/>
  <c r="A637" i="4"/>
  <c r="R636" i="4"/>
  <c r="P636" i="4"/>
  <c r="N636" i="4"/>
  <c r="L636" i="4"/>
  <c r="K636" i="4"/>
  <c r="J636" i="4"/>
  <c r="I636" i="4"/>
  <c r="H636" i="4"/>
  <c r="G636" i="4"/>
  <c r="F636" i="4"/>
  <c r="E636" i="4"/>
  <c r="D636" i="4"/>
  <c r="C636" i="4"/>
  <c r="B636" i="4"/>
  <c r="A636" i="4"/>
  <c r="R635" i="4"/>
  <c r="P635" i="4"/>
  <c r="N635" i="4"/>
  <c r="L635" i="4"/>
  <c r="K635" i="4"/>
  <c r="J635" i="4"/>
  <c r="I635" i="4"/>
  <c r="H635" i="4"/>
  <c r="G635" i="4"/>
  <c r="F635" i="4"/>
  <c r="E635" i="4"/>
  <c r="D635" i="4"/>
  <c r="C635" i="4"/>
  <c r="B635" i="4"/>
  <c r="A635" i="4"/>
  <c r="R634" i="4"/>
  <c r="P634" i="4"/>
  <c r="N634" i="4"/>
  <c r="L634" i="4"/>
  <c r="K634" i="4"/>
  <c r="J634" i="4"/>
  <c r="I634" i="4"/>
  <c r="H634" i="4"/>
  <c r="G634" i="4"/>
  <c r="F634" i="4"/>
  <c r="E634" i="4"/>
  <c r="D634" i="4"/>
  <c r="C634" i="4"/>
  <c r="B634" i="4"/>
  <c r="A634" i="4"/>
  <c r="R633" i="4"/>
  <c r="P633" i="4"/>
  <c r="N633" i="4"/>
  <c r="L633" i="4"/>
  <c r="K633" i="4"/>
  <c r="J633" i="4"/>
  <c r="I633" i="4"/>
  <c r="H633" i="4"/>
  <c r="G633" i="4"/>
  <c r="F633" i="4"/>
  <c r="E633" i="4"/>
  <c r="D633" i="4"/>
  <c r="C633" i="4"/>
  <c r="B633" i="4"/>
  <c r="A633" i="4"/>
  <c r="R632" i="4"/>
  <c r="P632" i="4"/>
  <c r="N632" i="4"/>
  <c r="L632" i="4"/>
  <c r="K632" i="4"/>
  <c r="J632" i="4"/>
  <c r="I632" i="4"/>
  <c r="H632" i="4"/>
  <c r="G632" i="4"/>
  <c r="F632" i="4"/>
  <c r="E632" i="4"/>
  <c r="D632" i="4"/>
  <c r="C632" i="4"/>
  <c r="B632" i="4"/>
  <c r="A632" i="4"/>
  <c r="R631" i="4"/>
  <c r="P631" i="4"/>
  <c r="N631" i="4"/>
  <c r="L631" i="4"/>
  <c r="K631" i="4"/>
  <c r="J631" i="4"/>
  <c r="I631" i="4"/>
  <c r="H631" i="4"/>
  <c r="G631" i="4"/>
  <c r="F631" i="4"/>
  <c r="E631" i="4"/>
  <c r="D631" i="4"/>
  <c r="C631" i="4"/>
  <c r="B631" i="4"/>
  <c r="A631" i="4"/>
  <c r="R630" i="4"/>
  <c r="P630" i="4"/>
  <c r="N630" i="4"/>
  <c r="L630" i="4"/>
  <c r="K630" i="4"/>
  <c r="J630" i="4"/>
  <c r="I630" i="4"/>
  <c r="H630" i="4"/>
  <c r="G630" i="4"/>
  <c r="F630" i="4"/>
  <c r="E630" i="4"/>
  <c r="D630" i="4"/>
  <c r="C630" i="4"/>
  <c r="B630" i="4"/>
  <c r="A630" i="4"/>
  <c r="R629" i="4"/>
  <c r="P629" i="4"/>
  <c r="N629" i="4"/>
  <c r="L629" i="4"/>
  <c r="K629" i="4"/>
  <c r="J629" i="4"/>
  <c r="I629" i="4"/>
  <c r="H629" i="4"/>
  <c r="G629" i="4"/>
  <c r="F629" i="4"/>
  <c r="E629" i="4"/>
  <c r="D629" i="4"/>
  <c r="C629" i="4"/>
  <c r="B629" i="4"/>
  <c r="A629" i="4"/>
  <c r="R628" i="4"/>
  <c r="P628" i="4"/>
  <c r="N628" i="4"/>
  <c r="L628" i="4"/>
  <c r="K628" i="4"/>
  <c r="J628" i="4"/>
  <c r="I628" i="4"/>
  <c r="H628" i="4"/>
  <c r="G628" i="4"/>
  <c r="F628" i="4"/>
  <c r="E628" i="4"/>
  <c r="D628" i="4"/>
  <c r="C628" i="4"/>
  <c r="B628" i="4"/>
  <c r="A628" i="4"/>
  <c r="R627" i="4"/>
  <c r="P627" i="4"/>
  <c r="N627" i="4"/>
  <c r="L627" i="4"/>
  <c r="K627" i="4"/>
  <c r="J627" i="4"/>
  <c r="I627" i="4"/>
  <c r="H627" i="4"/>
  <c r="G627" i="4"/>
  <c r="F627" i="4"/>
  <c r="E627" i="4"/>
  <c r="D627" i="4"/>
  <c r="C627" i="4"/>
  <c r="B627" i="4"/>
  <c r="A627" i="4"/>
  <c r="R626" i="4"/>
  <c r="P626" i="4"/>
  <c r="N626" i="4"/>
  <c r="L626" i="4"/>
  <c r="K626" i="4"/>
  <c r="J626" i="4"/>
  <c r="I626" i="4"/>
  <c r="H626" i="4"/>
  <c r="G626" i="4"/>
  <c r="F626" i="4"/>
  <c r="E626" i="4"/>
  <c r="D626" i="4"/>
  <c r="C626" i="4"/>
  <c r="B626" i="4"/>
  <c r="A626" i="4"/>
  <c r="R625" i="4"/>
  <c r="P625" i="4"/>
  <c r="N625" i="4"/>
  <c r="L625" i="4"/>
  <c r="K625" i="4"/>
  <c r="J625" i="4"/>
  <c r="I625" i="4"/>
  <c r="H625" i="4"/>
  <c r="G625" i="4"/>
  <c r="F625" i="4"/>
  <c r="E625" i="4"/>
  <c r="D625" i="4"/>
  <c r="C625" i="4"/>
  <c r="B625" i="4"/>
  <c r="A625" i="4"/>
  <c r="R624" i="4"/>
  <c r="P624" i="4"/>
  <c r="N624" i="4"/>
  <c r="L624" i="4"/>
  <c r="K624" i="4"/>
  <c r="J624" i="4"/>
  <c r="I624" i="4"/>
  <c r="H624" i="4"/>
  <c r="G624" i="4"/>
  <c r="F624" i="4"/>
  <c r="E624" i="4"/>
  <c r="D624" i="4"/>
  <c r="C624" i="4"/>
  <c r="B624" i="4"/>
  <c r="A624" i="4"/>
  <c r="R623" i="4"/>
  <c r="P623" i="4"/>
  <c r="N623" i="4"/>
  <c r="L623" i="4"/>
  <c r="K623" i="4"/>
  <c r="J623" i="4"/>
  <c r="I623" i="4"/>
  <c r="H623" i="4"/>
  <c r="G623" i="4"/>
  <c r="F623" i="4"/>
  <c r="E623" i="4"/>
  <c r="D623" i="4"/>
  <c r="C623" i="4"/>
  <c r="B623" i="4"/>
  <c r="A623" i="4"/>
  <c r="R622" i="4"/>
  <c r="P622" i="4"/>
  <c r="N622" i="4"/>
  <c r="L622" i="4"/>
  <c r="K622" i="4"/>
  <c r="J622" i="4"/>
  <c r="I622" i="4"/>
  <c r="H622" i="4"/>
  <c r="G622" i="4"/>
  <c r="F622" i="4"/>
  <c r="E622" i="4"/>
  <c r="D622" i="4"/>
  <c r="C622" i="4"/>
  <c r="B622" i="4"/>
  <c r="A622" i="4"/>
  <c r="R621" i="4"/>
  <c r="P621" i="4"/>
  <c r="N621" i="4"/>
  <c r="L621" i="4"/>
  <c r="K621" i="4"/>
  <c r="J621" i="4"/>
  <c r="I621" i="4"/>
  <c r="H621" i="4"/>
  <c r="G621" i="4"/>
  <c r="F621" i="4"/>
  <c r="E621" i="4"/>
  <c r="D621" i="4"/>
  <c r="C621" i="4"/>
  <c r="B621" i="4"/>
  <c r="A621" i="4"/>
  <c r="R620" i="4"/>
  <c r="P620" i="4"/>
  <c r="N620" i="4"/>
  <c r="L620" i="4"/>
  <c r="K620" i="4"/>
  <c r="J620" i="4"/>
  <c r="I620" i="4"/>
  <c r="H620" i="4"/>
  <c r="G620" i="4"/>
  <c r="F620" i="4"/>
  <c r="E620" i="4"/>
  <c r="D620" i="4"/>
  <c r="C620" i="4"/>
  <c r="B620" i="4"/>
  <c r="A620" i="4"/>
  <c r="R619" i="4"/>
  <c r="P619" i="4"/>
  <c r="N619" i="4"/>
  <c r="L619" i="4"/>
  <c r="K619" i="4"/>
  <c r="J619" i="4"/>
  <c r="I619" i="4"/>
  <c r="H619" i="4"/>
  <c r="G619" i="4"/>
  <c r="F619" i="4"/>
  <c r="E619" i="4"/>
  <c r="D619" i="4"/>
  <c r="C619" i="4"/>
  <c r="B619" i="4"/>
  <c r="A619" i="4"/>
  <c r="R618" i="4"/>
  <c r="P618" i="4"/>
  <c r="N618" i="4"/>
  <c r="L618" i="4"/>
  <c r="K618" i="4"/>
  <c r="J618" i="4"/>
  <c r="I618" i="4"/>
  <c r="H618" i="4"/>
  <c r="G618" i="4"/>
  <c r="F618" i="4"/>
  <c r="E618" i="4"/>
  <c r="D618" i="4"/>
  <c r="C618" i="4"/>
  <c r="B618" i="4"/>
  <c r="A618" i="4"/>
  <c r="R617" i="4"/>
  <c r="P617" i="4"/>
  <c r="N617" i="4"/>
  <c r="L617" i="4"/>
  <c r="K617" i="4"/>
  <c r="J617" i="4"/>
  <c r="I617" i="4"/>
  <c r="H617" i="4"/>
  <c r="G617" i="4"/>
  <c r="F617" i="4"/>
  <c r="E617" i="4"/>
  <c r="D617" i="4"/>
  <c r="C617" i="4"/>
  <c r="B617" i="4"/>
  <c r="A617" i="4"/>
  <c r="R616" i="4"/>
  <c r="P616" i="4"/>
  <c r="N616" i="4"/>
  <c r="L616" i="4"/>
  <c r="K616" i="4"/>
  <c r="J616" i="4"/>
  <c r="I616" i="4"/>
  <c r="H616" i="4"/>
  <c r="G616" i="4"/>
  <c r="F616" i="4"/>
  <c r="E616" i="4"/>
  <c r="D616" i="4"/>
  <c r="C616" i="4"/>
  <c r="B616" i="4"/>
  <c r="A616" i="4"/>
  <c r="R615" i="4"/>
  <c r="P615" i="4"/>
  <c r="N615" i="4"/>
  <c r="L615" i="4"/>
  <c r="K615" i="4"/>
  <c r="J615" i="4"/>
  <c r="I615" i="4"/>
  <c r="H615" i="4"/>
  <c r="G615" i="4"/>
  <c r="F615" i="4"/>
  <c r="E615" i="4"/>
  <c r="D615" i="4"/>
  <c r="C615" i="4"/>
  <c r="B615" i="4"/>
  <c r="A615" i="4"/>
  <c r="R614" i="4"/>
  <c r="P614" i="4"/>
  <c r="N614" i="4"/>
  <c r="L614" i="4"/>
  <c r="K614" i="4"/>
  <c r="J614" i="4"/>
  <c r="I614" i="4"/>
  <c r="H614" i="4"/>
  <c r="G614" i="4"/>
  <c r="F614" i="4"/>
  <c r="E614" i="4"/>
  <c r="D614" i="4"/>
  <c r="C614" i="4"/>
  <c r="B614" i="4"/>
  <c r="A614" i="4"/>
  <c r="R613" i="4"/>
  <c r="P613" i="4"/>
  <c r="N613" i="4"/>
  <c r="L613" i="4"/>
  <c r="K613" i="4"/>
  <c r="J613" i="4"/>
  <c r="I613" i="4"/>
  <c r="H613" i="4"/>
  <c r="G613" i="4"/>
  <c r="F613" i="4"/>
  <c r="E613" i="4"/>
  <c r="D613" i="4"/>
  <c r="C613" i="4"/>
  <c r="B613" i="4"/>
  <c r="A613" i="4"/>
  <c r="R612" i="4"/>
  <c r="P612" i="4"/>
  <c r="N612" i="4"/>
  <c r="L612" i="4"/>
  <c r="K612" i="4"/>
  <c r="J612" i="4"/>
  <c r="I612" i="4"/>
  <c r="H612" i="4"/>
  <c r="G612" i="4"/>
  <c r="F612" i="4"/>
  <c r="E612" i="4"/>
  <c r="D612" i="4"/>
  <c r="C612" i="4"/>
  <c r="B612" i="4"/>
  <c r="A612" i="4"/>
  <c r="R611" i="4"/>
  <c r="P611" i="4"/>
  <c r="N611" i="4"/>
  <c r="L611" i="4"/>
  <c r="K611" i="4"/>
  <c r="J611" i="4"/>
  <c r="I611" i="4"/>
  <c r="H611" i="4"/>
  <c r="G611" i="4"/>
  <c r="F611" i="4"/>
  <c r="E611" i="4"/>
  <c r="D611" i="4"/>
  <c r="C611" i="4"/>
  <c r="B611" i="4"/>
  <c r="A611" i="4"/>
  <c r="R610" i="4"/>
  <c r="P610" i="4"/>
  <c r="N610" i="4"/>
  <c r="L610" i="4"/>
  <c r="K610" i="4"/>
  <c r="J610" i="4"/>
  <c r="I610" i="4"/>
  <c r="H610" i="4"/>
  <c r="G610" i="4"/>
  <c r="F610" i="4"/>
  <c r="E610" i="4"/>
  <c r="D610" i="4"/>
  <c r="C610" i="4"/>
  <c r="B610" i="4"/>
  <c r="A610" i="4"/>
  <c r="R609" i="4"/>
  <c r="P609" i="4"/>
  <c r="N609" i="4"/>
  <c r="L609" i="4"/>
  <c r="K609" i="4"/>
  <c r="J609" i="4"/>
  <c r="I609" i="4"/>
  <c r="H609" i="4"/>
  <c r="G609" i="4"/>
  <c r="F609" i="4"/>
  <c r="E609" i="4"/>
  <c r="D609" i="4"/>
  <c r="C609" i="4"/>
  <c r="B609" i="4"/>
  <c r="A609" i="4"/>
  <c r="R608" i="4"/>
  <c r="P608" i="4"/>
  <c r="N608" i="4"/>
  <c r="L608" i="4"/>
  <c r="K608" i="4"/>
  <c r="J608" i="4"/>
  <c r="I608" i="4"/>
  <c r="H608" i="4"/>
  <c r="G608" i="4"/>
  <c r="F608" i="4"/>
  <c r="E608" i="4"/>
  <c r="D608" i="4"/>
  <c r="C608" i="4"/>
  <c r="B608" i="4"/>
  <c r="A608" i="4"/>
  <c r="R607" i="4"/>
  <c r="P607" i="4"/>
  <c r="N607" i="4"/>
  <c r="L607" i="4"/>
  <c r="K607" i="4"/>
  <c r="J607" i="4"/>
  <c r="I607" i="4"/>
  <c r="H607" i="4"/>
  <c r="G607" i="4"/>
  <c r="F607" i="4"/>
  <c r="E607" i="4"/>
  <c r="D607" i="4"/>
  <c r="C607" i="4"/>
  <c r="B607" i="4"/>
  <c r="A607" i="4"/>
  <c r="R606" i="4"/>
  <c r="P606" i="4"/>
  <c r="N606" i="4"/>
  <c r="L606" i="4"/>
  <c r="K606" i="4"/>
  <c r="J606" i="4"/>
  <c r="I606" i="4"/>
  <c r="H606" i="4"/>
  <c r="G606" i="4"/>
  <c r="F606" i="4"/>
  <c r="E606" i="4"/>
  <c r="D606" i="4"/>
  <c r="C606" i="4"/>
  <c r="B606" i="4"/>
  <c r="A606" i="4"/>
  <c r="R605" i="4"/>
  <c r="P605" i="4"/>
  <c r="N605" i="4"/>
  <c r="L605" i="4"/>
  <c r="K605" i="4"/>
  <c r="J605" i="4"/>
  <c r="I605" i="4"/>
  <c r="H605" i="4"/>
  <c r="G605" i="4"/>
  <c r="F605" i="4"/>
  <c r="E605" i="4"/>
  <c r="D605" i="4"/>
  <c r="C605" i="4"/>
  <c r="B605" i="4"/>
  <c r="A605" i="4"/>
  <c r="R604" i="4"/>
  <c r="P604" i="4"/>
  <c r="N604" i="4"/>
  <c r="L604" i="4"/>
  <c r="K604" i="4"/>
  <c r="J604" i="4"/>
  <c r="I604" i="4"/>
  <c r="H604" i="4"/>
  <c r="G604" i="4"/>
  <c r="F604" i="4"/>
  <c r="E604" i="4"/>
  <c r="D604" i="4"/>
  <c r="C604" i="4"/>
  <c r="B604" i="4"/>
  <c r="A604" i="4"/>
  <c r="R603" i="4"/>
  <c r="P603" i="4"/>
  <c r="N603" i="4"/>
  <c r="L603" i="4"/>
  <c r="K603" i="4"/>
  <c r="J603" i="4"/>
  <c r="I603" i="4"/>
  <c r="H603" i="4"/>
  <c r="G603" i="4"/>
  <c r="F603" i="4"/>
  <c r="E603" i="4"/>
  <c r="D603" i="4"/>
  <c r="C603" i="4"/>
  <c r="B603" i="4"/>
  <c r="A603" i="4"/>
  <c r="R602" i="4"/>
  <c r="P602" i="4"/>
  <c r="N602" i="4"/>
  <c r="L602" i="4"/>
  <c r="K602" i="4"/>
  <c r="J602" i="4"/>
  <c r="I602" i="4"/>
  <c r="H602" i="4"/>
  <c r="G602" i="4"/>
  <c r="F602" i="4"/>
  <c r="E602" i="4"/>
  <c r="D602" i="4"/>
  <c r="C602" i="4"/>
  <c r="B602" i="4"/>
  <c r="A602" i="4"/>
  <c r="R601" i="4"/>
  <c r="P601" i="4"/>
  <c r="N601" i="4"/>
  <c r="L601" i="4"/>
  <c r="K601" i="4"/>
  <c r="J601" i="4"/>
  <c r="I601" i="4"/>
  <c r="H601" i="4"/>
  <c r="G601" i="4"/>
  <c r="F601" i="4"/>
  <c r="E601" i="4"/>
  <c r="D601" i="4"/>
  <c r="C601" i="4"/>
  <c r="B601" i="4"/>
  <c r="A601" i="4"/>
  <c r="R600" i="4"/>
  <c r="P600" i="4"/>
  <c r="N600" i="4"/>
  <c r="L600" i="4"/>
  <c r="K600" i="4"/>
  <c r="J600" i="4"/>
  <c r="I600" i="4"/>
  <c r="H600" i="4"/>
  <c r="G600" i="4"/>
  <c r="F600" i="4"/>
  <c r="E600" i="4"/>
  <c r="D600" i="4"/>
  <c r="C600" i="4"/>
  <c r="B600" i="4"/>
  <c r="A600" i="4"/>
  <c r="R599" i="4"/>
  <c r="P599" i="4"/>
  <c r="N599" i="4"/>
  <c r="L599" i="4"/>
  <c r="K599" i="4"/>
  <c r="J599" i="4"/>
  <c r="I599" i="4"/>
  <c r="H599" i="4"/>
  <c r="G599" i="4"/>
  <c r="F599" i="4"/>
  <c r="E599" i="4"/>
  <c r="D599" i="4"/>
  <c r="C599" i="4"/>
  <c r="B599" i="4"/>
  <c r="A599" i="4"/>
  <c r="R598" i="4"/>
  <c r="P598" i="4"/>
  <c r="N598" i="4"/>
  <c r="L598" i="4"/>
  <c r="K598" i="4"/>
  <c r="J598" i="4"/>
  <c r="I598" i="4"/>
  <c r="H598" i="4"/>
  <c r="G598" i="4"/>
  <c r="F598" i="4"/>
  <c r="E598" i="4"/>
  <c r="D598" i="4"/>
  <c r="C598" i="4"/>
  <c r="B598" i="4"/>
  <c r="A598" i="4"/>
  <c r="R597" i="4"/>
  <c r="P597" i="4"/>
  <c r="N597" i="4"/>
  <c r="L597" i="4"/>
  <c r="K597" i="4"/>
  <c r="J597" i="4"/>
  <c r="I597" i="4"/>
  <c r="H597" i="4"/>
  <c r="G597" i="4"/>
  <c r="F597" i="4"/>
  <c r="E597" i="4"/>
  <c r="D597" i="4"/>
  <c r="C597" i="4"/>
  <c r="B597" i="4"/>
  <c r="A597" i="4"/>
  <c r="R596" i="4"/>
  <c r="P596" i="4"/>
  <c r="N596" i="4"/>
  <c r="L596" i="4"/>
  <c r="K596" i="4"/>
  <c r="J596" i="4"/>
  <c r="I596" i="4"/>
  <c r="H596" i="4"/>
  <c r="G596" i="4"/>
  <c r="F596" i="4"/>
  <c r="E596" i="4"/>
  <c r="D596" i="4"/>
  <c r="C596" i="4"/>
  <c r="B596" i="4"/>
  <c r="A596" i="4"/>
  <c r="R595" i="4"/>
  <c r="P595" i="4"/>
  <c r="N595" i="4"/>
  <c r="L595" i="4"/>
  <c r="K595" i="4"/>
  <c r="J595" i="4"/>
  <c r="I595" i="4"/>
  <c r="H595" i="4"/>
  <c r="G595" i="4"/>
  <c r="F595" i="4"/>
  <c r="E595" i="4"/>
  <c r="D595" i="4"/>
  <c r="C595" i="4"/>
  <c r="B595" i="4"/>
  <c r="A595" i="4"/>
  <c r="R594" i="4"/>
  <c r="P594" i="4"/>
  <c r="N594" i="4"/>
  <c r="L594" i="4"/>
  <c r="K594" i="4"/>
  <c r="J594" i="4"/>
  <c r="I594" i="4"/>
  <c r="H594" i="4"/>
  <c r="G594" i="4"/>
  <c r="F594" i="4"/>
  <c r="E594" i="4"/>
  <c r="D594" i="4"/>
  <c r="C594" i="4"/>
  <c r="B594" i="4"/>
  <c r="A594" i="4"/>
  <c r="R593" i="4"/>
  <c r="P593" i="4"/>
  <c r="N593" i="4"/>
  <c r="L593" i="4"/>
  <c r="K593" i="4"/>
  <c r="J593" i="4"/>
  <c r="I593" i="4"/>
  <c r="H593" i="4"/>
  <c r="G593" i="4"/>
  <c r="F593" i="4"/>
  <c r="E593" i="4"/>
  <c r="D593" i="4"/>
  <c r="C593" i="4"/>
  <c r="B593" i="4"/>
  <c r="A593" i="4"/>
  <c r="R592" i="4"/>
  <c r="P592" i="4"/>
  <c r="N592" i="4"/>
  <c r="L592" i="4"/>
  <c r="K592" i="4"/>
  <c r="J592" i="4"/>
  <c r="I592" i="4"/>
  <c r="H592" i="4"/>
  <c r="G592" i="4"/>
  <c r="F592" i="4"/>
  <c r="E592" i="4"/>
  <c r="D592" i="4"/>
  <c r="C592" i="4"/>
  <c r="B592" i="4"/>
  <c r="A592" i="4"/>
  <c r="R591" i="4"/>
  <c r="P591" i="4"/>
  <c r="N591" i="4"/>
  <c r="L591" i="4"/>
  <c r="K591" i="4"/>
  <c r="J591" i="4"/>
  <c r="I591" i="4"/>
  <c r="H591" i="4"/>
  <c r="G591" i="4"/>
  <c r="F591" i="4"/>
  <c r="E591" i="4"/>
  <c r="D591" i="4"/>
  <c r="C591" i="4"/>
  <c r="B591" i="4"/>
  <c r="A591" i="4"/>
  <c r="R590" i="4"/>
  <c r="P590" i="4"/>
  <c r="N590" i="4"/>
  <c r="L590" i="4"/>
  <c r="K590" i="4"/>
  <c r="J590" i="4"/>
  <c r="I590" i="4"/>
  <c r="H590" i="4"/>
  <c r="G590" i="4"/>
  <c r="F590" i="4"/>
  <c r="E590" i="4"/>
  <c r="D590" i="4"/>
  <c r="C590" i="4"/>
  <c r="B590" i="4"/>
  <c r="A590" i="4"/>
  <c r="R589" i="4"/>
  <c r="P589" i="4"/>
  <c r="N589" i="4"/>
  <c r="L589" i="4"/>
  <c r="K589" i="4"/>
  <c r="J589" i="4"/>
  <c r="I589" i="4"/>
  <c r="H589" i="4"/>
  <c r="G589" i="4"/>
  <c r="F589" i="4"/>
  <c r="E589" i="4"/>
  <c r="D589" i="4"/>
  <c r="C589" i="4"/>
  <c r="B589" i="4"/>
  <c r="A589" i="4"/>
  <c r="R588" i="4"/>
  <c r="P588" i="4"/>
  <c r="N588" i="4"/>
  <c r="L588" i="4"/>
  <c r="K588" i="4"/>
  <c r="J588" i="4"/>
  <c r="I588" i="4"/>
  <c r="H588" i="4"/>
  <c r="G588" i="4"/>
  <c r="F588" i="4"/>
  <c r="E588" i="4"/>
  <c r="D588" i="4"/>
  <c r="C588" i="4"/>
  <c r="B588" i="4"/>
  <c r="A588" i="4"/>
  <c r="R587" i="4"/>
  <c r="P587" i="4"/>
  <c r="N587" i="4"/>
  <c r="L587" i="4"/>
  <c r="K587" i="4"/>
  <c r="J587" i="4"/>
  <c r="I587" i="4"/>
  <c r="H587" i="4"/>
  <c r="G587" i="4"/>
  <c r="F587" i="4"/>
  <c r="E587" i="4"/>
  <c r="D587" i="4"/>
  <c r="C587" i="4"/>
  <c r="B587" i="4"/>
  <c r="A587" i="4"/>
  <c r="R586" i="4"/>
  <c r="P586" i="4"/>
  <c r="N586" i="4"/>
  <c r="L586" i="4"/>
  <c r="K586" i="4"/>
  <c r="J586" i="4"/>
  <c r="I586" i="4"/>
  <c r="H586" i="4"/>
  <c r="G586" i="4"/>
  <c r="F586" i="4"/>
  <c r="E586" i="4"/>
  <c r="D586" i="4"/>
  <c r="C586" i="4"/>
  <c r="B586" i="4"/>
  <c r="A586" i="4"/>
  <c r="R585" i="4"/>
  <c r="P585" i="4"/>
  <c r="N585" i="4"/>
  <c r="L585" i="4"/>
  <c r="K585" i="4"/>
  <c r="J585" i="4"/>
  <c r="I585" i="4"/>
  <c r="H585" i="4"/>
  <c r="G585" i="4"/>
  <c r="F585" i="4"/>
  <c r="E585" i="4"/>
  <c r="D585" i="4"/>
  <c r="C585" i="4"/>
  <c r="B585" i="4"/>
  <c r="A585" i="4"/>
  <c r="R584" i="4"/>
  <c r="P584" i="4"/>
  <c r="N584" i="4"/>
  <c r="L584" i="4"/>
  <c r="K584" i="4"/>
  <c r="J584" i="4"/>
  <c r="I584" i="4"/>
  <c r="H584" i="4"/>
  <c r="G584" i="4"/>
  <c r="F584" i="4"/>
  <c r="E584" i="4"/>
  <c r="D584" i="4"/>
  <c r="C584" i="4"/>
  <c r="B584" i="4"/>
  <c r="A584" i="4"/>
  <c r="R583" i="4"/>
  <c r="P583" i="4"/>
  <c r="N583" i="4"/>
  <c r="L583" i="4"/>
  <c r="K583" i="4"/>
  <c r="J583" i="4"/>
  <c r="I583" i="4"/>
  <c r="H583" i="4"/>
  <c r="G583" i="4"/>
  <c r="F583" i="4"/>
  <c r="E583" i="4"/>
  <c r="D583" i="4"/>
  <c r="C583" i="4"/>
  <c r="B583" i="4"/>
  <c r="A583" i="4"/>
  <c r="R582" i="4"/>
  <c r="P582" i="4"/>
  <c r="N582" i="4"/>
  <c r="L582" i="4"/>
  <c r="K582" i="4"/>
  <c r="J582" i="4"/>
  <c r="I582" i="4"/>
  <c r="H582" i="4"/>
  <c r="G582" i="4"/>
  <c r="F582" i="4"/>
  <c r="E582" i="4"/>
  <c r="D582" i="4"/>
  <c r="C582" i="4"/>
  <c r="B582" i="4"/>
  <c r="A582" i="4"/>
  <c r="R581" i="4"/>
  <c r="P581" i="4"/>
  <c r="N581" i="4"/>
  <c r="L581" i="4"/>
  <c r="K581" i="4"/>
  <c r="J581" i="4"/>
  <c r="I581" i="4"/>
  <c r="H581" i="4"/>
  <c r="G581" i="4"/>
  <c r="F581" i="4"/>
  <c r="E581" i="4"/>
  <c r="D581" i="4"/>
  <c r="C581" i="4"/>
  <c r="B581" i="4"/>
  <c r="A581" i="4"/>
  <c r="R580" i="4"/>
  <c r="P580" i="4"/>
  <c r="N580" i="4"/>
  <c r="L580" i="4"/>
  <c r="K580" i="4"/>
  <c r="J580" i="4"/>
  <c r="I580" i="4"/>
  <c r="H580" i="4"/>
  <c r="G580" i="4"/>
  <c r="F580" i="4"/>
  <c r="E580" i="4"/>
  <c r="D580" i="4"/>
  <c r="C580" i="4"/>
  <c r="B580" i="4"/>
  <c r="A580" i="4"/>
  <c r="R579" i="4"/>
  <c r="P579" i="4"/>
  <c r="N579" i="4"/>
  <c r="L579" i="4"/>
  <c r="K579" i="4"/>
  <c r="J579" i="4"/>
  <c r="I579" i="4"/>
  <c r="H579" i="4"/>
  <c r="G579" i="4"/>
  <c r="F579" i="4"/>
  <c r="E579" i="4"/>
  <c r="D579" i="4"/>
  <c r="C579" i="4"/>
  <c r="B579" i="4"/>
  <c r="A579" i="4"/>
  <c r="R578" i="4"/>
  <c r="P578" i="4"/>
  <c r="N578" i="4"/>
  <c r="L578" i="4"/>
  <c r="K578" i="4"/>
  <c r="J578" i="4"/>
  <c r="I578" i="4"/>
  <c r="H578" i="4"/>
  <c r="G578" i="4"/>
  <c r="F578" i="4"/>
  <c r="E578" i="4"/>
  <c r="D578" i="4"/>
  <c r="C578" i="4"/>
  <c r="B578" i="4"/>
  <c r="A578" i="4"/>
  <c r="R577" i="4"/>
  <c r="P577" i="4"/>
  <c r="N577" i="4"/>
  <c r="L577" i="4"/>
  <c r="K577" i="4"/>
  <c r="J577" i="4"/>
  <c r="I577" i="4"/>
  <c r="H577" i="4"/>
  <c r="G577" i="4"/>
  <c r="F577" i="4"/>
  <c r="E577" i="4"/>
  <c r="D577" i="4"/>
  <c r="C577" i="4"/>
  <c r="B577" i="4"/>
  <c r="A577" i="4"/>
  <c r="R576" i="4"/>
  <c r="P576" i="4"/>
  <c r="N576" i="4"/>
  <c r="L576" i="4"/>
  <c r="K576" i="4"/>
  <c r="J576" i="4"/>
  <c r="I576" i="4"/>
  <c r="H576" i="4"/>
  <c r="G576" i="4"/>
  <c r="F576" i="4"/>
  <c r="E576" i="4"/>
  <c r="D576" i="4"/>
  <c r="C576" i="4"/>
  <c r="B576" i="4"/>
  <c r="A576" i="4"/>
  <c r="R575" i="4"/>
  <c r="P575" i="4"/>
  <c r="N575" i="4"/>
  <c r="L575" i="4"/>
  <c r="K575" i="4"/>
  <c r="J575" i="4"/>
  <c r="I575" i="4"/>
  <c r="H575" i="4"/>
  <c r="G575" i="4"/>
  <c r="F575" i="4"/>
  <c r="E575" i="4"/>
  <c r="D575" i="4"/>
  <c r="C575" i="4"/>
  <c r="B575" i="4"/>
  <c r="A575" i="4"/>
  <c r="R574" i="4"/>
  <c r="P574" i="4"/>
  <c r="N574" i="4"/>
  <c r="L574" i="4"/>
  <c r="K574" i="4"/>
  <c r="J574" i="4"/>
  <c r="I574" i="4"/>
  <c r="H574" i="4"/>
  <c r="G574" i="4"/>
  <c r="F574" i="4"/>
  <c r="E574" i="4"/>
  <c r="D574" i="4"/>
  <c r="C574" i="4"/>
  <c r="B574" i="4"/>
  <c r="A574" i="4"/>
  <c r="R573" i="4"/>
  <c r="P573" i="4"/>
  <c r="N573" i="4"/>
  <c r="L573" i="4"/>
  <c r="K573" i="4"/>
  <c r="J573" i="4"/>
  <c r="I573" i="4"/>
  <c r="H573" i="4"/>
  <c r="G573" i="4"/>
  <c r="F573" i="4"/>
  <c r="E573" i="4"/>
  <c r="D573" i="4"/>
  <c r="C573" i="4"/>
  <c r="B573" i="4"/>
  <c r="A573" i="4"/>
  <c r="R572" i="4"/>
  <c r="P572" i="4"/>
  <c r="N572" i="4"/>
  <c r="L572" i="4"/>
  <c r="K572" i="4"/>
  <c r="J572" i="4"/>
  <c r="I572" i="4"/>
  <c r="H572" i="4"/>
  <c r="G572" i="4"/>
  <c r="F572" i="4"/>
  <c r="E572" i="4"/>
  <c r="D572" i="4"/>
  <c r="C572" i="4"/>
  <c r="B572" i="4"/>
  <c r="A572" i="4"/>
  <c r="R571" i="4"/>
  <c r="P571" i="4"/>
  <c r="N571" i="4"/>
  <c r="L571" i="4"/>
  <c r="K571" i="4"/>
  <c r="J571" i="4"/>
  <c r="I571" i="4"/>
  <c r="H571" i="4"/>
  <c r="G571" i="4"/>
  <c r="F571" i="4"/>
  <c r="E571" i="4"/>
  <c r="D571" i="4"/>
  <c r="C571" i="4"/>
  <c r="B571" i="4"/>
  <c r="A571" i="4"/>
  <c r="R570" i="4"/>
  <c r="P570" i="4"/>
  <c r="N570" i="4"/>
  <c r="L570" i="4"/>
  <c r="K570" i="4"/>
  <c r="J570" i="4"/>
  <c r="I570" i="4"/>
  <c r="H570" i="4"/>
  <c r="G570" i="4"/>
  <c r="F570" i="4"/>
  <c r="E570" i="4"/>
  <c r="D570" i="4"/>
  <c r="C570" i="4"/>
  <c r="B570" i="4"/>
  <c r="A570" i="4"/>
  <c r="R569" i="4"/>
  <c r="P569" i="4"/>
  <c r="N569" i="4"/>
  <c r="L569" i="4"/>
  <c r="K569" i="4"/>
  <c r="J569" i="4"/>
  <c r="I569" i="4"/>
  <c r="H569" i="4"/>
  <c r="G569" i="4"/>
  <c r="F569" i="4"/>
  <c r="E569" i="4"/>
  <c r="D569" i="4"/>
  <c r="C569" i="4"/>
  <c r="B569" i="4"/>
  <c r="A569" i="4"/>
  <c r="R568" i="4"/>
  <c r="P568" i="4"/>
  <c r="N568" i="4"/>
  <c r="L568" i="4"/>
  <c r="K568" i="4"/>
  <c r="J568" i="4"/>
  <c r="I568" i="4"/>
  <c r="H568" i="4"/>
  <c r="G568" i="4"/>
  <c r="F568" i="4"/>
  <c r="E568" i="4"/>
  <c r="D568" i="4"/>
  <c r="C568" i="4"/>
  <c r="B568" i="4"/>
  <c r="A568" i="4"/>
  <c r="R567" i="4"/>
  <c r="P567" i="4"/>
  <c r="N567" i="4"/>
  <c r="L567" i="4"/>
  <c r="K567" i="4"/>
  <c r="J567" i="4"/>
  <c r="I567" i="4"/>
  <c r="H567" i="4"/>
  <c r="G567" i="4"/>
  <c r="F567" i="4"/>
  <c r="E567" i="4"/>
  <c r="D567" i="4"/>
  <c r="C567" i="4"/>
  <c r="B567" i="4"/>
  <c r="A567" i="4"/>
  <c r="R566" i="4"/>
  <c r="P566" i="4"/>
  <c r="N566" i="4"/>
  <c r="L566" i="4"/>
  <c r="K566" i="4"/>
  <c r="J566" i="4"/>
  <c r="I566" i="4"/>
  <c r="H566" i="4"/>
  <c r="G566" i="4"/>
  <c r="F566" i="4"/>
  <c r="E566" i="4"/>
  <c r="D566" i="4"/>
  <c r="C566" i="4"/>
  <c r="B566" i="4"/>
  <c r="A566" i="4"/>
  <c r="R565" i="4"/>
  <c r="P565" i="4"/>
  <c r="N565" i="4"/>
  <c r="L565" i="4"/>
  <c r="K565" i="4"/>
  <c r="J565" i="4"/>
  <c r="I565" i="4"/>
  <c r="H565" i="4"/>
  <c r="G565" i="4"/>
  <c r="F565" i="4"/>
  <c r="E565" i="4"/>
  <c r="D565" i="4"/>
  <c r="C565" i="4"/>
  <c r="B565" i="4"/>
  <c r="A565" i="4"/>
  <c r="R564" i="4"/>
  <c r="P564" i="4"/>
  <c r="N564" i="4"/>
  <c r="L564" i="4"/>
  <c r="K564" i="4"/>
  <c r="J564" i="4"/>
  <c r="I564" i="4"/>
  <c r="H564" i="4"/>
  <c r="G564" i="4"/>
  <c r="F564" i="4"/>
  <c r="E564" i="4"/>
  <c r="D564" i="4"/>
  <c r="C564" i="4"/>
  <c r="B564" i="4"/>
  <c r="A564" i="4"/>
  <c r="R563" i="4"/>
  <c r="P563" i="4"/>
  <c r="N563" i="4"/>
  <c r="L563" i="4"/>
  <c r="K563" i="4"/>
  <c r="J563" i="4"/>
  <c r="I563" i="4"/>
  <c r="H563" i="4"/>
  <c r="G563" i="4"/>
  <c r="F563" i="4"/>
  <c r="E563" i="4"/>
  <c r="D563" i="4"/>
  <c r="C563" i="4"/>
  <c r="B563" i="4"/>
  <c r="A563" i="4"/>
  <c r="R562" i="4"/>
  <c r="P562" i="4"/>
  <c r="N562" i="4"/>
  <c r="L562" i="4"/>
  <c r="K562" i="4"/>
  <c r="J562" i="4"/>
  <c r="I562" i="4"/>
  <c r="H562" i="4"/>
  <c r="G562" i="4"/>
  <c r="F562" i="4"/>
  <c r="E562" i="4"/>
  <c r="D562" i="4"/>
  <c r="C562" i="4"/>
  <c r="B562" i="4"/>
  <c r="A562" i="4"/>
  <c r="R561" i="4"/>
  <c r="P561" i="4"/>
  <c r="N561" i="4"/>
  <c r="L561" i="4"/>
  <c r="K561" i="4"/>
  <c r="J561" i="4"/>
  <c r="I561" i="4"/>
  <c r="H561" i="4"/>
  <c r="G561" i="4"/>
  <c r="F561" i="4"/>
  <c r="E561" i="4"/>
  <c r="D561" i="4"/>
  <c r="C561" i="4"/>
  <c r="B561" i="4"/>
  <c r="A561" i="4"/>
  <c r="R560" i="4"/>
  <c r="P560" i="4"/>
  <c r="N560" i="4"/>
  <c r="L560" i="4"/>
  <c r="K560" i="4"/>
  <c r="J560" i="4"/>
  <c r="I560" i="4"/>
  <c r="H560" i="4"/>
  <c r="G560" i="4"/>
  <c r="F560" i="4"/>
  <c r="E560" i="4"/>
  <c r="D560" i="4"/>
  <c r="C560" i="4"/>
  <c r="B560" i="4"/>
  <c r="A560" i="4"/>
  <c r="R559" i="4"/>
  <c r="P559" i="4"/>
  <c r="N559" i="4"/>
  <c r="L559" i="4"/>
  <c r="K559" i="4"/>
  <c r="J559" i="4"/>
  <c r="I559" i="4"/>
  <c r="H559" i="4"/>
  <c r="G559" i="4"/>
  <c r="F559" i="4"/>
  <c r="E559" i="4"/>
  <c r="D559" i="4"/>
  <c r="C559" i="4"/>
  <c r="B559" i="4"/>
  <c r="A559" i="4"/>
  <c r="R558" i="4"/>
  <c r="P558" i="4"/>
  <c r="N558" i="4"/>
  <c r="L558" i="4"/>
  <c r="K558" i="4"/>
  <c r="J558" i="4"/>
  <c r="I558" i="4"/>
  <c r="H558" i="4"/>
  <c r="G558" i="4"/>
  <c r="F558" i="4"/>
  <c r="E558" i="4"/>
  <c r="D558" i="4"/>
  <c r="C558" i="4"/>
  <c r="B558" i="4"/>
  <c r="A558" i="4"/>
  <c r="R557" i="4"/>
  <c r="P557" i="4"/>
  <c r="N557" i="4"/>
  <c r="L557" i="4"/>
  <c r="K557" i="4"/>
  <c r="J557" i="4"/>
  <c r="I557" i="4"/>
  <c r="H557" i="4"/>
  <c r="G557" i="4"/>
  <c r="F557" i="4"/>
  <c r="E557" i="4"/>
  <c r="D557" i="4"/>
  <c r="C557" i="4"/>
  <c r="B557" i="4"/>
  <c r="A557" i="4"/>
  <c r="R556" i="4"/>
  <c r="P556" i="4"/>
  <c r="N556" i="4"/>
  <c r="L556" i="4"/>
  <c r="K556" i="4"/>
  <c r="J556" i="4"/>
  <c r="I556" i="4"/>
  <c r="H556" i="4"/>
  <c r="G556" i="4"/>
  <c r="F556" i="4"/>
  <c r="E556" i="4"/>
  <c r="D556" i="4"/>
  <c r="C556" i="4"/>
  <c r="B556" i="4"/>
  <c r="A556" i="4"/>
  <c r="R555" i="4"/>
  <c r="P555" i="4"/>
  <c r="N555" i="4"/>
  <c r="L555" i="4"/>
  <c r="K555" i="4"/>
  <c r="J555" i="4"/>
  <c r="I555" i="4"/>
  <c r="H555" i="4"/>
  <c r="G555" i="4"/>
  <c r="F555" i="4"/>
  <c r="E555" i="4"/>
  <c r="D555" i="4"/>
  <c r="C555" i="4"/>
  <c r="B555" i="4"/>
  <c r="A555" i="4"/>
  <c r="R554" i="4"/>
  <c r="P554" i="4"/>
  <c r="N554" i="4"/>
  <c r="L554" i="4"/>
  <c r="K554" i="4"/>
  <c r="J554" i="4"/>
  <c r="I554" i="4"/>
  <c r="H554" i="4"/>
  <c r="G554" i="4"/>
  <c r="F554" i="4"/>
  <c r="E554" i="4"/>
  <c r="D554" i="4"/>
  <c r="C554" i="4"/>
  <c r="B554" i="4"/>
  <c r="A554" i="4"/>
  <c r="R553" i="4"/>
  <c r="P553" i="4"/>
  <c r="N553" i="4"/>
  <c r="L553" i="4"/>
  <c r="K553" i="4"/>
  <c r="J553" i="4"/>
  <c r="I553" i="4"/>
  <c r="H553" i="4"/>
  <c r="G553" i="4"/>
  <c r="F553" i="4"/>
  <c r="E553" i="4"/>
  <c r="D553" i="4"/>
  <c r="C553" i="4"/>
  <c r="B553" i="4"/>
  <c r="A553" i="4"/>
  <c r="R552" i="4"/>
  <c r="P552" i="4"/>
  <c r="N552" i="4"/>
  <c r="L552" i="4"/>
  <c r="K552" i="4"/>
  <c r="J552" i="4"/>
  <c r="I552" i="4"/>
  <c r="H552" i="4"/>
  <c r="G552" i="4"/>
  <c r="F552" i="4"/>
  <c r="E552" i="4"/>
  <c r="D552" i="4"/>
  <c r="C552" i="4"/>
  <c r="B552" i="4"/>
  <c r="A552" i="4"/>
  <c r="R551" i="4"/>
  <c r="P551" i="4"/>
  <c r="N551" i="4"/>
  <c r="L551" i="4"/>
  <c r="K551" i="4"/>
  <c r="J551" i="4"/>
  <c r="I551" i="4"/>
  <c r="H551" i="4"/>
  <c r="G551" i="4"/>
  <c r="F551" i="4"/>
  <c r="E551" i="4"/>
  <c r="D551" i="4"/>
  <c r="C551" i="4"/>
  <c r="B551" i="4"/>
  <c r="A551" i="4"/>
  <c r="R550" i="4"/>
  <c r="P550" i="4"/>
  <c r="N550" i="4"/>
  <c r="L550" i="4"/>
  <c r="K550" i="4"/>
  <c r="J550" i="4"/>
  <c r="I550" i="4"/>
  <c r="H550" i="4"/>
  <c r="G550" i="4"/>
  <c r="F550" i="4"/>
  <c r="E550" i="4"/>
  <c r="D550" i="4"/>
  <c r="C550" i="4"/>
  <c r="B550" i="4"/>
  <c r="A550" i="4"/>
  <c r="R549" i="4"/>
  <c r="P549" i="4"/>
  <c r="N549" i="4"/>
  <c r="L549" i="4"/>
  <c r="K549" i="4"/>
  <c r="J549" i="4"/>
  <c r="I549" i="4"/>
  <c r="H549" i="4"/>
  <c r="G549" i="4"/>
  <c r="F549" i="4"/>
  <c r="E549" i="4"/>
  <c r="D549" i="4"/>
  <c r="C549" i="4"/>
  <c r="B549" i="4"/>
  <c r="A549" i="4"/>
  <c r="R548" i="4"/>
  <c r="P548" i="4"/>
  <c r="N548" i="4"/>
  <c r="L548" i="4"/>
  <c r="K548" i="4"/>
  <c r="J548" i="4"/>
  <c r="I548" i="4"/>
  <c r="H548" i="4"/>
  <c r="G548" i="4"/>
  <c r="F548" i="4"/>
  <c r="E548" i="4"/>
  <c r="D548" i="4"/>
  <c r="C548" i="4"/>
  <c r="B548" i="4"/>
  <c r="A548" i="4"/>
  <c r="R547" i="4"/>
  <c r="P547" i="4"/>
  <c r="N547" i="4"/>
  <c r="L547" i="4"/>
  <c r="K547" i="4"/>
  <c r="J547" i="4"/>
  <c r="I547" i="4"/>
  <c r="H547" i="4"/>
  <c r="G547" i="4"/>
  <c r="F547" i="4"/>
  <c r="E547" i="4"/>
  <c r="D547" i="4"/>
  <c r="C547" i="4"/>
  <c r="B547" i="4"/>
  <c r="A547" i="4"/>
  <c r="R546" i="4"/>
  <c r="P546" i="4"/>
  <c r="N546" i="4"/>
  <c r="L546" i="4"/>
  <c r="K546" i="4"/>
  <c r="J546" i="4"/>
  <c r="I546" i="4"/>
  <c r="H546" i="4"/>
  <c r="G546" i="4"/>
  <c r="F546" i="4"/>
  <c r="E546" i="4"/>
  <c r="D546" i="4"/>
  <c r="C546" i="4"/>
  <c r="B546" i="4"/>
  <c r="A546" i="4"/>
  <c r="R545" i="4"/>
  <c r="P545" i="4"/>
  <c r="N545" i="4"/>
  <c r="L545" i="4"/>
  <c r="K545" i="4"/>
  <c r="J545" i="4"/>
  <c r="I545" i="4"/>
  <c r="H545" i="4"/>
  <c r="G545" i="4"/>
  <c r="F545" i="4"/>
  <c r="E545" i="4"/>
  <c r="D545" i="4"/>
  <c r="C545" i="4"/>
  <c r="B545" i="4"/>
  <c r="A545" i="4"/>
  <c r="R544" i="4"/>
  <c r="P544" i="4"/>
  <c r="N544" i="4"/>
  <c r="L544" i="4"/>
  <c r="K544" i="4"/>
  <c r="J544" i="4"/>
  <c r="I544" i="4"/>
  <c r="H544" i="4"/>
  <c r="G544" i="4"/>
  <c r="F544" i="4"/>
  <c r="E544" i="4"/>
  <c r="D544" i="4"/>
  <c r="C544" i="4"/>
  <c r="B544" i="4"/>
  <c r="A544" i="4"/>
  <c r="R543" i="4"/>
  <c r="P543" i="4"/>
  <c r="N543" i="4"/>
  <c r="L543" i="4"/>
  <c r="K543" i="4"/>
  <c r="J543" i="4"/>
  <c r="I543" i="4"/>
  <c r="H543" i="4"/>
  <c r="G543" i="4"/>
  <c r="F543" i="4"/>
  <c r="E543" i="4"/>
  <c r="D543" i="4"/>
  <c r="C543" i="4"/>
  <c r="B543" i="4"/>
  <c r="A543" i="4"/>
  <c r="R542" i="4"/>
  <c r="P542" i="4"/>
  <c r="N542" i="4"/>
  <c r="L542" i="4"/>
  <c r="K542" i="4"/>
  <c r="J542" i="4"/>
  <c r="I542" i="4"/>
  <c r="H542" i="4"/>
  <c r="G542" i="4"/>
  <c r="F542" i="4"/>
  <c r="E542" i="4"/>
  <c r="D542" i="4"/>
  <c r="C542" i="4"/>
  <c r="B542" i="4"/>
  <c r="A542" i="4"/>
  <c r="R541" i="4"/>
  <c r="P541" i="4"/>
  <c r="N541" i="4"/>
  <c r="L541" i="4"/>
  <c r="K541" i="4"/>
  <c r="J541" i="4"/>
  <c r="I541" i="4"/>
  <c r="H541" i="4"/>
  <c r="G541" i="4"/>
  <c r="F541" i="4"/>
  <c r="E541" i="4"/>
  <c r="D541" i="4"/>
  <c r="C541" i="4"/>
  <c r="B541" i="4"/>
  <c r="A541" i="4"/>
  <c r="R540" i="4"/>
  <c r="P540" i="4"/>
  <c r="N540" i="4"/>
  <c r="L540" i="4"/>
  <c r="K540" i="4"/>
  <c r="J540" i="4"/>
  <c r="I540" i="4"/>
  <c r="H540" i="4"/>
  <c r="G540" i="4"/>
  <c r="F540" i="4"/>
  <c r="E540" i="4"/>
  <c r="D540" i="4"/>
  <c r="C540" i="4"/>
  <c r="B540" i="4"/>
  <c r="A540" i="4"/>
  <c r="R539" i="4"/>
  <c r="P539" i="4"/>
  <c r="N539" i="4"/>
  <c r="L539" i="4"/>
  <c r="K539" i="4"/>
  <c r="J539" i="4"/>
  <c r="I539" i="4"/>
  <c r="H539" i="4"/>
  <c r="G539" i="4"/>
  <c r="F539" i="4"/>
  <c r="E539" i="4"/>
  <c r="D539" i="4"/>
  <c r="C539" i="4"/>
  <c r="B539" i="4"/>
  <c r="A539" i="4"/>
  <c r="R538" i="4"/>
  <c r="P538" i="4"/>
  <c r="N538" i="4"/>
  <c r="L538" i="4"/>
  <c r="K538" i="4"/>
  <c r="J538" i="4"/>
  <c r="I538" i="4"/>
  <c r="H538" i="4"/>
  <c r="G538" i="4"/>
  <c r="F538" i="4"/>
  <c r="E538" i="4"/>
  <c r="D538" i="4"/>
  <c r="C538" i="4"/>
  <c r="B538" i="4"/>
  <c r="A538" i="4"/>
  <c r="R537" i="4"/>
  <c r="P537" i="4"/>
  <c r="N537" i="4"/>
  <c r="L537" i="4"/>
  <c r="K537" i="4"/>
  <c r="J537" i="4"/>
  <c r="I537" i="4"/>
  <c r="H537" i="4"/>
  <c r="G537" i="4"/>
  <c r="F537" i="4"/>
  <c r="E537" i="4"/>
  <c r="D537" i="4"/>
  <c r="C537" i="4"/>
  <c r="B537" i="4"/>
  <c r="A537" i="4"/>
  <c r="R536" i="4"/>
  <c r="P536" i="4"/>
  <c r="N536" i="4"/>
  <c r="L536" i="4"/>
  <c r="K536" i="4"/>
  <c r="J536" i="4"/>
  <c r="I536" i="4"/>
  <c r="H536" i="4"/>
  <c r="G536" i="4"/>
  <c r="F536" i="4"/>
  <c r="E536" i="4"/>
  <c r="D536" i="4"/>
  <c r="C536" i="4"/>
  <c r="B536" i="4"/>
  <c r="A536" i="4"/>
  <c r="R535" i="4"/>
  <c r="P535" i="4"/>
  <c r="N535" i="4"/>
  <c r="L535" i="4"/>
  <c r="K535" i="4"/>
  <c r="J535" i="4"/>
  <c r="I535" i="4"/>
  <c r="H535" i="4"/>
  <c r="G535" i="4"/>
  <c r="F535" i="4"/>
  <c r="E535" i="4"/>
  <c r="D535" i="4"/>
  <c r="C535" i="4"/>
  <c r="B535" i="4"/>
  <c r="A535" i="4"/>
  <c r="R534" i="4"/>
  <c r="P534" i="4"/>
  <c r="N534" i="4"/>
  <c r="L534" i="4"/>
  <c r="K534" i="4"/>
  <c r="J534" i="4"/>
  <c r="I534" i="4"/>
  <c r="H534" i="4"/>
  <c r="G534" i="4"/>
  <c r="F534" i="4"/>
  <c r="E534" i="4"/>
  <c r="D534" i="4"/>
  <c r="C534" i="4"/>
  <c r="B534" i="4"/>
  <c r="A534" i="4"/>
  <c r="R533" i="4"/>
  <c r="P533" i="4"/>
  <c r="N533" i="4"/>
  <c r="L533" i="4"/>
  <c r="K533" i="4"/>
  <c r="J533" i="4"/>
  <c r="I533" i="4"/>
  <c r="H533" i="4"/>
  <c r="G533" i="4"/>
  <c r="F533" i="4"/>
  <c r="E533" i="4"/>
  <c r="D533" i="4"/>
  <c r="C533" i="4"/>
  <c r="B533" i="4"/>
  <c r="A533" i="4"/>
  <c r="R532" i="4"/>
  <c r="P532" i="4"/>
  <c r="N532" i="4"/>
  <c r="L532" i="4"/>
  <c r="K532" i="4"/>
  <c r="J532" i="4"/>
  <c r="I532" i="4"/>
  <c r="H532" i="4"/>
  <c r="G532" i="4"/>
  <c r="F532" i="4"/>
  <c r="E532" i="4"/>
  <c r="D532" i="4"/>
  <c r="C532" i="4"/>
  <c r="B532" i="4"/>
  <c r="A532" i="4"/>
  <c r="R531" i="4"/>
  <c r="P531" i="4"/>
  <c r="N531" i="4"/>
  <c r="L531" i="4"/>
  <c r="K531" i="4"/>
  <c r="J531" i="4"/>
  <c r="I531" i="4"/>
  <c r="H531" i="4"/>
  <c r="G531" i="4"/>
  <c r="F531" i="4"/>
  <c r="E531" i="4"/>
  <c r="D531" i="4"/>
  <c r="C531" i="4"/>
  <c r="B531" i="4"/>
  <c r="A531" i="4"/>
  <c r="R530" i="4"/>
  <c r="P530" i="4"/>
  <c r="N530" i="4"/>
  <c r="L530" i="4"/>
  <c r="K530" i="4"/>
  <c r="J530" i="4"/>
  <c r="I530" i="4"/>
  <c r="H530" i="4"/>
  <c r="G530" i="4"/>
  <c r="F530" i="4"/>
  <c r="E530" i="4"/>
  <c r="D530" i="4"/>
  <c r="C530" i="4"/>
  <c r="B530" i="4"/>
  <c r="A530" i="4"/>
  <c r="R529" i="4"/>
  <c r="P529" i="4"/>
  <c r="N529" i="4"/>
  <c r="L529" i="4"/>
  <c r="K529" i="4"/>
  <c r="J529" i="4"/>
  <c r="I529" i="4"/>
  <c r="H529" i="4"/>
  <c r="G529" i="4"/>
  <c r="F529" i="4"/>
  <c r="E529" i="4"/>
  <c r="D529" i="4"/>
  <c r="C529" i="4"/>
  <c r="B529" i="4"/>
  <c r="A529" i="4"/>
  <c r="R528" i="4"/>
  <c r="P528" i="4"/>
  <c r="N528" i="4"/>
  <c r="L528" i="4"/>
  <c r="K528" i="4"/>
  <c r="J528" i="4"/>
  <c r="I528" i="4"/>
  <c r="H528" i="4"/>
  <c r="G528" i="4"/>
  <c r="F528" i="4"/>
  <c r="E528" i="4"/>
  <c r="D528" i="4"/>
  <c r="C528" i="4"/>
  <c r="B528" i="4"/>
  <c r="A528" i="4"/>
  <c r="R527" i="4"/>
  <c r="P527" i="4"/>
  <c r="N527" i="4"/>
  <c r="L527" i="4"/>
  <c r="K527" i="4"/>
  <c r="J527" i="4"/>
  <c r="I527" i="4"/>
  <c r="H527" i="4"/>
  <c r="G527" i="4"/>
  <c r="F527" i="4"/>
  <c r="E527" i="4"/>
  <c r="D527" i="4"/>
  <c r="C527" i="4"/>
  <c r="B527" i="4"/>
  <c r="A527" i="4"/>
  <c r="R526" i="4"/>
  <c r="P526" i="4"/>
  <c r="N526" i="4"/>
  <c r="L526" i="4"/>
  <c r="K526" i="4"/>
  <c r="J526" i="4"/>
  <c r="I526" i="4"/>
  <c r="H526" i="4"/>
  <c r="G526" i="4"/>
  <c r="F526" i="4"/>
  <c r="E526" i="4"/>
  <c r="D526" i="4"/>
  <c r="C526" i="4"/>
  <c r="B526" i="4"/>
  <c r="A526" i="4"/>
  <c r="R525" i="4"/>
  <c r="P525" i="4"/>
  <c r="N525" i="4"/>
  <c r="L525" i="4"/>
  <c r="K525" i="4"/>
  <c r="J525" i="4"/>
  <c r="I525" i="4"/>
  <c r="H525" i="4"/>
  <c r="G525" i="4"/>
  <c r="F525" i="4"/>
  <c r="E525" i="4"/>
  <c r="D525" i="4"/>
  <c r="C525" i="4"/>
  <c r="B525" i="4"/>
  <c r="A525" i="4"/>
  <c r="R524" i="4"/>
  <c r="P524" i="4"/>
  <c r="N524" i="4"/>
  <c r="L524" i="4"/>
  <c r="K524" i="4"/>
  <c r="J524" i="4"/>
  <c r="I524" i="4"/>
  <c r="H524" i="4"/>
  <c r="G524" i="4"/>
  <c r="F524" i="4"/>
  <c r="E524" i="4"/>
  <c r="D524" i="4"/>
  <c r="C524" i="4"/>
  <c r="B524" i="4"/>
  <c r="A524" i="4"/>
  <c r="R523" i="4"/>
  <c r="P523" i="4"/>
  <c r="N523" i="4"/>
  <c r="L523" i="4"/>
  <c r="K523" i="4"/>
  <c r="J523" i="4"/>
  <c r="I523" i="4"/>
  <c r="H523" i="4"/>
  <c r="G523" i="4"/>
  <c r="F523" i="4"/>
  <c r="E523" i="4"/>
  <c r="D523" i="4"/>
  <c r="C523" i="4"/>
  <c r="B523" i="4"/>
  <c r="A523" i="4"/>
  <c r="R522" i="4"/>
  <c r="P522" i="4"/>
  <c r="N522" i="4"/>
  <c r="L522" i="4"/>
  <c r="K522" i="4"/>
  <c r="J522" i="4"/>
  <c r="I522" i="4"/>
  <c r="H522" i="4"/>
  <c r="G522" i="4"/>
  <c r="F522" i="4"/>
  <c r="E522" i="4"/>
  <c r="D522" i="4"/>
  <c r="C522" i="4"/>
  <c r="B522" i="4"/>
  <c r="A522" i="4"/>
  <c r="R521" i="4"/>
  <c r="P521" i="4"/>
  <c r="N521" i="4"/>
  <c r="L521" i="4"/>
  <c r="K521" i="4"/>
  <c r="J521" i="4"/>
  <c r="I521" i="4"/>
  <c r="H521" i="4"/>
  <c r="G521" i="4"/>
  <c r="F521" i="4"/>
  <c r="E521" i="4"/>
  <c r="D521" i="4"/>
  <c r="C521" i="4"/>
  <c r="B521" i="4"/>
  <c r="A521" i="4"/>
  <c r="R520" i="4"/>
  <c r="P520" i="4"/>
  <c r="N520" i="4"/>
  <c r="L520" i="4"/>
  <c r="K520" i="4"/>
  <c r="J520" i="4"/>
  <c r="I520" i="4"/>
  <c r="H520" i="4"/>
  <c r="G520" i="4"/>
  <c r="F520" i="4"/>
  <c r="E520" i="4"/>
  <c r="D520" i="4"/>
  <c r="C520" i="4"/>
  <c r="B520" i="4"/>
  <c r="A520" i="4"/>
  <c r="R519" i="4"/>
  <c r="P519" i="4"/>
  <c r="N519" i="4"/>
  <c r="L519" i="4"/>
  <c r="K519" i="4"/>
  <c r="J519" i="4"/>
  <c r="I519" i="4"/>
  <c r="H519" i="4"/>
  <c r="G519" i="4"/>
  <c r="F519" i="4"/>
  <c r="E519" i="4"/>
  <c r="D519" i="4"/>
  <c r="C519" i="4"/>
  <c r="B519" i="4"/>
  <c r="A519" i="4"/>
  <c r="R518" i="4"/>
  <c r="P518" i="4"/>
  <c r="N518" i="4"/>
  <c r="L518" i="4"/>
  <c r="K518" i="4"/>
  <c r="J518" i="4"/>
  <c r="I518" i="4"/>
  <c r="H518" i="4"/>
  <c r="G518" i="4"/>
  <c r="F518" i="4"/>
  <c r="E518" i="4"/>
  <c r="D518" i="4"/>
  <c r="C518" i="4"/>
  <c r="B518" i="4"/>
  <c r="A518" i="4"/>
  <c r="R517" i="4"/>
  <c r="P517" i="4"/>
  <c r="N517" i="4"/>
  <c r="L517" i="4"/>
  <c r="K517" i="4"/>
  <c r="J517" i="4"/>
  <c r="I517" i="4"/>
  <c r="H517" i="4"/>
  <c r="G517" i="4"/>
  <c r="F517" i="4"/>
  <c r="E517" i="4"/>
  <c r="D517" i="4"/>
  <c r="C517" i="4"/>
  <c r="B517" i="4"/>
  <c r="A517" i="4"/>
  <c r="R516" i="4"/>
  <c r="P516" i="4"/>
  <c r="N516" i="4"/>
  <c r="L516" i="4"/>
  <c r="K516" i="4"/>
  <c r="J516" i="4"/>
  <c r="I516" i="4"/>
  <c r="H516" i="4"/>
  <c r="G516" i="4"/>
  <c r="F516" i="4"/>
  <c r="E516" i="4"/>
  <c r="D516" i="4"/>
  <c r="C516" i="4"/>
  <c r="B516" i="4"/>
  <c r="A516" i="4"/>
  <c r="R515" i="4"/>
  <c r="P515" i="4"/>
  <c r="N515" i="4"/>
  <c r="L515" i="4"/>
  <c r="K515" i="4"/>
  <c r="J515" i="4"/>
  <c r="I515" i="4"/>
  <c r="H515" i="4"/>
  <c r="G515" i="4"/>
  <c r="F515" i="4"/>
  <c r="E515" i="4"/>
  <c r="D515" i="4"/>
  <c r="C515" i="4"/>
  <c r="B515" i="4"/>
  <c r="A515" i="4"/>
  <c r="R514" i="4"/>
  <c r="P514" i="4"/>
  <c r="N514" i="4"/>
  <c r="L514" i="4"/>
  <c r="K514" i="4"/>
  <c r="J514" i="4"/>
  <c r="I514" i="4"/>
  <c r="H514" i="4"/>
  <c r="G514" i="4"/>
  <c r="F514" i="4"/>
  <c r="E514" i="4"/>
  <c r="D514" i="4"/>
  <c r="C514" i="4"/>
  <c r="B514" i="4"/>
  <c r="A514" i="4"/>
  <c r="R513" i="4"/>
  <c r="P513" i="4"/>
  <c r="N513" i="4"/>
  <c r="L513" i="4"/>
  <c r="K513" i="4"/>
  <c r="J513" i="4"/>
  <c r="I513" i="4"/>
  <c r="H513" i="4"/>
  <c r="G513" i="4"/>
  <c r="F513" i="4"/>
  <c r="E513" i="4"/>
  <c r="D513" i="4"/>
  <c r="C513" i="4"/>
  <c r="B513" i="4"/>
  <c r="A513" i="4"/>
  <c r="R512" i="4"/>
  <c r="P512" i="4"/>
  <c r="N512" i="4"/>
  <c r="L512" i="4"/>
  <c r="K512" i="4"/>
  <c r="J512" i="4"/>
  <c r="I512" i="4"/>
  <c r="H512" i="4"/>
  <c r="G512" i="4"/>
  <c r="F512" i="4"/>
  <c r="E512" i="4"/>
  <c r="D512" i="4"/>
  <c r="C512" i="4"/>
  <c r="B512" i="4"/>
  <c r="A512" i="4"/>
  <c r="R511" i="4"/>
  <c r="P511" i="4"/>
  <c r="N511" i="4"/>
  <c r="L511" i="4"/>
  <c r="K511" i="4"/>
  <c r="J511" i="4"/>
  <c r="I511" i="4"/>
  <c r="H511" i="4"/>
  <c r="G511" i="4"/>
  <c r="F511" i="4"/>
  <c r="E511" i="4"/>
  <c r="D511" i="4"/>
  <c r="C511" i="4"/>
  <c r="B511" i="4"/>
  <c r="A511" i="4"/>
  <c r="R510" i="4"/>
  <c r="P510" i="4"/>
  <c r="N510" i="4"/>
  <c r="L510" i="4"/>
  <c r="K510" i="4"/>
  <c r="J510" i="4"/>
  <c r="I510" i="4"/>
  <c r="H510" i="4"/>
  <c r="G510" i="4"/>
  <c r="F510" i="4"/>
  <c r="E510" i="4"/>
  <c r="D510" i="4"/>
  <c r="C510" i="4"/>
  <c r="B510" i="4"/>
  <c r="A510" i="4"/>
  <c r="R509" i="4"/>
  <c r="P509" i="4"/>
  <c r="N509" i="4"/>
  <c r="L509" i="4"/>
  <c r="K509" i="4"/>
  <c r="J509" i="4"/>
  <c r="I509" i="4"/>
  <c r="H509" i="4"/>
  <c r="G509" i="4"/>
  <c r="F509" i="4"/>
  <c r="E509" i="4"/>
  <c r="D509" i="4"/>
  <c r="C509" i="4"/>
  <c r="B509" i="4"/>
  <c r="A509" i="4"/>
  <c r="R508" i="4"/>
  <c r="P508" i="4"/>
  <c r="N508" i="4"/>
  <c r="L508" i="4"/>
  <c r="K508" i="4"/>
  <c r="J508" i="4"/>
  <c r="I508" i="4"/>
  <c r="H508" i="4"/>
  <c r="G508" i="4"/>
  <c r="F508" i="4"/>
  <c r="E508" i="4"/>
  <c r="D508" i="4"/>
  <c r="C508" i="4"/>
  <c r="B508" i="4"/>
  <c r="A508" i="4"/>
  <c r="R507" i="4"/>
  <c r="P507" i="4"/>
  <c r="N507" i="4"/>
  <c r="L507" i="4"/>
  <c r="K507" i="4"/>
  <c r="J507" i="4"/>
  <c r="I507" i="4"/>
  <c r="H507" i="4"/>
  <c r="G507" i="4"/>
  <c r="F507" i="4"/>
  <c r="E507" i="4"/>
  <c r="D507" i="4"/>
  <c r="C507" i="4"/>
  <c r="B507" i="4"/>
  <c r="A507" i="4"/>
  <c r="R506" i="4"/>
  <c r="P506" i="4"/>
  <c r="N506" i="4"/>
  <c r="L506" i="4"/>
  <c r="K506" i="4"/>
  <c r="J506" i="4"/>
  <c r="I506" i="4"/>
  <c r="H506" i="4"/>
  <c r="G506" i="4"/>
  <c r="F506" i="4"/>
  <c r="E506" i="4"/>
  <c r="D506" i="4"/>
  <c r="C506" i="4"/>
  <c r="B506" i="4"/>
  <c r="A506" i="4"/>
  <c r="R505" i="4"/>
  <c r="P505" i="4"/>
  <c r="N505" i="4"/>
  <c r="L505" i="4"/>
  <c r="K505" i="4"/>
  <c r="J505" i="4"/>
  <c r="I505" i="4"/>
  <c r="H505" i="4"/>
  <c r="G505" i="4"/>
  <c r="F505" i="4"/>
  <c r="E505" i="4"/>
  <c r="D505" i="4"/>
  <c r="C505" i="4"/>
  <c r="B505" i="4"/>
  <c r="A505" i="4"/>
  <c r="R504" i="4"/>
  <c r="P504" i="4"/>
  <c r="N504" i="4"/>
  <c r="L504" i="4"/>
  <c r="K504" i="4"/>
  <c r="J504" i="4"/>
  <c r="I504" i="4"/>
  <c r="H504" i="4"/>
  <c r="G504" i="4"/>
  <c r="F504" i="4"/>
  <c r="E504" i="4"/>
  <c r="D504" i="4"/>
  <c r="C504" i="4"/>
  <c r="B504" i="4"/>
  <c r="A504" i="4"/>
  <c r="R503" i="4"/>
  <c r="P503" i="4"/>
  <c r="N503" i="4"/>
  <c r="L503" i="4"/>
  <c r="K503" i="4"/>
  <c r="J503" i="4"/>
  <c r="I503" i="4"/>
  <c r="H503" i="4"/>
  <c r="G503" i="4"/>
  <c r="F503" i="4"/>
  <c r="E503" i="4"/>
  <c r="D503" i="4"/>
  <c r="C503" i="4"/>
  <c r="B503" i="4"/>
  <c r="A503" i="4"/>
  <c r="R502" i="4"/>
  <c r="P502" i="4"/>
  <c r="N502" i="4"/>
  <c r="L502" i="4"/>
  <c r="K502" i="4"/>
  <c r="J502" i="4"/>
  <c r="I502" i="4"/>
  <c r="H502" i="4"/>
  <c r="G502" i="4"/>
  <c r="F502" i="4"/>
  <c r="E502" i="4"/>
  <c r="D502" i="4"/>
  <c r="C502" i="4"/>
  <c r="B502" i="4"/>
  <c r="A502" i="4"/>
  <c r="R501" i="4"/>
  <c r="P501" i="4"/>
  <c r="N501" i="4"/>
  <c r="L501" i="4"/>
  <c r="K501" i="4"/>
  <c r="J501" i="4"/>
  <c r="I501" i="4"/>
  <c r="H501" i="4"/>
  <c r="G501" i="4"/>
  <c r="F501" i="4"/>
  <c r="E501" i="4"/>
  <c r="D501" i="4"/>
  <c r="C501" i="4"/>
  <c r="B501" i="4"/>
  <c r="A501" i="4"/>
  <c r="R500" i="4"/>
  <c r="P500" i="4"/>
  <c r="N500" i="4"/>
  <c r="L500" i="4"/>
  <c r="K500" i="4"/>
  <c r="J500" i="4"/>
  <c r="I500" i="4"/>
  <c r="H500" i="4"/>
  <c r="G500" i="4"/>
  <c r="F500" i="4"/>
  <c r="E500" i="4"/>
  <c r="D500" i="4"/>
  <c r="C500" i="4"/>
  <c r="B500" i="4"/>
  <c r="A500" i="4"/>
  <c r="R499" i="4"/>
  <c r="P499" i="4"/>
  <c r="N499" i="4"/>
  <c r="L499" i="4"/>
  <c r="K499" i="4"/>
  <c r="J499" i="4"/>
  <c r="I499" i="4"/>
  <c r="H499" i="4"/>
  <c r="G499" i="4"/>
  <c r="F499" i="4"/>
  <c r="E499" i="4"/>
  <c r="D499" i="4"/>
  <c r="C499" i="4"/>
  <c r="B499" i="4"/>
  <c r="A499" i="4"/>
  <c r="R498" i="4"/>
  <c r="P498" i="4"/>
  <c r="N498" i="4"/>
  <c r="L498" i="4"/>
  <c r="K498" i="4"/>
  <c r="J498" i="4"/>
  <c r="I498" i="4"/>
  <c r="H498" i="4"/>
  <c r="G498" i="4"/>
  <c r="F498" i="4"/>
  <c r="E498" i="4"/>
  <c r="D498" i="4"/>
  <c r="C498" i="4"/>
  <c r="B498" i="4"/>
  <c r="A498" i="4"/>
  <c r="R497" i="4"/>
  <c r="P497" i="4"/>
  <c r="N497" i="4"/>
  <c r="L497" i="4"/>
  <c r="K497" i="4"/>
  <c r="J497" i="4"/>
  <c r="I497" i="4"/>
  <c r="H497" i="4"/>
  <c r="G497" i="4"/>
  <c r="F497" i="4"/>
  <c r="E497" i="4"/>
  <c r="D497" i="4"/>
  <c r="C497" i="4"/>
  <c r="B497" i="4"/>
  <c r="A497" i="4"/>
  <c r="R496" i="4"/>
  <c r="P496" i="4"/>
  <c r="N496" i="4"/>
  <c r="L496" i="4"/>
  <c r="K496" i="4"/>
  <c r="J496" i="4"/>
  <c r="I496" i="4"/>
  <c r="H496" i="4"/>
  <c r="G496" i="4"/>
  <c r="F496" i="4"/>
  <c r="E496" i="4"/>
  <c r="D496" i="4"/>
  <c r="C496" i="4"/>
  <c r="B496" i="4"/>
  <c r="A496" i="4"/>
  <c r="R495" i="4"/>
  <c r="P495" i="4"/>
  <c r="N495" i="4"/>
  <c r="L495" i="4"/>
  <c r="K495" i="4"/>
  <c r="J495" i="4"/>
  <c r="I495" i="4"/>
  <c r="H495" i="4"/>
  <c r="G495" i="4"/>
  <c r="F495" i="4"/>
  <c r="E495" i="4"/>
  <c r="D495" i="4"/>
  <c r="C495" i="4"/>
  <c r="B495" i="4"/>
  <c r="A495" i="4"/>
  <c r="R494" i="4"/>
  <c r="P494" i="4"/>
  <c r="N494" i="4"/>
  <c r="L494" i="4"/>
  <c r="K494" i="4"/>
  <c r="J494" i="4"/>
  <c r="I494" i="4"/>
  <c r="H494" i="4"/>
  <c r="G494" i="4"/>
  <c r="F494" i="4"/>
  <c r="E494" i="4"/>
  <c r="D494" i="4"/>
  <c r="C494" i="4"/>
  <c r="B494" i="4"/>
  <c r="A494" i="4"/>
  <c r="R493" i="4"/>
  <c r="P493" i="4"/>
  <c r="N493" i="4"/>
  <c r="L493" i="4"/>
  <c r="K493" i="4"/>
  <c r="J493" i="4"/>
  <c r="I493" i="4"/>
  <c r="H493" i="4"/>
  <c r="G493" i="4"/>
  <c r="F493" i="4"/>
  <c r="E493" i="4"/>
  <c r="D493" i="4"/>
  <c r="C493" i="4"/>
  <c r="B493" i="4"/>
  <c r="A493" i="4"/>
  <c r="R492" i="4"/>
  <c r="P492" i="4"/>
  <c r="N492" i="4"/>
  <c r="L492" i="4"/>
  <c r="K492" i="4"/>
  <c r="J492" i="4"/>
  <c r="I492" i="4"/>
  <c r="H492" i="4"/>
  <c r="G492" i="4"/>
  <c r="F492" i="4"/>
  <c r="E492" i="4"/>
  <c r="D492" i="4"/>
  <c r="C492" i="4"/>
  <c r="B492" i="4"/>
  <c r="A492" i="4"/>
  <c r="R491" i="4"/>
  <c r="P491" i="4"/>
  <c r="N491" i="4"/>
  <c r="L491" i="4"/>
  <c r="K491" i="4"/>
  <c r="J491" i="4"/>
  <c r="I491" i="4"/>
  <c r="H491" i="4"/>
  <c r="G491" i="4"/>
  <c r="F491" i="4"/>
  <c r="E491" i="4"/>
  <c r="D491" i="4"/>
  <c r="C491" i="4"/>
  <c r="B491" i="4"/>
  <c r="A491" i="4"/>
  <c r="R490" i="4"/>
  <c r="P490" i="4"/>
  <c r="N490" i="4"/>
  <c r="L490" i="4"/>
  <c r="K490" i="4"/>
  <c r="J490" i="4"/>
  <c r="I490" i="4"/>
  <c r="H490" i="4"/>
  <c r="G490" i="4"/>
  <c r="F490" i="4"/>
  <c r="E490" i="4"/>
  <c r="D490" i="4"/>
  <c r="C490" i="4"/>
  <c r="B490" i="4"/>
  <c r="A490" i="4"/>
  <c r="R489" i="4"/>
  <c r="P489" i="4"/>
  <c r="N489" i="4"/>
  <c r="L489" i="4"/>
  <c r="K489" i="4"/>
  <c r="J489" i="4"/>
  <c r="I489" i="4"/>
  <c r="H489" i="4"/>
  <c r="G489" i="4"/>
  <c r="F489" i="4"/>
  <c r="E489" i="4"/>
  <c r="D489" i="4"/>
  <c r="C489" i="4"/>
  <c r="B489" i="4"/>
  <c r="A489" i="4"/>
  <c r="R488" i="4"/>
  <c r="P488" i="4"/>
  <c r="N488" i="4"/>
  <c r="L488" i="4"/>
  <c r="K488" i="4"/>
  <c r="J488" i="4"/>
  <c r="I488" i="4"/>
  <c r="H488" i="4"/>
  <c r="G488" i="4"/>
  <c r="F488" i="4"/>
  <c r="E488" i="4"/>
  <c r="D488" i="4"/>
  <c r="C488" i="4"/>
  <c r="B488" i="4"/>
  <c r="A488" i="4"/>
  <c r="R487" i="4"/>
  <c r="P487" i="4"/>
  <c r="N487" i="4"/>
  <c r="L487" i="4"/>
  <c r="K487" i="4"/>
  <c r="J487" i="4"/>
  <c r="I487" i="4"/>
  <c r="H487" i="4"/>
  <c r="G487" i="4"/>
  <c r="F487" i="4"/>
  <c r="E487" i="4"/>
  <c r="D487" i="4"/>
  <c r="C487" i="4"/>
  <c r="B487" i="4"/>
  <c r="A487" i="4"/>
  <c r="R486" i="4"/>
  <c r="P486" i="4"/>
  <c r="N486" i="4"/>
  <c r="L486" i="4"/>
  <c r="K486" i="4"/>
  <c r="J486" i="4"/>
  <c r="I486" i="4"/>
  <c r="H486" i="4"/>
  <c r="G486" i="4"/>
  <c r="F486" i="4"/>
  <c r="E486" i="4"/>
  <c r="D486" i="4"/>
  <c r="C486" i="4"/>
  <c r="B486" i="4"/>
  <c r="A486" i="4"/>
  <c r="R485" i="4"/>
  <c r="P485" i="4"/>
  <c r="N485" i="4"/>
  <c r="L485" i="4"/>
  <c r="K485" i="4"/>
  <c r="J485" i="4"/>
  <c r="I485" i="4"/>
  <c r="H485" i="4"/>
  <c r="G485" i="4"/>
  <c r="F485" i="4"/>
  <c r="E485" i="4"/>
  <c r="D485" i="4"/>
  <c r="C485" i="4"/>
  <c r="B485" i="4"/>
  <c r="A485" i="4"/>
  <c r="R484" i="4"/>
  <c r="P484" i="4"/>
  <c r="N484" i="4"/>
  <c r="L484" i="4"/>
  <c r="K484" i="4"/>
  <c r="J484" i="4"/>
  <c r="I484" i="4"/>
  <c r="H484" i="4"/>
  <c r="G484" i="4"/>
  <c r="F484" i="4"/>
  <c r="E484" i="4"/>
  <c r="D484" i="4"/>
  <c r="C484" i="4"/>
  <c r="B484" i="4"/>
  <c r="A484" i="4"/>
  <c r="R483" i="4"/>
  <c r="P483" i="4"/>
  <c r="N483" i="4"/>
  <c r="L483" i="4"/>
  <c r="K483" i="4"/>
  <c r="J483" i="4"/>
  <c r="I483" i="4"/>
  <c r="H483" i="4"/>
  <c r="G483" i="4"/>
  <c r="F483" i="4"/>
  <c r="E483" i="4"/>
  <c r="D483" i="4"/>
  <c r="C483" i="4"/>
  <c r="B483" i="4"/>
  <c r="A483" i="4"/>
  <c r="R482" i="4"/>
  <c r="P482" i="4"/>
  <c r="N482" i="4"/>
  <c r="L482" i="4"/>
  <c r="K482" i="4"/>
  <c r="J482" i="4"/>
  <c r="I482" i="4"/>
  <c r="H482" i="4"/>
  <c r="G482" i="4"/>
  <c r="F482" i="4"/>
  <c r="E482" i="4"/>
  <c r="D482" i="4"/>
  <c r="C482" i="4"/>
  <c r="B482" i="4"/>
  <c r="A482" i="4"/>
  <c r="R481" i="4"/>
  <c r="P481" i="4"/>
  <c r="N481" i="4"/>
  <c r="L481" i="4"/>
  <c r="K481" i="4"/>
  <c r="J481" i="4"/>
  <c r="I481" i="4"/>
  <c r="H481" i="4"/>
  <c r="G481" i="4"/>
  <c r="F481" i="4"/>
  <c r="E481" i="4"/>
  <c r="D481" i="4"/>
  <c r="C481" i="4"/>
  <c r="B481" i="4"/>
  <c r="A481" i="4"/>
  <c r="R480" i="4"/>
  <c r="P480" i="4"/>
  <c r="N480" i="4"/>
  <c r="L480" i="4"/>
  <c r="K480" i="4"/>
  <c r="J480" i="4"/>
  <c r="I480" i="4"/>
  <c r="H480" i="4"/>
  <c r="G480" i="4"/>
  <c r="F480" i="4"/>
  <c r="E480" i="4"/>
  <c r="D480" i="4"/>
  <c r="C480" i="4"/>
  <c r="B480" i="4"/>
  <c r="A480" i="4"/>
  <c r="R479" i="4"/>
  <c r="P479" i="4"/>
  <c r="N479" i="4"/>
  <c r="L479" i="4"/>
  <c r="K479" i="4"/>
  <c r="J479" i="4"/>
  <c r="I479" i="4"/>
  <c r="H479" i="4"/>
  <c r="G479" i="4"/>
  <c r="F479" i="4"/>
  <c r="E479" i="4"/>
  <c r="D479" i="4"/>
  <c r="C479" i="4"/>
  <c r="B479" i="4"/>
  <c r="A479" i="4"/>
  <c r="R478" i="4"/>
  <c r="P478" i="4"/>
  <c r="N478" i="4"/>
  <c r="L478" i="4"/>
  <c r="K478" i="4"/>
  <c r="J478" i="4"/>
  <c r="I478" i="4"/>
  <c r="H478" i="4"/>
  <c r="G478" i="4"/>
  <c r="F478" i="4"/>
  <c r="E478" i="4"/>
  <c r="D478" i="4"/>
  <c r="C478" i="4"/>
  <c r="B478" i="4"/>
  <c r="A478" i="4"/>
  <c r="R477" i="4"/>
  <c r="P477" i="4"/>
  <c r="N477" i="4"/>
  <c r="L477" i="4"/>
  <c r="K477" i="4"/>
  <c r="J477" i="4"/>
  <c r="I477" i="4"/>
  <c r="H477" i="4"/>
  <c r="G477" i="4"/>
  <c r="F477" i="4"/>
  <c r="E477" i="4"/>
  <c r="D477" i="4"/>
  <c r="C477" i="4"/>
  <c r="B477" i="4"/>
  <c r="A477" i="4"/>
  <c r="R476" i="4"/>
  <c r="P476" i="4"/>
  <c r="N476" i="4"/>
  <c r="L476" i="4"/>
  <c r="K476" i="4"/>
  <c r="J476" i="4"/>
  <c r="I476" i="4"/>
  <c r="H476" i="4"/>
  <c r="G476" i="4"/>
  <c r="F476" i="4"/>
  <c r="E476" i="4"/>
  <c r="D476" i="4"/>
  <c r="C476" i="4"/>
  <c r="B476" i="4"/>
  <c r="A476" i="4"/>
  <c r="R475" i="4"/>
  <c r="P475" i="4"/>
  <c r="N475" i="4"/>
  <c r="L475" i="4"/>
  <c r="K475" i="4"/>
  <c r="J475" i="4"/>
  <c r="I475" i="4"/>
  <c r="H475" i="4"/>
  <c r="G475" i="4"/>
  <c r="F475" i="4"/>
  <c r="E475" i="4"/>
  <c r="D475" i="4"/>
  <c r="C475" i="4"/>
  <c r="B475" i="4"/>
  <c r="A475" i="4"/>
  <c r="R474" i="4"/>
  <c r="P474" i="4"/>
  <c r="N474" i="4"/>
  <c r="L474" i="4"/>
  <c r="K474" i="4"/>
  <c r="J474" i="4"/>
  <c r="I474" i="4"/>
  <c r="H474" i="4"/>
  <c r="G474" i="4"/>
  <c r="F474" i="4"/>
  <c r="E474" i="4"/>
  <c r="D474" i="4"/>
  <c r="C474" i="4"/>
  <c r="B474" i="4"/>
  <c r="A474" i="4"/>
  <c r="R473" i="4"/>
  <c r="P473" i="4"/>
  <c r="N473" i="4"/>
  <c r="L473" i="4"/>
  <c r="K473" i="4"/>
  <c r="J473" i="4"/>
  <c r="I473" i="4"/>
  <c r="H473" i="4"/>
  <c r="G473" i="4"/>
  <c r="F473" i="4"/>
  <c r="E473" i="4"/>
  <c r="D473" i="4"/>
  <c r="C473" i="4"/>
  <c r="B473" i="4"/>
  <c r="A473" i="4"/>
  <c r="R472" i="4"/>
  <c r="P472" i="4"/>
  <c r="N472" i="4"/>
  <c r="L472" i="4"/>
  <c r="K472" i="4"/>
  <c r="J472" i="4"/>
  <c r="I472" i="4"/>
  <c r="H472" i="4"/>
  <c r="G472" i="4"/>
  <c r="F472" i="4"/>
  <c r="E472" i="4"/>
  <c r="D472" i="4"/>
  <c r="C472" i="4"/>
  <c r="B472" i="4"/>
  <c r="A472" i="4"/>
  <c r="R471" i="4"/>
  <c r="P471" i="4"/>
  <c r="N471" i="4"/>
  <c r="L471" i="4"/>
  <c r="K471" i="4"/>
  <c r="J471" i="4"/>
  <c r="I471" i="4"/>
  <c r="H471" i="4"/>
  <c r="G471" i="4"/>
  <c r="F471" i="4"/>
  <c r="E471" i="4"/>
  <c r="D471" i="4"/>
  <c r="C471" i="4"/>
  <c r="B471" i="4"/>
  <c r="A471" i="4"/>
  <c r="R470" i="4"/>
  <c r="P470" i="4"/>
  <c r="N470" i="4"/>
  <c r="L470" i="4"/>
  <c r="K470" i="4"/>
  <c r="J470" i="4"/>
  <c r="I470" i="4"/>
  <c r="H470" i="4"/>
  <c r="G470" i="4"/>
  <c r="F470" i="4"/>
  <c r="E470" i="4"/>
  <c r="D470" i="4"/>
  <c r="C470" i="4"/>
  <c r="B470" i="4"/>
  <c r="A470" i="4"/>
  <c r="R469" i="4"/>
  <c r="P469" i="4"/>
  <c r="N469" i="4"/>
  <c r="L469" i="4"/>
  <c r="K469" i="4"/>
  <c r="J469" i="4"/>
  <c r="I469" i="4"/>
  <c r="H469" i="4"/>
  <c r="G469" i="4"/>
  <c r="F469" i="4"/>
  <c r="E469" i="4"/>
  <c r="D469" i="4"/>
  <c r="C469" i="4"/>
  <c r="B469" i="4"/>
  <c r="A469" i="4"/>
  <c r="R468" i="4"/>
  <c r="P468" i="4"/>
  <c r="N468" i="4"/>
  <c r="L468" i="4"/>
  <c r="K468" i="4"/>
  <c r="J468" i="4"/>
  <c r="I468" i="4"/>
  <c r="H468" i="4"/>
  <c r="G468" i="4"/>
  <c r="F468" i="4"/>
  <c r="E468" i="4"/>
  <c r="D468" i="4"/>
  <c r="C468" i="4"/>
  <c r="B468" i="4"/>
  <c r="A468" i="4"/>
  <c r="R467" i="4"/>
  <c r="P467" i="4"/>
  <c r="N467" i="4"/>
  <c r="L467" i="4"/>
  <c r="K467" i="4"/>
  <c r="J467" i="4"/>
  <c r="I467" i="4"/>
  <c r="H467" i="4"/>
  <c r="G467" i="4"/>
  <c r="F467" i="4"/>
  <c r="E467" i="4"/>
  <c r="D467" i="4"/>
  <c r="C467" i="4"/>
  <c r="B467" i="4"/>
  <c r="A467" i="4"/>
  <c r="R466" i="4"/>
  <c r="P466" i="4"/>
  <c r="N466" i="4"/>
  <c r="L466" i="4"/>
  <c r="K466" i="4"/>
  <c r="J466" i="4"/>
  <c r="I466" i="4"/>
  <c r="H466" i="4"/>
  <c r="G466" i="4"/>
  <c r="F466" i="4"/>
  <c r="E466" i="4"/>
  <c r="D466" i="4"/>
  <c r="C466" i="4"/>
  <c r="B466" i="4"/>
  <c r="A466" i="4"/>
  <c r="R465" i="4"/>
  <c r="P465" i="4"/>
  <c r="N465" i="4"/>
  <c r="L465" i="4"/>
  <c r="K465" i="4"/>
  <c r="J465" i="4"/>
  <c r="I465" i="4"/>
  <c r="H465" i="4"/>
  <c r="G465" i="4"/>
  <c r="F465" i="4"/>
  <c r="E465" i="4"/>
  <c r="D465" i="4"/>
  <c r="C465" i="4"/>
  <c r="B465" i="4"/>
  <c r="A465" i="4"/>
  <c r="R464" i="4"/>
  <c r="P464" i="4"/>
  <c r="N464" i="4"/>
  <c r="L464" i="4"/>
  <c r="K464" i="4"/>
  <c r="J464" i="4"/>
  <c r="I464" i="4"/>
  <c r="H464" i="4"/>
  <c r="G464" i="4"/>
  <c r="F464" i="4"/>
  <c r="E464" i="4"/>
  <c r="D464" i="4"/>
  <c r="C464" i="4"/>
  <c r="B464" i="4"/>
  <c r="A464" i="4"/>
  <c r="R463" i="4"/>
  <c r="P463" i="4"/>
  <c r="N463" i="4"/>
  <c r="L463" i="4"/>
  <c r="K463" i="4"/>
  <c r="J463" i="4"/>
  <c r="I463" i="4"/>
  <c r="H463" i="4"/>
  <c r="G463" i="4"/>
  <c r="F463" i="4"/>
  <c r="E463" i="4"/>
  <c r="D463" i="4"/>
  <c r="C463" i="4"/>
  <c r="B463" i="4"/>
  <c r="A463" i="4"/>
  <c r="R462" i="4"/>
  <c r="P462" i="4"/>
  <c r="N462" i="4"/>
  <c r="L462" i="4"/>
  <c r="K462" i="4"/>
  <c r="J462" i="4"/>
  <c r="I462" i="4"/>
  <c r="H462" i="4"/>
  <c r="G462" i="4"/>
  <c r="F462" i="4"/>
  <c r="E462" i="4"/>
  <c r="D462" i="4"/>
  <c r="C462" i="4"/>
  <c r="B462" i="4"/>
  <c r="A462" i="4"/>
  <c r="R461" i="4"/>
  <c r="P461" i="4"/>
  <c r="N461" i="4"/>
  <c r="L461" i="4"/>
  <c r="K461" i="4"/>
  <c r="J461" i="4"/>
  <c r="I461" i="4"/>
  <c r="H461" i="4"/>
  <c r="G461" i="4"/>
  <c r="F461" i="4"/>
  <c r="E461" i="4"/>
  <c r="D461" i="4"/>
  <c r="C461" i="4"/>
  <c r="B461" i="4"/>
  <c r="A461" i="4"/>
  <c r="R460" i="4"/>
  <c r="P460" i="4"/>
  <c r="N460" i="4"/>
  <c r="L460" i="4"/>
  <c r="K460" i="4"/>
  <c r="J460" i="4"/>
  <c r="I460" i="4"/>
  <c r="H460" i="4"/>
  <c r="G460" i="4"/>
  <c r="F460" i="4"/>
  <c r="E460" i="4"/>
  <c r="D460" i="4"/>
  <c r="C460" i="4"/>
  <c r="B460" i="4"/>
  <c r="A460" i="4"/>
  <c r="R459" i="4"/>
  <c r="P459" i="4"/>
  <c r="N459" i="4"/>
  <c r="L459" i="4"/>
  <c r="K459" i="4"/>
  <c r="J459" i="4"/>
  <c r="I459" i="4"/>
  <c r="H459" i="4"/>
  <c r="G459" i="4"/>
  <c r="F459" i="4"/>
  <c r="E459" i="4"/>
  <c r="D459" i="4"/>
  <c r="C459" i="4"/>
  <c r="B459" i="4"/>
  <c r="A459" i="4"/>
  <c r="R458" i="4"/>
  <c r="P458" i="4"/>
  <c r="N458" i="4"/>
  <c r="L458" i="4"/>
  <c r="K458" i="4"/>
  <c r="J458" i="4"/>
  <c r="I458" i="4"/>
  <c r="H458" i="4"/>
  <c r="G458" i="4"/>
  <c r="F458" i="4"/>
  <c r="E458" i="4"/>
  <c r="D458" i="4"/>
  <c r="C458" i="4"/>
  <c r="B458" i="4"/>
  <c r="A458" i="4"/>
  <c r="R457" i="4"/>
  <c r="P457" i="4"/>
  <c r="N457" i="4"/>
  <c r="L457" i="4"/>
  <c r="K457" i="4"/>
  <c r="J457" i="4"/>
  <c r="I457" i="4"/>
  <c r="H457" i="4"/>
  <c r="G457" i="4"/>
  <c r="F457" i="4"/>
  <c r="E457" i="4"/>
  <c r="D457" i="4"/>
  <c r="C457" i="4"/>
  <c r="B457" i="4"/>
  <c r="A457" i="4"/>
  <c r="R456" i="4"/>
  <c r="P456" i="4"/>
  <c r="N456" i="4"/>
  <c r="L456" i="4"/>
  <c r="K456" i="4"/>
  <c r="J456" i="4"/>
  <c r="I456" i="4"/>
  <c r="H456" i="4"/>
  <c r="G456" i="4"/>
  <c r="F456" i="4"/>
  <c r="E456" i="4"/>
  <c r="D456" i="4"/>
  <c r="C456" i="4"/>
  <c r="B456" i="4"/>
  <c r="A456" i="4"/>
  <c r="R455" i="4"/>
  <c r="P455" i="4"/>
  <c r="N455" i="4"/>
  <c r="L455" i="4"/>
  <c r="K455" i="4"/>
  <c r="J455" i="4"/>
  <c r="I455" i="4"/>
  <c r="H455" i="4"/>
  <c r="G455" i="4"/>
  <c r="F455" i="4"/>
  <c r="E455" i="4"/>
  <c r="D455" i="4"/>
  <c r="C455" i="4"/>
  <c r="B455" i="4"/>
  <c r="A455" i="4"/>
  <c r="R454" i="4"/>
  <c r="P454" i="4"/>
  <c r="N454" i="4"/>
  <c r="L454" i="4"/>
  <c r="K454" i="4"/>
  <c r="J454" i="4"/>
  <c r="I454" i="4"/>
  <c r="H454" i="4"/>
  <c r="G454" i="4"/>
  <c r="F454" i="4"/>
  <c r="E454" i="4"/>
  <c r="D454" i="4"/>
  <c r="C454" i="4"/>
  <c r="B454" i="4"/>
  <c r="A454" i="4"/>
  <c r="R453" i="4"/>
  <c r="P453" i="4"/>
  <c r="N453" i="4"/>
  <c r="L453" i="4"/>
  <c r="K453" i="4"/>
  <c r="J453" i="4"/>
  <c r="I453" i="4"/>
  <c r="H453" i="4"/>
  <c r="G453" i="4"/>
  <c r="F453" i="4"/>
  <c r="E453" i="4"/>
  <c r="D453" i="4"/>
  <c r="C453" i="4"/>
  <c r="B453" i="4"/>
  <c r="A453" i="4"/>
  <c r="R452" i="4"/>
  <c r="P452" i="4"/>
  <c r="N452" i="4"/>
  <c r="L452" i="4"/>
  <c r="K452" i="4"/>
  <c r="J452" i="4"/>
  <c r="I452" i="4"/>
  <c r="H452" i="4"/>
  <c r="G452" i="4"/>
  <c r="F452" i="4"/>
  <c r="E452" i="4"/>
  <c r="D452" i="4"/>
  <c r="C452" i="4"/>
  <c r="B452" i="4"/>
  <c r="A452" i="4"/>
  <c r="R451" i="4"/>
  <c r="P451" i="4"/>
  <c r="N451" i="4"/>
  <c r="L451" i="4"/>
  <c r="K451" i="4"/>
  <c r="J451" i="4"/>
  <c r="I451" i="4"/>
  <c r="H451" i="4"/>
  <c r="G451" i="4"/>
  <c r="F451" i="4"/>
  <c r="E451" i="4"/>
  <c r="D451" i="4"/>
  <c r="C451" i="4"/>
  <c r="B451" i="4"/>
  <c r="A451" i="4"/>
  <c r="R450" i="4"/>
  <c r="P450" i="4"/>
  <c r="N450" i="4"/>
  <c r="L450" i="4"/>
  <c r="K450" i="4"/>
  <c r="J450" i="4"/>
  <c r="I450" i="4"/>
  <c r="H450" i="4"/>
  <c r="G450" i="4"/>
  <c r="F450" i="4"/>
  <c r="E450" i="4"/>
  <c r="D450" i="4"/>
  <c r="C450" i="4"/>
  <c r="B450" i="4"/>
  <c r="A450" i="4"/>
  <c r="R449" i="4"/>
  <c r="P449" i="4"/>
  <c r="N449" i="4"/>
  <c r="L449" i="4"/>
  <c r="K449" i="4"/>
  <c r="J449" i="4"/>
  <c r="I449" i="4"/>
  <c r="H449" i="4"/>
  <c r="G449" i="4"/>
  <c r="F449" i="4"/>
  <c r="E449" i="4"/>
  <c r="D449" i="4"/>
  <c r="C449" i="4"/>
  <c r="B449" i="4"/>
  <c r="A449" i="4"/>
  <c r="R448" i="4"/>
  <c r="P448" i="4"/>
  <c r="N448" i="4"/>
  <c r="L448" i="4"/>
  <c r="K448" i="4"/>
  <c r="J448" i="4"/>
  <c r="I448" i="4"/>
  <c r="H448" i="4"/>
  <c r="G448" i="4"/>
  <c r="F448" i="4"/>
  <c r="E448" i="4"/>
  <c r="D448" i="4"/>
  <c r="C448" i="4"/>
  <c r="B448" i="4"/>
  <c r="A448" i="4"/>
  <c r="R447" i="4"/>
  <c r="P447" i="4"/>
  <c r="N447" i="4"/>
  <c r="L447" i="4"/>
  <c r="K447" i="4"/>
  <c r="J447" i="4"/>
  <c r="I447" i="4"/>
  <c r="H447" i="4"/>
  <c r="G447" i="4"/>
  <c r="F447" i="4"/>
  <c r="E447" i="4"/>
  <c r="D447" i="4"/>
  <c r="C447" i="4"/>
  <c r="B447" i="4"/>
  <c r="A447" i="4"/>
  <c r="R446" i="4"/>
  <c r="P446" i="4"/>
  <c r="N446" i="4"/>
  <c r="L446" i="4"/>
  <c r="K446" i="4"/>
  <c r="J446" i="4"/>
  <c r="I446" i="4"/>
  <c r="H446" i="4"/>
  <c r="G446" i="4"/>
  <c r="F446" i="4"/>
  <c r="E446" i="4"/>
  <c r="D446" i="4"/>
  <c r="C446" i="4"/>
  <c r="B446" i="4"/>
  <c r="A446" i="4"/>
  <c r="R445" i="4"/>
  <c r="P445" i="4"/>
  <c r="N445" i="4"/>
  <c r="L445" i="4"/>
  <c r="K445" i="4"/>
  <c r="J445" i="4"/>
  <c r="I445" i="4"/>
  <c r="H445" i="4"/>
  <c r="G445" i="4"/>
  <c r="F445" i="4"/>
  <c r="E445" i="4"/>
  <c r="D445" i="4"/>
  <c r="C445" i="4"/>
  <c r="B445" i="4"/>
  <c r="A445" i="4"/>
  <c r="R444" i="4"/>
  <c r="P444" i="4"/>
  <c r="N444" i="4"/>
  <c r="L444" i="4"/>
  <c r="K444" i="4"/>
  <c r="J444" i="4"/>
  <c r="I444" i="4"/>
  <c r="H444" i="4"/>
  <c r="G444" i="4"/>
  <c r="F444" i="4"/>
  <c r="E444" i="4"/>
  <c r="D444" i="4"/>
  <c r="C444" i="4"/>
  <c r="B444" i="4"/>
  <c r="A444" i="4"/>
  <c r="R443" i="4"/>
  <c r="P443" i="4"/>
  <c r="N443" i="4"/>
  <c r="L443" i="4"/>
  <c r="K443" i="4"/>
  <c r="J443" i="4"/>
  <c r="I443" i="4"/>
  <c r="H443" i="4"/>
  <c r="G443" i="4"/>
  <c r="F443" i="4"/>
  <c r="E443" i="4"/>
  <c r="D443" i="4"/>
  <c r="C443" i="4"/>
  <c r="B443" i="4"/>
  <c r="A443" i="4"/>
  <c r="R442" i="4"/>
  <c r="P442" i="4"/>
  <c r="N442" i="4"/>
  <c r="L442" i="4"/>
  <c r="K442" i="4"/>
  <c r="J442" i="4"/>
  <c r="I442" i="4"/>
  <c r="H442" i="4"/>
  <c r="G442" i="4"/>
  <c r="F442" i="4"/>
  <c r="E442" i="4"/>
  <c r="D442" i="4"/>
  <c r="C442" i="4"/>
  <c r="B442" i="4"/>
  <c r="A442" i="4"/>
  <c r="R441" i="4"/>
  <c r="P441" i="4"/>
  <c r="N441" i="4"/>
  <c r="L441" i="4"/>
  <c r="K441" i="4"/>
  <c r="J441" i="4"/>
  <c r="I441" i="4"/>
  <c r="H441" i="4"/>
  <c r="G441" i="4"/>
  <c r="F441" i="4"/>
  <c r="E441" i="4"/>
  <c r="D441" i="4"/>
  <c r="C441" i="4"/>
  <c r="B441" i="4"/>
  <c r="A441" i="4"/>
  <c r="R440" i="4"/>
  <c r="P440" i="4"/>
  <c r="N440" i="4"/>
  <c r="L440" i="4"/>
  <c r="K440" i="4"/>
  <c r="J440" i="4"/>
  <c r="I440" i="4"/>
  <c r="H440" i="4"/>
  <c r="G440" i="4"/>
  <c r="F440" i="4"/>
  <c r="E440" i="4"/>
  <c r="D440" i="4"/>
  <c r="C440" i="4"/>
  <c r="B440" i="4"/>
  <c r="A440" i="4"/>
  <c r="R439" i="4"/>
  <c r="P439" i="4"/>
  <c r="N439" i="4"/>
  <c r="L439" i="4"/>
  <c r="K439" i="4"/>
  <c r="J439" i="4"/>
  <c r="I439" i="4"/>
  <c r="H439" i="4"/>
  <c r="G439" i="4"/>
  <c r="F439" i="4"/>
  <c r="E439" i="4"/>
  <c r="D439" i="4"/>
  <c r="C439" i="4"/>
  <c r="B439" i="4"/>
  <c r="A439" i="4"/>
  <c r="R438" i="4"/>
  <c r="P438" i="4"/>
  <c r="N438" i="4"/>
  <c r="L438" i="4"/>
  <c r="K438" i="4"/>
  <c r="J438" i="4"/>
  <c r="I438" i="4"/>
  <c r="H438" i="4"/>
  <c r="G438" i="4"/>
  <c r="F438" i="4"/>
  <c r="E438" i="4"/>
  <c r="D438" i="4"/>
  <c r="C438" i="4"/>
  <c r="B438" i="4"/>
  <c r="A438" i="4"/>
  <c r="R437" i="4"/>
  <c r="P437" i="4"/>
  <c r="N437" i="4"/>
  <c r="L437" i="4"/>
  <c r="K437" i="4"/>
  <c r="J437" i="4"/>
  <c r="I437" i="4"/>
  <c r="H437" i="4"/>
  <c r="G437" i="4"/>
  <c r="F437" i="4"/>
  <c r="E437" i="4"/>
  <c r="D437" i="4"/>
  <c r="C437" i="4"/>
  <c r="B437" i="4"/>
  <c r="A437" i="4"/>
  <c r="R436" i="4"/>
  <c r="P436" i="4"/>
  <c r="N436" i="4"/>
  <c r="L436" i="4"/>
  <c r="K436" i="4"/>
  <c r="J436" i="4"/>
  <c r="I436" i="4"/>
  <c r="H436" i="4"/>
  <c r="G436" i="4"/>
  <c r="F436" i="4"/>
  <c r="E436" i="4"/>
  <c r="D436" i="4"/>
  <c r="C436" i="4"/>
  <c r="B436" i="4"/>
  <c r="A436" i="4"/>
  <c r="R435" i="4"/>
  <c r="P435" i="4"/>
  <c r="N435" i="4"/>
  <c r="L435" i="4"/>
  <c r="K435" i="4"/>
  <c r="J435" i="4"/>
  <c r="I435" i="4"/>
  <c r="H435" i="4"/>
  <c r="G435" i="4"/>
  <c r="F435" i="4"/>
  <c r="E435" i="4"/>
  <c r="D435" i="4"/>
  <c r="C435" i="4"/>
  <c r="B435" i="4"/>
  <c r="A435" i="4"/>
  <c r="R434" i="4"/>
  <c r="P434" i="4"/>
  <c r="N434" i="4"/>
  <c r="L434" i="4"/>
  <c r="K434" i="4"/>
  <c r="J434" i="4"/>
  <c r="I434" i="4"/>
  <c r="H434" i="4"/>
  <c r="G434" i="4"/>
  <c r="F434" i="4"/>
  <c r="E434" i="4"/>
  <c r="D434" i="4"/>
  <c r="C434" i="4"/>
  <c r="B434" i="4"/>
  <c r="A434" i="4"/>
  <c r="R433" i="4"/>
  <c r="P433" i="4"/>
  <c r="N433" i="4"/>
  <c r="L433" i="4"/>
  <c r="K433" i="4"/>
  <c r="J433" i="4"/>
  <c r="I433" i="4"/>
  <c r="H433" i="4"/>
  <c r="G433" i="4"/>
  <c r="F433" i="4"/>
  <c r="E433" i="4"/>
  <c r="D433" i="4"/>
  <c r="C433" i="4"/>
  <c r="B433" i="4"/>
  <c r="A433" i="4"/>
  <c r="R432" i="4"/>
  <c r="P432" i="4"/>
  <c r="N432" i="4"/>
  <c r="L432" i="4"/>
  <c r="K432" i="4"/>
  <c r="J432" i="4"/>
  <c r="I432" i="4"/>
  <c r="H432" i="4"/>
  <c r="G432" i="4"/>
  <c r="F432" i="4"/>
  <c r="E432" i="4"/>
  <c r="D432" i="4"/>
  <c r="C432" i="4"/>
  <c r="B432" i="4"/>
  <c r="A432" i="4"/>
  <c r="R431" i="4"/>
  <c r="P431" i="4"/>
  <c r="N431" i="4"/>
  <c r="L431" i="4"/>
  <c r="K431" i="4"/>
  <c r="J431" i="4"/>
  <c r="I431" i="4"/>
  <c r="H431" i="4"/>
  <c r="G431" i="4"/>
  <c r="F431" i="4"/>
  <c r="E431" i="4"/>
  <c r="D431" i="4"/>
  <c r="C431" i="4"/>
  <c r="B431" i="4"/>
  <c r="A431" i="4"/>
  <c r="R430" i="4"/>
  <c r="P430" i="4"/>
  <c r="N430" i="4"/>
  <c r="L430" i="4"/>
  <c r="K430" i="4"/>
  <c r="J430" i="4"/>
  <c r="I430" i="4"/>
  <c r="H430" i="4"/>
  <c r="G430" i="4"/>
  <c r="F430" i="4"/>
  <c r="E430" i="4"/>
  <c r="D430" i="4"/>
  <c r="C430" i="4"/>
  <c r="B430" i="4"/>
  <c r="A430" i="4"/>
  <c r="R429" i="4"/>
  <c r="P429" i="4"/>
  <c r="N429" i="4"/>
  <c r="L429" i="4"/>
  <c r="K429" i="4"/>
  <c r="J429" i="4"/>
  <c r="I429" i="4"/>
  <c r="H429" i="4"/>
  <c r="G429" i="4"/>
  <c r="F429" i="4"/>
  <c r="E429" i="4"/>
  <c r="D429" i="4"/>
  <c r="C429" i="4"/>
  <c r="B429" i="4"/>
  <c r="A429" i="4"/>
  <c r="R428" i="4"/>
  <c r="P428" i="4"/>
  <c r="N428" i="4"/>
  <c r="L428" i="4"/>
  <c r="K428" i="4"/>
  <c r="J428" i="4"/>
  <c r="I428" i="4"/>
  <c r="H428" i="4"/>
  <c r="G428" i="4"/>
  <c r="F428" i="4"/>
  <c r="E428" i="4"/>
  <c r="D428" i="4"/>
  <c r="C428" i="4"/>
  <c r="B428" i="4"/>
  <c r="A428" i="4"/>
  <c r="R427" i="4"/>
  <c r="P427" i="4"/>
  <c r="N427" i="4"/>
  <c r="L427" i="4"/>
  <c r="K427" i="4"/>
  <c r="J427" i="4"/>
  <c r="I427" i="4"/>
  <c r="H427" i="4"/>
  <c r="G427" i="4"/>
  <c r="F427" i="4"/>
  <c r="E427" i="4"/>
  <c r="D427" i="4"/>
  <c r="C427" i="4"/>
  <c r="B427" i="4"/>
  <c r="A427" i="4"/>
  <c r="R426" i="4"/>
  <c r="P426" i="4"/>
  <c r="N426" i="4"/>
  <c r="L426" i="4"/>
  <c r="K426" i="4"/>
  <c r="J426" i="4"/>
  <c r="I426" i="4"/>
  <c r="H426" i="4"/>
  <c r="G426" i="4"/>
  <c r="F426" i="4"/>
  <c r="E426" i="4"/>
  <c r="D426" i="4"/>
  <c r="C426" i="4"/>
  <c r="B426" i="4"/>
  <c r="A426" i="4"/>
  <c r="R425" i="4"/>
  <c r="P425" i="4"/>
  <c r="N425" i="4"/>
  <c r="L425" i="4"/>
  <c r="K425" i="4"/>
  <c r="J425" i="4"/>
  <c r="I425" i="4"/>
  <c r="H425" i="4"/>
  <c r="G425" i="4"/>
  <c r="F425" i="4"/>
  <c r="E425" i="4"/>
  <c r="D425" i="4"/>
  <c r="C425" i="4"/>
  <c r="B425" i="4"/>
  <c r="A425" i="4"/>
  <c r="R424" i="4"/>
  <c r="P424" i="4"/>
  <c r="N424" i="4"/>
  <c r="L424" i="4"/>
  <c r="K424" i="4"/>
  <c r="J424" i="4"/>
  <c r="I424" i="4"/>
  <c r="H424" i="4"/>
  <c r="G424" i="4"/>
  <c r="F424" i="4"/>
  <c r="E424" i="4"/>
  <c r="D424" i="4"/>
  <c r="C424" i="4"/>
  <c r="B424" i="4"/>
  <c r="A424" i="4"/>
  <c r="R423" i="4"/>
  <c r="P423" i="4"/>
  <c r="N423" i="4"/>
  <c r="L423" i="4"/>
  <c r="K423" i="4"/>
  <c r="J423" i="4"/>
  <c r="I423" i="4"/>
  <c r="H423" i="4"/>
  <c r="G423" i="4"/>
  <c r="F423" i="4"/>
  <c r="E423" i="4"/>
  <c r="D423" i="4"/>
  <c r="C423" i="4"/>
  <c r="B423" i="4"/>
  <c r="A423" i="4"/>
  <c r="R422" i="4"/>
  <c r="P422" i="4"/>
  <c r="N422" i="4"/>
  <c r="L422" i="4"/>
  <c r="K422" i="4"/>
  <c r="J422" i="4"/>
  <c r="I422" i="4"/>
  <c r="H422" i="4"/>
  <c r="G422" i="4"/>
  <c r="F422" i="4"/>
  <c r="E422" i="4"/>
  <c r="D422" i="4"/>
  <c r="C422" i="4"/>
  <c r="B422" i="4"/>
  <c r="A422" i="4"/>
  <c r="R421" i="4"/>
  <c r="P421" i="4"/>
  <c r="N421" i="4"/>
  <c r="L421" i="4"/>
  <c r="K421" i="4"/>
  <c r="J421" i="4"/>
  <c r="I421" i="4"/>
  <c r="H421" i="4"/>
  <c r="G421" i="4"/>
  <c r="F421" i="4"/>
  <c r="E421" i="4"/>
  <c r="D421" i="4"/>
  <c r="C421" i="4"/>
  <c r="B421" i="4"/>
  <c r="A421" i="4"/>
  <c r="R420" i="4"/>
  <c r="P420" i="4"/>
  <c r="N420" i="4"/>
  <c r="L420" i="4"/>
  <c r="K420" i="4"/>
  <c r="J420" i="4"/>
  <c r="I420" i="4"/>
  <c r="H420" i="4"/>
  <c r="G420" i="4"/>
  <c r="F420" i="4"/>
  <c r="E420" i="4"/>
  <c r="D420" i="4"/>
  <c r="C420" i="4"/>
  <c r="B420" i="4"/>
  <c r="A420" i="4"/>
  <c r="R419" i="4"/>
  <c r="P419" i="4"/>
  <c r="N419" i="4"/>
  <c r="L419" i="4"/>
  <c r="K419" i="4"/>
  <c r="J419" i="4"/>
  <c r="I419" i="4"/>
  <c r="H419" i="4"/>
  <c r="G419" i="4"/>
  <c r="F419" i="4"/>
  <c r="E419" i="4"/>
  <c r="D419" i="4"/>
  <c r="C419" i="4"/>
  <c r="B419" i="4"/>
  <c r="A419" i="4"/>
  <c r="R418" i="4"/>
  <c r="P418" i="4"/>
  <c r="N418" i="4"/>
  <c r="L418" i="4"/>
  <c r="K418" i="4"/>
  <c r="J418" i="4"/>
  <c r="I418" i="4"/>
  <c r="H418" i="4"/>
  <c r="G418" i="4"/>
  <c r="F418" i="4"/>
  <c r="E418" i="4"/>
  <c r="D418" i="4"/>
  <c r="C418" i="4"/>
  <c r="B418" i="4"/>
  <c r="A418" i="4"/>
  <c r="R417" i="4"/>
  <c r="P417" i="4"/>
  <c r="N417" i="4"/>
  <c r="L417" i="4"/>
  <c r="K417" i="4"/>
  <c r="J417" i="4"/>
  <c r="I417" i="4"/>
  <c r="H417" i="4"/>
  <c r="G417" i="4"/>
  <c r="F417" i="4"/>
  <c r="E417" i="4"/>
  <c r="D417" i="4"/>
  <c r="C417" i="4"/>
  <c r="B417" i="4"/>
  <c r="A417" i="4"/>
  <c r="R416" i="4"/>
  <c r="P416" i="4"/>
  <c r="N416" i="4"/>
  <c r="L416" i="4"/>
  <c r="K416" i="4"/>
  <c r="J416" i="4"/>
  <c r="I416" i="4"/>
  <c r="H416" i="4"/>
  <c r="G416" i="4"/>
  <c r="F416" i="4"/>
  <c r="E416" i="4"/>
  <c r="D416" i="4"/>
  <c r="C416" i="4"/>
  <c r="B416" i="4"/>
  <c r="A416" i="4"/>
  <c r="R415" i="4"/>
  <c r="P415" i="4"/>
  <c r="N415" i="4"/>
  <c r="L415" i="4"/>
  <c r="K415" i="4"/>
  <c r="J415" i="4"/>
  <c r="I415" i="4"/>
  <c r="H415" i="4"/>
  <c r="G415" i="4"/>
  <c r="F415" i="4"/>
  <c r="E415" i="4"/>
  <c r="D415" i="4"/>
  <c r="C415" i="4"/>
  <c r="B415" i="4"/>
  <c r="A415" i="4"/>
  <c r="R414" i="4"/>
  <c r="P414" i="4"/>
  <c r="N414" i="4"/>
  <c r="L414" i="4"/>
  <c r="K414" i="4"/>
  <c r="J414" i="4"/>
  <c r="I414" i="4"/>
  <c r="H414" i="4"/>
  <c r="G414" i="4"/>
  <c r="F414" i="4"/>
  <c r="E414" i="4"/>
  <c r="D414" i="4"/>
  <c r="C414" i="4"/>
  <c r="B414" i="4"/>
  <c r="A414" i="4"/>
  <c r="R413" i="4"/>
  <c r="P413" i="4"/>
  <c r="N413" i="4"/>
  <c r="L413" i="4"/>
  <c r="K413" i="4"/>
  <c r="J413" i="4"/>
  <c r="I413" i="4"/>
  <c r="H413" i="4"/>
  <c r="G413" i="4"/>
  <c r="F413" i="4"/>
  <c r="E413" i="4"/>
  <c r="D413" i="4"/>
  <c r="C413" i="4"/>
  <c r="B413" i="4"/>
  <c r="A413" i="4"/>
  <c r="R412" i="4"/>
  <c r="P412" i="4"/>
  <c r="N412" i="4"/>
  <c r="L412" i="4"/>
  <c r="K412" i="4"/>
  <c r="J412" i="4"/>
  <c r="I412" i="4"/>
  <c r="H412" i="4"/>
  <c r="G412" i="4"/>
  <c r="F412" i="4"/>
  <c r="E412" i="4"/>
  <c r="D412" i="4"/>
  <c r="C412" i="4"/>
  <c r="B412" i="4"/>
  <c r="A412" i="4"/>
  <c r="R411" i="4"/>
  <c r="P411" i="4"/>
  <c r="N411" i="4"/>
  <c r="L411" i="4"/>
  <c r="K411" i="4"/>
  <c r="J411" i="4"/>
  <c r="I411" i="4"/>
  <c r="H411" i="4"/>
  <c r="G411" i="4"/>
  <c r="F411" i="4"/>
  <c r="E411" i="4"/>
  <c r="D411" i="4"/>
  <c r="C411" i="4"/>
  <c r="B411" i="4"/>
  <c r="A411" i="4"/>
  <c r="R410" i="4"/>
  <c r="P410" i="4"/>
  <c r="N410" i="4"/>
  <c r="L410" i="4"/>
  <c r="K410" i="4"/>
  <c r="J410" i="4"/>
  <c r="I410" i="4"/>
  <c r="H410" i="4"/>
  <c r="G410" i="4"/>
  <c r="F410" i="4"/>
  <c r="E410" i="4"/>
  <c r="D410" i="4"/>
  <c r="C410" i="4"/>
  <c r="B410" i="4"/>
  <c r="A410" i="4"/>
  <c r="R409" i="4"/>
  <c r="P409" i="4"/>
  <c r="N409" i="4"/>
  <c r="L409" i="4"/>
  <c r="K409" i="4"/>
  <c r="J409" i="4"/>
  <c r="I409" i="4"/>
  <c r="H409" i="4"/>
  <c r="G409" i="4"/>
  <c r="F409" i="4"/>
  <c r="E409" i="4"/>
  <c r="D409" i="4"/>
  <c r="C409" i="4"/>
  <c r="B409" i="4"/>
  <c r="A409" i="4"/>
  <c r="R408" i="4"/>
  <c r="P408" i="4"/>
  <c r="N408" i="4"/>
  <c r="L408" i="4"/>
  <c r="K408" i="4"/>
  <c r="J408" i="4"/>
  <c r="I408" i="4"/>
  <c r="H408" i="4"/>
  <c r="G408" i="4"/>
  <c r="F408" i="4"/>
  <c r="E408" i="4"/>
  <c r="D408" i="4"/>
  <c r="C408" i="4"/>
  <c r="B408" i="4"/>
  <c r="A408" i="4"/>
  <c r="R407" i="4"/>
  <c r="P407" i="4"/>
  <c r="N407" i="4"/>
  <c r="L407" i="4"/>
  <c r="K407" i="4"/>
  <c r="J407" i="4"/>
  <c r="I407" i="4"/>
  <c r="H407" i="4"/>
  <c r="G407" i="4"/>
  <c r="F407" i="4"/>
  <c r="E407" i="4"/>
  <c r="D407" i="4"/>
  <c r="C407" i="4"/>
  <c r="B407" i="4"/>
  <c r="A407" i="4"/>
  <c r="R406" i="4"/>
  <c r="P406" i="4"/>
  <c r="N406" i="4"/>
  <c r="L406" i="4"/>
  <c r="K406" i="4"/>
  <c r="J406" i="4"/>
  <c r="I406" i="4"/>
  <c r="H406" i="4"/>
  <c r="G406" i="4"/>
  <c r="F406" i="4"/>
  <c r="E406" i="4"/>
  <c r="D406" i="4"/>
  <c r="C406" i="4"/>
  <c r="B406" i="4"/>
  <c r="A406" i="4"/>
  <c r="R405" i="4"/>
  <c r="P405" i="4"/>
  <c r="N405" i="4"/>
  <c r="L405" i="4"/>
  <c r="K405" i="4"/>
  <c r="J405" i="4"/>
  <c r="I405" i="4"/>
  <c r="H405" i="4"/>
  <c r="G405" i="4"/>
  <c r="F405" i="4"/>
  <c r="E405" i="4"/>
  <c r="D405" i="4"/>
  <c r="C405" i="4"/>
  <c r="B405" i="4"/>
  <c r="A405" i="4"/>
  <c r="R404" i="4"/>
  <c r="P404" i="4"/>
  <c r="N404" i="4"/>
  <c r="L404" i="4"/>
  <c r="K404" i="4"/>
  <c r="J404" i="4"/>
  <c r="I404" i="4"/>
  <c r="H404" i="4"/>
  <c r="G404" i="4"/>
  <c r="F404" i="4"/>
  <c r="E404" i="4"/>
  <c r="D404" i="4"/>
  <c r="C404" i="4"/>
  <c r="B404" i="4"/>
  <c r="A404" i="4"/>
  <c r="R403" i="4"/>
  <c r="P403" i="4"/>
  <c r="N403" i="4"/>
  <c r="L403" i="4"/>
  <c r="K403" i="4"/>
  <c r="J403" i="4"/>
  <c r="I403" i="4"/>
  <c r="H403" i="4"/>
  <c r="G403" i="4"/>
  <c r="F403" i="4"/>
  <c r="E403" i="4"/>
  <c r="D403" i="4"/>
  <c r="C403" i="4"/>
  <c r="B403" i="4"/>
  <c r="A403" i="4"/>
  <c r="R402" i="4"/>
  <c r="P402" i="4"/>
  <c r="N402" i="4"/>
  <c r="L402" i="4"/>
  <c r="K402" i="4"/>
  <c r="J402" i="4"/>
  <c r="I402" i="4"/>
  <c r="H402" i="4"/>
  <c r="G402" i="4"/>
  <c r="F402" i="4"/>
  <c r="E402" i="4"/>
  <c r="D402" i="4"/>
  <c r="C402" i="4"/>
  <c r="B402" i="4"/>
  <c r="A402" i="4"/>
  <c r="R401" i="4"/>
  <c r="P401" i="4"/>
  <c r="N401" i="4"/>
  <c r="L401" i="4"/>
  <c r="K401" i="4"/>
  <c r="J401" i="4"/>
  <c r="I401" i="4"/>
  <c r="H401" i="4"/>
  <c r="G401" i="4"/>
  <c r="F401" i="4"/>
  <c r="E401" i="4"/>
  <c r="D401" i="4"/>
  <c r="C401" i="4"/>
  <c r="B401" i="4"/>
  <c r="A401" i="4"/>
  <c r="R400" i="4"/>
  <c r="P400" i="4"/>
  <c r="N400" i="4"/>
  <c r="L400" i="4"/>
  <c r="K400" i="4"/>
  <c r="J400" i="4"/>
  <c r="I400" i="4"/>
  <c r="H400" i="4"/>
  <c r="G400" i="4"/>
  <c r="F400" i="4"/>
  <c r="E400" i="4"/>
  <c r="D400" i="4"/>
  <c r="C400" i="4"/>
  <c r="B400" i="4"/>
  <c r="A400" i="4"/>
  <c r="R399" i="4"/>
  <c r="P399" i="4"/>
  <c r="N399" i="4"/>
  <c r="L399" i="4"/>
  <c r="K399" i="4"/>
  <c r="J399" i="4"/>
  <c r="I399" i="4"/>
  <c r="H399" i="4"/>
  <c r="G399" i="4"/>
  <c r="F399" i="4"/>
  <c r="E399" i="4"/>
  <c r="D399" i="4"/>
  <c r="C399" i="4"/>
  <c r="B399" i="4"/>
  <c r="A399" i="4"/>
  <c r="R398" i="4"/>
  <c r="P398" i="4"/>
  <c r="N398" i="4"/>
  <c r="L398" i="4"/>
  <c r="K398" i="4"/>
  <c r="J398" i="4"/>
  <c r="I398" i="4"/>
  <c r="H398" i="4"/>
  <c r="G398" i="4"/>
  <c r="F398" i="4"/>
  <c r="E398" i="4"/>
  <c r="D398" i="4"/>
  <c r="C398" i="4"/>
  <c r="B398" i="4"/>
  <c r="A398" i="4"/>
  <c r="R397" i="4"/>
  <c r="P397" i="4"/>
  <c r="N397" i="4"/>
  <c r="L397" i="4"/>
  <c r="K397" i="4"/>
  <c r="J397" i="4"/>
  <c r="I397" i="4"/>
  <c r="H397" i="4"/>
  <c r="G397" i="4"/>
  <c r="F397" i="4"/>
  <c r="E397" i="4"/>
  <c r="D397" i="4"/>
  <c r="C397" i="4"/>
  <c r="B397" i="4"/>
  <c r="A397" i="4"/>
  <c r="R396" i="4"/>
  <c r="P396" i="4"/>
  <c r="N396" i="4"/>
  <c r="L396" i="4"/>
  <c r="K396" i="4"/>
  <c r="J396" i="4"/>
  <c r="I396" i="4"/>
  <c r="H396" i="4"/>
  <c r="G396" i="4"/>
  <c r="F396" i="4"/>
  <c r="E396" i="4"/>
  <c r="D396" i="4"/>
  <c r="C396" i="4"/>
  <c r="B396" i="4"/>
  <c r="A396" i="4"/>
  <c r="R395" i="4"/>
  <c r="P395" i="4"/>
  <c r="N395" i="4"/>
  <c r="L395" i="4"/>
  <c r="K395" i="4"/>
  <c r="J395" i="4"/>
  <c r="I395" i="4"/>
  <c r="H395" i="4"/>
  <c r="G395" i="4"/>
  <c r="F395" i="4"/>
  <c r="E395" i="4"/>
  <c r="D395" i="4"/>
  <c r="C395" i="4"/>
  <c r="B395" i="4"/>
  <c r="A395" i="4"/>
  <c r="R394" i="4"/>
  <c r="P394" i="4"/>
  <c r="N394" i="4"/>
  <c r="L394" i="4"/>
  <c r="K394" i="4"/>
  <c r="J394" i="4"/>
  <c r="I394" i="4"/>
  <c r="H394" i="4"/>
  <c r="G394" i="4"/>
  <c r="F394" i="4"/>
  <c r="E394" i="4"/>
  <c r="D394" i="4"/>
  <c r="C394" i="4"/>
  <c r="B394" i="4"/>
  <c r="A394" i="4"/>
  <c r="R393" i="4"/>
  <c r="P393" i="4"/>
  <c r="N393" i="4"/>
  <c r="L393" i="4"/>
  <c r="K393" i="4"/>
  <c r="J393" i="4"/>
  <c r="I393" i="4"/>
  <c r="H393" i="4"/>
  <c r="G393" i="4"/>
  <c r="F393" i="4"/>
  <c r="E393" i="4"/>
  <c r="D393" i="4"/>
  <c r="C393" i="4"/>
  <c r="B393" i="4"/>
  <c r="A393" i="4"/>
  <c r="R392" i="4"/>
  <c r="P392" i="4"/>
  <c r="N392" i="4"/>
  <c r="L392" i="4"/>
  <c r="K392" i="4"/>
  <c r="J392" i="4"/>
  <c r="I392" i="4"/>
  <c r="H392" i="4"/>
  <c r="G392" i="4"/>
  <c r="F392" i="4"/>
  <c r="E392" i="4"/>
  <c r="D392" i="4"/>
  <c r="C392" i="4"/>
  <c r="B392" i="4"/>
  <c r="A392" i="4"/>
  <c r="R391" i="4"/>
  <c r="P391" i="4"/>
  <c r="N391" i="4"/>
  <c r="L391" i="4"/>
  <c r="K391" i="4"/>
  <c r="J391" i="4"/>
  <c r="I391" i="4"/>
  <c r="H391" i="4"/>
  <c r="G391" i="4"/>
  <c r="F391" i="4"/>
  <c r="E391" i="4"/>
  <c r="D391" i="4"/>
  <c r="C391" i="4"/>
  <c r="B391" i="4"/>
  <c r="A391" i="4"/>
  <c r="R390" i="4"/>
  <c r="P390" i="4"/>
  <c r="N390" i="4"/>
  <c r="L390" i="4"/>
  <c r="K390" i="4"/>
  <c r="J390" i="4"/>
  <c r="I390" i="4"/>
  <c r="H390" i="4"/>
  <c r="G390" i="4"/>
  <c r="F390" i="4"/>
  <c r="E390" i="4"/>
  <c r="D390" i="4"/>
  <c r="C390" i="4"/>
  <c r="B390" i="4"/>
  <c r="A390" i="4"/>
  <c r="R389" i="4"/>
  <c r="P389" i="4"/>
  <c r="N389" i="4"/>
  <c r="L389" i="4"/>
  <c r="K389" i="4"/>
  <c r="J389" i="4"/>
  <c r="I389" i="4"/>
  <c r="H389" i="4"/>
  <c r="G389" i="4"/>
  <c r="F389" i="4"/>
  <c r="E389" i="4"/>
  <c r="D389" i="4"/>
  <c r="C389" i="4"/>
  <c r="B389" i="4"/>
  <c r="A389" i="4"/>
  <c r="R388" i="4"/>
  <c r="P388" i="4"/>
  <c r="N388" i="4"/>
  <c r="L388" i="4"/>
  <c r="K388" i="4"/>
  <c r="J388" i="4"/>
  <c r="I388" i="4"/>
  <c r="H388" i="4"/>
  <c r="G388" i="4"/>
  <c r="F388" i="4"/>
  <c r="E388" i="4"/>
  <c r="D388" i="4"/>
  <c r="C388" i="4"/>
  <c r="B388" i="4"/>
  <c r="A388" i="4"/>
  <c r="R387" i="4"/>
  <c r="P387" i="4"/>
  <c r="N387" i="4"/>
  <c r="L387" i="4"/>
  <c r="K387" i="4"/>
  <c r="J387" i="4"/>
  <c r="I387" i="4"/>
  <c r="H387" i="4"/>
  <c r="G387" i="4"/>
  <c r="F387" i="4"/>
  <c r="E387" i="4"/>
  <c r="D387" i="4"/>
  <c r="C387" i="4"/>
  <c r="B387" i="4"/>
  <c r="A387" i="4"/>
  <c r="R386" i="4"/>
  <c r="P386" i="4"/>
  <c r="N386" i="4"/>
  <c r="L386" i="4"/>
  <c r="K386" i="4"/>
  <c r="J386" i="4"/>
  <c r="I386" i="4"/>
  <c r="H386" i="4"/>
  <c r="G386" i="4"/>
  <c r="F386" i="4"/>
  <c r="E386" i="4"/>
  <c r="D386" i="4"/>
  <c r="C386" i="4"/>
  <c r="B386" i="4"/>
  <c r="A386" i="4"/>
  <c r="R385" i="4"/>
  <c r="P385" i="4"/>
  <c r="N385" i="4"/>
  <c r="L385" i="4"/>
  <c r="K385" i="4"/>
  <c r="J385" i="4"/>
  <c r="I385" i="4"/>
  <c r="H385" i="4"/>
  <c r="G385" i="4"/>
  <c r="F385" i="4"/>
  <c r="E385" i="4"/>
  <c r="D385" i="4"/>
  <c r="C385" i="4"/>
  <c r="B385" i="4"/>
  <c r="A385" i="4"/>
  <c r="R384" i="4"/>
  <c r="P384" i="4"/>
  <c r="N384" i="4"/>
  <c r="L384" i="4"/>
  <c r="K384" i="4"/>
  <c r="J384" i="4"/>
  <c r="I384" i="4"/>
  <c r="H384" i="4"/>
  <c r="G384" i="4"/>
  <c r="F384" i="4"/>
  <c r="E384" i="4"/>
  <c r="D384" i="4"/>
  <c r="C384" i="4"/>
  <c r="B384" i="4"/>
  <c r="A384" i="4"/>
  <c r="R383" i="4"/>
  <c r="P383" i="4"/>
  <c r="N383" i="4"/>
  <c r="L383" i="4"/>
  <c r="K383" i="4"/>
  <c r="J383" i="4"/>
  <c r="I383" i="4"/>
  <c r="H383" i="4"/>
  <c r="G383" i="4"/>
  <c r="F383" i="4"/>
  <c r="E383" i="4"/>
  <c r="D383" i="4"/>
  <c r="C383" i="4"/>
  <c r="B383" i="4"/>
  <c r="A383" i="4"/>
  <c r="R382" i="4"/>
  <c r="P382" i="4"/>
  <c r="N382" i="4"/>
  <c r="L382" i="4"/>
  <c r="K382" i="4"/>
  <c r="J382" i="4"/>
  <c r="I382" i="4"/>
  <c r="H382" i="4"/>
  <c r="G382" i="4"/>
  <c r="F382" i="4"/>
  <c r="E382" i="4"/>
  <c r="D382" i="4"/>
  <c r="C382" i="4"/>
  <c r="B382" i="4"/>
  <c r="A382" i="4"/>
  <c r="R381" i="4"/>
  <c r="P381" i="4"/>
  <c r="N381" i="4"/>
  <c r="L381" i="4"/>
  <c r="K381" i="4"/>
  <c r="J381" i="4"/>
  <c r="I381" i="4"/>
  <c r="H381" i="4"/>
  <c r="G381" i="4"/>
  <c r="F381" i="4"/>
  <c r="E381" i="4"/>
  <c r="D381" i="4"/>
  <c r="C381" i="4"/>
  <c r="B381" i="4"/>
  <c r="A381" i="4"/>
  <c r="R380" i="4"/>
  <c r="P380" i="4"/>
  <c r="N380" i="4"/>
  <c r="L380" i="4"/>
  <c r="K380" i="4"/>
  <c r="J380" i="4"/>
  <c r="I380" i="4"/>
  <c r="H380" i="4"/>
  <c r="G380" i="4"/>
  <c r="F380" i="4"/>
  <c r="E380" i="4"/>
  <c r="D380" i="4"/>
  <c r="C380" i="4"/>
  <c r="B380" i="4"/>
  <c r="A380" i="4"/>
  <c r="R379" i="4"/>
  <c r="P379" i="4"/>
  <c r="N379" i="4"/>
  <c r="L379" i="4"/>
  <c r="K379" i="4"/>
  <c r="J379" i="4"/>
  <c r="I379" i="4"/>
  <c r="H379" i="4"/>
  <c r="G379" i="4"/>
  <c r="F379" i="4"/>
  <c r="E379" i="4"/>
  <c r="D379" i="4"/>
  <c r="C379" i="4"/>
  <c r="B379" i="4"/>
  <c r="A379" i="4"/>
  <c r="R378" i="4"/>
  <c r="P378" i="4"/>
  <c r="N378" i="4"/>
  <c r="L378" i="4"/>
  <c r="K378" i="4"/>
  <c r="J378" i="4"/>
  <c r="I378" i="4"/>
  <c r="H378" i="4"/>
  <c r="G378" i="4"/>
  <c r="F378" i="4"/>
  <c r="E378" i="4"/>
  <c r="D378" i="4"/>
  <c r="C378" i="4"/>
  <c r="B378" i="4"/>
  <c r="A378" i="4"/>
  <c r="R377" i="4"/>
  <c r="P377" i="4"/>
  <c r="N377" i="4"/>
  <c r="L377" i="4"/>
  <c r="K377" i="4"/>
  <c r="J377" i="4"/>
  <c r="I377" i="4"/>
  <c r="H377" i="4"/>
  <c r="G377" i="4"/>
  <c r="F377" i="4"/>
  <c r="E377" i="4"/>
  <c r="D377" i="4"/>
  <c r="C377" i="4"/>
  <c r="B377" i="4"/>
  <c r="A377" i="4"/>
  <c r="R376" i="4"/>
  <c r="P376" i="4"/>
  <c r="N376" i="4"/>
  <c r="L376" i="4"/>
  <c r="K376" i="4"/>
  <c r="J376" i="4"/>
  <c r="I376" i="4"/>
  <c r="H376" i="4"/>
  <c r="G376" i="4"/>
  <c r="F376" i="4"/>
  <c r="E376" i="4"/>
  <c r="D376" i="4"/>
  <c r="C376" i="4"/>
  <c r="B376" i="4"/>
  <c r="A376" i="4"/>
  <c r="R375" i="4"/>
  <c r="P375" i="4"/>
  <c r="N375" i="4"/>
  <c r="L375" i="4"/>
  <c r="K375" i="4"/>
  <c r="J375" i="4"/>
  <c r="I375" i="4"/>
  <c r="H375" i="4"/>
  <c r="G375" i="4"/>
  <c r="F375" i="4"/>
  <c r="E375" i="4"/>
  <c r="D375" i="4"/>
  <c r="C375" i="4"/>
  <c r="B375" i="4"/>
  <c r="A375" i="4"/>
  <c r="R374" i="4"/>
  <c r="P374" i="4"/>
  <c r="N374" i="4"/>
  <c r="L374" i="4"/>
  <c r="K374" i="4"/>
  <c r="J374" i="4"/>
  <c r="I374" i="4"/>
  <c r="H374" i="4"/>
  <c r="G374" i="4"/>
  <c r="F374" i="4"/>
  <c r="E374" i="4"/>
  <c r="D374" i="4"/>
  <c r="C374" i="4"/>
  <c r="B374" i="4"/>
  <c r="A374" i="4"/>
  <c r="R373" i="4"/>
  <c r="P373" i="4"/>
  <c r="N373" i="4"/>
  <c r="L373" i="4"/>
  <c r="K373" i="4"/>
  <c r="J373" i="4"/>
  <c r="I373" i="4"/>
  <c r="H373" i="4"/>
  <c r="G373" i="4"/>
  <c r="F373" i="4"/>
  <c r="E373" i="4"/>
  <c r="D373" i="4"/>
  <c r="C373" i="4"/>
  <c r="B373" i="4"/>
  <c r="A373" i="4"/>
  <c r="R372" i="4"/>
  <c r="P372" i="4"/>
  <c r="N372" i="4"/>
  <c r="L372" i="4"/>
  <c r="K372" i="4"/>
  <c r="J372" i="4"/>
  <c r="I372" i="4"/>
  <c r="H372" i="4"/>
  <c r="G372" i="4"/>
  <c r="F372" i="4"/>
  <c r="E372" i="4"/>
  <c r="D372" i="4"/>
  <c r="C372" i="4"/>
  <c r="B372" i="4"/>
  <c r="A372" i="4"/>
  <c r="R371" i="4"/>
  <c r="P371" i="4"/>
  <c r="N371" i="4"/>
  <c r="L371" i="4"/>
  <c r="K371" i="4"/>
  <c r="J371" i="4"/>
  <c r="I371" i="4"/>
  <c r="H371" i="4"/>
  <c r="G371" i="4"/>
  <c r="F371" i="4"/>
  <c r="E371" i="4"/>
  <c r="D371" i="4"/>
  <c r="C371" i="4"/>
  <c r="B371" i="4"/>
  <c r="A371" i="4"/>
  <c r="R370" i="4"/>
  <c r="P370" i="4"/>
  <c r="N370" i="4"/>
  <c r="L370" i="4"/>
  <c r="K370" i="4"/>
  <c r="J370" i="4"/>
  <c r="I370" i="4"/>
  <c r="H370" i="4"/>
  <c r="G370" i="4"/>
  <c r="F370" i="4"/>
  <c r="E370" i="4"/>
  <c r="D370" i="4"/>
  <c r="C370" i="4"/>
  <c r="B370" i="4"/>
  <c r="A370" i="4"/>
  <c r="R369" i="4"/>
  <c r="P369" i="4"/>
  <c r="N369" i="4"/>
  <c r="L369" i="4"/>
  <c r="K369" i="4"/>
  <c r="J369" i="4"/>
  <c r="I369" i="4"/>
  <c r="H369" i="4"/>
  <c r="G369" i="4"/>
  <c r="F369" i="4"/>
  <c r="E369" i="4"/>
  <c r="D369" i="4"/>
  <c r="C369" i="4"/>
  <c r="B369" i="4"/>
  <c r="A369" i="4"/>
  <c r="R368" i="4"/>
  <c r="P368" i="4"/>
  <c r="N368" i="4"/>
  <c r="L368" i="4"/>
  <c r="K368" i="4"/>
  <c r="J368" i="4"/>
  <c r="I368" i="4"/>
  <c r="H368" i="4"/>
  <c r="G368" i="4"/>
  <c r="F368" i="4"/>
  <c r="E368" i="4"/>
  <c r="D368" i="4"/>
  <c r="C368" i="4"/>
  <c r="B368" i="4"/>
  <c r="A368" i="4"/>
  <c r="R367" i="4"/>
  <c r="P367" i="4"/>
  <c r="N367" i="4"/>
  <c r="L367" i="4"/>
  <c r="K367" i="4"/>
  <c r="J367" i="4"/>
  <c r="I367" i="4"/>
  <c r="H367" i="4"/>
  <c r="G367" i="4"/>
  <c r="F367" i="4"/>
  <c r="E367" i="4"/>
  <c r="D367" i="4"/>
  <c r="C367" i="4"/>
  <c r="B367" i="4"/>
  <c r="A367" i="4"/>
  <c r="R366" i="4"/>
  <c r="P366" i="4"/>
  <c r="N366" i="4"/>
  <c r="L366" i="4"/>
  <c r="K366" i="4"/>
  <c r="J366" i="4"/>
  <c r="I366" i="4"/>
  <c r="H366" i="4"/>
  <c r="G366" i="4"/>
  <c r="F366" i="4"/>
  <c r="E366" i="4"/>
  <c r="D366" i="4"/>
  <c r="C366" i="4"/>
  <c r="B366" i="4"/>
  <c r="A366" i="4"/>
  <c r="R365" i="4"/>
  <c r="P365" i="4"/>
  <c r="N365" i="4"/>
  <c r="L365" i="4"/>
  <c r="K365" i="4"/>
  <c r="J365" i="4"/>
  <c r="I365" i="4"/>
  <c r="H365" i="4"/>
  <c r="G365" i="4"/>
  <c r="F365" i="4"/>
  <c r="E365" i="4"/>
  <c r="D365" i="4"/>
  <c r="C365" i="4"/>
  <c r="B365" i="4"/>
  <c r="A365" i="4"/>
  <c r="R364" i="4"/>
  <c r="P364" i="4"/>
  <c r="N364" i="4"/>
  <c r="L364" i="4"/>
  <c r="K364" i="4"/>
  <c r="J364" i="4"/>
  <c r="I364" i="4"/>
  <c r="H364" i="4"/>
  <c r="G364" i="4"/>
  <c r="F364" i="4"/>
  <c r="E364" i="4"/>
  <c r="D364" i="4"/>
  <c r="C364" i="4"/>
  <c r="B364" i="4"/>
  <c r="A364" i="4"/>
  <c r="R363" i="4"/>
  <c r="P363" i="4"/>
  <c r="N363" i="4"/>
  <c r="L363" i="4"/>
  <c r="K363" i="4"/>
  <c r="J363" i="4"/>
  <c r="I363" i="4"/>
  <c r="H363" i="4"/>
  <c r="G363" i="4"/>
  <c r="F363" i="4"/>
  <c r="E363" i="4"/>
  <c r="D363" i="4"/>
  <c r="C363" i="4"/>
  <c r="B363" i="4"/>
  <c r="A363" i="4"/>
  <c r="R362" i="4"/>
  <c r="P362" i="4"/>
  <c r="N362" i="4"/>
  <c r="L362" i="4"/>
  <c r="K362" i="4"/>
  <c r="J362" i="4"/>
  <c r="I362" i="4"/>
  <c r="H362" i="4"/>
  <c r="G362" i="4"/>
  <c r="F362" i="4"/>
  <c r="E362" i="4"/>
  <c r="D362" i="4"/>
  <c r="C362" i="4"/>
  <c r="B362" i="4"/>
  <c r="A362" i="4"/>
  <c r="R361" i="4"/>
  <c r="P361" i="4"/>
  <c r="N361" i="4"/>
  <c r="L361" i="4"/>
  <c r="K361" i="4"/>
  <c r="J361" i="4"/>
  <c r="I361" i="4"/>
  <c r="H361" i="4"/>
  <c r="G361" i="4"/>
  <c r="F361" i="4"/>
  <c r="E361" i="4"/>
  <c r="D361" i="4"/>
  <c r="C361" i="4"/>
  <c r="B361" i="4"/>
  <c r="A361" i="4"/>
  <c r="R360" i="4"/>
  <c r="P360" i="4"/>
  <c r="N360" i="4"/>
  <c r="L360" i="4"/>
  <c r="K360" i="4"/>
  <c r="J360" i="4"/>
  <c r="I360" i="4"/>
  <c r="H360" i="4"/>
  <c r="G360" i="4"/>
  <c r="F360" i="4"/>
  <c r="E360" i="4"/>
  <c r="D360" i="4"/>
  <c r="C360" i="4"/>
  <c r="B360" i="4"/>
  <c r="A360" i="4"/>
  <c r="R359" i="4"/>
  <c r="P359" i="4"/>
  <c r="N359" i="4"/>
  <c r="L359" i="4"/>
  <c r="K359" i="4"/>
  <c r="J359" i="4"/>
  <c r="I359" i="4"/>
  <c r="H359" i="4"/>
  <c r="G359" i="4"/>
  <c r="F359" i="4"/>
  <c r="E359" i="4"/>
  <c r="D359" i="4"/>
  <c r="C359" i="4"/>
  <c r="B359" i="4"/>
  <c r="A359" i="4"/>
  <c r="R358" i="4"/>
  <c r="P358" i="4"/>
  <c r="N358" i="4"/>
  <c r="L358" i="4"/>
  <c r="K358" i="4"/>
  <c r="J358" i="4"/>
  <c r="I358" i="4"/>
  <c r="H358" i="4"/>
  <c r="G358" i="4"/>
  <c r="F358" i="4"/>
  <c r="E358" i="4"/>
  <c r="D358" i="4"/>
  <c r="C358" i="4"/>
  <c r="B358" i="4"/>
  <c r="A358" i="4"/>
  <c r="R357" i="4"/>
  <c r="P357" i="4"/>
  <c r="N357" i="4"/>
  <c r="L357" i="4"/>
  <c r="K357" i="4"/>
  <c r="J357" i="4"/>
  <c r="I357" i="4"/>
  <c r="H357" i="4"/>
  <c r="G357" i="4"/>
  <c r="F357" i="4"/>
  <c r="E357" i="4"/>
  <c r="D357" i="4"/>
  <c r="C357" i="4"/>
  <c r="B357" i="4"/>
  <c r="A357" i="4"/>
  <c r="R356" i="4"/>
  <c r="P356" i="4"/>
  <c r="N356" i="4"/>
  <c r="L356" i="4"/>
  <c r="K356" i="4"/>
  <c r="J356" i="4"/>
  <c r="I356" i="4"/>
  <c r="H356" i="4"/>
  <c r="G356" i="4"/>
  <c r="F356" i="4"/>
  <c r="E356" i="4"/>
  <c r="D356" i="4"/>
  <c r="C356" i="4"/>
  <c r="B356" i="4"/>
  <c r="A356" i="4"/>
  <c r="R355" i="4"/>
  <c r="P355" i="4"/>
  <c r="N355" i="4"/>
  <c r="L355" i="4"/>
  <c r="K355" i="4"/>
  <c r="J355" i="4"/>
  <c r="I355" i="4"/>
  <c r="H355" i="4"/>
  <c r="G355" i="4"/>
  <c r="F355" i="4"/>
  <c r="E355" i="4"/>
  <c r="D355" i="4"/>
  <c r="C355" i="4"/>
  <c r="B355" i="4"/>
  <c r="A355" i="4"/>
  <c r="R354" i="4"/>
  <c r="P354" i="4"/>
  <c r="N354" i="4"/>
  <c r="L354" i="4"/>
  <c r="K354" i="4"/>
  <c r="J354" i="4"/>
  <c r="I354" i="4"/>
  <c r="H354" i="4"/>
  <c r="G354" i="4"/>
  <c r="F354" i="4"/>
  <c r="E354" i="4"/>
  <c r="D354" i="4"/>
  <c r="C354" i="4"/>
  <c r="B354" i="4"/>
  <c r="A354" i="4"/>
  <c r="R353" i="4"/>
  <c r="P353" i="4"/>
  <c r="N353" i="4"/>
  <c r="L353" i="4"/>
  <c r="K353" i="4"/>
  <c r="J353" i="4"/>
  <c r="I353" i="4"/>
  <c r="H353" i="4"/>
  <c r="G353" i="4"/>
  <c r="F353" i="4"/>
  <c r="E353" i="4"/>
  <c r="D353" i="4"/>
  <c r="C353" i="4"/>
  <c r="B353" i="4"/>
  <c r="A353" i="4"/>
  <c r="R352" i="4"/>
  <c r="P352" i="4"/>
  <c r="N352" i="4"/>
  <c r="L352" i="4"/>
  <c r="K352" i="4"/>
  <c r="J352" i="4"/>
  <c r="I352" i="4"/>
  <c r="H352" i="4"/>
  <c r="G352" i="4"/>
  <c r="F352" i="4"/>
  <c r="E352" i="4"/>
  <c r="D352" i="4"/>
  <c r="C352" i="4"/>
  <c r="B352" i="4"/>
  <c r="A352" i="4"/>
  <c r="R351" i="4"/>
  <c r="P351" i="4"/>
  <c r="N351" i="4"/>
  <c r="L351" i="4"/>
  <c r="K351" i="4"/>
  <c r="J351" i="4"/>
  <c r="I351" i="4"/>
  <c r="H351" i="4"/>
  <c r="G351" i="4"/>
  <c r="F351" i="4"/>
  <c r="E351" i="4"/>
  <c r="D351" i="4"/>
  <c r="C351" i="4"/>
  <c r="B351" i="4"/>
  <c r="A351" i="4"/>
  <c r="R350" i="4"/>
  <c r="P350" i="4"/>
  <c r="N350" i="4"/>
  <c r="L350" i="4"/>
  <c r="K350" i="4"/>
  <c r="J350" i="4"/>
  <c r="I350" i="4"/>
  <c r="H350" i="4"/>
  <c r="G350" i="4"/>
  <c r="F350" i="4"/>
  <c r="E350" i="4"/>
  <c r="D350" i="4"/>
  <c r="C350" i="4"/>
  <c r="B350" i="4"/>
  <c r="A350" i="4"/>
  <c r="R349" i="4"/>
  <c r="P349" i="4"/>
  <c r="N349" i="4"/>
  <c r="L349" i="4"/>
  <c r="K349" i="4"/>
  <c r="J349" i="4"/>
  <c r="I349" i="4"/>
  <c r="H349" i="4"/>
  <c r="G349" i="4"/>
  <c r="F349" i="4"/>
  <c r="E349" i="4"/>
  <c r="D349" i="4"/>
  <c r="C349" i="4"/>
  <c r="B349" i="4"/>
  <c r="A349" i="4"/>
  <c r="R348" i="4"/>
  <c r="P348" i="4"/>
  <c r="N348" i="4"/>
  <c r="L348" i="4"/>
  <c r="K348" i="4"/>
  <c r="J348" i="4"/>
  <c r="I348" i="4"/>
  <c r="H348" i="4"/>
  <c r="G348" i="4"/>
  <c r="F348" i="4"/>
  <c r="E348" i="4"/>
  <c r="D348" i="4"/>
  <c r="C348" i="4"/>
  <c r="B348" i="4"/>
  <c r="A348" i="4"/>
  <c r="R347" i="4"/>
  <c r="P347" i="4"/>
  <c r="N347" i="4"/>
  <c r="L347" i="4"/>
  <c r="K347" i="4"/>
  <c r="J347" i="4"/>
  <c r="I347" i="4"/>
  <c r="H347" i="4"/>
  <c r="G347" i="4"/>
  <c r="F347" i="4"/>
  <c r="E347" i="4"/>
  <c r="D347" i="4"/>
  <c r="C347" i="4"/>
  <c r="B347" i="4"/>
  <c r="A347" i="4"/>
  <c r="R346" i="4"/>
  <c r="P346" i="4"/>
  <c r="N346" i="4"/>
  <c r="L346" i="4"/>
  <c r="K346" i="4"/>
  <c r="J346" i="4"/>
  <c r="I346" i="4"/>
  <c r="H346" i="4"/>
  <c r="G346" i="4"/>
  <c r="F346" i="4"/>
  <c r="E346" i="4"/>
  <c r="D346" i="4"/>
  <c r="C346" i="4"/>
  <c r="B346" i="4"/>
  <c r="A346" i="4"/>
  <c r="R345" i="4"/>
  <c r="P345" i="4"/>
  <c r="N345" i="4"/>
  <c r="L345" i="4"/>
  <c r="K345" i="4"/>
  <c r="J345" i="4"/>
  <c r="I345" i="4"/>
  <c r="H345" i="4"/>
  <c r="G345" i="4"/>
  <c r="F345" i="4"/>
  <c r="E345" i="4"/>
  <c r="D345" i="4"/>
  <c r="C345" i="4"/>
  <c r="B345" i="4"/>
  <c r="A345" i="4"/>
  <c r="R344" i="4"/>
  <c r="P344" i="4"/>
  <c r="N344" i="4"/>
  <c r="L344" i="4"/>
  <c r="K344" i="4"/>
  <c r="J344" i="4"/>
  <c r="I344" i="4"/>
  <c r="H344" i="4"/>
  <c r="G344" i="4"/>
  <c r="F344" i="4"/>
  <c r="E344" i="4"/>
  <c r="D344" i="4"/>
  <c r="C344" i="4"/>
  <c r="B344" i="4"/>
  <c r="A344" i="4"/>
  <c r="R343" i="4"/>
  <c r="P343" i="4"/>
  <c r="N343" i="4"/>
  <c r="L343" i="4"/>
  <c r="K343" i="4"/>
  <c r="J343" i="4"/>
  <c r="I343" i="4"/>
  <c r="H343" i="4"/>
  <c r="G343" i="4"/>
  <c r="F343" i="4"/>
  <c r="E343" i="4"/>
  <c r="D343" i="4"/>
  <c r="C343" i="4"/>
  <c r="B343" i="4"/>
  <c r="A343" i="4"/>
  <c r="R342" i="4"/>
  <c r="P342" i="4"/>
  <c r="N342" i="4"/>
  <c r="L342" i="4"/>
  <c r="K342" i="4"/>
  <c r="J342" i="4"/>
  <c r="I342" i="4"/>
  <c r="H342" i="4"/>
  <c r="G342" i="4"/>
  <c r="F342" i="4"/>
  <c r="E342" i="4"/>
  <c r="D342" i="4"/>
  <c r="C342" i="4"/>
  <c r="B342" i="4"/>
  <c r="A342" i="4"/>
  <c r="R341" i="4"/>
  <c r="P341" i="4"/>
  <c r="N341" i="4"/>
  <c r="L341" i="4"/>
  <c r="K341" i="4"/>
  <c r="J341" i="4"/>
  <c r="I341" i="4"/>
  <c r="H341" i="4"/>
  <c r="G341" i="4"/>
  <c r="F341" i="4"/>
  <c r="E341" i="4"/>
  <c r="D341" i="4"/>
  <c r="C341" i="4"/>
  <c r="B341" i="4"/>
  <c r="A341" i="4"/>
  <c r="R340" i="4"/>
  <c r="P340" i="4"/>
  <c r="N340" i="4"/>
  <c r="L340" i="4"/>
  <c r="K340" i="4"/>
  <c r="J340" i="4"/>
  <c r="I340" i="4"/>
  <c r="H340" i="4"/>
  <c r="G340" i="4"/>
  <c r="F340" i="4"/>
  <c r="E340" i="4"/>
  <c r="D340" i="4"/>
  <c r="C340" i="4"/>
  <c r="B340" i="4"/>
  <c r="A340" i="4"/>
  <c r="R339" i="4"/>
  <c r="P339" i="4"/>
  <c r="N339" i="4"/>
  <c r="L339" i="4"/>
  <c r="K339" i="4"/>
  <c r="J339" i="4"/>
  <c r="I339" i="4"/>
  <c r="H339" i="4"/>
  <c r="G339" i="4"/>
  <c r="F339" i="4"/>
  <c r="E339" i="4"/>
  <c r="D339" i="4"/>
  <c r="C339" i="4"/>
  <c r="B339" i="4"/>
  <c r="A339" i="4"/>
  <c r="R338" i="4"/>
  <c r="P338" i="4"/>
  <c r="N338" i="4"/>
  <c r="L338" i="4"/>
  <c r="K338" i="4"/>
  <c r="J338" i="4"/>
  <c r="I338" i="4"/>
  <c r="H338" i="4"/>
  <c r="G338" i="4"/>
  <c r="F338" i="4"/>
  <c r="E338" i="4"/>
  <c r="D338" i="4"/>
  <c r="C338" i="4"/>
  <c r="B338" i="4"/>
  <c r="A338" i="4"/>
  <c r="R337" i="4"/>
  <c r="P337" i="4"/>
  <c r="N337" i="4"/>
  <c r="L337" i="4"/>
  <c r="K337" i="4"/>
  <c r="J337" i="4"/>
  <c r="I337" i="4"/>
  <c r="H337" i="4"/>
  <c r="G337" i="4"/>
  <c r="F337" i="4"/>
  <c r="E337" i="4"/>
  <c r="D337" i="4"/>
  <c r="C337" i="4"/>
  <c r="B337" i="4"/>
  <c r="A337" i="4"/>
  <c r="R336" i="4"/>
  <c r="P336" i="4"/>
  <c r="N336" i="4"/>
  <c r="L336" i="4"/>
  <c r="K336" i="4"/>
  <c r="J336" i="4"/>
  <c r="I336" i="4"/>
  <c r="H336" i="4"/>
  <c r="G336" i="4"/>
  <c r="F336" i="4"/>
  <c r="E336" i="4"/>
  <c r="D336" i="4"/>
  <c r="C336" i="4"/>
  <c r="B336" i="4"/>
  <c r="A336" i="4"/>
  <c r="R335" i="4"/>
  <c r="P335" i="4"/>
  <c r="N335" i="4"/>
  <c r="L335" i="4"/>
  <c r="K335" i="4"/>
  <c r="J335" i="4"/>
  <c r="I335" i="4"/>
  <c r="H335" i="4"/>
  <c r="G335" i="4"/>
  <c r="F335" i="4"/>
  <c r="E335" i="4"/>
  <c r="D335" i="4"/>
  <c r="C335" i="4"/>
  <c r="B335" i="4"/>
  <c r="A335" i="4"/>
  <c r="R334" i="4"/>
  <c r="P334" i="4"/>
  <c r="N334" i="4"/>
  <c r="L334" i="4"/>
  <c r="K334" i="4"/>
  <c r="J334" i="4"/>
  <c r="I334" i="4"/>
  <c r="H334" i="4"/>
  <c r="G334" i="4"/>
  <c r="F334" i="4"/>
  <c r="E334" i="4"/>
  <c r="D334" i="4"/>
  <c r="C334" i="4"/>
  <c r="B334" i="4"/>
  <c r="A334" i="4"/>
  <c r="R333" i="4"/>
  <c r="P333" i="4"/>
  <c r="N333" i="4"/>
  <c r="L333" i="4"/>
  <c r="K333" i="4"/>
  <c r="J333" i="4"/>
  <c r="I333" i="4"/>
  <c r="H333" i="4"/>
  <c r="G333" i="4"/>
  <c r="F333" i="4"/>
  <c r="E333" i="4"/>
  <c r="D333" i="4"/>
  <c r="C333" i="4"/>
  <c r="B333" i="4"/>
  <c r="A333" i="4"/>
  <c r="R332" i="4"/>
  <c r="P332" i="4"/>
  <c r="N332" i="4"/>
  <c r="L332" i="4"/>
  <c r="K332" i="4"/>
  <c r="J332" i="4"/>
  <c r="I332" i="4"/>
  <c r="H332" i="4"/>
  <c r="G332" i="4"/>
  <c r="F332" i="4"/>
  <c r="E332" i="4"/>
  <c r="D332" i="4"/>
  <c r="C332" i="4"/>
  <c r="B332" i="4"/>
  <c r="A332" i="4"/>
  <c r="R331" i="4"/>
  <c r="P331" i="4"/>
  <c r="N331" i="4"/>
  <c r="L331" i="4"/>
  <c r="K331" i="4"/>
  <c r="J331" i="4"/>
  <c r="I331" i="4"/>
  <c r="H331" i="4"/>
  <c r="G331" i="4"/>
  <c r="F331" i="4"/>
  <c r="E331" i="4"/>
  <c r="D331" i="4"/>
  <c r="C331" i="4"/>
  <c r="B331" i="4"/>
  <c r="A331" i="4"/>
  <c r="R330" i="4"/>
  <c r="P330" i="4"/>
  <c r="N330" i="4"/>
  <c r="L330" i="4"/>
  <c r="K330" i="4"/>
  <c r="J330" i="4"/>
  <c r="I330" i="4"/>
  <c r="H330" i="4"/>
  <c r="G330" i="4"/>
  <c r="F330" i="4"/>
  <c r="E330" i="4"/>
  <c r="D330" i="4"/>
  <c r="C330" i="4"/>
  <c r="B330" i="4"/>
  <c r="A330" i="4"/>
  <c r="R329" i="4"/>
  <c r="P329" i="4"/>
  <c r="N329" i="4"/>
  <c r="L329" i="4"/>
  <c r="K329" i="4"/>
  <c r="J329" i="4"/>
  <c r="I329" i="4"/>
  <c r="H329" i="4"/>
  <c r="G329" i="4"/>
  <c r="F329" i="4"/>
  <c r="E329" i="4"/>
  <c r="D329" i="4"/>
  <c r="C329" i="4"/>
  <c r="B329" i="4"/>
  <c r="A329" i="4"/>
  <c r="R328" i="4"/>
  <c r="P328" i="4"/>
  <c r="N328" i="4"/>
  <c r="L328" i="4"/>
  <c r="K328" i="4"/>
  <c r="J328" i="4"/>
  <c r="I328" i="4"/>
  <c r="H328" i="4"/>
  <c r="G328" i="4"/>
  <c r="F328" i="4"/>
  <c r="E328" i="4"/>
  <c r="D328" i="4"/>
  <c r="C328" i="4"/>
  <c r="B328" i="4"/>
  <c r="A328" i="4"/>
  <c r="R327" i="4"/>
  <c r="P327" i="4"/>
  <c r="N327" i="4"/>
  <c r="L327" i="4"/>
  <c r="K327" i="4"/>
  <c r="J327" i="4"/>
  <c r="I327" i="4"/>
  <c r="H327" i="4"/>
  <c r="G327" i="4"/>
  <c r="F327" i="4"/>
  <c r="E327" i="4"/>
  <c r="D327" i="4"/>
  <c r="C327" i="4"/>
  <c r="B327" i="4"/>
  <c r="A327" i="4"/>
  <c r="R326" i="4"/>
  <c r="P326" i="4"/>
  <c r="N326" i="4"/>
  <c r="L326" i="4"/>
  <c r="K326" i="4"/>
  <c r="J326" i="4"/>
  <c r="I326" i="4"/>
  <c r="H326" i="4"/>
  <c r="G326" i="4"/>
  <c r="F326" i="4"/>
  <c r="E326" i="4"/>
  <c r="D326" i="4"/>
  <c r="C326" i="4"/>
  <c r="B326" i="4"/>
  <c r="A326" i="4"/>
  <c r="R325" i="4"/>
  <c r="P325" i="4"/>
  <c r="N325" i="4"/>
  <c r="L325" i="4"/>
  <c r="K325" i="4"/>
  <c r="J325" i="4"/>
  <c r="I325" i="4"/>
  <c r="H325" i="4"/>
  <c r="G325" i="4"/>
  <c r="F325" i="4"/>
  <c r="E325" i="4"/>
  <c r="D325" i="4"/>
  <c r="C325" i="4"/>
  <c r="B325" i="4"/>
  <c r="A325" i="4"/>
  <c r="R324" i="4"/>
  <c r="P324" i="4"/>
  <c r="N324" i="4"/>
  <c r="L324" i="4"/>
  <c r="K324" i="4"/>
  <c r="J324" i="4"/>
  <c r="I324" i="4"/>
  <c r="H324" i="4"/>
  <c r="G324" i="4"/>
  <c r="F324" i="4"/>
  <c r="E324" i="4"/>
  <c r="D324" i="4"/>
  <c r="C324" i="4"/>
  <c r="B324" i="4"/>
  <c r="A324" i="4"/>
  <c r="R323" i="4"/>
  <c r="P323" i="4"/>
  <c r="N323" i="4"/>
  <c r="L323" i="4"/>
  <c r="K323" i="4"/>
  <c r="J323" i="4"/>
  <c r="I323" i="4"/>
  <c r="H323" i="4"/>
  <c r="G323" i="4"/>
  <c r="F323" i="4"/>
  <c r="E323" i="4"/>
  <c r="D323" i="4"/>
  <c r="C323" i="4"/>
  <c r="B323" i="4"/>
  <c r="A323" i="4"/>
  <c r="R322" i="4"/>
  <c r="P322" i="4"/>
  <c r="N322" i="4"/>
  <c r="L322" i="4"/>
  <c r="K322" i="4"/>
  <c r="J322" i="4"/>
  <c r="I322" i="4"/>
  <c r="H322" i="4"/>
  <c r="G322" i="4"/>
  <c r="F322" i="4"/>
  <c r="E322" i="4"/>
  <c r="D322" i="4"/>
  <c r="C322" i="4"/>
  <c r="B322" i="4"/>
  <c r="A322" i="4"/>
  <c r="R321" i="4"/>
  <c r="P321" i="4"/>
  <c r="N321" i="4"/>
  <c r="L321" i="4"/>
  <c r="K321" i="4"/>
  <c r="J321" i="4"/>
  <c r="I321" i="4"/>
  <c r="H321" i="4"/>
  <c r="G321" i="4"/>
  <c r="F321" i="4"/>
  <c r="E321" i="4"/>
  <c r="D321" i="4"/>
  <c r="C321" i="4"/>
  <c r="B321" i="4"/>
  <c r="A321" i="4"/>
  <c r="R320" i="4"/>
  <c r="P320" i="4"/>
  <c r="N320" i="4"/>
  <c r="L320" i="4"/>
  <c r="K320" i="4"/>
  <c r="J320" i="4"/>
  <c r="I320" i="4"/>
  <c r="H320" i="4"/>
  <c r="G320" i="4"/>
  <c r="F320" i="4"/>
  <c r="E320" i="4"/>
  <c r="D320" i="4"/>
  <c r="C320" i="4"/>
  <c r="B320" i="4"/>
  <c r="A320" i="4"/>
  <c r="R319" i="4"/>
  <c r="P319" i="4"/>
  <c r="N319" i="4"/>
  <c r="L319" i="4"/>
  <c r="K319" i="4"/>
  <c r="J319" i="4"/>
  <c r="I319" i="4"/>
  <c r="H319" i="4"/>
  <c r="G319" i="4"/>
  <c r="F319" i="4"/>
  <c r="E319" i="4"/>
  <c r="D319" i="4"/>
  <c r="C319" i="4"/>
  <c r="B319" i="4"/>
  <c r="A319" i="4"/>
  <c r="R318" i="4"/>
  <c r="P318" i="4"/>
  <c r="N318" i="4"/>
  <c r="L318" i="4"/>
  <c r="K318" i="4"/>
  <c r="J318" i="4"/>
  <c r="I318" i="4"/>
  <c r="H318" i="4"/>
  <c r="G318" i="4"/>
  <c r="F318" i="4"/>
  <c r="E318" i="4"/>
  <c r="D318" i="4"/>
  <c r="C318" i="4"/>
  <c r="B318" i="4"/>
  <c r="A318" i="4"/>
  <c r="R317" i="4"/>
  <c r="P317" i="4"/>
  <c r="N317" i="4"/>
  <c r="L317" i="4"/>
  <c r="K317" i="4"/>
  <c r="J317" i="4"/>
  <c r="I317" i="4"/>
  <c r="H317" i="4"/>
  <c r="G317" i="4"/>
  <c r="F317" i="4"/>
  <c r="E317" i="4"/>
  <c r="D317" i="4"/>
  <c r="C317" i="4"/>
  <c r="B317" i="4"/>
  <c r="A317" i="4"/>
  <c r="R316" i="4"/>
  <c r="P316" i="4"/>
  <c r="N316" i="4"/>
  <c r="L316" i="4"/>
  <c r="K316" i="4"/>
  <c r="J316" i="4"/>
  <c r="I316" i="4"/>
  <c r="H316" i="4"/>
  <c r="G316" i="4"/>
  <c r="F316" i="4"/>
  <c r="E316" i="4"/>
  <c r="D316" i="4"/>
  <c r="C316" i="4"/>
  <c r="B316" i="4"/>
  <c r="A316" i="4"/>
  <c r="R315" i="4"/>
  <c r="P315" i="4"/>
  <c r="N315" i="4"/>
  <c r="L315" i="4"/>
  <c r="K315" i="4"/>
  <c r="J315" i="4"/>
  <c r="I315" i="4"/>
  <c r="H315" i="4"/>
  <c r="G315" i="4"/>
  <c r="F315" i="4"/>
  <c r="E315" i="4"/>
  <c r="D315" i="4"/>
  <c r="C315" i="4"/>
  <c r="B315" i="4"/>
  <c r="A315" i="4"/>
  <c r="R314" i="4"/>
  <c r="P314" i="4"/>
  <c r="N314" i="4"/>
  <c r="L314" i="4"/>
  <c r="K314" i="4"/>
  <c r="J314" i="4"/>
  <c r="I314" i="4"/>
  <c r="H314" i="4"/>
  <c r="G314" i="4"/>
  <c r="F314" i="4"/>
  <c r="E314" i="4"/>
  <c r="D314" i="4"/>
  <c r="C314" i="4"/>
  <c r="B314" i="4"/>
  <c r="A314" i="4"/>
  <c r="R313" i="4"/>
  <c r="P313" i="4"/>
  <c r="N313" i="4"/>
  <c r="L313" i="4"/>
  <c r="K313" i="4"/>
  <c r="J313" i="4"/>
  <c r="I313" i="4"/>
  <c r="H313" i="4"/>
  <c r="G313" i="4"/>
  <c r="F313" i="4"/>
  <c r="E313" i="4"/>
  <c r="D313" i="4"/>
  <c r="C313" i="4"/>
  <c r="B313" i="4"/>
  <c r="A313" i="4"/>
  <c r="R312" i="4"/>
  <c r="P312" i="4"/>
  <c r="N312" i="4"/>
  <c r="L312" i="4"/>
  <c r="K312" i="4"/>
  <c r="J312" i="4"/>
  <c r="I312" i="4"/>
  <c r="H312" i="4"/>
  <c r="G312" i="4"/>
  <c r="F312" i="4"/>
  <c r="E312" i="4"/>
  <c r="D312" i="4"/>
  <c r="C312" i="4"/>
  <c r="B312" i="4"/>
  <c r="A312" i="4"/>
  <c r="R311" i="4"/>
  <c r="P311" i="4"/>
  <c r="N311" i="4"/>
  <c r="L311" i="4"/>
  <c r="K311" i="4"/>
  <c r="J311" i="4"/>
  <c r="I311" i="4"/>
  <c r="H311" i="4"/>
  <c r="G311" i="4"/>
  <c r="F311" i="4"/>
  <c r="E311" i="4"/>
  <c r="D311" i="4"/>
  <c r="C311" i="4"/>
  <c r="B311" i="4"/>
  <c r="A311" i="4"/>
  <c r="R310" i="4"/>
  <c r="P310" i="4"/>
  <c r="N310" i="4"/>
  <c r="L310" i="4"/>
  <c r="K310" i="4"/>
  <c r="J310" i="4"/>
  <c r="I310" i="4"/>
  <c r="H310" i="4"/>
  <c r="G310" i="4"/>
  <c r="F310" i="4"/>
  <c r="E310" i="4"/>
  <c r="D310" i="4"/>
  <c r="C310" i="4"/>
  <c r="B310" i="4"/>
  <c r="A310" i="4"/>
  <c r="R309" i="4"/>
  <c r="P309" i="4"/>
  <c r="N309" i="4"/>
  <c r="L309" i="4"/>
  <c r="K309" i="4"/>
  <c r="J309" i="4"/>
  <c r="I309" i="4"/>
  <c r="H309" i="4"/>
  <c r="G309" i="4"/>
  <c r="F309" i="4"/>
  <c r="E309" i="4"/>
  <c r="D309" i="4"/>
  <c r="C309" i="4"/>
  <c r="B309" i="4"/>
  <c r="A309" i="4"/>
  <c r="R308" i="4"/>
  <c r="P308" i="4"/>
  <c r="N308" i="4"/>
  <c r="L308" i="4"/>
  <c r="K308" i="4"/>
  <c r="J308" i="4"/>
  <c r="I308" i="4"/>
  <c r="H308" i="4"/>
  <c r="G308" i="4"/>
  <c r="F308" i="4"/>
  <c r="E308" i="4"/>
  <c r="D308" i="4"/>
  <c r="C308" i="4"/>
  <c r="B308" i="4"/>
  <c r="A308" i="4"/>
  <c r="R307" i="4"/>
  <c r="P307" i="4"/>
  <c r="N307" i="4"/>
  <c r="L307" i="4"/>
  <c r="K307" i="4"/>
  <c r="J307" i="4"/>
  <c r="I307" i="4"/>
  <c r="H307" i="4"/>
  <c r="G307" i="4"/>
  <c r="F307" i="4"/>
  <c r="E307" i="4"/>
  <c r="D307" i="4"/>
  <c r="C307" i="4"/>
  <c r="B307" i="4"/>
  <c r="A307" i="4"/>
  <c r="R306" i="4"/>
  <c r="P306" i="4"/>
  <c r="N306" i="4"/>
  <c r="L306" i="4"/>
  <c r="K306" i="4"/>
  <c r="J306" i="4"/>
  <c r="I306" i="4"/>
  <c r="H306" i="4"/>
  <c r="G306" i="4"/>
  <c r="F306" i="4"/>
  <c r="E306" i="4"/>
  <c r="D306" i="4"/>
  <c r="C306" i="4"/>
  <c r="B306" i="4"/>
  <c r="A306" i="4"/>
  <c r="R305" i="4"/>
  <c r="P305" i="4"/>
  <c r="N305" i="4"/>
  <c r="L305" i="4"/>
  <c r="K305" i="4"/>
  <c r="J305" i="4"/>
  <c r="I305" i="4"/>
  <c r="H305" i="4"/>
  <c r="G305" i="4"/>
  <c r="F305" i="4"/>
  <c r="E305" i="4"/>
  <c r="D305" i="4"/>
  <c r="C305" i="4"/>
  <c r="B305" i="4"/>
  <c r="A305" i="4"/>
  <c r="R304" i="4"/>
  <c r="P304" i="4"/>
  <c r="N304" i="4"/>
  <c r="L304" i="4"/>
  <c r="K304" i="4"/>
  <c r="J304" i="4"/>
  <c r="I304" i="4"/>
  <c r="H304" i="4"/>
  <c r="G304" i="4"/>
  <c r="F304" i="4"/>
  <c r="E304" i="4"/>
  <c r="D304" i="4"/>
  <c r="C304" i="4"/>
  <c r="B304" i="4"/>
  <c r="A304" i="4"/>
  <c r="R303" i="4"/>
  <c r="P303" i="4"/>
  <c r="N303" i="4"/>
  <c r="L303" i="4"/>
  <c r="K303" i="4"/>
  <c r="J303" i="4"/>
  <c r="I303" i="4"/>
  <c r="H303" i="4"/>
  <c r="G303" i="4"/>
  <c r="F303" i="4"/>
  <c r="E303" i="4"/>
  <c r="D303" i="4"/>
  <c r="C303" i="4"/>
  <c r="B303" i="4"/>
  <c r="A303" i="4"/>
  <c r="R302" i="4"/>
  <c r="P302" i="4"/>
  <c r="N302" i="4"/>
  <c r="L302" i="4"/>
  <c r="K302" i="4"/>
  <c r="J302" i="4"/>
  <c r="I302" i="4"/>
  <c r="H302" i="4"/>
  <c r="G302" i="4"/>
  <c r="F302" i="4"/>
  <c r="E302" i="4"/>
  <c r="D302" i="4"/>
  <c r="C302" i="4"/>
  <c r="B302" i="4"/>
  <c r="A302" i="4"/>
  <c r="R301" i="4"/>
  <c r="P301" i="4"/>
  <c r="N301" i="4"/>
  <c r="L301" i="4"/>
  <c r="K301" i="4"/>
  <c r="J301" i="4"/>
  <c r="I301" i="4"/>
  <c r="H301" i="4"/>
  <c r="G301" i="4"/>
  <c r="F301" i="4"/>
  <c r="E301" i="4"/>
  <c r="D301" i="4"/>
  <c r="C301" i="4"/>
  <c r="B301" i="4"/>
  <c r="A301" i="4"/>
  <c r="R300" i="4"/>
  <c r="P300" i="4"/>
  <c r="N300" i="4"/>
  <c r="L300" i="4"/>
  <c r="K300" i="4"/>
  <c r="J300" i="4"/>
  <c r="I300" i="4"/>
  <c r="H300" i="4"/>
  <c r="G300" i="4"/>
  <c r="F300" i="4"/>
  <c r="E300" i="4"/>
  <c r="D300" i="4"/>
  <c r="C300" i="4"/>
  <c r="B300" i="4"/>
  <c r="A300" i="4"/>
  <c r="R299" i="4"/>
  <c r="P299" i="4"/>
  <c r="N299" i="4"/>
  <c r="L299" i="4"/>
  <c r="K299" i="4"/>
  <c r="J299" i="4"/>
  <c r="I299" i="4"/>
  <c r="H299" i="4"/>
  <c r="G299" i="4"/>
  <c r="F299" i="4"/>
  <c r="E299" i="4"/>
  <c r="D299" i="4"/>
  <c r="C299" i="4"/>
  <c r="B299" i="4"/>
  <c r="A299" i="4"/>
  <c r="R298" i="4"/>
  <c r="P298" i="4"/>
  <c r="N298" i="4"/>
  <c r="L298" i="4"/>
  <c r="K298" i="4"/>
  <c r="J298" i="4"/>
  <c r="I298" i="4"/>
  <c r="H298" i="4"/>
  <c r="G298" i="4"/>
  <c r="F298" i="4"/>
  <c r="E298" i="4"/>
  <c r="D298" i="4"/>
  <c r="C298" i="4"/>
  <c r="B298" i="4"/>
  <c r="A298" i="4"/>
  <c r="R297" i="4"/>
  <c r="P297" i="4"/>
  <c r="N297" i="4"/>
  <c r="L297" i="4"/>
  <c r="K297" i="4"/>
  <c r="J297" i="4"/>
  <c r="I297" i="4"/>
  <c r="H297" i="4"/>
  <c r="G297" i="4"/>
  <c r="F297" i="4"/>
  <c r="E297" i="4"/>
  <c r="D297" i="4"/>
  <c r="C297" i="4"/>
  <c r="B297" i="4"/>
  <c r="A297" i="4"/>
  <c r="R296" i="4"/>
  <c r="P296" i="4"/>
  <c r="N296" i="4"/>
  <c r="L296" i="4"/>
  <c r="K296" i="4"/>
  <c r="J296" i="4"/>
  <c r="I296" i="4"/>
  <c r="H296" i="4"/>
  <c r="G296" i="4"/>
  <c r="F296" i="4"/>
  <c r="E296" i="4"/>
  <c r="D296" i="4"/>
  <c r="C296" i="4"/>
  <c r="B296" i="4"/>
  <c r="A296" i="4"/>
  <c r="R295" i="4"/>
  <c r="P295" i="4"/>
  <c r="N295" i="4"/>
  <c r="L295" i="4"/>
  <c r="K295" i="4"/>
  <c r="J295" i="4"/>
  <c r="I295" i="4"/>
  <c r="H295" i="4"/>
  <c r="G295" i="4"/>
  <c r="F295" i="4"/>
  <c r="E295" i="4"/>
  <c r="D295" i="4"/>
  <c r="C295" i="4"/>
  <c r="B295" i="4"/>
  <c r="A295" i="4"/>
  <c r="R294" i="4"/>
  <c r="P294" i="4"/>
  <c r="N294" i="4"/>
  <c r="L294" i="4"/>
  <c r="K294" i="4"/>
  <c r="J294" i="4"/>
  <c r="I294" i="4"/>
  <c r="H294" i="4"/>
  <c r="G294" i="4"/>
  <c r="F294" i="4"/>
  <c r="E294" i="4"/>
  <c r="D294" i="4"/>
  <c r="C294" i="4"/>
  <c r="B294" i="4"/>
  <c r="A294" i="4"/>
  <c r="R293" i="4"/>
  <c r="P293" i="4"/>
  <c r="N293" i="4"/>
  <c r="L293" i="4"/>
  <c r="K293" i="4"/>
  <c r="J293" i="4"/>
  <c r="I293" i="4"/>
  <c r="H293" i="4"/>
  <c r="G293" i="4"/>
  <c r="F293" i="4"/>
  <c r="E293" i="4"/>
  <c r="D293" i="4"/>
  <c r="C293" i="4"/>
  <c r="B293" i="4"/>
  <c r="A293" i="4"/>
  <c r="R292" i="4"/>
  <c r="P292" i="4"/>
  <c r="N292" i="4"/>
  <c r="L292" i="4"/>
  <c r="K292" i="4"/>
  <c r="J292" i="4"/>
  <c r="I292" i="4"/>
  <c r="H292" i="4"/>
  <c r="G292" i="4"/>
  <c r="F292" i="4"/>
  <c r="E292" i="4"/>
  <c r="D292" i="4"/>
  <c r="C292" i="4"/>
  <c r="B292" i="4"/>
  <c r="A292" i="4"/>
  <c r="R291" i="4"/>
  <c r="P291" i="4"/>
  <c r="N291" i="4"/>
  <c r="L291" i="4"/>
  <c r="K291" i="4"/>
  <c r="J291" i="4"/>
  <c r="I291" i="4"/>
  <c r="H291" i="4"/>
  <c r="G291" i="4"/>
  <c r="F291" i="4"/>
  <c r="E291" i="4"/>
  <c r="D291" i="4"/>
  <c r="C291" i="4"/>
  <c r="B291" i="4"/>
  <c r="A291" i="4"/>
  <c r="R290" i="4"/>
  <c r="P290" i="4"/>
  <c r="N290" i="4"/>
  <c r="L290" i="4"/>
  <c r="K290" i="4"/>
  <c r="J290" i="4"/>
  <c r="I290" i="4"/>
  <c r="H290" i="4"/>
  <c r="G290" i="4"/>
  <c r="F290" i="4"/>
  <c r="E290" i="4"/>
  <c r="D290" i="4"/>
  <c r="C290" i="4"/>
  <c r="B290" i="4"/>
  <c r="A290" i="4"/>
  <c r="R289" i="4"/>
  <c r="P289" i="4"/>
  <c r="N289" i="4"/>
  <c r="L289" i="4"/>
  <c r="K289" i="4"/>
  <c r="J289" i="4"/>
  <c r="I289" i="4"/>
  <c r="H289" i="4"/>
  <c r="G289" i="4"/>
  <c r="F289" i="4"/>
  <c r="E289" i="4"/>
  <c r="D289" i="4"/>
  <c r="C289" i="4"/>
  <c r="B289" i="4"/>
  <c r="A289" i="4"/>
  <c r="R288" i="4"/>
  <c r="P288" i="4"/>
  <c r="N288" i="4"/>
  <c r="L288" i="4"/>
  <c r="K288" i="4"/>
  <c r="J288" i="4"/>
  <c r="I288" i="4"/>
  <c r="H288" i="4"/>
  <c r="G288" i="4"/>
  <c r="F288" i="4"/>
  <c r="E288" i="4"/>
  <c r="D288" i="4"/>
  <c r="C288" i="4"/>
  <c r="B288" i="4"/>
  <c r="A288" i="4"/>
  <c r="R287" i="4"/>
  <c r="P287" i="4"/>
  <c r="N287" i="4"/>
  <c r="L287" i="4"/>
  <c r="K287" i="4"/>
  <c r="J287" i="4"/>
  <c r="I287" i="4"/>
  <c r="H287" i="4"/>
  <c r="G287" i="4"/>
  <c r="F287" i="4"/>
  <c r="E287" i="4"/>
  <c r="D287" i="4"/>
  <c r="C287" i="4"/>
  <c r="B287" i="4"/>
  <c r="A287" i="4"/>
  <c r="R286" i="4"/>
  <c r="P286" i="4"/>
  <c r="N286" i="4"/>
  <c r="L286" i="4"/>
  <c r="K286" i="4"/>
  <c r="J286" i="4"/>
  <c r="I286" i="4"/>
  <c r="H286" i="4"/>
  <c r="G286" i="4"/>
  <c r="F286" i="4"/>
  <c r="E286" i="4"/>
  <c r="D286" i="4"/>
  <c r="C286" i="4"/>
  <c r="B286" i="4"/>
  <c r="A286" i="4"/>
  <c r="R285" i="4"/>
  <c r="P285" i="4"/>
  <c r="N285" i="4"/>
  <c r="L285" i="4"/>
  <c r="K285" i="4"/>
  <c r="J285" i="4"/>
  <c r="I285" i="4"/>
  <c r="H285" i="4"/>
  <c r="G285" i="4"/>
  <c r="F285" i="4"/>
  <c r="E285" i="4"/>
  <c r="D285" i="4"/>
  <c r="C285" i="4"/>
  <c r="B285" i="4"/>
  <c r="A285" i="4"/>
  <c r="R284" i="4"/>
  <c r="P284" i="4"/>
  <c r="N284" i="4"/>
  <c r="L284" i="4"/>
  <c r="K284" i="4"/>
  <c r="J284" i="4"/>
  <c r="I284" i="4"/>
  <c r="H284" i="4"/>
  <c r="G284" i="4"/>
  <c r="F284" i="4"/>
  <c r="E284" i="4"/>
  <c r="D284" i="4"/>
  <c r="C284" i="4"/>
  <c r="B284" i="4"/>
  <c r="A284" i="4"/>
  <c r="R283" i="4"/>
  <c r="P283" i="4"/>
  <c r="N283" i="4"/>
  <c r="L283" i="4"/>
  <c r="K283" i="4"/>
  <c r="J283" i="4"/>
  <c r="I283" i="4"/>
  <c r="H283" i="4"/>
  <c r="G283" i="4"/>
  <c r="F283" i="4"/>
  <c r="E283" i="4"/>
  <c r="D283" i="4"/>
  <c r="C283" i="4"/>
  <c r="B283" i="4"/>
  <c r="A283" i="4"/>
  <c r="R282" i="4"/>
  <c r="P282" i="4"/>
  <c r="N282" i="4"/>
  <c r="L282" i="4"/>
  <c r="K282" i="4"/>
  <c r="J282" i="4"/>
  <c r="I282" i="4"/>
  <c r="H282" i="4"/>
  <c r="G282" i="4"/>
  <c r="F282" i="4"/>
  <c r="E282" i="4"/>
  <c r="D282" i="4"/>
  <c r="C282" i="4"/>
  <c r="B282" i="4"/>
  <c r="A282" i="4"/>
  <c r="R281" i="4"/>
  <c r="P281" i="4"/>
  <c r="N281" i="4"/>
  <c r="L281" i="4"/>
  <c r="K281" i="4"/>
  <c r="J281" i="4"/>
  <c r="I281" i="4"/>
  <c r="H281" i="4"/>
  <c r="G281" i="4"/>
  <c r="F281" i="4"/>
  <c r="E281" i="4"/>
  <c r="D281" i="4"/>
  <c r="C281" i="4"/>
  <c r="B281" i="4"/>
  <c r="A281" i="4"/>
  <c r="R280" i="4"/>
  <c r="P280" i="4"/>
  <c r="N280" i="4"/>
  <c r="L280" i="4"/>
  <c r="K280" i="4"/>
  <c r="J280" i="4"/>
  <c r="I280" i="4"/>
  <c r="H280" i="4"/>
  <c r="G280" i="4"/>
  <c r="F280" i="4"/>
  <c r="E280" i="4"/>
  <c r="D280" i="4"/>
  <c r="C280" i="4"/>
  <c r="B280" i="4"/>
  <c r="A280" i="4"/>
  <c r="R279" i="4"/>
  <c r="P279" i="4"/>
  <c r="N279" i="4"/>
  <c r="L279" i="4"/>
  <c r="K279" i="4"/>
  <c r="J279" i="4"/>
  <c r="I279" i="4"/>
  <c r="H279" i="4"/>
  <c r="G279" i="4"/>
  <c r="F279" i="4"/>
  <c r="E279" i="4"/>
  <c r="D279" i="4"/>
  <c r="C279" i="4"/>
  <c r="B279" i="4"/>
  <c r="A279" i="4"/>
  <c r="R278" i="4"/>
  <c r="P278" i="4"/>
  <c r="N278" i="4"/>
  <c r="L278" i="4"/>
  <c r="K278" i="4"/>
  <c r="J278" i="4"/>
  <c r="I278" i="4"/>
  <c r="H278" i="4"/>
  <c r="G278" i="4"/>
  <c r="F278" i="4"/>
  <c r="E278" i="4"/>
  <c r="D278" i="4"/>
  <c r="C278" i="4"/>
  <c r="B278" i="4"/>
  <c r="A278" i="4"/>
  <c r="R277" i="4"/>
  <c r="P277" i="4"/>
  <c r="N277" i="4"/>
  <c r="L277" i="4"/>
  <c r="K277" i="4"/>
  <c r="J277" i="4"/>
  <c r="I277" i="4"/>
  <c r="H277" i="4"/>
  <c r="G277" i="4"/>
  <c r="F277" i="4"/>
  <c r="E277" i="4"/>
  <c r="D277" i="4"/>
  <c r="C277" i="4"/>
  <c r="B277" i="4"/>
  <c r="A277" i="4"/>
  <c r="R276" i="4"/>
  <c r="P276" i="4"/>
  <c r="N276" i="4"/>
  <c r="L276" i="4"/>
  <c r="K276" i="4"/>
  <c r="J276" i="4"/>
  <c r="I276" i="4"/>
  <c r="H276" i="4"/>
  <c r="G276" i="4"/>
  <c r="F276" i="4"/>
  <c r="E276" i="4"/>
  <c r="D276" i="4"/>
  <c r="C276" i="4"/>
  <c r="B276" i="4"/>
  <c r="A276" i="4"/>
  <c r="R275" i="4"/>
  <c r="P275" i="4"/>
  <c r="N275" i="4"/>
  <c r="L275" i="4"/>
  <c r="K275" i="4"/>
  <c r="J275" i="4"/>
  <c r="I275" i="4"/>
  <c r="H275" i="4"/>
  <c r="G275" i="4"/>
  <c r="F275" i="4"/>
  <c r="E275" i="4"/>
  <c r="D275" i="4"/>
  <c r="C275" i="4"/>
  <c r="B275" i="4"/>
  <c r="A275" i="4"/>
  <c r="R274" i="4"/>
  <c r="P274" i="4"/>
  <c r="N274" i="4"/>
  <c r="L274" i="4"/>
  <c r="K274" i="4"/>
  <c r="J274" i="4"/>
  <c r="I274" i="4"/>
  <c r="H274" i="4"/>
  <c r="G274" i="4"/>
  <c r="F274" i="4"/>
  <c r="E274" i="4"/>
  <c r="D274" i="4"/>
  <c r="C274" i="4"/>
  <c r="B274" i="4"/>
  <c r="A274" i="4"/>
  <c r="R273" i="4"/>
  <c r="P273" i="4"/>
  <c r="N273" i="4"/>
  <c r="L273" i="4"/>
  <c r="K273" i="4"/>
  <c r="J273" i="4"/>
  <c r="I273" i="4"/>
  <c r="H273" i="4"/>
  <c r="G273" i="4"/>
  <c r="F273" i="4"/>
  <c r="E273" i="4"/>
  <c r="D273" i="4"/>
  <c r="C273" i="4"/>
  <c r="B273" i="4"/>
  <c r="A273" i="4"/>
  <c r="R272" i="4"/>
  <c r="P272" i="4"/>
  <c r="N272" i="4"/>
  <c r="L272" i="4"/>
  <c r="K272" i="4"/>
  <c r="J272" i="4"/>
  <c r="I272" i="4"/>
  <c r="H272" i="4"/>
  <c r="G272" i="4"/>
  <c r="F272" i="4"/>
  <c r="E272" i="4"/>
  <c r="D272" i="4"/>
  <c r="C272" i="4"/>
  <c r="B272" i="4"/>
  <c r="A272" i="4"/>
  <c r="R271" i="4"/>
  <c r="P271" i="4"/>
  <c r="N271" i="4"/>
  <c r="L271" i="4"/>
  <c r="K271" i="4"/>
  <c r="J271" i="4"/>
  <c r="I271" i="4"/>
  <c r="H271" i="4"/>
  <c r="G271" i="4"/>
  <c r="F271" i="4"/>
  <c r="E271" i="4"/>
  <c r="D271" i="4"/>
  <c r="C271" i="4"/>
  <c r="B271" i="4"/>
  <c r="A271" i="4"/>
  <c r="R270" i="4"/>
  <c r="P270" i="4"/>
  <c r="N270" i="4"/>
  <c r="L270" i="4"/>
  <c r="K270" i="4"/>
  <c r="J270" i="4"/>
  <c r="I270" i="4"/>
  <c r="H270" i="4"/>
  <c r="G270" i="4"/>
  <c r="F270" i="4"/>
  <c r="E270" i="4"/>
  <c r="D270" i="4"/>
  <c r="C270" i="4"/>
  <c r="B270" i="4"/>
  <c r="A270" i="4"/>
  <c r="R269" i="4"/>
  <c r="P269" i="4"/>
  <c r="N269" i="4"/>
  <c r="L269" i="4"/>
  <c r="K269" i="4"/>
  <c r="J269" i="4"/>
  <c r="I269" i="4"/>
  <c r="H269" i="4"/>
  <c r="G269" i="4"/>
  <c r="F269" i="4"/>
  <c r="E269" i="4"/>
  <c r="D269" i="4"/>
  <c r="C269" i="4"/>
  <c r="B269" i="4"/>
  <c r="A269" i="4"/>
  <c r="R268" i="4"/>
  <c r="P268" i="4"/>
  <c r="N268" i="4"/>
  <c r="L268" i="4"/>
  <c r="K268" i="4"/>
  <c r="J268" i="4"/>
  <c r="I268" i="4"/>
  <c r="H268" i="4"/>
  <c r="G268" i="4"/>
  <c r="F268" i="4"/>
  <c r="E268" i="4"/>
  <c r="D268" i="4"/>
  <c r="C268" i="4"/>
  <c r="B268" i="4"/>
  <c r="A268" i="4"/>
  <c r="R267" i="4"/>
  <c r="P267" i="4"/>
  <c r="N267" i="4"/>
  <c r="L267" i="4"/>
  <c r="K267" i="4"/>
  <c r="J267" i="4"/>
  <c r="I267" i="4"/>
  <c r="H267" i="4"/>
  <c r="G267" i="4"/>
  <c r="F267" i="4"/>
  <c r="E267" i="4"/>
  <c r="D267" i="4"/>
  <c r="C267" i="4"/>
  <c r="B267" i="4"/>
  <c r="A267" i="4"/>
  <c r="R266" i="4"/>
  <c r="P266" i="4"/>
  <c r="N266" i="4"/>
  <c r="L266" i="4"/>
  <c r="K266" i="4"/>
  <c r="J266" i="4"/>
  <c r="I266" i="4"/>
  <c r="H266" i="4"/>
  <c r="G266" i="4"/>
  <c r="F266" i="4"/>
  <c r="E266" i="4"/>
  <c r="D266" i="4"/>
  <c r="C266" i="4"/>
  <c r="B266" i="4"/>
  <c r="A266" i="4"/>
  <c r="R265" i="4"/>
  <c r="P265" i="4"/>
  <c r="N265" i="4"/>
  <c r="L265" i="4"/>
  <c r="K265" i="4"/>
  <c r="J265" i="4"/>
  <c r="I265" i="4"/>
  <c r="H265" i="4"/>
  <c r="G265" i="4"/>
  <c r="F265" i="4"/>
  <c r="E265" i="4"/>
  <c r="D265" i="4"/>
  <c r="C265" i="4"/>
  <c r="B265" i="4"/>
  <c r="A265" i="4"/>
  <c r="R264" i="4"/>
  <c r="P264" i="4"/>
  <c r="N264" i="4"/>
  <c r="L264" i="4"/>
  <c r="K264" i="4"/>
  <c r="J264" i="4"/>
  <c r="I264" i="4"/>
  <c r="H264" i="4"/>
  <c r="G264" i="4"/>
  <c r="F264" i="4"/>
  <c r="E264" i="4"/>
  <c r="D264" i="4"/>
  <c r="C264" i="4"/>
  <c r="B264" i="4"/>
  <c r="A264" i="4"/>
  <c r="R263" i="4"/>
  <c r="P263" i="4"/>
  <c r="N263" i="4"/>
  <c r="L263" i="4"/>
  <c r="K263" i="4"/>
  <c r="J263" i="4"/>
  <c r="I263" i="4"/>
  <c r="H263" i="4"/>
  <c r="G263" i="4"/>
  <c r="F263" i="4"/>
  <c r="E263" i="4"/>
  <c r="D263" i="4"/>
  <c r="C263" i="4"/>
  <c r="B263" i="4"/>
  <c r="A263" i="4"/>
  <c r="R262" i="4"/>
  <c r="P262" i="4"/>
  <c r="N262" i="4"/>
  <c r="L262" i="4"/>
  <c r="K262" i="4"/>
  <c r="J262" i="4"/>
  <c r="I262" i="4"/>
  <c r="H262" i="4"/>
  <c r="G262" i="4"/>
  <c r="F262" i="4"/>
  <c r="E262" i="4"/>
  <c r="D262" i="4"/>
  <c r="C262" i="4"/>
  <c r="B262" i="4"/>
  <c r="A262" i="4"/>
  <c r="R261" i="4"/>
  <c r="P261" i="4"/>
  <c r="N261" i="4"/>
  <c r="L261" i="4"/>
  <c r="K261" i="4"/>
  <c r="J261" i="4"/>
  <c r="I261" i="4"/>
  <c r="H261" i="4"/>
  <c r="G261" i="4"/>
  <c r="F261" i="4"/>
  <c r="E261" i="4"/>
  <c r="D261" i="4"/>
  <c r="C261" i="4"/>
  <c r="B261" i="4"/>
  <c r="A261" i="4"/>
  <c r="R260" i="4"/>
  <c r="P260" i="4"/>
  <c r="N260" i="4"/>
  <c r="L260" i="4"/>
  <c r="K260" i="4"/>
  <c r="J260" i="4"/>
  <c r="I260" i="4"/>
  <c r="H260" i="4"/>
  <c r="G260" i="4"/>
  <c r="F260" i="4"/>
  <c r="E260" i="4"/>
  <c r="D260" i="4"/>
  <c r="C260" i="4"/>
  <c r="B260" i="4"/>
  <c r="A260" i="4"/>
  <c r="R259" i="4"/>
  <c r="P259" i="4"/>
  <c r="N259" i="4"/>
  <c r="L259" i="4"/>
  <c r="K259" i="4"/>
  <c r="J259" i="4"/>
  <c r="I259" i="4"/>
  <c r="H259" i="4"/>
  <c r="G259" i="4"/>
  <c r="F259" i="4"/>
  <c r="E259" i="4"/>
  <c r="D259" i="4"/>
  <c r="C259" i="4"/>
  <c r="B259" i="4"/>
  <c r="A259" i="4"/>
  <c r="R258" i="4"/>
  <c r="P258" i="4"/>
  <c r="N258" i="4"/>
  <c r="L258" i="4"/>
  <c r="K258" i="4"/>
  <c r="J258" i="4"/>
  <c r="I258" i="4"/>
  <c r="H258" i="4"/>
  <c r="G258" i="4"/>
  <c r="F258" i="4"/>
  <c r="E258" i="4"/>
  <c r="D258" i="4"/>
  <c r="C258" i="4"/>
  <c r="B258" i="4"/>
  <c r="A258" i="4"/>
  <c r="R257" i="4"/>
  <c r="P257" i="4"/>
  <c r="N257" i="4"/>
  <c r="L257" i="4"/>
  <c r="K257" i="4"/>
  <c r="J257" i="4"/>
  <c r="I257" i="4"/>
  <c r="H257" i="4"/>
  <c r="G257" i="4"/>
  <c r="F257" i="4"/>
  <c r="E257" i="4"/>
  <c r="D257" i="4"/>
  <c r="C257" i="4"/>
  <c r="B257" i="4"/>
  <c r="A257" i="4"/>
  <c r="R256" i="4"/>
  <c r="P256" i="4"/>
  <c r="N256" i="4"/>
  <c r="L256" i="4"/>
  <c r="K256" i="4"/>
  <c r="J256" i="4"/>
  <c r="I256" i="4"/>
  <c r="H256" i="4"/>
  <c r="G256" i="4"/>
  <c r="F256" i="4"/>
  <c r="E256" i="4"/>
  <c r="D256" i="4"/>
  <c r="C256" i="4"/>
  <c r="B256" i="4"/>
  <c r="A256" i="4"/>
  <c r="R255" i="4"/>
  <c r="P255" i="4"/>
  <c r="N255" i="4"/>
  <c r="L255" i="4"/>
  <c r="K255" i="4"/>
  <c r="J255" i="4"/>
  <c r="I255" i="4"/>
  <c r="H255" i="4"/>
  <c r="G255" i="4"/>
  <c r="F255" i="4"/>
  <c r="E255" i="4"/>
  <c r="D255" i="4"/>
  <c r="C255" i="4"/>
  <c r="B255" i="4"/>
  <c r="A255" i="4"/>
  <c r="R254" i="4"/>
  <c r="P254" i="4"/>
  <c r="N254" i="4"/>
  <c r="L254" i="4"/>
  <c r="K254" i="4"/>
  <c r="J254" i="4"/>
  <c r="I254" i="4"/>
  <c r="H254" i="4"/>
  <c r="G254" i="4"/>
  <c r="F254" i="4"/>
  <c r="E254" i="4"/>
  <c r="D254" i="4"/>
  <c r="C254" i="4"/>
  <c r="B254" i="4"/>
  <c r="A254" i="4"/>
  <c r="R253" i="4"/>
  <c r="P253" i="4"/>
  <c r="N253" i="4"/>
  <c r="L253" i="4"/>
  <c r="K253" i="4"/>
  <c r="J253" i="4"/>
  <c r="I253" i="4"/>
  <c r="H253" i="4"/>
  <c r="G253" i="4"/>
  <c r="F253" i="4"/>
  <c r="E253" i="4"/>
  <c r="D253" i="4"/>
  <c r="C253" i="4"/>
  <c r="B253" i="4"/>
  <c r="A253" i="4"/>
  <c r="R252" i="4"/>
  <c r="P252" i="4"/>
  <c r="N252" i="4"/>
  <c r="L252" i="4"/>
  <c r="K252" i="4"/>
  <c r="J252" i="4"/>
  <c r="I252" i="4"/>
  <c r="H252" i="4"/>
  <c r="G252" i="4"/>
  <c r="F252" i="4"/>
  <c r="E252" i="4"/>
  <c r="D252" i="4"/>
  <c r="C252" i="4"/>
  <c r="B252" i="4"/>
  <c r="A252" i="4"/>
  <c r="R251" i="4"/>
  <c r="P251" i="4"/>
  <c r="N251" i="4"/>
  <c r="L251" i="4"/>
  <c r="K251" i="4"/>
  <c r="J251" i="4"/>
  <c r="I251" i="4"/>
  <c r="H251" i="4"/>
  <c r="G251" i="4"/>
  <c r="F251" i="4"/>
  <c r="E251" i="4"/>
  <c r="D251" i="4"/>
  <c r="C251" i="4"/>
  <c r="B251" i="4"/>
  <c r="A251" i="4"/>
  <c r="R250" i="4"/>
  <c r="P250" i="4"/>
  <c r="N250" i="4"/>
  <c r="L250" i="4"/>
  <c r="K250" i="4"/>
  <c r="J250" i="4"/>
  <c r="I250" i="4"/>
  <c r="H250" i="4"/>
  <c r="G250" i="4"/>
  <c r="F250" i="4"/>
  <c r="E250" i="4"/>
  <c r="D250" i="4"/>
  <c r="C250" i="4"/>
  <c r="B250" i="4"/>
  <c r="A250" i="4"/>
  <c r="R249" i="4"/>
  <c r="P249" i="4"/>
  <c r="N249" i="4"/>
  <c r="L249" i="4"/>
  <c r="K249" i="4"/>
  <c r="J249" i="4"/>
  <c r="I249" i="4"/>
  <c r="H249" i="4"/>
  <c r="G249" i="4"/>
  <c r="F249" i="4"/>
  <c r="E249" i="4"/>
  <c r="D249" i="4"/>
  <c r="C249" i="4"/>
  <c r="B249" i="4"/>
  <c r="A249" i="4"/>
  <c r="R248" i="4"/>
  <c r="P248" i="4"/>
  <c r="N248" i="4"/>
  <c r="L248" i="4"/>
  <c r="K248" i="4"/>
  <c r="J248" i="4"/>
  <c r="I248" i="4"/>
  <c r="H248" i="4"/>
  <c r="G248" i="4"/>
  <c r="F248" i="4"/>
  <c r="E248" i="4"/>
  <c r="D248" i="4"/>
  <c r="C248" i="4"/>
  <c r="B248" i="4"/>
  <c r="A248" i="4"/>
  <c r="R247" i="4"/>
  <c r="P247" i="4"/>
  <c r="N247" i="4"/>
  <c r="L247" i="4"/>
  <c r="K247" i="4"/>
  <c r="J247" i="4"/>
  <c r="I247" i="4"/>
  <c r="H247" i="4"/>
  <c r="G247" i="4"/>
  <c r="F247" i="4"/>
  <c r="E247" i="4"/>
  <c r="D247" i="4"/>
  <c r="C247" i="4"/>
  <c r="B247" i="4"/>
  <c r="A247" i="4"/>
  <c r="R246" i="4"/>
  <c r="P246" i="4"/>
  <c r="N246" i="4"/>
  <c r="L246" i="4"/>
  <c r="K246" i="4"/>
  <c r="J246" i="4"/>
  <c r="I246" i="4"/>
  <c r="H246" i="4"/>
  <c r="G246" i="4"/>
  <c r="F246" i="4"/>
  <c r="E246" i="4"/>
  <c r="D246" i="4"/>
  <c r="C246" i="4"/>
  <c r="B246" i="4"/>
  <c r="A246" i="4"/>
  <c r="R245" i="4"/>
  <c r="P245" i="4"/>
  <c r="N245" i="4"/>
  <c r="L245" i="4"/>
  <c r="K245" i="4"/>
  <c r="J245" i="4"/>
  <c r="I245" i="4"/>
  <c r="H245" i="4"/>
  <c r="G245" i="4"/>
  <c r="F245" i="4"/>
  <c r="E245" i="4"/>
  <c r="D245" i="4"/>
  <c r="C245" i="4"/>
  <c r="B245" i="4"/>
  <c r="A245" i="4"/>
  <c r="R244" i="4"/>
  <c r="P244" i="4"/>
  <c r="N244" i="4"/>
  <c r="L244" i="4"/>
  <c r="K244" i="4"/>
  <c r="J244" i="4"/>
  <c r="I244" i="4"/>
  <c r="H244" i="4"/>
  <c r="G244" i="4"/>
  <c r="F244" i="4"/>
  <c r="E244" i="4"/>
  <c r="D244" i="4"/>
  <c r="C244" i="4"/>
  <c r="B244" i="4"/>
  <c r="A244" i="4"/>
  <c r="R243" i="4"/>
  <c r="P243" i="4"/>
  <c r="N243" i="4"/>
  <c r="L243" i="4"/>
  <c r="K243" i="4"/>
  <c r="J243" i="4"/>
  <c r="I243" i="4"/>
  <c r="H243" i="4"/>
  <c r="G243" i="4"/>
  <c r="F243" i="4"/>
  <c r="E243" i="4"/>
  <c r="D243" i="4"/>
  <c r="C243" i="4"/>
  <c r="B243" i="4"/>
  <c r="A243" i="4"/>
  <c r="R242" i="4"/>
  <c r="P242" i="4"/>
  <c r="N242" i="4"/>
  <c r="L242" i="4"/>
  <c r="K242" i="4"/>
  <c r="J242" i="4"/>
  <c r="I242" i="4"/>
  <c r="H242" i="4"/>
  <c r="G242" i="4"/>
  <c r="F242" i="4"/>
  <c r="E242" i="4"/>
  <c r="D242" i="4"/>
  <c r="C242" i="4"/>
  <c r="B242" i="4"/>
  <c r="A242" i="4"/>
  <c r="R241" i="4"/>
  <c r="P241" i="4"/>
  <c r="N241" i="4"/>
  <c r="L241" i="4"/>
  <c r="K241" i="4"/>
  <c r="J241" i="4"/>
  <c r="I241" i="4"/>
  <c r="H241" i="4"/>
  <c r="G241" i="4"/>
  <c r="F241" i="4"/>
  <c r="E241" i="4"/>
  <c r="D241" i="4"/>
  <c r="C241" i="4"/>
  <c r="B241" i="4"/>
  <c r="A241" i="4"/>
  <c r="R240" i="4"/>
  <c r="P240" i="4"/>
  <c r="N240" i="4"/>
  <c r="L240" i="4"/>
  <c r="K240" i="4"/>
  <c r="J240" i="4"/>
  <c r="I240" i="4"/>
  <c r="H240" i="4"/>
  <c r="G240" i="4"/>
  <c r="F240" i="4"/>
  <c r="E240" i="4"/>
  <c r="D240" i="4"/>
  <c r="C240" i="4"/>
  <c r="B240" i="4"/>
  <c r="A240" i="4"/>
  <c r="R239" i="4"/>
  <c r="P239" i="4"/>
  <c r="N239" i="4"/>
  <c r="L239" i="4"/>
  <c r="K239" i="4"/>
  <c r="J239" i="4"/>
  <c r="I239" i="4"/>
  <c r="H239" i="4"/>
  <c r="G239" i="4"/>
  <c r="F239" i="4"/>
  <c r="E239" i="4"/>
  <c r="D239" i="4"/>
  <c r="C239" i="4"/>
  <c r="B239" i="4"/>
  <c r="A239" i="4"/>
  <c r="R238" i="4"/>
  <c r="P238" i="4"/>
  <c r="N238" i="4"/>
  <c r="L238" i="4"/>
  <c r="K238" i="4"/>
  <c r="J238" i="4"/>
  <c r="I238" i="4"/>
  <c r="H238" i="4"/>
  <c r="G238" i="4"/>
  <c r="F238" i="4"/>
  <c r="E238" i="4"/>
  <c r="D238" i="4"/>
  <c r="C238" i="4"/>
  <c r="B238" i="4"/>
  <c r="A238" i="4"/>
  <c r="R237" i="4"/>
  <c r="P237" i="4"/>
  <c r="N237" i="4"/>
  <c r="L237" i="4"/>
  <c r="K237" i="4"/>
  <c r="J237" i="4"/>
  <c r="I237" i="4"/>
  <c r="H237" i="4"/>
  <c r="G237" i="4"/>
  <c r="F237" i="4"/>
  <c r="E237" i="4"/>
  <c r="D237" i="4"/>
  <c r="C237" i="4"/>
  <c r="B237" i="4"/>
  <c r="A237" i="4"/>
  <c r="R236" i="4"/>
  <c r="P236" i="4"/>
  <c r="N236" i="4"/>
  <c r="L236" i="4"/>
  <c r="K236" i="4"/>
  <c r="J236" i="4"/>
  <c r="I236" i="4"/>
  <c r="H236" i="4"/>
  <c r="G236" i="4"/>
  <c r="F236" i="4"/>
  <c r="E236" i="4"/>
  <c r="D236" i="4"/>
  <c r="C236" i="4"/>
  <c r="B236" i="4"/>
  <c r="A236" i="4"/>
  <c r="R235" i="4"/>
  <c r="P235" i="4"/>
  <c r="N235" i="4"/>
  <c r="L235" i="4"/>
  <c r="K235" i="4"/>
  <c r="J235" i="4"/>
  <c r="I235" i="4"/>
  <c r="H235" i="4"/>
  <c r="G235" i="4"/>
  <c r="F235" i="4"/>
  <c r="E235" i="4"/>
  <c r="D235" i="4"/>
  <c r="C235" i="4"/>
  <c r="B235" i="4"/>
  <c r="A235" i="4"/>
  <c r="R234" i="4"/>
  <c r="P234" i="4"/>
  <c r="N234" i="4"/>
  <c r="L234" i="4"/>
  <c r="K234" i="4"/>
  <c r="J234" i="4"/>
  <c r="I234" i="4"/>
  <c r="H234" i="4"/>
  <c r="G234" i="4"/>
  <c r="F234" i="4"/>
  <c r="E234" i="4"/>
  <c r="D234" i="4"/>
  <c r="C234" i="4"/>
  <c r="B234" i="4"/>
  <c r="A234" i="4"/>
  <c r="R233" i="4"/>
  <c r="P233" i="4"/>
  <c r="N233" i="4"/>
  <c r="L233" i="4"/>
  <c r="K233" i="4"/>
  <c r="J233" i="4"/>
  <c r="I233" i="4"/>
  <c r="H233" i="4"/>
  <c r="G233" i="4"/>
  <c r="F233" i="4"/>
  <c r="E233" i="4"/>
  <c r="D233" i="4"/>
  <c r="C233" i="4"/>
  <c r="B233" i="4"/>
  <c r="A233" i="4"/>
  <c r="R232" i="4"/>
  <c r="P232" i="4"/>
  <c r="N232" i="4"/>
  <c r="L232" i="4"/>
  <c r="K232" i="4"/>
  <c r="J232" i="4"/>
  <c r="I232" i="4"/>
  <c r="H232" i="4"/>
  <c r="G232" i="4"/>
  <c r="F232" i="4"/>
  <c r="E232" i="4"/>
  <c r="D232" i="4"/>
  <c r="C232" i="4"/>
  <c r="B232" i="4"/>
  <c r="A232" i="4"/>
  <c r="R231" i="4"/>
  <c r="P231" i="4"/>
  <c r="N231" i="4"/>
  <c r="L231" i="4"/>
  <c r="K231" i="4"/>
  <c r="J231" i="4"/>
  <c r="I231" i="4"/>
  <c r="H231" i="4"/>
  <c r="G231" i="4"/>
  <c r="F231" i="4"/>
  <c r="E231" i="4"/>
  <c r="D231" i="4"/>
  <c r="C231" i="4"/>
  <c r="B231" i="4"/>
  <c r="A231" i="4"/>
  <c r="R230" i="4"/>
  <c r="P230" i="4"/>
  <c r="N230" i="4"/>
  <c r="L230" i="4"/>
  <c r="K230" i="4"/>
  <c r="J230" i="4"/>
  <c r="I230" i="4"/>
  <c r="H230" i="4"/>
  <c r="G230" i="4"/>
  <c r="F230" i="4"/>
  <c r="E230" i="4"/>
  <c r="D230" i="4"/>
  <c r="C230" i="4"/>
  <c r="B230" i="4"/>
  <c r="A230" i="4"/>
  <c r="R229" i="4"/>
  <c r="P229" i="4"/>
  <c r="N229" i="4"/>
  <c r="L229" i="4"/>
  <c r="K229" i="4"/>
  <c r="J229" i="4"/>
  <c r="I229" i="4"/>
  <c r="H229" i="4"/>
  <c r="G229" i="4"/>
  <c r="F229" i="4"/>
  <c r="E229" i="4"/>
  <c r="D229" i="4"/>
  <c r="C229" i="4"/>
  <c r="B229" i="4"/>
  <c r="A229" i="4"/>
  <c r="R228" i="4"/>
  <c r="P228" i="4"/>
  <c r="N228" i="4"/>
  <c r="L228" i="4"/>
  <c r="K228" i="4"/>
  <c r="J228" i="4"/>
  <c r="I228" i="4"/>
  <c r="H228" i="4"/>
  <c r="G228" i="4"/>
  <c r="F228" i="4"/>
  <c r="E228" i="4"/>
  <c r="D228" i="4"/>
  <c r="C228" i="4"/>
  <c r="B228" i="4"/>
  <c r="A228" i="4"/>
  <c r="R227" i="4"/>
  <c r="P227" i="4"/>
  <c r="N227" i="4"/>
  <c r="L227" i="4"/>
  <c r="K227" i="4"/>
  <c r="J227" i="4"/>
  <c r="I227" i="4"/>
  <c r="H227" i="4"/>
  <c r="G227" i="4"/>
  <c r="F227" i="4"/>
  <c r="E227" i="4"/>
  <c r="D227" i="4"/>
  <c r="C227" i="4"/>
  <c r="B227" i="4"/>
  <c r="A227" i="4"/>
  <c r="R226" i="4"/>
  <c r="P226" i="4"/>
  <c r="N226" i="4"/>
  <c r="L226" i="4"/>
  <c r="K226" i="4"/>
  <c r="J226" i="4"/>
  <c r="I226" i="4"/>
  <c r="H226" i="4"/>
  <c r="G226" i="4"/>
  <c r="F226" i="4"/>
  <c r="E226" i="4"/>
  <c r="D226" i="4"/>
  <c r="C226" i="4"/>
  <c r="B226" i="4"/>
  <c r="A226" i="4"/>
  <c r="R225" i="4"/>
  <c r="P225" i="4"/>
  <c r="N225" i="4"/>
  <c r="L225" i="4"/>
  <c r="K225" i="4"/>
  <c r="J225" i="4"/>
  <c r="I225" i="4"/>
  <c r="H225" i="4"/>
  <c r="G225" i="4"/>
  <c r="F225" i="4"/>
  <c r="E225" i="4"/>
  <c r="D225" i="4"/>
  <c r="C225" i="4"/>
  <c r="B225" i="4"/>
  <c r="A225" i="4"/>
  <c r="R224" i="4"/>
  <c r="P224" i="4"/>
  <c r="N224" i="4"/>
  <c r="L224" i="4"/>
  <c r="K224" i="4"/>
  <c r="J224" i="4"/>
  <c r="I224" i="4"/>
  <c r="H224" i="4"/>
  <c r="G224" i="4"/>
  <c r="F224" i="4"/>
  <c r="E224" i="4"/>
  <c r="D224" i="4"/>
  <c r="C224" i="4"/>
  <c r="B224" i="4"/>
  <c r="A224" i="4"/>
  <c r="R223" i="4"/>
  <c r="P223" i="4"/>
  <c r="N223" i="4"/>
  <c r="L223" i="4"/>
  <c r="K223" i="4"/>
  <c r="J223" i="4"/>
  <c r="I223" i="4"/>
  <c r="H223" i="4"/>
  <c r="G223" i="4"/>
  <c r="F223" i="4"/>
  <c r="E223" i="4"/>
  <c r="D223" i="4"/>
  <c r="C223" i="4"/>
  <c r="B223" i="4"/>
  <c r="A223" i="4"/>
  <c r="R222" i="4"/>
  <c r="P222" i="4"/>
  <c r="N222" i="4"/>
  <c r="L222" i="4"/>
  <c r="K222" i="4"/>
  <c r="J222" i="4"/>
  <c r="I222" i="4"/>
  <c r="H222" i="4"/>
  <c r="G222" i="4"/>
  <c r="F222" i="4"/>
  <c r="E222" i="4"/>
  <c r="D222" i="4"/>
  <c r="C222" i="4"/>
  <c r="B222" i="4"/>
  <c r="A222" i="4"/>
  <c r="R221" i="4"/>
  <c r="P221" i="4"/>
  <c r="N221" i="4"/>
  <c r="L221" i="4"/>
  <c r="K221" i="4"/>
  <c r="J221" i="4"/>
  <c r="I221" i="4"/>
  <c r="H221" i="4"/>
  <c r="G221" i="4"/>
  <c r="F221" i="4"/>
  <c r="E221" i="4"/>
  <c r="D221" i="4"/>
  <c r="C221" i="4"/>
  <c r="B221" i="4"/>
  <c r="A221" i="4"/>
  <c r="R220" i="4"/>
  <c r="P220" i="4"/>
  <c r="N220" i="4"/>
  <c r="L220" i="4"/>
  <c r="K220" i="4"/>
  <c r="J220" i="4"/>
  <c r="I220" i="4"/>
  <c r="H220" i="4"/>
  <c r="G220" i="4"/>
  <c r="F220" i="4"/>
  <c r="E220" i="4"/>
  <c r="D220" i="4"/>
  <c r="C220" i="4"/>
  <c r="B220" i="4"/>
  <c r="A220" i="4"/>
  <c r="R219" i="4"/>
  <c r="P219" i="4"/>
  <c r="N219" i="4"/>
  <c r="L219" i="4"/>
  <c r="K219" i="4"/>
  <c r="J219" i="4"/>
  <c r="I219" i="4"/>
  <c r="H219" i="4"/>
  <c r="G219" i="4"/>
  <c r="F219" i="4"/>
  <c r="E219" i="4"/>
  <c r="D219" i="4"/>
  <c r="C219" i="4"/>
  <c r="B219" i="4"/>
  <c r="A219" i="4"/>
  <c r="R218" i="4"/>
  <c r="P218" i="4"/>
  <c r="N218" i="4"/>
  <c r="L218" i="4"/>
  <c r="K218" i="4"/>
  <c r="J218" i="4"/>
  <c r="I218" i="4"/>
  <c r="H218" i="4"/>
  <c r="G218" i="4"/>
  <c r="F218" i="4"/>
  <c r="E218" i="4"/>
  <c r="D218" i="4"/>
  <c r="C218" i="4"/>
  <c r="B218" i="4"/>
  <c r="A218" i="4"/>
  <c r="R217" i="4"/>
  <c r="P217" i="4"/>
  <c r="N217" i="4"/>
  <c r="L217" i="4"/>
  <c r="K217" i="4"/>
  <c r="J217" i="4"/>
  <c r="I217" i="4"/>
  <c r="H217" i="4"/>
  <c r="G217" i="4"/>
  <c r="F217" i="4"/>
  <c r="E217" i="4"/>
  <c r="D217" i="4"/>
  <c r="C217" i="4"/>
  <c r="B217" i="4"/>
  <c r="A217" i="4"/>
  <c r="R216" i="4"/>
  <c r="P216" i="4"/>
  <c r="N216" i="4"/>
  <c r="L216" i="4"/>
  <c r="K216" i="4"/>
  <c r="J216" i="4"/>
  <c r="I216" i="4"/>
  <c r="H216" i="4"/>
  <c r="G216" i="4"/>
  <c r="F216" i="4"/>
  <c r="E216" i="4"/>
  <c r="D216" i="4"/>
  <c r="C216" i="4"/>
  <c r="B216" i="4"/>
  <c r="A216" i="4"/>
  <c r="R215" i="4"/>
  <c r="P215" i="4"/>
  <c r="N215" i="4"/>
  <c r="L215" i="4"/>
  <c r="K215" i="4"/>
  <c r="J215" i="4"/>
  <c r="I215" i="4"/>
  <c r="H215" i="4"/>
  <c r="G215" i="4"/>
  <c r="F215" i="4"/>
  <c r="E215" i="4"/>
  <c r="D215" i="4"/>
  <c r="C215" i="4"/>
  <c r="B215" i="4"/>
  <c r="A215" i="4"/>
  <c r="R214" i="4"/>
  <c r="P214" i="4"/>
  <c r="N214" i="4"/>
  <c r="L214" i="4"/>
  <c r="K214" i="4"/>
  <c r="J214" i="4"/>
  <c r="I214" i="4"/>
  <c r="H214" i="4"/>
  <c r="G214" i="4"/>
  <c r="F214" i="4"/>
  <c r="E214" i="4"/>
  <c r="D214" i="4"/>
  <c r="C214" i="4"/>
  <c r="B214" i="4"/>
  <c r="A214" i="4"/>
  <c r="R213" i="4"/>
  <c r="P213" i="4"/>
  <c r="N213" i="4"/>
  <c r="L213" i="4"/>
  <c r="K213" i="4"/>
  <c r="J213" i="4"/>
  <c r="I213" i="4"/>
  <c r="H213" i="4"/>
  <c r="G213" i="4"/>
  <c r="F213" i="4"/>
  <c r="E213" i="4"/>
  <c r="D213" i="4"/>
  <c r="C213" i="4"/>
  <c r="B213" i="4"/>
  <c r="A213" i="4"/>
  <c r="R212" i="4"/>
  <c r="P212" i="4"/>
  <c r="N212" i="4"/>
  <c r="L212" i="4"/>
  <c r="K212" i="4"/>
  <c r="J212" i="4"/>
  <c r="I212" i="4"/>
  <c r="H212" i="4"/>
  <c r="G212" i="4"/>
  <c r="F212" i="4"/>
  <c r="E212" i="4"/>
  <c r="D212" i="4"/>
  <c r="C212" i="4"/>
  <c r="B212" i="4"/>
  <c r="A212" i="4"/>
  <c r="R211" i="4"/>
  <c r="P211" i="4"/>
  <c r="N211" i="4"/>
  <c r="L211" i="4"/>
  <c r="K211" i="4"/>
  <c r="J211" i="4"/>
  <c r="I211" i="4"/>
  <c r="H211" i="4"/>
  <c r="G211" i="4"/>
  <c r="F211" i="4"/>
  <c r="E211" i="4"/>
  <c r="D211" i="4"/>
  <c r="C211" i="4"/>
  <c r="B211" i="4"/>
  <c r="A211" i="4"/>
  <c r="R210" i="4"/>
  <c r="P210" i="4"/>
  <c r="N210" i="4"/>
  <c r="L210" i="4"/>
  <c r="K210" i="4"/>
  <c r="J210" i="4"/>
  <c r="I210" i="4"/>
  <c r="H210" i="4"/>
  <c r="G210" i="4"/>
  <c r="F210" i="4"/>
  <c r="E210" i="4"/>
  <c r="D210" i="4"/>
  <c r="C210" i="4"/>
  <c r="B210" i="4"/>
  <c r="A210" i="4"/>
  <c r="R209" i="4"/>
  <c r="P209" i="4"/>
  <c r="N209" i="4"/>
  <c r="L209" i="4"/>
  <c r="K209" i="4"/>
  <c r="J209" i="4"/>
  <c r="I209" i="4"/>
  <c r="H209" i="4"/>
  <c r="G209" i="4"/>
  <c r="F209" i="4"/>
  <c r="E209" i="4"/>
  <c r="D209" i="4"/>
  <c r="C209" i="4"/>
  <c r="B209" i="4"/>
  <c r="A209" i="4"/>
  <c r="R208" i="4"/>
  <c r="P208" i="4"/>
  <c r="N208" i="4"/>
  <c r="L208" i="4"/>
  <c r="K208" i="4"/>
  <c r="J208" i="4"/>
  <c r="I208" i="4"/>
  <c r="H208" i="4"/>
  <c r="G208" i="4"/>
  <c r="F208" i="4"/>
  <c r="E208" i="4"/>
  <c r="D208" i="4"/>
  <c r="C208" i="4"/>
  <c r="B208" i="4"/>
  <c r="A208" i="4"/>
  <c r="R207" i="4"/>
  <c r="P207" i="4"/>
  <c r="N207" i="4"/>
  <c r="L207" i="4"/>
  <c r="K207" i="4"/>
  <c r="J207" i="4"/>
  <c r="I207" i="4"/>
  <c r="H207" i="4"/>
  <c r="G207" i="4"/>
  <c r="F207" i="4"/>
  <c r="E207" i="4"/>
  <c r="D207" i="4"/>
  <c r="C207" i="4"/>
  <c r="B207" i="4"/>
  <c r="A207" i="4"/>
  <c r="R206" i="4"/>
  <c r="P206" i="4"/>
  <c r="N206" i="4"/>
  <c r="L206" i="4"/>
  <c r="K206" i="4"/>
  <c r="J206" i="4"/>
  <c r="I206" i="4"/>
  <c r="H206" i="4"/>
  <c r="G206" i="4"/>
  <c r="F206" i="4"/>
  <c r="E206" i="4"/>
  <c r="D206" i="4"/>
  <c r="C206" i="4"/>
  <c r="B206" i="4"/>
  <c r="A206" i="4"/>
  <c r="R205" i="4"/>
  <c r="P205" i="4"/>
  <c r="N205" i="4"/>
  <c r="L205" i="4"/>
  <c r="K205" i="4"/>
  <c r="J205" i="4"/>
  <c r="I205" i="4"/>
  <c r="H205" i="4"/>
  <c r="G205" i="4"/>
  <c r="F205" i="4"/>
  <c r="E205" i="4"/>
  <c r="D205" i="4"/>
  <c r="C205" i="4"/>
  <c r="B205" i="4"/>
  <c r="A205" i="4"/>
  <c r="R204" i="4"/>
  <c r="P204" i="4"/>
  <c r="N204" i="4"/>
  <c r="L204" i="4"/>
  <c r="K204" i="4"/>
  <c r="J204" i="4"/>
  <c r="I204" i="4"/>
  <c r="H204" i="4"/>
  <c r="G204" i="4"/>
  <c r="F204" i="4"/>
  <c r="E204" i="4"/>
  <c r="D204" i="4"/>
  <c r="C204" i="4"/>
  <c r="B204" i="4"/>
  <c r="A204" i="4"/>
  <c r="R203" i="4"/>
  <c r="P203" i="4"/>
  <c r="N203" i="4"/>
  <c r="L203" i="4"/>
  <c r="K203" i="4"/>
  <c r="J203" i="4"/>
  <c r="I203" i="4"/>
  <c r="H203" i="4"/>
  <c r="G203" i="4"/>
  <c r="F203" i="4"/>
  <c r="E203" i="4"/>
  <c r="D203" i="4"/>
  <c r="C203" i="4"/>
  <c r="B203" i="4"/>
  <c r="A203" i="4"/>
  <c r="R202" i="4"/>
  <c r="P202" i="4"/>
  <c r="N202" i="4"/>
  <c r="L202" i="4"/>
  <c r="K202" i="4"/>
  <c r="J202" i="4"/>
  <c r="I202" i="4"/>
  <c r="H202" i="4"/>
  <c r="G202" i="4"/>
  <c r="F202" i="4"/>
  <c r="E202" i="4"/>
  <c r="D202" i="4"/>
  <c r="C202" i="4"/>
  <c r="B202" i="4"/>
  <c r="A202" i="4"/>
  <c r="R201" i="4"/>
  <c r="P201" i="4"/>
  <c r="N201" i="4"/>
  <c r="L201" i="4"/>
  <c r="K201" i="4"/>
  <c r="J201" i="4"/>
  <c r="I201" i="4"/>
  <c r="H201" i="4"/>
  <c r="G201" i="4"/>
  <c r="F201" i="4"/>
  <c r="E201" i="4"/>
  <c r="D201" i="4"/>
  <c r="C201" i="4"/>
  <c r="B201" i="4"/>
  <c r="A201" i="4"/>
  <c r="R200" i="4"/>
  <c r="P200" i="4"/>
  <c r="N200" i="4"/>
  <c r="L200" i="4"/>
  <c r="K200" i="4"/>
  <c r="J200" i="4"/>
  <c r="I200" i="4"/>
  <c r="H200" i="4"/>
  <c r="G200" i="4"/>
  <c r="F200" i="4"/>
  <c r="E200" i="4"/>
  <c r="D200" i="4"/>
  <c r="C200" i="4"/>
  <c r="B200" i="4"/>
  <c r="A200" i="4"/>
  <c r="R199" i="4"/>
  <c r="P199" i="4"/>
  <c r="N199" i="4"/>
  <c r="L199" i="4"/>
  <c r="K199" i="4"/>
  <c r="J199" i="4"/>
  <c r="I199" i="4"/>
  <c r="H199" i="4"/>
  <c r="G199" i="4"/>
  <c r="F199" i="4"/>
  <c r="E199" i="4"/>
  <c r="D199" i="4"/>
  <c r="C199" i="4"/>
  <c r="B199" i="4"/>
  <c r="A199" i="4"/>
  <c r="R198" i="4"/>
  <c r="P198" i="4"/>
  <c r="N198" i="4"/>
  <c r="L198" i="4"/>
  <c r="K198" i="4"/>
  <c r="J198" i="4"/>
  <c r="I198" i="4"/>
  <c r="H198" i="4"/>
  <c r="G198" i="4"/>
  <c r="F198" i="4"/>
  <c r="E198" i="4"/>
  <c r="D198" i="4"/>
  <c r="C198" i="4"/>
  <c r="B198" i="4"/>
  <c r="A198" i="4"/>
  <c r="R197" i="4"/>
  <c r="P197" i="4"/>
  <c r="N197" i="4"/>
  <c r="L197" i="4"/>
  <c r="K197" i="4"/>
  <c r="J197" i="4"/>
  <c r="I197" i="4"/>
  <c r="H197" i="4"/>
  <c r="G197" i="4"/>
  <c r="F197" i="4"/>
  <c r="E197" i="4"/>
  <c r="D197" i="4"/>
  <c r="C197" i="4"/>
  <c r="B197" i="4"/>
  <c r="A197" i="4"/>
  <c r="R196" i="4"/>
  <c r="P196" i="4"/>
  <c r="N196" i="4"/>
  <c r="L196" i="4"/>
  <c r="K196" i="4"/>
  <c r="J196" i="4"/>
  <c r="I196" i="4"/>
  <c r="H196" i="4"/>
  <c r="G196" i="4"/>
  <c r="F196" i="4"/>
  <c r="E196" i="4"/>
  <c r="D196" i="4"/>
  <c r="C196" i="4"/>
  <c r="B196" i="4"/>
  <c r="A196" i="4"/>
  <c r="R195" i="4"/>
  <c r="P195" i="4"/>
  <c r="N195" i="4"/>
  <c r="L195" i="4"/>
  <c r="K195" i="4"/>
  <c r="J195" i="4"/>
  <c r="I195" i="4"/>
  <c r="H195" i="4"/>
  <c r="G195" i="4"/>
  <c r="F195" i="4"/>
  <c r="E195" i="4"/>
  <c r="D195" i="4"/>
  <c r="C195" i="4"/>
  <c r="B195" i="4"/>
  <c r="A195" i="4"/>
  <c r="R194" i="4"/>
  <c r="P194" i="4"/>
  <c r="N194" i="4"/>
  <c r="L194" i="4"/>
  <c r="K194" i="4"/>
  <c r="J194" i="4"/>
  <c r="I194" i="4"/>
  <c r="H194" i="4"/>
  <c r="G194" i="4"/>
  <c r="F194" i="4"/>
  <c r="E194" i="4"/>
  <c r="D194" i="4"/>
  <c r="C194" i="4"/>
  <c r="B194" i="4"/>
  <c r="A194" i="4"/>
  <c r="R193" i="4"/>
  <c r="P193" i="4"/>
  <c r="N193" i="4"/>
  <c r="L193" i="4"/>
  <c r="K193" i="4"/>
  <c r="J193" i="4"/>
  <c r="I193" i="4"/>
  <c r="H193" i="4"/>
  <c r="G193" i="4"/>
  <c r="F193" i="4"/>
  <c r="E193" i="4"/>
  <c r="D193" i="4"/>
  <c r="C193" i="4"/>
  <c r="B193" i="4"/>
  <c r="A193" i="4"/>
  <c r="R192" i="4"/>
  <c r="P192" i="4"/>
  <c r="N192" i="4"/>
  <c r="L192" i="4"/>
  <c r="K192" i="4"/>
  <c r="J192" i="4"/>
  <c r="I192" i="4"/>
  <c r="H192" i="4"/>
  <c r="G192" i="4"/>
  <c r="F192" i="4"/>
  <c r="E192" i="4"/>
  <c r="D192" i="4"/>
  <c r="C192" i="4"/>
  <c r="B192" i="4"/>
  <c r="A192" i="4"/>
  <c r="R191" i="4"/>
  <c r="P191" i="4"/>
  <c r="N191" i="4"/>
  <c r="L191" i="4"/>
  <c r="K191" i="4"/>
  <c r="J191" i="4"/>
  <c r="I191" i="4"/>
  <c r="H191" i="4"/>
  <c r="G191" i="4"/>
  <c r="F191" i="4"/>
  <c r="E191" i="4"/>
  <c r="D191" i="4"/>
  <c r="C191" i="4"/>
  <c r="B191" i="4"/>
  <c r="A191" i="4"/>
  <c r="R190" i="4"/>
  <c r="P190" i="4"/>
  <c r="N190" i="4"/>
  <c r="L190" i="4"/>
  <c r="K190" i="4"/>
  <c r="J190" i="4"/>
  <c r="I190" i="4"/>
  <c r="H190" i="4"/>
  <c r="G190" i="4"/>
  <c r="F190" i="4"/>
  <c r="E190" i="4"/>
  <c r="D190" i="4"/>
  <c r="C190" i="4"/>
  <c r="B190" i="4"/>
  <c r="A190" i="4"/>
  <c r="R189" i="4"/>
  <c r="P189" i="4"/>
  <c r="N189" i="4"/>
  <c r="L189" i="4"/>
  <c r="K189" i="4"/>
  <c r="J189" i="4"/>
  <c r="I189" i="4"/>
  <c r="H189" i="4"/>
  <c r="G189" i="4"/>
  <c r="F189" i="4"/>
  <c r="E189" i="4"/>
  <c r="D189" i="4"/>
  <c r="C189" i="4"/>
  <c r="B189" i="4"/>
  <c r="A189" i="4"/>
  <c r="R188" i="4"/>
  <c r="P188" i="4"/>
  <c r="N188" i="4"/>
  <c r="L188" i="4"/>
  <c r="K188" i="4"/>
  <c r="J188" i="4"/>
  <c r="I188" i="4"/>
  <c r="H188" i="4"/>
  <c r="G188" i="4"/>
  <c r="F188" i="4"/>
  <c r="E188" i="4"/>
  <c r="D188" i="4"/>
  <c r="C188" i="4"/>
  <c r="B188" i="4"/>
  <c r="A188" i="4"/>
  <c r="R187" i="4"/>
  <c r="P187" i="4"/>
  <c r="N187" i="4"/>
  <c r="L187" i="4"/>
  <c r="K187" i="4"/>
  <c r="J187" i="4"/>
  <c r="I187" i="4"/>
  <c r="H187" i="4"/>
  <c r="G187" i="4"/>
  <c r="F187" i="4"/>
  <c r="E187" i="4"/>
  <c r="D187" i="4"/>
  <c r="C187" i="4"/>
  <c r="B187" i="4"/>
  <c r="A187" i="4"/>
  <c r="R186" i="4"/>
  <c r="P186" i="4"/>
  <c r="N186" i="4"/>
  <c r="L186" i="4"/>
  <c r="K186" i="4"/>
  <c r="J186" i="4"/>
  <c r="I186" i="4"/>
  <c r="H186" i="4"/>
  <c r="G186" i="4"/>
  <c r="F186" i="4"/>
  <c r="E186" i="4"/>
  <c r="D186" i="4"/>
  <c r="C186" i="4"/>
  <c r="B186" i="4"/>
  <c r="A186" i="4"/>
  <c r="R185" i="4"/>
  <c r="P185" i="4"/>
  <c r="N185" i="4"/>
  <c r="L185" i="4"/>
  <c r="K185" i="4"/>
  <c r="J185" i="4"/>
  <c r="I185" i="4"/>
  <c r="H185" i="4"/>
  <c r="G185" i="4"/>
  <c r="F185" i="4"/>
  <c r="E185" i="4"/>
  <c r="D185" i="4"/>
  <c r="C185" i="4"/>
  <c r="B185" i="4"/>
  <c r="A185" i="4"/>
  <c r="R184" i="4"/>
  <c r="P184" i="4"/>
  <c r="N184" i="4"/>
  <c r="L184" i="4"/>
  <c r="K184" i="4"/>
  <c r="J184" i="4"/>
  <c r="I184" i="4"/>
  <c r="H184" i="4"/>
  <c r="G184" i="4"/>
  <c r="F184" i="4"/>
  <c r="E184" i="4"/>
  <c r="D184" i="4"/>
  <c r="C184" i="4"/>
  <c r="B184" i="4"/>
  <c r="A184" i="4"/>
  <c r="R183" i="4"/>
  <c r="P183" i="4"/>
  <c r="N183" i="4"/>
  <c r="L183" i="4"/>
  <c r="K183" i="4"/>
  <c r="J183" i="4"/>
  <c r="I183" i="4"/>
  <c r="H183" i="4"/>
  <c r="G183" i="4"/>
  <c r="F183" i="4"/>
  <c r="E183" i="4"/>
  <c r="D183" i="4"/>
  <c r="C183" i="4"/>
  <c r="B183" i="4"/>
  <c r="A183" i="4"/>
  <c r="R182" i="4"/>
  <c r="P182" i="4"/>
  <c r="N182" i="4"/>
  <c r="L182" i="4"/>
  <c r="K182" i="4"/>
  <c r="J182" i="4"/>
  <c r="I182" i="4"/>
  <c r="H182" i="4"/>
  <c r="G182" i="4"/>
  <c r="F182" i="4"/>
  <c r="E182" i="4"/>
  <c r="D182" i="4"/>
  <c r="C182" i="4"/>
  <c r="B182" i="4"/>
  <c r="A182" i="4"/>
  <c r="R181" i="4"/>
  <c r="P181" i="4"/>
  <c r="N181" i="4"/>
  <c r="L181" i="4"/>
  <c r="K181" i="4"/>
  <c r="J181" i="4"/>
  <c r="I181" i="4"/>
  <c r="H181" i="4"/>
  <c r="G181" i="4"/>
  <c r="F181" i="4"/>
  <c r="E181" i="4"/>
  <c r="D181" i="4"/>
  <c r="C181" i="4"/>
  <c r="B181" i="4"/>
  <c r="A181" i="4"/>
  <c r="R180" i="4"/>
  <c r="P180" i="4"/>
  <c r="N180" i="4"/>
  <c r="L180" i="4"/>
  <c r="K180" i="4"/>
  <c r="J180" i="4"/>
  <c r="I180" i="4"/>
  <c r="H180" i="4"/>
  <c r="G180" i="4"/>
  <c r="F180" i="4"/>
  <c r="E180" i="4"/>
  <c r="D180" i="4"/>
  <c r="C180" i="4"/>
  <c r="B180" i="4"/>
  <c r="A180" i="4"/>
  <c r="R179" i="4"/>
  <c r="P179" i="4"/>
  <c r="N179" i="4"/>
  <c r="L179" i="4"/>
  <c r="K179" i="4"/>
  <c r="J179" i="4"/>
  <c r="I179" i="4"/>
  <c r="H179" i="4"/>
  <c r="G179" i="4"/>
  <c r="F179" i="4"/>
  <c r="E179" i="4"/>
  <c r="D179" i="4"/>
  <c r="C179" i="4"/>
  <c r="B179" i="4"/>
  <c r="A179" i="4"/>
  <c r="R178" i="4"/>
  <c r="P178" i="4"/>
  <c r="N178" i="4"/>
  <c r="L178" i="4"/>
  <c r="K178" i="4"/>
  <c r="J178" i="4"/>
  <c r="I178" i="4"/>
  <c r="H178" i="4"/>
  <c r="G178" i="4"/>
  <c r="F178" i="4"/>
  <c r="E178" i="4"/>
  <c r="D178" i="4"/>
  <c r="C178" i="4"/>
  <c r="B178" i="4"/>
  <c r="A178" i="4"/>
  <c r="R177" i="4"/>
  <c r="P177" i="4"/>
  <c r="N177" i="4"/>
  <c r="L177" i="4"/>
  <c r="K177" i="4"/>
  <c r="J177" i="4"/>
  <c r="I177" i="4"/>
  <c r="H177" i="4"/>
  <c r="G177" i="4"/>
  <c r="F177" i="4"/>
  <c r="E177" i="4"/>
  <c r="D177" i="4"/>
  <c r="C177" i="4"/>
  <c r="B177" i="4"/>
  <c r="A177" i="4"/>
  <c r="R176" i="4"/>
  <c r="P176" i="4"/>
  <c r="N176" i="4"/>
  <c r="L176" i="4"/>
  <c r="K176" i="4"/>
  <c r="J176" i="4"/>
  <c r="I176" i="4"/>
  <c r="H176" i="4"/>
  <c r="G176" i="4"/>
  <c r="F176" i="4"/>
  <c r="E176" i="4"/>
  <c r="D176" i="4"/>
  <c r="C176" i="4"/>
  <c r="B176" i="4"/>
  <c r="A176" i="4"/>
  <c r="R175" i="4"/>
  <c r="P175" i="4"/>
  <c r="N175" i="4"/>
  <c r="L175" i="4"/>
  <c r="K175" i="4"/>
  <c r="J175" i="4"/>
  <c r="I175" i="4"/>
  <c r="H175" i="4"/>
  <c r="G175" i="4"/>
  <c r="F175" i="4"/>
  <c r="E175" i="4"/>
  <c r="D175" i="4"/>
  <c r="C175" i="4"/>
  <c r="B175" i="4"/>
  <c r="A175" i="4"/>
  <c r="R174" i="4"/>
  <c r="P174" i="4"/>
  <c r="N174" i="4"/>
  <c r="L174" i="4"/>
  <c r="K174" i="4"/>
  <c r="J174" i="4"/>
  <c r="I174" i="4"/>
  <c r="H174" i="4"/>
  <c r="G174" i="4"/>
  <c r="F174" i="4"/>
  <c r="E174" i="4"/>
  <c r="D174" i="4"/>
  <c r="C174" i="4"/>
  <c r="B174" i="4"/>
  <c r="A174" i="4"/>
  <c r="R173" i="4"/>
  <c r="P173" i="4"/>
  <c r="N173" i="4"/>
  <c r="L173" i="4"/>
  <c r="K173" i="4"/>
  <c r="J173" i="4"/>
  <c r="I173" i="4"/>
  <c r="H173" i="4"/>
  <c r="G173" i="4"/>
  <c r="F173" i="4"/>
  <c r="E173" i="4"/>
  <c r="D173" i="4"/>
  <c r="C173" i="4"/>
  <c r="B173" i="4"/>
  <c r="A173" i="4"/>
  <c r="R172" i="4"/>
  <c r="P172" i="4"/>
  <c r="N172" i="4"/>
  <c r="L172" i="4"/>
  <c r="K172" i="4"/>
  <c r="J172" i="4"/>
  <c r="I172" i="4"/>
  <c r="H172" i="4"/>
  <c r="G172" i="4"/>
  <c r="F172" i="4"/>
  <c r="E172" i="4"/>
  <c r="D172" i="4"/>
  <c r="C172" i="4"/>
  <c r="B172" i="4"/>
  <c r="A172" i="4"/>
  <c r="R171" i="4"/>
  <c r="P171" i="4"/>
  <c r="N171" i="4"/>
  <c r="L171" i="4"/>
  <c r="K171" i="4"/>
  <c r="J171" i="4"/>
  <c r="I171" i="4"/>
  <c r="H171" i="4"/>
  <c r="G171" i="4"/>
  <c r="F171" i="4"/>
  <c r="E171" i="4"/>
  <c r="D171" i="4"/>
  <c r="C171" i="4"/>
  <c r="B171" i="4"/>
  <c r="A171" i="4"/>
  <c r="R170" i="4"/>
  <c r="P170" i="4"/>
  <c r="N170" i="4"/>
  <c r="L170" i="4"/>
  <c r="K170" i="4"/>
  <c r="J170" i="4"/>
  <c r="I170" i="4"/>
  <c r="H170" i="4"/>
  <c r="G170" i="4"/>
  <c r="F170" i="4"/>
  <c r="E170" i="4"/>
  <c r="D170" i="4"/>
  <c r="C170" i="4"/>
  <c r="B170" i="4"/>
  <c r="A170" i="4"/>
  <c r="R169" i="4"/>
  <c r="P169" i="4"/>
  <c r="N169" i="4"/>
  <c r="L169" i="4"/>
  <c r="K169" i="4"/>
  <c r="J169" i="4"/>
  <c r="I169" i="4"/>
  <c r="H169" i="4"/>
  <c r="G169" i="4"/>
  <c r="F169" i="4"/>
  <c r="E169" i="4"/>
  <c r="D169" i="4"/>
  <c r="C169" i="4"/>
  <c r="B169" i="4"/>
  <c r="A169" i="4"/>
  <c r="R168" i="4"/>
  <c r="P168" i="4"/>
  <c r="N168" i="4"/>
  <c r="L168" i="4"/>
  <c r="K168" i="4"/>
  <c r="J168" i="4"/>
  <c r="I168" i="4"/>
  <c r="H168" i="4"/>
  <c r="G168" i="4"/>
  <c r="F168" i="4"/>
  <c r="E168" i="4"/>
  <c r="D168" i="4"/>
  <c r="C168" i="4"/>
  <c r="B168" i="4"/>
  <c r="A168" i="4"/>
  <c r="R167" i="4"/>
  <c r="P167" i="4"/>
  <c r="N167" i="4"/>
  <c r="L167" i="4"/>
  <c r="K167" i="4"/>
  <c r="J167" i="4"/>
  <c r="I167" i="4"/>
  <c r="H167" i="4"/>
  <c r="G167" i="4"/>
  <c r="F167" i="4"/>
  <c r="E167" i="4"/>
  <c r="D167" i="4"/>
  <c r="C167" i="4"/>
  <c r="B167" i="4"/>
  <c r="A167" i="4"/>
  <c r="R166" i="4"/>
  <c r="P166" i="4"/>
  <c r="N166" i="4"/>
  <c r="L166" i="4"/>
  <c r="K166" i="4"/>
  <c r="J166" i="4"/>
  <c r="I166" i="4"/>
  <c r="H166" i="4"/>
  <c r="G166" i="4"/>
  <c r="F166" i="4"/>
  <c r="E166" i="4"/>
  <c r="D166" i="4"/>
  <c r="C166" i="4"/>
  <c r="B166" i="4"/>
  <c r="A166" i="4"/>
  <c r="R165" i="4"/>
  <c r="P165" i="4"/>
  <c r="N165" i="4"/>
  <c r="L165" i="4"/>
  <c r="K165" i="4"/>
  <c r="J165" i="4"/>
  <c r="I165" i="4"/>
  <c r="H165" i="4"/>
  <c r="G165" i="4"/>
  <c r="F165" i="4"/>
  <c r="E165" i="4"/>
  <c r="D165" i="4"/>
  <c r="C165" i="4"/>
  <c r="B165" i="4"/>
  <c r="A165" i="4"/>
  <c r="R164" i="4"/>
  <c r="P164" i="4"/>
  <c r="N164" i="4"/>
  <c r="L164" i="4"/>
  <c r="K164" i="4"/>
  <c r="J164" i="4"/>
  <c r="I164" i="4"/>
  <c r="H164" i="4"/>
  <c r="G164" i="4"/>
  <c r="F164" i="4"/>
  <c r="E164" i="4"/>
  <c r="D164" i="4"/>
  <c r="C164" i="4"/>
  <c r="B164" i="4"/>
  <c r="A164" i="4"/>
  <c r="R163" i="4"/>
  <c r="P163" i="4"/>
  <c r="N163" i="4"/>
  <c r="L163" i="4"/>
  <c r="K163" i="4"/>
  <c r="J163" i="4"/>
  <c r="I163" i="4"/>
  <c r="H163" i="4"/>
  <c r="G163" i="4"/>
  <c r="F163" i="4"/>
  <c r="E163" i="4"/>
  <c r="D163" i="4"/>
  <c r="C163" i="4"/>
  <c r="B163" i="4"/>
  <c r="A163" i="4"/>
  <c r="R162" i="4"/>
  <c r="P162" i="4"/>
  <c r="N162" i="4"/>
  <c r="L162" i="4"/>
  <c r="K162" i="4"/>
  <c r="J162" i="4"/>
  <c r="I162" i="4"/>
  <c r="H162" i="4"/>
  <c r="G162" i="4"/>
  <c r="F162" i="4"/>
  <c r="E162" i="4"/>
  <c r="D162" i="4"/>
  <c r="C162" i="4"/>
  <c r="B162" i="4"/>
  <c r="A162" i="4"/>
  <c r="R161" i="4"/>
  <c r="P161" i="4"/>
  <c r="N161" i="4"/>
  <c r="L161" i="4"/>
  <c r="K161" i="4"/>
  <c r="J161" i="4"/>
  <c r="I161" i="4"/>
  <c r="H161" i="4"/>
  <c r="G161" i="4"/>
  <c r="F161" i="4"/>
  <c r="E161" i="4"/>
  <c r="D161" i="4"/>
  <c r="C161" i="4"/>
  <c r="B161" i="4"/>
  <c r="A161" i="4"/>
  <c r="R160" i="4"/>
  <c r="P160" i="4"/>
  <c r="N160" i="4"/>
  <c r="L160" i="4"/>
  <c r="K160" i="4"/>
  <c r="J160" i="4"/>
  <c r="I160" i="4"/>
  <c r="H160" i="4"/>
  <c r="G160" i="4"/>
  <c r="F160" i="4"/>
  <c r="E160" i="4"/>
  <c r="D160" i="4"/>
  <c r="C160" i="4"/>
  <c r="B160" i="4"/>
  <c r="A160" i="4"/>
  <c r="R159" i="4"/>
  <c r="P159" i="4"/>
  <c r="N159" i="4"/>
  <c r="L159" i="4"/>
  <c r="K159" i="4"/>
  <c r="J159" i="4"/>
  <c r="I159" i="4"/>
  <c r="H159" i="4"/>
  <c r="G159" i="4"/>
  <c r="F159" i="4"/>
  <c r="E159" i="4"/>
  <c r="D159" i="4"/>
  <c r="C159" i="4"/>
  <c r="B159" i="4"/>
  <c r="A159" i="4"/>
  <c r="R158" i="4"/>
  <c r="P158" i="4"/>
  <c r="N158" i="4"/>
  <c r="L158" i="4"/>
  <c r="K158" i="4"/>
  <c r="J158" i="4"/>
  <c r="I158" i="4"/>
  <c r="H158" i="4"/>
  <c r="G158" i="4"/>
  <c r="F158" i="4"/>
  <c r="E158" i="4"/>
  <c r="D158" i="4"/>
  <c r="C158" i="4"/>
  <c r="B158" i="4"/>
  <c r="A158" i="4"/>
  <c r="R157" i="4"/>
  <c r="P157" i="4"/>
  <c r="N157" i="4"/>
  <c r="L157" i="4"/>
  <c r="K157" i="4"/>
  <c r="J157" i="4"/>
  <c r="I157" i="4"/>
  <c r="H157" i="4"/>
  <c r="G157" i="4"/>
  <c r="F157" i="4"/>
  <c r="E157" i="4"/>
  <c r="D157" i="4"/>
  <c r="C157" i="4"/>
  <c r="B157" i="4"/>
  <c r="A157" i="4"/>
  <c r="R156" i="4"/>
  <c r="P156" i="4"/>
  <c r="N156" i="4"/>
  <c r="L156" i="4"/>
  <c r="K156" i="4"/>
  <c r="J156" i="4"/>
  <c r="I156" i="4"/>
  <c r="H156" i="4"/>
  <c r="G156" i="4"/>
  <c r="F156" i="4"/>
  <c r="E156" i="4"/>
  <c r="D156" i="4"/>
  <c r="C156" i="4"/>
  <c r="B156" i="4"/>
  <c r="A156" i="4"/>
  <c r="R155" i="4"/>
  <c r="P155" i="4"/>
  <c r="N155" i="4"/>
  <c r="L155" i="4"/>
  <c r="K155" i="4"/>
  <c r="J155" i="4"/>
  <c r="I155" i="4"/>
  <c r="H155" i="4"/>
  <c r="G155" i="4"/>
  <c r="F155" i="4"/>
  <c r="E155" i="4"/>
  <c r="D155" i="4"/>
  <c r="C155" i="4"/>
  <c r="B155" i="4"/>
  <c r="A155" i="4"/>
  <c r="R154" i="4"/>
  <c r="P154" i="4"/>
  <c r="N154" i="4"/>
  <c r="L154" i="4"/>
  <c r="K154" i="4"/>
  <c r="J154" i="4"/>
  <c r="I154" i="4"/>
  <c r="H154" i="4"/>
  <c r="G154" i="4"/>
  <c r="F154" i="4"/>
  <c r="E154" i="4"/>
  <c r="D154" i="4"/>
  <c r="C154" i="4"/>
  <c r="B154" i="4"/>
  <c r="A154" i="4"/>
  <c r="R153" i="4"/>
  <c r="P153" i="4"/>
  <c r="N153" i="4"/>
  <c r="L153" i="4"/>
  <c r="K153" i="4"/>
  <c r="J153" i="4"/>
  <c r="I153" i="4"/>
  <c r="H153" i="4"/>
  <c r="G153" i="4"/>
  <c r="F153" i="4"/>
  <c r="E153" i="4"/>
  <c r="D153" i="4"/>
  <c r="C153" i="4"/>
  <c r="B153" i="4"/>
  <c r="A153" i="4"/>
  <c r="R152" i="4"/>
  <c r="P152" i="4"/>
  <c r="N152" i="4"/>
  <c r="L152" i="4"/>
  <c r="K152" i="4"/>
  <c r="J152" i="4"/>
  <c r="I152" i="4"/>
  <c r="H152" i="4"/>
  <c r="G152" i="4"/>
  <c r="F152" i="4"/>
  <c r="E152" i="4"/>
  <c r="D152" i="4"/>
  <c r="C152" i="4"/>
  <c r="B152" i="4"/>
  <c r="A152" i="4"/>
  <c r="R151" i="4"/>
  <c r="P151" i="4"/>
  <c r="N151" i="4"/>
  <c r="L151" i="4"/>
  <c r="K151" i="4"/>
  <c r="J151" i="4"/>
  <c r="I151" i="4"/>
  <c r="H151" i="4"/>
  <c r="G151" i="4"/>
  <c r="F151" i="4"/>
  <c r="E151" i="4"/>
  <c r="D151" i="4"/>
  <c r="C151" i="4"/>
  <c r="B151" i="4"/>
  <c r="A151" i="4"/>
  <c r="R150" i="4"/>
  <c r="P150" i="4"/>
  <c r="N150" i="4"/>
  <c r="L150" i="4"/>
  <c r="K150" i="4"/>
  <c r="J150" i="4"/>
  <c r="I150" i="4"/>
  <c r="H150" i="4"/>
  <c r="G150" i="4"/>
  <c r="F150" i="4"/>
  <c r="E150" i="4"/>
  <c r="D150" i="4"/>
  <c r="C150" i="4"/>
  <c r="B150" i="4"/>
  <c r="A150" i="4"/>
  <c r="R149" i="4"/>
  <c r="P149" i="4"/>
  <c r="N149" i="4"/>
  <c r="L149" i="4"/>
  <c r="K149" i="4"/>
  <c r="J149" i="4"/>
  <c r="I149" i="4"/>
  <c r="H149" i="4"/>
  <c r="G149" i="4"/>
  <c r="F149" i="4"/>
  <c r="E149" i="4"/>
  <c r="D149" i="4"/>
  <c r="C149" i="4"/>
  <c r="B149" i="4"/>
  <c r="A149" i="4"/>
  <c r="R148" i="4"/>
  <c r="P148" i="4"/>
  <c r="N148" i="4"/>
  <c r="L148" i="4"/>
  <c r="K148" i="4"/>
  <c r="J148" i="4"/>
  <c r="I148" i="4"/>
  <c r="H148" i="4"/>
  <c r="G148" i="4"/>
  <c r="F148" i="4"/>
  <c r="E148" i="4"/>
  <c r="D148" i="4"/>
  <c r="C148" i="4"/>
  <c r="B148" i="4"/>
  <c r="A148" i="4"/>
  <c r="R147" i="4"/>
  <c r="P147" i="4"/>
  <c r="N147" i="4"/>
  <c r="L147" i="4"/>
  <c r="K147" i="4"/>
  <c r="J147" i="4"/>
  <c r="I147" i="4"/>
  <c r="H147" i="4"/>
  <c r="G147" i="4"/>
  <c r="F147" i="4"/>
  <c r="E147" i="4"/>
  <c r="D147" i="4"/>
  <c r="C147" i="4"/>
  <c r="B147" i="4"/>
  <c r="A147" i="4"/>
  <c r="R146" i="4"/>
  <c r="P146" i="4"/>
  <c r="N146" i="4"/>
  <c r="L146" i="4"/>
  <c r="K146" i="4"/>
  <c r="J146" i="4"/>
  <c r="I146" i="4"/>
  <c r="H146" i="4"/>
  <c r="G146" i="4"/>
  <c r="F146" i="4"/>
  <c r="E146" i="4"/>
  <c r="D146" i="4"/>
  <c r="C146" i="4"/>
  <c r="B146" i="4"/>
  <c r="A146" i="4"/>
  <c r="R145" i="4"/>
  <c r="P145" i="4"/>
  <c r="N145" i="4"/>
  <c r="L145" i="4"/>
  <c r="K145" i="4"/>
  <c r="J145" i="4"/>
  <c r="I145" i="4"/>
  <c r="H145" i="4"/>
  <c r="G145" i="4"/>
  <c r="F145" i="4"/>
  <c r="E145" i="4"/>
  <c r="D145" i="4"/>
  <c r="C145" i="4"/>
  <c r="B145" i="4"/>
  <c r="A145" i="4"/>
  <c r="R144" i="4"/>
  <c r="P144" i="4"/>
  <c r="N144" i="4"/>
  <c r="L144" i="4"/>
  <c r="K144" i="4"/>
  <c r="J144" i="4"/>
  <c r="I144" i="4"/>
  <c r="H144" i="4"/>
  <c r="G144" i="4"/>
  <c r="F144" i="4"/>
  <c r="E144" i="4"/>
  <c r="D144" i="4"/>
  <c r="C144" i="4"/>
  <c r="B144" i="4"/>
  <c r="A144" i="4"/>
  <c r="R143" i="4"/>
  <c r="P143" i="4"/>
  <c r="N143" i="4"/>
  <c r="L143" i="4"/>
  <c r="K143" i="4"/>
  <c r="J143" i="4"/>
  <c r="I143" i="4"/>
  <c r="H143" i="4"/>
  <c r="G143" i="4"/>
  <c r="F143" i="4"/>
  <c r="E143" i="4"/>
  <c r="D143" i="4"/>
  <c r="C143" i="4"/>
  <c r="B143" i="4"/>
  <c r="A143" i="4"/>
  <c r="R142" i="4"/>
  <c r="P142" i="4"/>
  <c r="N142" i="4"/>
  <c r="L142" i="4"/>
  <c r="K142" i="4"/>
  <c r="J142" i="4"/>
  <c r="I142" i="4"/>
  <c r="H142" i="4"/>
  <c r="G142" i="4"/>
  <c r="F142" i="4"/>
  <c r="E142" i="4"/>
  <c r="D142" i="4"/>
  <c r="C142" i="4"/>
  <c r="B142" i="4"/>
  <c r="A142" i="4"/>
  <c r="R141" i="4"/>
  <c r="P141" i="4"/>
  <c r="N141" i="4"/>
  <c r="L141" i="4"/>
  <c r="K141" i="4"/>
  <c r="J141" i="4"/>
  <c r="I141" i="4"/>
  <c r="H141" i="4"/>
  <c r="G141" i="4"/>
  <c r="F141" i="4"/>
  <c r="E141" i="4"/>
  <c r="D141" i="4"/>
  <c r="C141" i="4"/>
  <c r="B141" i="4"/>
  <c r="A141" i="4"/>
  <c r="R140" i="4"/>
  <c r="P140" i="4"/>
  <c r="N140" i="4"/>
  <c r="L140" i="4"/>
  <c r="K140" i="4"/>
  <c r="J140" i="4"/>
  <c r="I140" i="4"/>
  <c r="H140" i="4"/>
  <c r="G140" i="4"/>
  <c r="F140" i="4"/>
  <c r="E140" i="4"/>
  <c r="D140" i="4"/>
  <c r="C140" i="4"/>
  <c r="B140" i="4"/>
  <c r="A140" i="4"/>
  <c r="R139" i="4"/>
  <c r="P139" i="4"/>
  <c r="N139" i="4"/>
  <c r="L139" i="4"/>
  <c r="K139" i="4"/>
  <c r="J139" i="4"/>
  <c r="I139" i="4"/>
  <c r="H139" i="4"/>
  <c r="G139" i="4"/>
  <c r="F139" i="4"/>
  <c r="E139" i="4"/>
  <c r="D139" i="4"/>
  <c r="C139" i="4"/>
  <c r="B139" i="4"/>
  <c r="A139" i="4"/>
  <c r="R138" i="4"/>
  <c r="P138" i="4"/>
  <c r="N138" i="4"/>
  <c r="L138" i="4"/>
  <c r="K138" i="4"/>
  <c r="J138" i="4"/>
  <c r="I138" i="4"/>
  <c r="H138" i="4"/>
  <c r="G138" i="4"/>
  <c r="F138" i="4"/>
  <c r="E138" i="4"/>
  <c r="D138" i="4"/>
  <c r="C138" i="4"/>
  <c r="B138" i="4"/>
  <c r="A138" i="4"/>
  <c r="R137" i="4"/>
  <c r="P137" i="4"/>
  <c r="N137" i="4"/>
  <c r="L137" i="4"/>
  <c r="K137" i="4"/>
  <c r="J137" i="4"/>
  <c r="I137" i="4"/>
  <c r="H137" i="4"/>
  <c r="G137" i="4"/>
  <c r="F137" i="4"/>
  <c r="E137" i="4"/>
  <c r="D137" i="4"/>
  <c r="C137" i="4"/>
  <c r="B137" i="4"/>
  <c r="A137" i="4"/>
  <c r="R136" i="4"/>
  <c r="P136" i="4"/>
  <c r="N136" i="4"/>
  <c r="L136" i="4"/>
  <c r="K136" i="4"/>
  <c r="J136" i="4"/>
  <c r="I136" i="4"/>
  <c r="H136" i="4"/>
  <c r="G136" i="4"/>
  <c r="F136" i="4"/>
  <c r="E136" i="4"/>
  <c r="D136" i="4"/>
  <c r="C136" i="4"/>
  <c r="B136" i="4"/>
  <c r="A136" i="4"/>
  <c r="R135" i="4"/>
  <c r="P135" i="4"/>
  <c r="N135" i="4"/>
  <c r="L135" i="4"/>
  <c r="K135" i="4"/>
  <c r="J135" i="4"/>
  <c r="I135" i="4"/>
  <c r="H135" i="4"/>
  <c r="G135" i="4"/>
  <c r="F135" i="4"/>
  <c r="E135" i="4"/>
  <c r="D135" i="4"/>
  <c r="C135" i="4"/>
  <c r="B135" i="4"/>
  <c r="A135" i="4"/>
  <c r="R134" i="4"/>
  <c r="P134" i="4"/>
  <c r="N134" i="4"/>
  <c r="L134" i="4"/>
  <c r="K134" i="4"/>
  <c r="J134" i="4"/>
  <c r="I134" i="4"/>
  <c r="H134" i="4"/>
  <c r="G134" i="4"/>
  <c r="F134" i="4"/>
  <c r="E134" i="4"/>
  <c r="D134" i="4"/>
  <c r="C134" i="4"/>
  <c r="B134" i="4"/>
  <c r="A134" i="4"/>
  <c r="R133" i="4"/>
  <c r="P133" i="4"/>
  <c r="N133" i="4"/>
  <c r="L133" i="4"/>
  <c r="K133" i="4"/>
  <c r="J133" i="4"/>
  <c r="I133" i="4"/>
  <c r="H133" i="4"/>
  <c r="G133" i="4"/>
  <c r="F133" i="4"/>
  <c r="E133" i="4"/>
  <c r="D133" i="4"/>
  <c r="C133" i="4"/>
  <c r="B133" i="4"/>
  <c r="A133" i="4"/>
  <c r="R132" i="4"/>
  <c r="P132" i="4"/>
  <c r="N132" i="4"/>
  <c r="L132" i="4"/>
  <c r="K132" i="4"/>
  <c r="J132" i="4"/>
  <c r="I132" i="4"/>
  <c r="H132" i="4"/>
  <c r="G132" i="4"/>
  <c r="F132" i="4"/>
  <c r="E132" i="4"/>
  <c r="D132" i="4"/>
  <c r="C132" i="4"/>
  <c r="B132" i="4"/>
  <c r="A132" i="4"/>
  <c r="R131" i="4"/>
  <c r="P131" i="4"/>
  <c r="N131" i="4"/>
  <c r="L131" i="4"/>
  <c r="K131" i="4"/>
  <c r="J131" i="4"/>
  <c r="I131" i="4"/>
  <c r="H131" i="4"/>
  <c r="G131" i="4"/>
  <c r="F131" i="4"/>
  <c r="E131" i="4"/>
  <c r="D131" i="4"/>
  <c r="C131" i="4"/>
  <c r="B131" i="4"/>
  <c r="A131" i="4"/>
  <c r="R130" i="4"/>
  <c r="P130" i="4"/>
  <c r="N130" i="4"/>
  <c r="L130" i="4"/>
  <c r="K130" i="4"/>
  <c r="J130" i="4"/>
  <c r="I130" i="4"/>
  <c r="H130" i="4"/>
  <c r="G130" i="4"/>
  <c r="F130" i="4"/>
  <c r="E130" i="4"/>
  <c r="D130" i="4"/>
  <c r="C130" i="4"/>
  <c r="B130" i="4"/>
  <c r="A130" i="4"/>
  <c r="R129" i="4"/>
  <c r="P129" i="4"/>
  <c r="N129" i="4"/>
  <c r="L129" i="4"/>
  <c r="K129" i="4"/>
  <c r="J129" i="4"/>
  <c r="I129" i="4"/>
  <c r="H129" i="4"/>
  <c r="G129" i="4"/>
  <c r="F129" i="4"/>
  <c r="E129" i="4"/>
  <c r="D129" i="4"/>
  <c r="C129" i="4"/>
  <c r="B129" i="4"/>
  <c r="A129" i="4"/>
  <c r="R128" i="4"/>
  <c r="P128" i="4"/>
  <c r="N128" i="4"/>
  <c r="L128" i="4"/>
  <c r="K128" i="4"/>
  <c r="J128" i="4"/>
  <c r="I128" i="4"/>
  <c r="H128" i="4"/>
  <c r="G128" i="4"/>
  <c r="F128" i="4"/>
  <c r="E128" i="4"/>
  <c r="D128" i="4"/>
  <c r="C128" i="4"/>
  <c r="B128" i="4"/>
  <c r="A128" i="4"/>
  <c r="R127" i="4"/>
  <c r="P127" i="4"/>
  <c r="N127" i="4"/>
  <c r="L127" i="4"/>
  <c r="K127" i="4"/>
  <c r="J127" i="4"/>
  <c r="I127" i="4"/>
  <c r="H127" i="4"/>
  <c r="G127" i="4"/>
  <c r="F127" i="4"/>
  <c r="E127" i="4"/>
  <c r="D127" i="4"/>
  <c r="C127" i="4"/>
  <c r="B127" i="4"/>
  <c r="A127" i="4"/>
  <c r="R126" i="4"/>
  <c r="P126" i="4"/>
  <c r="N126" i="4"/>
  <c r="L126" i="4"/>
  <c r="K126" i="4"/>
  <c r="J126" i="4"/>
  <c r="I126" i="4"/>
  <c r="H126" i="4"/>
  <c r="G126" i="4"/>
  <c r="F126" i="4"/>
  <c r="E126" i="4"/>
  <c r="D126" i="4"/>
  <c r="C126" i="4"/>
  <c r="B126" i="4"/>
  <c r="A126" i="4"/>
  <c r="R125" i="4"/>
  <c r="P125" i="4"/>
  <c r="N125" i="4"/>
  <c r="L125" i="4"/>
  <c r="K125" i="4"/>
  <c r="J125" i="4"/>
  <c r="I125" i="4"/>
  <c r="H125" i="4"/>
  <c r="G125" i="4"/>
  <c r="F125" i="4"/>
  <c r="E125" i="4"/>
  <c r="D125" i="4"/>
  <c r="C125" i="4"/>
  <c r="B125" i="4"/>
  <c r="A125" i="4"/>
  <c r="R124" i="4"/>
  <c r="P124" i="4"/>
  <c r="N124" i="4"/>
  <c r="L124" i="4"/>
  <c r="K124" i="4"/>
  <c r="J124" i="4"/>
  <c r="I124" i="4"/>
  <c r="H124" i="4"/>
  <c r="G124" i="4"/>
  <c r="F124" i="4"/>
  <c r="E124" i="4"/>
  <c r="D124" i="4"/>
  <c r="C124" i="4"/>
  <c r="B124" i="4"/>
  <c r="A124" i="4"/>
  <c r="R123" i="4"/>
  <c r="P123" i="4"/>
  <c r="N123" i="4"/>
  <c r="L123" i="4"/>
  <c r="K123" i="4"/>
  <c r="J123" i="4"/>
  <c r="I123" i="4"/>
  <c r="H123" i="4"/>
  <c r="G123" i="4"/>
  <c r="F123" i="4"/>
  <c r="E123" i="4"/>
  <c r="D123" i="4"/>
  <c r="C123" i="4"/>
  <c r="B123" i="4"/>
  <c r="A123" i="4"/>
  <c r="R122" i="4"/>
  <c r="P122" i="4"/>
  <c r="N122" i="4"/>
  <c r="L122" i="4"/>
  <c r="K122" i="4"/>
  <c r="J122" i="4"/>
  <c r="I122" i="4"/>
  <c r="H122" i="4"/>
  <c r="G122" i="4"/>
  <c r="F122" i="4"/>
  <c r="E122" i="4"/>
  <c r="D122" i="4"/>
  <c r="C122" i="4"/>
  <c r="B122" i="4"/>
  <c r="A122" i="4"/>
  <c r="R121" i="4"/>
  <c r="P121" i="4"/>
  <c r="N121" i="4"/>
  <c r="L121" i="4"/>
  <c r="K121" i="4"/>
  <c r="J121" i="4"/>
  <c r="I121" i="4"/>
  <c r="H121" i="4"/>
  <c r="G121" i="4"/>
  <c r="F121" i="4"/>
  <c r="E121" i="4"/>
  <c r="D121" i="4"/>
  <c r="C121" i="4"/>
  <c r="B121" i="4"/>
  <c r="A121" i="4"/>
  <c r="R120" i="4"/>
  <c r="P120" i="4"/>
  <c r="N120" i="4"/>
  <c r="L120" i="4"/>
  <c r="K120" i="4"/>
  <c r="J120" i="4"/>
  <c r="I120" i="4"/>
  <c r="H120" i="4"/>
  <c r="G120" i="4"/>
  <c r="F120" i="4"/>
  <c r="E120" i="4"/>
  <c r="D120" i="4"/>
  <c r="C120" i="4"/>
  <c r="B120" i="4"/>
  <c r="A120" i="4"/>
  <c r="R119" i="4"/>
  <c r="P119" i="4"/>
  <c r="N119" i="4"/>
  <c r="L119" i="4"/>
  <c r="K119" i="4"/>
  <c r="J119" i="4"/>
  <c r="I119" i="4"/>
  <c r="H119" i="4"/>
  <c r="G119" i="4"/>
  <c r="F119" i="4"/>
  <c r="E119" i="4"/>
  <c r="D119" i="4"/>
  <c r="C119" i="4"/>
  <c r="B119" i="4"/>
  <c r="A119" i="4"/>
  <c r="R118" i="4"/>
  <c r="P118" i="4"/>
  <c r="N118" i="4"/>
  <c r="L118" i="4"/>
  <c r="K118" i="4"/>
  <c r="J118" i="4"/>
  <c r="I118" i="4"/>
  <c r="H118" i="4"/>
  <c r="G118" i="4"/>
  <c r="F118" i="4"/>
  <c r="E118" i="4"/>
  <c r="D118" i="4"/>
  <c r="C118" i="4"/>
  <c r="B118" i="4"/>
  <c r="A118" i="4"/>
  <c r="R117" i="4"/>
  <c r="P117" i="4"/>
  <c r="N117" i="4"/>
  <c r="L117" i="4"/>
  <c r="K117" i="4"/>
  <c r="J117" i="4"/>
  <c r="I117" i="4"/>
  <c r="H117" i="4"/>
  <c r="G117" i="4"/>
  <c r="F117" i="4"/>
  <c r="E117" i="4"/>
  <c r="D117" i="4"/>
  <c r="C117" i="4"/>
  <c r="B117" i="4"/>
  <c r="A117" i="4"/>
  <c r="R116" i="4"/>
  <c r="P116" i="4"/>
  <c r="N116" i="4"/>
  <c r="L116" i="4"/>
  <c r="K116" i="4"/>
  <c r="J116" i="4"/>
  <c r="I116" i="4"/>
  <c r="H116" i="4"/>
  <c r="G116" i="4"/>
  <c r="F116" i="4"/>
  <c r="E116" i="4"/>
  <c r="D116" i="4"/>
  <c r="C116" i="4"/>
  <c r="B116" i="4"/>
  <c r="A116" i="4"/>
  <c r="R115" i="4"/>
  <c r="P115" i="4"/>
  <c r="N115" i="4"/>
  <c r="L115" i="4"/>
  <c r="K115" i="4"/>
  <c r="J115" i="4"/>
  <c r="I115" i="4"/>
  <c r="H115" i="4"/>
  <c r="G115" i="4"/>
  <c r="F115" i="4"/>
  <c r="E115" i="4"/>
  <c r="D115" i="4"/>
  <c r="C115" i="4"/>
  <c r="B115" i="4"/>
  <c r="A115" i="4"/>
  <c r="R114" i="4"/>
  <c r="P114" i="4"/>
  <c r="N114" i="4"/>
  <c r="L114" i="4"/>
  <c r="K114" i="4"/>
  <c r="J114" i="4"/>
  <c r="I114" i="4"/>
  <c r="H114" i="4"/>
  <c r="G114" i="4"/>
  <c r="F114" i="4"/>
  <c r="E114" i="4"/>
  <c r="D114" i="4"/>
  <c r="C114" i="4"/>
  <c r="B114" i="4"/>
  <c r="A114" i="4"/>
  <c r="R113" i="4"/>
  <c r="P113" i="4"/>
  <c r="N113" i="4"/>
  <c r="L113" i="4"/>
  <c r="K113" i="4"/>
  <c r="J113" i="4"/>
  <c r="I113" i="4"/>
  <c r="H113" i="4"/>
  <c r="G113" i="4"/>
  <c r="F113" i="4"/>
  <c r="E113" i="4"/>
  <c r="D113" i="4"/>
  <c r="C113" i="4"/>
  <c r="B113" i="4"/>
  <c r="A113" i="4"/>
  <c r="R112" i="4"/>
  <c r="P112" i="4"/>
  <c r="N112" i="4"/>
  <c r="L112" i="4"/>
  <c r="K112" i="4"/>
  <c r="J112" i="4"/>
  <c r="I112" i="4"/>
  <c r="H112" i="4"/>
  <c r="G112" i="4"/>
  <c r="F112" i="4"/>
  <c r="E112" i="4"/>
  <c r="D112" i="4"/>
  <c r="C112" i="4"/>
  <c r="B112" i="4"/>
  <c r="A112" i="4"/>
  <c r="R111" i="4"/>
  <c r="P111" i="4"/>
  <c r="N111" i="4"/>
  <c r="L111" i="4"/>
  <c r="K111" i="4"/>
  <c r="J111" i="4"/>
  <c r="I111" i="4"/>
  <c r="H111" i="4"/>
  <c r="G111" i="4"/>
  <c r="F111" i="4"/>
  <c r="E111" i="4"/>
  <c r="D111" i="4"/>
  <c r="C111" i="4"/>
  <c r="B111" i="4"/>
  <c r="A111" i="4"/>
  <c r="R110" i="4"/>
  <c r="P110" i="4"/>
  <c r="N110" i="4"/>
  <c r="L110" i="4"/>
  <c r="K110" i="4"/>
  <c r="J110" i="4"/>
  <c r="I110" i="4"/>
  <c r="H110" i="4"/>
  <c r="G110" i="4"/>
  <c r="F110" i="4"/>
  <c r="E110" i="4"/>
  <c r="D110" i="4"/>
  <c r="C110" i="4"/>
  <c r="B110" i="4"/>
  <c r="A110" i="4"/>
  <c r="R109" i="4"/>
  <c r="P109" i="4"/>
  <c r="N109" i="4"/>
  <c r="L109" i="4"/>
  <c r="K109" i="4"/>
  <c r="J109" i="4"/>
  <c r="I109" i="4"/>
  <c r="H109" i="4"/>
  <c r="G109" i="4"/>
  <c r="F109" i="4"/>
  <c r="E109" i="4"/>
  <c r="D109" i="4"/>
  <c r="C109" i="4"/>
  <c r="B109" i="4"/>
  <c r="A109" i="4"/>
  <c r="R108" i="4"/>
  <c r="P108" i="4"/>
  <c r="N108" i="4"/>
  <c r="L108" i="4"/>
  <c r="K108" i="4"/>
  <c r="J108" i="4"/>
  <c r="I108" i="4"/>
  <c r="H108" i="4"/>
  <c r="G108" i="4"/>
  <c r="F108" i="4"/>
  <c r="E108" i="4"/>
  <c r="D108" i="4"/>
  <c r="C108" i="4"/>
  <c r="B108" i="4"/>
  <c r="A108" i="4"/>
  <c r="R107" i="4"/>
  <c r="P107" i="4"/>
  <c r="N107" i="4"/>
  <c r="L107" i="4"/>
  <c r="K107" i="4"/>
  <c r="J107" i="4"/>
  <c r="I107" i="4"/>
  <c r="H107" i="4"/>
  <c r="G107" i="4"/>
  <c r="F107" i="4"/>
  <c r="E107" i="4"/>
  <c r="D107" i="4"/>
  <c r="C107" i="4"/>
  <c r="B107" i="4"/>
  <c r="A107" i="4"/>
  <c r="R106" i="4"/>
  <c r="P106" i="4"/>
  <c r="N106" i="4"/>
  <c r="L106" i="4"/>
  <c r="K106" i="4"/>
  <c r="J106" i="4"/>
  <c r="I106" i="4"/>
  <c r="H106" i="4"/>
  <c r="G106" i="4"/>
  <c r="F106" i="4"/>
  <c r="E106" i="4"/>
  <c r="D106" i="4"/>
  <c r="C106" i="4"/>
  <c r="B106" i="4"/>
  <c r="A106" i="4"/>
  <c r="R105" i="4"/>
  <c r="P105" i="4"/>
  <c r="N105" i="4"/>
  <c r="L105" i="4"/>
  <c r="K105" i="4"/>
  <c r="J105" i="4"/>
  <c r="I105" i="4"/>
  <c r="H105" i="4"/>
  <c r="G105" i="4"/>
  <c r="F105" i="4"/>
  <c r="E105" i="4"/>
  <c r="D105" i="4"/>
  <c r="C105" i="4"/>
  <c r="B105" i="4"/>
  <c r="A105" i="4"/>
  <c r="R104" i="4"/>
  <c r="P104" i="4"/>
  <c r="N104" i="4"/>
  <c r="L104" i="4"/>
  <c r="K104" i="4"/>
  <c r="J104" i="4"/>
  <c r="I104" i="4"/>
  <c r="H104" i="4"/>
  <c r="G104" i="4"/>
  <c r="F104" i="4"/>
  <c r="E104" i="4"/>
  <c r="D104" i="4"/>
  <c r="C104" i="4"/>
  <c r="B104" i="4"/>
  <c r="A104" i="4"/>
  <c r="R103" i="4"/>
  <c r="P103" i="4"/>
  <c r="N103" i="4"/>
  <c r="L103" i="4"/>
  <c r="K103" i="4"/>
  <c r="J103" i="4"/>
  <c r="I103" i="4"/>
  <c r="H103" i="4"/>
  <c r="G103" i="4"/>
  <c r="F103" i="4"/>
  <c r="E103" i="4"/>
  <c r="D103" i="4"/>
  <c r="C103" i="4"/>
  <c r="B103" i="4"/>
  <c r="A103" i="4"/>
  <c r="R102" i="4"/>
  <c r="P102" i="4"/>
  <c r="N102" i="4"/>
  <c r="L102" i="4"/>
  <c r="K102" i="4"/>
  <c r="J102" i="4"/>
  <c r="I102" i="4"/>
  <c r="H102" i="4"/>
  <c r="G102" i="4"/>
  <c r="F102" i="4"/>
  <c r="E102" i="4"/>
  <c r="D102" i="4"/>
  <c r="C102" i="4"/>
  <c r="B102" i="4"/>
  <c r="A102" i="4"/>
  <c r="R101" i="4"/>
  <c r="P101" i="4"/>
  <c r="N101" i="4"/>
  <c r="L101" i="4"/>
  <c r="K101" i="4"/>
  <c r="J101" i="4"/>
  <c r="I101" i="4"/>
  <c r="H101" i="4"/>
  <c r="G101" i="4"/>
  <c r="F101" i="4"/>
  <c r="E101" i="4"/>
  <c r="D101" i="4"/>
  <c r="C101" i="4"/>
  <c r="B101" i="4"/>
  <c r="A101" i="4"/>
  <c r="R100" i="4"/>
  <c r="P100" i="4"/>
  <c r="N100" i="4"/>
  <c r="L100" i="4"/>
  <c r="K100" i="4"/>
  <c r="J100" i="4"/>
  <c r="I100" i="4"/>
  <c r="H100" i="4"/>
  <c r="G100" i="4"/>
  <c r="F100" i="4"/>
  <c r="E100" i="4"/>
  <c r="D100" i="4"/>
  <c r="C100" i="4"/>
  <c r="B100" i="4"/>
  <c r="A100" i="4"/>
  <c r="R99" i="4"/>
  <c r="P99" i="4"/>
  <c r="N99" i="4"/>
  <c r="L99" i="4"/>
  <c r="K99" i="4"/>
  <c r="J99" i="4"/>
  <c r="I99" i="4"/>
  <c r="H99" i="4"/>
  <c r="G99" i="4"/>
  <c r="F99" i="4"/>
  <c r="E99" i="4"/>
  <c r="D99" i="4"/>
  <c r="C99" i="4"/>
  <c r="B99" i="4"/>
  <c r="A99" i="4"/>
  <c r="R98" i="4"/>
  <c r="P98" i="4"/>
  <c r="N98" i="4"/>
  <c r="L98" i="4"/>
  <c r="K98" i="4"/>
  <c r="J98" i="4"/>
  <c r="I98" i="4"/>
  <c r="H98" i="4"/>
  <c r="G98" i="4"/>
  <c r="F98" i="4"/>
  <c r="E98" i="4"/>
  <c r="D98" i="4"/>
  <c r="C98" i="4"/>
  <c r="B98" i="4"/>
  <c r="A98" i="4"/>
  <c r="R97" i="4"/>
  <c r="P97" i="4"/>
  <c r="N97" i="4"/>
  <c r="L97" i="4"/>
  <c r="K97" i="4"/>
  <c r="J97" i="4"/>
  <c r="I97" i="4"/>
  <c r="H97" i="4"/>
  <c r="G97" i="4"/>
  <c r="F97" i="4"/>
  <c r="E97" i="4"/>
  <c r="D97" i="4"/>
  <c r="C97" i="4"/>
  <c r="B97" i="4"/>
  <c r="A97" i="4"/>
  <c r="R96" i="4"/>
  <c r="P96" i="4"/>
  <c r="N96" i="4"/>
  <c r="L96" i="4"/>
  <c r="K96" i="4"/>
  <c r="J96" i="4"/>
  <c r="I96" i="4"/>
  <c r="H96" i="4"/>
  <c r="G96" i="4"/>
  <c r="F96" i="4"/>
  <c r="E96" i="4"/>
  <c r="D96" i="4"/>
  <c r="C96" i="4"/>
  <c r="B96" i="4"/>
  <c r="A96" i="4"/>
  <c r="R95" i="4"/>
  <c r="P95" i="4"/>
  <c r="N95" i="4"/>
  <c r="L95" i="4"/>
  <c r="K95" i="4"/>
  <c r="J95" i="4"/>
  <c r="I95" i="4"/>
  <c r="H95" i="4"/>
  <c r="G95" i="4"/>
  <c r="F95" i="4"/>
  <c r="E95" i="4"/>
  <c r="D95" i="4"/>
  <c r="C95" i="4"/>
  <c r="B95" i="4"/>
  <c r="A95" i="4"/>
  <c r="R94" i="4"/>
  <c r="P94" i="4"/>
  <c r="N94" i="4"/>
  <c r="L94" i="4"/>
  <c r="K94" i="4"/>
  <c r="J94" i="4"/>
  <c r="I94" i="4"/>
  <c r="H94" i="4"/>
  <c r="G94" i="4"/>
  <c r="F94" i="4"/>
  <c r="E94" i="4"/>
  <c r="D94" i="4"/>
  <c r="C94" i="4"/>
  <c r="B94" i="4"/>
  <c r="A94" i="4"/>
  <c r="R93" i="4"/>
  <c r="P93" i="4"/>
  <c r="N93" i="4"/>
  <c r="L93" i="4"/>
  <c r="K93" i="4"/>
  <c r="J93" i="4"/>
  <c r="I93" i="4"/>
  <c r="H93" i="4"/>
  <c r="G93" i="4"/>
  <c r="F93" i="4"/>
  <c r="E93" i="4"/>
  <c r="D93" i="4"/>
  <c r="C93" i="4"/>
  <c r="B93" i="4"/>
  <c r="A93" i="4"/>
  <c r="R92" i="4"/>
  <c r="P92" i="4"/>
  <c r="N92" i="4"/>
  <c r="L92" i="4"/>
  <c r="K92" i="4"/>
  <c r="J92" i="4"/>
  <c r="I92" i="4"/>
  <c r="H92" i="4"/>
  <c r="G92" i="4"/>
  <c r="F92" i="4"/>
  <c r="E92" i="4"/>
  <c r="D92" i="4"/>
  <c r="C92" i="4"/>
  <c r="B92" i="4"/>
  <c r="A92" i="4"/>
  <c r="R91" i="4"/>
  <c r="P91" i="4"/>
  <c r="N91" i="4"/>
  <c r="L91" i="4"/>
  <c r="K91" i="4"/>
  <c r="J91" i="4"/>
  <c r="I91" i="4"/>
  <c r="H91" i="4"/>
  <c r="G91" i="4"/>
  <c r="F91" i="4"/>
  <c r="E91" i="4"/>
  <c r="D91" i="4"/>
  <c r="C91" i="4"/>
  <c r="B91" i="4"/>
  <c r="A91" i="4"/>
  <c r="R90" i="4"/>
  <c r="P90" i="4"/>
  <c r="N90" i="4"/>
  <c r="L90" i="4"/>
  <c r="K90" i="4"/>
  <c r="J90" i="4"/>
  <c r="I90" i="4"/>
  <c r="H90" i="4"/>
  <c r="G90" i="4"/>
  <c r="F90" i="4"/>
  <c r="E90" i="4"/>
  <c r="D90" i="4"/>
  <c r="C90" i="4"/>
  <c r="B90" i="4"/>
  <c r="A90" i="4"/>
  <c r="R89" i="4"/>
  <c r="P89" i="4"/>
  <c r="N89" i="4"/>
  <c r="L89" i="4"/>
  <c r="K89" i="4"/>
  <c r="J89" i="4"/>
  <c r="I89" i="4"/>
  <c r="H89" i="4"/>
  <c r="G89" i="4"/>
  <c r="F89" i="4"/>
  <c r="E89" i="4"/>
  <c r="D89" i="4"/>
  <c r="C89" i="4"/>
  <c r="B89" i="4"/>
  <c r="A89" i="4"/>
  <c r="R88" i="4"/>
  <c r="P88" i="4"/>
  <c r="N88" i="4"/>
  <c r="L88" i="4"/>
  <c r="K88" i="4"/>
  <c r="J88" i="4"/>
  <c r="I88" i="4"/>
  <c r="H88" i="4"/>
  <c r="G88" i="4"/>
  <c r="F88" i="4"/>
  <c r="E88" i="4"/>
  <c r="D88" i="4"/>
  <c r="C88" i="4"/>
  <c r="B88" i="4"/>
  <c r="A88" i="4"/>
  <c r="R87" i="4"/>
  <c r="P87" i="4"/>
  <c r="N87" i="4"/>
  <c r="L87" i="4"/>
  <c r="K87" i="4"/>
  <c r="J87" i="4"/>
  <c r="I87" i="4"/>
  <c r="H87" i="4"/>
  <c r="G87" i="4"/>
  <c r="F87" i="4"/>
  <c r="E87" i="4"/>
  <c r="D87" i="4"/>
  <c r="C87" i="4"/>
  <c r="B87" i="4"/>
  <c r="A87" i="4"/>
  <c r="R86" i="4"/>
  <c r="P86" i="4"/>
  <c r="N86" i="4"/>
  <c r="L86" i="4"/>
  <c r="K86" i="4"/>
  <c r="J86" i="4"/>
  <c r="I86" i="4"/>
  <c r="H86" i="4"/>
  <c r="G86" i="4"/>
  <c r="F86" i="4"/>
  <c r="E86" i="4"/>
  <c r="D86" i="4"/>
  <c r="C86" i="4"/>
  <c r="B86" i="4"/>
  <c r="A86" i="4"/>
  <c r="R85" i="4"/>
  <c r="P85" i="4"/>
  <c r="N85" i="4"/>
  <c r="L85" i="4"/>
  <c r="K85" i="4"/>
  <c r="J85" i="4"/>
  <c r="I85" i="4"/>
  <c r="H85" i="4"/>
  <c r="G85" i="4"/>
  <c r="F85" i="4"/>
  <c r="E85" i="4"/>
  <c r="D85" i="4"/>
  <c r="C85" i="4"/>
  <c r="B85" i="4"/>
  <c r="A85" i="4"/>
  <c r="R84" i="4"/>
  <c r="P84" i="4"/>
  <c r="N84" i="4"/>
  <c r="L84" i="4"/>
  <c r="K84" i="4"/>
  <c r="J84" i="4"/>
  <c r="I84" i="4"/>
  <c r="H84" i="4"/>
  <c r="G84" i="4"/>
  <c r="F84" i="4"/>
  <c r="E84" i="4"/>
  <c r="D84" i="4"/>
  <c r="C84" i="4"/>
  <c r="B84" i="4"/>
  <c r="A84" i="4"/>
  <c r="R83" i="4"/>
  <c r="P83" i="4"/>
  <c r="N83" i="4"/>
  <c r="L83" i="4"/>
  <c r="K83" i="4"/>
  <c r="J83" i="4"/>
  <c r="I83" i="4"/>
  <c r="H83" i="4"/>
  <c r="G83" i="4"/>
  <c r="F83" i="4"/>
  <c r="E83" i="4"/>
  <c r="D83" i="4"/>
  <c r="C83" i="4"/>
  <c r="B83" i="4"/>
  <c r="A83" i="4"/>
  <c r="R82" i="4"/>
  <c r="P82" i="4"/>
  <c r="N82" i="4"/>
  <c r="L82" i="4"/>
  <c r="K82" i="4"/>
  <c r="J82" i="4"/>
  <c r="I82" i="4"/>
  <c r="H82" i="4"/>
  <c r="G82" i="4"/>
  <c r="F82" i="4"/>
  <c r="E82" i="4"/>
  <c r="D82" i="4"/>
  <c r="C82" i="4"/>
  <c r="B82" i="4"/>
  <c r="A82" i="4"/>
  <c r="R81" i="4"/>
  <c r="P81" i="4"/>
  <c r="N81" i="4"/>
  <c r="L81" i="4"/>
  <c r="K81" i="4"/>
  <c r="J81" i="4"/>
  <c r="I81" i="4"/>
  <c r="H81" i="4"/>
  <c r="G81" i="4"/>
  <c r="F81" i="4"/>
  <c r="E81" i="4"/>
  <c r="D81" i="4"/>
  <c r="C81" i="4"/>
  <c r="B81" i="4"/>
  <c r="A81" i="4"/>
  <c r="R80" i="4"/>
  <c r="P80" i="4"/>
  <c r="N80" i="4"/>
  <c r="L80" i="4"/>
  <c r="K80" i="4"/>
  <c r="J80" i="4"/>
  <c r="I80" i="4"/>
  <c r="H80" i="4"/>
  <c r="G80" i="4"/>
  <c r="F80" i="4"/>
  <c r="E80" i="4"/>
  <c r="D80" i="4"/>
  <c r="C80" i="4"/>
  <c r="B80" i="4"/>
  <c r="A80" i="4"/>
  <c r="R79" i="4"/>
  <c r="P79" i="4"/>
  <c r="N79" i="4"/>
  <c r="L79" i="4"/>
  <c r="K79" i="4"/>
  <c r="J79" i="4"/>
  <c r="I79" i="4"/>
  <c r="H79" i="4"/>
  <c r="G79" i="4"/>
  <c r="F79" i="4"/>
  <c r="E79" i="4"/>
  <c r="D79" i="4"/>
  <c r="C79" i="4"/>
  <c r="B79" i="4"/>
  <c r="A79" i="4"/>
  <c r="R78" i="4"/>
  <c r="P78" i="4"/>
  <c r="N78" i="4"/>
  <c r="L78" i="4"/>
  <c r="K78" i="4"/>
  <c r="J78" i="4"/>
  <c r="I78" i="4"/>
  <c r="H78" i="4"/>
  <c r="G78" i="4"/>
  <c r="F78" i="4"/>
  <c r="E78" i="4"/>
  <c r="D78" i="4"/>
  <c r="C78" i="4"/>
  <c r="B78" i="4"/>
  <c r="A78" i="4"/>
  <c r="R77" i="4"/>
  <c r="P77" i="4"/>
  <c r="N77" i="4"/>
  <c r="L77" i="4"/>
  <c r="K77" i="4"/>
  <c r="J77" i="4"/>
  <c r="I77" i="4"/>
  <c r="H77" i="4"/>
  <c r="G77" i="4"/>
  <c r="F77" i="4"/>
  <c r="E77" i="4"/>
  <c r="D77" i="4"/>
  <c r="C77" i="4"/>
  <c r="B77" i="4"/>
  <c r="A77" i="4"/>
  <c r="R76" i="4"/>
  <c r="P76" i="4"/>
  <c r="N76" i="4"/>
  <c r="L76" i="4"/>
  <c r="K76" i="4"/>
  <c r="J76" i="4"/>
  <c r="I76" i="4"/>
  <c r="H76" i="4"/>
  <c r="G76" i="4"/>
  <c r="F76" i="4"/>
  <c r="E76" i="4"/>
  <c r="D76" i="4"/>
  <c r="C76" i="4"/>
  <c r="B76" i="4"/>
  <c r="A76" i="4"/>
  <c r="R75" i="4"/>
  <c r="P75" i="4"/>
  <c r="N75" i="4"/>
  <c r="L75" i="4"/>
  <c r="K75" i="4"/>
  <c r="J75" i="4"/>
  <c r="I75" i="4"/>
  <c r="H75" i="4"/>
  <c r="G75" i="4"/>
  <c r="F75" i="4"/>
  <c r="E75" i="4"/>
  <c r="D75" i="4"/>
  <c r="C75" i="4"/>
  <c r="B75" i="4"/>
  <c r="A75" i="4"/>
  <c r="R74" i="4"/>
  <c r="P74" i="4"/>
  <c r="N74" i="4"/>
  <c r="L74" i="4"/>
  <c r="K74" i="4"/>
  <c r="J74" i="4"/>
  <c r="I74" i="4"/>
  <c r="H74" i="4"/>
  <c r="G74" i="4"/>
  <c r="F74" i="4"/>
  <c r="E74" i="4"/>
  <c r="D74" i="4"/>
  <c r="C74" i="4"/>
  <c r="B74" i="4"/>
  <c r="A74" i="4"/>
  <c r="R73" i="4"/>
  <c r="P73" i="4"/>
  <c r="N73" i="4"/>
  <c r="L73" i="4"/>
  <c r="K73" i="4"/>
  <c r="J73" i="4"/>
  <c r="I73" i="4"/>
  <c r="H73" i="4"/>
  <c r="G73" i="4"/>
  <c r="F73" i="4"/>
  <c r="E73" i="4"/>
  <c r="D73" i="4"/>
  <c r="C73" i="4"/>
  <c r="B73" i="4"/>
  <c r="A73" i="4"/>
  <c r="R72" i="4"/>
  <c r="P72" i="4"/>
  <c r="N72" i="4"/>
  <c r="L72" i="4"/>
  <c r="K72" i="4"/>
  <c r="J72" i="4"/>
  <c r="I72" i="4"/>
  <c r="H72" i="4"/>
  <c r="G72" i="4"/>
  <c r="F72" i="4"/>
  <c r="E72" i="4"/>
  <c r="D72" i="4"/>
  <c r="C72" i="4"/>
  <c r="B72" i="4"/>
  <c r="A72" i="4"/>
  <c r="R71" i="4"/>
  <c r="P71" i="4"/>
  <c r="N71" i="4"/>
  <c r="L71" i="4"/>
  <c r="K71" i="4"/>
  <c r="J71" i="4"/>
  <c r="I71" i="4"/>
  <c r="H71" i="4"/>
  <c r="G71" i="4"/>
  <c r="F71" i="4"/>
  <c r="E71" i="4"/>
  <c r="D71" i="4"/>
  <c r="C71" i="4"/>
  <c r="B71" i="4"/>
  <c r="A71" i="4"/>
  <c r="R70" i="4"/>
  <c r="P70" i="4"/>
  <c r="N70" i="4"/>
  <c r="L70" i="4"/>
  <c r="K70" i="4"/>
  <c r="J70" i="4"/>
  <c r="I70" i="4"/>
  <c r="H70" i="4"/>
  <c r="G70" i="4"/>
  <c r="F70" i="4"/>
  <c r="E70" i="4"/>
  <c r="D70" i="4"/>
  <c r="C70" i="4"/>
  <c r="B70" i="4"/>
  <c r="A70" i="4"/>
  <c r="R69" i="4"/>
  <c r="P69" i="4"/>
  <c r="N69" i="4"/>
  <c r="L69" i="4"/>
  <c r="K69" i="4"/>
  <c r="J69" i="4"/>
  <c r="I69" i="4"/>
  <c r="H69" i="4"/>
  <c r="G69" i="4"/>
  <c r="F69" i="4"/>
  <c r="E69" i="4"/>
  <c r="D69" i="4"/>
  <c r="C69" i="4"/>
  <c r="B69" i="4"/>
  <c r="A69" i="4"/>
  <c r="R68" i="4"/>
  <c r="P68" i="4"/>
  <c r="N68" i="4"/>
  <c r="L68" i="4"/>
  <c r="K68" i="4"/>
  <c r="J68" i="4"/>
  <c r="I68" i="4"/>
  <c r="H68" i="4"/>
  <c r="G68" i="4"/>
  <c r="F68" i="4"/>
  <c r="E68" i="4"/>
  <c r="D68" i="4"/>
  <c r="C68" i="4"/>
  <c r="B68" i="4"/>
  <c r="A68" i="4"/>
  <c r="R67" i="4"/>
  <c r="P67" i="4"/>
  <c r="N67" i="4"/>
  <c r="L67" i="4"/>
  <c r="K67" i="4"/>
  <c r="J67" i="4"/>
  <c r="I67" i="4"/>
  <c r="H67" i="4"/>
  <c r="G67" i="4"/>
  <c r="F67" i="4"/>
  <c r="E67" i="4"/>
  <c r="D67" i="4"/>
  <c r="C67" i="4"/>
  <c r="B67" i="4"/>
  <c r="A67" i="4"/>
  <c r="R66" i="4"/>
  <c r="P66" i="4"/>
  <c r="N66" i="4"/>
  <c r="L66" i="4"/>
  <c r="K66" i="4"/>
  <c r="J66" i="4"/>
  <c r="I66" i="4"/>
  <c r="H66" i="4"/>
  <c r="G66" i="4"/>
  <c r="F66" i="4"/>
  <c r="E66" i="4"/>
  <c r="D66" i="4"/>
  <c r="C66" i="4"/>
  <c r="B66" i="4"/>
  <c r="A66" i="4"/>
  <c r="R65" i="4"/>
  <c r="P65" i="4"/>
  <c r="N65" i="4"/>
  <c r="L65" i="4"/>
  <c r="K65" i="4"/>
  <c r="J65" i="4"/>
  <c r="I65" i="4"/>
  <c r="H65" i="4"/>
  <c r="G65" i="4"/>
  <c r="F65" i="4"/>
  <c r="E65" i="4"/>
  <c r="D65" i="4"/>
  <c r="C65" i="4"/>
  <c r="B65" i="4"/>
  <c r="A65" i="4"/>
  <c r="R64" i="4"/>
  <c r="P64" i="4"/>
  <c r="N64" i="4"/>
  <c r="L64" i="4"/>
  <c r="K64" i="4"/>
  <c r="J64" i="4"/>
  <c r="I64" i="4"/>
  <c r="H64" i="4"/>
  <c r="G64" i="4"/>
  <c r="F64" i="4"/>
  <c r="E64" i="4"/>
  <c r="D64" i="4"/>
  <c r="C64" i="4"/>
  <c r="B64" i="4"/>
  <c r="A64" i="4"/>
  <c r="R63" i="4"/>
  <c r="P63" i="4"/>
  <c r="N63" i="4"/>
  <c r="L63" i="4"/>
  <c r="K63" i="4"/>
  <c r="J63" i="4"/>
  <c r="I63" i="4"/>
  <c r="H63" i="4"/>
  <c r="G63" i="4"/>
  <c r="F63" i="4"/>
  <c r="E63" i="4"/>
  <c r="D63" i="4"/>
  <c r="C63" i="4"/>
  <c r="B63" i="4"/>
  <c r="A63" i="4"/>
  <c r="R62" i="4"/>
  <c r="P62" i="4"/>
  <c r="N62" i="4"/>
  <c r="L62" i="4"/>
  <c r="K62" i="4"/>
  <c r="J62" i="4"/>
  <c r="I62" i="4"/>
  <c r="H62" i="4"/>
  <c r="G62" i="4"/>
  <c r="F62" i="4"/>
  <c r="E62" i="4"/>
  <c r="D62" i="4"/>
  <c r="C62" i="4"/>
  <c r="B62" i="4"/>
  <c r="A62" i="4"/>
  <c r="R61" i="4"/>
  <c r="P61" i="4"/>
  <c r="N61" i="4"/>
  <c r="L61" i="4"/>
  <c r="K61" i="4"/>
  <c r="J61" i="4"/>
  <c r="I61" i="4"/>
  <c r="H61" i="4"/>
  <c r="G61" i="4"/>
  <c r="F61" i="4"/>
  <c r="E61" i="4"/>
  <c r="D61" i="4"/>
  <c r="C61" i="4"/>
  <c r="B61" i="4"/>
  <c r="A61" i="4"/>
  <c r="R60" i="4"/>
  <c r="P60" i="4"/>
  <c r="N60" i="4"/>
  <c r="L60" i="4"/>
  <c r="K60" i="4"/>
  <c r="J60" i="4"/>
  <c r="I60" i="4"/>
  <c r="H60" i="4"/>
  <c r="G60" i="4"/>
  <c r="F60" i="4"/>
  <c r="E60" i="4"/>
  <c r="D60" i="4"/>
  <c r="C60" i="4"/>
  <c r="B60" i="4"/>
  <c r="A60" i="4"/>
  <c r="R59" i="4"/>
  <c r="P59" i="4"/>
  <c r="N59" i="4"/>
  <c r="L59" i="4"/>
  <c r="K59" i="4"/>
  <c r="J59" i="4"/>
  <c r="I59" i="4"/>
  <c r="H59" i="4"/>
  <c r="G59" i="4"/>
  <c r="F59" i="4"/>
  <c r="E59" i="4"/>
  <c r="D59" i="4"/>
  <c r="C59" i="4"/>
  <c r="B59" i="4"/>
  <c r="A59" i="4"/>
  <c r="R58" i="4"/>
  <c r="P58" i="4"/>
  <c r="N58" i="4"/>
  <c r="L58" i="4"/>
  <c r="K58" i="4"/>
  <c r="J58" i="4"/>
  <c r="I58" i="4"/>
  <c r="H58" i="4"/>
  <c r="G58" i="4"/>
  <c r="F58" i="4"/>
  <c r="E58" i="4"/>
  <c r="D58" i="4"/>
  <c r="C58" i="4"/>
  <c r="B58" i="4"/>
  <c r="A58" i="4"/>
  <c r="R57" i="4"/>
  <c r="P57" i="4"/>
  <c r="N57" i="4"/>
  <c r="L57" i="4"/>
  <c r="K57" i="4"/>
  <c r="J57" i="4"/>
  <c r="I57" i="4"/>
  <c r="H57" i="4"/>
  <c r="G57" i="4"/>
  <c r="F57" i="4"/>
  <c r="E57" i="4"/>
  <c r="D57" i="4"/>
  <c r="C57" i="4"/>
  <c r="B57" i="4"/>
  <c r="A57" i="4"/>
  <c r="R56" i="4"/>
  <c r="P56" i="4"/>
  <c r="N56" i="4"/>
  <c r="L56" i="4"/>
  <c r="K56" i="4"/>
  <c r="J56" i="4"/>
  <c r="I56" i="4"/>
  <c r="H56" i="4"/>
  <c r="G56" i="4"/>
  <c r="F56" i="4"/>
  <c r="E56" i="4"/>
  <c r="D56" i="4"/>
  <c r="C56" i="4"/>
  <c r="B56" i="4"/>
  <c r="A56" i="4"/>
  <c r="R55" i="4"/>
  <c r="P55" i="4"/>
  <c r="N55" i="4"/>
  <c r="L55" i="4"/>
  <c r="K55" i="4"/>
  <c r="J55" i="4"/>
  <c r="I55" i="4"/>
  <c r="H55" i="4"/>
  <c r="G55" i="4"/>
  <c r="F55" i="4"/>
  <c r="E55" i="4"/>
  <c r="D55" i="4"/>
  <c r="C55" i="4"/>
  <c r="B55" i="4"/>
  <c r="A55" i="4"/>
  <c r="R54" i="4"/>
  <c r="P54" i="4"/>
  <c r="N54" i="4"/>
  <c r="L54" i="4"/>
  <c r="K54" i="4"/>
  <c r="J54" i="4"/>
  <c r="I54" i="4"/>
  <c r="H54" i="4"/>
  <c r="G54" i="4"/>
  <c r="F54" i="4"/>
  <c r="E54" i="4"/>
  <c r="D54" i="4"/>
  <c r="C54" i="4"/>
  <c r="B54" i="4"/>
  <c r="A54" i="4"/>
  <c r="R53" i="4"/>
  <c r="P53" i="4"/>
  <c r="N53" i="4"/>
  <c r="L53" i="4"/>
  <c r="K53" i="4"/>
  <c r="J53" i="4"/>
  <c r="I53" i="4"/>
  <c r="H53" i="4"/>
  <c r="G53" i="4"/>
  <c r="F53" i="4"/>
  <c r="E53" i="4"/>
  <c r="D53" i="4"/>
  <c r="C53" i="4"/>
  <c r="B53" i="4"/>
  <c r="A53" i="4"/>
  <c r="R52" i="4"/>
  <c r="P52" i="4"/>
  <c r="N52" i="4"/>
  <c r="L52" i="4"/>
  <c r="K52" i="4"/>
  <c r="J52" i="4"/>
  <c r="I52" i="4"/>
  <c r="H52" i="4"/>
  <c r="G52" i="4"/>
  <c r="F52" i="4"/>
  <c r="E52" i="4"/>
  <c r="D52" i="4"/>
  <c r="C52" i="4"/>
  <c r="B52" i="4"/>
  <c r="A52" i="4"/>
  <c r="R51" i="4"/>
  <c r="P51" i="4"/>
  <c r="N51" i="4"/>
  <c r="L51" i="4"/>
  <c r="K51" i="4"/>
  <c r="J51" i="4"/>
  <c r="I51" i="4"/>
  <c r="H51" i="4"/>
  <c r="G51" i="4"/>
  <c r="F51" i="4"/>
  <c r="E51" i="4"/>
  <c r="D51" i="4"/>
  <c r="C51" i="4"/>
  <c r="B51" i="4"/>
  <c r="A51" i="4"/>
  <c r="R50" i="4"/>
  <c r="P50" i="4"/>
  <c r="N50" i="4"/>
  <c r="L50" i="4"/>
  <c r="K50" i="4"/>
  <c r="J50" i="4"/>
  <c r="I50" i="4"/>
  <c r="H50" i="4"/>
  <c r="G50" i="4"/>
  <c r="F50" i="4"/>
  <c r="E50" i="4"/>
  <c r="D50" i="4"/>
  <c r="C50" i="4"/>
  <c r="B50" i="4"/>
  <c r="A50" i="4"/>
  <c r="R49" i="4"/>
  <c r="P49" i="4"/>
  <c r="N49" i="4"/>
  <c r="L49" i="4"/>
  <c r="K49" i="4"/>
  <c r="J49" i="4"/>
  <c r="I49" i="4"/>
  <c r="H49" i="4"/>
  <c r="G49" i="4"/>
  <c r="F49" i="4"/>
  <c r="E49" i="4"/>
  <c r="D49" i="4"/>
  <c r="C49" i="4"/>
  <c r="B49" i="4"/>
  <c r="A49" i="4"/>
  <c r="R48" i="4"/>
  <c r="P48" i="4"/>
  <c r="N48" i="4"/>
  <c r="L48" i="4"/>
  <c r="K48" i="4"/>
  <c r="J48" i="4"/>
  <c r="I48" i="4"/>
  <c r="H48" i="4"/>
  <c r="G48" i="4"/>
  <c r="F48" i="4"/>
  <c r="E48" i="4"/>
  <c r="D48" i="4"/>
  <c r="C48" i="4"/>
  <c r="B48" i="4"/>
  <c r="A48" i="4"/>
  <c r="R47" i="4"/>
  <c r="P47" i="4"/>
  <c r="N47" i="4"/>
  <c r="L47" i="4"/>
  <c r="K47" i="4"/>
  <c r="J47" i="4"/>
  <c r="I47" i="4"/>
  <c r="H47" i="4"/>
  <c r="G47" i="4"/>
  <c r="F47" i="4"/>
  <c r="E47" i="4"/>
  <c r="D47" i="4"/>
  <c r="C47" i="4"/>
  <c r="B47" i="4"/>
  <c r="A47" i="4"/>
  <c r="R46" i="4"/>
  <c r="P46" i="4"/>
  <c r="N46" i="4"/>
  <c r="L46" i="4"/>
  <c r="K46" i="4"/>
  <c r="J46" i="4"/>
  <c r="I46" i="4"/>
  <c r="H46" i="4"/>
  <c r="G46" i="4"/>
  <c r="F46" i="4"/>
  <c r="E46" i="4"/>
  <c r="D46" i="4"/>
  <c r="C46" i="4"/>
  <c r="B46" i="4"/>
  <c r="A46" i="4"/>
  <c r="R45" i="4"/>
  <c r="P45" i="4"/>
  <c r="N45" i="4"/>
  <c r="L45" i="4"/>
  <c r="K45" i="4"/>
  <c r="J45" i="4"/>
  <c r="I45" i="4"/>
  <c r="H45" i="4"/>
  <c r="G45" i="4"/>
  <c r="F45" i="4"/>
  <c r="E45" i="4"/>
  <c r="D45" i="4"/>
  <c r="C45" i="4"/>
  <c r="B45" i="4"/>
  <c r="A45" i="4"/>
  <c r="R44" i="4"/>
  <c r="P44" i="4"/>
  <c r="N44" i="4"/>
  <c r="L44" i="4"/>
  <c r="K44" i="4"/>
  <c r="J44" i="4"/>
  <c r="I44" i="4"/>
  <c r="H44" i="4"/>
  <c r="G44" i="4"/>
  <c r="F44" i="4"/>
  <c r="E44" i="4"/>
  <c r="D44" i="4"/>
  <c r="C44" i="4"/>
  <c r="B44" i="4"/>
  <c r="A44" i="4"/>
  <c r="R43" i="4"/>
  <c r="P43" i="4"/>
  <c r="N43" i="4"/>
  <c r="L43" i="4"/>
  <c r="K43" i="4"/>
  <c r="J43" i="4"/>
  <c r="I43" i="4"/>
  <c r="H43" i="4"/>
  <c r="G43" i="4"/>
  <c r="F43" i="4"/>
  <c r="E43" i="4"/>
  <c r="D43" i="4"/>
  <c r="C43" i="4"/>
  <c r="B43" i="4"/>
  <c r="A43" i="4"/>
  <c r="R42" i="4"/>
  <c r="P42" i="4"/>
  <c r="N42" i="4"/>
  <c r="L42" i="4"/>
  <c r="K42" i="4"/>
  <c r="J42" i="4"/>
  <c r="I42" i="4"/>
  <c r="H42" i="4"/>
  <c r="G42" i="4"/>
  <c r="F42" i="4"/>
  <c r="E42" i="4"/>
  <c r="D42" i="4"/>
  <c r="C42" i="4"/>
  <c r="B42" i="4"/>
  <c r="A42" i="4"/>
  <c r="R41" i="4"/>
  <c r="P41" i="4"/>
  <c r="N41" i="4"/>
  <c r="L41" i="4"/>
  <c r="K41" i="4"/>
  <c r="J41" i="4"/>
  <c r="I41" i="4"/>
  <c r="H41" i="4"/>
  <c r="G41" i="4"/>
  <c r="F41" i="4"/>
  <c r="E41" i="4"/>
  <c r="D41" i="4"/>
  <c r="C41" i="4"/>
  <c r="B41" i="4"/>
  <c r="A41" i="4"/>
  <c r="R40" i="4"/>
  <c r="P40" i="4"/>
  <c r="N40" i="4"/>
  <c r="L40" i="4"/>
  <c r="K40" i="4"/>
  <c r="J40" i="4"/>
  <c r="I40" i="4"/>
  <c r="H40" i="4"/>
  <c r="G40" i="4"/>
  <c r="F40" i="4"/>
  <c r="E40" i="4"/>
  <c r="D40" i="4"/>
  <c r="C40" i="4"/>
  <c r="B40" i="4"/>
  <c r="A40" i="4"/>
  <c r="R39" i="4"/>
  <c r="P39" i="4"/>
  <c r="N39" i="4"/>
  <c r="L39" i="4"/>
  <c r="K39" i="4"/>
  <c r="J39" i="4"/>
  <c r="I39" i="4"/>
  <c r="H39" i="4"/>
  <c r="G39" i="4"/>
  <c r="F39" i="4"/>
  <c r="E39" i="4"/>
  <c r="D39" i="4"/>
  <c r="C39" i="4"/>
  <c r="B39" i="4"/>
  <c r="A39" i="4"/>
  <c r="R38" i="4"/>
  <c r="P38" i="4"/>
  <c r="N38" i="4"/>
  <c r="L38" i="4"/>
  <c r="K38" i="4"/>
  <c r="J38" i="4"/>
  <c r="I38" i="4"/>
  <c r="H38" i="4"/>
  <c r="G38" i="4"/>
  <c r="F38" i="4"/>
  <c r="E38" i="4"/>
  <c r="D38" i="4"/>
  <c r="C38" i="4"/>
  <c r="B38" i="4"/>
  <c r="A38" i="4"/>
  <c r="R37" i="4"/>
  <c r="P37" i="4"/>
  <c r="N37" i="4"/>
  <c r="L37" i="4"/>
  <c r="K37" i="4"/>
  <c r="J37" i="4"/>
  <c r="I37" i="4"/>
  <c r="H37" i="4"/>
  <c r="G37" i="4"/>
  <c r="F37" i="4"/>
  <c r="E37" i="4"/>
  <c r="D37" i="4"/>
  <c r="C37" i="4"/>
  <c r="B37" i="4"/>
  <c r="A37" i="4"/>
  <c r="R36" i="4"/>
  <c r="P36" i="4"/>
  <c r="N36" i="4"/>
  <c r="L36" i="4"/>
  <c r="K36" i="4"/>
  <c r="J36" i="4"/>
  <c r="I36" i="4"/>
  <c r="H36" i="4"/>
  <c r="G36" i="4"/>
  <c r="F36" i="4"/>
  <c r="E36" i="4"/>
  <c r="D36" i="4"/>
  <c r="C36" i="4"/>
  <c r="B36" i="4"/>
  <c r="A36" i="4"/>
  <c r="R35" i="4"/>
  <c r="P35" i="4"/>
  <c r="N35" i="4"/>
  <c r="L35" i="4"/>
  <c r="K35" i="4"/>
  <c r="J35" i="4"/>
  <c r="I35" i="4"/>
  <c r="H35" i="4"/>
  <c r="G35" i="4"/>
  <c r="F35" i="4"/>
  <c r="E35" i="4"/>
  <c r="D35" i="4"/>
  <c r="C35" i="4"/>
  <c r="B35" i="4"/>
  <c r="A35" i="4"/>
  <c r="R34" i="4"/>
  <c r="P34" i="4"/>
  <c r="N34" i="4"/>
  <c r="L34" i="4"/>
  <c r="K34" i="4"/>
  <c r="J34" i="4"/>
  <c r="I34" i="4"/>
  <c r="H34" i="4"/>
  <c r="G34" i="4"/>
  <c r="F34" i="4"/>
  <c r="E34" i="4"/>
  <c r="D34" i="4"/>
  <c r="C34" i="4"/>
  <c r="B34" i="4"/>
  <c r="A34" i="4"/>
  <c r="R33" i="4"/>
  <c r="P33" i="4"/>
  <c r="N33" i="4"/>
  <c r="L33" i="4"/>
  <c r="K33" i="4"/>
  <c r="J33" i="4"/>
  <c r="I33" i="4"/>
  <c r="H33" i="4"/>
  <c r="G33" i="4"/>
  <c r="F33" i="4"/>
  <c r="E33" i="4"/>
  <c r="D33" i="4"/>
  <c r="C33" i="4"/>
  <c r="B33" i="4"/>
  <c r="A33" i="4"/>
  <c r="R32" i="4"/>
  <c r="P32" i="4"/>
  <c r="N32" i="4"/>
  <c r="L32" i="4"/>
  <c r="K32" i="4"/>
  <c r="J32" i="4"/>
  <c r="I32" i="4"/>
  <c r="H32" i="4"/>
  <c r="G32" i="4"/>
  <c r="F32" i="4"/>
  <c r="E32" i="4"/>
  <c r="D32" i="4"/>
  <c r="C32" i="4"/>
  <c r="B32" i="4"/>
  <c r="A32" i="4"/>
  <c r="R31" i="4"/>
  <c r="P31" i="4"/>
  <c r="N31" i="4"/>
  <c r="L31" i="4"/>
  <c r="K31" i="4"/>
  <c r="J31" i="4"/>
  <c r="I31" i="4"/>
  <c r="H31" i="4"/>
  <c r="G31" i="4"/>
  <c r="F31" i="4"/>
  <c r="E31" i="4"/>
  <c r="D31" i="4"/>
  <c r="C31" i="4"/>
  <c r="B31" i="4"/>
  <c r="A31" i="4"/>
  <c r="R30" i="4"/>
  <c r="P30" i="4"/>
  <c r="N30" i="4"/>
  <c r="L30" i="4"/>
  <c r="K30" i="4"/>
  <c r="J30" i="4"/>
  <c r="I30" i="4"/>
  <c r="H30" i="4"/>
  <c r="G30" i="4"/>
  <c r="F30" i="4"/>
  <c r="E30" i="4"/>
  <c r="D30" i="4"/>
  <c r="C30" i="4"/>
  <c r="B30" i="4"/>
  <c r="A30" i="4"/>
  <c r="R29" i="4"/>
  <c r="P29" i="4"/>
  <c r="N29" i="4"/>
  <c r="L29" i="4"/>
  <c r="K29" i="4"/>
  <c r="J29" i="4"/>
  <c r="I29" i="4"/>
  <c r="H29" i="4"/>
  <c r="G29" i="4"/>
  <c r="F29" i="4"/>
  <c r="E29" i="4"/>
  <c r="D29" i="4"/>
  <c r="C29" i="4"/>
  <c r="B29" i="4"/>
  <c r="A29" i="4"/>
  <c r="R28" i="4"/>
  <c r="P28" i="4"/>
  <c r="N28" i="4"/>
  <c r="L28" i="4"/>
  <c r="K28" i="4"/>
  <c r="J28" i="4"/>
  <c r="I28" i="4"/>
  <c r="H28" i="4"/>
  <c r="G28" i="4"/>
  <c r="F28" i="4"/>
  <c r="E28" i="4"/>
  <c r="D28" i="4"/>
  <c r="C28" i="4"/>
  <c r="B28" i="4"/>
  <c r="A28" i="4"/>
  <c r="R27" i="4"/>
  <c r="P27" i="4"/>
  <c r="N27" i="4"/>
  <c r="L27" i="4"/>
  <c r="K27" i="4"/>
  <c r="J27" i="4"/>
  <c r="I27" i="4"/>
  <c r="H27" i="4"/>
  <c r="G27" i="4"/>
  <c r="F27" i="4"/>
  <c r="E27" i="4"/>
  <c r="D27" i="4"/>
  <c r="C27" i="4"/>
  <c r="B27" i="4"/>
  <c r="A27" i="4"/>
  <c r="R26" i="4"/>
  <c r="P26" i="4"/>
  <c r="N26" i="4"/>
  <c r="L26" i="4"/>
  <c r="K26" i="4"/>
  <c r="J26" i="4"/>
  <c r="I26" i="4"/>
  <c r="H26" i="4"/>
  <c r="G26" i="4"/>
  <c r="F26" i="4"/>
  <c r="E26" i="4"/>
  <c r="D26" i="4"/>
  <c r="C26" i="4"/>
  <c r="B26" i="4"/>
  <c r="A26" i="4"/>
  <c r="R25" i="4"/>
  <c r="P25" i="4"/>
  <c r="N25" i="4"/>
  <c r="L25" i="4"/>
  <c r="K25" i="4"/>
  <c r="J25" i="4"/>
  <c r="I25" i="4"/>
  <c r="H25" i="4"/>
  <c r="G25" i="4"/>
  <c r="F25" i="4"/>
  <c r="E25" i="4"/>
  <c r="D25" i="4"/>
  <c r="C25" i="4"/>
  <c r="B25" i="4"/>
  <c r="A25" i="4"/>
  <c r="R24" i="4"/>
  <c r="P24" i="4"/>
  <c r="N24" i="4"/>
  <c r="L24" i="4"/>
  <c r="K24" i="4"/>
  <c r="J24" i="4"/>
  <c r="I24" i="4"/>
  <c r="H24" i="4"/>
  <c r="G24" i="4"/>
  <c r="F24" i="4"/>
  <c r="E24" i="4"/>
  <c r="D24" i="4"/>
  <c r="C24" i="4"/>
  <c r="B24" i="4"/>
  <c r="A24" i="4"/>
  <c r="R23" i="4"/>
  <c r="P23" i="4"/>
  <c r="N23" i="4"/>
  <c r="L23" i="4"/>
  <c r="K23" i="4"/>
  <c r="J23" i="4"/>
  <c r="I23" i="4"/>
  <c r="H23" i="4"/>
  <c r="G23" i="4"/>
  <c r="F23" i="4"/>
  <c r="E23" i="4"/>
  <c r="D23" i="4"/>
  <c r="C23" i="4"/>
  <c r="B23" i="4"/>
  <c r="A23" i="4"/>
  <c r="R22" i="4"/>
  <c r="P22" i="4"/>
  <c r="N22" i="4"/>
  <c r="L22" i="4"/>
  <c r="K22" i="4"/>
  <c r="J22" i="4"/>
  <c r="I22" i="4"/>
  <c r="H22" i="4"/>
  <c r="G22" i="4"/>
  <c r="F22" i="4"/>
  <c r="E22" i="4"/>
  <c r="D22" i="4"/>
  <c r="C22" i="4"/>
  <c r="B22" i="4"/>
  <c r="A22" i="4"/>
  <c r="R21" i="4"/>
  <c r="P21" i="4"/>
  <c r="N21" i="4"/>
  <c r="L21" i="4"/>
  <c r="K21" i="4"/>
  <c r="J21" i="4"/>
  <c r="I21" i="4"/>
  <c r="H21" i="4"/>
  <c r="G21" i="4"/>
  <c r="F21" i="4"/>
  <c r="E21" i="4"/>
  <c r="D21" i="4"/>
  <c r="C21" i="4"/>
  <c r="B21" i="4"/>
  <c r="A21" i="4"/>
  <c r="R20" i="4"/>
  <c r="P20" i="4"/>
  <c r="N20" i="4"/>
  <c r="L20" i="4"/>
  <c r="K20" i="4"/>
  <c r="J20" i="4"/>
  <c r="I20" i="4"/>
  <c r="H20" i="4"/>
  <c r="G20" i="4"/>
  <c r="F20" i="4"/>
  <c r="E20" i="4"/>
  <c r="D20" i="4"/>
  <c r="C20" i="4"/>
  <c r="B20" i="4"/>
  <c r="A20" i="4"/>
  <c r="R19" i="4"/>
  <c r="P19" i="4"/>
  <c r="N19" i="4"/>
  <c r="L19" i="4"/>
  <c r="K19" i="4"/>
  <c r="J19" i="4"/>
  <c r="I19" i="4"/>
  <c r="H19" i="4"/>
  <c r="G19" i="4"/>
  <c r="F19" i="4"/>
  <c r="E19" i="4"/>
  <c r="D19" i="4"/>
  <c r="C19" i="4"/>
  <c r="B19" i="4"/>
  <c r="A19" i="4"/>
  <c r="R18" i="4"/>
  <c r="P18" i="4"/>
  <c r="N18" i="4"/>
  <c r="L18" i="4"/>
  <c r="K18" i="4"/>
  <c r="J18" i="4"/>
  <c r="I18" i="4"/>
  <c r="H18" i="4"/>
  <c r="G18" i="4"/>
  <c r="F18" i="4"/>
  <c r="E18" i="4"/>
  <c r="D18" i="4"/>
  <c r="C18" i="4"/>
  <c r="B18" i="4"/>
  <c r="A18" i="4"/>
  <c r="R17" i="4"/>
  <c r="P17" i="4"/>
  <c r="N17" i="4"/>
  <c r="L17" i="4"/>
  <c r="K17" i="4"/>
  <c r="J17" i="4"/>
  <c r="I17" i="4"/>
  <c r="H17" i="4"/>
  <c r="G17" i="4"/>
  <c r="F17" i="4"/>
  <c r="E17" i="4"/>
  <c r="D17" i="4"/>
  <c r="C17" i="4"/>
  <c r="B17" i="4"/>
  <c r="A17" i="4"/>
  <c r="R16" i="4"/>
  <c r="P16" i="4"/>
  <c r="N16" i="4"/>
  <c r="L16" i="4"/>
  <c r="K16" i="4"/>
  <c r="J16" i="4"/>
  <c r="I16" i="4"/>
  <c r="H16" i="4"/>
  <c r="G16" i="4"/>
  <c r="F16" i="4"/>
  <c r="E16" i="4"/>
  <c r="D16" i="4"/>
  <c r="C16" i="4"/>
  <c r="B16" i="4"/>
  <c r="A16" i="4"/>
  <c r="R15" i="4"/>
  <c r="P15" i="4"/>
  <c r="N15" i="4"/>
  <c r="L15" i="4"/>
  <c r="K15" i="4"/>
  <c r="J15" i="4"/>
  <c r="I15" i="4"/>
  <c r="H15" i="4"/>
  <c r="G15" i="4"/>
  <c r="F15" i="4"/>
  <c r="E15" i="4"/>
  <c r="D15" i="4"/>
  <c r="C15" i="4"/>
  <c r="B15" i="4"/>
  <c r="A15" i="4"/>
  <c r="R14" i="4"/>
  <c r="P14" i="4"/>
  <c r="N14" i="4"/>
  <c r="L14" i="4"/>
  <c r="K14" i="4"/>
  <c r="J14" i="4"/>
  <c r="I14" i="4"/>
  <c r="H14" i="4"/>
  <c r="G14" i="4"/>
  <c r="F14" i="4"/>
  <c r="E14" i="4"/>
  <c r="D14" i="4"/>
  <c r="C14" i="4"/>
  <c r="B14" i="4"/>
  <c r="A14" i="4"/>
  <c r="R13" i="4"/>
  <c r="P13" i="4"/>
  <c r="N13" i="4"/>
  <c r="L13" i="4"/>
  <c r="K13" i="4"/>
  <c r="J13" i="4"/>
  <c r="I13" i="4"/>
  <c r="H13" i="4"/>
  <c r="G13" i="4"/>
  <c r="F13" i="4"/>
  <c r="E13" i="4"/>
  <c r="D13" i="4"/>
  <c r="C13" i="4"/>
  <c r="B13" i="4"/>
  <c r="A13" i="4"/>
  <c r="R12" i="4"/>
  <c r="P12" i="4"/>
  <c r="N12" i="4"/>
  <c r="L12" i="4"/>
  <c r="K12" i="4"/>
  <c r="J12" i="4"/>
  <c r="I12" i="4"/>
  <c r="H12" i="4"/>
  <c r="G12" i="4"/>
  <c r="F12" i="4"/>
  <c r="E12" i="4"/>
  <c r="D12" i="4"/>
  <c r="C12" i="4"/>
  <c r="B12" i="4"/>
  <c r="A12" i="4"/>
  <c r="R11" i="4"/>
  <c r="P11" i="4"/>
  <c r="N11" i="4"/>
  <c r="L11" i="4"/>
  <c r="K11" i="4"/>
  <c r="J11" i="4"/>
  <c r="I11" i="4"/>
  <c r="H11" i="4"/>
  <c r="G11" i="4"/>
  <c r="F11" i="4"/>
  <c r="E11" i="4"/>
  <c r="D11" i="4"/>
  <c r="C11" i="4"/>
  <c r="B11" i="4"/>
  <c r="A11" i="4"/>
  <c r="R10" i="4"/>
  <c r="P10" i="4"/>
  <c r="N10" i="4"/>
  <c r="L10" i="4"/>
  <c r="K10" i="4"/>
  <c r="J10" i="4"/>
  <c r="I10" i="4"/>
  <c r="H10" i="4"/>
  <c r="G10" i="4"/>
  <c r="F10" i="4"/>
  <c r="E10" i="4"/>
  <c r="D10" i="4"/>
  <c r="C10" i="4"/>
  <c r="B10" i="4"/>
  <c r="A10" i="4"/>
  <c r="R9" i="4"/>
  <c r="P9" i="4"/>
  <c r="N9" i="4"/>
  <c r="L9" i="4"/>
  <c r="K9" i="4"/>
  <c r="J9" i="4"/>
  <c r="I9" i="4"/>
  <c r="H9" i="4"/>
  <c r="G9" i="4"/>
  <c r="F9" i="4"/>
  <c r="E9" i="4"/>
  <c r="D9" i="4"/>
  <c r="C9" i="4"/>
  <c r="B9" i="4"/>
  <c r="A9" i="4"/>
  <c r="R8" i="4"/>
  <c r="P8" i="4"/>
  <c r="N8" i="4"/>
  <c r="L8" i="4"/>
  <c r="K8" i="4"/>
  <c r="J8" i="4"/>
  <c r="I8" i="4"/>
  <c r="H8" i="4"/>
  <c r="G8" i="4"/>
  <c r="F8" i="4"/>
  <c r="E8" i="4"/>
  <c r="D8" i="4"/>
  <c r="C8" i="4"/>
  <c r="B8" i="4"/>
  <c r="A8" i="4"/>
  <c r="R7" i="4"/>
  <c r="P7" i="4"/>
  <c r="N7" i="4"/>
  <c r="L7" i="4"/>
  <c r="K7" i="4"/>
  <c r="J7" i="4"/>
  <c r="I7" i="4"/>
  <c r="H7" i="4"/>
  <c r="G7" i="4"/>
  <c r="F7" i="4"/>
  <c r="E7" i="4"/>
  <c r="D7" i="4"/>
  <c r="C7" i="4"/>
  <c r="B7" i="4"/>
  <c r="A7" i="4"/>
  <c r="R6" i="4"/>
  <c r="P6" i="4"/>
  <c r="N6" i="4"/>
  <c r="L6" i="4"/>
  <c r="K6" i="4"/>
  <c r="J6" i="4"/>
  <c r="I6" i="4"/>
  <c r="H6" i="4"/>
  <c r="G6" i="4"/>
  <c r="F6" i="4"/>
  <c r="E6" i="4"/>
  <c r="D6" i="4"/>
  <c r="C6" i="4"/>
  <c r="B6" i="4"/>
  <c r="A6" i="4"/>
  <c r="R5" i="4"/>
  <c r="P5" i="4"/>
  <c r="N5" i="4"/>
  <c r="L5" i="4"/>
  <c r="K5" i="4"/>
  <c r="J5" i="4"/>
  <c r="I5" i="4"/>
  <c r="H5" i="4"/>
  <c r="G5" i="4"/>
  <c r="F5" i="4"/>
  <c r="E5" i="4"/>
  <c r="D5" i="4"/>
  <c r="C5" i="4"/>
  <c r="B5" i="4"/>
  <c r="A5" i="4"/>
  <c r="R4" i="4"/>
  <c r="P4" i="4"/>
  <c r="N4" i="4"/>
  <c r="L4" i="4"/>
  <c r="K4" i="4"/>
  <c r="J4" i="4"/>
  <c r="I4" i="4"/>
  <c r="H4" i="4"/>
  <c r="G4" i="4"/>
  <c r="F4" i="4"/>
  <c r="E4" i="4"/>
  <c r="D4" i="4"/>
  <c r="C4" i="4"/>
  <c r="B4" i="4"/>
  <c r="A4" i="4"/>
  <c r="R3" i="4"/>
  <c r="P3" i="4"/>
  <c r="N3" i="4"/>
  <c r="L3" i="4"/>
  <c r="K3" i="4"/>
  <c r="J3" i="4"/>
  <c r="I3" i="4"/>
  <c r="H3" i="4"/>
  <c r="G3" i="4"/>
  <c r="F3" i="4"/>
  <c r="E3" i="4"/>
  <c r="D3" i="4"/>
  <c r="C3" i="4"/>
  <c r="B3" i="4"/>
  <c r="A3" i="4"/>
  <c r="R2" i="4"/>
  <c r="P2" i="4"/>
  <c r="N2" i="4"/>
  <c r="L2" i="4"/>
  <c r="J2" i="4"/>
  <c r="I2" i="4"/>
  <c r="G2" i="4"/>
  <c r="F2" i="4"/>
  <c r="E2" i="4"/>
  <c r="D2" i="4"/>
  <c r="C2" i="4"/>
  <c r="B2" i="4"/>
  <c r="R1" i="4"/>
  <c r="P1" i="4"/>
  <c r="N1" i="4"/>
  <c r="L1" i="4"/>
  <c r="K1" i="4"/>
  <c r="J1" i="4"/>
  <c r="I1" i="4"/>
  <c r="H1" i="4"/>
  <c r="G1" i="4"/>
  <c r="F1" i="4"/>
  <c r="E1" i="4"/>
  <c r="D1" i="4"/>
  <c r="C1" i="4"/>
  <c r="B1" i="4"/>
  <c r="A1" i="4"/>
  <c r="I1" i="6" l="1"/>
  <c r="H1" i="6"/>
  <c r="H2" i="6" l="1" a="1"/>
  <c r="H2496" i="6" l="1"/>
  <c r="H2484" i="6"/>
  <c r="H2472" i="6"/>
  <c r="H2460" i="6"/>
  <c r="H2448" i="6"/>
  <c r="H2436" i="6"/>
  <c r="H2424" i="6"/>
  <c r="H2412" i="6"/>
  <c r="H2400" i="6"/>
  <c r="H2388" i="6"/>
  <c r="H2376" i="6"/>
  <c r="H2364" i="6"/>
  <c r="H2352" i="6"/>
  <c r="H2340" i="6"/>
  <c r="H2328" i="6"/>
  <c r="H2316" i="6"/>
  <c r="H2304" i="6"/>
  <c r="H2292" i="6"/>
  <c r="H2280" i="6"/>
  <c r="H2268" i="6"/>
  <c r="H2256" i="6"/>
  <c r="H2244" i="6"/>
  <c r="H2232" i="6"/>
  <c r="H2220" i="6"/>
  <c r="H2208" i="6"/>
  <c r="H2196" i="6"/>
  <c r="H2184" i="6"/>
  <c r="H2172" i="6"/>
  <c r="H2160" i="6"/>
  <c r="H2148" i="6"/>
  <c r="H2136" i="6"/>
  <c r="H2124" i="6"/>
  <c r="H2112" i="6"/>
  <c r="H2100" i="6"/>
  <c r="H2088" i="6"/>
  <c r="H2076" i="6"/>
  <c r="H2064" i="6"/>
  <c r="H2052" i="6"/>
  <c r="H2040" i="6"/>
  <c r="H2028" i="6"/>
  <c r="H2016" i="6"/>
  <c r="H2004" i="6"/>
  <c r="H1992" i="6"/>
  <c r="H1980" i="6"/>
  <c r="H1968" i="6"/>
  <c r="H1956" i="6"/>
  <c r="H1944" i="6"/>
  <c r="H1932" i="6"/>
  <c r="H1920" i="6"/>
  <c r="H1908" i="6"/>
  <c r="H1896" i="6"/>
  <c r="H1884" i="6"/>
  <c r="H1872" i="6"/>
  <c r="H1860" i="6"/>
  <c r="H1848" i="6"/>
  <c r="H1836" i="6"/>
  <c r="H1824" i="6"/>
  <c r="H1812" i="6"/>
  <c r="H1800" i="6"/>
  <c r="H1788" i="6"/>
  <c r="H1776" i="6"/>
  <c r="H1764" i="6"/>
  <c r="H1752" i="6"/>
  <c r="H1740" i="6"/>
  <c r="H1728" i="6"/>
  <c r="H1716" i="6"/>
  <c r="H1704" i="6"/>
  <c r="H1692" i="6"/>
  <c r="H1680" i="6"/>
  <c r="H1668" i="6"/>
  <c r="H1656" i="6"/>
  <c r="H1644" i="6"/>
  <c r="H1632" i="6"/>
  <c r="H1620" i="6"/>
  <c r="H1608" i="6"/>
  <c r="H1596" i="6"/>
  <c r="H1584" i="6"/>
  <c r="H1572" i="6"/>
  <c r="H1560" i="6"/>
  <c r="H1548" i="6"/>
  <c r="H1536" i="6"/>
  <c r="H1524" i="6"/>
  <c r="H1512" i="6"/>
  <c r="H1500" i="6"/>
  <c r="H1488" i="6"/>
  <c r="H1476" i="6"/>
  <c r="H1464" i="6"/>
  <c r="H1452" i="6"/>
  <c r="H1440" i="6"/>
  <c r="H1428" i="6"/>
  <c r="H1416" i="6"/>
  <c r="H1404" i="6"/>
  <c r="H1392" i="6"/>
  <c r="H1380" i="6"/>
  <c r="H1368" i="6"/>
  <c r="H1356" i="6"/>
  <c r="H2493" i="6"/>
  <c r="H2481" i="6"/>
  <c r="H2469" i="6"/>
  <c r="H2457" i="6"/>
  <c r="H2445" i="6"/>
  <c r="H2433" i="6"/>
  <c r="H2421" i="6"/>
  <c r="H2409" i="6"/>
  <c r="H2397" i="6"/>
  <c r="H2385" i="6"/>
  <c r="H2373" i="6"/>
  <c r="H2361" i="6"/>
  <c r="H2349" i="6"/>
  <c r="H2337" i="6"/>
  <c r="H2325" i="6"/>
  <c r="H2313" i="6"/>
  <c r="H2301" i="6"/>
  <c r="H2289" i="6"/>
  <c r="H2277" i="6"/>
  <c r="H2265" i="6"/>
  <c r="H2253" i="6"/>
  <c r="H2241" i="6"/>
  <c r="H2229" i="6"/>
  <c r="H2217" i="6"/>
  <c r="H2205" i="6"/>
  <c r="H2193" i="6"/>
  <c r="H2181" i="6"/>
  <c r="H2169" i="6"/>
  <c r="H2157" i="6"/>
  <c r="H2145" i="6"/>
  <c r="H2133" i="6"/>
  <c r="H2121" i="6"/>
  <c r="H2109" i="6"/>
  <c r="H2097" i="6"/>
  <c r="H2085" i="6"/>
  <c r="H2073" i="6"/>
  <c r="H2061" i="6"/>
  <c r="H2049" i="6"/>
  <c r="H2037" i="6"/>
  <c r="H2025" i="6"/>
  <c r="H2013" i="6"/>
  <c r="H2001" i="6"/>
  <c r="H1989" i="6"/>
  <c r="H1977" i="6"/>
  <c r="H1965" i="6"/>
  <c r="H1953" i="6"/>
  <c r="H1941" i="6"/>
  <c r="H1929" i="6"/>
  <c r="H1917" i="6"/>
  <c r="H1905" i="6"/>
  <c r="H1893" i="6"/>
  <c r="H1881" i="6"/>
  <c r="H1869" i="6"/>
  <c r="H1857" i="6"/>
  <c r="H1845" i="6"/>
  <c r="H1833" i="6"/>
  <c r="H1821" i="6"/>
  <c r="H1809" i="6"/>
  <c r="H1797" i="6"/>
  <c r="H1785" i="6"/>
  <c r="H1773" i="6"/>
  <c r="H1761" i="6"/>
  <c r="H1749" i="6"/>
  <c r="H1737" i="6"/>
  <c r="H1725" i="6"/>
  <c r="H1713" i="6"/>
  <c r="H1701" i="6"/>
  <c r="H1689" i="6"/>
  <c r="H1677" i="6"/>
  <c r="H1665" i="6"/>
  <c r="H1653" i="6"/>
  <c r="H1641" i="6"/>
  <c r="H1629" i="6"/>
  <c r="H1617" i="6"/>
  <c r="H1605" i="6"/>
  <c r="H1593" i="6"/>
  <c r="H1581" i="6"/>
  <c r="H1569" i="6"/>
  <c r="H1557" i="6"/>
  <c r="H1545" i="6"/>
  <c r="H1533" i="6"/>
  <c r="H1521" i="6"/>
  <c r="H1509" i="6"/>
  <c r="H1497" i="6"/>
  <c r="H1485" i="6"/>
  <c r="H1473" i="6"/>
  <c r="H1461" i="6"/>
  <c r="H1449" i="6"/>
  <c r="H1437" i="6"/>
  <c r="H1425" i="6"/>
  <c r="H1413" i="6"/>
  <c r="H1401" i="6"/>
  <c r="H1389" i="6"/>
  <c r="H1377" i="6"/>
  <c r="H1365" i="6"/>
  <c r="H1353" i="6"/>
  <c r="H2501" i="6"/>
  <c r="H2489" i="6"/>
  <c r="H2477" i="6"/>
  <c r="H2465" i="6"/>
  <c r="H2453" i="6"/>
  <c r="H2441" i="6"/>
  <c r="H2429" i="6"/>
  <c r="H2417" i="6"/>
  <c r="H2405" i="6"/>
  <c r="H2393" i="6"/>
  <c r="H2381" i="6"/>
  <c r="H2369" i="6"/>
  <c r="H2357" i="6"/>
  <c r="H2345" i="6"/>
  <c r="H2333" i="6"/>
  <c r="H2321" i="6"/>
  <c r="H2309" i="6"/>
  <c r="H2297" i="6"/>
  <c r="H2285" i="6"/>
  <c r="H2273" i="6"/>
  <c r="H2261" i="6"/>
  <c r="H2249" i="6"/>
  <c r="H2237" i="6"/>
  <c r="H2225" i="6"/>
  <c r="H2213" i="6"/>
  <c r="H2201" i="6"/>
  <c r="H2189" i="6"/>
  <c r="H2177" i="6"/>
  <c r="H2165" i="6"/>
  <c r="H2153" i="6"/>
  <c r="H2141" i="6"/>
  <c r="H2129" i="6"/>
  <c r="H2117" i="6"/>
  <c r="H2105" i="6"/>
  <c r="H2093" i="6"/>
  <c r="H2081" i="6"/>
  <c r="H2069" i="6"/>
  <c r="H2057" i="6"/>
  <c r="H2497" i="6"/>
  <c r="H2480" i="6"/>
  <c r="H2464" i="6"/>
  <c r="H2449" i="6"/>
  <c r="H2432" i="6"/>
  <c r="H2416" i="6"/>
  <c r="H2401" i="6"/>
  <c r="H2384" i="6"/>
  <c r="H2368" i="6"/>
  <c r="H2353" i="6"/>
  <c r="H2336" i="6"/>
  <c r="H2320" i="6"/>
  <c r="H2305" i="6"/>
  <c r="H2288" i="6"/>
  <c r="H2272" i="6"/>
  <c r="H2257" i="6"/>
  <c r="H2240" i="6"/>
  <c r="H2224" i="6"/>
  <c r="H2209" i="6"/>
  <c r="H2192" i="6"/>
  <c r="H2176" i="6"/>
  <c r="H2161" i="6"/>
  <c r="H2144" i="6"/>
  <c r="H2128" i="6"/>
  <c r="H2113" i="6"/>
  <c r="H2096" i="6"/>
  <c r="H2080" i="6"/>
  <c r="H2065" i="6"/>
  <c r="H2048" i="6"/>
  <c r="H2034" i="6"/>
  <c r="H2020" i="6"/>
  <c r="H2006" i="6"/>
  <c r="H1991" i="6"/>
  <c r="H1976" i="6"/>
  <c r="H1962" i="6"/>
  <c r="H1948" i="6"/>
  <c r="H1934" i="6"/>
  <c r="H1919" i="6"/>
  <c r="H1904" i="6"/>
  <c r="H1890" i="6"/>
  <c r="H1876" i="6"/>
  <c r="H1862" i="6"/>
  <c r="H1847" i="6"/>
  <c r="H1832" i="6"/>
  <c r="H1818" i="6"/>
  <c r="H1804" i="6"/>
  <c r="H1790" i="6"/>
  <c r="H1775" i="6"/>
  <c r="H1760" i="6"/>
  <c r="H1746" i="6"/>
  <c r="H1732" i="6"/>
  <c r="H1718" i="6"/>
  <c r="H1703" i="6"/>
  <c r="H1688" i="6"/>
  <c r="H1674" i="6"/>
  <c r="H1660" i="6"/>
  <c r="H1646" i="6"/>
  <c r="H1631" i="6"/>
  <c r="H1616" i="6"/>
  <c r="H1602" i="6"/>
  <c r="H1588" i="6"/>
  <c r="H1574" i="6"/>
  <c r="H1559" i="6"/>
  <c r="H1544" i="6"/>
  <c r="H1530" i="6"/>
  <c r="H1516" i="6"/>
  <c r="H1502" i="6"/>
  <c r="H1487" i="6"/>
  <c r="H1472" i="6"/>
  <c r="H1458" i="6"/>
  <c r="H1444" i="6"/>
  <c r="H1430" i="6"/>
  <c r="H1415" i="6"/>
  <c r="H1400" i="6"/>
  <c r="H1386" i="6"/>
  <c r="H1372" i="6"/>
  <c r="H1358" i="6"/>
  <c r="H2494" i="6"/>
  <c r="H2478" i="6"/>
  <c r="H2462" i="6"/>
  <c r="H2446" i="6"/>
  <c r="H2430" i="6"/>
  <c r="H2414" i="6"/>
  <c r="H2398" i="6"/>
  <c r="H2382" i="6"/>
  <c r="H2366" i="6"/>
  <c r="H2350" i="6"/>
  <c r="H2334" i="6"/>
  <c r="H2318" i="6"/>
  <c r="H2302" i="6"/>
  <c r="H2286" i="6"/>
  <c r="H2270" i="6"/>
  <c r="H2254" i="6"/>
  <c r="H2238" i="6"/>
  <c r="H2222" i="6"/>
  <c r="H2206" i="6"/>
  <c r="H2190" i="6"/>
  <c r="H2174" i="6"/>
  <c r="H2158" i="6"/>
  <c r="H2142" i="6"/>
  <c r="H2126" i="6"/>
  <c r="H2110" i="6"/>
  <c r="H2094" i="6"/>
  <c r="H2078" i="6"/>
  <c r="H2062" i="6"/>
  <c r="H2046" i="6"/>
  <c r="H2032" i="6"/>
  <c r="H2018" i="6"/>
  <c r="H2003" i="6"/>
  <c r="H1988" i="6"/>
  <c r="H1974" i="6"/>
  <c r="H1960" i="6"/>
  <c r="H1946" i="6"/>
  <c r="H1931" i="6"/>
  <c r="H1916" i="6"/>
  <c r="H1902" i="6"/>
  <c r="H1888" i="6"/>
  <c r="H1874" i="6"/>
  <c r="H2492" i="6"/>
  <c r="H2476" i="6"/>
  <c r="H2461" i="6"/>
  <c r="H2444" i="6"/>
  <c r="H2428" i="6"/>
  <c r="H2413" i="6"/>
  <c r="H2396" i="6"/>
  <c r="H2380" i="6"/>
  <c r="H2365" i="6"/>
  <c r="H2348" i="6"/>
  <c r="H2332" i="6"/>
  <c r="H2317" i="6"/>
  <c r="H2300" i="6"/>
  <c r="H2284" i="6"/>
  <c r="H2269" i="6"/>
  <c r="H2252" i="6"/>
  <c r="H2236" i="6"/>
  <c r="H2221" i="6"/>
  <c r="H2204" i="6"/>
  <c r="H2188" i="6"/>
  <c r="H2173" i="6"/>
  <c r="H2156" i="6"/>
  <c r="H2140" i="6"/>
  <c r="H2125" i="6"/>
  <c r="H2108" i="6"/>
  <c r="H2092" i="6"/>
  <c r="H2077" i="6"/>
  <c r="H2060" i="6"/>
  <c r="H2045" i="6"/>
  <c r="H2031" i="6"/>
  <c r="H2017" i="6"/>
  <c r="H2002" i="6"/>
  <c r="H1987" i="6"/>
  <c r="H1973" i="6"/>
  <c r="H1959" i="6"/>
  <c r="H1945" i="6"/>
  <c r="H1930" i="6"/>
  <c r="H1915" i="6"/>
  <c r="H1901" i="6"/>
  <c r="H1887" i="6"/>
  <c r="H1873" i="6"/>
  <c r="H1858" i="6"/>
  <c r="H1843" i="6"/>
  <c r="H1829" i="6"/>
  <c r="H1815" i="6"/>
  <c r="H1801" i="6"/>
  <c r="H1786" i="6"/>
  <c r="H1771" i="6"/>
  <c r="H1757" i="6"/>
  <c r="H1743" i="6"/>
  <c r="H1729" i="6"/>
  <c r="H1714" i="6"/>
  <c r="H1699" i="6"/>
  <c r="H1685" i="6"/>
  <c r="H1671" i="6"/>
  <c r="H1657" i="6"/>
  <c r="H1642" i="6"/>
  <c r="H1627" i="6"/>
  <c r="H1613" i="6"/>
  <c r="H1599" i="6"/>
  <c r="H1585" i="6"/>
  <c r="H1570" i="6"/>
  <c r="H1555" i="6"/>
  <c r="H1541" i="6"/>
  <c r="H1527" i="6"/>
  <c r="H1513" i="6"/>
  <c r="H1498" i="6"/>
  <c r="H1483" i="6"/>
  <c r="H1469" i="6"/>
  <c r="H1455" i="6"/>
  <c r="H1441" i="6"/>
  <c r="H1426" i="6"/>
  <c r="H1411" i="6"/>
  <c r="H1397" i="6"/>
  <c r="H1383" i="6"/>
  <c r="H1369" i="6"/>
  <c r="H1354" i="6"/>
  <c r="H2490" i="6"/>
  <c r="H2474" i="6"/>
  <c r="H2458" i="6"/>
  <c r="H2442" i="6"/>
  <c r="H2426" i="6"/>
  <c r="H2410" i="6"/>
  <c r="H2394" i="6"/>
  <c r="H2378" i="6"/>
  <c r="H2362" i="6"/>
  <c r="H2346" i="6"/>
  <c r="H2330" i="6"/>
  <c r="H2314" i="6"/>
  <c r="H2298" i="6"/>
  <c r="H2282" i="6"/>
  <c r="H2266" i="6"/>
  <c r="H2250" i="6"/>
  <c r="H2234" i="6"/>
  <c r="H2218" i="6"/>
  <c r="H2202" i="6"/>
  <c r="H2186" i="6"/>
  <c r="H2170" i="6"/>
  <c r="H2154" i="6"/>
  <c r="H2138" i="6"/>
  <c r="H2122" i="6"/>
  <c r="H2106" i="6"/>
  <c r="H2090" i="6"/>
  <c r="H2074" i="6"/>
  <c r="H2058" i="6"/>
  <c r="H2043" i="6"/>
  <c r="H2029" i="6"/>
  <c r="H2014" i="6"/>
  <c r="H1999" i="6"/>
  <c r="H1985" i="6"/>
  <c r="H1971" i="6"/>
  <c r="H1957" i="6"/>
  <c r="H1942" i="6"/>
  <c r="H1927" i="6"/>
  <c r="H1913" i="6"/>
  <c r="H1899" i="6"/>
  <c r="H1885" i="6"/>
  <c r="H1870" i="6"/>
  <c r="H1855" i="6"/>
  <c r="H2487" i="6"/>
  <c r="H2471" i="6"/>
  <c r="H2455" i="6"/>
  <c r="H2439" i="6"/>
  <c r="H2423" i="6"/>
  <c r="H2407" i="6"/>
  <c r="H2391" i="6"/>
  <c r="H2375" i="6"/>
  <c r="H2359" i="6"/>
  <c r="H2343" i="6"/>
  <c r="H2327" i="6"/>
  <c r="H2311" i="6"/>
  <c r="H2295" i="6"/>
  <c r="H2279" i="6"/>
  <c r="H2263" i="6"/>
  <c r="H2247" i="6"/>
  <c r="H2231" i="6"/>
  <c r="H2215" i="6"/>
  <c r="H2199" i="6"/>
  <c r="H2183" i="6"/>
  <c r="H2167" i="6"/>
  <c r="H2151" i="6"/>
  <c r="H2135" i="6"/>
  <c r="H2119" i="6"/>
  <c r="H2103" i="6"/>
  <c r="H2087" i="6"/>
  <c r="H2071" i="6"/>
  <c r="H2055" i="6"/>
  <c r="H2041" i="6"/>
  <c r="H2026" i="6"/>
  <c r="H2011" i="6"/>
  <c r="H1997" i="6"/>
  <c r="H1983" i="6"/>
  <c r="H1969" i="6"/>
  <c r="H1954" i="6"/>
  <c r="H1939" i="6"/>
  <c r="H1925" i="6"/>
  <c r="H1911" i="6"/>
  <c r="H1897" i="6"/>
  <c r="H1882" i="6"/>
  <c r="H1867" i="6"/>
  <c r="H1853" i="6"/>
  <c r="H2486" i="6"/>
  <c r="H2459" i="6"/>
  <c r="H2434" i="6"/>
  <c r="H2404" i="6"/>
  <c r="H2377" i="6"/>
  <c r="H2351" i="6"/>
  <c r="H2323" i="6"/>
  <c r="H2294" i="6"/>
  <c r="H2267" i="6"/>
  <c r="H2242" i="6"/>
  <c r="H2212" i="6"/>
  <c r="H2185" i="6"/>
  <c r="H2159" i="6"/>
  <c r="H2131" i="6"/>
  <c r="H2102" i="6"/>
  <c r="H2075" i="6"/>
  <c r="H2050" i="6"/>
  <c r="H2023" i="6"/>
  <c r="H1998" i="6"/>
  <c r="H1975" i="6"/>
  <c r="H1950" i="6"/>
  <c r="H1924" i="6"/>
  <c r="H1900" i="6"/>
  <c r="H1877" i="6"/>
  <c r="H1852" i="6"/>
  <c r="H1835" i="6"/>
  <c r="H1817" i="6"/>
  <c r="H1799" i="6"/>
  <c r="H1782" i="6"/>
  <c r="H1766" i="6"/>
  <c r="H1748" i="6"/>
  <c r="H1731" i="6"/>
  <c r="H1712" i="6"/>
  <c r="H1696" i="6"/>
  <c r="H1679" i="6"/>
  <c r="H1662" i="6"/>
  <c r="H1645" i="6"/>
  <c r="H1626" i="6"/>
  <c r="H1610" i="6"/>
  <c r="H1592" i="6"/>
  <c r="H1576" i="6"/>
  <c r="H1558" i="6"/>
  <c r="H1540" i="6"/>
  <c r="H1523" i="6"/>
  <c r="H1506" i="6"/>
  <c r="H1490" i="6"/>
  <c r="H1471" i="6"/>
  <c r="H1454" i="6"/>
  <c r="H1436" i="6"/>
  <c r="H1420" i="6"/>
  <c r="H1403" i="6"/>
  <c r="H1385" i="6"/>
  <c r="H1367" i="6"/>
  <c r="H1350" i="6"/>
  <c r="H1338" i="6"/>
  <c r="H1326" i="6"/>
  <c r="H1314" i="6"/>
  <c r="H1302" i="6"/>
  <c r="H1290" i="6"/>
  <c r="H1278" i="6"/>
  <c r="H1266" i="6"/>
  <c r="H1254" i="6"/>
  <c r="H1242" i="6"/>
  <c r="H1230" i="6"/>
  <c r="H1218" i="6"/>
  <c r="H1206" i="6"/>
  <c r="H1194" i="6"/>
  <c r="H1182" i="6"/>
  <c r="H1170" i="6"/>
  <c r="H1158" i="6"/>
  <c r="H1146" i="6"/>
  <c r="H1134" i="6"/>
  <c r="H1122" i="6"/>
  <c r="H1110" i="6"/>
  <c r="H1098" i="6"/>
  <c r="H1086" i="6"/>
  <c r="H1074" i="6"/>
  <c r="H1062" i="6"/>
  <c r="H1050" i="6"/>
  <c r="H1038" i="6"/>
  <c r="H1026" i="6"/>
  <c r="H1014" i="6"/>
  <c r="H1002" i="6"/>
  <c r="H990" i="6"/>
  <c r="H978" i="6"/>
  <c r="H966" i="6"/>
  <c r="H954" i="6"/>
  <c r="H942" i="6"/>
  <c r="H930" i="6"/>
  <c r="H918" i="6"/>
  <c r="H906" i="6"/>
  <c r="H894" i="6"/>
  <c r="H882" i="6"/>
  <c r="H870" i="6"/>
  <c r="H858" i="6"/>
  <c r="H846" i="6"/>
  <c r="H834" i="6"/>
  <c r="H822" i="6"/>
  <c r="H810" i="6"/>
  <c r="H798" i="6"/>
  <c r="H786" i="6"/>
  <c r="H774" i="6"/>
  <c r="H762" i="6"/>
  <c r="H750" i="6"/>
  <c r="H738" i="6"/>
  <c r="H726" i="6"/>
  <c r="H714" i="6"/>
  <c r="H702" i="6"/>
  <c r="H690" i="6"/>
  <c r="H678" i="6"/>
  <c r="H666" i="6"/>
  <c r="H654" i="6"/>
  <c r="H642" i="6"/>
  <c r="H630" i="6"/>
  <c r="H618" i="6"/>
  <c r="H606" i="6"/>
  <c r="H594" i="6"/>
  <c r="H582" i="6"/>
  <c r="H570" i="6"/>
  <c r="H558" i="6"/>
  <c r="H546" i="6"/>
  <c r="H534" i="6"/>
  <c r="H522" i="6"/>
  <c r="H510" i="6"/>
  <c r="H498" i="6"/>
  <c r="H486" i="6"/>
  <c r="H474" i="6"/>
  <c r="H462" i="6"/>
  <c r="H450" i="6"/>
  <c r="H438" i="6"/>
  <c r="H426" i="6"/>
  <c r="H414" i="6"/>
  <c r="H402" i="6"/>
  <c r="H390" i="6"/>
  <c r="H378" i="6"/>
  <c r="H366" i="6"/>
  <c r="H354" i="6"/>
  <c r="H342" i="6"/>
  <c r="H330" i="6"/>
  <c r="H318" i="6"/>
  <c r="H306" i="6"/>
  <c r="H294" i="6"/>
  <c r="H282" i="6"/>
  <c r="H270" i="6"/>
  <c r="H258" i="6"/>
  <c r="H246" i="6"/>
  <c r="H234" i="6"/>
  <c r="H222" i="6"/>
  <c r="H210" i="6"/>
  <c r="H2483" i="6"/>
  <c r="H2454" i="6"/>
  <c r="H2427" i="6"/>
  <c r="H2402" i="6"/>
  <c r="H2372" i="6"/>
  <c r="H2344" i="6"/>
  <c r="H2319" i="6"/>
  <c r="H2291" i="6"/>
  <c r="H2262" i="6"/>
  <c r="H2235" i="6"/>
  <c r="H2210" i="6"/>
  <c r="H2180" i="6"/>
  <c r="H2152" i="6"/>
  <c r="H2127" i="6"/>
  <c r="H2099" i="6"/>
  <c r="H2070" i="6"/>
  <c r="H2044" i="6"/>
  <c r="H2021" i="6"/>
  <c r="H1995" i="6"/>
  <c r="H1970" i="6"/>
  <c r="H1947" i="6"/>
  <c r="H1922" i="6"/>
  <c r="H1895" i="6"/>
  <c r="H1871" i="6"/>
  <c r="H1850" i="6"/>
  <c r="H1831" i="6"/>
  <c r="H1814" i="6"/>
  <c r="H1796" i="6"/>
  <c r="H1780" i="6"/>
  <c r="H1763" i="6"/>
  <c r="H1745" i="6"/>
  <c r="H1727" i="6"/>
  <c r="H1710" i="6"/>
  <c r="H1694" i="6"/>
  <c r="H1676" i="6"/>
  <c r="H1659" i="6"/>
  <c r="H1640" i="6"/>
  <c r="H1624" i="6"/>
  <c r="H1607" i="6"/>
  <c r="H1590" i="6"/>
  <c r="H1573" i="6"/>
  <c r="H1554" i="6"/>
  <c r="H1538" i="6"/>
  <c r="H1520" i="6"/>
  <c r="H1504" i="6"/>
  <c r="H1486" i="6"/>
  <c r="H1468" i="6"/>
  <c r="H1451" i="6"/>
  <c r="H1434" i="6"/>
  <c r="H1418" i="6"/>
  <c r="H2482" i="6"/>
  <c r="H2452" i="6"/>
  <c r="H2425" i="6"/>
  <c r="H2399" i="6"/>
  <c r="H2371" i="6"/>
  <c r="H2342" i="6"/>
  <c r="H2315" i="6"/>
  <c r="H2290" i="6"/>
  <c r="H2260" i="6"/>
  <c r="H2233" i="6"/>
  <c r="H2207" i="6"/>
  <c r="H2179" i="6"/>
  <c r="H2150" i="6"/>
  <c r="H2123" i="6"/>
  <c r="H2098" i="6"/>
  <c r="H2068" i="6"/>
  <c r="H2042" i="6"/>
  <c r="H2019" i="6"/>
  <c r="H1994" i="6"/>
  <c r="H1967" i="6"/>
  <c r="H1943" i="6"/>
  <c r="H1921" i="6"/>
  <c r="H1894" i="6"/>
  <c r="H1868" i="6"/>
  <c r="H1849" i="6"/>
  <c r="H1830" i="6"/>
  <c r="H1813" i="6"/>
  <c r="H1795" i="6"/>
  <c r="H1779" i="6"/>
  <c r="H1762" i="6"/>
  <c r="H1744" i="6"/>
  <c r="H1726" i="6"/>
  <c r="H1709" i="6"/>
  <c r="H1693" i="6"/>
  <c r="H1675" i="6"/>
  <c r="H1658" i="6"/>
  <c r="H1639" i="6"/>
  <c r="H1623" i="6"/>
  <c r="H1606" i="6"/>
  <c r="H1589" i="6"/>
  <c r="H1571" i="6"/>
  <c r="H1553" i="6"/>
  <c r="H1537" i="6"/>
  <c r="H1519" i="6"/>
  <c r="H1503" i="6"/>
  <c r="H1484" i="6"/>
  <c r="H1467" i="6"/>
  <c r="H1450" i="6"/>
  <c r="H1433" i="6"/>
  <c r="H1417" i="6"/>
  <c r="H1398" i="6"/>
  <c r="H1381" i="6"/>
  <c r="H1363" i="6"/>
  <c r="H1347" i="6"/>
  <c r="H1335" i="6"/>
  <c r="H1323" i="6"/>
  <c r="H1311" i="6"/>
  <c r="H1299" i="6"/>
  <c r="H1287" i="6"/>
  <c r="H1275" i="6"/>
  <c r="H1263" i="6"/>
  <c r="H1251" i="6"/>
  <c r="H1239" i="6"/>
  <c r="H1227" i="6"/>
  <c r="H1215" i="6"/>
  <c r="H1203" i="6"/>
  <c r="H1191" i="6"/>
  <c r="H1179" i="6"/>
  <c r="H1167" i="6"/>
  <c r="H1155" i="6"/>
  <c r="H1143" i="6"/>
  <c r="H1131" i="6"/>
  <c r="H1119" i="6"/>
  <c r="H1107" i="6"/>
  <c r="H1095" i="6"/>
  <c r="H1083" i="6"/>
  <c r="H1071" i="6"/>
  <c r="H1059" i="6"/>
  <c r="H1047" i="6"/>
  <c r="H1035" i="6"/>
  <c r="H1023" i="6"/>
  <c r="H1011" i="6"/>
  <c r="H999" i="6"/>
  <c r="H987" i="6"/>
  <c r="H975" i="6"/>
  <c r="H963" i="6"/>
  <c r="H951" i="6"/>
  <c r="H939" i="6"/>
  <c r="H927" i="6"/>
  <c r="H915" i="6"/>
  <c r="H903" i="6"/>
  <c r="H891" i="6"/>
  <c r="H879" i="6"/>
  <c r="H867" i="6"/>
  <c r="H855" i="6"/>
  <c r="H843" i="6"/>
  <c r="H831" i="6"/>
  <c r="H819" i="6"/>
  <c r="H807" i="6"/>
  <c r="H795" i="6"/>
  <c r="H783" i="6"/>
  <c r="H771" i="6"/>
  <c r="H759" i="6"/>
  <c r="H747" i="6"/>
  <c r="H735" i="6"/>
  <c r="H723" i="6"/>
  <c r="H711" i="6"/>
  <c r="H699" i="6"/>
  <c r="H687" i="6"/>
  <c r="H675" i="6"/>
  <c r="H663" i="6"/>
  <c r="H651" i="6"/>
  <c r="H639" i="6"/>
  <c r="H627" i="6"/>
  <c r="H615" i="6"/>
  <c r="H603" i="6"/>
  <c r="H591" i="6"/>
  <c r="H579" i="6"/>
  <c r="H567" i="6"/>
  <c r="H555" i="6"/>
  <c r="H543" i="6"/>
  <c r="H531" i="6"/>
  <c r="H519" i="6"/>
  <c r="H507" i="6"/>
  <c r="H495" i="6"/>
  <c r="H483" i="6"/>
  <c r="H471" i="6"/>
  <c r="H459" i="6"/>
  <c r="H447" i="6"/>
  <c r="H435" i="6"/>
  <c r="H423" i="6"/>
  <c r="H411" i="6"/>
  <c r="H399" i="6"/>
  <c r="H387" i="6"/>
  <c r="H375" i="6"/>
  <c r="H363" i="6"/>
  <c r="H351" i="6"/>
  <c r="H339" i="6"/>
  <c r="H327" i="6"/>
  <c r="H315" i="6"/>
  <c r="H303" i="6"/>
  <c r="H291" i="6"/>
  <c r="H279" i="6"/>
  <c r="H267" i="6"/>
  <c r="H255" i="6"/>
  <c r="H243" i="6"/>
  <c r="H231" i="6"/>
  <c r="H219" i="6"/>
  <c r="H2475" i="6"/>
  <c r="H2450" i="6"/>
  <c r="H2420" i="6"/>
  <c r="H2392" i="6"/>
  <c r="H2367" i="6"/>
  <c r="H2339" i="6"/>
  <c r="H2310" i="6"/>
  <c r="H2283" i="6"/>
  <c r="H2258" i="6"/>
  <c r="H2228" i="6"/>
  <c r="H2200" i="6"/>
  <c r="H2175" i="6"/>
  <c r="H2147" i="6"/>
  <c r="H2118" i="6"/>
  <c r="H2091" i="6"/>
  <c r="H2066" i="6"/>
  <c r="H2038" i="6"/>
  <c r="H2012" i="6"/>
  <c r="H1990" i="6"/>
  <c r="H1964" i="6"/>
  <c r="H1938" i="6"/>
  <c r="H1914" i="6"/>
  <c r="H1891" i="6"/>
  <c r="H1865" i="6"/>
  <c r="H1844" i="6"/>
  <c r="H1827" i="6"/>
  <c r="H1810" i="6"/>
  <c r="H1793" i="6"/>
  <c r="H1777" i="6"/>
  <c r="H1758" i="6"/>
  <c r="H1741" i="6"/>
  <c r="H1723" i="6"/>
  <c r="H1707" i="6"/>
  <c r="H1690" i="6"/>
  <c r="H1672" i="6"/>
  <c r="H1654" i="6"/>
  <c r="H1637" i="6"/>
  <c r="H1621" i="6"/>
  <c r="H1603" i="6"/>
  <c r="H1586" i="6"/>
  <c r="H1567" i="6"/>
  <c r="H1551" i="6"/>
  <c r="H1534" i="6"/>
  <c r="H1517" i="6"/>
  <c r="H1499" i="6"/>
  <c r="H1481" i="6"/>
  <c r="H1465" i="6"/>
  <c r="H1447" i="6"/>
  <c r="H1431" i="6"/>
  <c r="H1412" i="6"/>
  <c r="H1395" i="6"/>
  <c r="H1378" i="6"/>
  <c r="H1361" i="6"/>
  <c r="H1345" i="6"/>
  <c r="H1333" i="6"/>
  <c r="H1321" i="6"/>
  <c r="H1309" i="6"/>
  <c r="H1297" i="6"/>
  <c r="H1285" i="6"/>
  <c r="H1273" i="6"/>
  <c r="H1261" i="6"/>
  <c r="H1249" i="6"/>
  <c r="H1237" i="6"/>
  <c r="H1225" i="6"/>
  <c r="H1213" i="6"/>
  <c r="H1201" i="6"/>
  <c r="H1189" i="6"/>
  <c r="H1177" i="6"/>
  <c r="H1165" i="6"/>
  <c r="H1153" i="6"/>
  <c r="H1141" i="6"/>
  <c r="H1129" i="6"/>
  <c r="H1117" i="6"/>
  <c r="H1105" i="6"/>
  <c r="H1093" i="6"/>
  <c r="H1081" i="6"/>
  <c r="H1069" i="6"/>
  <c r="H1057" i="6"/>
  <c r="H1045" i="6"/>
  <c r="H1033" i="6"/>
  <c r="H1021" i="6"/>
  <c r="H1009" i="6"/>
  <c r="H997" i="6"/>
  <c r="H985" i="6"/>
  <c r="H973" i="6"/>
  <c r="H961" i="6"/>
  <c r="H949" i="6"/>
  <c r="H937" i="6"/>
  <c r="H925" i="6"/>
  <c r="H913" i="6"/>
  <c r="H901" i="6"/>
  <c r="H2500" i="6"/>
  <c r="H2473" i="6"/>
  <c r="H2447" i="6"/>
  <c r="H2419" i="6"/>
  <c r="H2390" i="6"/>
  <c r="H2363" i="6"/>
  <c r="H2338" i="6"/>
  <c r="H2308" i="6"/>
  <c r="H2281" i="6"/>
  <c r="H2255" i="6"/>
  <c r="H2227" i="6"/>
  <c r="H2198" i="6"/>
  <c r="H2171" i="6"/>
  <c r="H2146" i="6"/>
  <c r="H2116" i="6"/>
  <c r="H2089" i="6"/>
  <c r="H2063" i="6"/>
  <c r="H2036" i="6"/>
  <c r="H2010" i="6"/>
  <c r="H1986" i="6"/>
  <c r="H1963" i="6"/>
  <c r="H1937" i="6"/>
  <c r="H1912" i="6"/>
  <c r="H1889" i="6"/>
  <c r="H1864" i="6"/>
  <c r="H1842" i="6"/>
  <c r="H1826" i="6"/>
  <c r="H1808" i="6"/>
  <c r="H1792" i="6"/>
  <c r="H1774" i="6"/>
  <c r="H1756" i="6"/>
  <c r="H1739" i="6"/>
  <c r="H1722" i="6"/>
  <c r="H1706" i="6"/>
  <c r="H1687" i="6"/>
  <c r="H1670" i="6"/>
  <c r="H1652" i="6"/>
  <c r="H1636" i="6"/>
  <c r="H1619" i="6"/>
  <c r="H1601" i="6"/>
  <c r="H1583" i="6"/>
  <c r="H2499" i="6"/>
  <c r="H2470" i="6"/>
  <c r="H2443" i="6"/>
  <c r="H2418" i="6"/>
  <c r="H2389" i="6"/>
  <c r="H2360" i="6"/>
  <c r="H2335" i="6"/>
  <c r="H2307" i="6"/>
  <c r="H2278" i="6"/>
  <c r="H2251" i="6"/>
  <c r="H2226" i="6"/>
  <c r="H2197" i="6"/>
  <c r="H2168" i="6"/>
  <c r="H2143" i="6"/>
  <c r="H2115" i="6"/>
  <c r="H2086" i="6"/>
  <c r="H2059" i="6"/>
  <c r="H2035" i="6"/>
  <c r="H2009" i="6"/>
  <c r="H1984" i="6"/>
  <c r="H1961" i="6"/>
  <c r="H1936" i="6"/>
  <c r="H1910" i="6"/>
  <c r="H1886" i="6"/>
  <c r="H1863" i="6"/>
  <c r="H1841" i="6"/>
  <c r="H1825" i="6"/>
  <c r="H1807" i="6"/>
  <c r="H1791" i="6"/>
  <c r="H1772" i="6"/>
  <c r="H1755" i="6"/>
  <c r="H1738" i="6"/>
  <c r="H1721" i="6"/>
  <c r="H1705" i="6"/>
  <c r="H1686" i="6"/>
  <c r="H1669" i="6"/>
  <c r="H1651" i="6"/>
  <c r="H1635" i="6"/>
  <c r="H1618" i="6"/>
  <c r="H1600" i="6"/>
  <c r="H1582" i="6"/>
  <c r="H1565" i="6"/>
  <c r="H1549" i="6"/>
  <c r="H1531" i="6"/>
  <c r="H1514" i="6"/>
  <c r="H1495" i="6"/>
  <c r="H1479" i="6"/>
  <c r="H1462" i="6"/>
  <c r="H1445" i="6"/>
  <c r="H1427" i="6"/>
  <c r="H1409" i="6"/>
  <c r="H1393" i="6"/>
  <c r="H1375" i="6"/>
  <c r="H1359" i="6"/>
  <c r="H1343" i="6"/>
  <c r="H1331" i="6"/>
  <c r="H1319" i="6"/>
  <c r="H1307" i="6"/>
  <c r="H1295" i="6"/>
  <c r="H1283" i="6"/>
  <c r="H1271" i="6"/>
  <c r="H1259" i="6"/>
  <c r="H1247" i="6"/>
  <c r="H1235" i="6"/>
  <c r="H1223" i="6"/>
  <c r="H1211" i="6"/>
  <c r="H1199" i="6"/>
  <c r="H1187" i="6"/>
  <c r="H1175" i="6"/>
  <c r="H1163" i="6"/>
  <c r="H1151" i="6"/>
  <c r="H1139" i="6"/>
  <c r="H1127" i="6"/>
  <c r="H1115" i="6"/>
  <c r="H1103" i="6"/>
  <c r="H1091" i="6"/>
  <c r="H1079" i="6"/>
  <c r="H1067" i="6"/>
  <c r="H1055" i="6"/>
  <c r="H1043" i="6"/>
  <c r="H1031" i="6"/>
  <c r="H1019" i="6"/>
  <c r="H1007" i="6"/>
  <c r="H995" i="6"/>
  <c r="H983" i="6"/>
  <c r="H971" i="6"/>
  <c r="H959" i="6"/>
  <c r="H947" i="6"/>
  <c r="H935" i="6"/>
  <c r="H923" i="6"/>
  <c r="H911" i="6"/>
  <c r="H899" i="6"/>
  <c r="H887" i="6"/>
  <c r="H875" i="6"/>
  <c r="H863" i="6"/>
  <c r="H851" i="6"/>
  <c r="H839" i="6"/>
  <c r="H827" i="6"/>
  <c r="H815" i="6"/>
  <c r="H803" i="6"/>
  <c r="H791" i="6"/>
  <c r="H779" i="6"/>
  <c r="H2485" i="6"/>
  <c r="H2431" i="6"/>
  <c r="H2374" i="6"/>
  <c r="H2322" i="6"/>
  <c r="H2264" i="6"/>
  <c r="H2211" i="6"/>
  <c r="H2155" i="6"/>
  <c r="H2101" i="6"/>
  <c r="H2047" i="6"/>
  <c r="H1996" i="6"/>
  <c r="H1949" i="6"/>
  <c r="H1898" i="6"/>
  <c r="H1851" i="6"/>
  <c r="H1816" i="6"/>
  <c r="H1781" i="6"/>
  <c r="H1747" i="6"/>
  <c r="H1711" i="6"/>
  <c r="H1678" i="6"/>
  <c r="H1643" i="6"/>
  <c r="H1609" i="6"/>
  <c r="H1575" i="6"/>
  <c r="H1543" i="6"/>
  <c r="H1511" i="6"/>
  <c r="H1482" i="6"/>
  <c r="H1456" i="6"/>
  <c r="H1423" i="6"/>
  <c r="H1396" i="6"/>
  <c r="H1371" i="6"/>
  <c r="H1346" i="6"/>
  <c r="H1328" i="6"/>
  <c r="H1310" i="6"/>
  <c r="H1292" i="6"/>
  <c r="H1274" i="6"/>
  <c r="H1256" i="6"/>
  <c r="H1238" i="6"/>
  <c r="H1220" i="6"/>
  <c r="H1202" i="6"/>
  <c r="H1184" i="6"/>
  <c r="H1166" i="6"/>
  <c r="H1148" i="6"/>
  <c r="H1130" i="6"/>
  <c r="H1112" i="6"/>
  <c r="H1094" i="6"/>
  <c r="H1076" i="6"/>
  <c r="H1058" i="6"/>
  <c r="H1040" i="6"/>
  <c r="H1022" i="6"/>
  <c r="H1004" i="6"/>
  <c r="H986" i="6"/>
  <c r="H968" i="6"/>
  <c r="H950" i="6"/>
  <c r="H932" i="6"/>
  <c r="H914" i="6"/>
  <c r="H896" i="6"/>
  <c r="H880" i="6"/>
  <c r="H864" i="6"/>
  <c r="H848" i="6"/>
  <c r="H832" i="6"/>
  <c r="H816" i="6"/>
  <c r="H800" i="6"/>
  <c r="H784" i="6"/>
  <c r="H768" i="6"/>
  <c r="H754" i="6"/>
  <c r="H740" i="6"/>
  <c r="H725" i="6"/>
  <c r="H710" i="6"/>
  <c r="H696" i="6"/>
  <c r="H682" i="6"/>
  <c r="H668" i="6"/>
  <c r="H653" i="6"/>
  <c r="H638" i="6"/>
  <c r="H624" i="6"/>
  <c r="H610" i="6"/>
  <c r="H596" i="6"/>
  <c r="H581" i="6"/>
  <c r="H566" i="6"/>
  <c r="H552" i="6"/>
  <c r="H538" i="6"/>
  <c r="H524" i="6"/>
  <c r="H509" i="6"/>
  <c r="H494" i="6"/>
  <c r="H480" i="6"/>
  <c r="H466" i="6"/>
  <c r="H452" i="6"/>
  <c r="H437" i="6"/>
  <c r="H422" i="6"/>
  <c r="H408" i="6"/>
  <c r="H394" i="6"/>
  <c r="H380" i="6"/>
  <c r="H365" i="6"/>
  <c r="H350" i="6"/>
  <c r="H336" i="6"/>
  <c r="H322" i="6"/>
  <c r="H308" i="6"/>
  <c r="H293" i="6"/>
  <c r="H278" i="6"/>
  <c r="H264" i="6"/>
  <c r="H250" i="6"/>
  <c r="H236" i="6"/>
  <c r="H221" i="6"/>
  <c r="H207" i="6"/>
  <c r="H195" i="6"/>
  <c r="H183" i="6"/>
  <c r="H171" i="6"/>
  <c r="H159" i="6"/>
  <c r="H147" i="6"/>
  <c r="H135" i="6"/>
  <c r="H123" i="6"/>
  <c r="H111" i="6"/>
  <c r="H99" i="6"/>
  <c r="H87" i="6"/>
  <c r="H75" i="6"/>
  <c r="H63" i="6"/>
  <c r="H51" i="6"/>
  <c r="H39" i="6"/>
  <c r="H27" i="6"/>
  <c r="H15" i="6"/>
  <c r="H3" i="6"/>
  <c r="H2468" i="6"/>
  <c r="H2415" i="6"/>
  <c r="H2358" i="6"/>
  <c r="H2306" i="6"/>
  <c r="H2248" i="6"/>
  <c r="H2195" i="6"/>
  <c r="H2139" i="6"/>
  <c r="H2084" i="6"/>
  <c r="H2033" i="6"/>
  <c r="H1982" i="6"/>
  <c r="H1935" i="6"/>
  <c r="H1883" i="6"/>
  <c r="H1840" i="6"/>
  <c r="H1806" i="6"/>
  <c r="H1770" i="6"/>
  <c r="H1736" i="6"/>
  <c r="H1702" i="6"/>
  <c r="H1667" i="6"/>
  <c r="H1634" i="6"/>
  <c r="H1598" i="6"/>
  <c r="H1566" i="6"/>
  <c r="H1539" i="6"/>
  <c r="H1508" i="6"/>
  <c r="H1478" i="6"/>
  <c r="H1448" i="6"/>
  <c r="H1421" i="6"/>
  <c r="H1391" i="6"/>
  <c r="H1366" i="6"/>
  <c r="H1342" i="6"/>
  <c r="H1325" i="6"/>
  <c r="H1306" i="6"/>
  <c r="H1289" i="6"/>
  <c r="H1270" i="6"/>
  <c r="H1253" i="6"/>
  <c r="H1234" i="6"/>
  <c r="H1217" i="6"/>
  <c r="H1198" i="6"/>
  <c r="H1181" i="6"/>
  <c r="H1162" i="6"/>
  <c r="H1145" i="6"/>
  <c r="H1126" i="6"/>
  <c r="H1109" i="6"/>
  <c r="H1090" i="6"/>
  <c r="H1073" i="6"/>
  <c r="H1054" i="6"/>
  <c r="H1037" i="6"/>
  <c r="H1018" i="6"/>
  <c r="H1001" i="6"/>
  <c r="H982" i="6"/>
  <c r="H965" i="6"/>
  <c r="H946" i="6"/>
  <c r="H929" i="6"/>
  <c r="H910" i="6"/>
  <c r="H893" i="6"/>
  <c r="H877" i="6"/>
  <c r="H861" i="6"/>
  <c r="H845" i="6"/>
  <c r="H829" i="6"/>
  <c r="H813" i="6"/>
  <c r="H797" i="6"/>
  <c r="H781" i="6"/>
  <c r="H766" i="6"/>
  <c r="H752" i="6"/>
  <c r="H737" i="6"/>
  <c r="H722" i="6"/>
  <c r="H708" i="6"/>
  <c r="H694" i="6"/>
  <c r="H680" i="6"/>
  <c r="H665" i="6"/>
  <c r="H650" i="6"/>
  <c r="H636" i="6"/>
  <c r="H622" i="6"/>
  <c r="H608" i="6"/>
  <c r="H593" i="6"/>
  <c r="H578" i="6"/>
  <c r="H564" i="6"/>
  <c r="H550" i="6"/>
  <c r="H536" i="6"/>
  <c r="H521" i="6"/>
  <c r="H506" i="6"/>
  <c r="H492" i="6"/>
  <c r="H478" i="6"/>
  <c r="H464" i="6"/>
  <c r="H449" i="6"/>
  <c r="H434" i="6"/>
  <c r="H420" i="6"/>
  <c r="H406" i="6"/>
  <c r="H392" i="6"/>
  <c r="H377" i="6"/>
  <c r="H362" i="6"/>
  <c r="H348" i="6"/>
  <c r="H334" i="6"/>
  <c r="H320" i="6"/>
  <c r="H305" i="6"/>
  <c r="H290" i="6"/>
  <c r="H276" i="6"/>
  <c r="H262" i="6"/>
  <c r="H248" i="6"/>
  <c r="H233" i="6"/>
  <c r="H218" i="6"/>
  <c r="H205" i="6"/>
  <c r="H193" i="6"/>
  <c r="H181" i="6"/>
  <c r="H169" i="6"/>
  <c r="H157" i="6"/>
  <c r="H145" i="6"/>
  <c r="H133" i="6"/>
  <c r="H121" i="6"/>
  <c r="H109" i="6"/>
  <c r="H97" i="6"/>
  <c r="H85" i="6"/>
  <c r="H73" i="6"/>
  <c r="H61" i="6"/>
  <c r="H49" i="6"/>
  <c r="H37" i="6"/>
  <c r="H25" i="6"/>
  <c r="H13" i="6"/>
  <c r="H2" i="6"/>
  <c r="H2467" i="6"/>
  <c r="H2411" i="6"/>
  <c r="H2356" i="6"/>
  <c r="H2303" i="6"/>
  <c r="H2246" i="6"/>
  <c r="H2194" i="6"/>
  <c r="H2137" i="6"/>
  <c r="H2083" i="6"/>
  <c r="H2030" i="6"/>
  <c r="H1981" i="6"/>
  <c r="H1933" i="6"/>
  <c r="H1880" i="6"/>
  <c r="H1839" i="6"/>
  <c r="H1805" i="6"/>
  <c r="H1769" i="6"/>
  <c r="H1735" i="6"/>
  <c r="H1700" i="6"/>
  <c r="H1666" i="6"/>
  <c r="H1633" i="6"/>
  <c r="H1597" i="6"/>
  <c r="H1564" i="6"/>
  <c r="H1535" i="6"/>
  <c r="H1507" i="6"/>
  <c r="H1477" i="6"/>
  <c r="H1446" i="6"/>
  <c r="H1419" i="6"/>
  <c r="H1390" i="6"/>
  <c r="H1364" i="6"/>
  <c r="H1341" i="6"/>
  <c r="H1324" i="6"/>
  <c r="H1305" i="6"/>
  <c r="H1288" i="6"/>
  <c r="H1269" i="6"/>
  <c r="H1252" i="6"/>
  <c r="H1233" i="6"/>
  <c r="H1216" i="6"/>
  <c r="H1197" i="6"/>
  <c r="H1180" i="6"/>
  <c r="H1161" i="6"/>
  <c r="H1144" i="6"/>
  <c r="H1125" i="6"/>
  <c r="H1108" i="6"/>
  <c r="H1089" i="6"/>
  <c r="H1072" i="6"/>
  <c r="H1053" i="6"/>
  <c r="H1036" i="6"/>
  <c r="H1017" i="6"/>
  <c r="H1000" i="6"/>
  <c r="H981" i="6"/>
  <c r="H964" i="6"/>
  <c r="H945" i="6"/>
  <c r="H928" i="6"/>
  <c r="H909" i="6"/>
  <c r="H892" i="6"/>
  <c r="H876" i="6"/>
  <c r="H860" i="6"/>
  <c r="H844" i="6"/>
  <c r="H828" i="6"/>
  <c r="H812" i="6"/>
  <c r="H796" i="6"/>
  <c r="H780" i="6"/>
  <c r="H765" i="6"/>
  <c r="H751" i="6"/>
  <c r="H736" i="6"/>
  <c r="H721" i="6"/>
  <c r="H707" i="6"/>
  <c r="H693" i="6"/>
  <c r="H679" i="6"/>
  <c r="H664" i="6"/>
  <c r="H649" i="6"/>
  <c r="H635" i="6"/>
  <c r="H621" i="6"/>
  <c r="H607" i="6"/>
  <c r="H592" i="6"/>
  <c r="H577" i="6"/>
  <c r="H563" i="6"/>
  <c r="H549" i="6"/>
  <c r="H535" i="6"/>
  <c r="H520" i="6"/>
  <c r="H505" i="6"/>
  <c r="H491" i="6"/>
  <c r="H477" i="6"/>
  <c r="H463" i="6"/>
  <c r="H448" i="6"/>
  <c r="H433" i="6"/>
  <c r="H419" i="6"/>
  <c r="H405" i="6"/>
  <c r="H391" i="6"/>
  <c r="H376" i="6"/>
  <c r="H361" i="6"/>
  <c r="H347" i="6"/>
  <c r="H333" i="6"/>
  <c r="H319" i="6"/>
  <c r="H304" i="6"/>
  <c r="H289" i="6"/>
  <c r="H275" i="6"/>
  <c r="H261" i="6"/>
  <c r="H247" i="6"/>
  <c r="H232" i="6"/>
  <c r="H217" i="6"/>
  <c r="H204" i="6"/>
  <c r="H192" i="6"/>
  <c r="H180" i="6"/>
  <c r="H168" i="6"/>
  <c r="H156" i="6"/>
  <c r="H144" i="6"/>
  <c r="H132" i="6"/>
  <c r="H120" i="6"/>
  <c r="H108" i="6"/>
  <c r="H96" i="6"/>
  <c r="H84" i="6"/>
  <c r="H72" i="6"/>
  <c r="H60" i="6"/>
  <c r="H48" i="6"/>
  <c r="H36" i="6"/>
  <c r="H24" i="6"/>
  <c r="H12" i="6"/>
  <c r="H2463" i="6"/>
  <c r="H2406" i="6"/>
  <c r="H2354" i="6"/>
  <c r="H2296" i="6"/>
  <c r="H2243" i="6"/>
  <c r="H2187" i="6"/>
  <c r="H2132" i="6"/>
  <c r="H2079" i="6"/>
  <c r="H2024" i="6"/>
  <c r="H1978" i="6"/>
  <c r="H1926" i="6"/>
  <c r="H1878" i="6"/>
  <c r="H1837" i="6"/>
  <c r="H1802" i="6"/>
  <c r="H1767" i="6"/>
  <c r="H1733" i="6"/>
  <c r="H1697" i="6"/>
  <c r="H1663" i="6"/>
  <c r="H1628" i="6"/>
  <c r="H1594" i="6"/>
  <c r="H1562" i="6"/>
  <c r="H1529" i="6"/>
  <c r="H1501" i="6"/>
  <c r="H1474" i="6"/>
  <c r="H1442" i="6"/>
  <c r="H1410" i="6"/>
  <c r="H1387" i="6"/>
  <c r="H1360" i="6"/>
  <c r="H1339" i="6"/>
  <c r="H1320" i="6"/>
  <c r="H1303" i="6"/>
  <c r="H1284" i="6"/>
  <c r="H1267" i="6"/>
  <c r="H1248" i="6"/>
  <c r="H1231" i="6"/>
  <c r="H1212" i="6"/>
  <c r="H1195" i="6"/>
  <c r="H1176" i="6"/>
  <c r="H1159" i="6"/>
  <c r="H1140" i="6"/>
  <c r="H1123" i="6"/>
  <c r="H1104" i="6"/>
  <c r="H1087" i="6"/>
  <c r="H1068" i="6"/>
  <c r="H1051" i="6"/>
  <c r="H1032" i="6"/>
  <c r="H1015" i="6"/>
  <c r="H996" i="6"/>
  <c r="H979" i="6"/>
  <c r="H960" i="6"/>
  <c r="H943" i="6"/>
  <c r="H924" i="6"/>
  <c r="H907" i="6"/>
  <c r="H889" i="6"/>
  <c r="H873" i="6"/>
  <c r="H857" i="6"/>
  <c r="H841" i="6"/>
  <c r="H825" i="6"/>
  <c r="H809" i="6"/>
  <c r="H793" i="6"/>
  <c r="H777" i="6"/>
  <c r="H763" i="6"/>
  <c r="H748" i="6"/>
  <c r="H733" i="6"/>
  <c r="H719" i="6"/>
  <c r="H705" i="6"/>
  <c r="H691" i="6"/>
  <c r="H676" i="6"/>
  <c r="H661" i="6"/>
  <c r="H647" i="6"/>
  <c r="H633" i="6"/>
  <c r="H619" i="6"/>
  <c r="H604" i="6"/>
  <c r="H589" i="6"/>
  <c r="H575" i="6"/>
  <c r="H561" i="6"/>
  <c r="H547" i="6"/>
  <c r="H532" i="6"/>
  <c r="H517" i="6"/>
  <c r="H503" i="6"/>
  <c r="H489" i="6"/>
  <c r="H475" i="6"/>
  <c r="H460" i="6"/>
  <c r="H445" i="6"/>
  <c r="H431" i="6"/>
  <c r="H417" i="6"/>
  <c r="H403" i="6"/>
  <c r="H388" i="6"/>
  <c r="H373" i="6"/>
  <c r="H359" i="6"/>
  <c r="H345" i="6"/>
  <c r="H331" i="6"/>
  <c r="H316" i="6"/>
  <c r="H301" i="6"/>
  <c r="H287" i="6"/>
  <c r="H273" i="6"/>
  <c r="H259" i="6"/>
  <c r="H244" i="6"/>
  <c r="H229" i="6"/>
  <c r="H215" i="6"/>
  <c r="H202" i="6"/>
  <c r="H190" i="6"/>
  <c r="H178" i="6"/>
  <c r="H166" i="6"/>
  <c r="H154" i="6"/>
  <c r="H142" i="6"/>
  <c r="H130" i="6"/>
  <c r="H118" i="6"/>
  <c r="H106" i="6"/>
  <c r="H94" i="6"/>
  <c r="H82" i="6"/>
  <c r="H70" i="6"/>
  <c r="H58" i="6"/>
  <c r="H46" i="6"/>
  <c r="H34" i="6"/>
  <c r="H22" i="6"/>
  <c r="H10" i="6"/>
  <c r="H2456" i="6"/>
  <c r="H2403" i="6"/>
  <c r="H2347" i="6"/>
  <c r="H2293" i="6"/>
  <c r="H2239" i="6"/>
  <c r="H2182" i="6"/>
  <c r="H2130" i="6"/>
  <c r="H2072" i="6"/>
  <c r="H2022" i="6"/>
  <c r="H1972" i="6"/>
  <c r="H1923" i="6"/>
  <c r="H1875" i="6"/>
  <c r="H1834" i="6"/>
  <c r="H1798" i="6"/>
  <c r="H1765" i="6"/>
  <c r="H1730" i="6"/>
  <c r="H1695" i="6"/>
  <c r="H1661" i="6"/>
  <c r="H1625" i="6"/>
  <c r="H1591" i="6"/>
  <c r="H1561" i="6"/>
  <c r="H1528" i="6"/>
  <c r="H1496" i="6"/>
  <c r="H1470" i="6"/>
  <c r="H1439" i="6"/>
  <c r="H1408" i="6"/>
  <c r="H1384" i="6"/>
  <c r="H1357" i="6"/>
  <c r="H1337" i="6"/>
  <c r="H1318" i="6"/>
  <c r="H1301" i="6"/>
  <c r="H1282" i="6"/>
  <c r="H1265" i="6"/>
  <c r="H1246" i="6"/>
  <c r="H1229" i="6"/>
  <c r="H1210" i="6"/>
  <c r="H1193" i="6"/>
  <c r="H1174" i="6"/>
  <c r="H1157" i="6"/>
  <c r="H1138" i="6"/>
  <c r="H1121" i="6"/>
  <c r="H1102" i="6"/>
  <c r="H1085" i="6"/>
  <c r="H1066" i="6"/>
  <c r="H1049" i="6"/>
  <c r="H1030" i="6"/>
  <c r="H1013" i="6"/>
  <c r="H994" i="6"/>
  <c r="H977" i="6"/>
  <c r="H958" i="6"/>
  <c r="H941" i="6"/>
  <c r="H922" i="6"/>
  <c r="H905" i="6"/>
  <c r="H888" i="6"/>
  <c r="H872" i="6"/>
  <c r="H856" i="6"/>
  <c r="H840" i="6"/>
  <c r="H824" i="6"/>
  <c r="H808" i="6"/>
  <c r="H792" i="6"/>
  <c r="H776" i="6"/>
  <c r="H761" i="6"/>
  <c r="H746" i="6"/>
  <c r="H732" i="6"/>
  <c r="H718" i="6"/>
  <c r="H704" i="6"/>
  <c r="H689" i="6"/>
  <c r="H674" i="6"/>
  <c r="H660" i="6"/>
  <c r="H646" i="6"/>
  <c r="H632" i="6"/>
  <c r="H617" i="6"/>
  <c r="H602" i="6"/>
  <c r="H588" i="6"/>
  <c r="H2451" i="6"/>
  <c r="H2395" i="6"/>
  <c r="H2341" i="6"/>
  <c r="H2287" i="6"/>
  <c r="H2230" i="6"/>
  <c r="H2178" i="6"/>
  <c r="H2120" i="6"/>
  <c r="H2067" i="6"/>
  <c r="H2015" i="6"/>
  <c r="H1966" i="6"/>
  <c r="H1918" i="6"/>
  <c r="H1866" i="6"/>
  <c r="H1828" i="6"/>
  <c r="H1794" i="6"/>
  <c r="H1759" i="6"/>
  <c r="H1724" i="6"/>
  <c r="H1691" i="6"/>
  <c r="H1655" i="6"/>
  <c r="H1622" i="6"/>
  <c r="H1587" i="6"/>
  <c r="H1556" i="6"/>
  <c r="H1526" i="6"/>
  <c r="H1494" i="6"/>
  <c r="H1466" i="6"/>
  <c r="H1438" i="6"/>
  <c r="H1407" i="6"/>
  <c r="H1382" i="6"/>
  <c r="H1355" i="6"/>
  <c r="H1336" i="6"/>
  <c r="H1317" i="6"/>
  <c r="H1300" i="6"/>
  <c r="H1281" i="6"/>
  <c r="H1264" i="6"/>
  <c r="H1245" i="6"/>
  <c r="H1228" i="6"/>
  <c r="H1209" i="6"/>
  <c r="H1192" i="6"/>
  <c r="H1173" i="6"/>
  <c r="H1156" i="6"/>
  <c r="H1137" i="6"/>
  <c r="H1120" i="6"/>
  <c r="H1101" i="6"/>
  <c r="H1084" i="6"/>
  <c r="H1065" i="6"/>
  <c r="H1048" i="6"/>
  <c r="H1029" i="6"/>
  <c r="H1012" i="6"/>
  <c r="H993" i="6"/>
  <c r="H976" i="6"/>
  <c r="H957" i="6"/>
  <c r="H940" i="6"/>
  <c r="H921" i="6"/>
  <c r="H904" i="6"/>
  <c r="H886" i="6"/>
  <c r="H871" i="6"/>
  <c r="H854" i="6"/>
  <c r="H838" i="6"/>
  <c r="H823" i="6"/>
  <c r="H806" i="6"/>
  <c r="H790" i="6"/>
  <c r="H775" i="6"/>
  <c r="H760" i="6"/>
  <c r="H745" i="6"/>
  <c r="H731" i="6"/>
  <c r="H717" i="6"/>
  <c r="H703" i="6"/>
  <c r="H688" i="6"/>
  <c r="H673" i="6"/>
  <c r="H659" i="6"/>
  <c r="H645" i="6"/>
  <c r="H631" i="6"/>
  <c r="H616" i="6"/>
  <c r="H601" i="6"/>
  <c r="H587" i="6"/>
  <c r="H573" i="6"/>
  <c r="H559" i="6"/>
  <c r="H544" i="6"/>
  <c r="H529" i="6"/>
  <c r="H515" i="6"/>
  <c r="H501" i="6"/>
  <c r="H487" i="6"/>
  <c r="H472" i="6"/>
  <c r="H457" i="6"/>
  <c r="H443" i="6"/>
  <c r="H429" i="6"/>
  <c r="H415" i="6"/>
  <c r="H400" i="6"/>
  <c r="H385" i="6"/>
  <c r="H371" i="6"/>
  <c r="H357" i="6"/>
  <c r="H343" i="6"/>
  <c r="H328" i="6"/>
  <c r="H313" i="6"/>
  <c r="H299" i="6"/>
  <c r="H285" i="6"/>
  <c r="H271" i="6"/>
  <c r="H256" i="6"/>
  <c r="H241" i="6"/>
  <c r="H227" i="6"/>
  <c r="H213" i="6"/>
  <c r="H200" i="6"/>
  <c r="H188" i="6"/>
  <c r="H176" i="6"/>
  <c r="H164" i="6"/>
  <c r="H152" i="6"/>
  <c r="H140" i="6"/>
  <c r="H128" i="6"/>
  <c r="H116" i="6"/>
  <c r="H104" i="6"/>
  <c r="H92" i="6"/>
  <c r="H80" i="6"/>
  <c r="H68" i="6"/>
  <c r="H56" i="6"/>
  <c r="H44" i="6"/>
  <c r="H32" i="6"/>
  <c r="H20" i="6"/>
  <c r="H8" i="6"/>
  <c r="H2422" i="6"/>
  <c r="H2312" i="6"/>
  <c r="H2203" i="6"/>
  <c r="H2095" i="6"/>
  <c r="H1993" i="6"/>
  <c r="H1892" i="6"/>
  <c r="H1811" i="6"/>
  <c r="H1742" i="6"/>
  <c r="H1673" i="6"/>
  <c r="H1604" i="6"/>
  <c r="H1542" i="6"/>
  <c r="H1480" i="6"/>
  <c r="H1422" i="6"/>
  <c r="H1370" i="6"/>
  <c r="H1327" i="6"/>
  <c r="H1291" i="6"/>
  <c r="H1255" i="6"/>
  <c r="H1219" i="6"/>
  <c r="H1183" i="6"/>
  <c r="H1147" i="6"/>
  <c r="H1111" i="6"/>
  <c r="H1075" i="6"/>
  <c r="H1039" i="6"/>
  <c r="H1003" i="6"/>
  <c r="H967" i="6"/>
  <c r="H931" i="6"/>
  <c r="H895" i="6"/>
  <c r="H862" i="6"/>
  <c r="H830" i="6"/>
  <c r="H799" i="6"/>
  <c r="H767" i="6"/>
  <c r="H739" i="6"/>
  <c r="H709" i="6"/>
  <c r="H681" i="6"/>
  <c r="H652" i="6"/>
  <c r="H623" i="6"/>
  <c r="H595" i="6"/>
  <c r="H568" i="6"/>
  <c r="H541" i="6"/>
  <c r="H516" i="6"/>
  <c r="H493" i="6"/>
  <c r="H468" i="6"/>
  <c r="H442" i="6"/>
  <c r="H418" i="6"/>
  <c r="H395" i="6"/>
  <c r="H369" i="6"/>
  <c r="H344" i="6"/>
  <c r="H321" i="6"/>
  <c r="H296" i="6"/>
  <c r="H269" i="6"/>
  <c r="H245" i="6"/>
  <c r="H223" i="6"/>
  <c r="H198" i="6"/>
  <c r="H177" i="6"/>
  <c r="H158" i="6"/>
  <c r="H137" i="6"/>
  <c r="H115" i="6"/>
  <c r="H95" i="6"/>
  <c r="H76" i="6"/>
  <c r="H54" i="6"/>
  <c r="H33" i="6"/>
  <c r="H14" i="6"/>
  <c r="H2408" i="6"/>
  <c r="H2299" i="6"/>
  <c r="H2191" i="6"/>
  <c r="H2082" i="6"/>
  <c r="H1979" i="6"/>
  <c r="H1879" i="6"/>
  <c r="H1803" i="6"/>
  <c r="H1734" i="6"/>
  <c r="H1664" i="6"/>
  <c r="H1595" i="6"/>
  <c r="H1532" i="6"/>
  <c r="H1475" i="6"/>
  <c r="H1414" i="6"/>
  <c r="H1362" i="6"/>
  <c r="H1322" i="6"/>
  <c r="H1286" i="6"/>
  <c r="H1250" i="6"/>
  <c r="H1214" i="6"/>
  <c r="H1178" i="6"/>
  <c r="H1142" i="6"/>
  <c r="H1106" i="6"/>
  <c r="H1070" i="6"/>
  <c r="H1034" i="6"/>
  <c r="H998" i="6"/>
  <c r="H962" i="6"/>
  <c r="H926" i="6"/>
  <c r="H890" i="6"/>
  <c r="H859" i="6"/>
  <c r="H826" i="6"/>
  <c r="H794" i="6"/>
  <c r="H764" i="6"/>
  <c r="H734" i="6"/>
  <c r="H706" i="6"/>
  <c r="H677" i="6"/>
  <c r="H648" i="6"/>
  <c r="H620" i="6"/>
  <c r="H590" i="6"/>
  <c r="H565" i="6"/>
  <c r="H540" i="6"/>
  <c r="H514" i="6"/>
  <c r="H490" i="6"/>
  <c r="H467" i="6"/>
  <c r="H441" i="6"/>
  <c r="H416" i="6"/>
  <c r="H393" i="6"/>
  <c r="H368" i="6"/>
  <c r="H341" i="6"/>
  <c r="H317" i="6"/>
  <c r="H295" i="6"/>
  <c r="H268" i="6"/>
  <c r="H242" i="6"/>
  <c r="H220" i="6"/>
  <c r="H197" i="6"/>
  <c r="H175" i="6"/>
  <c r="H155" i="6"/>
  <c r="H136" i="6"/>
  <c r="H114" i="6"/>
  <c r="H93" i="6"/>
  <c r="H74" i="6"/>
  <c r="H53" i="6"/>
  <c r="H31" i="6"/>
  <c r="H11" i="6"/>
  <c r="H2498" i="6"/>
  <c r="H2387" i="6"/>
  <c r="H2276" i="6"/>
  <c r="H2166" i="6"/>
  <c r="H2056" i="6"/>
  <c r="H1958" i="6"/>
  <c r="H1861" i="6"/>
  <c r="H1789" i="6"/>
  <c r="H1720" i="6"/>
  <c r="H1650" i="6"/>
  <c r="H1580" i="6"/>
  <c r="H1525" i="6"/>
  <c r="H1463" i="6"/>
  <c r="H1406" i="6"/>
  <c r="H1352" i="6"/>
  <c r="H1316" i="6"/>
  <c r="H1280" i="6"/>
  <c r="H1244" i="6"/>
  <c r="H1208" i="6"/>
  <c r="H1172" i="6"/>
  <c r="H1136" i="6"/>
  <c r="H1100" i="6"/>
  <c r="H1064" i="6"/>
  <c r="H1028" i="6"/>
  <c r="H992" i="6"/>
  <c r="H956" i="6"/>
  <c r="H920" i="6"/>
  <c r="H885" i="6"/>
  <c r="H853" i="6"/>
  <c r="H821" i="6"/>
  <c r="H789" i="6"/>
  <c r="H758" i="6"/>
  <c r="H730" i="6"/>
  <c r="H701" i="6"/>
  <c r="H672" i="6"/>
  <c r="H644" i="6"/>
  <c r="H614" i="6"/>
  <c r="H586" i="6"/>
  <c r="H562" i="6"/>
  <c r="H539" i="6"/>
  <c r="H513" i="6"/>
  <c r="H488" i="6"/>
  <c r="H465" i="6"/>
  <c r="H440" i="6"/>
  <c r="H413" i="6"/>
  <c r="H389" i="6"/>
  <c r="H367" i="6"/>
  <c r="H340" i="6"/>
  <c r="H314" i="6"/>
  <c r="H292" i="6"/>
  <c r="H266" i="6"/>
  <c r="H240" i="6"/>
  <c r="H216" i="6"/>
  <c r="H196" i="6"/>
  <c r="H174" i="6"/>
  <c r="H153" i="6"/>
  <c r="H134" i="6"/>
  <c r="H113" i="6"/>
  <c r="H91" i="6"/>
  <c r="H71" i="6"/>
  <c r="H52" i="6"/>
  <c r="H30" i="6"/>
  <c r="H9" i="6"/>
  <c r="H2495" i="6"/>
  <c r="H2386" i="6"/>
  <c r="H2275" i="6"/>
  <c r="H2164" i="6"/>
  <c r="H2054" i="6"/>
  <c r="H1955" i="6"/>
  <c r="H1859" i="6"/>
  <c r="H1787" i="6"/>
  <c r="H1719" i="6"/>
  <c r="H1649" i="6"/>
  <c r="H1579" i="6"/>
  <c r="H1522" i="6"/>
  <c r="H1460" i="6"/>
  <c r="H1405" i="6"/>
  <c r="H1351" i="6"/>
  <c r="H1315" i="6"/>
  <c r="H1279" i="6"/>
  <c r="H1243" i="6"/>
  <c r="H1207" i="6"/>
  <c r="H1171" i="6"/>
  <c r="H1135" i="6"/>
  <c r="H1099" i="6"/>
  <c r="H1063" i="6"/>
  <c r="H1027" i="6"/>
  <c r="H991" i="6"/>
  <c r="H955" i="6"/>
  <c r="H919" i="6"/>
  <c r="H884" i="6"/>
  <c r="H852" i="6"/>
  <c r="H820" i="6"/>
  <c r="H788" i="6"/>
  <c r="H757" i="6"/>
  <c r="H729" i="6"/>
  <c r="H700" i="6"/>
  <c r="H671" i="6"/>
  <c r="H643" i="6"/>
  <c r="H613" i="6"/>
  <c r="H585" i="6"/>
  <c r="H560" i="6"/>
  <c r="H537" i="6"/>
  <c r="H512" i="6"/>
  <c r="H485" i="6"/>
  <c r="H461" i="6"/>
  <c r="H439" i="6"/>
  <c r="H412" i="6"/>
  <c r="H386" i="6"/>
  <c r="H364" i="6"/>
  <c r="H338" i="6"/>
  <c r="H312" i="6"/>
  <c r="H288" i="6"/>
  <c r="H265" i="6"/>
  <c r="H239" i="6"/>
  <c r="H214" i="6"/>
  <c r="H194" i="6"/>
  <c r="H173" i="6"/>
  <c r="H151" i="6"/>
  <c r="H131" i="6"/>
  <c r="H112" i="6"/>
  <c r="H90" i="6"/>
  <c r="H69" i="6"/>
  <c r="H50" i="6"/>
  <c r="H29" i="6"/>
  <c r="H7" i="6"/>
  <c r="H2491" i="6"/>
  <c r="H2383" i="6"/>
  <c r="H2274" i="6"/>
  <c r="H2163" i="6"/>
  <c r="H2053" i="6"/>
  <c r="H1952" i="6"/>
  <c r="H1856" i="6"/>
  <c r="H1784" i="6"/>
  <c r="H1717" i="6"/>
  <c r="H1648" i="6"/>
  <c r="H1578" i="6"/>
  <c r="H1518" i="6"/>
  <c r="H1459" i="6"/>
  <c r="H1402" i="6"/>
  <c r="H1349" i="6"/>
  <c r="H1313" i="6"/>
  <c r="H1277" i="6"/>
  <c r="H1241" i="6"/>
  <c r="H1205" i="6"/>
  <c r="H1169" i="6"/>
  <c r="H1133" i="6"/>
  <c r="H1097" i="6"/>
  <c r="H1061" i="6"/>
  <c r="H1025" i="6"/>
  <c r="H989" i="6"/>
  <c r="H953" i="6"/>
  <c r="H917" i="6"/>
  <c r="H883" i="6"/>
  <c r="H850" i="6"/>
  <c r="H818" i="6"/>
  <c r="H787" i="6"/>
  <c r="H756" i="6"/>
  <c r="H728" i="6"/>
  <c r="H698" i="6"/>
  <c r="H670" i="6"/>
  <c r="H641" i="6"/>
  <c r="H612" i="6"/>
  <c r="H584" i="6"/>
  <c r="H557" i="6"/>
  <c r="H533" i="6"/>
  <c r="H511" i="6"/>
  <c r="H484" i="6"/>
  <c r="H458" i="6"/>
  <c r="H436" i="6"/>
  <c r="H410" i="6"/>
  <c r="H384" i="6"/>
  <c r="H360" i="6"/>
  <c r="H337" i="6"/>
  <c r="H311" i="6"/>
  <c r="H286" i="6"/>
  <c r="H263" i="6"/>
  <c r="H238" i="6"/>
  <c r="H212" i="6"/>
  <c r="H191" i="6"/>
  <c r="H172" i="6"/>
  <c r="H150" i="6"/>
  <c r="H129" i="6"/>
  <c r="H110" i="6"/>
  <c r="H89" i="6"/>
  <c r="H67" i="6"/>
  <c r="H47" i="6"/>
  <c r="H28" i="6"/>
  <c r="H6" i="6"/>
  <c r="H2488" i="6"/>
  <c r="H2379" i="6"/>
  <c r="H2271" i="6"/>
  <c r="H2162" i="6"/>
  <c r="H2051" i="6"/>
  <c r="H1951" i="6"/>
  <c r="H1854" i="6"/>
  <c r="H1783" i="6"/>
  <c r="H1715" i="6"/>
  <c r="H1647" i="6"/>
  <c r="H1577" i="6"/>
  <c r="H1515" i="6"/>
  <c r="H1457" i="6"/>
  <c r="H1399" i="6"/>
  <c r="H1348" i="6"/>
  <c r="H1312" i="6"/>
  <c r="H1276" i="6"/>
  <c r="H1240" i="6"/>
  <c r="H1204" i="6"/>
  <c r="H1168" i="6"/>
  <c r="H1132" i="6"/>
  <c r="H1096" i="6"/>
  <c r="H1060" i="6"/>
  <c r="H1024" i="6"/>
  <c r="H988" i="6"/>
  <c r="H952" i="6"/>
  <c r="H916" i="6"/>
  <c r="H881" i="6"/>
  <c r="H849" i="6"/>
  <c r="H817" i="6"/>
  <c r="H785" i="6"/>
  <c r="H755" i="6"/>
  <c r="H727" i="6"/>
  <c r="H697" i="6"/>
  <c r="H669" i="6"/>
  <c r="H640" i="6"/>
  <c r="H611" i="6"/>
  <c r="H583" i="6"/>
  <c r="H556" i="6"/>
  <c r="H530" i="6"/>
  <c r="H508" i="6"/>
  <c r="H482" i="6"/>
  <c r="H456" i="6"/>
  <c r="H432" i="6"/>
  <c r="H409" i="6"/>
  <c r="H383" i="6"/>
  <c r="H358" i="6"/>
  <c r="H335" i="6"/>
  <c r="H310" i="6"/>
  <c r="H284" i="6"/>
  <c r="H260" i="6"/>
  <c r="H237" i="6"/>
  <c r="H211" i="6"/>
  <c r="H189" i="6"/>
  <c r="H170" i="6"/>
  <c r="H149" i="6"/>
  <c r="H127" i="6"/>
  <c r="H107" i="6"/>
  <c r="H88" i="6"/>
  <c r="H66" i="6"/>
  <c r="H45" i="6"/>
  <c r="H26" i="6"/>
  <c r="H5" i="6"/>
  <c r="H2479" i="6"/>
  <c r="H2370" i="6"/>
  <c r="H2259" i="6"/>
  <c r="H2149" i="6"/>
  <c r="H2039" i="6"/>
  <c r="H1940" i="6"/>
  <c r="H1846" i="6"/>
  <c r="H1778" i="6"/>
  <c r="H1708" i="6"/>
  <c r="H1638" i="6"/>
  <c r="H1568" i="6"/>
  <c r="H1510" i="6"/>
  <c r="H1453" i="6"/>
  <c r="H1394" i="6"/>
  <c r="H1344" i="6"/>
  <c r="H1308" i="6"/>
  <c r="H1272" i="6"/>
  <c r="H1236" i="6"/>
  <c r="H1200" i="6"/>
  <c r="H1164" i="6"/>
  <c r="H1128" i="6"/>
  <c r="H1092" i="6"/>
  <c r="H1056" i="6"/>
  <c r="H1020" i="6"/>
  <c r="H984" i="6"/>
  <c r="H948" i="6"/>
  <c r="H912" i="6"/>
  <c r="H878" i="6"/>
  <c r="H847" i="6"/>
  <c r="H814" i="6"/>
  <c r="H782" i="6"/>
  <c r="H753" i="6"/>
  <c r="H724" i="6"/>
  <c r="H695" i="6"/>
  <c r="H667" i="6"/>
  <c r="H637" i="6"/>
  <c r="H609" i="6"/>
  <c r="H580" i="6"/>
  <c r="H554" i="6"/>
  <c r="H528" i="6"/>
  <c r="H504" i="6"/>
  <c r="H481" i="6"/>
  <c r="H455" i="6"/>
  <c r="H430" i="6"/>
  <c r="H407" i="6"/>
  <c r="H382" i="6"/>
  <c r="H356" i="6"/>
  <c r="H332" i="6"/>
  <c r="H309" i="6"/>
  <c r="H283" i="6"/>
  <c r="H257" i="6"/>
  <c r="H235" i="6"/>
  <c r="H209" i="6"/>
  <c r="H187" i="6"/>
  <c r="H167" i="6"/>
  <c r="H148" i="6"/>
  <c r="H126" i="6"/>
  <c r="H105" i="6"/>
  <c r="H86" i="6"/>
  <c r="H65" i="6"/>
  <c r="H43" i="6"/>
  <c r="H23" i="6"/>
  <c r="H4" i="6"/>
  <c r="H2466" i="6"/>
  <c r="H2355" i="6"/>
  <c r="H2245" i="6"/>
  <c r="H2134" i="6"/>
  <c r="H2027" i="6"/>
  <c r="H1928" i="6"/>
  <c r="H1838" i="6"/>
  <c r="H1768" i="6"/>
  <c r="H1698" i="6"/>
  <c r="H1630" i="6"/>
  <c r="H1563" i="6"/>
  <c r="H1505" i="6"/>
  <c r="H1443" i="6"/>
  <c r="H1388" i="6"/>
  <c r="H1340" i="6"/>
  <c r="H1304" i="6"/>
  <c r="H1268" i="6"/>
  <c r="H1232" i="6"/>
  <c r="H1196" i="6"/>
  <c r="H1160" i="6"/>
  <c r="H1124" i="6"/>
  <c r="H1088" i="6"/>
  <c r="H1052" i="6"/>
  <c r="H1016" i="6"/>
  <c r="H980" i="6"/>
  <c r="H944" i="6"/>
  <c r="H908" i="6"/>
  <c r="H874" i="6"/>
  <c r="H842" i="6"/>
  <c r="H811" i="6"/>
  <c r="H778" i="6"/>
  <c r="H749" i="6"/>
  <c r="H720" i="6"/>
  <c r="H692" i="6"/>
  <c r="H662" i="6"/>
  <c r="H634" i="6"/>
  <c r="H605" i="6"/>
  <c r="H576" i="6"/>
  <c r="H553" i="6"/>
  <c r="H527" i="6"/>
  <c r="H502" i="6"/>
  <c r="H479" i="6"/>
  <c r="H454" i="6"/>
  <c r="H428" i="6"/>
  <c r="H404" i="6"/>
  <c r="H381" i="6"/>
  <c r="H355" i="6"/>
  <c r="H329" i="6"/>
  <c r="H307" i="6"/>
  <c r="H281" i="6"/>
  <c r="H254" i="6"/>
  <c r="H230" i="6"/>
  <c r="H208" i="6"/>
  <c r="H186" i="6"/>
  <c r="H165" i="6"/>
  <c r="H146" i="6"/>
  <c r="H125" i="6"/>
  <c r="H103" i="6"/>
  <c r="H83" i="6"/>
  <c r="H64" i="6"/>
  <c r="H42" i="6"/>
  <c r="H21" i="6"/>
  <c r="H2440" i="6"/>
  <c r="H2331" i="6"/>
  <c r="H2223" i="6"/>
  <c r="H2114" i="6"/>
  <c r="H2008" i="6"/>
  <c r="H1909" i="6"/>
  <c r="H1823" i="6"/>
  <c r="H1754" i="6"/>
  <c r="H1684" i="6"/>
  <c r="H1615" i="6"/>
  <c r="H1552" i="6"/>
  <c r="H1493" i="6"/>
  <c r="H1435" i="6"/>
  <c r="H1379" i="6"/>
  <c r="H1334" i="6"/>
  <c r="H1298" i="6"/>
  <c r="H1262" i="6"/>
  <c r="H1226" i="6"/>
  <c r="H1190" i="6"/>
  <c r="H1154" i="6"/>
  <c r="H1118" i="6"/>
  <c r="H1082" i="6"/>
  <c r="H1046" i="6"/>
  <c r="H1010" i="6"/>
  <c r="H974" i="6"/>
  <c r="H938" i="6"/>
  <c r="H902" i="6"/>
  <c r="H869" i="6"/>
  <c r="H837" i="6"/>
  <c r="H805" i="6"/>
  <c r="H773" i="6"/>
  <c r="H744" i="6"/>
  <c r="H716" i="6"/>
  <c r="H686" i="6"/>
  <c r="H658" i="6"/>
  <c r="H629" i="6"/>
  <c r="H600" i="6"/>
  <c r="H574" i="6"/>
  <c r="H551" i="6"/>
  <c r="H526" i="6"/>
  <c r="H500" i="6"/>
  <c r="H476" i="6"/>
  <c r="H453" i="6"/>
  <c r="H427" i="6"/>
  <c r="H401" i="6"/>
  <c r="H379" i="6"/>
  <c r="H353" i="6"/>
  <c r="H326" i="6"/>
  <c r="H302" i="6"/>
  <c r="H280" i="6"/>
  <c r="H253" i="6"/>
  <c r="H228" i="6"/>
  <c r="H206" i="6"/>
  <c r="H185" i="6"/>
  <c r="H163" i="6"/>
  <c r="H143" i="6"/>
  <c r="H124" i="6"/>
  <c r="H102" i="6"/>
  <c r="H81" i="6"/>
  <c r="H62" i="6"/>
  <c r="H41" i="6"/>
  <c r="H19" i="6"/>
  <c r="H2438" i="6"/>
  <c r="H2329" i="6"/>
  <c r="H2219" i="6"/>
  <c r="H2111" i="6"/>
  <c r="H2007" i="6"/>
  <c r="H1907" i="6"/>
  <c r="H1822" i="6"/>
  <c r="H1753" i="6"/>
  <c r="H1683" i="6"/>
  <c r="H1614" i="6"/>
  <c r="H1550" i="6"/>
  <c r="H1492" i="6"/>
  <c r="H1432" i="6"/>
  <c r="H1376" i="6"/>
  <c r="H1332" i="6"/>
  <c r="H1296" i="6"/>
  <c r="H1260" i="6"/>
  <c r="H1224" i="6"/>
  <c r="H1188" i="6"/>
  <c r="H1152" i="6"/>
  <c r="H1116" i="6"/>
  <c r="H1080" i="6"/>
  <c r="H1044" i="6"/>
  <c r="H1008" i="6"/>
  <c r="H972" i="6"/>
  <c r="H936" i="6"/>
  <c r="H900" i="6"/>
  <c r="H868" i="6"/>
  <c r="H836" i="6"/>
  <c r="H804" i="6"/>
  <c r="H772" i="6"/>
  <c r="H743" i="6"/>
  <c r="H715" i="6"/>
  <c r="H685" i="6"/>
  <c r="H657" i="6"/>
  <c r="H628" i="6"/>
  <c r="H599" i="6"/>
  <c r="H572" i="6"/>
  <c r="H548" i="6"/>
  <c r="H525" i="6"/>
  <c r="H499" i="6"/>
  <c r="H473" i="6"/>
  <c r="H451" i="6"/>
  <c r="H425" i="6"/>
  <c r="H398" i="6"/>
  <c r="H374" i="6"/>
  <c r="H352" i="6"/>
  <c r="H325" i="6"/>
  <c r="H300" i="6"/>
  <c r="H277" i="6"/>
  <c r="H252" i="6"/>
  <c r="H226" i="6"/>
  <c r="H203" i="6"/>
  <c r="H184" i="6"/>
  <c r="H162" i="6"/>
  <c r="H141" i="6"/>
  <c r="H122" i="6"/>
  <c r="H101" i="6"/>
  <c r="H79" i="6"/>
  <c r="H59" i="6"/>
  <c r="H40" i="6"/>
  <c r="H18" i="6"/>
  <c r="H2437" i="6"/>
  <c r="H2326" i="6"/>
  <c r="H2216" i="6"/>
  <c r="H2107" i="6"/>
  <c r="H2005" i="6"/>
  <c r="H1906" i="6"/>
  <c r="H1820" i="6"/>
  <c r="H1751" i="6"/>
  <c r="H1682" i="6"/>
  <c r="H1612" i="6"/>
  <c r="H1547" i="6"/>
  <c r="H1491" i="6"/>
  <c r="H1429" i="6"/>
  <c r="H1374" i="6"/>
  <c r="H1330" i="6"/>
  <c r="H1294" i="6"/>
  <c r="H1258" i="6"/>
  <c r="H1222" i="6"/>
  <c r="H1186" i="6"/>
  <c r="H1150" i="6"/>
  <c r="H1114" i="6"/>
  <c r="H1078" i="6"/>
  <c r="H1042" i="6"/>
  <c r="H1006" i="6"/>
  <c r="H970" i="6"/>
  <c r="H934" i="6"/>
  <c r="H898" i="6"/>
  <c r="H866" i="6"/>
  <c r="H835" i="6"/>
  <c r="H802" i="6"/>
  <c r="H770" i="6"/>
  <c r="H742" i="6"/>
  <c r="H713" i="6"/>
  <c r="H684" i="6"/>
  <c r="H656" i="6"/>
  <c r="H626" i="6"/>
  <c r="H598" i="6"/>
  <c r="H571" i="6"/>
  <c r="H545" i="6"/>
  <c r="H523" i="6"/>
  <c r="H497" i="6"/>
  <c r="H470" i="6"/>
  <c r="H446" i="6"/>
  <c r="H424" i="6"/>
  <c r="H397" i="6"/>
  <c r="H372" i="6"/>
  <c r="H349" i="6"/>
  <c r="H324" i="6"/>
  <c r="H298" i="6"/>
  <c r="H274" i="6"/>
  <c r="H251" i="6"/>
  <c r="H225" i="6"/>
  <c r="H201" i="6"/>
  <c r="H182" i="6"/>
  <c r="H161" i="6"/>
  <c r="H139" i="6"/>
  <c r="H119" i="6"/>
  <c r="H100" i="6"/>
  <c r="H78" i="6"/>
  <c r="H57" i="6"/>
  <c r="H38" i="6"/>
  <c r="H17" i="6"/>
  <c r="H2435" i="6"/>
  <c r="H2324" i="6"/>
  <c r="H2214" i="6"/>
  <c r="H2104" i="6"/>
  <c r="H2000" i="6"/>
  <c r="H1903" i="6"/>
  <c r="H1819" i="6"/>
  <c r="H1750" i="6"/>
  <c r="H1681" i="6"/>
  <c r="H1611" i="6"/>
  <c r="H1546" i="6"/>
  <c r="H1489" i="6"/>
  <c r="H1424" i="6"/>
  <c r="H1373" i="6"/>
  <c r="H1329" i="6"/>
  <c r="H1293" i="6"/>
  <c r="H1257" i="6"/>
  <c r="H1221" i="6"/>
  <c r="H1185" i="6"/>
  <c r="H1149" i="6"/>
  <c r="H1113" i="6"/>
  <c r="H1077" i="6"/>
  <c r="H1041" i="6"/>
  <c r="H1005" i="6"/>
  <c r="H969" i="6"/>
  <c r="H933" i="6"/>
  <c r="H897" i="6"/>
  <c r="H865" i="6"/>
  <c r="H833" i="6"/>
  <c r="H801" i="6"/>
  <c r="H769" i="6"/>
  <c r="H741" i="6"/>
  <c r="H712" i="6"/>
  <c r="H683" i="6"/>
  <c r="H655" i="6"/>
  <c r="H625" i="6"/>
  <c r="H597" i="6"/>
  <c r="H569" i="6"/>
  <c r="H542" i="6"/>
  <c r="H518" i="6"/>
  <c r="H496" i="6"/>
  <c r="H469" i="6"/>
  <c r="H444" i="6"/>
  <c r="H421" i="6"/>
  <c r="H396" i="6"/>
  <c r="H370" i="6"/>
  <c r="H346" i="6"/>
  <c r="H323" i="6"/>
  <c r="H297" i="6"/>
  <c r="H272" i="6"/>
  <c r="H249" i="6"/>
  <c r="H224" i="6"/>
  <c r="H199" i="6"/>
  <c r="H179" i="6"/>
  <c r="H160" i="6"/>
  <c r="H138" i="6"/>
  <c r="H117" i="6"/>
  <c r="H98" i="6"/>
  <c r="H77" i="6"/>
  <c r="H55" i="6"/>
  <c r="H35" i="6"/>
  <c r="H16" i="6"/>
  <c r="I2" i="6" l="1" a="1"/>
  <c r="I2497" i="6" l="1"/>
  <c r="I2485" i="6"/>
  <c r="I2473" i="6"/>
  <c r="I2461" i="6"/>
  <c r="I2449" i="6"/>
  <c r="I2437" i="6"/>
  <c r="I2425" i="6"/>
  <c r="I2413" i="6"/>
  <c r="I2401" i="6"/>
  <c r="I2389" i="6"/>
  <c r="I2377" i="6"/>
  <c r="I2365" i="6"/>
  <c r="I2353" i="6"/>
  <c r="I2341" i="6"/>
  <c r="I2329" i="6"/>
  <c r="I2317" i="6"/>
  <c r="I2305" i="6"/>
  <c r="I2293" i="6"/>
  <c r="I2281" i="6"/>
  <c r="I2269" i="6"/>
  <c r="I2257" i="6"/>
  <c r="I2245" i="6"/>
  <c r="I2233" i="6"/>
  <c r="I2221" i="6"/>
  <c r="I2209" i="6"/>
  <c r="I2197" i="6"/>
  <c r="I2185" i="6"/>
  <c r="I2173" i="6"/>
  <c r="I2161" i="6"/>
  <c r="I2149" i="6"/>
  <c r="I2137" i="6"/>
  <c r="I2125" i="6"/>
  <c r="I2113" i="6"/>
  <c r="I2101" i="6"/>
  <c r="I2089" i="6"/>
  <c r="I2077" i="6"/>
  <c r="I2065" i="6"/>
  <c r="I2053" i="6"/>
  <c r="I2041" i="6"/>
  <c r="I2029" i="6"/>
  <c r="I2017" i="6"/>
  <c r="I2005" i="6"/>
  <c r="I1993" i="6"/>
  <c r="I1981" i="6"/>
  <c r="I1969" i="6"/>
  <c r="I1957" i="6"/>
  <c r="I1945" i="6"/>
  <c r="I1933" i="6"/>
  <c r="I1921" i="6"/>
  <c r="I1909" i="6"/>
  <c r="I1897" i="6"/>
  <c r="I1885" i="6"/>
  <c r="I1873" i="6"/>
  <c r="I1861" i="6"/>
  <c r="I1849" i="6"/>
  <c r="I1837" i="6"/>
  <c r="I1825" i="6"/>
  <c r="I1813" i="6"/>
  <c r="I1801" i="6"/>
  <c r="I1789" i="6"/>
  <c r="I1777" i="6"/>
  <c r="I1765" i="6"/>
  <c r="I1753" i="6"/>
  <c r="I1741" i="6"/>
  <c r="I1729" i="6"/>
  <c r="I1717" i="6"/>
  <c r="I1705" i="6"/>
  <c r="I1693" i="6"/>
  <c r="I1681" i="6"/>
  <c r="I1669" i="6"/>
  <c r="I1657" i="6"/>
  <c r="I1645" i="6"/>
  <c r="I1633" i="6"/>
  <c r="I1621" i="6"/>
  <c r="I1609" i="6"/>
  <c r="I1597" i="6"/>
  <c r="I1585" i="6"/>
  <c r="I1573" i="6"/>
  <c r="I1561" i="6"/>
  <c r="I1549" i="6"/>
  <c r="I1537" i="6"/>
  <c r="I1525" i="6"/>
  <c r="I1513" i="6"/>
  <c r="I1501" i="6"/>
  <c r="I1489" i="6"/>
  <c r="I2495" i="6"/>
  <c r="I2483" i="6"/>
  <c r="I2471" i="6"/>
  <c r="I2459" i="6"/>
  <c r="I2447" i="6"/>
  <c r="I2435" i="6"/>
  <c r="I2423" i="6"/>
  <c r="I2411" i="6"/>
  <c r="I2399" i="6"/>
  <c r="I2387" i="6"/>
  <c r="I2375" i="6"/>
  <c r="I2363" i="6"/>
  <c r="I2351" i="6"/>
  <c r="I2339" i="6"/>
  <c r="I2327" i="6"/>
  <c r="I2315" i="6"/>
  <c r="I2303" i="6"/>
  <c r="I2291" i="6"/>
  <c r="I2279" i="6"/>
  <c r="I2267" i="6"/>
  <c r="I2255" i="6"/>
  <c r="I2243" i="6"/>
  <c r="I2231" i="6"/>
  <c r="I2219" i="6"/>
  <c r="I2207" i="6"/>
  <c r="I2195" i="6"/>
  <c r="I2183" i="6"/>
  <c r="I2171" i="6"/>
  <c r="I2159" i="6"/>
  <c r="I2147" i="6"/>
  <c r="I2135" i="6"/>
  <c r="I2123" i="6"/>
  <c r="I2111" i="6"/>
  <c r="I2099" i="6"/>
  <c r="I2087" i="6"/>
  <c r="I2075" i="6"/>
  <c r="I2063" i="6"/>
  <c r="I2051" i="6"/>
  <c r="I2039" i="6"/>
  <c r="I2027" i="6"/>
  <c r="I2015" i="6"/>
  <c r="I2003" i="6"/>
  <c r="I1991" i="6"/>
  <c r="I1979" i="6"/>
  <c r="I1967" i="6"/>
  <c r="I1955" i="6"/>
  <c r="I1943" i="6"/>
  <c r="I1931" i="6"/>
  <c r="I1919" i="6"/>
  <c r="I1907" i="6"/>
  <c r="I1895" i="6"/>
  <c r="I1883" i="6"/>
  <c r="I1871" i="6"/>
  <c r="I1859" i="6"/>
  <c r="I1847" i="6"/>
  <c r="I1835" i="6"/>
  <c r="I1823" i="6"/>
  <c r="I1811" i="6"/>
  <c r="I1799" i="6"/>
  <c r="I1787" i="6"/>
  <c r="I1775" i="6"/>
  <c r="I1763" i="6"/>
  <c r="I1751" i="6"/>
  <c r="I1739" i="6"/>
  <c r="I1727" i="6"/>
  <c r="I1715" i="6"/>
  <c r="I1703" i="6"/>
  <c r="I1691" i="6"/>
  <c r="I1679" i="6"/>
  <c r="I1667" i="6"/>
  <c r="I1655" i="6"/>
  <c r="I1643" i="6"/>
  <c r="I1631" i="6"/>
  <c r="I1619" i="6"/>
  <c r="I1607" i="6"/>
  <c r="I1595" i="6"/>
  <c r="I1583" i="6"/>
  <c r="I1571" i="6"/>
  <c r="I1559" i="6"/>
  <c r="I1547" i="6"/>
  <c r="I1535" i="6"/>
  <c r="I1523" i="6"/>
  <c r="I1511" i="6"/>
  <c r="I1499" i="6"/>
  <c r="I1487" i="6"/>
  <c r="I2494" i="6"/>
  <c r="I2482" i="6"/>
  <c r="I2470" i="6"/>
  <c r="I2458" i="6"/>
  <c r="I2446" i="6"/>
  <c r="I2434" i="6"/>
  <c r="I2422" i="6"/>
  <c r="I2410" i="6"/>
  <c r="I2398" i="6"/>
  <c r="I2386" i="6"/>
  <c r="I2374" i="6"/>
  <c r="I2362" i="6"/>
  <c r="I2350" i="6"/>
  <c r="I2338" i="6"/>
  <c r="I2326" i="6"/>
  <c r="I2314" i="6"/>
  <c r="I2302" i="6"/>
  <c r="I2290" i="6"/>
  <c r="I2278" i="6"/>
  <c r="I2266" i="6"/>
  <c r="I2254" i="6"/>
  <c r="I2242" i="6"/>
  <c r="I2230" i="6"/>
  <c r="I2218" i="6"/>
  <c r="I2206" i="6"/>
  <c r="I2194" i="6"/>
  <c r="I2182" i="6"/>
  <c r="I2170" i="6"/>
  <c r="I2158" i="6"/>
  <c r="I2146" i="6"/>
  <c r="I2134" i="6"/>
  <c r="I2122" i="6"/>
  <c r="I2110" i="6"/>
  <c r="I2098" i="6"/>
  <c r="I2086" i="6"/>
  <c r="I2074" i="6"/>
  <c r="I2062" i="6"/>
  <c r="I2050" i="6"/>
  <c r="I2038" i="6"/>
  <c r="I2026" i="6"/>
  <c r="I2014" i="6"/>
  <c r="I2002" i="6"/>
  <c r="I1990" i="6"/>
  <c r="I1978" i="6"/>
  <c r="I1966" i="6"/>
  <c r="I1954" i="6"/>
  <c r="I1942" i="6"/>
  <c r="I1930" i="6"/>
  <c r="I1918" i="6"/>
  <c r="I1906" i="6"/>
  <c r="I1894" i="6"/>
  <c r="I1882" i="6"/>
  <c r="I1870" i="6"/>
  <c r="I1858" i="6"/>
  <c r="I1846" i="6"/>
  <c r="I1834" i="6"/>
  <c r="I1822" i="6"/>
  <c r="I1810" i="6"/>
  <c r="I1798" i="6"/>
  <c r="I1786" i="6"/>
  <c r="I1774" i="6"/>
  <c r="I1762" i="6"/>
  <c r="I1750" i="6"/>
  <c r="I1738" i="6"/>
  <c r="I1726" i="6"/>
  <c r="I1714" i="6"/>
  <c r="I1702" i="6"/>
  <c r="I1690" i="6"/>
  <c r="I1678" i="6"/>
  <c r="I1666" i="6"/>
  <c r="I1654" i="6"/>
  <c r="I1642" i="6"/>
  <c r="I1630" i="6"/>
  <c r="I1618" i="6"/>
  <c r="I1606" i="6"/>
  <c r="I1594" i="6"/>
  <c r="I1582" i="6"/>
  <c r="I1570" i="6"/>
  <c r="I1558" i="6"/>
  <c r="I1546" i="6"/>
  <c r="I1534" i="6"/>
  <c r="I1522" i="6"/>
  <c r="I1510" i="6"/>
  <c r="I1498" i="6"/>
  <c r="I2492" i="6"/>
  <c r="I2480" i="6"/>
  <c r="I2468" i="6"/>
  <c r="I2456" i="6"/>
  <c r="I2444" i="6"/>
  <c r="I2432" i="6"/>
  <c r="I2420" i="6"/>
  <c r="I2408" i="6"/>
  <c r="I2396" i="6"/>
  <c r="I2384" i="6"/>
  <c r="I2372" i="6"/>
  <c r="I2360" i="6"/>
  <c r="I2348" i="6"/>
  <c r="I2336" i="6"/>
  <c r="I2324" i="6"/>
  <c r="I2312" i="6"/>
  <c r="I2300" i="6"/>
  <c r="I2288" i="6"/>
  <c r="I2276" i="6"/>
  <c r="I2264" i="6"/>
  <c r="I2252" i="6"/>
  <c r="I2240" i="6"/>
  <c r="I2228" i="6"/>
  <c r="I2216" i="6"/>
  <c r="I2204" i="6"/>
  <c r="I2192" i="6"/>
  <c r="I2180" i="6"/>
  <c r="I2168" i="6"/>
  <c r="I2156" i="6"/>
  <c r="I2144" i="6"/>
  <c r="I2132" i="6"/>
  <c r="I2120" i="6"/>
  <c r="I2108" i="6"/>
  <c r="I2096" i="6"/>
  <c r="I2084" i="6"/>
  <c r="I2072" i="6"/>
  <c r="I2060" i="6"/>
  <c r="I2048" i="6"/>
  <c r="I2036" i="6"/>
  <c r="I2024" i="6"/>
  <c r="I2012" i="6"/>
  <c r="I2000" i="6"/>
  <c r="I1988" i="6"/>
  <c r="I1976" i="6"/>
  <c r="I1964" i="6"/>
  <c r="I1952" i="6"/>
  <c r="I1940" i="6"/>
  <c r="I1928" i="6"/>
  <c r="I1916" i="6"/>
  <c r="I1904" i="6"/>
  <c r="I1892" i="6"/>
  <c r="I1880" i="6"/>
  <c r="I1868" i="6"/>
  <c r="I1856" i="6"/>
  <c r="I1844" i="6"/>
  <c r="I1832" i="6"/>
  <c r="I1820" i="6"/>
  <c r="I1808" i="6"/>
  <c r="I1796" i="6"/>
  <c r="I1784" i="6"/>
  <c r="I1772" i="6"/>
  <c r="I1760" i="6"/>
  <c r="I1748" i="6"/>
  <c r="I1736" i="6"/>
  <c r="I1724" i="6"/>
  <c r="I1712" i="6"/>
  <c r="I1700" i="6"/>
  <c r="I1688" i="6"/>
  <c r="I1676" i="6"/>
  <c r="I1664" i="6"/>
  <c r="I1652" i="6"/>
  <c r="I1640" i="6"/>
  <c r="I1628" i="6"/>
  <c r="I1616" i="6"/>
  <c r="I1604" i="6"/>
  <c r="I1592" i="6"/>
  <c r="I1580" i="6"/>
  <c r="I1568" i="6"/>
  <c r="I1556" i="6"/>
  <c r="I1544" i="6"/>
  <c r="I1532" i="6"/>
  <c r="I1520" i="6"/>
  <c r="I1508" i="6"/>
  <c r="I1496" i="6"/>
  <c r="I1484" i="6"/>
  <c r="I2491" i="6"/>
  <c r="I2479" i="6"/>
  <c r="I2467" i="6"/>
  <c r="I2455" i="6"/>
  <c r="I2443" i="6"/>
  <c r="I2431" i="6"/>
  <c r="I2419" i="6"/>
  <c r="I2407" i="6"/>
  <c r="I2395" i="6"/>
  <c r="I2383" i="6"/>
  <c r="I2371" i="6"/>
  <c r="I2359" i="6"/>
  <c r="I2347" i="6"/>
  <c r="I2335" i="6"/>
  <c r="I2323" i="6"/>
  <c r="I2311" i="6"/>
  <c r="I2299" i="6"/>
  <c r="I2287" i="6"/>
  <c r="I2275" i="6"/>
  <c r="I2263" i="6"/>
  <c r="I2251" i="6"/>
  <c r="I2239" i="6"/>
  <c r="I2227" i="6"/>
  <c r="I2215" i="6"/>
  <c r="I2203" i="6"/>
  <c r="I2191" i="6"/>
  <c r="I2179" i="6"/>
  <c r="I2167" i="6"/>
  <c r="I2155" i="6"/>
  <c r="I2143" i="6"/>
  <c r="I2131" i="6"/>
  <c r="I2119" i="6"/>
  <c r="I2107" i="6"/>
  <c r="I2095" i="6"/>
  <c r="I2083" i="6"/>
  <c r="I2071" i="6"/>
  <c r="I2059" i="6"/>
  <c r="I2047" i="6"/>
  <c r="I2035" i="6"/>
  <c r="I2023" i="6"/>
  <c r="I2011" i="6"/>
  <c r="I1999" i="6"/>
  <c r="I1987" i="6"/>
  <c r="I1975" i="6"/>
  <c r="I1963" i="6"/>
  <c r="I1951" i="6"/>
  <c r="I1939" i="6"/>
  <c r="I1927" i="6"/>
  <c r="I1915" i="6"/>
  <c r="I1903" i="6"/>
  <c r="I1891" i="6"/>
  <c r="I1879" i="6"/>
  <c r="I1867" i="6"/>
  <c r="I1855" i="6"/>
  <c r="I1843" i="6"/>
  <c r="I1831" i="6"/>
  <c r="I1819" i="6"/>
  <c r="I1807" i="6"/>
  <c r="I1795" i="6"/>
  <c r="I1783" i="6"/>
  <c r="I1771" i="6"/>
  <c r="I1759" i="6"/>
  <c r="I1747" i="6"/>
  <c r="I1735" i="6"/>
  <c r="I1723" i="6"/>
  <c r="I1711" i="6"/>
  <c r="I1699" i="6"/>
  <c r="I1687" i="6"/>
  <c r="I1675" i="6"/>
  <c r="I1663" i="6"/>
  <c r="I1651" i="6"/>
  <c r="I1639" i="6"/>
  <c r="I1627" i="6"/>
  <c r="I1615" i="6"/>
  <c r="I1603" i="6"/>
  <c r="I1591" i="6"/>
  <c r="I1579" i="6"/>
  <c r="I1567" i="6"/>
  <c r="I1555" i="6"/>
  <c r="I1543" i="6"/>
  <c r="I1531" i="6"/>
  <c r="I1519" i="6"/>
  <c r="I1507" i="6"/>
  <c r="I1495" i="6"/>
  <c r="I1483" i="6"/>
  <c r="I2490" i="6"/>
  <c r="I2478" i="6"/>
  <c r="I2466" i="6"/>
  <c r="I2454" i="6"/>
  <c r="I2442" i="6"/>
  <c r="I2430" i="6"/>
  <c r="I2418" i="6"/>
  <c r="I2406" i="6"/>
  <c r="I2394" i="6"/>
  <c r="I2382" i="6"/>
  <c r="I2370" i="6"/>
  <c r="I2358" i="6"/>
  <c r="I2346" i="6"/>
  <c r="I2334" i="6"/>
  <c r="I2322" i="6"/>
  <c r="I2310" i="6"/>
  <c r="I2298" i="6"/>
  <c r="I2286" i="6"/>
  <c r="I2274" i="6"/>
  <c r="I2262" i="6"/>
  <c r="I2250" i="6"/>
  <c r="I2238" i="6"/>
  <c r="I2226" i="6"/>
  <c r="I2214" i="6"/>
  <c r="I2202" i="6"/>
  <c r="I2190" i="6"/>
  <c r="I2178" i="6"/>
  <c r="I2166" i="6"/>
  <c r="I2154" i="6"/>
  <c r="I2142" i="6"/>
  <c r="I2130" i="6"/>
  <c r="I2118" i="6"/>
  <c r="I2106" i="6"/>
  <c r="I2094" i="6"/>
  <c r="I2082" i="6"/>
  <c r="I2070" i="6"/>
  <c r="I2058" i="6"/>
  <c r="I2046" i="6"/>
  <c r="I2034" i="6"/>
  <c r="I2022" i="6"/>
  <c r="I2010" i="6"/>
  <c r="I1998" i="6"/>
  <c r="I1986" i="6"/>
  <c r="I1974" i="6"/>
  <c r="I1962" i="6"/>
  <c r="I1950" i="6"/>
  <c r="I1938" i="6"/>
  <c r="I1926" i="6"/>
  <c r="I1914" i="6"/>
  <c r="I1902" i="6"/>
  <c r="I1890" i="6"/>
  <c r="I1878" i="6"/>
  <c r="I1866" i="6"/>
  <c r="I1854" i="6"/>
  <c r="I1842" i="6"/>
  <c r="I1830" i="6"/>
  <c r="I1818" i="6"/>
  <c r="I1806" i="6"/>
  <c r="I1794" i="6"/>
  <c r="I1782" i="6"/>
  <c r="I1770" i="6"/>
  <c r="I1758" i="6"/>
  <c r="I1746" i="6"/>
  <c r="I1734" i="6"/>
  <c r="I1722" i="6"/>
  <c r="I1710" i="6"/>
  <c r="I1698" i="6"/>
  <c r="I1686" i="6"/>
  <c r="I1674" i="6"/>
  <c r="I1662" i="6"/>
  <c r="I1650" i="6"/>
  <c r="I1638" i="6"/>
  <c r="I1626" i="6"/>
  <c r="I1614" i="6"/>
  <c r="I1602" i="6"/>
  <c r="I1590" i="6"/>
  <c r="I1578" i="6"/>
  <c r="I1566" i="6"/>
  <c r="I1554" i="6"/>
  <c r="I1542" i="6"/>
  <c r="I1530" i="6"/>
  <c r="I1518" i="6"/>
  <c r="I1506" i="6"/>
  <c r="I1494" i="6"/>
  <c r="I1482" i="6"/>
  <c r="I2496" i="6"/>
  <c r="I2472" i="6"/>
  <c r="I2448" i="6"/>
  <c r="I2424" i="6"/>
  <c r="I2400" i="6"/>
  <c r="I2376" i="6"/>
  <c r="I2352" i="6"/>
  <c r="I2328" i="6"/>
  <c r="I2304" i="6"/>
  <c r="I2280" i="6"/>
  <c r="I2256" i="6"/>
  <c r="I2232" i="6"/>
  <c r="I2208" i="6"/>
  <c r="I2184" i="6"/>
  <c r="I2160" i="6"/>
  <c r="I2136" i="6"/>
  <c r="I2112" i="6"/>
  <c r="I2088" i="6"/>
  <c r="I2064" i="6"/>
  <c r="I2040" i="6"/>
  <c r="I2016" i="6"/>
  <c r="I1992" i="6"/>
  <c r="I1968" i="6"/>
  <c r="I1944" i="6"/>
  <c r="I1920" i="6"/>
  <c r="I1896" i="6"/>
  <c r="I1872" i="6"/>
  <c r="I1848" i="6"/>
  <c r="I1824" i="6"/>
  <c r="I1800" i="6"/>
  <c r="I1776" i="6"/>
  <c r="I1752" i="6"/>
  <c r="I1728" i="6"/>
  <c r="I1704" i="6"/>
  <c r="I1680" i="6"/>
  <c r="I1656" i="6"/>
  <c r="I1632" i="6"/>
  <c r="I1608" i="6"/>
  <c r="I1584" i="6"/>
  <c r="I1560" i="6"/>
  <c r="I1536" i="6"/>
  <c r="I1512" i="6"/>
  <c r="I1488" i="6"/>
  <c r="I1472" i="6"/>
  <c r="I1460" i="6"/>
  <c r="I1448" i="6"/>
  <c r="I1436" i="6"/>
  <c r="I1424" i="6"/>
  <c r="I1412" i="6"/>
  <c r="I1400" i="6"/>
  <c r="I1388" i="6"/>
  <c r="I1376" i="6"/>
  <c r="I1364" i="6"/>
  <c r="I1352" i="6"/>
  <c r="I1340" i="6"/>
  <c r="I1328" i="6"/>
  <c r="I1316" i="6"/>
  <c r="I1304" i="6"/>
  <c r="I1292" i="6"/>
  <c r="I1280" i="6"/>
  <c r="I1268" i="6"/>
  <c r="I1256" i="6"/>
  <c r="I1244" i="6"/>
  <c r="I1232" i="6"/>
  <c r="I1220" i="6"/>
  <c r="I1208" i="6"/>
  <c r="I1196" i="6"/>
  <c r="I1184" i="6"/>
  <c r="I1172" i="6"/>
  <c r="I1160" i="6"/>
  <c r="I1148" i="6"/>
  <c r="I1136" i="6"/>
  <c r="I1124" i="6"/>
  <c r="I1112" i="6"/>
  <c r="I1100" i="6"/>
  <c r="I1088" i="6"/>
  <c r="I1076" i="6"/>
  <c r="I1064" i="6"/>
  <c r="I1052" i="6"/>
  <c r="I1040" i="6"/>
  <c r="I1028" i="6"/>
  <c r="I1016" i="6"/>
  <c r="I1004" i="6"/>
  <c r="I992" i="6"/>
  <c r="I980" i="6"/>
  <c r="I2489" i="6"/>
  <c r="I2465" i="6"/>
  <c r="I2441" i="6"/>
  <c r="I2417" i="6"/>
  <c r="I2393" i="6"/>
  <c r="I2369" i="6"/>
  <c r="I2345" i="6"/>
  <c r="I2321" i="6"/>
  <c r="I2297" i="6"/>
  <c r="I2273" i="6"/>
  <c r="I2249" i="6"/>
  <c r="I2225" i="6"/>
  <c r="I2201" i="6"/>
  <c r="I2177" i="6"/>
  <c r="I2153" i="6"/>
  <c r="I2129" i="6"/>
  <c r="I2105" i="6"/>
  <c r="I2081" i="6"/>
  <c r="I2057" i="6"/>
  <c r="I2033" i="6"/>
  <c r="I2009" i="6"/>
  <c r="I1985" i="6"/>
  <c r="I1961" i="6"/>
  <c r="I1937" i="6"/>
  <c r="I1913" i="6"/>
  <c r="I1889" i="6"/>
  <c r="I1865" i="6"/>
  <c r="I1841" i="6"/>
  <c r="I1817" i="6"/>
  <c r="I1793" i="6"/>
  <c r="I1769" i="6"/>
  <c r="I1745" i="6"/>
  <c r="I1721" i="6"/>
  <c r="I1697" i="6"/>
  <c r="I1673" i="6"/>
  <c r="I1649" i="6"/>
  <c r="I1625" i="6"/>
  <c r="I1601" i="6"/>
  <c r="I1577" i="6"/>
  <c r="I1553" i="6"/>
  <c r="I1529" i="6"/>
  <c r="I1505" i="6"/>
  <c r="I1485" i="6"/>
  <c r="I1470" i="6"/>
  <c r="I1458" i="6"/>
  <c r="I1446" i="6"/>
  <c r="I1434" i="6"/>
  <c r="I1422" i="6"/>
  <c r="I1410" i="6"/>
  <c r="I1398" i="6"/>
  <c r="I1386" i="6"/>
  <c r="I1374" i="6"/>
  <c r="I1362" i="6"/>
  <c r="I1350" i="6"/>
  <c r="I1338" i="6"/>
  <c r="I1326" i="6"/>
  <c r="I1314" i="6"/>
  <c r="I1302" i="6"/>
  <c r="I1290" i="6"/>
  <c r="I1278" i="6"/>
  <c r="I1266" i="6"/>
  <c r="I1254" i="6"/>
  <c r="I1242" i="6"/>
  <c r="I1230" i="6"/>
  <c r="I1218" i="6"/>
  <c r="I1206" i="6"/>
  <c r="I1194" i="6"/>
  <c r="I1182" i="6"/>
  <c r="I1170" i="6"/>
  <c r="I1158" i="6"/>
  <c r="I1146" i="6"/>
  <c r="I1134" i="6"/>
  <c r="I1122" i="6"/>
  <c r="I1110" i="6"/>
  <c r="I1098" i="6"/>
  <c r="I1086" i="6"/>
  <c r="I1074" i="6"/>
  <c r="I1062" i="6"/>
  <c r="I1050" i="6"/>
  <c r="I1038" i="6"/>
  <c r="I1026" i="6"/>
  <c r="I1014" i="6"/>
  <c r="I1002" i="6"/>
  <c r="I990" i="6"/>
  <c r="I978" i="6"/>
  <c r="I2488" i="6"/>
  <c r="I2464" i="6"/>
  <c r="I2440" i="6"/>
  <c r="I2416" i="6"/>
  <c r="I2392" i="6"/>
  <c r="I2368" i="6"/>
  <c r="I2344" i="6"/>
  <c r="I2320" i="6"/>
  <c r="I2296" i="6"/>
  <c r="I2272" i="6"/>
  <c r="I2248" i="6"/>
  <c r="I2224" i="6"/>
  <c r="I2200" i="6"/>
  <c r="I2176" i="6"/>
  <c r="I2152" i="6"/>
  <c r="I2128" i="6"/>
  <c r="I2104" i="6"/>
  <c r="I2080" i="6"/>
  <c r="I2056" i="6"/>
  <c r="I2032" i="6"/>
  <c r="I2008" i="6"/>
  <c r="I1984" i="6"/>
  <c r="I1960" i="6"/>
  <c r="I1936" i="6"/>
  <c r="I1912" i="6"/>
  <c r="I1888" i="6"/>
  <c r="I1864" i="6"/>
  <c r="I1840" i="6"/>
  <c r="I1816" i="6"/>
  <c r="I1792" i="6"/>
  <c r="I1768" i="6"/>
  <c r="I1744" i="6"/>
  <c r="I1720" i="6"/>
  <c r="I1696" i="6"/>
  <c r="I1672" i="6"/>
  <c r="I1648" i="6"/>
  <c r="I1624" i="6"/>
  <c r="I1600" i="6"/>
  <c r="I1576" i="6"/>
  <c r="I1552" i="6"/>
  <c r="I1528" i="6"/>
  <c r="I1504" i="6"/>
  <c r="I1481" i="6"/>
  <c r="I1469" i="6"/>
  <c r="I1457" i="6"/>
  <c r="I1445" i="6"/>
  <c r="I1433" i="6"/>
  <c r="I1421" i="6"/>
  <c r="I1409" i="6"/>
  <c r="I1397" i="6"/>
  <c r="I1385" i="6"/>
  <c r="I1373" i="6"/>
  <c r="I1361" i="6"/>
  <c r="I1349" i="6"/>
  <c r="I1337" i="6"/>
  <c r="I1325" i="6"/>
  <c r="I1313" i="6"/>
  <c r="I1301" i="6"/>
  <c r="I1289" i="6"/>
  <c r="I1277" i="6"/>
  <c r="I1265" i="6"/>
  <c r="I1253" i="6"/>
  <c r="I1241" i="6"/>
  <c r="I1229" i="6"/>
  <c r="I1217" i="6"/>
  <c r="I1205" i="6"/>
  <c r="I1193" i="6"/>
  <c r="I1181" i="6"/>
  <c r="I1169" i="6"/>
  <c r="I1157" i="6"/>
  <c r="I1145" i="6"/>
  <c r="I1133" i="6"/>
  <c r="I1121" i="6"/>
  <c r="I1109" i="6"/>
  <c r="I1097" i="6"/>
  <c r="I1085" i="6"/>
  <c r="I1073" i="6"/>
  <c r="I1061" i="6"/>
  <c r="I1049" i="6"/>
  <c r="I1037" i="6"/>
  <c r="I1025" i="6"/>
  <c r="I1013" i="6"/>
  <c r="I1001" i="6"/>
  <c r="I989" i="6"/>
  <c r="I977" i="6"/>
  <c r="I2486" i="6"/>
  <c r="I2462" i="6"/>
  <c r="I2438" i="6"/>
  <c r="I2414" i="6"/>
  <c r="I2390" i="6"/>
  <c r="I2366" i="6"/>
  <c r="I2342" i="6"/>
  <c r="I2318" i="6"/>
  <c r="I2294" i="6"/>
  <c r="I2270" i="6"/>
  <c r="I2246" i="6"/>
  <c r="I2222" i="6"/>
  <c r="I2198" i="6"/>
  <c r="I2174" i="6"/>
  <c r="I2150" i="6"/>
  <c r="I2126" i="6"/>
  <c r="I2102" i="6"/>
  <c r="I2078" i="6"/>
  <c r="I2054" i="6"/>
  <c r="I2030" i="6"/>
  <c r="I2006" i="6"/>
  <c r="I1982" i="6"/>
  <c r="I1958" i="6"/>
  <c r="I1934" i="6"/>
  <c r="I1910" i="6"/>
  <c r="I1886" i="6"/>
  <c r="I1862" i="6"/>
  <c r="I1838" i="6"/>
  <c r="I1814" i="6"/>
  <c r="I1790" i="6"/>
  <c r="I1766" i="6"/>
  <c r="I1742" i="6"/>
  <c r="I1718" i="6"/>
  <c r="I1694" i="6"/>
  <c r="I1670" i="6"/>
  <c r="I1646" i="6"/>
  <c r="I1622" i="6"/>
  <c r="I1598" i="6"/>
  <c r="I1574" i="6"/>
  <c r="I1550" i="6"/>
  <c r="I1526" i="6"/>
  <c r="I1502" i="6"/>
  <c r="I1479" i="6"/>
  <c r="I1467" i="6"/>
  <c r="I1455" i="6"/>
  <c r="I1443" i="6"/>
  <c r="I1431" i="6"/>
  <c r="I1419" i="6"/>
  <c r="I1407" i="6"/>
  <c r="I1395" i="6"/>
  <c r="I1383" i="6"/>
  <c r="I1371" i="6"/>
  <c r="I1359" i="6"/>
  <c r="I1347" i="6"/>
  <c r="I1335" i="6"/>
  <c r="I1323" i="6"/>
  <c r="I1311" i="6"/>
  <c r="I1299" i="6"/>
  <c r="I1287" i="6"/>
  <c r="I1275" i="6"/>
  <c r="I1263" i="6"/>
  <c r="I1251" i="6"/>
  <c r="I1239" i="6"/>
  <c r="I1227" i="6"/>
  <c r="I1215" i="6"/>
  <c r="I1203" i="6"/>
  <c r="I1191" i="6"/>
  <c r="I1179" i="6"/>
  <c r="I1167" i="6"/>
  <c r="I1155" i="6"/>
  <c r="I1143" i="6"/>
  <c r="I1131" i="6"/>
  <c r="I1119" i="6"/>
  <c r="I1107" i="6"/>
  <c r="I1095" i="6"/>
  <c r="I1083" i="6"/>
  <c r="I1071" i="6"/>
  <c r="I1059" i="6"/>
  <c r="I1047" i="6"/>
  <c r="I1035" i="6"/>
  <c r="I1023" i="6"/>
  <c r="I1011" i="6"/>
  <c r="I999" i="6"/>
  <c r="I987" i="6"/>
  <c r="I975" i="6"/>
  <c r="I2484" i="6"/>
  <c r="I2460" i="6"/>
  <c r="I2436" i="6"/>
  <c r="I2412" i="6"/>
  <c r="I2388" i="6"/>
  <c r="I2364" i="6"/>
  <c r="I2340" i="6"/>
  <c r="I2316" i="6"/>
  <c r="I2292" i="6"/>
  <c r="I2268" i="6"/>
  <c r="I2244" i="6"/>
  <c r="I2220" i="6"/>
  <c r="I2196" i="6"/>
  <c r="I2172" i="6"/>
  <c r="I2148" i="6"/>
  <c r="I2124" i="6"/>
  <c r="I2100" i="6"/>
  <c r="I2076" i="6"/>
  <c r="I2052" i="6"/>
  <c r="I2028" i="6"/>
  <c r="I2004" i="6"/>
  <c r="I1980" i="6"/>
  <c r="I1956" i="6"/>
  <c r="I1932" i="6"/>
  <c r="I1908" i="6"/>
  <c r="I1884" i="6"/>
  <c r="I1860" i="6"/>
  <c r="I1836" i="6"/>
  <c r="I1812" i="6"/>
  <c r="I1788" i="6"/>
  <c r="I1764" i="6"/>
  <c r="I1740" i="6"/>
  <c r="I1716" i="6"/>
  <c r="I1692" i="6"/>
  <c r="I1668" i="6"/>
  <c r="I1644" i="6"/>
  <c r="I1620" i="6"/>
  <c r="I1596" i="6"/>
  <c r="I1572" i="6"/>
  <c r="I1548" i="6"/>
  <c r="I1524" i="6"/>
  <c r="I1500" i="6"/>
  <c r="I1478" i="6"/>
  <c r="I1466" i="6"/>
  <c r="I1454" i="6"/>
  <c r="I1442" i="6"/>
  <c r="I1430" i="6"/>
  <c r="I1418" i="6"/>
  <c r="I1406" i="6"/>
  <c r="I1394" i="6"/>
  <c r="I1382" i="6"/>
  <c r="I1370" i="6"/>
  <c r="I1358" i="6"/>
  <c r="I1346" i="6"/>
  <c r="I1334" i="6"/>
  <c r="I1322" i="6"/>
  <c r="I1310" i="6"/>
  <c r="I1298" i="6"/>
  <c r="I1286" i="6"/>
  <c r="I1274" i="6"/>
  <c r="I1262" i="6"/>
  <c r="I1250" i="6"/>
  <c r="I1238" i="6"/>
  <c r="I1226" i="6"/>
  <c r="I1214" i="6"/>
  <c r="I1202" i="6"/>
  <c r="I1190" i="6"/>
  <c r="I1178" i="6"/>
  <c r="I1166" i="6"/>
  <c r="I1154" i="6"/>
  <c r="I1142" i="6"/>
  <c r="I1130" i="6"/>
  <c r="I1118" i="6"/>
  <c r="I1106" i="6"/>
  <c r="I1094" i="6"/>
  <c r="I1082" i="6"/>
  <c r="I1070" i="6"/>
  <c r="I1058" i="6"/>
  <c r="I1046" i="6"/>
  <c r="I1034" i="6"/>
  <c r="I1022" i="6"/>
  <c r="I1010" i="6"/>
  <c r="I998" i="6"/>
  <c r="I986" i="6"/>
  <c r="I974" i="6"/>
  <c r="I2481" i="6"/>
  <c r="I2457" i="6"/>
  <c r="I2433" i="6"/>
  <c r="I2409" i="6"/>
  <c r="I2385" i="6"/>
  <c r="I2361" i="6"/>
  <c r="I2337" i="6"/>
  <c r="I2313" i="6"/>
  <c r="I2289" i="6"/>
  <c r="I2265" i="6"/>
  <c r="I2241" i="6"/>
  <c r="I2217" i="6"/>
  <c r="I2193" i="6"/>
  <c r="I2169" i="6"/>
  <c r="I2145" i="6"/>
  <c r="I2121" i="6"/>
  <c r="I2097" i="6"/>
  <c r="I2073" i="6"/>
  <c r="I2049" i="6"/>
  <c r="I2025" i="6"/>
  <c r="I2001" i="6"/>
  <c r="I1977" i="6"/>
  <c r="I1953" i="6"/>
  <c r="I1929" i="6"/>
  <c r="I1905" i="6"/>
  <c r="I1881" i="6"/>
  <c r="I1857" i="6"/>
  <c r="I1833" i="6"/>
  <c r="I1809" i="6"/>
  <c r="I1785" i="6"/>
  <c r="I1761" i="6"/>
  <c r="I1737" i="6"/>
  <c r="I1713" i="6"/>
  <c r="I1689" i="6"/>
  <c r="I1665" i="6"/>
  <c r="I1641" i="6"/>
  <c r="I1617" i="6"/>
  <c r="I1593" i="6"/>
  <c r="I1569" i="6"/>
  <c r="I1545" i="6"/>
  <c r="I1521" i="6"/>
  <c r="I1497" i="6"/>
  <c r="I1477" i="6"/>
  <c r="I1465" i="6"/>
  <c r="I1453" i="6"/>
  <c r="I1441" i="6"/>
  <c r="I1429" i="6"/>
  <c r="I1417" i="6"/>
  <c r="I1405" i="6"/>
  <c r="I1393" i="6"/>
  <c r="I1381" i="6"/>
  <c r="I1369" i="6"/>
  <c r="I1357" i="6"/>
  <c r="I1345" i="6"/>
  <c r="I1333" i="6"/>
  <c r="I1321" i="6"/>
  <c r="I1309" i="6"/>
  <c r="I1297" i="6"/>
  <c r="I1285" i="6"/>
  <c r="I1273" i="6"/>
  <c r="I1261" i="6"/>
  <c r="I1249" i="6"/>
  <c r="I1237" i="6"/>
  <c r="I1225" i="6"/>
  <c r="I1213" i="6"/>
  <c r="I1201" i="6"/>
  <c r="I1189" i="6"/>
  <c r="I1177" i="6"/>
  <c r="I1165" i="6"/>
  <c r="I1153" i="6"/>
  <c r="I1141" i="6"/>
  <c r="I1129" i="6"/>
  <c r="I1117" i="6"/>
  <c r="I1105" i="6"/>
  <c r="I1093" i="6"/>
  <c r="I1081" i="6"/>
  <c r="I1069" i="6"/>
  <c r="I1057" i="6"/>
  <c r="I1045" i="6"/>
  <c r="I1033" i="6"/>
  <c r="I1021" i="6"/>
  <c r="I1009" i="6"/>
  <c r="I997" i="6"/>
  <c r="I985" i="6"/>
  <c r="I2493" i="6"/>
  <c r="I2445" i="6"/>
  <c r="I2397" i="6"/>
  <c r="I2349" i="6"/>
  <c r="I2301" i="6"/>
  <c r="I2253" i="6"/>
  <c r="I2205" i="6"/>
  <c r="I2157" i="6"/>
  <c r="I2109" i="6"/>
  <c r="I2061" i="6"/>
  <c r="I2013" i="6"/>
  <c r="I1965" i="6"/>
  <c r="I1917" i="6"/>
  <c r="I1869" i="6"/>
  <c r="I1821" i="6"/>
  <c r="I1773" i="6"/>
  <c r="I1725" i="6"/>
  <c r="I1677" i="6"/>
  <c r="I1629" i="6"/>
  <c r="I1581" i="6"/>
  <c r="I1533" i="6"/>
  <c r="I1486" i="6"/>
  <c r="I1459" i="6"/>
  <c r="I1435" i="6"/>
  <c r="I1411" i="6"/>
  <c r="I1387" i="6"/>
  <c r="I1363" i="6"/>
  <c r="I1339" i="6"/>
  <c r="I1315" i="6"/>
  <c r="I1291" i="6"/>
  <c r="I1267" i="6"/>
  <c r="I1243" i="6"/>
  <c r="I1219" i="6"/>
  <c r="I1195" i="6"/>
  <c r="I1171" i="6"/>
  <c r="I1147" i="6"/>
  <c r="I1123" i="6"/>
  <c r="I1099" i="6"/>
  <c r="I1075" i="6"/>
  <c r="I1051" i="6"/>
  <c r="I1027" i="6"/>
  <c r="I1003" i="6"/>
  <c r="I979" i="6"/>
  <c r="I963" i="6"/>
  <c r="I951" i="6"/>
  <c r="I939" i="6"/>
  <c r="I927" i="6"/>
  <c r="I915" i="6"/>
  <c r="I903" i="6"/>
  <c r="I891" i="6"/>
  <c r="I879" i="6"/>
  <c r="I867" i="6"/>
  <c r="I855" i="6"/>
  <c r="I843" i="6"/>
  <c r="I831" i="6"/>
  <c r="I819" i="6"/>
  <c r="I807" i="6"/>
  <c r="I795" i="6"/>
  <c r="I783" i="6"/>
  <c r="I771" i="6"/>
  <c r="I759" i="6"/>
  <c r="I747" i="6"/>
  <c r="I735" i="6"/>
  <c r="I723" i="6"/>
  <c r="I711" i="6"/>
  <c r="I699" i="6"/>
  <c r="I687" i="6"/>
  <c r="I675" i="6"/>
  <c r="I663" i="6"/>
  <c r="I651" i="6"/>
  <c r="I639" i="6"/>
  <c r="I627" i="6"/>
  <c r="I615" i="6"/>
  <c r="I603" i="6"/>
  <c r="I591" i="6"/>
  <c r="I579" i="6"/>
  <c r="I567" i="6"/>
  <c r="I555" i="6"/>
  <c r="I543" i="6"/>
  <c r="I531" i="6"/>
  <c r="I519" i="6"/>
  <c r="I507" i="6"/>
  <c r="I495" i="6"/>
  <c r="I483" i="6"/>
  <c r="I471" i="6"/>
  <c r="I459" i="6"/>
  <c r="I447" i="6"/>
  <c r="I2477" i="6"/>
  <c r="I2429" i="6"/>
  <c r="I2381" i="6"/>
  <c r="I2333" i="6"/>
  <c r="I2285" i="6"/>
  <c r="I2237" i="6"/>
  <c r="I2189" i="6"/>
  <c r="I2141" i="6"/>
  <c r="I2093" i="6"/>
  <c r="I2045" i="6"/>
  <c r="I1997" i="6"/>
  <c r="I1949" i="6"/>
  <c r="I1901" i="6"/>
  <c r="I1853" i="6"/>
  <c r="I1805" i="6"/>
  <c r="I1757" i="6"/>
  <c r="I1709" i="6"/>
  <c r="I1661" i="6"/>
  <c r="I1613" i="6"/>
  <c r="I1565" i="6"/>
  <c r="I1517" i="6"/>
  <c r="I1476" i="6"/>
  <c r="I1452" i="6"/>
  <c r="I1428" i="6"/>
  <c r="I1404" i="6"/>
  <c r="I1380" i="6"/>
  <c r="I1356" i="6"/>
  <c r="I1332" i="6"/>
  <c r="I1308" i="6"/>
  <c r="I1284" i="6"/>
  <c r="I1260" i="6"/>
  <c r="I1236" i="6"/>
  <c r="I1212" i="6"/>
  <c r="I1188" i="6"/>
  <c r="I1164" i="6"/>
  <c r="I1140" i="6"/>
  <c r="I1116" i="6"/>
  <c r="I1092" i="6"/>
  <c r="I1068" i="6"/>
  <c r="I1044" i="6"/>
  <c r="I1020" i="6"/>
  <c r="I996" i="6"/>
  <c r="I973" i="6"/>
  <c r="I961" i="6"/>
  <c r="I949" i="6"/>
  <c r="I937" i="6"/>
  <c r="I925" i="6"/>
  <c r="I913" i="6"/>
  <c r="I901" i="6"/>
  <c r="I889" i="6"/>
  <c r="I877" i="6"/>
  <c r="I865" i="6"/>
  <c r="I853" i="6"/>
  <c r="I841" i="6"/>
  <c r="I829" i="6"/>
  <c r="I817" i="6"/>
  <c r="I805" i="6"/>
  <c r="I793" i="6"/>
  <c r="I781" i="6"/>
  <c r="I769" i="6"/>
  <c r="I757" i="6"/>
  <c r="I745" i="6"/>
  <c r="I733" i="6"/>
  <c r="I721" i="6"/>
  <c r="I709" i="6"/>
  <c r="I697" i="6"/>
  <c r="I685" i="6"/>
  <c r="I673" i="6"/>
  <c r="I661" i="6"/>
  <c r="I649" i="6"/>
  <c r="I637" i="6"/>
  <c r="I625" i="6"/>
  <c r="I613" i="6"/>
  <c r="I601" i="6"/>
  <c r="I589" i="6"/>
  <c r="I577" i="6"/>
  <c r="I2476" i="6"/>
  <c r="I2428" i="6"/>
  <c r="I2380" i="6"/>
  <c r="I2332" i="6"/>
  <c r="I2284" i="6"/>
  <c r="I2236" i="6"/>
  <c r="I2188" i="6"/>
  <c r="I2140" i="6"/>
  <c r="I2092" i="6"/>
  <c r="I2044" i="6"/>
  <c r="I1996" i="6"/>
  <c r="I1948" i="6"/>
  <c r="I1900" i="6"/>
  <c r="I1852" i="6"/>
  <c r="I1804" i="6"/>
  <c r="I1756" i="6"/>
  <c r="I1708" i="6"/>
  <c r="I1660" i="6"/>
  <c r="I1612" i="6"/>
  <c r="I1564" i="6"/>
  <c r="I1516" i="6"/>
  <c r="I1475" i="6"/>
  <c r="I1451" i="6"/>
  <c r="I1427" i="6"/>
  <c r="I1403" i="6"/>
  <c r="I1379" i="6"/>
  <c r="I1355" i="6"/>
  <c r="I1331" i="6"/>
  <c r="I1307" i="6"/>
  <c r="I1283" i="6"/>
  <c r="I1259" i="6"/>
  <c r="I1235" i="6"/>
  <c r="I1211" i="6"/>
  <c r="I1187" i="6"/>
  <c r="I1163" i="6"/>
  <c r="I1139" i="6"/>
  <c r="I1115" i="6"/>
  <c r="I1091" i="6"/>
  <c r="I1067" i="6"/>
  <c r="I1043" i="6"/>
  <c r="I1019" i="6"/>
  <c r="I995" i="6"/>
  <c r="I972" i="6"/>
  <c r="I960" i="6"/>
  <c r="I948" i="6"/>
  <c r="I936" i="6"/>
  <c r="I924" i="6"/>
  <c r="I912" i="6"/>
  <c r="I900" i="6"/>
  <c r="I888" i="6"/>
  <c r="I876" i="6"/>
  <c r="I864" i="6"/>
  <c r="I852" i="6"/>
  <c r="I840" i="6"/>
  <c r="I828" i="6"/>
  <c r="I816" i="6"/>
  <c r="I804" i="6"/>
  <c r="I792" i="6"/>
  <c r="I780" i="6"/>
  <c r="I768" i="6"/>
  <c r="I756" i="6"/>
  <c r="I744" i="6"/>
  <c r="I732" i="6"/>
  <c r="I720" i="6"/>
  <c r="I708" i="6"/>
  <c r="I696" i="6"/>
  <c r="I684" i="6"/>
  <c r="I672" i="6"/>
  <c r="I660" i="6"/>
  <c r="I648" i="6"/>
  <c r="I636" i="6"/>
  <c r="I624" i="6"/>
  <c r="I612" i="6"/>
  <c r="I600" i="6"/>
  <c r="I588" i="6"/>
  <c r="I576" i="6"/>
  <c r="I2474" i="6"/>
  <c r="I2426" i="6"/>
  <c r="I2378" i="6"/>
  <c r="I2330" i="6"/>
  <c r="I2282" i="6"/>
  <c r="I2234" i="6"/>
  <c r="I2186" i="6"/>
  <c r="I2138" i="6"/>
  <c r="I2090" i="6"/>
  <c r="I2042" i="6"/>
  <c r="I2469" i="6"/>
  <c r="I2421" i="6"/>
  <c r="I2373" i="6"/>
  <c r="I2325" i="6"/>
  <c r="I2277" i="6"/>
  <c r="I2229" i="6"/>
  <c r="I2181" i="6"/>
  <c r="I2133" i="6"/>
  <c r="I2085" i="6"/>
  <c r="I2037" i="6"/>
  <c r="I1989" i="6"/>
  <c r="I1941" i="6"/>
  <c r="I1893" i="6"/>
  <c r="I1845" i="6"/>
  <c r="I1797" i="6"/>
  <c r="I1749" i="6"/>
  <c r="I1701" i="6"/>
  <c r="I1653" i="6"/>
  <c r="I1605" i="6"/>
  <c r="I1557" i="6"/>
  <c r="I1509" i="6"/>
  <c r="I1471" i="6"/>
  <c r="I1447" i="6"/>
  <c r="I1423" i="6"/>
  <c r="I1399" i="6"/>
  <c r="I1375" i="6"/>
  <c r="I1351" i="6"/>
  <c r="I1327" i="6"/>
  <c r="I1303" i="6"/>
  <c r="I1279" i="6"/>
  <c r="I1255" i="6"/>
  <c r="I1231" i="6"/>
  <c r="I1207" i="6"/>
  <c r="I1183" i="6"/>
  <c r="I1159" i="6"/>
  <c r="I1135" i="6"/>
  <c r="I1111" i="6"/>
  <c r="I1087" i="6"/>
  <c r="I1063" i="6"/>
  <c r="I1039" i="6"/>
  <c r="I1015" i="6"/>
  <c r="I991" i="6"/>
  <c r="I969" i="6"/>
  <c r="I957" i="6"/>
  <c r="I945" i="6"/>
  <c r="I933" i="6"/>
  <c r="I921" i="6"/>
  <c r="I909" i="6"/>
  <c r="I897" i="6"/>
  <c r="I885" i="6"/>
  <c r="I873" i="6"/>
  <c r="I861" i="6"/>
  <c r="I849" i="6"/>
  <c r="I837" i="6"/>
  <c r="I825" i="6"/>
  <c r="I813" i="6"/>
  <c r="I801" i="6"/>
  <c r="I789" i="6"/>
  <c r="I777" i="6"/>
  <c r="I765" i="6"/>
  <c r="I753" i="6"/>
  <c r="I741" i="6"/>
  <c r="I729" i="6"/>
  <c r="I717" i="6"/>
  <c r="I705" i="6"/>
  <c r="I693" i="6"/>
  <c r="I681" i="6"/>
  <c r="I669" i="6"/>
  <c r="I657" i="6"/>
  <c r="I645" i="6"/>
  <c r="I633" i="6"/>
  <c r="I621" i="6"/>
  <c r="I609" i="6"/>
  <c r="I597" i="6"/>
  <c r="I585" i="6"/>
  <c r="I573" i="6"/>
  <c r="I2463" i="6"/>
  <c r="I2415" i="6"/>
  <c r="I2367" i="6"/>
  <c r="I2319" i="6"/>
  <c r="I2271" i="6"/>
  <c r="I2223" i="6"/>
  <c r="I2175" i="6"/>
  <c r="I2127" i="6"/>
  <c r="I2079" i="6"/>
  <c r="I2031" i="6"/>
  <c r="I1983" i="6"/>
  <c r="I1935" i="6"/>
  <c r="I1887" i="6"/>
  <c r="I1839" i="6"/>
  <c r="I1791" i="6"/>
  <c r="I1743" i="6"/>
  <c r="I1695" i="6"/>
  <c r="I1647" i="6"/>
  <c r="I1599" i="6"/>
  <c r="I1551" i="6"/>
  <c r="I1503" i="6"/>
  <c r="I1468" i="6"/>
  <c r="I1444" i="6"/>
  <c r="I1420" i="6"/>
  <c r="I1396" i="6"/>
  <c r="I1372" i="6"/>
  <c r="I1348" i="6"/>
  <c r="I1324" i="6"/>
  <c r="I1300" i="6"/>
  <c r="I1276" i="6"/>
  <c r="I1252" i="6"/>
  <c r="I1228" i="6"/>
  <c r="I1204" i="6"/>
  <c r="I1180" i="6"/>
  <c r="I1156" i="6"/>
  <c r="I1132" i="6"/>
  <c r="I1108" i="6"/>
  <c r="I1084" i="6"/>
  <c r="I1060" i="6"/>
  <c r="I1036" i="6"/>
  <c r="I1012" i="6"/>
  <c r="I988" i="6"/>
  <c r="I968" i="6"/>
  <c r="I956" i="6"/>
  <c r="I944" i="6"/>
  <c r="I932" i="6"/>
  <c r="I920" i="6"/>
  <c r="I908" i="6"/>
  <c r="I896" i="6"/>
  <c r="I884" i="6"/>
  <c r="I872" i="6"/>
  <c r="I860" i="6"/>
  <c r="I848" i="6"/>
  <c r="I836" i="6"/>
  <c r="I824" i="6"/>
  <c r="I812" i="6"/>
  <c r="I800" i="6"/>
  <c r="I788" i="6"/>
  <c r="I776" i="6"/>
  <c r="I764" i="6"/>
  <c r="I752" i="6"/>
  <c r="I740" i="6"/>
  <c r="I728" i="6"/>
  <c r="I716" i="6"/>
  <c r="I704" i="6"/>
  <c r="I692" i="6"/>
  <c r="I680" i="6"/>
  <c r="I668" i="6"/>
  <c r="I656" i="6"/>
  <c r="I644" i="6"/>
  <c r="I632" i="6"/>
  <c r="I620" i="6"/>
  <c r="I608" i="6"/>
  <c r="I596" i="6"/>
  <c r="I584" i="6"/>
  <c r="I572" i="6"/>
  <c r="I560" i="6"/>
  <c r="I548" i="6"/>
  <c r="I536" i="6"/>
  <c r="I524" i="6"/>
  <c r="I512" i="6"/>
  <c r="I500" i="6"/>
  <c r="I488" i="6"/>
  <c r="I476" i="6"/>
  <c r="I464" i="6"/>
  <c r="I2487" i="6"/>
  <c r="I2391" i="6"/>
  <c r="I2295" i="6"/>
  <c r="I2199" i="6"/>
  <c r="I2103" i="6"/>
  <c r="I2007" i="6"/>
  <c r="I1923" i="6"/>
  <c r="I1829" i="6"/>
  <c r="I1755" i="6"/>
  <c r="I1682" i="6"/>
  <c r="I1588" i="6"/>
  <c r="I1514" i="6"/>
  <c r="I1456" i="6"/>
  <c r="I1414" i="6"/>
  <c r="I1368" i="6"/>
  <c r="I1330" i="6"/>
  <c r="I1293" i="6"/>
  <c r="I1247" i="6"/>
  <c r="I1209" i="6"/>
  <c r="I1168" i="6"/>
  <c r="I1126" i="6"/>
  <c r="I1080" i="6"/>
  <c r="I1042" i="6"/>
  <c r="I1005" i="6"/>
  <c r="I966" i="6"/>
  <c r="I946" i="6"/>
  <c r="I926" i="6"/>
  <c r="I905" i="6"/>
  <c r="I883" i="6"/>
  <c r="I863" i="6"/>
  <c r="I844" i="6"/>
  <c r="I822" i="6"/>
  <c r="I802" i="6"/>
  <c r="I782" i="6"/>
  <c r="I761" i="6"/>
  <c r="I739" i="6"/>
  <c r="I719" i="6"/>
  <c r="I700" i="6"/>
  <c r="I678" i="6"/>
  <c r="I658" i="6"/>
  <c r="I638" i="6"/>
  <c r="I617" i="6"/>
  <c r="I595" i="6"/>
  <c r="I575" i="6"/>
  <c r="I559" i="6"/>
  <c r="I545" i="6"/>
  <c r="I530" i="6"/>
  <c r="I516" i="6"/>
  <c r="I502" i="6"/>
  <c r="I487" i="6"/>
  <c r="I473" i="6"/>
  <c r="I458" i="6"/>
  <c r="I445" i="6"/>
  <c r="I433" i="6"/>
  <c r="I421" i="6"/>
  <c r="I409" i="6"/>
  <c r="I397" i="6"/>
  <c r="I385" i="6"/>
  <c r="I373" i="6"/>
  <c r="I361" i="6"/>
  <c r="I349" i="6"/>
  <c r="I337" i="6"/>
  <c r="I325" i="6"/>
  <c r="I313" i="6"/>
  <c r="I301" i="6"/>
  <c r="I289" i="6"/>
  <c r="I277" i="6"/>
  <c r="I265" i="6"/>
  <c r="I253" i="6"/>
  <c r="I241" i="6"/>
  <c r="I229" i="6"/>
  <c r="I217" i="6"/>
  <c r="I205" i="6"/>
  <c r="I193" i="6"/>
  <c r="I181" i="6"/>
  <c r="I169" i="6"/>
  <c r="I157" i="6"/>
  <c r="I145" i="6"/>
  <c r="I133" i="6"/>
  <c r="I121" i="6"/>
  <c r="I109" i="6"/>
  <c r="I97" i="6"/>
  <c r="I85" i="6"/>
  <c r="I73" i="6"/>
  <c r="I61" i="6"/>
  <c r="I49" i="6"/>
  <c r="I2452" i="6"/>
  <c r="I2356" i="6"/>
  <c r="I2260" i="6"/>
  <c r="I2164" i="6"/>
  <c r="I2068" i="6"/>
  <c r="I1973" i="6"/>
  <c r="I1899" i="6"/>
  <c r="I1826" i="6"/>
  <c r="I1732" i="6"/>
  <c r="I1658" i="6"/>
  <c r="I1575" i="6"/>
  <c r="I1491" i="6"/>
  <c r="I1440" i="6"/>
  <c r="I1402" i="6"/>
  <c r="I1365" i="6"/>
  <c r="I1319" i="6"/>
  <c r="I1281" i="6"/>
  <c r="I1240" i="6"/>
  <c r="I1198" i="6"/>
  <c r="I1152" i="6"/>
  <c r="I1114" i="6"/>
  <c r="I1077" i="6"/>
  <c r="I1031" i="6"/>
  <c r="I993" i="6"/>
  <c r="I962" i="6"/>
  <c r="I941" i="6"/>
  <c r="I919" i="6"/>
  <c r="I899" i="6"/>
  <c r="I880" i="6"/>
  <c r="I858" i="6"/>
  <c r="I838" i="6"/>
  <c r="I818" i="6"/>
  <c r="I797" i="6"/>
  <c r="I775" i="6"/>
  <c r="I755" i="6"/>
  <c r="I736" i="6"/>
  <c r="I714" i="6"/>
  <c r="I694" i="6"/>
  <c r="I674" i="6"/>
  <c r="I653" i="6"/>
  <c r="I631" i="6"/>
  <c r="I611" i="6"/>
  <c r="I592" i="6"/>
  <c r="I570" i="6"/>
  <c r="I556" i="6"/>
  <c r="I541" i="6"/>
  <c r="I527" i="6"/>
  <c r="I513" i="6"/>
  <c r="I498" i="6"/>
  <c r="I484" i="6"/>
  <c r="I469" i="6"/>
  <c r="I455" i="6"/>
  <c r="I442" i="6"/>
  <c r="I430" i="6"/>
  <c r="I418" i="6"/>
  <c r="I406" i="6"/>
  <c r="I394" i="6"/>
  <c r="I382" i="6"/>
  <c r="I370" i="6"/>
  <c r="I358" i="6"/>
  <c r="I346" i="6"/>
  <c r="I334" i="6"/>
  <c r="I322" i="6"/>
  <c r="I310" i="6"/>
  <c r="I298" i="6"/>
  <c r="I286" i="6"/>
  <c r="I274" i="6"/>
  <c r="I262" i="6"/>
  <c r="I250" i="6"/>
  <c r="I238" i="6"/>
  <c r="I226" i="6"/>
  <c r="I214" i="6"/>
  <c r="I202" i="6"/>
  <c r="I190" i="6"/>
  <c r="I178" i="6"/>
  <c r="I166" i="6"/>
  <c r="I154" i="6"/>
  <c r="I142" i="6"/>
  <c r="I130" i="6"/>
  <c r="I118" i="6"/>
  <c r="I106" i="6"/>
  <c r="I94" i="6"/>
  <c r="I82" i="6"/>
  <c r="I70" i="6"/>
  <c r="I58" i="6"/>
  <c r="I2450" i="6"/>
  <c r="I2354" i="6"/>
  <c r="I2258" i="6"/>
  <c r="I2162" i="6"/>
  <c r="I2066" i="6"/>
  <c r="I1971" i="6"/>
  <c r="I1877" i="6"/>
  <c r="I1803" i="6"/>
  <c r="I1730" i="6"/>
  <c r="I1636" i="6"/>
  <c r="I1562" i="6"/>
  <c r="I1480" i="6"/>
  <c r="I1438" i="6"/>
  <c r="I1392" i="6"/>
  <c r="I1354" i="6"/>
  <c r="I2475" i="6"/>
  <c r="I2343" i="6"/>
  <c r="I2212" i="6"/>
  <c r="I2091" i="6"/>
  <c r="I1970" i="6"/>
  <c r="I1863" i="6"/>
  <c r="I1754" i="6"/>
  <c r="I1635" i="6"/>
  <c r="I1538" i="6"/>
  <c r="I1450" i="6"/>
  <c r="I1391" i="6"/>
  <c r="I1342" i="6"/>
  <c r="I1294" i="6"/>
  <c r="I1245" i="6"/>
  <c r="I1192" i="6"/>
  <c r="I1144" i="6"/>
  <c r="I1096" i="6"/>
  <c r="I1048" i="6"/>
  <c r="I994" i="6"/>
  <c r="I958" i="6"/>
  <c r="I934" i="6"/>
  <c r="I910" i="6"/>
  <c r="I886" i="6"/>
  <c r="I859" i="6"/>
  <c r="I834" i="6"/>
  <c r="I810" i="6"/>
  <c r="I786" i="6"/>
  <c r="I762" i="6"/>
  <c r="I737" i="6"/>
  <c r="I712" i="6"/>
  <c r="I688" i="6"/>
  <c r="I664" i="6"/>
  <c r="I640" i="6"/>
  <c r="I614" i="6"/>
  <c r="I587" i="6"/>
  <c r="I565" i="6"/>
  <c r="I549" i="6"/>
  <c r="I532" i="6"/>
  <c r="I514" i="6"/>
  <c r="I496" i="6"/>
  <c r="I479" i="6"/>
  <c r="I462" i="6"/>
  <c r="I446" i="6"/>
  <c r="I431" i="6"/>
  <c r="I416" i="6"/>
  <c r="I402" i="6"/>
  <c r="I388" i="6"/>
  <c r="I374" i="6"/>
  <c r="I359" i="6"/>
  <c r="I344" i="6"/>
  <c r="I330" i="6"/>
  <c r="I316" i="6"/>
  <c r="I302" i="6"/>
  <c r="I287" i="6"/>
  <c r="I272" i="6"/>
  <c r="I258" i="6"/>
  <c r="I244" i="6"/>
  <c r="I230" i="6"/>
  <c r="I215" i="6"/>
  <c r="I200" i="6"/>
  <c r="I186" i="6"/>
  <c r="I172" i="6"/>
  <c r="I158" i="6"/>
  <c r="I143" i="6"/>
  <c r="I128" i="6"/>
  <c r="I114" i="6"/>
  <c r="I100" i="6"/>
  <c r="I86" i="6"/>
  <c r="I71" i="6"/>
  <c r="I56" i="6"/>
  <c r="I43" i="6"/>
  <c r="I31" i="6"/>
  <c r="I19" i="6"/>
  <c r="I7" i="6"/>
  <c r="I2451" i="6"/>
  <c r="I2309" i="6"/>
  <c r="I2210" i="6"/>
  <c r="I2067" i="6"/>
  <c r="I1947" i="6"/>
  <c r="I1850" i="6"/>
  <c r="I1731" i="6"/>
  <c r="I1623" i="6"/>
  <c r="I1515" i="6"/>
  <c r="I1439" i="6"/>
  <c r="I1389" i="6"/>
  <c r="I1336" i="6"/>
  <c r="I1282" i="6"/>
  <c r="I1233" i="6"/>
  <c r="I1185" i="6"/>
  <c r="I1137" i="6"/>
  <c r="I1089" i="6"/>
  <c r="I1032" i="6"/>
  <c r="I983" i="6"/>
  <c r="I954" i="6"/>
  <c r="I930" i="6"/>
  <c r="I906" i="6"/>
  <c r="I881" i="6"/>
  <c r="I856" i="6"/>
  <c r="I832" i="6"/>
  <c r="I808" i="6"/>
  <c r="I784" i="6"/>
  <c r="I758" i="6"/>
  <c r="I731" i="6"/>
  <c r="I707" i="6"/>
  <c r="I683" i="6"/>
  <c r="I659" i="6"/>
  <c r="I634" i="6"/>
  <c r="I607" i="6"/>
  <c r="I583" i="6"/>
  <c r="I563" i="6"/>
  <c r="I546" i="6"/>
  <c r="I2439" i="6"/>
  <c r="I2308" i="6"/>
  <c r="I2187" i="6"/>
  <c r="I2055" i="6"/>
  <c r="I1946" i="6"/>
  <c r="I1828" i="6"/>
  <c r="I1719" i="6"/>
  <c r="I1611" i="6"/>
  <c r="I1493" i="6"/>
  <c r="I1437" i="6"/>
  <c r="I1384" i="6"/>
  <c r="I1329" i="6"/>
  <c r="I1272" i="6"/>
  <c r="I1224" i="6"/>
  <c r="I1176" i="6"/>
  <c r="I1128" i="6"/>
  <c r="I1079" i="6"/>
  <c r="I1030" i="6"/>
  <c r="I982" i="6"/>
  <c r="I953" i="6"/>
  <c r="I929" i="6"/>
  <c r="I904" i="6"/>
  <c r="I878" i="6"/>
  <c r="I854" i="6"/>
  <c r="I830" i="6"/>
  <c r="I806" i="6"/>
  <c r="I779" i="6"/>
  <c r="I754" i="6"/>
  <c r="I730" i="6"/>
  <c r="I706" i="6"/>
  <c r="I682" i="6"/>
  <c r="I655" i="6"/>
  <c r="I630" i="6"/>
  <c r="I606" i="6"/>
  <c r="I582" i="6"/>
  <c r="I562" i="6"/>
  <c r="I544" i="6"/>
  <c r="I526" i="6"/>
  <c r="I509" i="6"/>
  <c r="I492" i="6"/>
  <c r="I475" i="6"/>
  <c r="I457" i="6"/>
  <c r="I441" i="6"/>
  <c r="I427" i="6"/>
  <c r="I413" i="6"/>
  <c r="I399" i="6"/>
  <c r="I384" i="6"/>
  <c r="I369" i="6"/>
  <c r="I355" i="6"/>
  <c r="I341" i="6"/>
  <c r="I327" i="6"/>
  <c r="I312" i="6"/>
  <c r="I297" i="6"/>
  <c r="I283" i="6"/>
  <c r="I269" i="6"/>
  <c r="I255" i="6"/>
  <c r="I240" i="6"/>
  <c r="I225" i="6"/>
  <c r="I211" i="6"/>
  <c r="I197" i="6"/>
  <c r="I183" i="6"/>
  <c r="I168" i="6"/>
  <c r="I153" i="6"/>
  <c r="I139" i="6"/>
  <c r="I125" i="6"/>
  <c r="I111" i="6"/>
  <c r="I96" i="6"/>
  <c r="I81" i="6"/>
  <c r="I67" i="6"/>
  <c r="I53" i="6"/>
  <c r="I40" i="6"/>
  <c r="I28" i="6"/>
  <c r="I16" i="6"/>
  <c r="I4" i="6"/>
  <c r="I2405" i="6"/>
  <c r="I2306" i="6"/>
  <c r="I2163" i="6"/>
  <c r="I2021" i="6"/>
  <c r="I1924" i="6"/>
  <c r="I1815" i="6"/>
  <c r="I1706" i="6"/>
  <c r="I1589" i="6"/>
  <c r="I1490" i="6"/>
  <c r="I1426" i="6"/>
  <c r="I1377" i="6"/>
  <c r="I1318" i="6"/>
  <c r="I1270" i="6"/>
  <c r="I1222" i="6"/>
  <c r="I1174" i="6"/>
  <c r="I1125" i="6"/>
  <c r="I1072" i="6"/>
  <c r="I1024" i="6"/>
  <c r="I976" i="6"/>
  <c r="I950" i="6"/>
  <c r="I923" i="6"/>
  <c r="I898" i="6"/>
  <c r="I874" i="6"/>
  <c r="I850" i="6"/>
  <c r="I826" i="6"/>
  <c r="I799" i="6"/>
  <c r="I774" i="6"/>
  <c r="I750" i="6"/>
  <c r="I726" i="6"/>
  <c r="I702" i="6"/>
  <c r="I677" i="6"/>
  <c r="I652" i="6"/>
  <c r="I628" i="6"/>
  <c r="I604" i="6"/>
  <c r="I580" i="6"/>
  <c r="I558" i="6"/>
  <c r="I540" i="6"/>
  <c r="I523" i="6"/>
  <c r="I506" i="6"/>
  <c r="I490" i="6"/>
  <c r="I472" i="6"/>
  <c r="I454" i="6"/>
  <c r="I439" i="6"/>
  <c r="I425" i="6"/>
  <c r="I411" i="6"/>
  <c r="I396" i="6"/>
  <c r="I381" i="6"/>
  <c r="I367" i="6"/>
  <c r="I353" i="6"/>
  <c r="I339" i="6"/>
  <c r="I324" i="6"/>
  <c r="I309" i="6"/>
  <c r="I295" i="6"/>
  <c r="I281" i="6"/>
  <c r="I267" i="6"/>
  <c r="I252" i="6"/>
  <c r="I237" i="6"/>
  <c r="I223" i="6"/>
  <c r="I209" i="6"/>
  <c r="I195" i="6"/>
  <c r="I180" i="6"/>
  <c r="I165" i="6"/>
  <c r="I151" i="6"/>
  <c r="I137" i="6"/>
  <c r="I123" i="6"/>
  <c r="I108" i="6"/>
  <c r="I93" i="6"/>
  <c r="I79" i="6"/>
  <c r="I65" i="6"/>
  <c r="I51" i="6"/>
  <c r="I38" i="6"/>
  <c r="I26" i="6"/>
  <c r="I14" i="6"/>
  <c r="I2404" i="6"/>
  <c r="I2283" i="6"/>
  <c r="I2151" i="6"/>
  <c r="I2020" i="6"/>
  <c r="I1922" i="6"/>
  <c r="I1802" i="6"/>
  <c r="I1685" i="6"/>
  <c r="I1587" i="6"/>
  <c r="I1474" i="6"/>
  <c r="I1425" i="6"/>
  <c r="I1367" i="6"/>
  <c r="I1317" i="6"/>
  <c r="I1269" i="6"/>
  <c r="I1221" i="6"/>
  <c r="I1173" i="6"/>
  <c r="I1120" i="6"/>
  <c r="I1066" i="6"/>
  <c r="I1018" i="6"/>
  <c r="I971" i="6"/>
  <c r="I947" i="6"/>
  <c r="I922" i="6"/>
  <c r="I895" i="6"/>
  <c r="I871" i="6"/>
  <c r="I847" i="6"/>
  <c r="I823" i="6"/>
  <c r="I798" i="6"/>
  <c r="I773" i="6"/>
  <c r="I749" i="6"/>
  <c r="I725" i="6"/>
  <c r="I701" i="6"/>
  <c r="I676" i="6"/>
  <c r="I650" i="6"/>
  <c r="I626" i="6"/>
  <c r="I602" i="6"/>
  <c r="I578" i="6"/>
  <c r="I557" i="6"/>
  <c r="I539" i="6"/>
  <c r="I522" i="6"/>
  <c r="I2403" i="6"/>
  <c r="I2261" i="6"/>
  <c r="I2139" i="6"/>
  <c r="I2019" i="6"/>
  <c r="I1911" i="6"/>
  <c r="I1781" i="6"/>
  <c r="I1684" i="6"/>
  <c r="I1586" i="6"/>
  <c r="I1473" i="6"/>
  <c r="I1416" i="6"/>
  <c r="I1366" i="6"/>
  <c r="I1312" i="6"/>
  <c r="I1264" i="6"/>
  <c r="I1216" i="6"/>
  <c r="I1162" i="6"/>
  <c r="I1113" i="6"/>
  <c r="I1065" i="6"/>
  <c r="I1017" i="6"/>
  <c r="I970" i="6"/>
  <c r="I943" i="6"/>
  <c r="I918" i="6"/>
  <c r="I894" i="6"/>
  <c r="I870" i="6"/>
  <c r="I846" i="6"/>
  <c r="I821" i="6"/>
  <c r="I796" i="6"/>
  <c r="I772" i="6"/>
  <c r="I748" i="6"/>
  <c r="I724" i="6"/>
  <c r="I698" i="6"/>
  <c r="I671" i="6"/>
  <c r="I647" i="6"/>
  <c r="I623" i="6"/>
  <c r="I599" i="6"/>
  <c r="I574" i="6"/>
  <c r="I554" i="6"/>
  <c r="I538" i="6"/>
  <c r="I521" i="6"/>
  <c r="I504" i="6"/>
  <c r="I486" i="6"/>
  <c r="I468" i="6"/>
  <c r="I452" i="6"/>
  <c r="I437" i="6"/>
  <c r="I423" i="6"/>
  <c r="I408" i="6"/>
  <c r="I393" i="6"/>
  <c r="I379" i="6"/>
  <c r="I365" i="6"/>
  <c r="I351" i="6"/>
  <c r="I336" i="6"/>
  <c r="I321" i="6"/>
  <c r="I307" i="6"/>
  <c r="I293" i="6"/>
  <c r="I279" i="6"/>
  <c r="I264" i="6"/>
  <c r="I249" i="6"/>
  <c r="I235" i="6"/>
  <c r="I221" i="6"/>
  <c r="I207" i="6"/>
  <c r="I192" i="6"/>
  <c r="I177" i="6"/>
  <c r="I163" i="6"/>
  <c r="I149" i="6"/>
  <c r="I135" i="6"/>
  <c r="I120" i="6"/>
  <c r="I105" i="6"/>
  <c r="I91" i="6"/>
  <c r="I77" i="6"/>
  <c r="I63" i="6"/>
  <c r="I48" i="6"/>
  <c r="I36" i="6"/>
  <c r="I24" i="6"/>
  <c r="I12" i="6"/>
  <c r="I2453" i="6"/>
  <c r="I2211" i="6"/>
  <c r="I1959" i="6"/>
  <c r="I1733" i="6"/>
  <c r="I1527" i="6"/>
  <c r="I1390" i="6"/>
  <c r="I1288" i="6"/>
  <c r="I1186" i="6"/>
  <c r="I1090" i="6"/>
  <c r="I984" i="6"/>
  <c r="I931" i="6"/>
  <c r="I882" i="6"/>
  <c r="I833" i="6"/>
  <c r="I785" i="6"/>
  <c r="I734" i="6"/>
  <c r="I686" i="6"/>
  <c r="I635" i="6"/>
  <c r="I586" i="6"/>
  <c r="I547" i="6"/>
  <c r="I515" i="6"/>
  <c r="I489" i="6"/>
  <c r="I463" i="6"/>
  <c r="I438" i="6"/>
  <c r="I417" i="6"/>
  <c r="I395" i="6"/>
  <c r="I375" i="6"/>
  <c r="I352" i="6"/>
  <c r="I331" i="6"/>
  <c r="I308" i="6"/>
  <c r="I288" i="6"/>
  <c r="I266" i="6"/>
  <c r="I245" i="6"/>
  <c r="I222" i="6"/>
  <c r="I201" i="6"/>
  <c r="I179" i="6"/>
  <c r="I159" i="6"/>
  <c r="I136" i="6"/>
  <c r="I115" i="6"/>
  <c r="I92" i="6"/>
  <c r="I72" i="6"/>
  <c r="I50" i="6"/>
  <c r="I32" i="6"/>
  <c r="I13" i="6"/>
  <c r="I2402" i="6"/>
  <c r="I2117" i="6"/>
  <c r="I1898" i="6"/>
  <c r="I1683" i="6"/>
  <c r="I1464" i="6"/>
  <c r="I1360" i="6"/>
  <c r="I1258" i="6"/>
  <c r="I1161" i="6"/>
  <c r="I1056" i="6"/>
  <c r="I967" i="6"/>
  <c r="I917" i="6"/>
  <c r="I869" i="6"/>
  <c r="I820" i="6"/>
  <c r="I770" i="6"/>
  <c r="I722" i="6"/>
  <c r="I670" i="6"/>
  <c r="I622" i="6"/>
  <c r="I571" i="6"/>
  <c r="I537" i="6"/>
  <c r="I510" i="6"/>
  <c r="I482" i="6"/>
  <c r="I460" i="6"/>
  <c r="I435" i="6"/>
  <c r="I414" i="6"/>
  <c r="I391" i="6"/>
  <c r="I371" i="6"/>
  <c r="I348" i="6"/>
  <c r="I328" i="6"/>
  <c r="I305" i="6"/>
  <c r="I284" i="6"/>
  <c r="I261" i="6"/>
  <c r="I242" i="6"/>
  <c r="I219" i="6"/>
  <c r="I198" i="6"/>
  <c r="I175" i="6"/>
  <c r="I155" i="6"/>
  <c r="I132" i="6"/>
  <c r="I112" i="6"/>
  <c r="I89" i="6"/>
  <c r="I68" i="6"/>
  <c r="I46" i="6"/>
  <c r="I29" i="6"/>
  <c r="I10" i="6"/>
  <c r="I2379" i="6"/>
  <c r="I2116" i="6"/>
  <c r="I1876" i="6"/>
  <c r="I1671" i="6"/>
  <c r="I1463" i="6"/>
  <c r="I1353" i="6"/>
  <c r="I1257" i="6"/>
  <c r="I1151" i="6"/>
  <c r="I1055" i="6"/>
  <c r="I965" i="6"/>
  <c r="I916" i="6"/>
  <c r="I868" i="6"/>
  <c r="I815" i="6"/>
  <c r="I767" i="6"/>
  <c r="I718" i="6"/>
  <c r="I667" i="6"/>
  <c r="I619" i="6"/>
  <c r="I569" i="6"/>
  <c r="I535" i="6"/>
  <c r="I508" i="6"/>
  <c r="I481" i="6"/>
  <c r="I456" i="6"/>
  <c r="I434" i="6"/>
  <c r="I412" i="6"/>
  <c r="I390" i="6"/>
  <c r="I368" i="6"/>
  <c r="I347" i="6"/>
  <c r="I326" i="6"/>
  <c r="I304" i="6"/>
  <c r="I282" i="6"/>
  <c r="I260" i="6"/>
  <c r="I239" i="6"/>
  <c r="I218" i="6"/>
  <c r="I196" i="6"/>
  <c r="I174" i="6"/>
  <c r="I152" i="6"/>
  <c r="I131" i="6"/>
  <c r="I110" i="6"/>
  <c r="I88" i="6"/>
  <c r="I66" i="6"/>
  <c r="I45" i="6"/>
  <c r="I27" i="6"/>
  <c r="I9" i="6"/>
  <c r="I2355" i="6"/>
  <c r="I2114" i="6"/>
  <c r="I1874" i="6"/>
  <c r="I1637" i="6"/>
  <c r="I1461" i="6"/>
  <c r="I1343" i="6"/>
  <c r="I1246" i="6"/>
  <c r="I1149" i="6"/>
  <c r="I1053" i="6"/>
  <c r="I959" i="6"/>
  <c r="I911" i="6"/>
  <c r="I862" i="6"/>
  <c r="I811" i="6"/>
  <c r="I763" i="6"/>
  <c r="I713" i="6"/>
  <c r="I665" i="6"/>
  <c r="I616" i="6"/>
  <c r="I566" i="6"/>
  <c r="I533" i="6"/>
  <c r="I503" i="6"/>
  <c r="I478" i="6"/>
  <c r="I451" i="6"/>
  <c r="I429" i="6"/>
  <c r="I407" i="6"/>
  <c r="I387" i="6"/>
  <c r="I364" i="6"/>
  <c r="I343" i="6"/>
  <c r="I320" i="6"/>
  <c r="I300" i="6"/>
  <c r="I278" i="6"/>
  <c r="I257" i="6"/>
  <c r="I234" i="6"/>
  <c r="I213" i="6"/>
  <c r="I191" i="6"/>
  <c r="I171" i="6"/>
  <c r="I148" i="6"/>
  <c r="I127" i="6"/>
  <c r="I104" i="6"/>
  <c r="I84" i="6"/>
  <c r="I62" i="6"/>
  <c r="I42" i="6"/>
  <c r="I23" i="6"/>
  <c r="I6" i="6"/>
  <c r="I2331" i="6"/>
  <c r="I2069" i="6"/>
  <c r="I1851" i="6"/>
  <c r="I1634" i="6"/>
  <c r="I1449" i="6"/>
  <c r="I1341" i="6"/>
  <c r="I1234" i="6"/>
  <c r="I1138" i="6"/>
  <c r="I1041" i="6"/>
  <c r="I955" i="6"/>
  <c r="I907" i="6"/>
  <c r="I857" i="6"/>
  <c r="I809" i="6"/>
  <c r="I760" i="6"/>
  <c r="I710" i="6"/>
  <c r="I662" i="6"/>
  <c r="I610" i="6"/>
  <c r="I564" i="6"/>
  <c r="I529" i="6"/>
  <c r="I501" i="6"/>
  <c r="I477" i="6"/>
  <c r="I450" i="6"/>
  <c r="I428" i="6"/>
  <c r="I405" i="6"/>
  <c r="I386" i="6"/>
  <c r="I363" i="6"/>
  <c r="I342" i="6"/>
  <c r="I319" i="6"/>
  <c r="I299" i="6"/>
  <c r="I276" i="6"/>
  <c r="I256" i="6"/>
  <c r="I233" i="6"/>
  <c r="I212" i="6"/>
  <c r="I189" i="6"/>
  <c r="I170" i="6"/>
  <c r="I147" i="6"/>
  <c r="I126" i="6"/>
  <c r="I103" i="6"/>
  <c r="I83" i="6"/>
  <c r="I60" i="6"/>
  <c r="I2307" i="6"/>
  <c r="I2043" i="6"/>
  <c r="I1827" i="6"/>
  <c r="I1610" i="6"/>
  <c r="I1432" i="6"/>
  <c r="I1320" i="6"/>
  <c r="I1223" i="6"/>
  <c r="I1127" i="6"/>
  <c r="I1029" i="6"/>
  <c r="I952" i="6"/>
  <c r="I902" i="6"/>
  <c r="I851" i="6"/>
  <c r="I803" i="6"/>
  <c r="I751" i="6"/>
  <c r="I703" i="6"/>
  <c r="I654" i="6"/>
  <c r="I605" i="6"/>
  <c r="I561" i="6"/>
  <c r="I528" i="6"/>
  <c r="I499" i="6"/>
  <c r="I474" i="6"/>
  <c r="I449" i="6"/>
  <c r="I426" i="6"/>
  <c r="I404" i="6"/>
  <c r="I383" i="6"/>
  <c r="I362" i="6"/>
  <c r="I340" i="6"/>
  <c r="I318" i="6"/>
  <c r="I296" i="6"/>
  <c r="I275" i="6"/>
  <c r="I254" i="6"/>
  <c r="I232" i="6"/>
  <c r="I210" i="6"/>
  <c r="I188" i="6"/>
  <c r="I167" i="6"/>
  <c r="I146" i="6"/>
  <c r="I124" i="6"/>
  <c r="I102" i="6"/>
  <c r="I80" i="6"/>
  <c r="I59" i="6"/>
  <c r="I39" i="6"/>
  <c r="I21" i="6"/>
  <c r="I3" i="6"/>
  <c r="I2427" i="6"/>
  <c r="I1925" i="6"/>
  <c r="I1492" i="6"/>
  <c r="I1271" i="6"/>
  <c r="I1078" i="6"/>
  <c r="I928" i="6"/>
  <c r="I827" i="6"/>
  <c r="I727" i="6"/>
  <c r="I629" i="6"/>
  <c r="I542" i="6"/>
  <c r="I485" i="6"/>
  <c r="I436" i="6"/>
  <c r="I392" i="6"/>
  <c r="I350" i="6"/>
  <c r="I306" i="6"/>
  <c r="I263" i="6"/>
  <c r="I220" i="6"/>
  <c r="I176" i="6"/>
  <c r="I134" i="6"/>
  <c r="I90" i="6"/>
  <c r="I47" i="6"/>
  <c r="I17" i="6"/>
  <c r="I2259" i="6"/>
  <c r="I1780" i="6"/>
  <c r="I1415" i="6"/>
  <c r="I1210" i="6"/>
  <c r="I1008" i="6"/>
  <c r="I893" i="6"/>
  <c r="I794" i="6"/>
  <c r="I695" i="6"/>
  <c r="I598" i="6"/>
  <c r="I525" i="6"/>
  <c r="I470" i="6"/>
  <c r="I424" i="6"/>
  <c r="I380" i="6"/>
  <c r="I338" i="6"/>
  <c r="I294" i="6"/>
  <c r="I251" i="6"/>
  <c r="I208" i="6"/>
  <c r="I164" i="6"/>
  <c r="I122" i="6"/>
  <c r="I78" i="6"/>
  <c r="I41" i="6"/>
  <c r="I11" i="6"/>
  <c r="I2247" i="6"/>
  <c r="I1779" i="6"/>
  <c r="I1413" i="6"/>
  <c r="I1200" i="6"/>
  <c r="I1007" i="6"/>
  <c r="I892" i="6"/>
  <c r="I791" i="6"/>
  <c r="I691" i="6"/>
  <c r="I594" i="6"/>
  <c r="I520" i="6"/>
  <c r="I467" i="6"/>
  <c r="I422" i="6"/>
  <c r="I378" i="6"/>
  <c r="I335" i="6"/>
  <c r="I292" i="6"/>
  <c r="I248" i="6"/>
  <c r="I206" i="6"/>
  <c r="I162" i="6"/>
  <c r="I119" i="6"/>
  <c r="I76" i="6"/>
  <c r="I37" i="6"/>
  <c r="I8" i="6"/>
  <c r="I2213" i="6"/>
  <c r="I1767" i="6"/>
  <c r="I1401" i="6"/>
  <c r="I1197" i="6"/>
  <c r="I1000" i="6"/>
  <c r="I887" i="6"/>
  <c r="I787" i="6"/>
  <c r="I689" i="6"/>
  <c r="I590" i="6"/>
  <c r="I517" i="6"/>
  <c r="I465" i="6"/>
  <c r="I419" i="6"/>
  <c r="I376" i="6"/>
  <c r="I332" i="6"/>
  <c r="I290" i="6"/>
  <c r="I246" i="6"/>
  <c r="I203" i="6"/>
  <c r="I160" i="6"/>
  <c r="I116" i="6"/>
  <c r="I74" i="6"/>
  <c r="I34" i="6"/>
  <c r="I2" i="6"/>
  <c r="I2165" i="6"/>
  <c r="I1707" i="6"/>
  <c r="I1378" i="6"/>
  <c r="I1175" i="6"/>
  <c r="I981" i="6"/>
  <c r="I875" i="6"/>
  <c r="I778" i="6"/>
  <c r="I679" i="6"/>
  <c r="I581" i="6"/>
  <c r="I511" i="6"/>
  <c r="I461" i="6"/>
  <c r="I415" i="6"/>
  <c r="I372" i="6"/>
  <c r="I329" i="6"/>
  <c r="I285" i="6"/>
  <c r="I243" i="6"/>
  <c r="I199" i="6"/>
  <c r="I156" i="6"/>
  <c r="I113" i="6"/>
  <c r="I69" i="6"/>
  <c r="I33" i="6"/>
  <c r="I2115" i="6"/>
  <c r="I1659" i="6"/>
  <c r="I1344" i="6"/>
  <c r="I1150" i="6"/>
  <c r="I964" i="6"/>
  <c r="I866" i="6"/>
  <c r="I766" i="6"/>
  <c r="I666" i="6"/>
  <c r="I568" i="6"/>
  <c r="I505" i="6"/>
  <c r="I453" i="6"/>
  <c r="I410" i="6"/>
  <c r="I366" i="6"/>
  <c r="I323" i="6"/>
  <c r="I280" i="6"/>
  <c r="I236" i="6"/>
  <c r="I194" i="6"/>
  <c r="I150" i="6"/>
  <c r="I107" i="6"/>
  <c r="I64" i="6"/>
  <c r="I30" i="6"/>
  <c r="I2357" i="6"/>
  <c r="I1462" i="6"/>
  <c r="I1054" i="6"/>
  <c r="I814" i="6"/>
  <c r="I618" i="6"/>
  <c r="I480" i="6"/>
  <c r="I389" i="6"/>
  <c r="I303" i="6"/>
  <c r="I216" i="6"/>
  <c r="I129" i="6"/>
  <c r="I44" i="6"/>
  <c r="I2018" i="6"/>
  <c r="I1306" i="6"/>
  <c r="I942" i="6"/>
  <c r="I746" i="6"/>
  <c r="I553" i="6"/>
  <c r="I448" i="6"/>
  <c r="I360" i="6"/>
  <c r="I273" i="6"/>
  <c r="I187" i="6"/>
  <c r="I101" i="6"/>
  <c r="I25" i="6"/>
  <c r="I1995" i="6"/>
  <c r="I1305" i="6"/>
  <c r="I940" i="6"/>
  <c r="I743" i="6"/>
  <c r="I552" i="6"/>
  <c r="I444" i="6"/>
  <c r="I357" i="6"/>
  <c r="I271" i="6"/>
  <c r="I185" i="6"/>
  <c r="I99" i="6"/>
  <c r="I22" i="6"/>
  <c r="I1972" i="6"/>
  <c r="I1295" i="6"/>
  <c r="I935" i="6"/>
  <c r="I738" i="6"/>
  <c r="I550" i="6"/>
  <c r="I440" i="6"/>
  <c r="I354" i="6"/>
  <c r="I268" i="6"/>
  <c r="I182" i="6"/>
  <c r="I95" i="6"/>
  <c r="I18" i="6"/>
  <c r="I1875" i="6"/>
  <c r="I1248" i="6"/>
  <c r="I914" i="6"/>
  <c r="I715" i="6"/>
  <c r="I534" i="6"/>
  <c r="I432" i="6"/>
  <c r="I345" i="6"/>
  <c r="I259" i="6"/>
  <c r="I173" i="6"/>
  <c r="I87" i="6"/>
  <c r="I15" i="6"/>
  <c r="I1778" i="6"/>
  <c r="I1199" i="6"/>
  <c r="I890" i="6"/>
  <c r="I690" i="6"/>
  <c r="I518" i="6"/>
  <c r="I420" i="6"/>
  <c r="I333" i="6"/>
  <c r="I247" i="6"/>
  <c r="I161" i="6"/>
  <c r="I75" i="6"/>
  <c r="I5" i="6"/>
  <c r="I2235" i="6"/>
  <c r="I1006" i="6"/>
  <c r="I593" i="6"/>
  <c r="I377" i="6"/>
  <c r="I204" i="6"/>
  <c r="I35" i="6"/>
  <c r="I1994" i="6"/>
  <c r="I938" i="6"/>
  <c r="I551" i="6"/>
  <c r="I356" i="6"/>
  <c r="I184" i="6"/>
  <c r="I20" i="6"/>
  <c r="I1563" i="6"/>
  <c r="I845" i="6"/>
  <c r="I497" i="6"/>
  <c r="I317" i="6"/>
  <c r="I144" i="6"/>
  <c r="I1541" i="6"/>
  <c r="I842" i="6"/>
  <c r="I494" i="6"/>
  <c r="I315" i="6"/>
  <c r="I141" i="6"/>
  <c r="I1540" i="6"/>
  <c r="I839" i="6"/>
  <c r="I493" i="6"/>
  <c r="I314" i="6"/>
  <c r="I140" i="6"/>
  <c r="I1539" i="6"/>
  <c r="I835" i="6"/>
  <c r="I491" i="6"/>
  <c r="I311" i="6"/>
  <c r="I138" i="6"/>
  <c r="I1408" i="6"/>
  <c r="I790" i="6"/>
  <c r="I466" i="6"/>
  <c r="I291" i="6"/>
  <c r="I117" i="6"/>
  <c r="I1296" i="6"/>
  <c r="I742" i="6"/>
  <c r="I443" i="6"/>
  <c r="I270" i="6"/>
  <c r="I98" i="6"/>
  <c r="I2501" i="6"/>
  <c r="I1104" i="6"/>
  <c r="I646" i="6"/>
  <c r="I403" i="6"/>
  <c r="I231" i="6"/>
  <c r="I57" i="6"/>
  <c r="I2500" i="6"/>
  <c r="I1103" i="6"/>
  <c r="I643" i="6"/>
  <c r="I401" i="6"/>
  <c r="I228" i="6"/>
  <c r="I55" i="6"/>
  <c r="I2499" i="6"/>
  <c r="I1102" i="6"/>
  <c r="I642" i="6"/>
  <c r="I400" i="6"/>
  <c r="I227" i="6"/>
  <c r="I54" i="6"/>
  <c r="I2498" i="6"/>
  <c r="I1101" i="6"/>
  <c r="I641" i="6"/>
  <c r="I398" i="6"/>
  <c r="I224" i="6"/>
  <c r="I52" i="6"/>
</calcChain>
</file>

<file path=xl/sharedStrings.xml><?xml version="1.0" encoding="utf-8"?>
<sst xmlns="http://schemas.openxmlformats.org/spreadsheetml/2006/main" count="2041" uniqueCount="525">
  <si>
    <t>7/18/2021</t>
  </si>
  <si>
    <t>Girls</t>
  </si>
  <si>
    <t>Count</t>
  </si>
  <si>
    <t>Boys</t>
  </si>
  <si>
    <t>6 &amp; Under Girls</t>
  </si>
  <si>
    <t>6 &amp; Under Boys</t>
  </si>
  <si>
    <t>7 Year Old Girls</t>
  </si>
  <si>
    <t>7 Year Old Boys</t>
  </si>
  <si>
    <t xml:space="preserve">8 Year Old Girls </t>
  </si>
  <si>
    <t xml:space="preserve">8 Year Old Boys </t>
  </si>
  <si>
    <t xml:space="preserve">9 Year Old Girls </t>
  </si>
  <si>
    <t xml:space="preserve">9 Year Old Boys </t>
  </si>
  <si>
    <t xml:space="preserve">10 Year Old Girls </t>
  </si>
  <si>
    <t xml:space="preserve">10 Year Old Boys </t>
  </si>
  <si>
    <t xml:space="preserve">11 Year Old Girls </t>
  </si>
  <si>
    <t xml:space="preserve">11 Year Old Boys </t>
  </si>
  <si>
    <t xml:space="preserve">12 Year Old Girls </t>
  </si>
  <si>
    <t xml:space="preserve">12 Year Old Boys </t>
  </si>
  <si>
    <t xml:space="preserve">13 and Over Girls </t>
  </si>
  <si>
    <t xml:space="preserve">13 and Over Boys </t>
  </si>
  <si>
    <t>Age and Gender</t>
  </si>
  <si>
    <t>Score</t>
  </si>
  <si>
    <t>CSC</t>
  </si>
  <si>
    <t>Payton Bennett</t>
  </si>
  <si>
    <t>HV</t>
  </si>
  <si>
    <t/>
  </si>
  <si>
    <t>MHC</t>
  </si>
  <si>
    <t>Andrew Beck</t>
  </si>
  <si>
    <t>CH</t>
  </si>
  <si>
    <t>Abby Bockman</t>
  </si>
  <si>
    <t>GF</t>
  </si>
  <si>
    <t>Peter Bricker</t>
  </si>
  <si>
    <t>HSC</t>
  </si>
  <si>
    <t>Alison Bricker</t>
  </si>
  <si>
    <t>Austin Brooks</t>
  </si>
  <si>
    <t>RFD</t>
  </si>
  <si>
    <t>Amelia Brooks</t>
  </si>
  <si>
    <t>FS</t>
  </si>
  <si>
    <t>Simon Brooks</t>
  </si>
  <si>
    <t>Mila Brown</t>
  </si>
  <si>
    <t>G</t>
  </si>
  <si>
    <t>Jaspar Carpenter</t>
  </si>
  <si>
    <t>F</t>
  </si>
  <si>
    <t>Maeve Cahill</t>
  </si>
  <si>
    <t>S</t>
  </si>
  <si>
    <t>Ben Carrado</t>
  </si>
  <si>
    <t>Viviana Del Campo</t>
  </si>
  <si>
    <t>Nolan Cherryholmes-Wesley</t>
  </si>
  <si>
    <t>CP</t>
  </si>
  <si>
    <t>Kiersten Crawford</t>
  </si>
  <si>
    <t>SHR</t>
  </si>
  <si>
    <t>Matthew Gardner</t>
  </si>
  <si>
    <t>THA</t>
  </si>
  <si>
    <t>Isabella Falsone</t>
  </si>
  <si>
    <t>DL</t>
  </si>
  <si>
    <t>CB</t>
  </si>
  <si>
    <t>Julia Hernandez</t>
  </si>
  <si>
    <t>Nick Henry</t>
  </si>
  <si>
    <t>Finn Jackson</t>
  </si>
  <si>
    <t>SRA</t>
  </si>
  <si>
    <t>Estella Lam</t>
  </si>
  <si>
    <t>William Jeffery</t>
  </si>
  <si>
    <t>Kalvin Kramer</t>
  </si>
  <si>
    <t>Johanna Moss</t>
  </si>
  <si>
    <t>Markus Krumins</t>
  </si>
  <si>
    <t>DR</t>
  </si>
  <si>
    <t>Sydney Motyleski</t>
  </si>
  <si>
    <t>Brayden Lane</t>
  </si>
  <si>
    <t>OAK</t>
  </si>
  <si>
    <t>Charlotte Rice</t>
  </si>
  <si>
    <t>Julia Rudolph</t>
  </si>
  <si>
    <t>SR</t>
  </si>
  <si>
    <t>Lily Sabo</t>
  </si>
  <si>
    <t>Bridget Snyder</t>
  </si>
  <si>
    <t>Winston Morgan</t>
  </si>
  <si>
    <t>HP</t>
  </si>
  <si>
    <t>RH</t>
  </si>
  <si>
    <t>Cara Tansey</t>
  </si>
  <si>
    <t>Michael Moss</t>
  </si>
  <si>
    <t>M</t>
  </si>
  <si>
    <t>Nicholas Pacific</t>
  </si>
  <si>
    <t>Noah Pierce</t>
  </si>
  <si>
    <t>Caroline Baker</t>
  </si>
  <si>
    <t>Sutton Pierson</t>
  </si>
  <si>
    <t>Liam Redington</t>
  </si>
  <si>
    <t>Jack Ross</t>
  </si>
  <si>
    <t>Easton Snyder</t>
  </si>
  <si>
    <t>CCC</t>
  </si>
  <si>
    <t>Luke Taggart</t>
  </si>
  <si>
    <t>SHB</t>
  </si>
  <si>
    <t>Evan Tan</t>
  </si>
  <si>
    <t>Devon Taylor</t>
  </si>
  <si>
    <t>Cavan Telleen</t>
  </si>
  <si>
    <t>Tripp Walter</t>
  </si>
  <si>
    <t>Dexter Weaver</t>
  </si>
  <si>
    <t>Stephen Wilber</t>
  </si>
  <si>
    <t>James Wittman</t>
  </si>
  <si>
    <t>KG</t>
  </si>
  <si>
    <t>Report Status</t>
  </si>
  <si>
    <t>01-Awaiting Scores</t>
  </si>
  <si>
    <t>Comments</t>
  </si>
  <si>
    <t>Lily Apgar</t>
  </si>
  <si>
    <t>Felix Castro</t>
  </si>
  <si>
    <t>Harper Clayton</t>
  </si>
  <si>
    <t>Juliette Baldesi</t>
  </si>
  <si>
    <t>William Duffy</t>
  </si>
  <si>
    <t>OKM</t>
  </si>
  <si>
    <t>Maggie Barker</t>
  </si>
  <si>
    <t>Lily Boger</t>
  </si>
  <si>
    <t>Nico Gaeta</t>
  </si>
  <si>
    <t>T</t>
  </si>
  <si>
    <t>Claire Cashin</t>
  </si>
  <si>
    <t>Daniel Gardner</t>
  </si>
  <si>
    <t>Penny Cotter</t>
  </si>
  <si>
    <t>Desmond Gellie</t>
  </si>
  <si>
    <t>Sofia Dalilaltojari</t>
  </si>
  <si>
    <t>John Hawkins</t>
  </si>
  <si>
    <t>Holly Denniston</t>
  </si>
  <si>
    <t>Brody Kennedy</t>
  </si>
  <si>
    <t>Milin Doshi</t>
  </si>
  <si>
    <t>Tyler Kroopnick</t>
  </si>
  <si>
    <t>Elise Esquivel</t>
  </si>
  <si>
    <t>Brodie Kuehne</t>
  </si>
  <si>
    <t>Cal Lawrence</t>
  </si>
  <si>
    <t>Claire Flanagan</t>
  </si>
  <si>
    <t>Ryan Linegang</t>
  </si>
  <si>
    <t>Amelia Gentry</t>
  </si>
  <si>
    <t>Olivia Gentry</t>
  </si>
  <si>
    <t>Zachary Lum</t>
  </si>
  <si>
    <t>W</t>
  </si>
  <si>
    <t>Emmy Guy</t>
  </si>
  <si>
    <t>Ryan Martonik</t>
  </si>
  <si>
    <t>Ashleigh Haskins</t>
  </si>
  <si>
    <t>Zach Mathieson</t>
  </si>
  <si>
    <t>DH</t>
  </si>
  <si>
    <t>AJ Keane</t>
  </si>
  <si>
    <t>Samantha Lathier</t>
  </si>
  <si>
    <t>Jack McIntosh</t>
  </si>
  <si>
    <t>WG</t>
  </si>
  <si>
    <t>Ann Madden</t>
  </si>
  <si>
    <t>Caroline Markey</t>
  </si>
  <si>
    <t>Saxon Newell</t>
  </si>
  <si>
    <t>Adele Pino</t>
  </si>
  <si>
    <t>Ben Peebles</t>
  </si>
  <si>
    <t>Alaina Pisco</t>
  </si>
  <si>
    <t>Matthew Rempe</t>
  </si>
  <si>
    <t>Emma Radich</t>
  </si>
  <si>
    <t>Zachary Rodjom</t>
  </si>
  <si>
    <t>Luci Reynolds</t>
  </si>
  <si>
    <t>RoRo Siegmund</t>
  </si>
  <si>
    <t>Annabel Rider</t>
  </si>
  <si>
    <t>Gabriella Roberts</t>
  </si>
  <si>
    <t>Michael Verderese</t>
  </si>
  <si>
    <t>Gaia Salcedo</t>
  </si>
  <si>
    <t>John Waibel</t>
  </si>
  <si>
    <t>Kree Setliff</t>
  </si>
  <si>
    <t>Gabriel Wilson</t>
  </si>
  <si>
    <t>Anna Silver</t>
  </si>
  <si>
    <t>Jeremy Yang</t>
  </si>
  <si>
    <t>Alexandra Smith</t>
  </si>
  <si>
    <t>Olivia Timmermann</t>
  </si>
  <si>
    <t>Jack Zecher</t>
  </si>
  <si>
    <t>Hadley Townsend</t>
  </si>
  <si>
    <t>Evan Merkel</t>
  </si>
  <si>
    <t>HS</t>
  </si>
  <si>
    <t>Riley Waterman</t>
  </si>
  <si>
    <t>Grace Wegner</t>
  </si>
  <si>
    <t>Leila White</t>
  </si>
  <si>
    <t>Victoria Williams</t>
  </si>
  <si>
    <t>Norah Wittman</t>
  </si>
  <si>
    <t>Emerie Woods</t>
  </si>
  <si>
    <t>Evie Ferguson</t>
  </si>
  <si>
    <t>Livy Jane Abbey</t>
  </si>
  <si>
    <t>Gunnar Anderson</t>
  </si>
  <si>
    <t>Eleanor Albosta</t>
  </si>
  <si>
    <t>Allie Balbuena</t>
  </si>
  <si>
    <t>Julian Castro</t>
  </si>
  <si>
    <t>NS</t>
  </si>
  <si>
    <t>Makayla Barnes</t>
  </si>
  <si>
    <t>Cameron Cohen</t>
  </si>
  <si>
    <t>Zanna Brown</t>
  </si>
  <si>
    <t>TJ DeSando</t>
  </si>
  <si>
    <t>Brigid Cahill</t>
  </si>
  <si>
    <t>Abigail Cassell</t>
  </si>
  <si>
    <t>Thomas Dombrowski</t>
  </si>
  <si>
    <t>Emerson Crawford</t>
  </si>
  <si>
    <t>Easton Dugger</t>
  </si>
  <si>
    <t>Sarah Beth Cummings</t>
  </si>
  <si>
    <t>Foster Eig</t>
  </si>
  <si>
    <t>Ali Dane</t>
  </si>
  <si>
    <t>Finn Feeley</t>
  </si>
  <si>
    <t>Julia Denniston</t>
  </si>
  <si>
    <t>Roman Garza</t>
  </si>
  <si>
    <t>Abby Desai</t>
  </si>
  <si>
    <t>Declan Ghazal</t>
  </si>
  <si>
    <t>Maya Gonzalez</t>
  </si>
  <si>
    <t>Ewan Girard</t>
  </si>
  <si>
    <t>Max Gura</t>
  </si>
  <si>
    <t>Artemisia Hashemi</t>
  </si>
  <si>
    <t>Jack Henry</t>
  </si>
  <si>
    <t>Graham Hill</t>
  </si>
  <si>
    <t>Serena Howard</t>
  </si>
  <si>
    <t>Luke Kieffer</t>
  </si>
  <si>
    <t>Zoe Hudson</t>
  </si>
  <si>
    <t>Elliot Kobus</t>
  </si>
  <si>
    <t>Leah Jandrain</t>
  </si>
  <si>
    <t>Charlie Mahoney</t>
  </si>
  <si>
    <t>Phoebe Jeffery</t>
  </si>
  <si>
    <t>Max Mohaber</t>
  </si>
  <si>
    <t>Anna Keller</t>
  </si>
  <si>
    <t>Evie Kerelchuk</t>
  </si>
  <si>
    <t>Theodore Romanosky</t>
  </si>
  <si>
    <t>Isabel Kerelchuk</t>
  </si>
  <si>
    <t>Liam Seubert</t>
  </si>
  <si>
    <t>Kai Sheriff</t>
  </si>
  <si>
    <t>Lila Kottmeier</t>
  </si>
  <si>
    <t>James Shernit</t>
  </si>
  <si>
    <t>Xanthy Kuehne</t>
  </si>
  <si>
    <t>William Shernit</t>
  </si>
  <si>
    <t>Colette Marra</t>
  </si>
  <si>
    <t>Izzy Matthews</t>
  </si>
  <si>
    <t>Olivia Meng</t>
  </si>
  <si>
    <t>Ryan Stephens</t>
  </si>
  <si>
    <t>Alex Morgan</t>
  </si>
  <si>
    <t>Azeem Tyabji</t>
  </si>
  <si>
    <t>Victoria Moscoso</t>
  </si>
  <si>
    <t>Lucas Vida</t>
  </si>
  <si>
    <t>Nino Wells</t>
  </si>
  <si>
    <t>Caroline Van Order</t>
  </si>
  <si>
    <t>Travis Wittekind</t>
  </si>
  <si>
    <t>Harper Pham</t>
  </si>
  <si>
    <t>David Wright</t>
  </si>
  <si>
    <t>Madeleine Philbin</t>
  </si>
  <si>
    <t>Michelle Pietress</t>
  </si>
  <si>
    <t>Catherine Rene</t>
  </si>
  <si>
    <t>Antonella Salcedo</t>
  </si>
  <si>
    <t>Ashley Sanders</t>
  </si>
  <si>
    <t>Natasha Sauchuk</t>
  </si>
  <si>
    <t>Avery Schmitz</t>
  </si>
  <si>
    <t>Charlotte Scott</t>
  </si>
  <si>
    <t>Clara Taylor</t>
  </si>
  <si>
    <t>Juliet Tetreault</t>
  </si>
  <si>
    <t>Lillie Thomas</t>
  </si>
  <si>
    <t>Claire Verderese</t>
  </si>
  <si>
    <t>Mandi Wang</t>
  </si>
  <si>
    <t>Evie Warren</t>
  </si>
  <si>
    <t>Ari Wiley-Jimenez</t>
  </si>
  <si>
    <t>Quinn Zahler</t>
  </si>
  <si>
    <t>Aspen Rose Abruzzese</t>
  </si>
  <si>
    <t>Benjamin Allen</t>
  </si>
  <si>
    <t>William Beck</t>
  </si>
  <si>
    <t>Phill Bernard</t>
  </si>
  <si>
    <t>Samhita Budharaju</t>
  </si>
  <si>
    <t>Eli Bockman</t>
  </si>
  <si>
    <t>Helen Butler</t>
  </si>
  <si>
    <t>Kara Carpenter</t>
  </si>
  <si>
    <t>Maki Bush</t>
  </si>
  <si>
    <t>Riya Doshi</t>
  </si>
  <si>
    <t>Yousef Chawki</t>
  </si>
  <si>
    <t>Lauren Emerick</t>
  </si>
  <si>
    <t>Stella Epstein</t>
  </si>
  <si>
    <t>Benjamin Dane</t>
  </si>
  <si>
    <t>Liv Freeman</t>
  </si>
  <si>
    <t>Owen Eastep</t>
  </si>
  <si>
    <t>Ellison Gilman</t>
  </si>
  <si>
    <t>Parker Englerth</t>
  </si>
  <si>
    <t>Eleanor Goehring</t>
  </si>
  <si>
    <t>Phoebe Guy</t>
  </si>
  <si>
    <t>Jacob Faustman</t>
  </si>
  <si>
    <t>Natalia Haley</t>
  </si>
  <si>
    <t>Jack Flanagan</t>
  </si>
  <si>
    <t>Jacqueline Hull</t>
  </si>
  <si>
    <t>Ryan Guy</t>
  </si>
  <si>
    <t>Evana Kailey</t>
  </si>
  <si>
    <t>Sam Hernandez</t>
  </si>
  <si>
    <t>Nicolas Hill</t>
  </si>
  <si>
    <t>Matthew Hughes</t>
  </si>
  <si>
    <t>Sarah Keller</t>
  </si>
  <si>
    <t>Kambron Kramer</t>
  </si>
  <si>
    <t>Megan Lam</t>
  </si>
  <si>
    <t>Sebastian Lam</t>
  </si>
  <si>
    <t>Avery Lane</t>
  </si>
  <si>
    <t>Alex Lee</t>
  </si>
  <si>
    <t>Zeke Louie</t>
  </si>
  <si>
    <t>Sophia Ma</t>
  </si>
  <si>
    <t>Benjamin Lum</t>
  </si>
  <si>
    <t>Aleska McCarthy</t>
  </si>
  <si>
    <t>Colin Lymphany</t>
  </si>
  <si>
    <t>Claire McCool</t>
  </si>
  <si>
    <t>Mady McCormack</t>
  </si>
  <si>
    <t>Isaiah Meredith</t>
  </si>
  <si>
    <t>Marianna McKinnon</t>
  </si>
  <si>
    <t>Lucas Moreno</t>
  </si>
  <si>
    <t>Hailey Mesack</t>
  </si>
  <si>
    <t>Merrick Nicoll</t>
  </si>
  <si>
    <t>Siena Nguyen</t>
  </si>
  <si>
    <t>Hudson Pierre</t>
  </si>
  <si>
    <t>Abby Reilly</t>
  </si>
  <si>
    <t>Aidan Ross</t>
  </si>
  <si>
    <t>Barbara Santley</t>
  </si>
  <si>
    <t>Armon Saadat</t>
  </si>
  <si>
    <t>Ashley Shen</t>
  </si>
  <si>
    <t>Iggy Salaita</t>
  </si>
  <si>
    <t>Hannah Snyder</t>
  </si>
  <si>
    <t>Leah Staley</t>
  </si>
  <si>
    <t>Parker Smith</t>
  </si>
  <si>
    <t>Noelle Telleen</t>
  </si>
  <si>
    <t>Owen Snyder</t>
  </si>
  <si>
    <t>Emma Townsend</t>
  </si>
  <si>
    <t>William Staren</t>
  </si>
  <si>
    <t>Max Molina Weir</t>
  </si>
  <si>
    <t>Emersyn Wilbur</t>
  </si>
  <si>
    <t>Owen Molina Weir</t>
  </si>
  <si>
    <t>Emily Wills</t>
  </si>
  <si>
    <t>Grayson Wishneff</t>
  </si>
  <si>
    <t>Max Waterman</t>
  </si>
  <si>
    <t>Margot Zecher</t>
  </si>
  <si>
    <t>Aliya Zikria</t>
  </si>
  <si>
    <t>Mackenzie martin</t>
  </si>
  <si>
    <t>Ayla Asner</t>
  </si>
  <si>
    <t>Zerin Basha</t>
  </si>
  <si>
    <t>Optimus Bigby</t>
  </si>
  <si>
    <t>Addison Bennett</t>
  </si>
  <si>
    <t>Avery Berg</t>
  </si>
  <si>
    <t>William Cummings</t>
  </si>
  <si>
    <t>Boone Dean</t>
  </si>
  <si>
    <t>Sloane Carle</t>
  </si>
  <si>
    <t>Brandon Haase</t>
  </si>
  <si>
    <t>William Haskins</t>
  </si>
  <si>
    <t>Teny Davitian</t>
  </si>
  <si>
    <t>Jacob Hurt</t>
  </si>
  <si>
    <t>Megan Dean</t>
  </si>
  <si>
    <t>Henry Janicke</t>
  </si>
  <si>
    <t>Madeleine Dombrowski</t>
  </si>
  <si>
    <t>Alex Lum</t>
  </si>
  <si>
    <t>Vivienne Easmunt</t>
  </si>
  <si>
    <t>Chace Majiros</t>
  </si>
  <si>
    <t>Oliver Matthews</t>
  </si>
  <si>
    <t>Gabby Gallagher</t>
  </si>
  <si>
    <t>Malcolm McLenahan</t>
  </si>
  <si>
    <t>Lilah Gallagher</t>
  </si>
  <si>
    <t>Ainslee Girard</t>
  </si>
  <si>
    <t>Donna Grenias</t>
  </si>
  <si>
    <t>Luke Nobles</t>
  </si>
  <si>
    <t>Anna Haigh</t>
  </si>
  <si>
    <t>Todd Orvald</t>
  </si>
  <si>
    <t>Elizabeth Heim</t>
  </si>
  <si>
    <t>Jacob Pacific</t>
  </si>
  <si>
    <t>Olivia Hilliard</t>
  </si>
  <si>
    <t>Liam Painter</t>
  </si>
  <si>
    <t>Gwyn Howard</t>
  </si>
  <si>
    <t>Tennley Jackson</t>
  </si>
  <si>
    <t>Lyla Jacobs</t>
  </si>
  <si>
    <t>Joanna Jue</t>
  </si>
  <si>
    <t>Webb Stewart</t>
  </si>
  <si>
    <t>Connor Timm</t>
  </si>
  <si>
    <t>Alexa Landi</t>
  </si>
  <si>
    <t>Dylan Ulmer</t>
  </si>
  <si>
    <t>Kaitlyn Ma</t>
  </si>
  <si>
    <t>Taylor Mathey</t>
  </si>
  <si>
    <t>Ava McKeever</t>
  </si>
  <si>
    <t>Daliyah McKimmy</t>
  </si>
  <si>
    <t>Riyah McKimmy</t>
  </si>
  <si>
    <t>Kaitlin Moss</t>
  </si>
  <si>
    <t>Mary Moss</t>
  </si>
  <si>
    <t>Jacqueline Potter</t>
  </si>
  <si>
    <t>Lily Robinson</t>
  </si>
  <si>
    <t>Emily Rodjom</t>
  </si>
  <si>
    <t>Marisa Rodjom</t>
  </si>
  <si>
    <t>Lily Scherer</t>
  </si>
  <si>
    <t>Gabopha So</t>
  </si>
  <si>
    <t>Miriam Stavlund</t>
  </si>
  <si>
    <t>Shannon Stegmaier</t>
  </si>
  <si>
    <t>Emma Thomas</t>
  </si>
  <si>
    <t>Natalia Torres</t>
  </si>
  <si>
    <t>Rosie Tritten</t>
  </si>
  <si>
    <t>Rylan Woods</t>
  </si>
  <si>
    <t>Mara Zulauf</t>
  </si>
  <si>
    <t>Charlotte Albosta</t>
  </si>
  <si>
    <t>Bradyn Brooks</t>
  </si>
  <si>
    <t>Samantha Apgar</t>
  </si>
  <si>
    <t>Hudson Clayton</t>
  </si>
  <si>
    <t>Hannah Ax</t>
  </si>
  <si>
    <t>Oliver Cory</t>
  </si>
  <si>
    <t>Ryan Emerick</t>
  </si>
  <si>
    <t>Sofia Falsone</t>
  </si>
  <si>
    <t>Rob Freeman</t>
  </si>
  <si>
    <t>Ellery Fjeld</t>
  </si>
  <si>
    <t>Connor Gill</t>
  </si>
  <si>
    <t>Jake Hedrick</t>
  </si>
  <si>
    <t>Julia Hassi</t>
  </si>
  <si>
    <t>Jake Henderson</t>
  </si>
  <si>
    <t>Charlotte Henderson</t>
  </si>
  <si>
    <t>Ella Henderson</t>
  </si>
  <si>
    <t>Vincent Landi</t>
  </si>
  <si>
    <t>Susannah Holt</t>
  </si>
  <si>
    <t>Bruce McIntyre</t>
  </si>
  <si>
    <t>Nina Jaeckel</t>
  </si>
  <si>
    <t>Anne Juster</t>
  </si>
  <si>
    <t>Josh Nguyen</t>
  </si>
  <si>
    <t>Issa Owens</t>
  </si>
  <si>
    <t>Penny Lawrence</t>
  </si>
  <si>
    <t>Henry Sanford</t>
  </si>
  <si>
    <t>Walter Shiu</t>
  </si>
  <si>
    <t>Kaleb Wisner</t>
  </si>
  <si>
    <t>Mya Merkel</t>
  </si>
  <si>
    <t>Alannah Murphy</t>
  </si>
  <si>
    <t>William Wright</t>
  </si>
  <si>
    <t>Alexa Noreika</t>
  </si>
  <si>
    <t>Andy Wu</t>
  </si>
  <si>
    <t>Erika Noreika</t>
  </si>
  <si>
    <t>Sophie Noreika</t>
  </si>
  <si>
    <t>Beatrice Shirley</t>
  </si>
  <si>
    <t>Abigail Sweeney</t>
  </si>
  <si>
    <t>Elin Temme</t>
  </si>
  <si>
    <t>Jordan Willmore</t>
  </si>
  <si>
    <t>Genevieve Wilson</t>
  </si>
  <si>
    <t>Maggie Burke</t>
  </si>
  <si>
    <t>Elsa Barzilai</t>
  </si>
  <si>
    <t>Ami Bernard</t>
  </si>
  <si>
    <t>Rayan Basha</t>
  </si>
  <si>
    <t>Wesley Ferguson</t>
  </si>
  <si>
    <t>Madeline Duong</t>
  </si>
  <si>
    <t>James Hayden</t>
  </si>
  <si>
    <t>Louise Fitzgerald</t>
  </si>
  <si>
    <t>Charlie McGinity</t>
  </si>
  <si>
    <t>Catherine Flanagan</t>
  </si>
  <si>
    <t>Hannah Goldberg</t>
  </si>
  <si>
    <t>Sophie Goldberg</t>
  </si>
  <si>
    <t>Alison Gurganus</t>
  </si>
  <si>
    <t>Sarah Guy</t>
  </si>
  <si>
    <t>Odessa Jansen</t>
  </si>
  <si>
    <t>Isabel Karam</t>
  </si>
  <si>
    <t>Annabel Kemp</t>
  </si>
  <si>
    <t>Gabrielle Leesing</t>
  </si>
  <si>
    <t>Edith Louie</t>
  </si>
  <si>
    <t>Mabel Margolis</t>
  </si>
  <si>
    <t>Eva Martin</t>
  </si>
  <si>
    <t>Riley McDonnell</t>
  </si>
  <si>
    <t>Sophia Newtson</t>
  </si>
  <si>
    <t>Sarah Payne</t>
  </si>
  <si>
    <t>Zara-Jean Penn</t>
  </si>
  <si>
    <t>Anah Pho</t>
  </si>
  <si>
    <t>Olivia Root</t>
  </si>
  <si>
    <t>Samantha Sitton</t>
  </si>
  <si>
    <t>Anna Lucia Stavlund</t>
  </si>
  <si>
    <t>Olivia Tighe</t>
  </si>
  <si>
    <t>Eva Ulmer</t>
  </si>
  <si>
    <t>Susan Wang Andera</t>
  </si>
  <si>
    <t>Zachary Abruzzese</t>
  </si>
  <si>
    <t>Kinaire Callahan</t>
  </si>
  <si>
    <t>Colt Armstrong</t>
  </si>
  <si>
    <t>Mia Carbone</t>
  </si>
  <si>
    <t>Kyle Aylward</t>
  </si>
  <si>
    <t>Emma Duffy</t>
  </si>
  <si>
    <t>Brian Bernard</t>
  </si>
  <si>
    <t>Corinne Dunsmoor</t>
  </si>
  <si>
    <t>Porter Bertman</t>
  </si>
  <si>
    <t>Lily Dunsmoor</t>
  </si>
  <si>
    <t>Benjamin Brackett</t>
  </si>
  <si>
    <t>Emerson Feeley</t>
  </si>
  <si>
    <t>Ryan Casteleyn</t>
  </si>
  <si>
    <t>Islay Hamilton</t>
  </si>
  <si>
    <t>Alish Dhakal</t>
  </si>
  <si>
    <t>Eve Jungman</t>
  </si>
  <si>
    <t>Alexander Duong</t>
  </si>
  <si>
    <t>Gabi Konde</t>
  </si>
  <si>
    <t>Milo Feller</t>
  </si>
  <si>
    <t>Meredith Lawler</t>
  </si>
  <si>
    <t>Liam Healey-Wright</t>
  </si>
  <si>
    <t>Avery Lawrence</t>
  </si>
  <si>
    <t>Evan Holt</t>
  </si>
  <si>
    <t>Eliana Louie</t>
  </si>
  <si>
    <t>Jesse Holt</t>
  </si>
  <si>
    <t>Alyssa Mahoney</t>
  </si>
  <si>
    <t>Caeli McIntosh</t>
  </si>
  <si>
    <t>Sam Jaeckel</t>
  </si>
  <si>
    <t>Leah Nguyen</t>
  </si>
  <si>
    <t>Tommy Juster</t>
  </si>
  <si>
    <t>Olivia Osterhout</t>
  </si>
  <si>
    <t>Zac Lee</t>
  </si>
  <si>
    <t>Ash Quick</t>
  </si>
  <si>
    <t>Hannah Quick</t>
  </si>
  <si>
    <t>Sarah-Lane Roberts</t>
  </si>
  <si>
    <t>Steven McCormick</t>
  </si>
  <si>
    <t>Natalia Sayasithsena</t>
  </si>
  <si>
    <t>William Mount</t>
  </si>
  <si>
    <t>Courtney Weldon</t>
  </si>
  <si>
    <t>Julian Penn</t>
  </si>
  <si>
    <t>Thomas Phelam</t>
  </si>
  <si>
    <t>Ethan Simone</t>
  </si>
  <si>
    <t>Kai Threadgill</t>
  </si>
  <si>
    <t>Age Group</t>
  </si>
  <si>
    <t>Date</t>
  </si>
  <si>
    <t>* These results are calculated automatically and are non-editable</t>
  </si>
  <si>
    <t>Place</t>
  </si>
  <si>
    <t>Team</t>
  </si>
  <si>
    <t>Name</t>
  </si>
  <si>
    <t>T11</t>
  </si>
  <si>
    <t>T17</t>
  </si>
  <si>
    <t>Age Form</t>
  </si>
  <si>
    <t>T13</t>
  </si>
  <si>
    <t>T37</t>
  </si>
  <si>
    <t>T6</t>
  </si>
  <si>
    <t>T20</t>
  </si>
  <si>
    <t>T5</t>
  </si>
  <si>
    <t>T25</t>
  </si>
  <si>
    <t>T27</t>
  </si>
  <si>
    <t>T33</t>
  </si>
  <si>
    <t>T7</t>
  </si>
  <si>
    <t>T18</t>
  </si>
  <si>
    <t>T22</t>
  </si>
  <si>
    <t>Display Schedule:</t>
  </si>
  <si>
    <t>DO NOT UPDATE DATA HERE - This information is loaded automatically from the NVSL-DIVERB-SECURE file</t>
  </si>
  <si>
    <t>Enter URL For this year's NVSL-DiverDB-SECURE file:</t>
  </si>
  <si>
    <t>https://docs.google.com/spreadsheets/d/1-JXYCYIAvtmiIJj4y5uFNPzMrtPUC6JAnZaXl789pwQ</t>
  </si>
  <si>
    <t>NVSL CRACKERJACK MEET PARTICIPANTS FOR 07/18/2021</t>
  </si>
  <si>
    <t>6 &amp; Under</t>
  </si>
  <si>
    <t>7 Year Old</t>
  </si>
  <si>
    <t xml:space="preserve">8 Year Old </t>
  </si>
  <si>
    <t xml:space="preserve">9 Year Old </t>
  </si>
  <si>
    <t xml:space="preserve">10 Year Old </t>
  </si>
  <si>
    <t xml:space="preserve">11 Year Old </t>
  </si>
  <si>
    <t xml:space="preserve">12 Year Old </t>
  </si>
  <si>
    <t xml:space="preserve">13 and Over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</si>
</sst>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dd\,\ mmmm\ dd\,\ yyyy"/>
    <numFmt numFmtId="165" formatCode="yyyymmdd"/>
  </numFmts>
  <fonts count="39">
    <font>
      <sz val="10"/>
      <color rgb="FF000000"/>
      <name val="Arial"/>
    </font>
    <font>
      <sz val="10"/>
      <name val="Arial"/>
    </font>
    <font>
      <b/>
      <sz val="10"/>
      <color rgb="FFFFFFFF"/>
      <name val="Arial"/>
    </font>
    <font>
      <b/>
      <sz val="14"/>
      <color rgb="FFFFFFFF"/>
      <name val="Arial"/>
    </font>
    <font>
      <b/>
      <sz val="14"/>
      <color rgb="FFFFFFFF"/>
      <name val="Arial"/>
    </font>
    <font>
      <b/>
      <i/>
      <sz val="12"/>
      <color rgb="FFE06666"/>
      <name val="Arial"/>
    </font>
    <font>
      <sz val="10"/>
      <color rgb="FFF3F3F3"/>
      <name val="Arial"/>
    </font>
    <font>
      <b/>
      <i/>
      <sz val="12"/>
      <color rgb="FFFFFFFF"/>
      <name val="Arial"/>
    </font>
    <font>
      <b/>
      <i/>
      <sz val="10"/>
      <color rgb="FFE06666"/>
      <name val="Arial"/>
    </font>
    <font>
      <b/>
      <sz val="10"/>
      <name val="Arial"/>
    </font>
    <font>
      <sz val="10"/>
      <name val="Arial"/>
    </font>
    <font>
      <b/>
      <sz val="12"/>
      <name val="Arial"/>
    </font>
    <font>
      <b/>
      <i/>
      <sz val="10"/>
      <name val="Arial"/>
    </font>
    <font>
      <b/>
      <sz val="10"/>
      <name val="Arial"/>
    </font>
    <font>
      <sz val="12"/>
      <name val="Arial"/>
    </font>
    <font>
      <b/>
      <sz val="10"/>
      <color rgb="FFFFFFFF"/>
      <name val="Arial"/>
    </font>
    <font>
      <b/>
      <i/>
      <sz val="12"/>
      <color rgb="FFFFFF00"/>
      <name val="Arial"/>
    </font>
    <font>
      <i/>
      <sz val="12"/>
      <name val="Arial"/>
    </font>
    <font>
      <u/>
      <sz val="10"/>
      <color rgb="FFFFFFFF"/>
      <name val="Arial"/>
    </font>
    <font>
      <b/>
      <sz val="12"/>
      <color rgb="FFFFFFFF"/>
      <name val="Arial"/>
    </font>
    <font>
      <b/>
      <i/>
      <sz val="12"/>
      <color rgb="FFFFFFFF"/>
      <name val="Arial"/>
    </font>
    <font>
      <sz val="10"/>
      <color rgb="FFFFFFFF"/>
      <name val="Arial"/>
    </font>
    <font>
      <i/>
      <sz val="12"/>
      <color rgb="FFFFFFFF"/>
      <name val="Arial"/>
    </font>
    <font>
      <sz val="10"/>
      <color rgb="FFFFFFFF"/>
      <name val="Arial"/>
    </font>
    <font>
      <b/>
      <u/>
      <sz val="10"/>
      <color rgb="FFFFFFFF"/>
      <name val="Arial"/>
    </font>
    <font>
      <i/>
      <sz val="12"/>
      <color rgb="FFFFFFFF"/>
      <name val="Arial"/>
    </font>
    <font>
      <b/>
      <i/>
      <sz val="8"/>
      <name val="Arial"/>
    </font>
    <font>
      <b/>
      <i/>
      <sz val="12"/>
      <name val="Arial"/>
    </font>
    <font>
      <b/>
      <i/>
      <sz val="10"/>
      <name val="Arial"/>
    </font>
    <font>
      <sz val="11"/>
      <color rgb="FF000000"/>
      <name val="Arial"/>
    </font>
    <font>
      <sz val="11"/>
      <color rgb="FF000000"/>
      <name val="Inconsolata"/>
    </font>
    <font>
      <b/>
      <sz val="14"/>
      <color rgb="FF00AAAA"/>
      <name val="Itc_officina_sansregular"/>
    </font>
    <font>
      <b/>
      <sz val="13"/>
      <color rgb="FF006699"/>
      <name val="Itc_officina_sansregular"/>
    </font>
    <font>
      <sz val="10"/>
      <color rgb="FF116699"/>
      <name val="Itc_officina_sansregular"/>
    </font>
    <font>
      <sz val="10"/>
      <color rgb="FF000000"/>
      <name val="Itc_officina_sansregular"/>
    </font>
    <font>
      <b/>
      <u/>
      <sz val="10"/>
      <color rgb="FFFFFFFF"/>
      <name val="Arial"/>
    </font>
    <font>
      <sz val="10"/>
      <color rgb="FF000000"/>
      <name val="Arial"/>
    </font>
    <font>
      <u/>
      <sz val="10"/>
      <color rgb="FF000000"/>
      <name val="Arial"/>
    </font>
    <font>
      <b/>
      <sz val="11"/>
      <color rgb="FFFFFFFF"/>
      <name val="Inconsolata"/>
    </font>
  </fonts>
  <fills count="25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FFF2CC"/>
        <bgColor rgb="FFFFF2CC"/>
      </patternFill>
    </fill>
    <fill>
      <patternFill patternType="solid">
        <fgColor rgb="FFFCE8B2"/>
        <bgColor rgb="FFFCE8B2"/>
      </patternFill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E6B8AF"/>
        <bgColor rgb="FFE6B8AF"/>
      </patternFill>
    </fill>
    <fill>
      <patternFill patternType="solid">
        <fgColor rgb="FFFF0000"/>
        <bgColor rgb="FFFF0000"/>
      </patternFill>
    </fill>
    <fill>
      <patternFill patternType="solid">
        <fgColor rgb="FFFCE5CD"/>
        <bgColor rgb="FFFCE5CD"/>
      </patternFill>
    </fill>
    <fill>
      <patternFill patternType="solid">
        <fgColor rgb="FFF9CB9C"/>
        <bgColor rgb="FFF9CB9C"/>
      </patternFill>
    </fill>
    <fill>
      <patternFill patternType="solid">
        <fgColor rgb="FFD5A6BD"/>
        <bgColor rgb="FFD5A6BD"/>
      </patternFill>
    </fill>
    <fill>
      <patternFill patternType="solid">
        <fgColor rgb="FFB6D7A8"/>
        <bgColor rgb="FFB6D7A8"/>
      </patternFill>
    </fill>
    <fill>
      <patternFill patternType="solid">
        <fgColor rgb="FFF1F1F1"/>
        <bgColor rgb="FFF1F1F1"/>
      </patternFill>
    </fill>
    <fill>
      <patternFill patternType="solid">
        <fgColor rgb="FFF4C7C3"/>
        <bgColor rgb="FFF4C7C3"/>
      </patternFill>
    </fill>
    <fill>
      <patternFill patternType="solid">
        <fgColor rgb="FF000000"/>
        <bgColor rgb="FF000000"/>
      </patternFill>
    </fill>
    <fill>
      <patternFill patternType="solid">
        <fgColor rgb="FFB45F06"/>
        <bgColor rgb="FFB45F06"/>
      </patternFill>
    </fill>
    <fill>
      <patternFill patternType="solid">
        <fgColor rgb="FFC9DAF8"/>
        <bgColor rgb="FFC9DAF8"/>
      </patternFill>
    </fill>
    <fill>
      <patternFill patternType="solid">
        <fgColor rgb="FFF46524"/>
        <bgColor rgb="FFF46524"/>
      </patternFill>
    </fill>
    <fill>
      <patternFill patternType="solid">
        <fgColor rgb="FFFFE6DD"/>
        <bgColor rgb="FFFFE6DD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/>
      <right style="thin">
        <color rgb="FFFFFF00"/>
      </right>
      <top style="thin">
        <color rgb="FFFFFF00"/>
      </top>
      <bottom style="thin">
        <color rgb="FFFFFF00"/>
      </bottom>
      <diagonal/>
    </border>
  </borders>
  <cellStyleXfs count="1">
    <xf numFmtId="0" fontId="0" fillId="0" borderId="0"/>
  </cellStyleXfs>
  <cellXfs count="231">
    <xf numFmtId="0" fontId="0" fillId="0" borderId="0" xfId="0" applyFont="1" applyAlignment="1"/>
    <xf numFmtId="49" fontId="1" fillId="0" borderId="0" xfId="0" applyNumberFormat="1" applyFont="1"/>
    <xf numFmtId="4" fontId="1" fillId="4" borderId="0" xfId="0" applyNumberFormat="1" applyFont="1" applyFill="1"/>
    <xf numFmtId="49" fontId="6" fillId="0" borderId="0" xfId="0" applyNumberFormat="1" applyFont="1" applyAlignment="1">
      <alignment horizontal="center"/>
    </xf>
    <xf numFmtId="49" fontId="8" fillId="2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49" fontId="2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9" fillId="6" borderId="2" xfId="0" applyNumberFormat="1" applyFont="1" applyFill="1" applyBorder="1" applyAlignment="1">
      <alignment horizontal="right"/>
    </xf>
    <xf numFmtId="49" fontId="9" fillId="7" borderId="2" xfId="0" applyNumberFormat="1" applyFont="1" applyFill="1" applyBorder="1" applyAlignment="1">
      <alignment horizontal="right"/>
    </xf>
    <xf numFmtId="4" fontId="1" fillId="0" borderId="0" xfId="0" applyNumberFormat="1" applyFont="1"/>
    <xf numFmtId="49" fontId="10" fillId="0" borderId="0" xfId="0" applyNumberFormat="1" applyFont="1" applyAlignment="1"/>
    <xf numFmtId="49" fontId="10" fillId="0" borderId="6" xfId="0" applyNumberFormat="1" applyFont="1" applyBorder="1" applyAlignment="1"/>
    <xf numFmtId="4" fontId="10" fillId="0" borderId="6" xfId="0" applyNumberFormat="1" applyFont="1" applyBorder="1" applyAlignment="1"/>
    <xf numFmtId="4" fontId="1" fillId="4" borderId="0" xfId="0" applyNumberFormat="1" applyFont="1" applyFill="1" applyAlignment="1">
      <alignment horizontal="center"/>
    </xf>
    <xf numFmtId="4" fontId="1" fillId="0" borderId="0" xfId="0" applyNumberFormat="1" applyFont="1" applyAlignment="1"/>
    <xf numFmtId="49" fontId="14" fillId="2" borderId="0" xfId="0" applyNumberFormat="1" applyFont="1" applyFill="1" applyAlignment="1"/>
    <xf numFmtId="49" fontId="2" fillId="2" borderId="0" xfId="0" applyNumberFormat="1" applyFont="1" applyFill="1" applyAlignment="1"/>
    <xf numFmtId="14" fontId="7" fillId="3" borderId="1" xfId="0" applyNumberFormat="1" applyFont="1" applyFill="1" applyBorder="1" applyAlignment="1">
      <alignment horizontal="center"/>
    </xf>
    <xf numFmtId="49" fontId="15" fillId="2" borderId="0" xfId="0" applyNumberFormat="1" applyFont="1" applyFill="1" applyAlignment="1"/>
    <xf numFmtId="4" fontId="1" fillId="0" borderId="0" xfId="0" applyNumberFormat="1" applyFont="1" applyAlignment="1">
      <alignment horizontal="center"/>
    </xf>
    <xf numFmtId="49" fontId="5" fillId="2" borderId="0" xfId="0" applyNumberFormat="1" applyFont="1" applyFill="1" applyAlignment="1"/>
    <xf numFmtId="49" fontId="5" fillId="2" borderId="0" xfId="0" applyNumberFormat="1" applyFont="1" applyFill="1" applyAlignment="1">
      <alignment horizontal="left"/>
    </xf>
    <xf numFmtId="49" fontId="16" fillId="2" borderId="0" xfId="0" applyNumberFormat="1" applyFont="1" applyFill="1" applyAlignment="1"/>
    <xf numFmtId="49" fontId="5" fillId="2" borderId="0" xfId="0" applyNumberFormat="1" applyFont="1" applyFill="1" applyAlignment="1">
      <alignment horizontal="center"/>
    </xf>
    <xf numFmtId="49" fontId="17" fillId="2" borderId="0" xfId="0" applyNumberFormat="1" applyFont="1" applyFill="1" applyAlignment="1"/>
    <xf numFmtId="49" fontId="9" fillId="2" borderId="0" xfId="0" applyNumberFormat="1" applyFont="1" applyFill="1" applyAlignment="1">
      <alignment horizontal="center"/>
    </xf>
    <xf numFmtId="49" fontId="11" fillId="2" borderId="0" xfId="0" applyNumberFormat="1" applyFont="1" applyFill="1" applyAlignment="1">
      <alignment horizontal="right"/>
    </xf>
    <xf numFmtId="49" fontId="18" fillId="2" borderId="0" xfId="0" applyNumberFormat="1" applyFont="1" applyFill="1" applyAlignment="1">
      <alignment horizontal="center"/>
    </xf>
    <xf numFmtId="49" fontId="19" fillId="2" borderId="0" xfId="0" applyNumberFormat="1" applyFont="1" applyFill="1" applyAlignment="1">
      <alignment horizontal="right"/>
    </xf>
    <xf numFmtId="49" fontId="21" fillId="2" borderId="0" xfId="0" applyNumberFormat="1" applyFont="1" applyFill="1"/>
    <xf numFmtId="49" fontId="23" fillId="2" borderId="0" xfId="0" applyNumberFormat="1" applyFont="1" applyFill="1" applyAlignment="1">
      <alignment horizontal="right"/>
    </xf>
    <xf numFmtId="49" fontId="24" fillId="2" borderId="0" xfId="0" applyNumberFormat="1" applyFont="1" applyFill="1" applyAlignment="1">
      <alignment horizontal="center"/>
    </xf>
    <xf numFmtId="49" fontId="21" fillId="2" borderId="0" xfId="0" applyNumberFormat="1" applyFont="1" applyFill="1" applyAlignment="1"/>
    <xf numFmtId="4" fontId="15" fillId="2" borderId="0" xfId="0" applyNumberFormat="1" applyFont="1" applyFill="1" applyAlignment="1"/>
    <xf numFmtId="49" fontId="19" fillId="2" borderId="0" xfId="0" applyNumberFormat="1" applyFont="1" applyFill="1" applyAlignment="1">
      <alignment horizontal="right"/>
    </xf>
    <xf numFmtId="49" fontId="19" fillId="2" borderId="6" xfId="0" applyNumberFormat="1" applyFont="1" applyFill="1" applyBorder="1" applyAlignment="1">
      <alignment horizontal="right"/>
    </xf>
    <xf numFmtId="0" fontId="21" fillId="2" borderId="0" xfId="0" applyFont="1" applyFill="1"/>
    <xf numFmtId="4" fontId="21" fillId="2" borderId="0" xfId="0" applyNumberFormat="1" applyFont="1" applyFill="1"/>
    <xf numFmtId="4" fontId="9" fillId="0" borderId="0" xfId="0" applyNumberFormat="1" applyFont="1" applyAlignment="1"/>
    <xf numFmtId="4" fontId="1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49" fontId="26" fillId="6" borderId="1" xfId="0" applyNumberFormat="1" applyFont="1" applyFill="1" applyBorder="1" applyAlignment="1">
      <alignment horizontal="center"/>
    </xf>
    <xf numFmtId="49" fontId="12" fillId="6" borderId="1" xfId="0" applyNumberFormat="1" applyFont="1" applyFill="1" applyBorder="1" applyAlignment="1"/>
    <xf numFmtId="49" fontId="9" fillId="0" borderId="0" xfId="0" applyNumberFormat="1" applyFont="1" applyAlignment="1">
      <alignment horizontal="center"/>
    </xf>
    <xf numFmtId="49" fontId="26" fillId="7" borderId="1" xfId="0" applyNumberFormat="1" applyFont="1" applyFill="1" applyBorder="1" applyAlignment="1">
      <alignment horizontal="center"/>
    </xf>
    <xf numFmtId="49" fontId="12" fillId="7" borderId="1" xfId="0" applyNumberFormat="1" applyFont="1" applyFill="1" applyBorder="1" applyAlignment="1"/>
    <xf numFmtId="4" fontId="9" fillId="0" borderId="0" xfId="0" applyNumberFormat="1" applyFont="1"/>
    <xf numFmtId="49" fontId="9" fillId="6" borderId="1" xfId="0" applyNumberFormat="1" applyFont="1" applyFill="1" applyBorder="1" applyAlignment="1">
      <alignment horizontal="center"/>
    </xf>
    <xf numFmtId="49" fontId="12" fillId="0" borderId="0" xfId="0" applyNumberFormat="1" applyFont="1" applyAlignment="1"/>
    <xf numFmtId="49" fontId="9" fillId="7" borderId="1" xfId="0" applyNumberFormat="1" applyFont="1" applyFill="1" applyBorder="1" applyAlignment="1">
      <alignment horizontal="center"/>
    </xf>
    <xf numFmtId="4" fontId="9" fillId="0" borderId="0" xfId="0" applyNumberFormat="1" applyFont="1" applyAlignment="1">
      <alignment horizontal="center"/>
    </xf>
    <xf numFmtId="49" fontId="10" fillId="12" borderId="1" xfId="0" applyNumberFormat="1" applyFont="1" applyFill="1" applyBorder="1" applyAlignment="1"/>
    <xf numFmtId="49" fontId="28" fillId="12" borderId="4" xfId="0" applyNumberFormat="1" applyFont="1" applyFill="1" applyBorder="1" applyAlignment="1">
      <alignment horizontal="right"/>
    </xf>
    <xf numFmtId="4" fontId="28" fillId="12" borderId="4" xfId="0" applyNumberFormat="1" applyFont="1" applyFill="1" applyBorder="1" applyAlignment="1">
      <alignment horizontal="center" vertical="top"/>
    </xf>
    <xf numFmtId="49" fontId="28" fillId="12" borderId="4" xfId="0" applyNumberFormat="1" applyFont="1" applyFill="1" applyBorder="1" applyAlignment="1">
      <alignment horizontal="center" vertical="top"/>
    </xf>
    <xf numFmtId="49" fontId="10" fillId="12" borderId="4" xfId="0" applyNumberFormat="1" applyFont="1" applyFill="1" applyBorder="1" applyAlignment="1"/>
    <xf numFmtId="49" fontId="10" fillId="0" borderId="5" xfId="0" applyNumberFormat="1" applyFont="1" applyBorder="1" applyAlignment="1"/>
    <xf numFmtId="4" fontId="9" fillId="0" borderId="0" xfId="0" applyNumberFormat="1" applyFont="1" applyAlignment="1">
      <alignment horizontal="left"/>
    </xf>
    <xf numFmtId="49" fontId="10" fillId="12" borderId="1" xfId="0" applyNumberFormat="1" applyFont="1" applyFill="1" applyBorder="1" applyAlignment="1">
      <alignment horizontal="center"/>
    </xf>
    <xf numFmtId="49" fontId="10" fillId="0" borderId="12" xfId="0" applyNumberFormat="1" applyFont="1" applyBorder="1" applyAlignment="1">
      <alignment horizontal="center" vertical="top"/>
    </xf>
    <xf numFmtId="4" fontId="10" fillId="0" borderId="1" xfId="0" applyNumberFormat="1" applyFont="1" applyBorder="1" applyAlignment="1">
      <alignment horizontal="center" vertical="top"/>
    </xf>
    <xf numFmtId="49" fontId="10" fillId="12" borderId="12" xfId="0" applyNumberFormat="1" applyFont="1" applyFill="1" applyBorder="1" applyAlignment="1"/>
    <xf numFmtId="3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left"/>
    </xf>
    <xf numFmtId="4" fontId="10" fillId="0" borderId="0" xfId="0" applyNumberFormat="1" applyFont="1" applyAlignment="1">
      <alignment horizontal="center"/>
    </xf>
    <xf numFmtId="4" fontId="10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/>
    <xf numFmtId="49" fontId="10" fillId="0" borderId="6" xfId="0" applyNumberFormat="1" applyFont="1" applyBorder="1" applyAlignment="1"/>
    <xf numFmtId="0" fontId="10" fillId="0" borderId="6" xfId="0" applyFont="1" applyBorder="1" applyAlignment="1"/>
    <xf numFmtId="0" fontId="10" fillId="13" borderId="13" xfId="0" applyFont="1" applyFill="1" applyBorder="1" applyAlignment="1">
      <alignment horizontal="center"/>
    </xf>
    <xf numFmtId="0" fontId="13" fillId="6" borderId="0" xfId="0" applyFont="1" applyFill="1" applyAlignment="1">
      <alignment horizontal="center"/>
    </xf>
    <xf numFmtId="0" fontId="13" fillId="14" borderId="0" xfId="0" applyFont="1" applyFill="1" applyAlignment="1">
      <alignment horizontal="center" wrapText="1"/>
    </xf>
    <xf numFmtId="0" fontId="13" fillId="14" borderId="0" xfId="0" applyFont="1" applyFill="1" applyAlignment="1">
      <alignment horizontal="center" wrapText="1"/>
    </xf>
    <xf numFmtId="0" fontId="13" fillId="15" borderId="0" xfId="0" applyFont="1" applyFill="1" applyAlignment="1">
      <alignment horizontal="center" wrapText="1"/>
    </xf>
    <xf numFmtId="0" fontId="9" fillId="16" borderId="0" xfId="0" applyFont="1" applyFill="1" applyAlignment="1">
      <alignment horizontal="center" wrapText="1"/>
    </xf>
    <xf numFmtId="0" fontId="9" fillId="17" borderId="0" xfId="0" applyFont="1" applyFill="1" applyAlignment="1">
      <alignment horizontal="center" wrapText="1"/>
    </xf>
    <xf numFmtId="0" fontId="10" fillId="6" borderId="0" xfId="0" applyFont="1" applyFill="1" applyAlignment="1">
      <alignment horizontal="center"/>
    </xf>
    <xf numFmtId="0" fontId="29" fillId="6" borderId="0" xfId="0" applyFont="1" applyFill="1" applyAlignment="1"/>
    <xf numFmtId="0" fontId="10" fillId="14" borderId="0" xfId="0" applyFont="1" applyFill="1" applyAlignment="1">
      <alignment horizontal="center"/>
    </xf>
    <xf numFmtId="0" fontId="10" fillId="15" borderId="0" xfId="0" applyFont="1" applyFill="1" applyAlignment="1">
      <alignment horizontal="center"/>
    </xf>
    <xf numFmtId="0" fontId="1" fillId="16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1" fillId="15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164" fontId="30" fillId="13" borderId="13" xfId="0" applyNumberFormat="1" applyFont="1" applyFill="1" applyBorder="1"/>
    <xf numFmtId="0" fontId="1" fillId="10" borderId="0" xfId="0" applyFont="1" applyFill="1"/>
    <xf numFmtId="0" fontId="9" fillId="0" borderId="0" xfId="0" applyFont="1" applyAlignment="1"/>
    <xf numFmtId="0" fontId="1" fillId="0" borderId="0" xfId="0" applyFont="1" applyAlignment="1"/>
    <xf numFmtId="164" fontId="31" fillId="11" borderId="0" xfId="0" applyNumberFormat="1" applyFont="1" applyFill="1" applyAlignment="1"/>
    <xf numFmtId="164" fontId="31" fillId="10" borderId="0" xfId="0" applyNumberFormat="1" applyFont="1" applyFill="1" applyAlignment="1"/>
    <xf numFmtId="0" fontId="32" fillId="11" borderId="0" xfId="0" applyFont="1" applyFill="1" applyAlignment="1"/>
    <xf numFmtId="0" fontId="33" fillId="18" borderId="0" xfId="0" applyFont="1" applyFill="1" applyAlignment="1">
      <alignment horizontal="right"/>
    </xf>
    <xf numFmtId="0" fontId="33" fillId="18" borderId="0" xfId="0" applyFont="1" applyFill="1" applyAlignment="1"/>
    <xf numFmtId="0" fontId="34" fillId="18" borderId="0" xfId="0" applyFont="1" applyFill="1" applyAlignment="1"/>
    <xf numFmtId="18" fontId="34" fillId="18" borderId="0" xfId="0" applyNumberFormat="1" applyFont="1" applyFill="1" applyAlignment="1"/>
    <xf numFmtId="0" fontId="10" fillId="0" borderId="0" xfId="0" applyFont="1" applyAlignment="1"/>
    <xf numFmtId="0" fontId="30" fillId="11" borderId="0" xfId="0" applyFont="1" applyFill="1" applyAlignment="1">
      <alignment horizontal="right"/>
    </xf>
    <xf numFmtId="0" fontId="33" fillId="11" borderId="0" xfId="0" applyFont="1" applyFill="1" applyAlignment="1"/>
    <xf numFmtId="0" fontId="34" fillId="11" borderId="0" xfId="0" applyFont="1" applyFill="1" applyAlignment="1"/>
    <xf numFmtId="18" fontId="34" fillId="11" borderId="0" xfId="0" applyNumberFormat="1" applyFont="1" applyFill="1" applyAlignment="1"/>
    <xf numFmtId="0" fontId="10" fillId="13" borderId="13" xfId="0" applyFont="1" applyFill="1" applyBorder="1" applyAlignment="1">
      <alignment horizontal="center"/>
    </xf>
    <xf numFmtId="0" fontId="13" fillId="6" borderId="0" xfId="0" applyFont="1" applyFill="1" applyAlignment="1">
      <alignment horizontal="center"/>
    </xf>
    <xf numFmtId="0" fontId="13" fillId="14" borderId="0" xfId="0" applyFont="1" applyFill="1" applyAlignment="1">
      <alignment horizontal="center" wrapText="1"/>
    </xf>
    <xf numFmtId="0" fontId="13" fillId="15" borderId="0" xfId="0" applyFont="1" applyFill="1" applyAlignment="1">
      <alignment horizontal="center" wrapText="1"/>
    </xf>
    <xf numFmtId="0" fontId="10" fillId="6" borderId="0" xfId="0" applyFont="1" applyFill="1" applyAlignment="1">
      <alignment horizontal="center"/>
    </xf>
    <xf numFmtId="0" fontId="10" fillId="6" borderId="0" xfId="0" applyFont="1" applyFill="1" applyAlignment="1">
      <alignment horizontal="left"/>
    </xf>
    <xf numFmtId="0" fontId="10" fillId="6" borderId="0" xfId="0" applyFont="1" applyFill="1" applyAlignment="1">
      <alignment horizontal="center"/>
    </xf>
    <xf numFmtId="0" fontId="10" fillId="14" borderId="0" xfId="0" applyFont="1" applyFill="1" applyAlignment="1">
      <alignment horizontal="center"/>
    </xf>
    <xf numFmtId="0" fontId="10" fillId="13" borderId="14" xfId="0" applyFont="1" applyFill="1" applyBorder="1" applyAlignment="1">
      <alignment horizontal="center"/>
    </xf>
    <xf numFmtId="0" fontId="10" fillId="15" borderId="0" xfId="0" applyFont="1" applyFill="1" applyAlignment="1">
      <alignment horizontal="center"/>
    </xf>
    <xf numFmtId="0" fontId="10" fillId="19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5" fillId="20" borderId="0" xfId="0" applyFont="1" applyFill="1" applyAlignment="1">
      <alignment horizontal="left"/>
    </xf>
    <xf numFmtId="0" fontId="15" fillId="20" borderId="0" xfId="0" applyFont="1" applyFill="1" applyAlignment="1">
      <alignment horizontal="left" wrapText="1"/>
    </xf>
    <xf numFmtId="0" fontId="15" fillId="20" borderId="0" xfId="0" applyFont="1" applyFill="1" applyAlignment="1">
      <alignment horizontal="left" wrapText="1"/>
    </xf>
    <xf numFmtId="0" fontId="15" fillId="20" borderId="0" xfId="0" applyFont="1" applyFill="1" applyAlignment="1">
      <alignment horizontal="left"/>
    </xf>
    <xf numFmtId="0" fontId="21" fillId="20" borderId="0" xfId="0" applyFont="1" applyFill="1" applyAlignment="1">
      <alignment horizontal="left"/>
    </xf>
    <xf numFmtId="0" fontId="1" fillId="8" borderId="0" xfId="0" applyFont="1" applyFill="1"/>
    <xf numFmtId="0" fontId="15" fillId="20" borderId="0" xfId="0" applyFont="1" applyFill="1" applyAlignment="1">
      <alignment horizontal="center" wrapText="1"/>
    </xf>
    <xf numFmtId="0" fontId="15" fillId="21" borderId="0" xfId="0" applyFont="1" applyFill="1" applyAlignment="1">
      <alignment horizontal="center" wrapText="1"/>
    </xf>
    <xf numFmtId="0" fontId="1" fillId="0" borderId="0" xfId="0" applyFont="1" applyAlignment="1">
      <alignment horizontal="center"/>
    </xf>
    <xf numFmtId="0" fontId="15" fillId="20" borderId="0" xfId="0" applyFont="1" applyFill="1" applyAlignment="1">
      <alignment horizontal="right"/>
    </xf>
    <xf numFmtId="0" fontId="35" fillId="20" borderId="0" xfId="0" applyFont="1" applyFill="1" applyAlignment="1">
      <alignment horizontal="left"/>
    </xf>
    <xf numFmtId="0" fontId="9" fillId="13" borderId="13" xfId="0" applyFont="1" applyFill="1" applyBorder="1" applyAlignment="1">
      <alignment horizontal="center"/>
    </xf>
    <xf numFmtId="0" fontId="9" fillId="0" borderId="0" xfId="0" applyFont="1" applyAlignment="1"/>
    <xf numFmtId="0" fontId="9" fillId="5" borderId="0" xfId="0" applyFont="1" applyFill="1" applyAlignment="1"/>
    <xf numFmtId="0" fontId="9" fillId="12" borderId="0" xfId="0" applyFont="1" applyFill="1" applyAlignment="1">
      <alignment horizontal="center"/>
    </xf>
    <xf numFmtId="0" fontId="9" fillId="14" borderId="0" xfId="0" applyFont="1" applyFill="1" applyAlignment="1">
      <alignment horizontal="center" wrapText="1"/>
    </xf>
    <xf numFmtId="0" fontId="9" fillId="22" borderId="0" xfId="0" applyFont="1" applyFill="1" applyAlignment="1">
      <alignment wrapText="1"/>
    </xf>
    <xf numFmtId="0" fontId="9" fillId="22" borderId="0" xfId="0" applyFont="1" applyFill="1"/>
    <xf numFmtId="0" fontId="21" fillId="13" borderId="0" xfId="0" applyFont="1" applyFill="1"/>
    <xf numFmtId="0" fontId="9" fillId="23" borderId="0" xfId="0" applyFont="1" applyFill="1"/>
    <xf numFmtId="165" fontId="9" fillId="23" borderId="0" xfId="0" applyNumberFormat="1" applyFont="1" applyFill="1"/>
    <xf numFmtId="0" fontId="21" fillId="20" borderId="0" xfId="0" applyFont="1" applyFill="1"/>
    <xf numFmtId="0" fontId="15" fillId="20" borderId="0" xfId="0" applyFont="1" applyFill="1" applyAlignment="1"/>
    <xf numFmtId="0" fontId="9" fillId="23" borderId="0" xfId="0" applyFont="1" applyFill="1" applyAlignment="1"/>
    <xf numFmtId="0" fontId="9" fillId="23" borderId="0" xfId="0" applyFont="1" applyFill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/>
    <xf numFmtId="0" fontId="1" fillId="5" borderId="0" xfId="0" applyFont="1" applyFill="1" applyAlignment="1">
      <alignment horizontal="center"/>
    </xf>
    <xf numFmtId="0" fontId="1" fillId="12" borderId="0" xfId="0" applyFont="1" applyFill="1" applyAlignment="1">
      <alignment horizontal="center"/>
    </xf>
    <xf numFmtId="0" fontId="1" fillId="14" borderId="0" xfId="0" applyFont="1" applyFill="1" applyAlignment="1">
      <alignment horizontal="center"/>
    </xf>
    <xf numFmtId="165" fontId="1" fillId="22" borderId="0" xfId="0" applyNumberFormat="1" applyFont="1" applyFill="1"/>
    <xf numFmtId="0" fontId="1" fillId="22" borderId="0" xfId="0" applyFont="1" applyFill="1"/>
    <xf numFmtId="0" fontId="36" fillId="13" borderId="0" xfId="0" applyFont="1" applyFill="1"/>
    <xf numFmtId="14" fontId="1" fillId="11" borderId="0" xfId="0" applyNumberFormat="1" applyFont="1" applyFill="1"/>
    <xf numFmtId="165" fontId="1" fillId="11" borderId="0" xfId="0" applyNumberFormat="1" applyFont="1" applyFill="1"/>
    <xf numFmtId="0" fontId="1" fillId="11" borderId="0" xfId="0" applyFont="1" applyFill="1"/>
    <xf numFmtId="164" fontId="31" fillId="8" borderId="0" xfId="0" applyNumberFormat="1" applyFont="1" applyFill="1" applyAlignment="1">
      <alignment horizontal="left"/>
    </xf>
    <xf numFmtId="0" fontId="1" fillId="11" borderId="0" xfId="0" applyFont="1" applyFill="1" applyAlignment="1">
      <alignment horizontal="center"/>
    </xf>
    <xf numFmtId="0" fontId="37" fillId="13" borderId="0" xfId="0" applyFont="1" applyFill="1"/>
    <xf numFmtId="14" fontId="1" fillId="24" borderId="0" xfId="0" applyNumberFormat="1" applyFont="1" applyFill="1"/>
    <xf numFmtId="165" fontId="1" fillId="24" borderId="0" xfId="0" applyNumberFormat="1" applyFont="1" applyFill="1"/>
    <xf numFmtId="0" fontId="1" fillId="24" borderId="0" xfId="0" applyFont="1" applyFill="1"/>
    <xf numFmtId="165" fontId="1" fillId="24" borderId="0" xfId="0" applyNumberFormat="1" applyFont="1" applyFill="1" applyAlignment="1">
      <alignment horizontal="left"/>
    </xf>
    <xf numFmtId="18" fontId="1" fillId="24" borderId="0" xfId="0" applyNumberFormat="1" applyFont="1" applyFill="1"/>
    <xf numFmtId="0" fontId="1" fillId="24" borderId="0" xfId="0" applyFont="1" applyFill="1" applyAlignment="1">
      <alignment horizontal="center"/>
    </xf>
    <xf numFmtId="0" fontId="10" fillId="24" borderId="0" xfId="0" applyFont="1" applyFill="1" applyAlignment="1"/>
    <xf numFmtId="0" fontId="1" fillId="24" borderId="0" xfId="0" applyFont="1" applyFill="1" applyAlignment="1">
      <alignment horizontal="center"/>
    </xf>
    <xf numFmtId="165" fontId="1" fillId="11" borderId="0" xfId="0" applyNumberFormat="1" applyFont="1" applyFill="1" applyAlignment="1">
      <alignment horizontal="left"/>
    </xf>
    <xf numFmtId="18" fontId="1" fillId="11" borderId="0" xfId="0" applyNumberFormat="1" applyFont="1" applyFill="1"/>
    <xf numFmtId="0" fontId="1" fillId="11" borderId="0" xfId="0" applyFont="1" applyFill="1" applyAlignment="1">
      <alignment horizontal="center"/>
    </xf>
    <xf numFmtId="0" fontId="10" fillId="11" borderId="0" xfId="0" applyFont="1" applyFill="1" applyAlignment="1"/>
    <xf numFmtId="0" fontId="1" fillId="24" borderId="0" xfId="0" applyFont="1" applyFill="1" applyAlignment="1">
      <alignment horizontal="center"/>
    </xf>
    <xf numFmtId="165" fontId="10" fillId="24" borderId="0" xfId="0" applyNumberFormat="1" applyFont="1" applyFill="1" applyAlignment="1"/>
    <xf numFmtId="165" fontId="1" fillId="24" borderId="0" xfId="0" applyNumberFormat="1" applyFont="1" applyFill="1" applyAlignment="1">
      <alignment horizontal="center"/>
    </xf>
    <xf numFmtId="0" fontId="1" fillId="14" borderId="0" xfId="0" applyFont="1" applyFill="1" applyAlignment="1">
      <alignment horizontal="center"/>
    </xf>
    <xf numFmtId="165" fontId="10" fillId="11" borderId="0" xfId="0" applyNumberFormat="1" applyFont="1" applyFill="1" applyAlignment="1"/>
    <xf numFmtId="165" fontId="1" fillId="11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5" borderId="0" xfId="0" applyFont="1" applyFill="1"/>
    <xf numFmtId="0" fontId="1" fillId="12" borderId="0" xfId="0" applyFont="1" applyFill="1" applyAlignment="1">
      <alignment horizontal="center"/>
    </xf>
    <xf numFmtId="0" fontId="15" fillId="24" borderId="0" xfId="0" applyFont="1" applyFill="1" applyAlignment="1">
      <alignment horizontal="center" wrapText="1"/>
    </xf>
    <xf numFmtId="0" fontId="15" fillId="24" borderId="0" xfId="0" applyFont="1" applyFill="1" applyAlignment="1">
      <alignment horizontal="center" wrapText="1"/>
    </xf>
    <xf numFmtId="0" fontId="9" fillId="24" borderId="0" xfId="0" applyFont="1" applyFill="1" applyAlignment="1">
      <alignment horizontal="left"/>
    </xf>
    <xf numFmtId="0" fontId="9" fillId="24" borderId="0" xfId="0" applyFont="1" applyFill="1" applyAlignment="1"/>
    <xf numFmtId="0" fontId="9" fillId="24" borderId="0" xfId="0" applyFont="1" applyFill="1" applyAlignment="1">
      <alignment horizontal="center" wrapText="1"/>
    </xf>
    <xf numFmtId="164" fontId="31" fillId="11" borderId="0" xfId="0" applyNumberFormat="1" applyFont="1" applyFill="1" applyAlignment="1">
      <alignment horizontal="left"/>
    </xf>
    <xf numFmtId="0" fontId="38" fillId="20" borderId="0" xfId="0" applyFont="1" applyFill="1" applyAlignment="1">
      <alignment horizontal="left"/>
    </xf>
    <xf numFmtId="0" fontId="2" fillId="20" borderId="0" xfId="0" applyFont="1" applyFill="1" applyAlignment="1">
      <alignment horizontal="left"/>
    </xf>
    <xf numFmtId="0" fontId="30" fillId="13" borderId="13" xfId="0" applyFont="1" applyFill="1" applyBorder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0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1" fillId="0" borderId="4" xfId="0" applyFont="1" applyBorder="1"/>
    <xf numFmtId="0" fontId="0" fillId="0" borderId="0" xfId="0" applyFont="1" applyAlignment="1"/>
    <xf numFmtId="49" fontId="10" fillId="9" borderId="7" xfId="0" applyNumberFormat="1" applyFont="1" applyFill="1" applyBorder="1" applyAlignment="1">
      <alignment wrapText="1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5" xfId="0" applyFont="1" applyBorder="1"/>
    <xf numFmtId="0" fontId="1" fillId="0" borderId="11" xfId="0" applyFont="1" applyBorder="1"/>
    <xf numFmtId="0" fontId="1" fillId="0" borderId="6" xfId="0" applyFont="1" applyBorder="1"/>
    <xf numFmtId="0" fontId="1" fillId="0" borderId="12" xfId="0" applyFont="1" applyBorder="1"/>
    <xf numFmtId="49" fontId="7" fillId="6" borderId="2" xfId="0" applyNumberFormat="1" applyFont="1" applyFill="1" applyBorder="1" applyAlignment="1">
      <alignment horizontal="center" vertical="center"/>
    </xf>
    <xf numFmtId="0" fontId="1" fillId="0" borderId="3" xfId="0" applyFont="1" applyBorder="1"/>
    <xf numFmtId="49" fontId="7" fillId="7" borderId="2" xfId="0" applyNumberFormat="1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left" vertical="top" wrapText="1"/>
    </xf>
    <xf numFmtId="14" fontId="22" fillId="2" borderId="0" xfId="0" applyNumberFormat="1" applyFont="1" applyFill="1" applyAlignment="1">
      <alignment horizontal="center"/>
    </xf>
    <xf numFmtId="49" fontId="25" fillId="2" borderId="0" xfId="0" applyNumberFormat="1" applyFont="1" applyFill="1" applyAlignment="1">
      <alignment horizontal="left"/>
    </xf>
    <xf numFmtId="49" fontId="11" fillId="7" borderId="2" xfId="0" applyNumberFormat="1" applyFont="1" applyFill="1" applyBorder="1" applyAlignment="1">
      <alignment horizontal="right"/>
    </xf>
    <xf numFmtId="4" fontId="9" fillId="0" borderId="0" xfId="0" applyNumberFormat="1" applyFont="1" applyAlignment="1">
      <alignment horizontal="center"/>
    </xf>
    <xf numFmtId="49" fontId="27" fillId="7" borderId="2" xfId="0" applyNumberFormat="1" applyFont="1" applyFill="1" applyBorder="1" applyAlignment="1">
      <alignment horizontal="right"/>
    </xf>
    <xf numFmtId="0" fontId="7" fillId="7" borderId="3" xfId="0" applyFont="1" applyFill="1" applyBorder="1" applyAlignment="1">
      <alignment horizontal="center"/>
    </xf>
    <xf numFmtId="49" fontId="28" fillId="12" borderId="3" xfId="0" applyNumberFormat="1" applyFont="1" applyFill="1" applyBorder="1" applyAlignment="1"/>
    <xf numFmtId="49" fontId="7" fillId="6" borderId="2" xfId="0" applyNumberFormat="1" applyFont="1" applyFill="1" applyBorder="1" applyAlignment="1">
      <alignment horizontal="center"/>
    </xf>
    <xf numFmtId="3" fontId="7" fillId="6" borderId="2" xfId="0" applyNumberFormat="1" applyFont="1" applyFill="1" applyBorder="1" applyAlignment="1">
      <alignment horizontal="center"/>
    </xf>
    <xf numFmtId="49" fontId="8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/>
    <xf numFmtId="49" fontId="2" fillId="2" borderId="0" xfId="0" applyNumberFormat="1" applyFont="1" applyFill="1" applyAlignment="1">
      <alignment horizontal="center"/>
    </xf>
    <xf numFmtId="49" fontId="4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3" fontId="7" fillId="3" borderId="2" xfId="0" applyNumberFormat="1" applyFont="1" applyFill="1" applyBorder="1" applyAlignment="1">
      <alignment horizontal="center"/>
    </xf>
    <xf numFmtId="49" fontId="7" fillId="3" borderId="2" xfId="0" applyNumberFormat="1" applyFont="1" applyFill="1" applyBorder="1" applyAlignment="1">
      <alignment horizontal="center"/>
    </xf>
    <xf numFmtId="49" fontId="27" fillId="6" borderId="2" xfId="0" applyNumberFormat="1" applyFont="1" applyFill="1" applyBorder="1" applyAlignment="1">
      <alignment horizontal="right"/>
    </xf>
    <xf numFmtId="49" fontId="7" fillId="6" borderId="3" xfId="0" applyNumberFormat="1" applyFont="1" applyFill="1" applyBorder="1" applyAlignment="1">
      <alignment horizontal="center"/>
    </xf>
    <xf numFmtId="49" fontId="20" fillId="2" borderId="0" xfId="0" applyNumberFormat="1" applyFont="1" applyFill="1" applyAlignment="1">
      <alignment horizontal="center"/>
    </xf>
    <xf numFmtId="49" fontId="11" fillId="6" borderId="2" xfId="0" applyNumberFormat="1" applyFont="1" applyFill="1" applyBorder="1" applyAlignment="1">
      <alignment horizontal="right"/>
    </xf>
    <xf numFmtId="164" fontId="31" fillId="11" borderId="0" xfId="0" applyNumberFormat="1" applyFont="1" applyFill="1" applyAlignment="1">
      <alignment horizontal="center"/>
    </xf>
    <xf numFmtId="0" fontId="34" fillId="11" borderId="0" xfId="0" applyFont="1" applyFill="1" applyAlignment="1"/>
    <xf numFmtId="0" fontId="15" fillId="21" borderId="0" xfId="0" applyFont="1" applyFill="1" applyAlignment="1">
      <alignment horizontal="center" wrapText="1"/>
    </xf>
    <xf numFmtId="0" fontId="15" fillId="11" borderId="0" xfId="0" applyFont="1" applyFill="1" applyAlignment="1">
      <alignment horizontal="center" wrapText="1"/>
    </xf>
  </cellXfs>
  <cellStyles count="1">
    <cellStyle name="Normal" xfId="0" builtinId="0"/>
  </cellStyles>
  <dxfs count="43">
    <dxf>
      <font>
        <b/>
        <color rgb="FFFFFFFF"/>
      </font>
      <fill>
        <patternFill patternType="solid">
          <fgColor rgb="FFFF9900"/>
          <bgColor rgb="FFFF9900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F8F2EB"/>
          <bgColor rgb="FFF8F2E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CCA677"/>
          <bgColor rgb="FFCCA677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8E7FC"/>
          <bgColor rgb="FFE8E7F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989EB"/>
          <bgColor rgb="FF8989EB"/>
        </patternFill>
      </fill>
    </dxf>
    <dxf>
      <fill>
        <patternFill patternType="solid">
          <fgColor rgb="FFEEF7E3"/>
          <bgColor rgb="FFEEF7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BC34A"/>
          <bgColor rgb="FF8BC34A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91D63"/>
          <bgColor rgb="FFE91D63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</dxfs>
  <tableStyles count="13">
    <tableStyle name="MeetParticipants-Printer-style" pivot="0" count="3" xr9:uid="{00000000-0011-0000-FFFF-FFFF00000000}">
      <tableStyleElement type="headerRow" dxfId="42"/>
      <tableStyleElement type="firstRowStripe" dxfId="41"/>
      <tableStyleElement type="secondRowStripe" dxfId="40"/>
    </tableStyle>
    <tableStyle name="MeetParticipants-Printer-style 2" pivot="0" count="3" xr9:uid="{00000000-0011-0000-FFFF-FFFF01000000}">
      <tableStyleElement type="headerRow" dxfId="39"/>
      <tableStyleElement type="firstRowStripe" dxfId="38"/>
      <tableStyleElement type="secondRowStripe" dxfId="37"/>
    </tableStyle>
    <tableStyle name="Lookup-Generic-style" pivot="0" count="3" xr9:uid="{00000000-0011-0000-FFFF-FFFF02000000}">
      <tableStyleElement type="headerRow" dxfId="36"/>
      <tableStyleElement type="firstRowStripe" dxfId="35"/>
      <tableStyleElement type="secondRowStripe" dxfId="34"/>
    </tableStyle>
    <tableStyle name="Lookup-Generic-style 2" pivot="0" count="3" xr9:uid="{00000000-0011-0000-FFFF-FFFF03000000}">
      <tableStyleElement type="headerRow" dxfId="33"/>
      <tableStyleElement type="firstRowStripe" dxfId="32"/>
      <tableStyleElement type="secondRowStripe" dxfId="31"/>
    </tableStyle>
    <tableStyle name="Lookup-Generic-style 3" pivot="0" count="3" xr9:uid="{00000000-0011-0000-FFFF-FFFF04000000}">
      <tableStyleElement type="headerRow" dxfId="30"/>
      <tableStyleElement type="firstRowStripe" dxfId="29"/>
      <tableStyleElement type="secondRowStripe" dxfId="28"/>
    </tableStyle>
    <tableStyle name="Lookup-Generic-style 4" pivot="0" count="3" xr9:uid="{00000000-0011-0000-FFFF-FFFF05000000}">
      <tableStyleElement type="headerRow" dxfId="27"/>
      <tableStyleElement type="firstRowStripe" dxfId="26"/>
      <tableStyleElement type="secondRowStripe" dxfId="25"/>
    </tableStyle>
    <tableStyle name="Lookup-Generic-style 5" pivot="0" count="3" xr9:uid="{00000000-0011-0000-FFFF-FFFF06000000}">
      <tableStyleElement type="headerRow" dxfId="24"/>
      <tableStyleElement type="firstRowStripe" dxfId="23"/>
      <tableStyleElement type="secondRowStripe" dxfId="22"/>
    </tableStyle>
    <tableStyle name="Lookup-Generic-style 6" pivot="0" count="3" xr9:uid="{00000000-0011-0000-FFFF-FFFF07000000}">
      <tableStyleElement type="headerRow" dxfId="21"/>
      <tableStyleElement type="firstRowStripe" dxfId="20"/>
      <tableStyleElement type="secondRowStripe" dxfId="19"/>
    </tableStyle>
    <tableStyle name="Lookup-Generic-style 7" pivot="0" count="3" xr9:uid="{00000000-0011-0000-FFFF-FFFF08000000}">
      <tableStyleElement type="headerRow" dxfId="18"/>
      <tableStyleElement type="firstRowStripe" dxfId="17"/>
      <tableStyleElement type="secondRowStripe" dxfId="16"/>
    </tableStyle>
    <tableStyle name="Lookup-ClubData-style" pivot="0" count="3" xr9:uid="{00000000-0011-0000-FFFF-FFFF09000000}">
      <tableStyleElement type="headerRow" dxfId="15"/>
      <tableStyleElement type="firstRowStripe" dxfId="14"/>
      <tableStyleElement type="secondRowStripe" dxfId="13"/>
    </tableStyle>
    <tableStyle name="Lookup-ClubData-style 2" pivot="0" count="3" xr9:uid="{00000000-0011-0000-FFFF-FFFF0A000000}">
      <tableStyleElement type="headerRow" dxfId="12"/>
      <tableStyleElement type="firstRowStripe" dxfId="11"/>
      <tableStyleElement type="secondRowStripe" dxfId="10"/>
    </tableStyle>
    <tableStyle name="Lookup-ClubData-style 3" pivot="0" count="3" xr9:uid="{00000000-0011-0000-FFFF-FFFF0B000000}">
      <tableStyleElement type="headerRow" dxfId="9"/>
      <tableStyleElement type="firstRowStripe" dxfId="8"/>
      <tableStyleElement type="secondRowStripe" dxfId="7"/>
    </tableStyle>
    <tableStyle name="Lookup-ClubData-style 4" pivot="0" count="3" xr9:uid="{00000000-0011-0000-FFFF-FFFF0C000000}">
      <tableStyleElement type="header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ookup-Generic-old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okup-Generic-old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M3:N500">
  <tableColumns count="2">
    <tableColumn id="1" xr3:uid="{00000000-0010-0000-0200-000001000000}" name="CJ Event Level"/>
    <tableColumn id="2" xr3:uid="{00000000-0010-0000-0200-000002000000}" name="CJ Max Score"/>
  </tableColumns>
  <tableStyleInfo name="Lookup-Generic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O3:P500" headerRowCount="0">
  <tableColumns count="2">
    <tableColumn id="1" xr3:uid="{00000000-0010-0000-0300-000001000000}" name="Column1"/>
    <tableColumn id="2" xr3:uid="{00000000-0010-0000-0300-000002000000}" name="Column2"/>
  </tableColumns>
  <tableStyleInfo name="Lookup-Generic-style 2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_5" displayName="Table_5" ref="A3:D500">
  <tableColumns count="4">
    <tableColumn id="1" xr3:uid="{00000000-0010-0000-0400-000001000000}" name="Division"/>
    <tableColumn id="2" xr3:uid="{00000000-0010-0000-0400-000002000000}" name="EventCode"/>
    <tableColumn id="3" xr3:uid="{00000000-0010-0000-0400-000003000000}" name="EventName"/>
    <tableColumn id="4" xr3:uid="{00000000-0010-0000-0400-000004000000}" name="ScoreRandomizer"/>
  </tableColumns>
  <tableStyleInfo name="Lookup-Generic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_6" displayName="Table_6" ref="E3:F500">
  <tableColumns count="2">
    <tableColumn id="1" xr3:uid="{00000000-0010-0000-0500-000001000000}" name="PlaceLookup"/>
    <tableColumn id="2" xr3:uid="{00000000-0010-0000-0500-000002000000}" name="PointsAwarded"/>
  </tableColumns>
  <tableStyleInfo name="Lookup-Generic-style 4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_7" displayName="Table_7" ref="K3:L500">
  <tableColumns count="2">
    <tableColumn id="1" xr3:uid="{00000000-0010-0000-0600-000001000000}" name="2021 Dual Meet Dates"/>
    <tableColumn id="2" xr3:uid="{00000000-0010-0000-0600-000002000000}" name="Report Status"/>
  </tableColumns>
  <tableStyleInfo name="Lookup-Generic-style 5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_8" displayName="Table_8" ref="I3:J500">
  <tableColumns count="2">
    <tableColumn id="1" xr3:uid="{00000000-0010-0000-0700-000001000000}" name="Current EventLevel"/>
    <tableColumn id="2" xr3:uid="{00000000-0010-0000-0700-000002000000}" name="Allowed EventLevel"/>
  </tableColumns>
  <tableStyleInfo name="Lookup-Generic-style 6" showFirstColumn="1" showLastColumn="1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_9" displayName="Table_9" ref="G3:H500">
  <tableColumns count="2">
    <tableColumn id="1" xr3:uid="{00000000-0010-0000-0800-000001000000}" name="EventAge"/>
    <tableColumn id="2" xr3:uid="{00000000-0010-0000-0800-000002000000}" name="Event"/>
  </tableColumns>
  <tableStyleInfo name="Lookup-Generic-style 7" showFirstColumn="1" showLastColumn="1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_10" displayName="Table_10" ref="J2:L101">
  <tableColumns count="3">
    <tableColumn id="1" xr3:uid="{00000000-0010-0000-0900-000001000000}" name="Contact Name2: 29"/>
    <tableColumn id="2" xr3:uid="{00000000-0010-0000-0900-000002000000}" name="Contact Phone2: 16"/>
    <tableColumn id="3" xr3:uid="{00000000-0010-0000-0900-000003000000}" name="Contact Email2: 33"/>
  </tableColumns>
  <tableStyleInfo name="Lookup-ClubData-style" showFirstColumn="1" showLastColumn="1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_11" displayName="Table_11" ref="M2:O101">
  <tableColumns count="3">
    <tableColumn id="1" xr3:uid="{00000000-0010-0000-0A00-000001000000}" name="Contact Name3: 21"/>
    <tableColumn id="2" xr3:uid="{00000000-0010-0000-0A00-000002000000}" name="Contact Phone3: 9"/>
    <tableColumn id="3" xr3:uid="{00000000-0010-0000-0A00-000003000000}" name="Contact Email3: 23"/>
  </tableColumns>
  <tableStyleInfo name="Lookup-ClubData-style 2" showFirstColumn="1" showLastColumn="1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_12" displayName="Table_12" ref="C2:F101">
  <tableColumns count="4">
    <tableColumn id="1" xr3:uid="{00000000-0010-0000-0B00-000001000000}" name="TeamCodeDropdown"/>
    <tableColumn id="2" xr3:uid="{00000000-0010-0000-0B00-000002000000}" name="TeamName"/>
    <tableColumn id="3" xr3:uid="{00000000-0010-0000-0B00-000003000000}" name="Nickname"/>
    <tableColumn id="4" xr3:uid="{00000000-0010-0000-0B00-000004000000}" name="TeamCodelookup"/>
  </tableColumns>
  <tableStyleInfo name="Lookup-ClubData-style 3" showFirstColumn="1" showLastColumn="1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_13" displayName="Table_13" ref="G2:I101">
  <tableColumns count="3">
    <tableColumn id="1" xr3:uid="{00000000-0010-0000-0C00-000001000000}" name="Contact Name1: 47"/>
    <tableColumn id="2" xr3:uid="{00000000-0010-0000-0C00-000002000000}" name="Contact Phone1: 36"/>
    <tableColumn id="3" xr3:uid="{00000000-0010-0000-0C00-000003000000}" name="Contact Email1: 48"/>
  </tableColumns>
  <tableStyleInfo name="Lookup-ClubData-style 4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hyperlink" Target="https://docs.google.com/document/d/1x9nXuXcDRG-KBHcaYIxv7seoRzwlefo0-zRuE9Zvp5s/edit?usp=sharing" TargetMode="External"/><Relationship Id="rId7" Type="http://schemas.openxmlformats.org/officeDocument/2006/relationships/table" Target="../tables/table2.xml"/><Relationship Id="rId12" Type="http://schemas.openxmlformats.org/officeDocument/2006/relationships/table" Target="../tables/table7.xml"/><Relationship Id="rId2" Type="http://schemas.openxmlformats.org/officeDocument/2006/relationships/hyperlink" Target="https://docs.google.com/spreadsheets/d/1-JXYCYIAvtmiIJj4y5uFNPzMrtPUC6JAnZaXl789pwQ" TargetMode="External"/><Relationship Id="rId1" Type="http://schemas.openxmlformats.org/officeDocument/2006/relationships/hyperlink" Target="https://docs.google.com/spreadsheets/d/1-JXYCYIAvtmiIJj4y5uFNPzMrtPUC6JAnZaXl789pwQ" TargetMode="External"/><Relationship Id="rId6" Type="http://schemas.openxmlformats.org/officeDocument/2006/relationships/table" Target="../tables/table1.xml"/><Relationship Id="rId11" Type="http://schemas.openxmlformats.org/officeDocument/2006/relationships/table" Target="../tables/table6.xml"/><Relationship Id="rId5" Type="http://schemas.openxmlformats.org/officeDocument/2006/relationships/hyperlink" Target="https://dive.mynvsl.com/contacts/division-coordinators" TargetMode="External"/><Relationship Id="rId10" Type="http://schemas.openxmlformats.org/officeDocument/2006/relationships/table" Target="../tables/table5.xml"/><Relationship Id="rId4" Type="http://schemas.openxmlformats.org/officeDocument/2006/relationships/hyperlink" Target="https://docs.google.com/spreadsheets/d/1q8hNzk8wlHLSWNRodZyLwN77iP8civFLqlOMw7TVX-E" TargetMode="External"/><Relationship Id="rId9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  <outlinePr summaryBelow="0" summaryRight="0"/>
  </sheetPr>
  <dimension ref="A1:AL607"/>
  <sheetViews>
    <sheetView tabSelected="1" workbookViewId="0">
      <pane ySplit="10" topLeftCell="A11" activePane="bottomLeft" state="frozen"/>
      <selection pane="bottomLeft" activeCell="G501" sqref="G501"/>
    </sheetView>
  </sheetViews>
  <sheetFormatPr defaultColWidth="14.44140625" defaultRowHeight="15.75" customHeight="1"/>
  <cols>
    <col min="1" max="1" width="3.44140625" customWidth="1"/>
    <col min="2" max="2" width="1.6640625" customWidth="1"/>
    <col min="3" max="3" width="4" customWidth="1"/>
    <col min="4" max="4" width="17.44140625" customWidth="1"/>
    <col min="5" max="5" width="7.109375" customWidth="1"/>
    <col min="6" max="6" width="7" customWidth="1"/>
    <col min="7" max="7" width="6.109375" customWidth="1"/>
    <col min="8" max="8" width="4.33203125" customWidth="1"/>
    <col min="9" max="14" width="1.6640625" customWidth="1"/>
    <col min="15" max="15" width="4" customWidth="1"/>
    <col min="16" max="16" width="17.44140625" customWidth="1"/>
    <col min="17" max="17" width="7.109375" customWidth="1"/>
    <col min="18" max="18" width="7" customWidth="1"/>
    <col min="19" max="19" width="6.109375" customWidth="1"/>
    <col min="20" max="20" width="4.33203125" customWidth="1"/>
    <col min="21" max="21" width="3.88671875" customWidth="1"/>
    <col min="22" max="22" width="3.109375" hidden="1" customWidth="1"/>
    <col min="23" max="23" width="6.6640625" hidden="1" customWidth="1"/>
    <col min="24" max="24" width="16.88671875" hidden="1" customWidth="1"/>
    <col min="25" max="25" width="6.88671875" hidden="1" customWidth="1"/>
    <col min="26" max="26" width="7.5546875" hidden="1" customWidth="1"/>
    <col min="27" max="35" width="1.5546875" hidden="1" customWidth="1"/>
    <col min="36" max="36" width="19.33203125" hidden="1" customWidth="1"/>
    <col min="37" max="37" width="5.88671875" hidden="1" customWidth="1"/>
    <col min="38" max="38" width="6.33203125" hidden="1" customWidth="1"/>
  </cols>
  <sheetData>
    <row r="1" spans="1:38">
      <c r="A1" s="1"/>
      <c r="B1" s="16"/>
      <c r="C1" s="17"/>
      <c r="D1" s="18" t="s">
        <v>0</v>
      </c>
      <c r="E1" s="19"/>
      <c r="F1" s="217" t="s">
        <v>516</v>
      </c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2"/>
      <c r="W1" s="10"/>
      <c r="X1" s="10"/>
      <c r="Y1" s="10"/>
      <c r="Z1" s="10"/>
      <c r="AA1" s="10"/>
      <c r="AB1" s="10"/>
      <c r="AC1" s="20"/>
      <c r="AD1" s="20"/>
      <c r="AE1" s="10"/>
      <c r="AF1" s="10"/>
      <c r="AG1" s="10"/>
      <c r="AH1" s="10"/>
      <c r="AI1" s="10"/>
      <c r="AJ1" s="20"/>
      <c r="AK1" s="20"/>
      <c r="AL1" s="10"/>
    </row>
    <row r="2" spans="1:38" ht="17.399999999999999">
      <c r="A2" s="1"/>
      <c r="B2" s="218"/>
      <c r="C2" s="194"/>
      <c r="D2" s="219" t="s">
        <v>1</v>
      </c>
      <c r="E2" s="194"/>
      <c r="F2" s="220" t="s">
        <v>2</v>
      </c>
      <c r="G2" s="194"/>
      <c r="H2" s="194"/>
      <c r="I2" s="21"/>
      <c r="J2" s="22"/>
      <c r="K2" s="22"/>
      <c r="L2" s="23" t="s">
        <v>25</v>
      </c>
      <c r="M2" s="19"/>
      <c r="N2" s="19"/>
      <c r="O2" s="19"/>
      <c r="P2" s="219" t="s">
        <v>3</v>
      </c>
      <c r="Q2" s="194"/>
      <c r="R2" s="220" t="s">
        <v>2</v>
      </c>
      <c r="S2" s="194"/>
      <c r="T2" s="194"/>
      <c r="U2" s="24"/>
      <c r="V2" s="2"/>
      <c r="W2" s="10"/>
      <c r="X2" s="10"/>
      <c r="Y2" s="10"/>
      <c r="Z2" s="10"/>
      <c r="AA2" s="10"/>
      <c r="AB2" s="10"/>
      <c r="AC2" s="20"/>
      <c r="AD2" s="20"/>
      <c r="AE2" s="10"/>
      <c r="AF2" s="10"/>
      <c r="AG2" s="10"/>
      <c r="AH2" s="10"/>
      <c r="AI2" s="10"/>
      <c r="AJ2" s="20"/>
      <c r="AK2" s="20"/>
      <c r="AL2" s="10"/>
    </row>
    <row r="3" spans="1:38" ht="15.6">
      <c r="A3" s="3"/>
      <c r="B3" s="218"/>
      <c r="C3" s="194"/>
      <c r="D3" s="214" t="s">
        <v>4</v>
      </c>
      <c r="E3" s="193"/>
      <c r="F3" s="215">
        <v>19</v>
      </c>
      <c r="G3" s="204"/>
      <c r="H3" s="204"/>
      <c r="I3" s="216"/>
      <c r="J3" s="194"/>
      <c r="K3" s="25"/>
      <c r="L3" s="23" t="s">
        <v>25</v>
      </c>
      <c r="M3" s="19"/>
      <c r="N3" s="19"/>
      <c r="O3" s="19"/>
      <c r="P3" s="222" t="s">
        <v>5</v>
      </c>
      <c r="Q3" s="204"/>
      <c r="R3" s="221">
        <v>30</v>
      </c>
      <c r="S3" s="204"/>
      <c r="T3" s="204"/>
      <c r="U3" s="4"/>
      <c r="V3" s="2"/>
      <c r="W3" s="10"/>
      <c r="X3" s="10"/>
      <c r="Y3" s="10"/>
      <c r="Z3" s="10"/>
      <c r="AA3" s="10"/>
      <c r="AB3" s="10"/>
      <c r="AC3" s="20"/>
      <c r="AD3" s="20"/>
      <c r="AE3" s="10"/>
      <c r="AF3" s="10"/>
      <c r="AG3" s="10"/>
      <c r="AH3" s="10"/>
      <c r="AI3" s="10"/>
      <c r="AJ3" s="20"/>
      <c r="AK3" s="20"/>
      <c r="AL3" s="10"/>
    </row>
    <row r="4" spans="1:38" ht="15.6">
      <c r="A4" s="3"/>
      <c r="B4" s="218"/>
      <c r="C4" s="194"/>
      <c r="D4" s="214" t="s">
        <v>6</v>
      </c>
      <c r="E4" s="204"/>
      <c r="F4" s="215">
        <v>39</v>
      </c>
      <c r="G4" s="204"/>
      <c r="H4" s="204"/>
      <c r="I4" s="216"/>
      <c r="J4" s="194"/>
      <c r="K4" s="25"/>
      <c r="L4" s="23" t="s">
        <v>25</v>
      </c>
      <c r="M4" s="26"/>
      <c r="N4" s="26"/>
      <c r="O4" s="27"/>
      <c r="P4" s="222" t="s">
        <v>7</v>
      </c>
      <c r="Q4" s="204"/>
      <c r="R4" s="221">
        <v>26</v>
      </c>
      <c r="S4" s="204"/>
      <c r="T4" s="204"/>
      <c r="U4" s="4"/>
      <c r="V4" s="2"/>
      <c r="W4" s="10"/>
      <c r="X4" s="10"/>
      <c r="Y4" s="10"/>
      <c r="Z4" s="10"/>
      <c r="AA4" s="10"/>
      <c r="AB4" s="10"/>
      <c r="AC4" s="20"/>
      <c r="AD4" s="20"/>
      <c r="AE4" s="10"/>
      <c r="AF4" s="10"/>
      <c r="AG4" s="10"/>
      <c r="AH4" s="10"/>
      <c r="AI4" s="10"/>
      <c r="AJ4" s="20"/>
      <c r="AK4" s="20"/>
      <c r="AL4" s="10"/>
    </row>
    <row r="5" spans="1:38" ht="15.6">
      <c r="A5" s="5"/>
      <c r="B5" s="218"/>
      <c r="C5" s="194"/>
      <c r="D5" s="214" t="s">
        <v>8</v>
      </c>
      <c r="E5" s="204"/>
      <c r="F5" s="215">
        <v>46</v>
      </c>
      <c r="G5" s="204"/>
      <c r="H5" s="204"/>
      <c r="I5" s="216"/>
      <c r="J5" s="194"/>
      <c r="K5" s="25"/>
      <c r="L5" s="23" t="s">
        <v>25</v>
      </c>
      <c r="M5" s="26"/>
      <c r="N5" s="26"/>
      <c r="O5" s="27"/>
      <c r="P5" s="222" t="s">
        <v>9</v>
      </c>
      <c r="Q5" s="204"/>
      <c r="R5" s="221">
        <v>30</v>
      </c>
      <c r="S5" s="204"/>
      <c r="T5" s="204"/>
      <c r="U5" s="4"/>
      <c r="V5" s="2"/>
      <c r="W5" s="10"/>
      <c r="X5" s="10"/>
      <c r="Y5" s="10"/>
      <c r="Z5" s="10"/>
      <c r="AA5" s="10"/>
      <c r="AB5" s="10"/>
      <c r="AC5" s="20"/>
      <c r="AD5" s="20"/>
      <c r="AE5" s="10"/>
      <c r="AF5" s="10"/>
      <c r="AG5" s="10"/>
      <c r="AH5" s="10"/>
      <c r="AI5" s="10"/>
      <c r="AJ5" s="20"/>
      <c r="AK5" s="20"/>
      <c r="AL5" s="10"/>
    </row>
    <row r="6" spans="1:38" ht="15.6">
      <c r="A6" s="5"/>
      <c r="B6" s="218"/>
      <c r="C6" s="194"/>
      <c r="D6" s="214" t="s">
        <v>10</v>
      </c>
      <c r="E6" s="204"/>
      <c r="F6" s="215">
        <v>36</v>
      </c>
      <c r="G6" s="204"/>
      <c r="H6" s="204"/>
      <c r="I6" s="216"/>
      <c r="J6" s="194"/>
      <c r="K6" s="25"/>
      <c r="L6" s="23" t="s">
        <v>25</v>
      </c>
      <c r="M6" s="26"/>
      <c r="N6" s="26"/>
      <c r="O6" s="27"/>
      <c r="P6" s="222" t="s">
        <v>11</v>
      </c>
      <c r="Q6" s="204"/>
      <c r="R6" s="221">
        <v>34</v>
      </c>
      <c r="S6" s="204"/>
      <c r="T6" s="204"/>
      <c r="U6" s="4"/>
      <c r="V6" s="2"/>
      <c r="W6" s="10"/>
      <c r="X6" s="10"/>
      <c r="Y6" s="10"/>
      <c r="Z6" s="10"/>
      <c r="AA6" s="10"/>
      <c r="AB6" s="10"/>
      <c r="AC6" s="20"/>
      <c r="AD6" s="20"/>
      <c r="AE6" s="10"/>
      <c r="AF6" s="10"/>
      <c r="AG6" s="10"/>
      <c r="AH6" s="10"/>
      <c r="AI6" s="10"/>
      <c r="AJ6" s="20"/>
      <c r="AK6" s="20"/>
      <c r="AL6" s="10"/>
    </row>
    <row r="7" spans="1:38" ht="15.6">
      <c r="A7" s="5"/>
      <c r="B7" s="218"/>
      <c r="C7" s="194"/>
      <c r="D7" s="214" t="s">
        <v>12</v>
      </c>
      <c r="E7" s="204"/>
      <c r="F7" s="215">
        <v>42</v>
      </c>
      <c r="G7" s="204"/>
      <c r="H7" s="204"/>
      <c r="I7" s="216"/>
      <c r="J7" s="194"/>
      <c r="K7" s="25"/>
      <c r="L7" s="23" t="s">
        <v>25</v>
      </c>
      <c r="M7" s="26"/>
      <c r="N7" s="26"/>
      <c r="O7" s="27"/>
      <c r="P7" s="222" t="s">
        <v>13</v>
      </c>
      <c r="Q7" s="204"/>
      <c r="R7" s="221">
        <v>18</v>
      </c>
      <c r="S7" s="204"/>
      <c r="T7" s="204"/>
      <c r="U7" s="4"/>
      <c r="V7" s="2"/>
      <c r="W7" s="10"/>
      <c r="X7" s="10"/>
      <c r="Y7" s="10"/>
      <c r="Z7" s="10"/>
      <c r="AA7" s="10"/>
      <c r="AB7" s="10"/>
      <c r="AC7" s="20"/>
      <c r="AD7" s="20"/>
      <c r="AE7" s="10"/>
      <c r="AF7" s="10"/>
      <c r="AG7" s="10"/>
      <c r="AH7" s="10"/>
      <c r="AI7" s="10"/>
      <c r="AJ7" s="20"/>
      <c r="AK7" s="20"/>
      <c r="AL7" s="10"/>
    </row>
    <row r="8" spans="1:38" ht="15.6">
      <c r="A8" s="5"/>
      <c r="B8" s="218"/>
      <c r="C8" s="194"/>
      <c r="D8" s="214" t="s">
        <v>14</v>
      </c>
      <c r="E8" s="204"/>
      <c r="F8" s="215">
        <v>23</v>
      </c>
      <c r="G8" s="204"/>
      <c r="H8" s="204"/>
      <c r="I8" s="216"/>
      <c r="J8" s="194"/>
      <c r="K8" s="25"/>
      <c r="L8" s="23" t="s">
        <v>25</v>
      </c>
      <c r="M8" s="26"/>
      <c r="N8" s="26"/>
      <c r="O8" s="27"/>
      <c r="P8" s="222" t="s">
        <v>15</v>
      </c>
      <c r="Q8" s="204"/>
      <c r="R8" s="221">
        <v>17</v>
      </c>
      <c r="S8" s="204"/>
      <c r="T8" s="204"/>
      <c r="U8" s="4"/>
      <c r="V8" s="2"/>
      <c r="W8" s="10"/>
      <c r="X8" s="10"/>
      <c r="Y8" s="10"/>
      <c r="Z8" s="10"/>
      <c r="AA8" s="10"/>
      <c r="AB8" s="10"/>
      <c r="AC8" s="20"/>
      <c r="AD8" s="20"/>
      <c r="AE8" s="10"/>
      <c r="AF8" s="10"/>
      <c r="AG8" s="10"/>
      <c r="AH8" s="10"/>
      <c r="AI8" s="10"/>
      <c r="AJ8" s="20"/>
      <c r="AK8" s="20"/>
      <c r="AL8" s="10"/>
    </row>
    <row r="9" spans="1:38" ht="15.6">
      <c r="A9" s="5"/>
      <c r="B9" s="218"/>
      <c r="C9" s="194"/>
      <c r="D9" s="214" t="s">
        <v>16</v>
      </c>
      <c r="E9" s="204"/>
      <c r="F9" s="215">
        <v>26</v>
      </c>
      <c r="G9" s="204"/>
      <c r="H9" s="204"/>
      <c r="I9" s="216"/>
      <c r="J9" s="194"/>
      <c r="K9" s="25"/>
      <c r="L9" s="23" t="s">
        <v>25</v>
      </c>
      <c r="M9" s="26"/>
      <c r="N9" s="26"/>
      <c r="O9" s="27"/>
      <c r="P9" s="222" t="s">
        <v>17</v>
      </c>
      <c r="Q9" s="204"/>
      <c r="R9" s="221">
        <v>4</v>
      </c>
      <c r="S9" s="204"/>
      <c r="T9" s="204"/>
      <c r="U9" s="4"/>
      <c r="V9" s="2"/>
      <c r="W9" s="10"/>
      <c r="X9" s="10"/>
      <c r="Y9" s="10"/>
      <c r="Z9" s="10"/>
      <c r="AA9" s="10"/>
      <c r="AB9" s="10"/>
      <c r="AC9" s="20"/>
      <c r="AD9" s="20"/>
      <c r="AE9" s="10"/>
      <c r="AF9" s="10"/>
      <c r="AG9" s="10"/>
      <c r="AH9" s="10"/>
      <c r="AI9" s="10"/>
      <c r="AJ9" s="20"/>
      <c r="AK9" s="20"/>
      <c r="AL9" s="10"/>
    </row>
    <row r="10" spans="1:38" ht="15.6">
      <c r="A10" s="5"/>
      <c r="B10" s="218"/>
      <c r="C10" s="194"/>
      <c r="D10" s="214" t="s">
        <v>18</v>
      </c>
      <c r="E10" s="204"/>
      <c r="F10" s="215">
        <v>22</v>
      </c>
      <c r="G10" s="204"/>
      <c r="H10" s="204"/>
      <c r="I10" s="216"/>
      <c r="J10" s="194"/>
      <c r="K10" s="25"/>
      <c r="L10" s="23" t="s">
        <v>25</v>
      </c>
      <c r="M10" s="26"/>
      <c r="N10" s="26"/>
      <c r="O10" s="27"/>
      <c r="P10" s="222" t="s">
        <v>19</v>
      </c>
      <c r="Q10" s="204"/>
      <c r="R10" s="221">
        <v>22</v>
      </c>
      <c r="S10" s="204"/>
      <c r="T10" s="204"/>
      <c r="U10" s="4"/>
      <c r="V10" s="2"/>
      <c r="W10" s="10"/>
      <c r="X10" s="10"/>
      <c r="Y10" s="10"/>
      <c r="Z10" s="10"/>
      <c r="AA10" s="10"/>
      <c r="AB10" s="10"/>
      <c r="AC10" s="20"/>
      <c r="AD10" s="20"/>
      <c r="AE10" s="10"/>
      <c r="AF10" s="10"/>
      <c r="AG10" s="10"/>
      <c r="AH10" s="10"/>
      <c r="AI10" s="10"/>
      <c r="AJ10" s="20"/>
      <c r="AK10" s="20"/>
      <c r="AL10" s="10"/>
    </row>
    <row r="11" spans="1:38" ht="15.6">
      <c r="A11" s="1"/>
      <c r="B11" s="28"/>
      <c r="C11" s="17"/>
      <c r="D11" s="29" t="s">
        <v>492</v>
      </c>
      <c r="E11" s="225" t="s">
        <v>517</v>
      </c>
      <c r="F11" s="194"/>
      <c r="G11" s="194"/>
      <c r="H11" s="19"/>
      <c r="I11" s="30"/>
      <c r="J11" s="30"/>
      <c r="K11" s="30"/>
      <c r="L11" s="30"/>
      <c r="M11" s="30"/>
      <c r="N11" s="30"/>
      <c r="O11" s="30"/>
      <c r="P11" s="29" t="s">
        <v>493</v>
      </c>
      <c r="Q11" s="207" t="s">
        <v>0</v>
      </c>
      <c r="R11" s="194"/>
      <c r="S11" s="19"/>
      <c r="T11" s="6"/>
      <c r="U11" s="31"/>
      <c r="V11" s="2"/>
      <c r="W11" s="10"/>
      <c r="X11" s="10"/>
      <c r="Y11" s="10"/>
      <c r="Z11" s="10"/>
      <c r="AA11" s="10"/>
      <c r="AB11" s="10"/>
      <c r="AC11" s="20"/>
      <c r="AD11" s="20"/>
      <c r="AE11" s="10"/>
      <c r="AF11" s="10"/>
      <c r="AG11" s="10"/>
      <c r="AH11" s="10"/>
      <c r="AI11" s="10"/>
      <c r="AJ11" s="20"/>
      <c r="AK11" s="20"/>
      <c r="AL11" s="10"/>
    </row>
    <row r="12" spans="1:38">
      <c r="A12" s="1"/>
      <c r="B12" s="32"/>
      <c r="C12" s="16"/>
      <c r="D12" s="33" t="s">
        <v>494</v>
      </c>
      <c r="E12" s="30"/>
      <c r="F12" s="34"/>
      <c r="G12" s="19"/>
      <c r="H12" s="19"/>
      <c r="I12" s="19"/>
      <c r="J12" s="19"/>
      <c r="K12" s="19"/>
      <c r="L12" s="19"/>
      <c r="M12" s="19"/>
      <c r="N12" s="19"/>
      <c r="O12" s="19"/>
      <c r="P12" s="35" t="s">
        <v>98</v>
      </c>
      <c r="Q12" s="208" t="s">
        <v>99</v>
      </c>
      <c r="R12" s="194"/>
      <c r="S12" s="194"/>
      <c r="T12" s="194"/>
      <c r="U12" s="19"/>
      <c r="V12" s="2"/>
      <c r="W12" s="10"/>
      <c r="X12" s="10"/>
      <c r="Y12" s="10"/>
      <c r="Z12" s="10"/>
      <c r="AA12" s="10"/>
      <c r="AB12" s="10"/>
      <c r="AC12" s="20"/>
      <c r="AD12" s="20"/>
      <c r="AE12" s="10"/>
      <c r="AF12" s="10"/>
      <c r="AG12" s="10"/>
      <c r="AH12" s="10"/>
      <c r="AI12" s="10"/>
      <c r="AJ12" s="20"/>
      <c r="AK12" s="20"/>
      <c r="AL12" s="10"/>
    </row>
    <row r="13" spans="1:38">
      <c r="A13" s="1"/>
      <c r="B13" s="7"/>
      <c r="C13" s="36"/>
      <c r="D13" s="30"/>
      <c r="E13" s="30"/>
      <c r="F13" s="34"/>
      <c r="G13" s="19"/>
      <c r="H13" s="19"/>
      <c r="I13" s="19"/>
      <c r="J13" s="19"/>
      <c r="K13" s="19"/>
      <c r="L13" s="19"/>
      <c r="M13" s="19"/>
      <c r="N13" s="19"/>
      <c r="O13" s="19"/>
      <c r="P13" s="30"/>
      <c r="Q13" s="37"/>
      <c r="R13" s="38"/>
      <c r="S13" s="19"/>
      <c r="T13" s="19"/>
      <c r="U13" s="19"/>
      <c r="V13" s="2"/>
      <c r="W13" s="15"/>
      <c r="X13" s="39"/>
      <c r="Y13" s="40"/>
      <c r="Z13" s="41"/>
      <c r="AA13" s="41"/>
      <c r="AB13" s="40"/>
      <c r="AC13" s="40"/>
      <c r="AD13" s="40"/>
      <c r="AE13" s="40"/>
      <c r="AF13" s="40"/>
      <c r="AG13" s="40"/>
      <c r="AH13" s="40"/>
      <c r="AI13" s="15"/>
      <c r="AJ13" s="40"/>
      <c r="AK13" s="40"/>
      <c r="AL13" s="40"/>
    </row>
    <row r="14" spans="1:38">
      <c r="A14" s="1"/>
      <c r="B14" s="8"/>
      <c r="C14" s="226" t="s">
        <v>20</v>
      </c>
      <c r="D14" s="204"/>
      <c r="E14" s="203" t="s">
        <v>4</v>
      </c>
      <c r="F14" s="204"/>
      <c r="G14" s="204"/>
      <c r="H14" s="42"/>
      <c r="I14" s="43"/>
      <c r="J14" s="44"/>
      <c r="K14" s="44"/>
      <c r="L14" s="44"/>
      <c r="M14" s="44"/>
      <c r="N14" s="9"/>
      <c r="O14" s="209" t="s">
        <v>20</v>
      </c>
      <c r="P14" s="204"/>
      <c r="Q14" s="205" t="s">
        <v>5</v>
      </c>
      <c r="R14" s="204"/>
      <c r="S14" s="204"/>
      <c r="T14" s="45"/>
      <c r="U14" s="46"/>
      <c r="V14" s="2"/>
      <c r="W14" s="39"/>
      <c r="X14" s="40"/>
      <c r="Y14" s="41"/>
      <c r="Z14" s="210"/>
      <c r="AA14" s="194"/>
      <c r="AB14" s="41"/>
      <c r="AC14" s="10"/>
      <c r="AD14" s="41"/>
      <c r="AE14" s="210"/>
      <c r="AF14" s="194"/>
      <c r="AG14" s="210"/>
      <c r="AH14" s="194"/>
      <c r="AI14" s="47"/>
      <c r="AJ14" s="10"/>
      <c r="AK14" s="41"/>
      <c r="AL14" s="41"/>
    </row>
    <row r="15" spans="1:38">
      <c r="A15" s="1"/>
      <c r="B15" s="43"/>
      <c r="C15" s="223" t="s">
        <v>2</v>
      </c>
      <c r="D15" s="193"/>
      <c r="E15" s="224">
        <v>19</v>
      </c>
      <c r="F15" s="204"/>
      <c r="G15" s="204"/>
      <c r="H15" s="48"/>
      <c r="I15" s="43"/>
      <c r="J15" s="49"/>
      <c r="K15" s="49"/>
      <c r="L15" s="49"/>
      <c r="M15" s="49"/>
      <c r="N15" s="9"/>
      <c r="O15" s="211" t="s">
        <v>2</v>
      </c>
      <c r="P15" s="193"/>
      <c r="Q15" s="212">
        <v>30</v>
      </c>
      <c r="R15" s="204"/>
      <c r="S15" s="204"/>
      <c r="T15" s="50"/>
      <c r="U15" s="46"/>
      <c r="V15" s="2"/>
      <c r="W15" s="47"/>
      <c r="X15" s="51"/>
      <c r="Y15" s="41"/>
      <c r="Z15" s="210"/>
      <c r="AA15" s="194"/>
      <c r="AB15" s="10"/>
      <c r="AC15" s="10"/>
      <c r="AD15" s="41"/>
      <c r="AE15" s="210"/>
      <c r="AF15" s="194"/>
      <c r="AG15" s="210"/>
      <c r="AH15" s="194"/>
      <c r="AI15" s="47"/>
      <c r="AJ15" s="10"/>
      <c r="AK15" s="41"/>
      <c r="AL15" s="41"/>
    </row>
    <row r="16" spans="1:38" ht="15.75" customHeight="1">
      <c r="A16" s="1"/>
      <c r="B16" s="52"/>
      <c r="C16" s="53" t="s">
        <v>495</v>
      </c>
      <c r="D16" s="213" t="s">
        <v>4</v>
      </c>
      <c r="E16" s="193"/>
      <c r="F16" s="54" t="s">
        <v>21</v>
      </c>
      <c r="G16" s="55" t="s">
        <v>496</v>
      </c>
      <c r="H16" s="55"/>
      <c r="I16" s="56"/>
      <c r="J16" s="11"/>
      <c r="K16" s="11"/>
      <c r="L16" s="11"/>
      <c r="M16" s="57"/>
      <c r="N16" s="56"/>
      <c r="O16" s="53" t="s">
        <v>495</v>
      </c>
      <c r="P16" s="213" t="s">
        <v>5</v>
      </c>
      <c r="Q16" s="193"/>
      <c r="R16" s="54" t="s">
        <v>21</v>
      </c>
      <c r="S16" s="55" t="s">
        <v>496</v>
      </c>
      <c r="T16" s="55"/>
      <c r="U16" s="56"/>
      <c r="V16" s="2"/>
      <c r="W16" s="39" t="s">
        <v>495</v>
      </c>
      <c r="X16" s="58" t="s">
        <v>497</v>
      </c>
      <c r="Y16" s="41" t="s">
        <v>496</v>
      </c>
      <c r="Z16" s="41" t="s">
        <v>21</v>
      </c>
      <c r="AA16" s="41"/>
      <c r="AB16" s="58"/>
      <c r="AC16" s="58"/>
      <c r="AD16" s="41"/>
      <c r="AE16" s="41"/>
      <c r="AF16" s="41"/>
      <c r="AG16" s="41"/>
      <c r="AH16" s="41"/>
      <c r="AI16" s="39"/>
      <c r="AJ16" s="58" t="s">
        <v>497</v>
      </c>
      <c r="AK16" s="41" t="s">
        <v>496</v>
      </c>
      <c r="AL16" s="41" t="s">
        <v>21</v>
      </c>
    </row>
    <row r="17" spans="1:38" ht="15.75" customHeight="1">
      <c r="A17" s="1"/>
      <c r="B17" s="59"/>
      <c r="C17" s="60">
        <v>1</v>
      </c>
      <c r="D17" s="206" t="s">
        <v>39</v>
      </c>
      <c r="E17" s="201"/>
      <c r="F17" s="61">
        <v>41.6</v>
      </c>
      <c r="G17" s="60" t="s">
        <v>40</v>
      </c>
      <c r="H17" s="60"/>
      <c r="I17" s="62"/>
      <c r="J17" s="11"/>
      <c r="K17" s="11"/>
      <c r="L17" s="11"/>
      <c r="M17" s="11"/>
      <c r="N17" s="59"/>
      <c r="O17" s="60">
        <v>1</v>
      </c>
      <c r="P17" s="206" t="s">
        <v>41</v>
      </c>
      <c r="Q17" s="202"/>
      <c r="R17" s="61">
        <v>37.6</v>
      </c>
      <c r="S17" s="60" t="s">
        <v>42</v>
      </c>
      <c r="T17" s="60"/>
      <c r="U17" s="62"/>
      <c r="V17" s="2"/>
      <c r="W17" s="63">
        <v>1</v>
      </c>
      <c r="X17" s="64" t="s">
        <v>39</v>
      </c>
      <c r="Y17" s="20" t="s">
        <v>40</v>
      </c>
      <c r="Z17" s="20">
        <v>41.6</v>
      </c>
      <c r="AA17" s="20"/>
      <c r="AB17" s="64"/>
      <c r="AC17" s="64"/>
      <c r="AD17" s="20"/>
      <c r="AE17" s="20"/>
      <c r="AF17" s="20"/>
      <c r="AG17" s="65"/>
      <c r="AH17" s="66"/>
      <c r="AI17" s="40"/>
      <c r="AJ17" s="64" t="s">
        <v>41</v>
      </c>
      <c r="AK17" s="20" t="s">
        <v>42</v>
      </c>
      <c r="AL17" s="20">
        <v>37.6</v>
      </c>
    </row>
    <row r="18" spans="1:38" ht="15.75" customHeight="1">
      <c r="A18" s="1"/>
      <c r="B18" s="59"/>
      <c r="C18" s="60">
        <v>2</v>
      </c>
      <c r="D18" s="206" t="s">
        <v>23</v>
      </c>
      <c r="E18" s="201"/>
      <c r="F18" s="61">
        <v>37.5</v>
      </c>
      <c r="G18" s="60" t="s">
        <v>24</v>
      </c>
      <c r="H18" s="60"/>
      <c r="I18" s="62"/>
      <c r="J18" s="11"/>
      <c r="K18" s="11"/>
      <c r="L18" s="11"/>
      <c r="M18" s="11"/>
      <c r="N18" s="59"/>
      <c r="O18" s="60">
        <v>2</v>
      </c>
      <c r="P18" s="206" t="s">
        <v>93</v>
      </c>
      <c r="Q18" s="202"/>
      <c r="R18" s="61">
        <v>34.299999999999997</v>
      </c>
      <c r="S18" s="60" t="s">
        <v>50</v>
      </c>
      <c r="T18" s="60"/>
      <c r="U18" s="62"/>
      <c r="V18" s="2"/>
      <c r="W18" s="63">
        <v>2</v>
      </c>
      <c r="X18" s="64" t="s">
        <v>23</v>
      </c>
      <c r="Y18" s="20" t="s">
        <v>24</v>
      </c>
      <c r="Z18" s="20">
        <v>37.5</v>
      </c>
      <c r="AA18" s="20"/>
      <c r="AB18" s="10"/>
      <c r="AC18" s="10"/>
      <c r="AD18" s="20"/>
      <c r="AE18" s="20"/>
      <c r="AF18" s="20"/>
      <c r="AG18" s="65"/>
      <c r="AH18" s="66"/>
      <c r="AI18" s="40"/>
      <c r="AJ18" s="10" t="s">
        <v>93</v>
      </c>
      <c r="AK18" s="20" t="s">
        <v>50</v>
      </c>
      <c r="AL18" s="20">
        <v>34.299999999999997</v>
      </c>
    </row>
    <row r="19" spans="1:38" ht="15.75" customHeight="1">
      <c r="A19" s="1"/>
      <c r="B19" s="59"/>
      <c r="C19" s="60">
        <v>3</v>
      </c>
      <c r="D19" s="206" t="s">
        <v>73</v>
      </c>
      <c r="E19" s="201"/>
      <c r="F19" s="61">
        <v>28.8</v>
      </c>
      <c r="G19" s="60" t="s">
        <v>75</v>
      </c>
      <c r="H19" s="60"/>
      <c r="I19" s="62"/>
      <c r="J19" s="11"/>
      <c r="K19" s="11"/>
      <c r="L19" s="11"/>
      <c r="M19" s="11"/>
      <c r="N19" s="59"/>
      <c r="O19" s="60">
        <v>3</v>
      </c>
      <c r="P19" s="206" t="s">
        <v>84</v>
      </c>
      <c r="Q19" s="202"/>
      <c r="R19" s="61">
        <v>33.9</v>
      </c>
      <c r="S19" s="60" t="s">
        <v>79</v>
      </c>
      <c r="T19" s="60"/>
      <c r="U19" s="62"/>
      <c r="V19" s="2"/>
      <c r="W19" s="63">
        <v>3</v>
      </c>
      <c r="X19" s="64" t="s">
        <v>73</v>
      </c>
      <c r="Y19" s="20" t="s">
        <v>75</v>
      </c>
      <c r="Z19" s="20">
        <v>28.8</v>
      </c>
      <c r="AA19" s="20"/>
      <c r="AB19" s="10"/>
      <c r="AC19" s="10"/>
      <c r="AD19" s="20"/>
      <c r="AE19" s="20"/>
      <c r="AF19" s="20"/>
      <c r="AG19" s="65"/>
      <c r="AH19" s="66"/>
      <c r="AI19" s="40"/>
      <c r="AJ19" s="10" t="s">
        <v>84</v>
      </c>
      <c r="AK19" s="20" t="s">
        <v>79</v>
      </c>
      <c r="AL19" s="20">
        <v>33.9</v>
      </c>
    </row>
    <row r="20" spans="1:38" ht="15.75" customHeight="1">
      <c r="A20" s="1"/>
      <c r="B20" s="59"/>
      <c r="C20" s="60">
        <v>4</v>
      </c>
      <c r="D20" s="206" t="s">
        <v>53</v>
      </c>
      <c r="E20" s="201"/>
      <c r="F20" s="61">
        <v>26.9</v>
      </c>
      <c r="G20" s="60" t="s">
        <v>54</v>
      </c>
      <c r="H20" s="60"/>
      <c r="I20" s="62"/>
      <c r="J20" s="11"/>
      <c r="K20" s="11"/>
      <c r="L20" s="11"/>
      <c r="M20" s="11"/>
      <c r="N20" s="59"/>
      <c r="O20" s="60">
        <v>4</v>
      </c>
      <c r="P20" s="206" t="s">
        <v>61</v>
      </c>
      <c r="Q20" s="202"/>
      <c r="R20" s="61">
        <v>33.049999999999997</v>
      </c>
      <c r="S20" s="60" t="s">
        <v>30</v>
      </c>
      <c r="T20" s="60"/>
      <c r="U20" s="62"/>
      <c r="V20" s="2"/>
      <c r="W20" s="63">
        <v>4</v>
      </c>
      <c r="X20" s="64" t="s">
        <v>53</v>
      </c>
      <c r="Y20" s="20" t="s">
        <v>54</v>
      </c>
      <c r="Z20" s="20">
        <v>26.9</v>
      </c>
      <c r="AA20" s="20"/>
      <c r="AB20" s="10"/>
      <c r="AC20" s="10"/>
      <c r="AD20" s="20"/>
      <c r="AE20" s="20"/>
      <c r="AF20" s="20"/>
      <c r="AG20" s="65"/>
      <c r="AH20" s="66"/>
      <c r="AI20" s="40"/>
      <c r="AJ20" s="10" t="s">
        <v>61</v>
      </c>
      <c r="AK20" s="20" t="s">
        <v>30</v>
      </c>
      <c r="AL20" s="20">
        <v>33.049999999999997</v>
      </c>
    </row>
    <row r="21" spans="1:38" ht="15.75" customHeight="1">
      <c r="A21" s="1"/>
      <c r="B21" s="59"/>
      <c r="C21" s="60">
        <v>5</v>
      </c>
      <c r="D21" s="206" t="s">
        <v>66</v>
      </c>
      <c r="E21" s="201"/>
      <c r="F21" s="61">
        <v>25.5</v>
      </c>
      <c r="G21" s="60" t="s">
        <v>54</v>
      </c>
      <c r="H21" s="60"/>
      <c r="I21" s="62"/>
      <c r="J21" s="11"/>
      <c r="K21" s="11"/>
      <c r="L21" s="11"/>
      <c r="M21" s="11"/>
      <c r="N21" s="59"/>
      <c r="O21" s="60">
        <v>5</v>
      </c>
      <c r="P21" s="206" t="s">
        <v>27</v>
      </c>
      <c r="Q21" s="202"/>
      <c r="R21" s="61">
        <v>32.85</v>
      </c>
      <c r="S21" s="60" t="s">
        <v>28</v>
      </c>
      <c r="T21" s="60"/>
      <c r="U21" s="62"/>
      <c r="V21" s="2"/>
      <c r="W21" s="63">
        <v>5</v>
      </c>
      <c r="X21" s="64" t="s">
        <v>66</v>
      </c>
      <c r="Y21" s="20" t="s">
        <v>54</v>
      </c>
      <c r="Z21" s="20">
        <v>25.5</v>
      </c>
      <c r="AA21" s="20"/>
      <c r="AB21" s="10"/>
      <c r="AC21" s="10"/>
      <c r="AD21" s="20"/>
      <c r="AE21" s="20"/>
      <c r="AF21" s="20"/>
      <c r="AG21" s="65"/>
      <c r="AH21" s="66"/>
      <c r="AI21" s="40"/>
      <c r="AJ21" s="10" t="s">
        <v>27</v>
      </c>
      <c r="AK21" s="20" t="s">
        <v>28</v>
      </c>
      <c r="AL21" s="20">
        <v>32.85</v>
      </c>
    </row>
    <row r="22" spans="1:38" ht="15.75" customHeight="1">
      <c r="A22" s="1"/>
      <c r="B22" s="59"/>
      <c r="C22" s="60">
        <v>6</v>
      </c>
      <c r="D22" s="206" t="s">
        <v>46</v>
      </c>
      <c r="E22" s="201"/>
      <c r="F22" s="61">
        <v>22.75</v>
      </c>
      <c r="G22" s="60" t="s">
        <v>44</v>
      </c>
      <c r="H22" s="60"/>
      <c r="I22" s="62"/>
      <c r="J22" s="11"/>
      <c r="K22" s="11"/>
      <c r="L22" s="11"/>
      <c r="M22" s="11"/>
      <c r="N22" s="59"/>
      <c r="O22" s="60">
        <v>6</v>
      </c>
      <c r="P22" s="206" t="s">
        <v>78</v>
      </c>
      <c r="Q22" s="202"/>
      <c r="R22" s="61">
        <v>28.1</v>
      </c>
      <c r="S22" s="60" t="s">
        <v>55</v>
      </c>
      <c r="T22" s="60"/>
      <c r="U22" s="62"/>
      <c r="V22" s="2"/>
      <c r="W22" s="63">
        <v>6</v>
      </c>
      <c r="X22" s="64" t="s">
        <v>46</v>
      </c>
      <c r="Y22" s="20" t="s">
        <v>44</v>
      </c>
      <c r="Z22" s="20">
        <v>22.75</v>
      </c>
      <c r="AA22" s="20"/>
      <c r="AB22" s="10"/>
      <c r="AC22" s="10"/>
      <c r="AD22" s="20"/>
      <c r="AE22" s="20"/>
      <c r="AF22" s="20"/>
      <c r="AG22" s="65"/>
      <c r="AH22" s="66"/>
      <c r="AI22" s="40"/>
      <c r="AJ22" s="10" t="s">
        <v>78</v>
      </c>
      <c r="AK22" s="20" t="s">
        <v>55</v>
      </c>
      <c r="AL22" s="20">
        <v>28.1</v>
      </c>
    </row>
    <row r="23" spans="1:38" ht="15.75" customHeight="1">
      <c r="A23" s="1"/>
      <c r="B23" s="59"/>
      <c r="C23" s="60">
        <v>7</v>
      </c>
      <c r="D23" s="206" t="s">
        <v>29</v>
      </c>
      <c r="E23" s="201"/>
      <c r="F23" s="61">
        <v>22.3</v>
      </c>
      <c r="G23" s="60" t="s">
        <v>30</v>
      </c>
      <c r="H23" s="60"/>
      <c r="I23" s="62"/>
      <c r="J23" s="11"/>
      <c r="K23" s="11"/>
      <c r="L23" s="11"/>
      <c r="M23" s="11"/>
      <c r="N23" s="59"/>
      <c r="O23" s="60">
        <v>7</v>
      </c>
      <c r="P23" s="206" t="s">
        <v>80</v>
      </c>
      <c r="Q23" s="202"/>
      <c r="R23" s="61">
        <v>27.8</v>
      </c>
      <c r="S23" s="60" t="s">
        <v>55</v>
      </c>
      <c r="T23" s="60"/>
      <c r="U23" s="62"/>
      <c r="V23" s="2"/>
      <c r="W23" s="63">
        <v>7</v>
      </c>
      <c r="X23" s="64" t="s">
        <v>29</v>
      </c>
      <c r="Y23" s="20" t="s">
        <v>30</v>
      </c>
      <c r="Z23" s="20">
        <v>22.3</v>
      </c>
      <c r="AA23" s="20"/>
      <c r="AB23" s="10"/>
      <c r="AC23" s="10"/>
      <c r="AD23" s="20"/>
      <c r="AE23" s="20"/>
      <c r="AF23" s="20"/>
      <c r="AG23" s="65"/>
      <c r="AH23" s="66"/>
      <c r="AI23" s="40"/>
      <c r="AJ23" s="10" t="s">
        <v>80</v>
      </c>
      <c r="AK23" s="20" t="s">
        <v>55</v>
      </c>
      <c r="AL23" s="20">
        <v>27.8</v>
      </c>
    </row>
    <row r="24" spans="1:38" ht="15.75" customHeight="1">
      <c r="A24" s="1"/>
      <c r="B24" s="59"/>
      <c r="C24" s="60">
        <v>8</v>
      </c>
      <c r="D24" s="206" t="s">
        <v>77</v>
      </c>
      <c r="E24" s="201"/>
      <c r="F24" s="61">
        <v>20.6</v>
      </c>
      <c r="G24" s="60" t="s">
        <v>79</v>
      </c>
      <c r="H24" s="60"/>
      <c r="I24" s="62"/>
      <c r="J24" s="11"/>
      <c r="K24" s="11"/>
      <c r="L24" s="11"/>
      <c r="M24" s="11"/>
      <c r="N24" s="59"/>
      <c r="O24" s="60">
        <v>8</v>
      </c>
      <c r="P24" s="206" t="s">
        <v>67</v>
      </c>
      <c r="Q24" s="202"/>
      <c r="R24" s="61">
        <v>27.7</v>
      </c>
      <c r="S24" s="60" t="s">
        <v>68</v>
      </c>
      <c r="T24" s="60"/>
      <c r="U24" s="62"/>
      <c r="V24" s="2"/>
      <c r="W24" s="63">
        <v>8</v>
      </c>
      <c r="X24" s="64" t="s">
        <v>77</v>
      </c>
      <c r="Y24" s="20" t="s">
        <v>79</v>
      </c>
      <c r="Z24" s="20">
        <v>20.6</v>
      </c>
      <c r="AA24" s="20"/>
      <c r="AB24" s="10"/>
      <c r="AC24" s="10"/>
      <c r="AD24" s="20"/>
      <c r="AE24" s="20"/>
      <c r="AF24" s="20"/>
      <c r="AG24" s="65"/>
      <c r="AH24" s="66"/>
      <c r="AI24" s="40"/>
      <c r="AJ24" s="10" t="s">
        <v>67</v>
      </c>
      <c r="AK24" s="20" t="s">
        <v>68</v>
      </c>
      <c r="AL24" s="20">
        <v>27.7</v>
      </c>
    </row>
    <row r="25" spans="1:38" ht="15.75" customHeight="1">
      <c r="A25" s="1"/>
      <c r="B25" s="59"/>
      <c r="C25" s="60">
        <v>9</v>
      </c>
      <c r="D25" s="206" t="s">
        <v>43</v>
      </c>
      <c r="E25" s="201"/>
      <c r="F25" s="61">
        <v>17.75</v>
      </c>
      <c r="G25" s="60" t="s">
        <v>44</v>
      </c>
      <c r="H25" s="60"/>
      <c r="I25" s="62"/>
      <c r="J25" s="11"/>
      <c r="K25" s="11"/>
      <c r="L25" s="11"/>
      <c r="M25" s="11"/>
      <c r="N25" s="59"/>
      <c r="O25" s="60">
        <v>9</v>
      </c>
      <c r="P25" s="206" t="s">
        <v>47</v>
      </c>
      <c r="Q25" s="202"/>
      <c r="R25" s="61">
        <v>27.6</v>
      </c>
      <c r="S25" s="60" t="s">
        <v>48</v>
      </c>
      <c r="T25" s="60"/>
      <c r="U25" s="62"/>
      <c r="V25" s="2"/>
      <c r="W25" s="63">
        <v>9</v>
      </c>
      <c r="X25" s="64" t="s">
        <v>43</v>
      </c>
      <c r="Y25" s="20" t="s">
        <v>44</v>
      </c>
      <c r="Z25" s="20">
        <v>17.75</v>
      </c>
      <c r="AA25" s="20"/>
      <c r="AB25" s="10"/>
      <c r="AC25" s="10"/>
      <c r="AD25" s="20"/>
      <c r="AE25" s="20"/>
      <c r="AF25" s="20"/>
      <c r="AG25" s="65"/>
      <c r="AH25" s="66"/>
      <c r="AI25" s="40"/>
      <c r="AJ25" s="10" t="s">
        <v>47</v>
      </c>
      <c r="AK25" s="20" t="s">
        <v>48</v>
      </c>
      <c r="AL25" s="20">
        <v>27.6</v>
      </c>
    </row>
    <row r="26" spans="1:38" ht="15.75" customHeight="1">
      <c r="A26" s="1"/>
      <c r="B26" s="59"/>
      <c r="C26" s="60">
        <v>10</v>
      </c>
      <c r="D26" s="206" t="s">
        <v>60</v>
      </c>
      <c r="E26" s="201"/>
      <c r="F26" s="61">
        <v>16.2</v>
      </c>
      <c r="G26" s="60" t="s">
        <v>30</v>
      </c>
      <c r="H26" s="60"/>
      <c r="I26" s="62"/>
      <c r="J26" s="11"/>
      <c r="K26" s="11"/>
      <c r="L26" s="11"/>
      <c r="M26" s="11"/>
      <c r="N26" s="59"/>
      <c r="O26" s="60">
        <v>10</v>
      </c>
      <c r="P26" s="206" t="s">
        <v>58</v>
      </c>
      <c r="Q26" s="202"/>
      <c r="R26" s="61">
        <v>27.55</v>
      </c>
      <c r="S26" s="60" t="s">
        <v>59</v>
      </c>
      <c r="T26" s="60"/>
      <c r="U26" s="62"/>
      <c r="V26" s="2"/>
      <c r="W26" s="63">
        <v>10</v>
      </c>
      <c r="X26" s="64" t="s">
        <v>60</v>
      </c>
      <c r="Y26" s="20" t="s">
        <v>30</v>
      </c>
      <c r="Z26" s="20">
        <v>16.2</v>
      </c>
      <c r="AA26" s="20"/>
      <c r="AB26" s="10"/>
      <c r="AC26" s="10"/>
      <c r="AD26" s="20"/>
      <c r="AE26" s="20"/>
      <c r="AF26" s="20"/>
      <c r="AG26" s="65"/>
      <c r="AH26" s="66"/>
      <c r="AI26" s="40"/>
      <c r="AJ26" s="10" t="s">
        <v>58</v>
      </c>
      <c r="AK26" s="20" t="s">
        <v>59</v>
      </c>
      <c r="AL26" s="20">
        <v>27.55</v>
      </c>
    </row>
    <row r="27" spans="1:38" ht="15.75" customHeight="1">
      <c r="A27" s="1"/>
      <c r="B27" s="59"/>
      <c r="C27" s="60" t="s">
        <v>498</v>
      </c>
      <c r="D27" s="206" t="s">
        <v>70</v>
      </c>
      <c r="E27" s="201"/>
      <c r="F27" s="61">
        <v>15.75</v>
      </c>
      <c r="G27" s="60" t="s">
        <v>59</v>
      </c>
      <c r="H27" s="60"/>
      <c r="I27" s="62"/>
      <c r="J27" s="11"/>
      <c r="K27" s="11"/>
      <c r="L27" s="11"/>
      <c r="M27" s="11"/>
      <c r="N27" s="59"/>
      <c r="O27" s="60">
        <v>11</v>
      </c>
      <c r="P27" s="206" t="s">
        <v>64</v>
      </c>
      <c r="Q27" s="202"/>
      <c r="R27" s="61">
        <v>26.6</v>
      </c>
      <c r="S27" s="60" t="s">
        <v>65</v>
      </c>
      <c r="T27" s="60"/>
      <c r="U27" s="62"/>
      <c r="V27" s="2"/>
      <c r="W27" s="63">
        <v>11</v>
      </c>
      <c r="X27" s="64" t="s">
        <v>70</v>
      </c>
      <c r="Y27" s="20" t="s">
        <v>59</v>
      </c>
      <c r="Z27" s="20">
        <v>15.75</v>
      </c>
      <c r="AA27" s="20"/>
      <c r="AB27" s="10"/>
      <c r="AC27" s="10"/>
      <c r="AD27" s="20"/>
      <c r="AE27" s="20"/>
      <c r="AF27" s="20"/>
      <c r="AG27" s="65"/>
      <c r="AH27" s="66"/>
      <c r="AI27" s="40"/>
      <c r="AJ27" s="10" t="s">
        <v>64</v>
      </c>
      <c r="AK27" s="20" t="s">
        <v>65</v>
      </c>
      <c r="AL27" s="20">
        <v>26.6</v>
      </c>
    </row>
    <row r="28" spans="1:38" ht="15.75" customHeight="1">
      <c r="A28" s="1"/>
      <c r="B28" s="59"/>
      <c r="C28" s="60" t="s">
        <v>498</v>
      </c>
      <c r="D28" s="206" t="s">
        <v>82</v>
      </c>
      <c r="E28" s="201"/>
      <c r="F28" s="61">
        <v>15.75</v>
      </c>
      <c r="G28" s="60" t="s">
        <v>59</v>
      </c>
      <c r="H28" s="60"/>
      <c r="I28" s="62"/>
      <c r="J28" s="11"/>
      <c r="K28" s="11"/>
      <c r="L28" s="11"/>
      <c r="M28" s="11"/>
      <c r="N28" s="59"/>
      <c r="O28" s="60">
        <v>12</v>
      </c>
      <c r="P28" s="206" t="s">
        <v>83</v>
      </c>
      <c r="Q28" s="202"/>
      <c r="R28" s="61">
        <v>26.1</v>
      </c>
      <c r="S28" s="60" t="s">
        <v>30</v>
      </c>
      <c r="T28" s="60"/>
      <c r="U28" s="62"/>
      <c r="V28" s="2"/>
      <c r="W28" s="63">
        <v>12</v>
      </c>
      <c r="X28" s="64" t="s">
        <v>82</v>
      </c>
      <c r="Y28" s="20" t="s">
        <v>59</v>
      </c>
      <c r="Z28" s="20">
        <v>15.75</v>
      </c>
      <c r="AA28" s="20"/>
      <c r="AB28" s="10"/>
      <c r="AC28" s="10"/>
      <c r="AD28" s="20"/>
      <c r="AE28" s="20"/>
      <c r="AF28" s="20"/>
      <c r="AG28" s="65"/>
      <c r="AH28" s="66"/>
      <c r="AI28" s="40"/>
      <c r="AJ28" s="10" t="s">
        <v>83</v>
      </c>
      <c r="AK28" s="20" t="s">
        <v>30</v>
      </c>
      <c r="AL28" s="20">
        <v>26.1</v>
      </c>
    </row>
    <row r="29" spans="1:38" ht="15.75" customHeight="1">
      <c r="A29" s="1"/>
      <c r="B29" s="59"/>
      <c r="C29" s="60">
        <v>13</v>
      </c>
      <c r="D29" s="206" t="s">
        <v>56</v>
      </c>
      <c r="E29" s="201"/>
      <c r="F29" s="61">
        <v>15.5</v>
      </c>
      <c r="G29" s="60" t="s">
        <v>32</v>
      </c>
      <c r="H29" s="60"/>
      <c r="I29" s="62"/>
      <c r="J29" s="11"/>
      <c r="K29" s="11"/>
      <c r="L29" s="11"/>
      <c r="M29" s="11"/>
      <c r="N29" s="59"/>
      <c r="O29" s="60">
        <v>13</v>
      </c>
      <c r="P29" s="206" t="s">
        <v>88</v>
      </c>
      <c r="Q29" s="202"/>
      <c r="R29" s="61">
        <v>26</v>
      </c>
      <c r="S29" s="60" t="s">
        <v>89</v>
      </c>
      <c r="T29" s="60"/>
      <c r="U29" s="62"/>
      <c r="V29" s="2"/>
      <c r="W29" s="63">
        <v>13</v>
      </c>
      <c r="X29" s="64" t="s">
        <v>56</v>
      </c>
      <c r="Y29" s="20" t="s">
        <v>32</v>
      </c>
      <c r="Z29" s="20">
        <v>15.5</v>
      </c>
      <c r="AA29" s="20"/>
      <c r="AB29" s="10"/>
      <c r="AC29" s="10"/>
      <c r="AD29" s="20"/>
      <c r="AE29" s="20"/>
      <c r="AF29" s="20"/>
      <c r="AG29" s="65"/>
      <c r="AH29" s="66"/>
      <c r="AI29" s="40"/>
      <c r="AJ29" s="10" t="s">
        <v>88</v>
      </c>
      <c r="AK29" s="20" t="s">
        <v>89</v>
      </c>
      <c r="AL29" s="20">
        <v>26</v>
      </c>
    </row>
    <row r="30" spans="1:38" ht="15.75" customHeight="1">
      <c r="A30" s="1"/>
      <c r="B30" s="59"/>
      <c r="C30" s="60">
        <v>14</v>
      </c>
      <c r="D30" s="206" t="s">
        <v>63</v>
      </c>
      <c r="E30" s="201"/>
      <c r="F30" s="61">
        <v>15</v>
      </c>
      <c r="G30" s="60" t="s">
        <v>55</v>
      </c>
      <c r="H30" s="60"/>
      <c r="I30" s="62"/>
      <c r="J30" s="11"/>
      <c r="K30" s="11"/>
      <c r="L30" s="11"/>
      <c r="M30" s="11"/>
      <c r="N30" s="59"/>
      <c r="O30" s="60">
        <v>14</v>
      </c>
      <c r="P30" s="206" t="s">
        <v>81</v>
      </c>
      <c r="Q30" s="202"/>
      <c r="R30" s="61">
        <v>25.85</v>
      </c>
      <c r="S30" s="60" t="s">
        <v>22</v>
      </c>
      <c r="T30" s="60"/>
      <c r="U30" s="62"/>
      <c r="V30" s="2"/>
      <c r="W30" s="63">
        <v>14</v>
      </c>
      <c r="X30" s="64" t="s">
        <v>63</v>
      </c>
      <c r="Y30" s="20" t="s">
        <v>55</v>
      </c>
      <c r="Z30" s="20">
        <v>15</v>
      </c>
      <c r="AA30" s="20"/>
      <c r="AB30" s="10"/>
      <c r="AC30" s="10"/>
      <c r="AD30" s="20"/>
      <c r="AE30" s="20"/>
      <c r="AF30" s="20"/>
      <c r="AG30" s="65"/>
      <c r="AH30" s="66"/>
      <c r="AI30" s="40"/>
      <c r="AJ30" s="10" t="s">
        <v>81</v>
      </c>
      <c r="AK30" s="20" t="s">
        <v>22</v>
      </c>
      <c r="AL30" s="20">
        <v>25.85</v>
      </c>
    </row>
    <row r="31" spans="1:38" ht="15.75" customHeight="1">
      <c r="A31" s="1"/>
      <c r="B31" s="59"/>
      <c r="C31" s="60">
        <v>15</v>
      </c>
      <c r="D31" s="206" t="s">
        <v>49</v>
      </c>
      <c r="E31" s="201"/>
      <c r="F31" s="61">
        <v>12.25</v>
      </c>
      <c r="G31" s="60" t="s">
        <v>50</v>
      </c>
      <c r="H31" s="60"/>
      <c r="I31" s="62"/>
      <c r="J31" s="11"/>
      <c r="K31" s="11"/>
      <c r="L31" s="11"/>
      <c r="M31" s="11"/>
      <c r="N31" s="59"/>
      <c r="O31" s="60">
        <v>15</v>
      </c>
      <c r="P31" s="206" t="s">
        <v>92</v>
      </c>
      <c r="Q31" s="202"/>
      <c r="R31" s="61">
        <v>25.2</v>
      </c>
      <c r="S31" s="60" t="s">
        <v>37</v>
      </c>
      <c r="T31" s="60"/>
      <c r="U31" s="62"/>
      <c r="V31" s="2"/>
      <c r="W31" s="63">
        <v>15</v>
      </c>
      <c r="X31" s="64" t="s">
        <v>49</v>
      </c>
      <c r="Y31" s="20" t="s">
        <v>50</v>
      </c>
      <c r="Z31" s="20">
        <v>12.25</v>
      </c>
      <c r="AA31" s="20"/>
      <c r="AB31" s="10"/>
      <c r="AC31" s="10"/>
      <c r="AD31" s="20"/>
      <c r="AE31" s="20"/>
      <c r="AF31" s="20"/>
      <c r="AG31" s="65"/>
      <c r="AH31" s="66"/>
      <c r="AI31" s="40"/>
      <c r="AJ31" s="10" t="s">
        <v>92</v>
      </c>
      <c r="AK31" s="20" t="s">
        <v>37</v>
      </c>
      <c r="AL31" s="20">
        <v>25.2</v>
      </c>
    </row>
    <row r="32" spans="1:38" ht="15.75" customHeight="1">
      <c r="A32" s="1"/>
      <c r="B32" s="59"/>
      <c r="C32" s="60">
        <v>16</v>
      </c>
      <c r="D32" s="206" t="s">
        <v>69</v>
      </c>
      <c r="E32" s="201"/>
      <c r="F32" s="61">
        <v>12</v>
      </c>
      <c r="G32" s="60" t="s">
        <v>50</v>
      </c>
      <c r="H32" s="60"/>
      <c r="I32" s="62"/>
      <c r="J32" s="11"/>
      <c r="K32" s="11"/>
      <c r="L32" s="11"/>
      <c r="M32" s="11"/>
      <c r="N32" s="59"/>
      <c r="O32" s="60">
        <v>16</v>
      </c>
      <c r="P32" s="206" t="s">
        <v>90</v>
      </c>
      <c r="Q32" s="202"/>
      <c r="R32" s="61">
        <v>23.3</v>
      </c>
      <c r="S32" s="60" t="s">
        <v>55</v>
      </c>
      <c r="T32" s="60"/>
      <c r="U32" s="62"/>
      <c r="V32" s="2"/>
      <c r="W32" s="63">
        <v>16</v>
      </c>
      <c r="X32" s="64" t="s">
        <v>69</v>
      </c>
      <c r="Y32" s="20" t="s">
        <v>50</v>
      </c>
      <c r="Z32" s="20">
        <v>12</v>
      </c>
      <c r="AA32" s="20"/>
      <c r="AB32" s="10"/>
      <c r="AC32" s="10"/>
      <c r="AD32" s="20"/>
      <c r="AE32" s="20"/>
      <c r="AF32" s="20"/>
      <c r="AG32" s="65"/>
      <c r="AH32" s="66"/>
      <c r="AI32" s="40"/>
      <c r="AJ32" s="10" t="s">
        <v>90</v>
      </c>
      <c r="AK32" s="20" t="s">
        <v>55</v>
      </c>
      <c r="AL32" s="20">
        <v>23.3</v>
      </c>
    </row>
    <row r="33" spans="1:38" ht="15.75" customHeight="1">
      <c r="A33" s="1"/>
      <c r="B33" s="59"/>
      <c r="C33" s="60" t="s">
        <v>499</v>
      </c>
      <c r="D33" s="206" t="s">
        <v>33</v>
      </c>
      <c r="E33" s="201"/>
      <c r="F33" s="61">
        <v>11</v>
      </c>
      <c r="G33" s="60" t="s">
        <v>32</v>
      </c>
      <c r="H33" s="60"/>
      <c r="I33" s="62"/>
      <c r="J33" s="11"/>
      <c r="K33" s="11"/>
      <c r="L33" s="11"/>
      <c r="M33" s="11"/>
      <c r="N33" s="59"/>
      <c r="O33" s="60">
        <v>17</v>
      </c>
      <c r="P33" s="206" t="s">
        <v>34</v>
      </c>
      <c r="Q33" s="202"/>
      <c r="R33" s="61">
        <v>22.65</v>
      </c>
      <c r="S33" s="60" t="s">
        <v>35</v>
      </c>
      <c r="T33" s="60"/>
      <c r="U33" s="62"/>
      <c r="V33" s="2"/>
      <c r="W33" s="63">
        <v>17</v>
      </c>
      <c r="X33" s="64" t="s">
        <v>33</v>
      </c>
      <c r="Y33" s="20" t="s">
        <v>32</v>
      </c>
      <c r="Z33" s="20">
        <v>11</v>
      </c>
      <c r="AA33" s="20"/>
      <c r="AB33" s="10"/>
      <c r="AC33" s="10"/>
      <c r="AD33" s="20"/>
      <c r="AE33" s="20"/>
      <c r="AF33" s="20"/>
      <c r="AG33" s="65"/>
      <c r="AH33" s="66"/>
      <c r="AI33" s="40"/>
      <c r="AJ33" s="10" t="s">
        <v>34</v>
      </c>
      <c r="AK33" s="20" t="s">
        <v>35</v>
      </c>
      <c r="AL33" s="20">
        <v>22.65</v>
      </c>
    </row>
    <row r="34" spans="1:38" ht="15.75" customHeight="1">
      <c r="A34" s="1"/>
      <c r="B34" s="59"/>
      <c r="C34" s="60" t="s">
        <v>499</v>
      </c>
      <c r="D34" s="206" t="s">
        <v>72</v>
      </c>
      <c r="E34" s="201"/>
      <c r="F34" s="61">
        <v>11</v>
      </c>
      <c r="G34" s="60" t="s">
        <v>48</v>
      </c>
      <c r="H34" s="60"/>
      <c r="I34" s="62"/>
      <c r="J34" s="11"/>
      <c r="K34" s="11"/>
      <c r="L34" s="11"/>
      <c r="M34" s="11"/>
      <c r="N34" s="59"/>
      <c r="O34" s="60">
        <v>18</v>
      </c>
      <c r="P34" s="206" t="s">
        <v>74</v>
      </c>
      <c r="Q34" s="202"/>
      <c r="R34" s="61">
        <v>21.05</v>
      </c>
      <c r="S34" s="60" t="s">
        <v>76</v>
      </c>
      <c r="T34" s="60"/>
      <c r="U34" s="62"/>
      <c r="V34" s="2"/>
      <c r="W34" s="63">
        <v>18</v>
      </c>
      <c r="X34" s="64" t="s">
        <v>72</v>
      </c>
      <c r="Y34" s="20" t="s">
        <v>48</v>
      </c>
      <c r="Z34" s="20">
        <v>11</v>
      </c>
      <c r="AA34" s="20"/>
      <c r="AB34" s="10"/>
      <c r="AC34" s="10"/>
      <c r="AD34" s="20"/>
      <c r="AE34" s="20"/>
      <c r="AF34" s="20"/>
      <c r="AG34" s="65"/>
      <c r="AH34" s="66"/>
      <c r="AI34" s="40"/>
      <c r="AJ34" s="10" t="s">
        <v>74</v>
      </c>
      <c r="AK34" s="20" t="s">
        <v>76</v>
      </c>
      <c r="AL34" s="20">
        <v>21.05</v>
      </c>
    </row>
    <row r="35" spans="1:38" ht="15.75" customHeight="1">
      <c r="A35" s="1"/>
      <c r="B35" s="59"/>
      <c r="C35" s="60">
        <v>19</v>
      </c>
      <c r="D35" s="206" t="s">
        <v>36</v>
      </c>
      <c r="E35" s="201"/>
      <c r="F35" s="61">
        <v>10.5</v>
      </c>
      <c r="G35" s="60" t="s">
        <v>37</v>
      </c>
      <c r="H35" s="60"/>
      <c r="I35" s="62"/>
      <c r="J35" s="11"/>
      <c r="K35" s="11"/>
      <c r="L35" s="11"/>
      <c r="M35" s="11"/>
      <c r="N35" s="59"/>
      <c r="O35" s="60">
        <v>19</v>
      </c>
      <c r="P35" s="206" t="s">
        <v>62</v>
      </c>
      <c r="Q35" s="202"/>
      <c r="R35" s="61">
        <v>18.5</v>
      </c>
      <c r="S35" s="60" t="s">
        <v>26</v>
      </c>
      <c r="T35" s="60"/>
      <c r="U35" s="62"/>
      <c r="V35" s="2"/>
      <c r="W35" s="63">
        <v>19</v>
      </c>
      <c r="X35" s="64" t="s">
        <v>36</v>
      </c>
      <c r="Y35" s="20" t="s">
        <v>37</v>
      </c>
      <c r="Z35" s="20">
        <v>10.5</v>
      </c>
      <c r="AA35" s="20"/>
      <c r="AB35" s="10"/>
      <c r="AC35" s="10"/>
      <c r="AD35" s="20"/>
      <c r="AE35" s="20"/>
      <c r="AF35" s="20"/>
      <c r="AG35" s="65"/>
      <c r="AH35" s="66"/>
      <c r="AI35" s="40"/>
      <c r="AJ35" s="10" t="s">
        <v>62</v>
      </c>
      <c r="AK35" s="20" t="s">
        <v>26</v>
      </c>
      <c r="AL35" s="20">
        <v>18.5</v>
      </c>
    </row>
    <row r="36" spans="1:38" ht="15.75" customHeight="1">
      <c r="A36" s="1"/>
      <c r="B36" s="59"/>
      <c r="C36" s="60"/>
      <c r="D36" s="206"/>
      <c r="E36" s="201"/>
      <c r="F36" s="61"/>
      <c r="G36" s="60"/>
      <c r="H36" s="60"/>
      <c r="I36" s="62"/>
      <c r="J36" s="11"/>
      <c r="K36" s="11"/>
      <c r="L36" s="11"/>
      <c r="M36" s="11"/>
      <c r="N36" s="59"/>
      <c r="O36" s="60">
        <v>20</v>
      </c>
      <c r="P36" s="206" t="s">
        <v>95</v>
      </c>
      <c r="Q36" s="202"/>
      <c r="R36" s="61">
        <v>17.350000000000001</v>
      </c>
      <c r="S36" s="60" t="s">
        <v>22</v>
      </c>
      <c r="T36" s="60"/>
      <c r="U36" s="62"/>
      <c r="V36" s="2"/>
      <c r="W36" s="63">
        <v>20</v>
      </c>
      <c r="X36" s="64"/>
      <c r="Y36" s="20"/>
      <c r="Z36" s="20"/>
      <c r="AA36" s="20"/>
      <c r="AB36" s="10"/>
      <c r="AC36" s="10"/>
      <c r="AD36" s="20"/>
      <c r="AE36" s="20"/>
      <c r="AF36" s="20"/>
      <c r="AG36" s="65"/>
      <c r="AH36" s="66"/>
      <c r="AI36" s="40"/>
      <c r="AJ36" s="10" t="s">
        <v>95</v>
      </c>
      <c r="AK36" s="20" t="s">
        <v>22</v>
      </c>
      <c r="AL36" s="20">
        <v>17.350000000000001</v>
      </c>
    </row>
    <row r="37" spans="1:38" ht="15.75" customHeight="1">
      <c r="A37" s="1"/>
      <c r="B37" s="59"/>
      <c r="C37" s="60"/>
      <c r="D37" s="206"/>
      <c r="E37" s="201"/>
      <c r="F37" s="61"/>
      <c r="G37" s="60"/>
      <c r="H37" s="60"/>
      <c r="I37" s="62"/>
      <c r="J37" s="11"/>
      <c r="K37" s="11"/>
      <c r="L37" s="11"/>
      <c r="M37" s="11"/>
      <c r="N37" s="59"/>
      <c r="O37" s="60">
        <v>21</v>
      </c>
      <c r="P37" s="206" t="s">
        <v>31</v>
      </c>
      <c r="Q37" s="202"/>
      <c r="R37" s="61">
        <v>16.75</v>
      </c>
      <c r="S37" s="60" t="s">
        <v>32</v>
      </c>
      <c r="T37" s="60"/>
      <c r="U37" s="62"/>
      <c r="V37" s="2"/>
      <c r="W37" s="63">
        <v>21</v>
      </c>
      <c r="X37" s="64"/>
      <c r="Y37" s="20"/>
      <c r="Z37" s="20"/>
      <c r="AA37" s="20"/>
      <c r="AB37" s="10"/>
      <c r="AC37" s="10"/>
      <c r="AD37" s="20"/>
      <c r="AE37" s="20"/>
      <c r="AF37" s="20"/>
      <c r="AG37" s="65"/>
      <c r="AH37" s="66"/>
      <c r="AI37" s="40"/>
      <c r="AJ37" s="10" t="s">
        <v>31</v>
      </c>
      <c r="AK37" s="20" t="s">
        <v>32</v>
      </c>
      <c r="AL37" s="20">
        <v>16.75</v>
      </c>
    </row>
    <row r="38" spans="1:38" ht="15.75" customHeight="1">
      <c r="A38" s="1"/>
      <c r="B38" s="59"/>
      <c r="C38" s="60"/>
      <c r="D38" s="206"/>
      <c r="E38" s="201"/>
      <c r="F38" s="61"/>
      <c r="G38" s="60"/>
      <c r="H38" s="60"/>
      <c r="I38" s="62"/>
      <c r="J38" s="11"/>
      <c r="K38" s="11"/>
      <c r="L38" s="11"/>
      <c r="M38" s="11"/>
      <c r="N38" s="59"/>
      <c r="O38" s="60">
        <v>22</v>
      </c>
      <c r="P38" s="206" t="s">
        <v>85</v>
      </c>
      <c r="Q38" s="202"/>
      <c r="R38" s="61">
        <v>16.25</v>
      </c>
      <c r="S38" s="60" t="s">
        <v>50</v>
      </c>
      <c r="T38" s="60"/>
      <c r="U38" s="62"/>
      <c r="V38" s="2"/>
      <c r="W38" s="63">
        <v>22</v>
      </c>
      <c r="X38" s="64"/>
      <c r="Y38" s="20"/>
      <c r="Z38" s="20"/>
      <c r="AA38" s="20"/>
      <c r="AB38" s="10"/>
      <c r="AC38" s="10"/>
      <c r="AD38" s="20"/>
      <c r="AE38" s="20"/>
      <c r="AF38" s="20"/>
      <c r="AG38" s="65"/>
      <c r="AH38" s="66"/>
      <c r="AI38" s="40"/>
      <c r="AJ38" s="10" t="s">
        <v>85</v>
      </c>
      <c r="AK38" s="20" t="s">
        <v>50</v>
      </c>
      <c r="AL38" s="20">
        <v>16.25</v>
      </c>
    </row>
    <row r="39" spans="1:38" ht="13.2">
      <c r="A39" s="1"/>
      <c r="B39" s="59"/>
      <c r="C39" s="60"/>
      <c r="D39" s="206"/>
      <c r="E39" s="201"/>
      <c r="F39" s="61"/>
      <c r="G39" s="60"/>
      <c r="H39" s="60"/>
      <c r="I39" s="62"/>
      <c r="J39" s="11"/>
      <c r="K39" s="11"/>
      <c r="L39" s="11"/>
      <c r="M39" s="11"/>
      <c r="N39" s="59"/>
      <c r="O39" s="60">
        <v>23</v>
      </c>
      <c r="P39" s="206" t="s">
        <v>45</v>
      </c>
      <c r="Q39" s="202"/>
      <c r="R39" s="61">
        <v>15.5</v>
      </c>
      <c r="S39" s="60" t="s">
        <v>26</v>
      </c>
      <c r="T39" s="60"/>
      <c r="U39" s="62"/>
      <c r="V39" s="2"/>
      <c r="W39" s="63">
        <v>23</v>
      </c>
      <c r="X39" s="64"/>
      <c r="Y39" s="20"/>
      <c r="Z39" s="20"/>
      <c r="AA39" s="20"/>
      <c r="AB39" s="10"/>
      <c r="AC39" s="10"/>
      <c r="AD39" s="20"/>
      <c r="AE39" s="20"/>
      <c r="AF39" s="20"/>
      <c r="AG39" s="65"/>
      <c r="AH39" s="66"/>
      <c r="AI39" s="40"/>
      <c r="AJ39" s="10" t="s">
        <v>45</v>
      </c>
      <c r="AK39" s="20" t="s">
        <v>26</v>
      </c>
      <c r="AL39" s="20">
        <v>15.5</v>
      </c>
    </row>
    <row r="40" spans="1:38" ht="13.2">
      <c r="A40" s="1"/>
      <c r="B40" s="59"/>
      <c r="C40" s="60"/>
      <c r="D40" s="206"/>
      <c r="E40" s="201"/>
      <c r="F40" s="61"/>
      <c r="G40" s="60"/>
      <c r="H40" s="60"/>
      <c r="I40" s="62"/>
      <c r="J40" s="11"/>
      <c r="K40" s="11"/>
      <c r="L40" s="11"/>
      <c r="M40" s="11"/>
      <c r="N40" s="59"/>
      <c r="O40" s="60">
        <v>24</v>
      </c>
      <c r="P40" s="206" t="s">
        <v>86</v>
      </c>
      <c r="Q40" s="202"/>
      <c r="R40" s="61">
        <v>14.5</v>
      </c>
      <c r="S40" s="60" t="s">
        <v>87</v>
      </c>
      <c r="T40" s="60"/>
      <c r="U40" s="62"/>
      <c r="V40" s="2"/>
      <c r="W40" s="63">
        <v>24</v>
      </c>
      <c r="X40" s="64"/>
      <c r="Y40" s="20"/>
      <c r="Z40" s="20"/>
      <c r="AA40" s="20"/>
      <c r="AB40" s="10"/>
      <c r="AC40" s="10"/>
      <c r="AD40" s="20"/>
      <c r="AE40" s="20"/>
      <c r="AF40" s="20"/>
      <c r="AG40" s="65"/>
      <c r="AH40" s="66"/>
      <c r="AI40" s="40"/>
      <c r="AJ40" s="10" t="s">
        <v>86</v>
      </c>
      <c r="AK40" s="20" t="s">
        <v>87</v>
      </c>
      <c r="AL40" s="20">
        <v>14.5</v>
      </c>
    </row>
    <row r="41" spans="1:38" ht="13.2">
      <c r="A41" s="1"/>
      <c r="B41" s="59"/>
      <c r="C41" s="60"/>
      <c r="D41" s="206"/>
      <c r="E41" s="201"/>
      <c r="F41" s="61"/>
      <c r="G41" s="60"/>
      <c r="H41" s="60"/>
      <c r="I41" s="62"/>
      <c r="J41" s="11"/>
      <c r="K41" s="11"/>
      <c r="L41" s="11"/>
      <c r="M41" s="11"/>
      <c r="N41" s="59"/>
      <c r="O41" s="60">
        <v>25</v>
      </c>
      <c r="P41" s="206" t="s">
        <v>94</v>
      </c>
      <c r="Q41" s="202"/>
      <c r="R41" s="61">
        <v>14.1</v>
      </c>
      <c r="S41" s="60" t="s">
        <v>65</v>
      </c>
      <c r="T41" s="60"/>
      <c r="U41" s="62"/>
      <c r="V41" s="2"/>
      <c r="W41" s="63">
        <v>25</v>
      </c>
      <c r="X41" s="64"/>
      <c r="Y41" s="20"/>
      <c r="Z41" s="20"/>
      <c r="AA41" s="20"/>
      <c r="AB41" s="10"/>
      <c r="AC41" s="10"/>
      <c r="AD41" s="20"/>
      <c r="AE41" s="20"/>
      <c r="AF41" s="20"/>
      <c r="AG41" s="65"/>
      <c r="AH41" s="66"/>
      <c r="AI41" s="40"/>
      <c r="AJ41" s="10" t="s">
        <v>94</v>
      </c>
      <c r="AK41" s="20" t="s">
        <v>65</v>
      </c>
      <c r="AL41" s="20">
        <v>14.1</v>
      </c>
    </row>
    <row r="42" spans="1:38" ht="13.2">
      <c r="A42" s="1"/>
      <c r="B42" s="59"/>
      <c r="C42" s="60"/>
      <c r="D42" s="206"/>
      <c r="E42" s="201"/>
      <c r="F42" s="61"/>
      <c r="G42" s="60"/>
      <c r="H42" s="60"/>
      <c r="I42" s="62"/>
      <c r="J42" s="11"/>
      <c r="K42" s="11"/>
      <c r="L42" s="11"/>
      <c r="M42" s="11"/>
      <c r="N42" s="59"/>
      <c r="O42" s="60">
        <v>26</v>
      </c>
      <c r="P42" s="206" t="s">
        <v>91</v>
      </c>
      <c r="Q42" s="202"/>
      <c r="R42" s="61">
        <v>12.25</v>
      </c>
      <c r="S42" s="60" t="s">
        <v>75</v>
      </c>
      <c r="T42" s="60"/>
      <c r="U42" s="62"/>
      <c r="V42" s="2"/>
      <c r="W42" s="63">
        <v>26</v>
      </c>
      <c r="X42" s="64"/>
      <c r="Y42" s="20"/>
      <c r="Z42" s="20"/>
      <c r="AA42" s="20"/>
      <c r="AB42" s="10"/>
      <c r="AC42" s="10"/>
      <c r="AD42" s="20"/>
      <c r="AE42" s="20"/>
      <c r="AF42" s="20"/>
      <c r="AG42" s="65"/>
      <c r="AH42" s="66"/>
      <c r="AI42" s="40"/>
      <c r="AJ42" s="10" t="s">
        <v>91</v>
      </c>
      <c r="AK42" s="20" t="s">
        <v>75</v>
      </c>
      <c r="AL42" s="20">
        <v>12.25</v>
      </c>
    </row>
    <row r="43" spans="1:38" ht="13.2">
      <c r="A43" s="1"/>
      <c r="B43" s="59"/>
      <c r="C43" s="60"/>
      <c r="D43" s="206"/>
      <c r="E43" s="201"/>
      <c r="F43" s="61"/>
      <c r="G43" s="60"/>
      <c r="H43" s="60"/>
      <c r="I43" s="62"/>
      <c r="J43" s="11"/>
      <c r="K43" s="11"/>
      <c r="L43" s="11"/>
      <c r="M43" s="11"/>
      <c r="N43" s="59"/>
      <c r="O43" s="60">
        <v>27</v>
      </c>
      <c r="P43" s="206" t="s">
        <v>51</v>
      </c>
      <c r="Q43" s="202"/>
      <c r="R43" s="61">
        <v>12</v>
      </c>
      <c r="S43" s="60" t="s">
        <v>52</v>
      </c>
      <c r="T43" s="60"/>
      <c r="U43" s="62"/>
      <c r="V43" s="2"/>
      <c r="W43" s="63">
        <v>27</v>
      </c>
      <c r="X43" s="64"/>
      <c r="Y43" s="20"/>
      <c r="Z43" s="20"/>
      <c r="AA43" s="20"/>
      <c r="AB43" s="10"/>
      <c r="AC43" s="10"/>
      <c r="AD43" s="20"/>
      <c r="AE43" s="20"/>
      <c r="AF43" s="20"/>
      <c r="AG43" s="65"/>
      <c r="AH43" s="66"/>
      <c r="AI43" s="40"/>
      <c r="AJ43" s="10" t="s">
        <v>51</v>
      </c>
      <c r="AK43" s="20" t="s">
        <v>52</v>
      </c>
      <c r="AL43" s="20">
        <v>12</v>
      </c>
    </row>
    <row r="44" spans="1:38" ht="13.2">
      <c r="A44" s="1"/>
      <c r="B44" s="59"/>
      <c r="C44" s="60"/>
      <c r="D44" s="206"/>
      <c r="E44" s="201"/>
      <c r="F44" s="61"/>
      <c r="G44" s="60"/>
      <c r="H44" s="60"/>
      <c r="I44" s="62"/>
      <c r="J44" s="11"/>
      <c r="K44" s="11"/>
      <c r="L44" s="11"/>
      <c r="M44" s="11"/>
      <c r="N44" s="59"/>
      <c r="O44" s="60">
        <v>28</v>
      </c>
      <c r="P44" s="206" t="s">
        <v>57</v>
      </c>
      <c r="Q44" s="202"/>
      <c r="R44" s="61">
        <v>9.5</v>
      </c>
      <c r="S44" s="60" t="s">
        <v>40</v>
      </c>
      <c r="T44" s="60"/>
      <c r="U44" s="62"/>
      <c r="V44" s="2"/>
      <c r="W44" s="63">
        <v>28</v>
      </c>
      <c r="X44" s="64"/>
      <c r="Y44" s="20"/>
      <c r="Z44" s="20"/>
      <c r="AA44" s="20"/>
      <c r="AB44" s="10"/>
      <c r="AC44" s="10"/>
      <c r="AD44" s="20"/>
      <c r="AE44" s="20"/>
      <c r="AF44" s="20"/>
      <c r="AG44" s="65"/>
      <c r="AH44" s="66"/>
      <c r="AI44" s="40"/>
      <c r="AJ44" s="10" t="s">
        <v>57</v>
      </c>
      <c r="AK44" s="20" t="s">
        <v>40</v>
      </c>
      <c r="AL44" s="20">
        <v>9.5</v>
      </c>
    </row>
    <row r="45" spans="1:38" ht="13.2">
      <c r="A45" s="1"/>
      <c r="B45" s="59"/>
      <c r="C45" s="60"/>
      <c r="D45" s="206"/>
      <c r="E45" s="201"/>
      <c r="F45" s="61"/>
      <c r="G45" s="60"/>
      <c r="H45" s="60"/>
      <c r="I45" s="62"/>
      <c r="J45" s="11"/>
      <c r="K45" s="11"/>
      <c r="L45" s="11"/>
      <c r="M45" s="11"/>
      <c r="N45" s="59"/>
      <c r="O45" s="60">
        <v>29</v>
      </c>
      <c r="P45" s="206" t="s">
        <v>38</v>
      </c>
      <c r="Q45" s="202"/>
      <c r="R45" s="61">
        <v>8</v>
      </c>
      <c r="S45" s="60" t="s">
        <v>37</v>
      </c>
      <c r="T45" s="60"/>
      <c r="U45" s="62"/>
      <c r="V45" s="2"/>
      <c r="W45" s="63">
        <v>29</v>
      </c>
      <c r="X45" s="64"/>
      <c r="Y45" s="20"/>
      <c r="Z45" s="20"/>
      <c r="AA45" s="20"/>
      <c r="AB45" s="10"/>
      <c r="AC45" s="10"/>
      <c r="AD45" s="20"/>
      <c r="AE45" s="20"/>
      <c r="AF45" s="20"/>
      <c r="AG45" s="65"/>
      <c r="AH45" s="66"/>
      <c r="AI45" s="40"/>
      <c r="AJ45" s="10" t="s">
        <v>38</v>
      </c>
      <c r="AK45" s="20" t="s">
        <v>37</v>
      </c>
      <c r="AL45" s="20">
        <v>8</v>
      </c>
    </row>
    <row r="46" spans="1:38" ht="13.2">
      <c r="A46" s="1"/>
      <c r="B46" s="59"/>
      <c r="C46" s="60"/>
      <c r="D46" s="206"/>
      <c r="E46" s="201"/>
      <c r="F46" s="61"/>
      <c r="G46" s="60"/>
      <c r="H46" s="60"/>
      <c r="I46" s="62"/>
      <c r="J46" s="11"/>
      <c r="K46" s="11"/>
      <c r="L46" s="11"/>
      <c r="M46" s="11"/>
      <c r="N46" s="59"/>
      <c r="O46" s="60">
        <v>30</v>
      </c>
      <c r="P46" s="206" t="s">
        <v>96</v>
      </c>
      <c r="Q46" s="202"/>
      <c r="R46" s="61">
        <v>4.75</v>
      </c>
      <c r="S46" s="60" t="s">
        <v>97</v>
      </c>
      <c r="T46" s="60"/>
      <c r="U46" s="62"/>
      <c r="V46" s="2"/>
      <c r="W46" s="63">
        <v>30</v>
      </c>
      <c r="X46" s="64"/>
      <c r="Y46" s="20"/>
      <c r="Z46" s="20"/>
      <c r="AA46" s="20"/>
      <c r="AB46" s="10"/>
      <c r="AC46" s="10"/>
      <c r="AD46" s="20"/>
      <c r="AE46" s="20"/>
      <c r="AF46" s="20"/>
      <c r="AG46" s="65"/>
      <c r="AH46" s="66"/>
      <c r="AI46" s="40"/>
      <c r="AJ46" s="10" t="s">
        <v>96</v>
      </c>
      <c r="AK46" s="20" t="s">
        <v>97</v>
      </c>
      <c r="AL46" s="20">
        <v>4.75</v>
      </c>
    </row>
    <row r="47" spans="1:38" ht="13.2">
      <c r="A47" s="1"/>
      <c r="B47" s="59"/>
      <c r="C47" s="60"/>
      <c r="D47" s="206"/>
      <c r="E47" s="201"/>
      <c r="F47" s="61"/>
      <c r="G47" s="60"/>
      <c r="H47" s="60"/>
      <c r="I47" s="62"/>
      <c r="J47" s="11"/>
      <c r="K47" s="11"/>
      <c r="L47" s="11"/>
      <c r="M47" s="11"/>
      <c r="N47" s="59"/>
      <c r="O47" s="60"/>
      <c r="P47" s="206"/>
      <c r="Q47" s="202"/>
      <c r="R47" s="61"/>
      <c r="S47" s="60"/>
      <c r="T47" s="60"/>
      <c r="U47" s="62"/>
      <c r="V47" s="2"/>
      <c r="W47" s="63">
        <v>31</v>
      </c>
      <c r="X47" s="64"/>
      <c r="Y47" s="20"/>
      <c r="Z47" s="20"/>
      <c r="AA47" s="20"/>
      <c r="AB47" s="10"/>
      <c r="AC47" s="10"/>
      <c r="AD47" s="20"/>
      <c r="AE47" s="20"/>
      <c r="AF47" s="20"/>
      <c r="AG47" s="65"/>
      <c r="AH47" s="66"/>
      <c r="AI47" s="40"/>
      <c r="AJ47" s="10"/>
      <c r="AK47" s="20"/>
      <c r="AL47" s="20"/>
    </row>
    <row r="48" spans="1:38" ht="13.2">
      <c r="A48" s="1"/>
      <c r="B48" s="1"/>
      <c r="C48" s="67"/>
      <c r="D48" s="1"/>
      <c r="E48" s="1"/>
      <c r="F48" s="10"/>
      <c r="G48" s="1"/>
      <c r="H48" s="1"/>
      <c r="I48" s="1"/>
      <c r="J48" s="1"/>
      <c r="K48" s="1"/>
      <c r="L48" s="1"/>
      <c r="M48" s="1"/>
      <c r="N48" s="1"/>
      <c r="O48" s="1"/>
      <c r="P48" s="1"/>
      <c r="Q48" s="68"/>
      <c r="R48" s="10"/>
      <c r="S48" s="1"/>
      <c r="T48" s="1"/>
      <c r="U48" s="1"/>
      <c r="V48" s="2"/>
      <c r="W48" s="63">
        <v>51</v>
      </c>
      <c r="X48" s="10"/>
      <c r="Y48" s="10"/>
      <c r="Z48" s="10"/>
      <c r="AA48" s="10"/>
      <c r="AB48" s="10"/>
      <c r="AC48" s="20"/>
      <c r="AD48" s="20"/>
      <c r="AE48" s="10"/>
      <c r="AF48" s="10"/>
      <c r="AG48" s="10"/>
      <c r="AH48" s="10"/>
      <c r="AI48" s="40"/>
      <c r="AJ48" s="20"/>
      <c r="AK48" s="20"/>
      <c r="AL48" s="10"/>
    </row>
    <row r="49" spans="1:38" ht="13.2">
      <c r="A49" s="1"/>
      <c r="B49" s="1"/>
      <c r="C49" s="69" t="s">
        <v>100</v>
      </c>
      <c r="D49" s="12"/>
      <c r="E49" s="12"/>
      <c r="F49" s="13"/>
      <c r="G49" s="12"/>
      <c r="H49" s="12"/>
      <c r="I49" s="11"/>
      <c r="J49" s="11"/>
      <c r="K49" s="11"/>
      <c r="L49" s="11"/>
      <c r="M49" s="11"/>
      <c r="N49" s="11"/>
      <c r="O49" s="69"/>
      <c r="P49" s="12"/>
      <c r="Q49" s="70"/>
      <c r="R49" s="13"/>
      <c r="S49" s="12"/>
      <c r="T49" s="12"/>
      <c r="U49" s="1"/>
      <c r="V49" s="2"/>
      <c r="W49" s="10"/>
      <c r="X49" s="10"/>
      <c r="Y49" s="10"/>
      <c r="Z49" s="10"/>
      <c r="AA49" s="10"/>
      <c r="AB49" s="10"/>
      <c r="AC49" s="20"/>
      <c r="AD49" s="20"/>
      <c r="AE49" s="10"/>
      <c r="AF49" s="10"/>
      <c r="AG49" s="10"/>
      <c r="AH49" s="10"/>
      <c r="AI49" s="10"/>
      <c r="AJ49" s="20"/>
      <c r="AK49" s="20"/>
      <c r="AL49" s="10"/>
    </row>
    <row r="50" spans="1:38" ht="13.2">
      <c r="A50" s="1"/>
      <c r="B50" s="1"/>
      <c r="C50" s="195">
        <v>0</v>
      </c>
      <c r="D50" s="196"/>
      <c r="E50" s="196"/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6"/>
      <c r="T50" s="197"/>
      <c r="U50" s="1"/>
      <c r="V50" s="2"/>
      <c r="W50" s="10"/>
      <c r="X50" s="10"/>
      <c r="Y50" s="10"/>
      <c r="Z50" s="10"/>
      <c r="AA50" s="10"/>
      <c r="AB50" s="10"/>
      <c r="AC50" s="20"/>
      <c r="AD50" s="20"/>
      <c r="AE50" s="10"/>
      <c r="AF50" s="10"/>
      <c r="AG50" s="10"/>
      <c r="AH50" s="10"/>
      <c r="AI50" s="10"/>
      <c r="AJ50" s="20"/>
      <c r="AK50" s="20"/>
      <c r="AL50" s="10"/>
    </row>
    <row r="51" spans="1:38" ht="13.2">
      <c r="A51" s="1"/>
      <c r="B51" s="1"/>
      <c r="C51" s="198"/>
      <c r="D51" s="194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9"/>
      <c r="U51" s="1"/>
      <c r="V51" s="2"/>
      <c r="W51" s="10"/>
      <c r="X51" s="10"/>
      <c r="Y51" s="10"/>
      <c r="Z51" s="10"/>
      <c r="AA51" s="10"/>
      <c r="AB51" s="10"/>
      <c r="AC51" s="20"/>
      <c r="AD51" s="20"/>
      <c r="AE51" s="10"/>
      <c r="AF51" s="10"/>
      <c r="AG51" s="10"/>
      <c r="AH51" s="10"/>
      <c r="AI51" s="10"/>
      <c r="AJ51" s="20"/>
      <c r="AK51" s="20"/>
      <c r="AL51" s="10"/>
    </row>
    <row r="52" spans="1:38" ht="13.2">
      <c r="A52" s="1"/>
      <c r="B52" s="1"/>
      <c r="C52" s="198"/>
      <c r="D52" s="194"/>
      <c r="E52" s="194"/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9"/>
      <c r="U52" s="1"/>
      <c r="V52" s="2"/>
      <c r="W52" s="10"/>
      <c r="X52" s="10"/>
      <c r="Y52" s="10"/>
      <c r="Z52" s="10"/>
      <c r="AA52" s="10"/>
      <c r="AB52" s="10"/>
      <c r="AC52" s="20"/>
      <c r="AD52" s="20"/>
      <c r="AE52" s="10"/>
      <c r="AF52" s="10"/>
      <c r="AG52" s="10"/>
      <c r="AH52" s="10"/>
      <c r="AI52" s="10"/>
      <c r="AJ52" s="20"/>
      <c r="AK52" s="20"/>
      <c r="AL52" s="10"/>
    </row>
    <row r="53" spans="1:38" ht="13.2">
      <c r="A53" s="1"/>
      <c r="B53" s="1"/>
      <c r="C53" s="200"/>
      <c r="D53" s="201"/>
      <c r="E53" s="201"/>
      <c r="F53" s="201"/>
      <c r="G53" s="201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2"/>
      <c r="U53" s="1"/>
      <c r="V53" s="2"/>
      <c r="W53" s="10"/>
      <c r="X53" s="10"/>
      <c r="Y53" s="10"/>
      <c r="Z53" s="10"/>
      <c r="AA53" s="10"/>
      <c r="AB53" s="10"/>
      <c r="AC53" s="20"/>
      <c r="AD53" s="20"/>
      <c r="AE53" s="10"/>
      <c r="AF53" s="10"/>
      <c r="AG53" s="10"/>
      <c r="AH53" s="10"/>
      <c r="AI53" s="10"/>
      <c r="AJ53" s="20"/>
      <c r="AK53" s="20"/>
      <c r="AL53" s="10"/>
    </row>
    <row r="54" spans="1:38" ht="13.2">
      <c r="A54" s="1"/>
      <c r="B54" s="1"/>
      <c r="C54" s="67"/>
      <c r="D54" s="1"/>
      <c r="E54" s="1"/>
      <c r="F54" s="10"/>
      <c r="G54" s="1"/>
      <c r="H54" s="1"/>
      <c r="I54" s="1"/>
      <c r="J54" s="1"/>
      <c r="K54" s="1"/>
      <c r="L54" s="1"/>
      <c r="M54" s="1"/>
      <c r="N54" s="1"/>
      <c r="O54" s="1"/>
      <c r="P54" s="1"/>
      <c r="Q54" s="68"/>
      <c r="R54" s="10"/>
      <c r="S54" s="1"/>
      <c r="T54" s="1"/>
      <c r="U54" s="1"/>
      <c r="V54" s="2"/>
      <c r="W54" s="10"/>
      <c r="X54" s="10"/>
      <c r="Y54" s="10"/>
      <c r="Z54" s="10"/>
      <c r="AA54" s="10"/>
      <c r="AB54" s="10"/>
      <c r="AC54" s="20"/>
      <c r="AD54" s="20"/>
      <c r="AE54" s="10"/>
      <c r="AF54" s="10"/>
      <c r="AG54" s="10"/>
      <c r="AH54" s="10"/>
      <c r="AI54" s="10"/>
      <c r="AJ54" s="20"/>
      <c r="AK54" s="20"/>
      <c r="AL54" s="10"/>
    </row>
    <row r="55" spans="1:38" ht="13.2">
      <c r="A55" s="1"/>
      <c r="B55" s="1"/>
      <c r="C55" s="67"/>
      <c r="D55" s="1"/>
      <c r="E55" s="1"/>
      <c r="F55" s="10"/>
      <c r="G55" s="1"/>
      <c r="H55" s="1"/>
      <c r="I55" s="1"/>
      <c r="J55" s="1"/>
      <c r="K55" s="1"/>
      <c r="L55" s="1"/>
      <c r="M55" s="1"/>
      <c r="N55" s="1"/>
      <c r="O55" s="1"/>
      <c r="P55" s="1"/>
      <c r="Q55" s="68"/>
      <c r="R55" s="10"/>
      <c r="S55" s="1"/>
      <c r="T55" s="1"/>
      <c r="U55" s="1"/>
      <c r="V55" s="2"/>
      <c r="W55" s="2"/>
      <c r="X55" s="2"/>
      <c r="Y55" s="2"/>
      <c r="Z55" s="2"/>
      <c r="AA55" s="2"/>
      <c r="AB55" s="2"/>
      <c r="AC55" s="14"/>
      <c r="AD55" s="14"/>
      <c r="AE55" s="2"/>
      <c r="AF55" s="2"/>
      <c r="AG55" s="2"/>
      <c r="AH55" s="2"/>
      <c r="AI55" s="2"/>
      <c r="AJ55" s="14"/>
      <c r="AK55" s="14"/>
      <c r="AL55" s="2"/>
    </row>
    <row r="56" spans="1:38" ht="15.6">
      <c r="A56" s="1"/>
      <c r="B56" s="28"/>
      <c r="C56" s="17"/>
      <c r="D56" s="29" t="s">
        <v>500</v>
      </c>
      <c r="E56" s="225" t="s">
        <v>518</v>
      </c>
      <c r="F56" s="194"/>
      <c r="G56" s="194"/>
      <c r="H56" s="19"/>
      <c r="I56" s="30"/>
      <c r="J56" s="30"/>
      <c r="K56" s="30"/>
      <c r="L56" s="30"/>
      <c r="M56" s="30"/>
      <c r="N56" s="30"/>
      <c r="O56" s="30"/>
      <c r="P56" s="29" t="s">
        <v>493</v>
      </c>
      <c r="Q56" s="207" t="s">
        <v>0</v>
      </c>
      <c r="R56" s="194"/>
      <c r="S56" s="19"/>
      <c r="T56" s="6"/>
      <c r="U56" s="31"/>
      <c r="V56" s="2"/>
      <c r="W56" s="10"/>
      <c r="X56" s="10"/>
      <c r="Y56" s="10"/>
      <c r="Z56" s="10"/>
      <c r="AA56" s="10"/>
      <c r="AB56" s="10"/>
      <c r="AC56" s="20"/>
      <c r="AD56" s="20"/>
      <c r="AE56" s="10"/>
      <c r="AF56" s="10"/>
      <c r="AG56" s="10"/>
      <c r="AH56" s="10"/>
      <c r="AI56" s="10"/>
      <c r="AJ56" s="20"/>
      <c r="AK56" s="20"/>
      <c r="AL56" s="10"/>
    </row>
    <row r="57" spans="1:38" ht="15.6">
      <c r="A57" s="1"/>
      <c r="B57" s="32"/>
      <c r="C57" s="16"/>
      <c r="D57" s="33" t="s">
        <v>494</v>
      </c>
      <c r="E57" s="30"/>
      <c r="F57" s="34"/>
      <c r="G57" s="19"/>
      <c r="H57" s="19"/>
      <c r="I57" s="19"/>
      <c r="J57" s="19"/>
      <c r="K57" s="19"/>
      <c r="L57" s="19"/>
      <c r="M57" s="19"/>
      <c r="N57" s="19"/>
      <c r="O57" s="19"/>
      <c r="P57" s="35" t="s">
        <v>98</v>
      </c>
      <c r="Q57" s="208" t="s">
        <v>99</v>
      </c>
      <c r="R57" s="194"/>
      <c r="S57" s="194"/>
      <c r="T57" s="194"/>
      <c r="U57" s="19"/>
      <c r="V57" s="2"/>
      <c r="W57" s="10"/>
      <c r="X57" s="10"/>
      <c r="Y57" s="10"/>
      <c r="Z57" s="10"/>
      <c r="AA57" s="10"/>
      <c r="AB57" s="10"/>
      <c r="AC57" s="20"/>
      <c r="AD57" s="20"/>
      <c r="AE57" s="10"/>
      <c r="AF57" s="10"/>
      <c r="AG57" s="10"/>
      <c r="AH57" s="10"/>
      <c r="AI57" s="10"/>
      <c r="AJ57" s="20"/>
      <c r="AK57" s="20"/>
      <c r="AL57" s="10"/>
    </row>
    <row r="58" spans="1:38" ht="15.6">
      <c r="A58" s="1"/>
      <c r="B58" s="7"/>
      <c r="C58" s="36"/>
      <c r="D58" s="30"/>
      <c r="E58" s="30"/>
      <c r="F58" s="34"/>
      <c r="G58" s="19"/>
      <c r="H58" s="19"/>
      <c r="I58" s="19"/>
      <c r="J58" s="19"/>
      <c r="K58" s="19"/>
      <c r="L58" s="19"/>
      <c r="M58" s="19"/>
      <c r="N58" s="19"/>
      <c r="O58" s="19"/>
      <c r="P58" s="30"/>
      <c r="Q58" s="37"/>
      <c r="R58" s="38"/>
      <c r="S58" s="19"/>
      <c r="T58" s="19"/>
      <c r="U58" s="19"/>
      <c r="V58" s="2"/>
      <c r="W58" s="15"/>
      <c r="X58" s="39"/>
      <c r="Y58" s="40"/>
      <c r="Z58" s="41"/>
      <c r="AA58" s="41"/>
      <c r="AB58" s="40"/>
      <c r="AC58" s="40"/>
      <c r="AD58" s="40"/>
      <c r="AE58" s="40"/>
      <c r="AF58" s="40"/>
      <c r="AG58" s="40"/>
      <c r="AH58" s="40"/>
      <c r="AI58" s="15"/>
      <c r="AJ58" s="40"/>
      <c r="AK58" s="40"/>
      <c r="AL58" s="40"/>
    </row>
    <row r="59" spans="1:38" ht="15.6">
      <c r="A59" s="1"/>
      <c r="B59" s="8"/>
      <c r="C59" s="226" t="s">
        <v>20</v>
      </c>
      <c r="D59" s="204"/>
      <c r="E59" s="203" t="s">
        <v>6</v>
      </c>
      <c r="F59" s="204"/>
      <c r="G59" s="204"/>
      <c r="H59" s="42"/>
      <c r="I59" s="43"/>
      <c r="J59" s="44"/>
      <c r="K59" s="44"/>
      <c r="L59" s="44"/>
      <c r="M59" s="44"/>
      <c r="N59" s="9"/>
      <c r="O59" s="209" t="s">
        <v>20</v>
      </c>
      <c r="P59" s="204"/>
      <c r="Q59" s="205" t="s">
        <v>7</v>
      </c>
      <c r="R59" s="204"/>
      <c r="S59" s="204"/>
      <c r="T59" s="45"/>
      <c r="U59" s="46"/>
      <c r="V59" s="2"/>
      <c r="W59" s="39"/>
      <c r="X59" s="40"/>
      <c r="Y59" s="41"/>
      <c r="Z59" s="210"/>
      <c r="AA59" s="194"/>
      <c r="AB59" s="41"/>
      <c r="AC59" s="10"/>
      <c r="AD59" s="41"/>
      <c r="AE59" s="210"/>
      <c r="AF59" s="194"/>
      <c r="AG59" s="210"/>
      <c r="AH59" s="194"/>
      <c r="AI59" s="47"/>
      <c r="AJ59" s="10"/>
      <c r="AK59" s="41"/>
      <c r="AL59" s="41"/>
    </row>
    <row r="60" spans="1:38" ht="15.6">
      <c r="A60" s="1"/>
      <c r="B60" s="43"/>
      <c r="C60" s="223" t="s">
        <v>2</v>
      </c>
      <c r="D60" s="193"/>
      <c r="E60" s="224">
        <v>39</v>
      </c>
      <c r="F60" s="204"/>
      <c r="G60" s="204"/>
      <c r="H60" s="48"/>
      <c r="I60" s="43"/>
      <c r="J60" s="49"/>
      <c r="K60" s="49"/>
      <c r="L60" s="49"/>
      <c r="M60" s="49"/>
      <c r="N60" s="9"/>
      <c r="O60" s="211" t="s">
        <v>2</v>
      </c>
      <c r="P60" s="193"/>
      <c r="Q60" s="212">
        <v>26</v>
      </c>
      <c r="R60" s="204"/>
      <c r="S60" s="204"/>
      <c r="T60" s="50"/>
      <c r="U60" s="46"/>
      <c r="V60" s="2"/>
      <c r="W60" s="47"/>
      <c r="X60" s="51"/>
      <c r="Y60" s="41"/>
      <c r="Z60" s="210"/>
      <c r="AA60" s="194"/>
      <c r="AB60" s="10"/>
      <c r="AC60" s="10"/>
      <c r="AD60" s="41"/>
      <c r="AE60" s="210"/>
      <c r="AF60" s="194"/>
      <c r="AG60" s="210"/>
      <c r="AH60" s="194"/>
      <c r="AI60" s="47"/>
      <c r="AJ60" s="10"/>
      <c r="AK60" s="41"/>
      <c r="AL60" s="41"/>
    </row>
    <row r="61" spans="1:38" ht="13.2">
      <c r="A61" s="1"/>
      <c r="B61" s="52"/>
      <c r="C61" s="53" t="s">
        <v>495</v>
      </c>
      <c r="D61" s="213" t="s">
        <v>6</v>
      </c>
      <c r="E61" s="193"/>
      <c r="F61" s="54" t="s">
        <v>21</v>
      </c>
      <c r="G61" s="55" t="s">
        <v>496</v>
      </c>
      <c r="H61" s="55"/>
      <c r="I61" s="56"/>
      <c r="J61" s="11"/>
      <c r="K61" s="11"/>
      <c r="L61" s="11"/>
      <c r="M61" s="57"/>
      <c r="N61" s="56"/>
      <c r="O61" s="53" t="s">
        <v>495</v>
      </c>
      <c r="P61" s="213" t="s">
        <v>7</v>
      </c>
      <c r="Q61" s="193"/>
      <c r="R61" s="54" t="s">
        <v>21</v>
      </c>
      <c r="S61" s="55" t="s">
        <v>496</v>
      </c>
      <c r="T61" s="55"/>
      <c r="U61" s="56"/>
      <c r="V61" s="2"/>
      <c r="W61" s="39" t="s">
        <v>495</v>
      </c>
      <c r="X61" s="58" t="s">
        <v>497</v>
      </c>
      <c r="Y61" s="41" t="s">
        <v>496</v>
      </c>
      <c r="Z61" s="41" t="s">
        <v>21</v>
      </c>
      <c r="AA61" s="41"/>
      <c r="AB61" s="58"/>
      <c r="AC61" s="58"/>
      <c r="AD61" s="41"/>
      <c r="AE61" s="41"/>
      <c r="AF61" s="41"/>
      <c r="AG61" s="41"/>
      <c r="AH61" s="41"/>
      <c r="AI61" s="39"/>
      <c r="AJ61" s="58" t="s">
        <v>497</v>
      </c>
      <c r="AK61" s="41" t="s">
        <v>496</v>
      </c>
      <c r="AL61" s="41" t="s">
        <v>21</v>
      </c>
    </row>
    <row r="62" spans="1:38" ht="13.2">
      <c r="A62" s="1"/>
      <c r="B62" s="59"/>
      <c r="C62" s="60">
        <v>1</v>
      </c>
      <c r="D62" s="206" t="s">
        <v>168</v>
      </c>
      <c r="E62" s="201"/>
      <c r="F62" s="61">
        <v>47.9</v>
      </c>
      <c r="G62" s="60" t="s">
        <v>37</v>
      </c>
      <c r="H62" s="60"/>
      <c r="I62" s="62"/>
      <c r="J62" s="11"/>
      <c r="K62" s="11"/>
      <c r="L62" s="11"/>
      <c r="M62" s="11"/>
      <c r="N62" s="59"/>
      <c r="O62" s="60">
        <v>1</v>
      </c>
      <c r="P62" s="206" t="s">
        <v>133</v>
      </c>
      <c r="Q62" s="202"/>
      <c r="R62" s="61">
        <v>53.3</v>
      </c>
      <c r="S62" s="60" t="s">
        <v>134</v>
      </c>
      <c r="T62" s="60"/>
      <c r="U62" s="62"/>
      <c r="V62" s="2"/>
      <c r="W62" s="63">
        <v>1</v>
      </c>
      <c r="X62" s="64" t="s">
        <v>168</v>
      </c>
      <c r="Y62" s="20" t="s">
        <v>37</v>
      </c>
      <c r="Z62" s="20">
        <v>47.9</v>
      </c>
      <c r="AA62" s="20"/>
      <c r="AB62" s="64"/>
      <c r="AC62" s="64"/>
      <c r="AD62" s="20"/>
      <c r="AE62" s="20"/>
      <c r="AF62" s="20"/>
      <c r="AG62" s="65"/>
      <c r="AH62" s="66"/>
      <c r="AI62" s="40"/>
      <c r="AJ62" s="64" t="s">
        <v>133</v>
      </c>
      <c r="AK62" s="20" t="s">
        <v>134</v>
      </c>
      <c r="AL62" s="20">
        <v>53.3</v>
      </c>
    </row>
    <row r="63" spans="1:38" ht="13.2">
      <c r="A63" s="1"/>
      <c r="B63" s="59"/>
      <c r="C63" s="60">
        <v>2</v>
      </c>
      <c r="D63" s="206" t="s">
        <v>139</v>
      </c>
      <c r="E63" s="201"/>
      <c r="F63" s="61">
        <v>44.45</v>
      </c>
      <c r="G63" s="60" t="s">
        <v>65</v>
      </c>
      <c r="H63" s="60"/>
      <c r="I63" s="62"/>
      <c r="J63" s="11"/>
      <c r="K63" s="11"/>
      <c r="L63" s="11"/>
      <c r="M63" s="11"/>
      <c r="N63" s="59"/>
      <c r="O63" s="60">
        <v>2</v>
      </c>
      <c r="P63" s="206" t="s">
        <v>145</v>
      </c>
      <c r="Q63" s="201"/>
      <c r="R63" s="61">
        <v>50.25</v>
      </c>
      <c r="S63" s="60" t="s">
        <v>44</v>
      </c>
      <c r="T63" s="60"/>
      <c r="U63" s="62"/>
      <c r="V63" s="2"/>
      <c r="W63" s="63">
        <v>2</v>
      </c>
      <c r="X63" s="64" t="s">
        <v>139</v>
      </c>
      <c r="Y63" s="20" t="s">
        <v>65</v>
      </c>
      <c r="Z63" s="20">
        <v>44.45</v>
      </c>
      <c r="AA63" s="20"/>
      <c r="AB63" s="10"/>
      <c r="AC63" s="10"/>
      <c r="AD63" s="20"/>
      <c r="AE63" s="20"/>
      <c r="AF63" s="20"/>
      <c r="AG63" s="65"/>
      <c r="AH63" s="66"/>
      <c r="AI63" s="40"/>
      <c r="AJ63" s="10" t="s">
        <v>145</v>
      </c>
      <c r="AK63" s="20" t="s">
        <v>44</v>
      </c>
      <c r="AL63" s="20">
        <v>50.25</v>
      </c>
    </row>
    <row r="64" spans="1:38" ht="13.2">
      <c r="A64" s="1"/>
      <c r="B64" s="59"/>
      <c r="C64" s="60">
        <v>3</v>
      </c>
      <c r="D64" s="206" t="s">
        <v>111</v>
      </c>
      <c r="E64" s="201"/>
      <c r="F64" s="61">
        <v>41</v>
      </c>
      <c r="G64" s="60" t="s">
        <v>79</v>
      </c>
      <c r="H64" s="60"/>
      <c r="I64" s="62"/>
      <c r="J64" s="11"/>
      <c r="K64" s="11"/>
      <c r="L64" s="11"/>
      <c r="M64" s="11"/>
      <c r="N64" s="59"/>
      <c r="O64" s="60">
        <v>3</v>
      </c>
      <c r="P64" s="206" t="s">
        <v>156</v>
      </c>
      <c r="Q64" s="201"/>
      <c r="R64" s="61">
        <v>46.45</v>
      </c>
      <c r="S64" s="60" t="s">
        <v>68</v>
      </c>
      <c r="T64" s="60"/>
      <c r="U64" s="62"/>
      <c r="V64" s="2"/>
      <c r="W64" s="63">
        <v>3</v>
      </c>
      <c r="X64" s="64" t="s">
        <v>111</v>
      </c>
      <c r="Y64" s="20" t="s">
        <v>79</v>
      </c>
      <c r="Z64" s="20">
        <v>41</v>
      </c>
      <c r="AA64" s="20"/>
      <c r="AB64" s="10"/>
      <c r="AC64" s="10"/>
      <c r="AD64" s="20"/>
      <c r="AE64" s="20"/>
      <c r="AF64" s="20"/>
      <c r="AG64" s="65"/>
      <c r="AH64" s="66"/>
      <c r="AI64" s="40"/>
      <c r="AJ64" s="10" t="s">
        <v>156</v>
      </c>
      <c r="AK64" s="20" t="s">
        <v>68</v>
      </c>
      <c r="AL64" s="20">
        <v>46.45</v>
      </c>
    </row>
    <row r="65" spans="1:38" ht="13.2">
      <c r="A65" s="1"/>
      <c r="B65" s="59"/>
      <c r="C65" s="60">
        <v>4</v>
      </c>
      <c r="D65" s="206" t="s">
        <v>124</v>
      </c>
      <c r="E65" s="201"/>
      <c r="F65" s="61">
        <v>38.6</v>
      </c>
      <c r="G65" s="60" t="s">
        <v>76</v>
      </c>
      <c r="H65" s="60"/>
      <c r="I65" s="62"/>
      <c r="J65" s="11"/>
      <c r="K65" s="11"/>
      <c r="L65" s="11"/>
      <c r="M65" s="11"/>
      <c r="N65" s="59"/>
      <c r="O65" s="60">
        <v>4</v>
      </c>
      <c r="P65" s="206" t="s">
        <v>120</v>
      </c>
      <c r="Q65" s="201"/>
      <c r="R65" s="61">
        <v>46.3</v>
      </c>
      <c r="S65" s="60" t="s">
        <v>68</v>
      </c>
      <c r="T65" s="60"/>
      <c r="U65" s="62"/>
      <c r="V65" s="2"/>
      <c r="W65" s="63">
        <v>4</v>
      </c>
      <c r="X65" s="64" t="s">
        <v>124</v>
      </c>
      <c r="Y65" s="20" t="s">
        <v>76</v>
      </c>
      <c r="Z65" s="20">
        <v>38.6</v>
      </c>
      <c r="AA65" s="20"/>
      <c r="AB65" s="10"/>
      <c r="AC65" s="10"/>
      <c r="AD65" s="20"/>
      <c r="AE65" s="20"/>
      <c r="AF65" s="20"/>
      <c r="AG65" s="65"/>
      <c r="AH65" s="66"/>
      <c r="AI65" s="40"/>
      <c r="AJ65" s="10" t="s">
        <v>120</v>
      </c>
      <c r="AK65" s="20" t="s">
        <v>68</v>
      </c>
      <c r="AL65" s="20">
        <v>46.3</v>
      </c>
    </row>
    <row r="66" spans="1:38" ht="13.2">
      <c r="A66" s="1"/>
      <c r="B66" s="59"/>
      <c r="C66" s="60">
        <v>5</v>
      </c>
      <c r="D66" s="206" t="s">
        <v>169</v>
      </c>
      <c r="E66" s="201"/>
      <c r="F66" s="61">
        <v>37.6</v>
      </c>
      <c r="G66" s="60" t="s">
        <v>97</v>
      </c>
      <c r="H66" s="60"/>
      <c r="I66" s="62"/>
      <c r="J66" s="11"/>
      <c r="K66" s="11"/>
      <c r="L66" s="11"/>
      <c r="M66" s="11"/>
      <c r="N66" s="59"/>
      <c r="O66" s="60">
        <v>5</v>
      </c>
      <c r="P66" s="206" t="s">
        <v>154</v>
      </c>
      <c r="Q66" s="201"/>
      <c r="R66" s="61">
        <v>43.2</v>
      </c>
      <c r="S66" s="60" t="s">
        <v>50</v>
      </c>
      <c r="T66" s="60"/>
      <c r="U66" s="62"/>
      <c r="V66" s="2"/>
      <c r="W66" s="63">
        <v>5</v>
      </c>
      <c r="X66" s="64" t="s">
        <v>169</v>
      </c>
      <c r="Y66" s="20" t="s">
        <v>97</v>
      </c>
      <c r="Z66" s="20">
        <v>37.6</v>
      </c>
      <c r="AA66" s="20"/>
      <c r="AB66" s="10"/>
      <c r="AC66" s="10"/>
      <c r="AD66" s="20"/>
      <c r="AE66" s="20"/>
      <c r="AF66" s="20"/>
      <c r="AG66" s="65"/>
      <c r="AH66" s="66"/>
      <c r="AI66" s="40"/>
      <c r="AJ66" s="10" t="s">
        <v>154</v>
      </c>
      <c r="AK66" s="20" t="s">
        <v>50</v>
      </c>
      <c r="AL66" s="20">
        <v>43.2</v>
      </c>
    </row>
    <row r="67" spans="1:38" ht="13.2">
      <c r="A67" s="1"/>
      <c r="B67" s="59"/>
      <c r="C67" s="60">
        <v>6</v>
      </c>
      <c r="D67" s="206" t="s">
        <v>160</v>
      </c>
      <c r="E67" s="201"/>
      <c r="F67" s="61">
        <v>36.5</v>
      </c>
      <c r="G67" s="60" t="s">
        <v>76</v>
      </c>
      <c r="H67" s="60"/>
      <c r="I67" s="62"/>
      <c r="J67" s="11"/>
      <c r="K67" s="11"/>
      <c r="L67" s="11"/>
      <c r="M67" s="11"/>
      <c r="N67" s="59"/>
      <c r="O67" s="60">
        <v>6</v>
      </c>
      <c r="P67" s="206" t="s">
        <v>122</v>
      </c>
      <c r="Q67" s="201"/>
      <c r="R67" s="61">
        <v>42.35</v>
      </c>
      <c r="S67" s="60" t="s">
        <v>76</v>
      </c>
      <c r="T67" s="60"/>
      <c r="U67" s="62"/>
      <c r="V67" s="2"/>
      <c r="W67" s="63">
        <v>6</v>
      </c>
      <c r="X67" s="64" t="s">
        <v>160</v>
      </c>
      <c r="Y67" s="20" t="s">
        <v>76</v>
      </c>
      <c r="Z67" s="20">
        <v>36.5</v>
      </c>
      <c r="AA67" s="20"/>
      <c r="AB67" s="10"/>
      <c r="AC67" s="10"/>
      <c r="AD67" s="20"/>
      <c r="AE67" s="20"/>
      <c r="AF67" s="20"/>
      <c r="AG67" s="65"/>
      <c r="AH67" s="66"/>
      <c r="AI67" s="40"/>
      <c r="AJ67" s="10" t="s">
        <v>122</v>
      </c>
      <c r="AK67" s="20" t="s">
        <v>76</v>
      </c>
      <c r="AL67" s="20">
        <v>42.35</v>
      </c>
    </row>
    <row r="68" spans="1:38" ht="13.2">
      <c r="A68" s="1"/>
      <c r="B68" s="59"/>
      <c r="C68" s="60">
        <v>7</v>
      </c>
      <c r="D68" s="206" t="s">
        <v>155</v>
      </c>
      <c r="E68" s="201"/>
      <c r="F68" s="61">
        <v>36.25</v>
      </c>
      <c r="G68" s="60" t="s">
        <v>79</v>
      </c>
      <c r="H68" s="60"/>
      <c r="I68" s="62"/>
      <c r="J68" s="11"/>
      <c r="K68" s="11"/>
      <c r="L68" s="11"/>
      <c r="M68" s="11"/>
      <c r="N68" s="59"/>
      <c r="O68" s="60">
        <v>7</v>
      </c>
      <c r="P68" s="206" t="s">
        <v>161</v>
      </c>
      <c r="Q68" s="201"/>
      <c r="R68" s="61">
        <v>42.25</v>
      </c>
      <c r="S68" s="60" t="s">
        <v>55</v>
      </c>
      <c r="T68" s="60"/>
      <c r="U68" s="62"/>
      <c r="V68" s="2"/>
      <c r="W68" s="63">
        <v>7</v>
      </c>
      <c r="X68" s="64" t="s">
        <v>155</v>
      </c>
      <c r="Y68" s="20" t="s">
        <v>79</v>
      </c>
      <c r="Z68" s="20">
        <v>36.25</v>
      </c>
      <c r="AA68" s="20"/>
      <c r="AB68" s="10"/>
      <c r="AC68" s="10"/>
      <c r="AD68" s="20"/>
      <c r="AE68" s="20"/>
      <c r="AF68" s="20"/>
      <c r="AG68" s="65"/>
      <c r="AH68" s="66"/>
      <c r="AI68" s="40"/>
      <c r="AJ68" s="10" t="s">
        <v>161</v>
      </c>
      <c r="AK68" s="20" t="s">
        <v>55</v>
      </c>
      <c r="AL68" s="20">
        <v>42.25</v>
      </c>
    </row>
    <row r="69" spans="1:38" ht="13.2">
      <c r="A69" s="1"/>
      <c r="B69" s="59"/>
      <c r="C69" s="60">
        <v>8</v>
      </c>
      <c r="D69" s="206" t="s">
        <v>136</v>
      </c>
      <c r="E69" s="201"/>
      <c r="F69" s="61">
        <v>35.6</v>
      </c>
      <c r="G69" s="60" t="s">
        <v>138</v>
      </c>
      <c r="H69" s="60"/>
      <c r="I69" s="62"/>
      <c r="J69" s="11"/>
      <c r="K69" s="11"/>
      <c r="L69" s="11"/>
      <c r="M69" s="11"/>
      <c r="N69" s="59"/>
      <c r="O69" s="60">
        <v>8</v>
      </c>
      <c r="P69" s="206" t="s">
        <v>158</v>
      </c>
      <c r="Q69" s="201"/>
      <c r="R69" s="61">
        <v>31.05</v>
      </c>
      <c r="S69" s="60" t="s">
        <v>54</v>
      </c>
      <c r="T69" s="60"/>
      <c r="U69" s="62"/>
      <c r="V69" s="2"/>
      <c r="W69" s="63">
        <v>8</v>
      </c>
      <c r="X69" s="64" t="s">
        <v>136</v>
      </c>
      <c r="Y69" s="20" t="s">
        <v>138</v>
      </c>
      <c r="Z69" s="20">
        <v>35.6</v>
      </c>
      <c r="AA69" s="20"/>
      <c r="AB69" s="10"/>
      <c r="AC69" s="10"/>
      <c r="AD69" s="20"/>
      <c r="AE69" s="20"/>
      <c r="AF69" s="20"/>
      <c r="AG69" s="65"/>
      <c r="AH69" s="66"/>
      <c r="AI69" s="40"/>
      <c r="AJ69" s="10" t="s">
        <v>158</v>
      </c>
      <c r="AK69" s="20" t="s">
        <v>54</v>
      </c>
      <c r="AL69" s="20">
        <v>31.05</v>
      </c>
    </row>
    <row r="70" spans="1:38" ht="13.2">
      <c r="A70" s="1"/>
      <c r="B70" s="59"/>
      <c r="C70" s="60">
        <v>9</v>
      </c>
      <c r="D70" s="206" t="s">
        <v>151</v>
      </c>
      <c r="E70" s="201"/>
      <c r="F70" s="61">
        <v>34.450000000000003</v>
      </c>
      <c r="G70" s="60" t="s">
        <v>40</v>
      </c>
      <c r="H70" s="60"/>
      <c r="I70" s="62"/>
      <c r="J70" s="11"/>
      <c r="K70" s="11"/>
      <c r="L70" s="11"/>
      <c r="M70" s="11"/>
      <c r="N70" s="59"/>
      <c r="O70" s="60">
        <v>9</v>
      </c>
      <c r="P70" s="206" t="s">
        <v>141</v>
      </c>
      <c r="Q70" s="201"/>
      <c r="R70" s="61">
        <v>30.4</v>
      </c>
      <c r="S70" s="60" t="s">
        <v>76</v>
      </c>
      <c r="T70" s="60"/>
      <c r="U70" s="62"/>
      <c r="V70" s="2"/>
      <c r="W70" s="63">
        <v>9</v>
      </c>
      <c r="X70" s="64" t="s">
        <v>151</v>
      </c>
      <c r="Y70" s="20" t="s">
        <v>40</v>
      </c>
      <c r="Z70" s="20">
        <v>34.450000000000003</v>
      </c>
      <c r="AA70" s="20"/>
      <c r="AB70" s="10"/>
      <c r="AC70" s="10"/>
      <c r="AD70" s="20"/>
      <c r="AE70" s="20"/>
      <c r="AF70" s="20"/>
      <c r="AG70" s="65"/>
      <c r="AH70" s="66"/>
      <c r="AI70" s="40"/>
      <c r="AJ70" s="10" t="s">
        <v>141</v>
      </c>
      <c r="AK70" s="20" t="s">
        <v>76</v>
      </c>
      <c r="AL70" s="20">
        <v>30.4</v>
      </c>
    </row>
    <row r="71" spans="1:38" ht="13.2">
      <c r="A71" s="1"/>
      <c r="B71" s="59"/>
      <c r="C71" s="60">
        <v>10</v>
      </c>
      <c r="D71" s="206" t="s">
        <v>142</v>
      </c>
      <c r="E71" s="201"/>
      <c r="F71" s="61">
        <v>33.799999999999997</v>
      </c>
      <c r="G71" s="60" t="s">
        <v>79</v>
      </c>
      <c r="H71" s="60"/>
      <c r="I71" s="62"/>
      <c r="J71" s="11"/>
      <c r="K71" s="11"/>
      <c r="L71" s="11"/>
      <c r="M71" s="11"/>
      <c r="N71" s="59"/>
      <c r="O71" s="60">
        <v>10</v>
      </c>
      <c r="P71" s="206" t="s">
        <v>102</v>
      </c>
      <c r="Q71" s="201"/>
      <c r="R71" s="61">
        <v>29.6</v>
      </c>
      <c r="S71" s="60" t="s">
        <v>44</v>
      </c>
      <c r="T71" s="60"/>
      <c r="U71" s="62"/>
      <c r="V71" s="2"/>
      <c r="W71" s="63">
        <v>10</v>
      </c>
      <c r="X71" s="64" t="s">
        <v>142</v>
      </c>
      <c r="Y71" s="20" t="s">
        <v>79</v>
      </c>
      <c r="Z71" s="20">
        <v>33.799999999999997</v>
      </c>
      <c r="AA71" s="20"/>
      <c r="AB71" s="10"/>
      <c r="AC71" s="10"/>
      <c r="AD71" s="20"/>
      <c r="AE71" s="20"/>
      <c r="AF71" s="20"/>
      <c r="AG71" s="65"/>
      <c r="AH71" s="66"/>
      <c r="AI71" s="40"/>
      <c r="AJ71" s="10" t="s">
        <v>102</v>
      </c>
      <c r="AK71" s="20" t="s">
        <v>44</v>
      </c>
      <c r="AL71" s="20">
        <v>29.6</v>
      </c>
    </row>
    <row r="72" spans="1:38" ht="13.2">
      <c r="A72" s="1"/>
      <c r="B72" s="59"/>
      <c r="C72" s="60">
        <v>11</v>
      </c>
      <c r="D72" s="206" t="s">
        <v>144</v>
      </c>
      <c r="E72" s="201"/>
      <c r="F72" s="61">
        <v>33.5</v>
      </c>
      <c r="G72" s="60" t="s">
        <v>79</v>
      </c>
      <c r="H72" s="60"/>
      <c r="I72" s="62"/>
      <c r="J72" s="11"/>
      <c r="K72" s="11"/>
      <c r="L72" s="11"/>
      <c r="M72" s="11"/>
      <c r="N72" s="59"/>
      <c r="O72" s="60">
        <v>11</v>
      </c>
      <c r="P72" s="206" t="s">
        <v>112</v>
      </c>
      <c r="Q72" s="201"/>
      <c r="R72" s="61">
        <v>29.15</v>
      </c>
      <c r="S72" s="60" t="s">
        <v>52</v>
      </c>
      <c r="T72" s="60"/>
      <c r="U72" s="62"/>
      <c r="V72" s="2"/>
      <c r="W72" s="63">
        <v>11</v>
      </c>
      <c r="X72" s="64" t="s">
        <v>144</v>
      </c>
      <c r="Y72" s="20" t="s">
        <v>79</v>
      </c>
      <c r="Z72" s="20">
        <v>33.5</v>
      </c>
      <c r="AA72" s="20"/>
      <c r="AB72" s="10"/>
      <c r="AC72" s="10"/>
      <c r="AD72" s="20"/>
      <c r="AE72" s="20"/>
      <c r="AF72" s="20"/>
      <c r="AG72" s="65"/>
      <c r="AH72" s="66"/>
      <c r="AI72" s="40"/>
      <c r="AJ72" s="10" t="s">
        <v>112</v>
      </c>
      <c r="AK72" s="20" t="s">
        <v>52</v>
      </c>
      <c r="AL72" s="20">
        <v>29.15</v>
      </c>
    </row>
    <row r="73" spans="1:38" ht="13.2">
      <c r="A73" s="1"/>
      <c r="B73" s="59"/>
      <c r="C73" s="60">
        <v>12</v>
      </c>
      <c r="D73" s="206" t="s">
        <v>162</v>
      </c>
      <c r="E73" s="201"/>
      <c r="F73" s="61">
        <v>33.35</v>
      </c>
      <c r="G73" s="60" t="s">
        <v>35</v>
      </c>
      <c r="H73" s="60"/>
      <c r="I73" s="62"/>
      <c r="J73" s="11"/>
      <c r="K73" s="11"/>
      <c r="L73" s="11"/>
      <c r="M73" s="11"/>
      <c r="N73" s="59"/>
      <c r="O73" s="60">
        <v>12</v>
      </c>
      <c r="P73" s="206" t="s">
        <v>149</v>
      </c>
      <c r="Q73" s="201"/>
      <c r="R73" s="61">
        <v>28.1</v>
      </c>
      <c r="S73" s="60" t="s">
        <v>37</v>
      </c>
      <c r="T73" s="60"/>
      <c r="U73" s="62"/>
      <c r="V73" s="2"/>
      <c r="W73" s="63">
        <v>12</v>
      </c>
      <c r="X73" s="64" t="s">
        <v>162</v>
      </c>
      <c r="Y73" s="20" t="s">
        <v>35</v>
      </c>
      <c r="Z73" s="20">
        <v>33.35</v>
      </c>
      <c r="AA73" s="20"/>
      <c r="AB73" s="10"/>
      <c r="AC73" s="10"/>
      <c r="AD73" s="20"/>
      <c r="AE73" s="20"/>
      <c r="AF73" s="20"/>
      <c r="AG73" s="65"/>
      <c r="AH73" s="66"/>
      <c r="AI73" s="40"/>
      <c r="AJ73" s="10" t="s">
        <v>149</v>
      </c>
      <c r="AK73" s="20" t="s">
        <v>37</v>
      </c>
      <c r="AL73" s="20">
        <v>28.1</v>
      </c>
    </row>
    <row r="74" spans="1:38" ht="13.2">
      <c r="A74" s="1"/>
      <c r="B74" s="59"/>
      <c r="C74" s="60" t="s">
        <v>501</v>
      </c>
      <c r="D74" s="206" t="s">
        <v>165</v>
      </c>
      <c r="E74" s="201"/>
      <c r="F74" s="61">
        <v>31.25</v>
      </c>
      <c r="G74" s="60" t="s">
        <v>40</v>
      </c>
      <c r="H74" s="60"/>
      <c r="I74" s="62"/>
      <c r="J74" s="11"/>
      <c r="K74" s="11"/>
      <c r="L74" s="11"/>
      <c r="M74" s="11"/>
      <c r="N74" s="59"/>
      <c r="O74" s="60">
        <v>13</v>
      </c>
      <c r="P74" s="206" t="s">
        <v>131</v>
      </c>
      <c r="Q74" s="201"/>
      <c r="R74" s="61">
        <v>27.2</v>
      </c>
      <c r="S74" s="60" t="s">
        <v>54</v>
      </c>
      <c r="T74" s="60"/>
      <c r="U74" s="62"/>
      <c r="V74" s="2"/>
      <c r="W74" s="63">
        <v>13</v>
      </c>
      <c r="X74" s="64" t="s">
        <v>165</v>
      </c>
      <c r="Y74" s="20" t="s">
        <v>40</v>
      </c>
      <c r="Z74" s="20">
        <v>31.25</v>
      </c>
      <c r="AA74" s="20"/>
      <c r="AB74" s="10"/>
      <c r="AC74" s="10"/>
      <c r="AD74" s="20"/>
      <c r="AE74" s="20"/>
      <c r="AF74" s="20"/>
      <c r="AG74" s="65"/>
      <c r="AH74" s="66"/>
      <c r="AI74" s="40"/>
      <c r="AJ74" s="10" t="s">
        <v>131</v>
      </c>
      <c r="AK74" s="20" t="s">
        <v>54</v>
      </c>
      <c r="AL74" s="20">
        <v>27.2</v>
      </c>
    </row>
    <row r="75" spans="1:38" ht="13.2">
      <c r="A75" s="1"/>
      <c r="B75" s="59"/>
      <c r="C75" s="60" t="s">
        <v>501</v>
      </c>
      <c r="D75" s="206" t="s">
        <v>167</v>
      </c>
      <c r="E75" s="201"/>
      <c r="F75" s="61">
        <v>31.25</v>
      </c>
      <c r="G75" s="60" t="s">
        <v>79</v>
      </c>
      <c r="H75" s="60"/>
      <c r="I75" s="62"/>
      <c r="J75" s="11"/>
      <c r="K75" s="11"/>
      <c r="L75" s="11"/>
      <c r="M75" s="11"/>
      <c r="N75" s="59"/>
      <c r="O75" s="60">
        <v>14</v>
      </c>
      <c r="P75" s="206" t="s">
        <v>123</v>
      </c>
      <c r="Q75" s="201"/>
      <c r="R75" s="61">
        <v>25.8</v>
      </c>
      <c r="S75" s="60" t="s">
        <v>40</v>
      </c>
      <c r="T75" s="60"/>
      <c r="U75" s="62"/>
      <c r="V75" s="2"/>
      <c r="W75" s="63">
        <v>14</v>
      </c>
      <c r="X75" s="64" t="s">
        <v>167</v>
      </c>
      <c r="Y75" s="20" t="s">
        <v>79</v>
      </c>
      <c r="Z75" s="20">
        <v>31.25</v>
      </c>
      <c r="AA75" s="20"/>
      <c r="AB75" s="10"/>
      <c r="AC75" s="10"/>
      <c r="AD75" s="20"/>
      <c r="AE75" s="20"/>
      <c r="AF75" s="20"/>
      <c r="AG75" s="65"/>
      <c r="AH75" s="66"/>
      <c r="AI75" s="40"/>
      <c r="AJ75" s="10" t="s">
        <v>123</v>
      </c>
      <c r="AK75" s="20" t="s">
        <v>40</v>
      </c>
      <c r="AL75" s="20">
        <v>25.8</v>
      </c>
    </row>
    <row r="76" spans="1:38" ht="13.2">
      <c r="A76" s="1"/>
      <c r="B76" s="59"/>
      <c r="C76" s="60">
        <v>15</v>
      </c>
      <c r="D76" s="206" t="s">
        <v>135</v>
      </c>
      <c r="E76" s="201"/>
      <c r="F76" s="61">
        <v>30.75</v>
      </c>
      <c r="G76" s="60" t="s">
        <v>26</v>
      </c>
      <c r="H76" s="60"/>
      <c r="I76" s="62"/>
      <c r="J76" s="11"/>
      <c r="K76" s="11"/>
      <c r="L76" s="11"/>
      <c r="M76" s="11"/>
      <c r="N76" s="59"/>
      <c r="O76" s="60">
        <v>15</v>
      </c>
      <c r="P76" s="206" t="s">
        <v>128</v>
      </c>
      <c r="Q76" s="201"/>
      <c r="R76" s="61">
        <v>24.4</v>
      </c>
      <c r="S76" s="60" t="s">
        <v>129</v>
      </c>
      <c r="T76" s="60"/>
      <c r="U76" s="62"/>
      <c r="V76" s="2"/>
      <c r="W76" s="63">
        <v>15</v>
      </c>
      <c r="X76" s="64" t="s">
        <v>135</v>
      </c>
      <c r="Y76" s="20" t="s">
        <v>26</v>
      </c>
      <c r="Z76" s="20">
        <v>30.75</v>
      </c>
      <c r="AA76" s="20"/>
      <c r="AB76" s="10"/>
      <c r="AC76" s="10"/>
      <c r="AD76" s="20"/>
      <c r="AE76" s="20"/>
      <c r="AF76" s="20"/>
      <c r="AG76" s="65"/>
      <c r="AH76" s="66"/>
      <c r="AI76" s="40"/>
      <c r="AJ76" s="10" t="s">
        <v>128</v>
      </c>
      <c r="AK76" s="20" t="s">
        <v>129</v>
      </c>
      <c r="AL76" s="20">
        <v>24.4</v>
      </c>
    </row>
    <row r="77" spans="1:38" ht="13.2">
      <c r="A77" s="1"/>
      <c r="B77" s="59"/>
      <c r="C77" s="60">
        <v>16</v>
      </c>
      <c r="D77" s="206" t="s">
        <v>166</v>
      </c>
      <c r="E77" s="201"/>
      <c r="F77" s="61">
        <v>30.65</v>
      </c>
      <c r="G77" s="60" t="s">
        <v>32</v>
      </c>
      <c r="H77" s="60"/>
      <c r="I77" s="62"/>
      <c r="J77" s="11"/>
      <c r="K77" s="11"/>
      <c r="L77" s="11"/>
      <c r="M77" s="11"/>
      <c r="N77" s="59"/>
      <c r="O77" s="60">
        <v>16</v>
      </c>
      <c r="P77" s="206" t="s">
        <v>163</v>
      </c>
      <c r="Q77" s="201"/>
      <c r="R77" s="61">
        <v>24</v>
      </c>
      <c r="S77" s="60" t="s">
        <v>138</v>
      </c>
      <c r="T77" s="60"/>
      <c r="U77" s="62"/>
      <c r="V77" s="2"/>
      <c r="W77" s="63">
        <v>16</v>
      </c>
      <c r="X77" s="64" t="s">
        <v>166</v>
      </c>
      <c r="Y77" s="20" t="s">
        <v>32</v>
      </c>
      <c r="Z77" s="20">
        <v>30.65</v>
      </c>
      <c r="AA77" s="20"/>
      <c r="AB77" s="10"/>
      <c r="AC77" s="10"/>
      <c r="AD77" s="20"/>
      <c r="AE77" s="20"/>
      <c r="AF77" s="20"/>
      <c r="AG77" s="65"/>
      <c r="AH77" s="66"/>
      <c r="AI77" s="40"/>
      <c r="AJ77" s="10" t="s">
        <v>163</v>
      </c>
      <c r="AK77" s="20" t="s">
        <v>138</v>
      </c>
      <c r="AL77" s="20">
        <v>24</v>
      </c>
    </row>
    <row r="78" spans="1:38" ht="13.2">
      <c r="A78" s="1"/>
      <c r="B78" s="59"/>
      <c r="C78" s="60">
        <v>17</v>
      </c>
      <c r="D78" s="206" t="s">
        <v>150</v>
      </c>
      <c r="E78" s="201"/>
      <c r="F78" s="61">
        <v>30.2</v>
      </c>
      <c r="G78" s="60" t="s">
        <v>79</v>
      </c>
      <c r="H78" s="60"/>
      <c r="I78" s="62"/>
      <c r="J78" s="11"/>
      <c r="K78" s="11"/>
      <c r="L78" s="11"/>
      <c r="M78" s="11"/>
      <c r="N78" s="59"/>
      <c r="O78" s="60">
        <v>17</v>
      </c>
      <c r="P78" s="206" t="s">
        <v>143</v>
      </c>
      <c r="Q78" s="201"/>
      <c r="R78" s="61">
        <v>22.9</v>
      </c>
      <c r="S78" s="60" t="s">
        <v>32</v>
      </c>
      <c r="T78" s="60"/>
      <c r="U78" s="62"/>
      <c r="V78" s="2"/>
      <c r="W78" s="63">
        <v>17</v>
      </c>
      <c r="X78" s="64" t="s">
        <v>150</v>
      </c>
      <c r="Y78" s="20" t="s">
        <v>79</v>
      </c>
      <c r="Z78" s="20">
        <v>30.2</v>
      </c>
      <c r="AA78" s="20"/>
      <c r="AB78" s="10"/>
      <c r="AC78" s="10"/>
      <c r="AD78" s="20"/>
      <c r="AE78" s="20"/>
      <c r="AF78" s="20"/>
      <c r="AG78" s="65"/>
      <c r="AH78" s="66"/>
      <c r="AI78" s="40"/>
      <c r="AJ78" s="10" t="s">
        <v>143</v>
      </c>
      <c r="AK78" s="20" t="s">
        <v>32</v>
      </c>
      <c r="AL78" s="20">
        <v>22.9</v>
      </c>
    </row>
    <row r="79" spans="1:38" ht="13.2">
      <c r="A79" s="1"/>
      <c r="B79" s="59"/>
      <c r="C79" s="60">
        <v>18</v>
      </c>
      <c r="D79" s="206" t="s">
        <v>103</v>
      </c>
      <c r="E79" s="201"/>
      <c r="F79" s="61">
        <v>28.8</v>
      </c>
      <c r="G79" s="60" t="s">
        <v>30</v>
      </c>
      <c r="H79" s="60"/>
      <c r="I79" s="62"/>
      <c r="J79" s="11"/>
      <c r="K79" s="11"/>
      <c r="L79" s="11"/>
      <c r="M79" s="11"/>
      <c r="N79" s="59"/>
      <c r="O79" s="60">
        <v>18</v>
      </c>
      <c r="P79" s="206" t="s">
        <v>118</v>
      </c>
      <c r="Q79" s="201"/>
      <c r="R79" s="61">
        <v>22.85</v>
      </c>
      <c r="S79" s="60" t="s">
        <v>89</v>
      </c>
      <c r="T79" s="60"/>
      <c r="U79" s="62"/>
      <c r="V79" s="2"/>
      <c r="W79" s="63">
        <v>18</v>
      </c>
      <c r="X79" s="64" t="s">
        <v>103</v>
      </c>
      <c r="Y79" s="20" t="s">
        <v>30</v>
      </c>
      <c r="Z79" s="20">
        <v>28.8</v>
      </c>
      <c r="AA79" s="20"/>
      <c r="AB79" s="10"/>
      <c r="AC79" s="10"/>
      <c r="AD79" s="20"/>
      <c r="AE79" s="20"/>
      <c r="AF79" s="20"/>
      <c r="AG79" s="65"/>
      <c r="AH79" s="66"/>
      <c r="AI79" s="40"/>
      <c r="AJ79" s="10" t="s">
        <v>118</v>
      </c>
      <c r="AK79" s="20" t="s">
        <v>89</v>
      </c>
      <c r="AL79" s="20">
        <v>22.85</v>
      </c>
    </row>
    <row r="80" spans="1:38" ht="13.2">
      <c r="A80" s="1"/>
      <c r="B80" s="59"/>
      <c r="C80" s="60">
        <v>19</v>
      </c>
      <c r="D80" s="206" t="s">
        <v>113</v>
      </c>
      <c r="E80" s="201"/>
      <c r="F80" s="61">
        <v>28.05</v>
      </c>
      <c r="G80" s="60" t="s">
        <v>59</v>
      </c>
      <c r="H80" s="60"/>
      <c r="I80" s="62"/>
      <c r="J80" s="11"/>
      <c r="K80" s="11"/>
      <c r="L80" s="11"/>
      <c r="M80" s="11"/>
      <c r="N80" s="59"/>
      <c r="O80" s="60">
        <v>19</v>
      </c>
      <c r="P80" s="206" t="s">
        <v>109</v>
      </c>
      <c r="Q80" s="201"/>
      <c r="R80" s="61">
        <v>20.7</v>
      </c>
      <c r="S80" s="60" t="s">
        <v>110</v>
      </c>
      <c r="T80" s="60"/>
      <c r="U80" s="62"/>
      <c r="V80" s="2"/>
      <c r="W80" s="63">
        <v>19</v>
      </c>
      <c r="X80" s="64" t="s">
        <v>113</v>
      </c>
      <c r="Y80" s="20" t="s">
        <v>59</v>
      </c>
      <c r="Z80" s="20">
        <v>28.05</v>
      </c>
      <c r="AA80" s="20"/>
      <c r="AB80" s="10"/>
      <c r="AC80" s="10"/>
      <c r="AD80" s="20"/>
      <c r="AE80" s="20"/>
      <c r="AF80" s="20"/>
      <c r="AG80" s="65"/>
      <c r="AH80" s="66"/>
      <c r="AI80" s="40"/>
      <c r="AJ80" s="10" t="s">
        <v>109</v>
      </c>
      <c r="AK80" s="20" t="s">
        <v>110</v>
      </c>
      <c r="AL80" s="20">
        <v>20.7</v>
      </c>
    </row>
    <row r="81" spans="1:38" ht="13.2">
      <c r="A81" s="1"/>
      <c r="B81" s="59"/>
      <c r="C81" s="60">
        <v>20</v>
      </c>
      <c r="D81" s="206" t="s">
        <v>115</v>
      </c>
      <c r="E81" s="201"/>
      <c r="F81" s="61">
        <v>27.5</v>
      </c>
      <c r="G81" s="60" t="s">
        <v>52</v>
      </c>
      <c r="H81" s="60"/>
      <c r="I81" s="62"/>
      <c r="J81" s="11"/>
      <c r="K81" s="11"/>
      <c r="L81" s="11"/>
      <c r="M81" s="11"/>
      <c r="N81" s="59"/>
      <c r="O81" s="60">
        <v>20</v>
      </c>
      <c r="P81" s="206" t="s">
        <v>147</v>
      </c>
      <c r="Q81" s="201"/>
      <c r="R81" s="61">
        <v>20</v>
      </c>
      <c r="S81" s="60" t="s">
        <v>42</v>
      </c>
      <c r="T81" s="60"/>
      <c r="U81" s="62"/>
      <c r="V81" s="2"/>
      <c r="W81" s="63">
        <v>20</v>
      </c>
      <c r="X81" s="64" t="s">
        <v>115</v>
      </c>
      <c r="Y81" s="20" t="s">
        <v>52</v>
      </c>
      <c r="Z81" s="20">
        <v>27.5</v>
      </c>
      <c r="AA81" s="20"/>
      <c r="AB81" s="10"/>
      <c r="AC81" s="10"/>
      <c r="AD81" s="20"/>
      <c r="AE81" s="20"/>
      <c r="AF81" s="20"/>
      <c r="AG81" s="65"/>
      <c r="AH81" s="66"/>
      <c r="AI81" s="40"/>
      <c r="AJ81" s="10" t="s">
        <v>147</v>
      </c>
      <c r="AK81" s="20" t="s">
        <v>42</v>
      </c>
      <c r="AL81" s="20">
        <v>20</v>
      </c>
    </row>
    <row r="82" spans="1:38" ht="13.2">
      <c r="A82" s="1"/>
      <c r="B82" s="59"/>
      <c r="C82" s="60">
        <v>21</v>
      </c>
      <c r="D82" s="206" t="s">
        <v>170</v>
      </c>
      <c r="E82" s="201"/>
      <c r="F82" s="61">
        <v>27.2</v>
      </c>
      <c r="G82" s="60" t="s">
        <v>129</v>
      </c>
      <c r="H82" s="60"/>
      <c r="I82" s="62"/>
      <c r="J82" s="11"/>
      <c r="K82" s="11"/>
      <c r="L82" s="11"/>
      <c r="M82" s="11"/>
      <c r="N82" s="59"/>
      <c r="O82" s="60">
        <v>21</v>
      </c>
      <c r="P82" s="206" t="s">
        <v>152</v>
      </c>
      <c r="Q82" s="201"/>
      <c r="R82" s="61">
        <v>18.95</v>
      </c>
      <c r="S82" s="60" t="s">
        <v>28</v>
      </c>
      <c r="T82" s="60"/>
      <c r="U82" s="62"/>
      <c r="V82" s="2"/>
      <c r="W82" s="63">
        <v>21</v>
      </c>
      <c r="X82" s="64" t="s">
        <v>170</v>
      </c>
      <c r="Y82" s="20" t="s">
        <v>129</v>
      </c>
      <c r="Z82" s="20">
        <v>27.2</v>
      </c>
      <c r="AA82" s="20"/>
      <c r="AB82" s="10"/>
      <c r="AC82" s="10"/>
      <c r="AD82" s="20"/>
      <c r="AE82" s="20"/>
      <c r="AF82" s="20"/>
      <c r="AG82" s="65"/>
      <c r="AH82" s="66"/>
      <c r="AI82" s="40"/>
      <c r="AJ82" s="10" t="s">
        <v>152</v>
      </c>
      <c r="AK82" s="20" t="s">
        <v>28</v>
      </c>
      <c r="AL82" s="20">
        <v>18.95</v>
      </c>
    </row>
    <row r="83" spans="1:38" ht="13.2">
      <c r="A83" s="1"/>
      <c r="B83" s="59"/>
      <c r="C83" s="60">
        <v>22</v>
      </c>
      <c r="D83" s="206" t="s">
        <v>121</v>
      </c>
      <c r="E83" s="201"/>
      <c r="F83" s="61">
        <v>25.1</v>
      </c>
      <c r="G83" s="60" t="s">
        <v>54</v>
      </c>
      <c r="H83" s="60"/>
      <c r="I83" s="62"/>
      <c r="J83" s="11"/>
      <c r="K83" s="11"/>
      <c r="L83" s="11"/>
      <c r="M83" s="11"/>
      <c r="N83" s="59"/>
      <c r="O83" s="60">
        <v>22</v>
      </c>
      <c r="P83" s="206" t="s">
        <v>125</v>
      </c>
      <c r="Q83" s="201"/>
      <c r="R83" s="61">
        <v>18.75</v>
      </c>
      <c r="S83" s="60" t="s">
        <v>54</v>
      </c>
      <c r="T83" s="60"/>
      <c r="U83" s="62"/>
      <c r="V83" s="2"/>
      <c r="W83" s="63">
        <v>22</v>
      </c>
      <c r="X83" s="64" t="s">
        <v>121</v>
      </c>
      <c r="Y83" s="20" t="s">
        <v>54</v>
      </c>
      <c r="Z83" s="20">
        <v>25.1</v>
      </c>
      <c r="AA83" s="20"/>
      <c r="AB83" s="10"/>
      <c r="AC83" s="10"/>
      <c r="AD83" s="20"/>
      <c r="AE83" s="20"/>
      <c r="AF83" s="20"/>
      <c r="AG83" s="65"/>
      <c r="AH83" s="66"/>
      <c r="AI83" s="40"/>
      <c r="AJ83" s="10" t="s">
        <v>125</v>
      </c>
      <c r="AK83" s="20" t="s">
        <v>54</v>
      </c>
      <c r="AL83" s="20">
        <v>18.75</v>
      </c>
    </row>
    <row r="84" spans="1:38" ht="13.2">
      <c r="A84" s="1"/>
      <c r="B84" s="59"/>
      <c r="C84" s="60">
        <v>23</v>
      </c>
      <c r="D84" s="206" t="s">
        <v>132</v>
      </c>
      <c r="E84" s="201"/>
      <c r="F84" s="61">
        <v>23.65</v>
      </c>
      <c r="G84" s="60" t="s">
        <v>48</v>
      </c>
      <c r="H84" s="60"/>
      <c r="I84" s="62"/>
      <c r="J84" s="11"/>
      <c r="K84" s="11"/>
      <c r="L84" s="11"/>
      <c r="M84" s="11"/>
      <c r="N84" s="59"/>
      <c r="O84" s="60">
        <v>23</v>
      </c>
      <c r="P84" s="206" t="s">
        <v>137</v>
      </c>
      <c r="Q84" s="201"/>
      <c r="R84" s="61">
        <v>17.75</v>
      </c>
      <c r="S84" s="60" t="s">
        <v>87</v>
      </c>
      <c r="T84" s="60"/>
      <c r="U84" s="62"/>
      <c r="V84" s="2"/>
      <c r="W84" s="63">
        <v>23</v>
      </c>
      <c r="X84" s="64" t="s">
        <v>132</v>
      </c>
      <c r="Y84" s="20" t="s">
        <v>48</v>
      </c>
      <c r="Z84" s="20">
        <v>23.65</v>
      </c>
      <c r="AA84" s="20"/>
      <c r="AB84" s="10"/>
      <c r="AC84" s="10"/>
      <c r="AD84" s="20"/>
      <c r="AE84" s="20"/>
      <c r="AF84" s="20"/>
      <c r="AG84" s="65"/>
      <c r="AH84" s="66"/>
      <c r="AI84" s="40"/>
      <c r="AJ84" s="10" t="s">
        <v>137</v>
      </c>
      <c r="AK84" s="20" t="s">
        <v>87</v>
      </c>
      <c r="AL84" s="20">
        <v>17.75</v>
      </c>
    </row>
    <row r="85" spans="1:38" ht="13.2">
      <c r="A85" s="1"/>
      <c r="B85" s="59"/>
      <c r="C85" s="60">
        <v>24</v>
      </c>
      <c r="D85" s="206" t="s">
        <v>140</v>
      </c>
      <c r="E85" s="201"/>
      <c r="F85" s="61">
        <v>23.45</v>
      </c>
      <c r="G85" s="60" t="s">
        <v>71</v>
      </c>
      <c r="H85" s="60"/>
      <c r="I85" s="62"/>
      <c r="J85" s="11"/>
      <c r="K85" s="11"/>
      <c r="L85" s="11"/>
      <c r="M85" s="11"/>
      <c r="N85" s="59"/>
      <c r="O85" s="60">
        <v>24</v>
      </c>
      <c r="P85" s="206" t="s">
        <v>105</v>
      </c>
      <c r="Q85" s="201"/>
      <c r="R85" s="61">
        <v>14.5</v>
      </c>
      <c r="S85" s="60" t="s">
        <v>55</v>
      </c>
      <c r="T85" s="60"/>
      <c r="U85" s="62"/>
      <c r="V85" s="2"/>
      <c r="W85" s="63">
        <v>24</v>
      </c>
      <c r="X85" s="64" t="s">
        <v>140</v>
      </c>
      <c r="Y85" s="20" t="s">
        <v>71</v>
      </c>
      <c r="Z85" s="20">
        <v>23.45</v>
      </c>
      <c r="AA85" s="20"/>
      <c r="AB85" s="10"/>
      <c r="AC85" s="10"/>
      <c r="AD85" s="20"/>
      <c r="AE85" s="20"/>
      <c r="AF85" s="20"/>
      <c r="AG85" s="65"/>
      <c r="AH85" s="66"/>
      <c r="AI85" s="40"/>
      <c r="AJ85" s="10" t="s">
        <v>105</v>
      </c>
      <c r="AK85" s="20" t="s">
        <v>55</v>
      </c>
      <c r="AL85" s="20">
        <v>14.5</v>
      </c>
    </row>
    <row r="86" spans="1:38" ht="13.2">
      <c r="A86" s="1"/>
      <c r="B86" s="59"/>
      <c r="C86" s="60">
        <v>25</v>
      </c>
      <c r="D86" s="206" t="s">
        <v>157</v>
      </c>
      <c r="E86" s="201"/>
      <c r="F86" s="61">
        <v>23.4</v>
      </c>
      <c r="G86" s="60" t="s">
        <v>44</v>
      </c>
      <c r="H86" s="60"/>
      <c r="I86" s="62"/>
      <c r="J86" s="11"/>
      <c r="K86" s="11"/>
      <c r="L86" s="11"/>
      <c r="M86" s="11"/>
      <c r="N86" s="59"/>
      <c r="O86" s="60">
        <v>25</v>
      </c>
      <c r="P86" s="206" t="s">
        <v>116</v>
      </c>
      <c r="Q86" s="201"/>
      <c r="R86" s="61">
        <v>10</v>
      </c>
      <c r="S86" s="60" t="s">
        <v>59</v>
      </c>
      <c r="T86" s="60"/>
      <c r="U86" s="62"/>
      <c r="V86" s="2"/>
      <c r="W86" s="63">
        <v>25</v>
      </c>
      <c r="X86" s="64" t="s">
        <v>157</v>
      </c>
      <c r="Y86" s="20" t="s">
        <v>44</v>
      </c>
      <c r="Z86" s="20">
        <v>23.4</v>
      </c>
      <c r="AA86" s="20"/>
      <c r="AB86" s="10"/>
      <c r="AC86" s="10"/>
      <c r="AD86" s="20"/>
      <c r="AE86" s="20"/>
      <c r="AF86" s="20"/>
      <c r="AG86" s="65"/>
      <c r="AH86" s="66"/>
      <c r="AI86" s="40"/>
      <c r="AJ86" s="10" t="s">
        <v>116</v>
      </c>
      <c r="AK86" s="20" t="s">
        <v>59</v>
      </c>
      <c r="AL86" s="20">
        <v>10</v>
      </c>
    </row>
    <row r="87" spans="1:38" ht="13.2">
      <c r="A87" s="1"/>
      <c r="B87" s="59"/>
      <c r="C87" s="60">
        <v>26</v>
      </c>
      <c r="D87" s="206" t="s">
        <v>130</v>
      </c>
      <c r="E87" s="201"/>
      <c r="F87" s="61">
        <v>23.05</v>
      </c>
      <c r="G87" s="60" t="s">
        <v>75</v>
      </c>
      <c r="H87" s="60"/>
      <c r="I87" s="62"/>
      <c r="J87" s="11"/>
      <c r="K87" s="11"/>
      <c r="L87" s="11"/>
      <c r="M87" s="11"/>
      <c r="N87" s="59"/>
      <c r="O87" s="60">
        <v>26</v>
      </c>
      <c r="P87" s="206" t="s">
        <v>114</v>
      </c>
      <c r="Q87" s="201"/>
      <c r="R87" s="61">
        <v>9</v>
      </c>
      <c r="S87" s="60" t="s">
        <v>65</v>
      </c>
      <c r="T87" s="60"/>
      <c r="U87" s="62"/>
      <c r="V87" s="2"/>
      <c r="W87" s="63">
        <v>26</v>
      </c>
      <c r="X87" s="64" t="s">
        <v>130</v>
      </c>
      <c r="Y87" s="20" t="s">
        <v>75</v>
      </c>
      <c r="Z87" s="20">
        <v>23.05</v>
      </c>
      <c r="AA87" s="20"/>
      <c r="AB87" s="10"/>
      <c r="AC87" s="10"/>
      <c r="AD87" s="20"/>
      <c r="AE87" s="20"/>
      <c r="AF87" s="20"/>
      <c r="AG87" s="65"/>
      <c r="AH87" s="66"/>
      <c r="AI87" s="40"/>
      <c r="AJ87" s="10" t="s">
        <v>114</v>
      </c>
      <c r="AK87" s="20" t="s">
        <v>65</v>
      </c>
      <c r="AL87" s="20">
        <v>9</v>
      </c>
    </row>
    <row r="88" spans="1:38" ht="13.2">
      <c r="A88" s="1"/>
      <c r="B88" s="59"/>
      <c r="C88" s="60">
        <v>27</v>
      </c>
      <c r="D88" s="206" t="s">
        <v>117</v>
      </c>
      <c r="E88" s="201"/>
      <c r="F88" s="61">
        <v>22.8</v>
      </c>
      <c r="G88" s="60" t="s">
        <v>97</v>
      </c>
      <c r="H88" s="60"/>
      <c r="I88" s="62"/>
      <c r="J88" s="11"/>
      <c r="K88" s="11"/>
      <c r="L88" s="11"/>
      <c r="M88" s="11"/>
      <c r="N88" s="59"/>
      <c r="O88" s="60"/>
      <c r="P88" s="206"/>
      <c r="Q88" s="201"/>
      <c r="R88" s="61"/>
      <c r="S88" s="60"/>
      <c r="T88" s="60"/>
      <c r="U88" s="62"/>
      <c r="V88" s="2"/>
      <c r="W88" s="63">
        <v>27</v>
      </c>
      <c r="X88" s="64" t="s">
        <v>117</v>
      </c>
      <c r="Y88" s="20" t="s">
        <v>97</v>
      </c>
      <c r="Z88" s="20">
        <v>22.8</v>
      </c>
      <c r="AA88" s="20"/>
      <c r="AB88" s="10"/>
      <c r="AC88" s="10"/>
      <c r="AD88" s="20"/>
      <c r="AE88" s="20"/>
      <c r="AF88" s="20"/>
      <c r="AG88" s="65"/>
      <c r="AH88" s="66"/>
      <c r="AI88" s="40"/>
      <c r="AJ88" s="10"/>
      <c r="AK88" s="20"/>
      <c r="AL88" s="20"/>
    </row>
    <row r="89" spans="1:38" ht="13.2">
      <c r="A89" s="1"/>
      <c r="B89" s="59"/>
      <c r="C89" s="60">
        <v>28</v>
      </c>
      <c r="D89" s="206" t="s">
        <v>159</v>
      </c>
      <c r="E89" s="201"/>
      <c r="F89" s="61">
        <v>21.95</v>
      </c>
      <c r="G89" s="60" t="s">
        <v>48</v>
      </c>
      <c r="H89" s="60"/>
      <c r="I89" s="62"/>
      <c r="J89" s="11"/>
      <c r="K89" s="11"/>
      <c r="L89" s="11"/>
      <c r="M89" s="11"/>
      <c r="N89" s="59"/>
      <c r="O89" s="60"/>
      <c r="P89" s="206"/>
      <c r="Q89" s="201"/>
      <c r="R89" s="61"/>
      <c r="S89" s="60"/>
      <c r="T89" s="60"/>
      <c r="U89" s="62"/>
      <c r="V89" s="2"/>
      <c r="W89" s="63">
        <v>28</v>
      </c>
      <c r="X89" s="64" t="s">
        <v>159</v>
      </c>
      <c r="Y89" s="20" t="s">
        <v>48</v>
      </c>
      <c r="Z89" s="20">
        <v>21.95</v>
      </c>
      <c r="AA89" s="20"/>
      <c r="AB89" s="10"/>
      <c r="AC89" s="10"/>
      <c r="AD89" s="20"/>
      <c r="AE89" s="20"/>
      <c r="AF89" s="20"/>
      <c r="AG89" s="65"/>
      <c r="AH89" s="66"/>
      <c r="AI89" s="40"/>
      <c r="AJ89" s="10"/>
      <c r="AK89" s="20"/>
      <c r="AL89" s="20"/>
    </row>
    <row r="90" spans="1:38" ht="13.2">
      <c r="A90" s="1"/>
      <c r="B90" s="59"/>
      <c r="C90" s="60">
        <v>29</v>
      </c>
      <c r="D90" s="206" t="s">
        <v>153</v>
      </c>
      <c r="E90" s="201"/>
      <c r="F90" s="61">
        <v>21.75</v>
      </c>
      <c r="G90" s="60" t="s">
        <v>37</v>
      </c>
      <c r="H90" s="60"/>
      <c r="I90" s="62"/>
      <c r="J90" s="11"/>
      <c r="K90" s="11"/>
      <c r="L90" s="11"/>
      <c r="M90" s="11"/>
      <c r="N90" s="59"/>
      <c r="O90" s="60"/>
      <c r="P90" s="206"/>
      <c r="Q90" s="201"/>
      <c r="R90" s="61"/>
      <c r="S90" s="60"/>
      <c r="T90" s="60"/>
      <c r="U90" s="62"/>
      <c r="V90" s="2"/>
      <c r="W90" s="63">
        <v>29</v>
      </c>
      <c r="X90" s="64" t="s">
        <v>153</v>
      </c>
      <c r="Y90" s="20" t="s">
        <v>37</v>
      </c>
      <c r="Z90" s="20">
        <v>21.75</v>
      </c>
      <c r="AA90" s="20"/>
      <c r="AB90" s="10"/>
      <c r="AC90" s="10"/>
      <c r="AD90" s="20"/>
      <c r="AE90" s="20"/>
      <c r="AF90" s="20"/>
      <c r="AG90" s="65"/>
      <c r="AH90" s="66"/>
      <c r="AI90" s="40"/>
      <c r="AJ90" s="10"/>
      <c r="AK90" s="20"/>
      <c r="AL90" s="20"/>
    </row>
    <row r="91" spans="1:38" ht="13.2">
      <c r="A91" s="1"/>
      <c r="B91" s="59"/>
      <c r="C91" s="60">
        <v>30</v>
      </c>
      <c r="D91" s="206" t="s">
        <v>104</v>
      </c>
      <c r="E91" s="201"/>
      <c r="F91" s="61">
        <v>21</v>
      </c>
      <c r="G91" s="60" t="s">
        <v>106</v>
      </c>
      <c r="H91" s="60"/>
      <c r="I91" s="62"/>
      <c r="J91" s="11"/>
      <c r="K91" s="11"/>
      <c r="L91" s="11"/>
      <c r="M91" s="11"/>
      <c r="N91" s="59"/>
      <c r="O91" s="60"/>
      <c r="P91" s="206"/>
      <c r="Q91" s="201"/>
      <c r="R91" s="61"/>
      <c r="S91" s="60"/>
      <c r="T91" s="60"/>
      <c r="U91" s="62"/>
      <c r="V91" s="2"/>
      <c r="W91" s="63">
        <v>30</v>
      </c>
      <c r="X91" s="64" t="s">
        <v>104</v>
      </c>
      <c r="Y91" s="20" t="s">
        <v>106</v>
      </c>
      <c r="Z91" s="20">
        <v>21</v>
      </c>
      <c r="AA91" s="20"/>
      <c r="AB91" s="10"/>
      <c r="AC91" s="10"/>
      <c r="AD91" s="20"/>
      <c r="AE91" s="20"/>
      <c r="AF91" s="20"/>
      <c r="AG91" s="65"/>
      <c r="AH91" s="66"/>
      <c r="AI91" s="40"/>
      <c r="AJ91" s="10"/>
      <c r="AK91" s="20"/>
      <c r="AL91" s="20"/>
    </row>
    <row r="92" spans="1:38" ht="13.2">
      <c r="A92" s="1"/>
      <c r="B92" s="59"/>
      <c r="C92" s="60">
        <v>31</v>
      </c>
      <c r="D92" s="206" t="s">
        <v>126</v>
      </c>
      <c r="E92" s="201"/>
      <c r="F92" s="61">
        <v>20.5</v>
      </c>
      <c r="G92" s="60" t="s">
        <v>32</v>
      </c>
      <c r="H92" s="60"/>
      <c r="I92" s="62"/>
      <c r="J92" s="11"/>
      <c r="K92" s="11"/>
      <c r="L92" s="11"/>
      <c r="M92" s="11"/>
      <c r="N92" s="59"/>
      <c r="O92" s="60"/>
      <c r="P92" s="206"/>
      <c r="Q92" s="201"/>
      <c r="R92" s="61"/>
      <c r="S92" s="60"/>
      <c r="T92" s="60"/>
      <c r="U92" s="62"/>
      <c r="V92" s="2"/>
      <c r="W92" s="63">
        <v>31</v>
      </c>
      <c r="X92" s="64" t="s">
        <v>126</v>
      </c>
      <c r="Y92" s="20" t="s">
        <v>32</v>
      </c>
      <c r="Z92" s="20">
        <v>20.5</v>
      </c>
      <c r="AA92" s="20"/>
      <c r="AB92" s="10"/>
      <c r="AC92" s="10"/>
      <c r="AD92" s="20"/>
      <c r="AE92" s="20"/>
      <c r="AF92" s="20"/>
      <c r="AG92" s="65"/>
      <c r="AH92" s="66"/>
      <c r="AI92" s="40"/>
      <c r="AJ92" s="10"/>
      <c r="AK92" s="20"/>
      <c r="AL92" s="20"/>
    </row>
    <row r="93" spans="1:38" ht="13.2">
      <c r="A93" s="1"/>
      <c r="B93" s="59"/>
      <c r="C93" s="60">
        <v>32</v>
      </c>
      <c r="D93" s="206" t="s">
        <v>171</v>
      </c>
      <c r="E93" s="201"/>
      <c r="F93" s="61">
        <v>18.3</v>
      </c>
      <c r="G93" s="60" t="s">
        <v>59</v>
      </c>
      <c r="H93" s="60"/>
      <c r="I93" s="62"/>
      <c r="J93" s="11"/>
      <c r="K93" s="11"/>
      <c r="L93" s="11"/>
      <c r="M93" s="11"/>
      <c r="N93" s="59"/>
      <c r="O93" s="60"/>
      <c r="P93" s="206"/>
      <c r="Q93" s="201"/>
      <c r="R93" s="61"/>
      <c r="S93" s="60"/>
      <c r="T93" s="60"/>
      <c r="U93" s="62"/>
      <c r="V93" s="2"/>
      <c r="W93" s="63">
        <v>32</v>
      </c>
      <c r="X93" s="64" t="s">
        <v>171</v>
      </c>
      <c r="Y93" s="20" t="s">
        <v>59</v>
      </c>
      <c r="Z93" s="20">
        <v>18.3</v>
      </c>
      <c r="AA93" s="20"/>
      <c r="AB93" s="10"/>
      <c r="AC93" s="10"/>
      <c r="AD93" s="20"/>
      <c r="AE93" s="20"/>
      <c r="AF93" s="20"/>
      <c r="AG93" s="65"/>
      <c r="AH93" s="66"/>
      <c r="AI93" s="40"/>
      <c r="AJ93" s="10"/>
      <c r="AK93" s="20"/>
      <c r="AL93" s="20"/>
    </row>
    <row r="94" spans="1:38" ht="13.2">
      <c r="A94" s="1"/>
      <c r="B94" s="59"/>
      <c r="C94" s="60">
        <v>33</v>
      </c>
      <c r="D94" s="206" t="s">
        <v>70</v>
      </c>
      <c r="E94" s="201"/>
      <c r="F94" s="61">
        <v>16.3</v>
      </c>
      <c r="G94" s="60" t="s">
        <v>59</v>
      </c>
      <c r="H94" s="60"/>
      <c r="I94" s="62"/>
      <c r="J94" s="11"/>
      <c r="K94" s="11"/>
      <c r="L94" s="11"/>
      <c r="M94" s="11"/>
      <c r="N94" s="59"/>
      <c r="O94" s="60"/>
      <c r="P94" s="206"/>
      <c r="Q94" s="201"/>
      <c r="R94" s="61"/>
      <c r="S94" s="60"/>
      <c r="T94" s="60"/>
      <c r="U94" s="62"/>
      <c r="V94" s="2"/>
      <c r="W94" s="63">
        <v>33</v>
      </c>
      <c r="X94" s="64" t="s">
        <v>70</v>
      </c>
      <c r="Y94" s="20" t="s">
        <v>59</v>
      </c>
      <c r="Z94" s="20">
        <v>16.3</v>
      </c>
      <c r="AA94" s="20"/>
      <c r="AB94" s="10"/>
      <c r="AC94" s="10"/>
      <c r="AD94" s="20"/>
      <c r="AE94" s="20"/>
      <c r="AF94" s="20"/>
      <c r="AG94" s="65"/>
      <c r="AH94" s="66"/>
      <c r="AI94" s="40"/>
      <c r="AJ94" s="10"/>
      <c r="AK94" s="20"/>
      <c r="AL94" s="20"/>
    </row>
    <row r="95" spans="1:38" ht="13.2">
      <c r="A95" s="1"/>
      <c r="B95" s="59"/>
      <c r="C95" s="60">
        <v>34</v>
      </c>
      <c r="D95" s="206" t="s">
        <v>101</v>
      </c>
      <c r="E95" s="201"/>
      <c r="F95" s="61">
        <v>15.4</v>
      </c>
      <c r="G95" s="60" t="s">
        <v>28</v>
      </c>
      <c r="H95" s="60"/>
      <c r="I95" s="62"/>
      <c r="J95" s="11"/>
      <c r="K95" s="11"/>
      <c r="L95" s="11"/>
      <c r="M95" s="11"/>
      <c r="N95" s="59"/>
      <c r="O95" s="60"/>
      <c r="P95" s="206"/>
      <c r="Q95" s="201"/>
      <c r="R95" s="61"/>
      <c r="S95" s="60"/>
      <c r="T95" s="60"/>
      <c r="U95" s="62"/>
      <c r="V95" s="2"/>
      <c r="W95" s="63">
        <v>34</v>
      </c>
      <c r="X95" s="64" t="s">
        <v>101</v>
      </c>
      <c r="Y95" s="20" t="s">
        <v>28</v>
      </c>
      <c r="Z95" s="20">
        <v>15.4</v>
      </c>
      <c r="AA95" s="20"/>
      <c r="AB95" s="10"/>
      <c r="AC95" s="10"/>
      <c r="AD95" s="20"/>
      <c r="AE95" s="20"/>
      <c r="AF95" s="20"/>
      <c r="AG95" s="65"/>
      <c r="AH95" s="66"/>
      <c r="AI95" s="40"/>
      <c r="AJ95" s="10"/>
      <c r="AK95" s="20"/>
      <c r="AL95" s="20"/>
    </row>
    <row r="96" spans="1:38" ht="13.2">
      <c r="A96" s="1"/>
      <c r="B96" s="59"/>
      <c r="C96" s="60">
        <v>35</v>
      </c>
      <c r="D96" s="206" t="s">
        <v>107</v>
      </c>
      <c r="E96" s="201"/>
      <c r="F96" s="61">
        <v>14</v>
      </c>
      <c r="G96" s="60" t="s">
        <v>50</v>
      </c>
      <c r="H96" s="60"/>
      <c r="I96" s="62"/>
      <c r="J96" s="11"/>
      <c r="K96" s="11"/>
      <c r="L96" s="11"/>
      <c r="M96" s="11"/>
      <c r="N96" s="59"/>
      <c r="O96" s="60"/>
      <c r="P96" s="206"/>
      <c r="Q96" s="201"/>
      <c r="R96" s="61"/>
      <c r="S96" s="60"/>
      <c r="T96" s="60"/>
      <c r="U96" s="62"/>
      <c r="V96" s="2"/>
      <c r="W96" s="63">
        <v>35</v>
      </c>
      <c r="X96" s="64" t="s">
        <v>107</v>
      </c>
      <c r="Y96" s="20" t="s">
        <v>50</v>
      </c>
      <c r="Z96" s="20">
        <v>14</v>
      </c>
      <c r="AA96" s="20"/>
      <c r="AB96" s="10"/>
      <c r="AC96" s="10"/>
      <c r="AD96" s="20"/>
      <c r="AE96" s="20"/>
      <c r="AF96" s="20"/>
      <c r="AG96" s="65"/>
      <c r="AH96" s="66"/>
      <c r="AI96" s="40"/>
      <c r="AJ96" s="10"/>
      <c r="AK96" s="20"/>
      <c r="AL96" s="20"/>
    </row>
    <row r="97" spans="1:38" ht="13.2">
      <c r="A97" s="1"/>
      <c r="B97" s="59"/>
      <c r="C97" s="60">
        <v>36</v>
      </c>
      <c r="D97" s="206" t="s">
        <v>108</v>
      </c>
      <c r="E97" s="201"/>
      <c r="F97" s="61">
        <v>11</v>
      </c>
      <c r="G97" s="60" t="s">
        <v>76</v>
      </c>
      <c r="H97" s="60"/>
      <c r="I97" s="62"/>
      <c r="J97" s="11"/>
      <c r="K97" s="11"/>
      <c r="L97" s="11"/>
      <c r="M97" s="11"/>
      <c r="N97" s="59"/>
      <c r="O97" s="60"/>
      <c r="P97" s="206"/>
      <c r="Q97" s="201"/>
      <c r="R97" s="61"/>
      <c r="S97" s="60"/>
      <c r="T97" s="60"/>
      <c r="U97" s="62"/>
      <c r="V97" s="2"/>
      <c r="W97" s="63">
        <v>36</v>
      </c>
      <c r="X97" s="64" t="s">
        <v>108</v>
      </c>
      <c r="Y97" s="20" t="s">
        <v>76</v>
      </c>
      <c r="Z97" s="20">
        <v>11</v>
      </c>
      <c r="AA97" s="20"/>
      <c r="AB97" s="10"/>
      <c r="AC97" s="10"/>
      <c r="AD97" s="20"/>
      <c r="AE97" s="20"/>
      <c r="AF97" s="20"/>
      <c r="AG97" s="65"/>
      <c r="AH97" s="66"/>
      <c r="AI97" s="40"/>
      <c r="AJ97" s="10"/>
      <c r="AK97" s="20"/>
      <c r="AL97" s="20"/>
    </row>
    <row r="98" spans="1:38" ht="13.2">
      <c r="A98" s="1"/>
      <c r="B98" s="59"/>
      <c r="C98" s="60" t="s">
        <v>502</v>
      </c>
      <c r="D98" s="206" t="s">
        <v>127</v>
      </c>
      <c r="E98" s="201"/>
      <c r="F98" s="61">
        <v>10.5</v>
      </c>
      <c r="G98" s="60" t="s">
        <v>32</v>
      </c>
      <c r="H98" s="60"/>
      <c r="I98" s="62"/>
      <c r="J98" s="11"/>
      <c r="K98" s="11"/>
      <c r="L98" s="11"/>
      <c r="M98" s="11"/>
      <c r="N98" s="59"/>
      <c r="O98" s="60"/>
      <c r="P98" s="206"/>
      <c r="Q98" s="201"/>
      <c r="R98" s="61"/>
      <c r="S98" s="60"/>
      <c r="T98" s="60"/>
      <c r="U98" s="62"/>
      <c r="V98" s="2"/>
      <c r="W98" s="63">
        <v>37</v>
      </c>
      <c r="X98" s="64" t="s">
        <v>127</v>
      </c>
      <c r="Y98" s="20" t="s">
        <v>32</v>
      </c>
      <c r="Z98" s="20">
        <v>10.5</v>
      </c>
      <c r="AA98" s="20"/>
      <c r="AB98" s="10"/>
      <c r="AC98" s="10"/>
      <c r="AD98" s="20"/>
      <c r="AE98" s="20"/>
      <c r="AF98" s="20"/>
      <c r="AG98" s="65"/>
      <c r="AH98" s="66"/>
      <c r="AI98" s="40"/>
      <c r="AJ98" s="10"/>
      <c r="AK98" s="20"/>
      <c r="AL98" s="20"/>
    </row>
    <row r="99" spans="1:38" ht="13.2">
      <c r="A99" s="1"/>
      <c r="B99" s="59"/>
      <c r="C99" s="60" t="s">
        <v>502</v>
      </c>
      <c r="D99" s="206" t="s">
        <v>146</v>
      </c>
      <c r="E99" s="201"/>
      <c r="F99" s="61">
        <v>10.5</v>
      </c>
      <c r="G99" s="60" t="s">
        <v>89</v>
      </c>
      <c r="H99" s="60"/>
      <c r="I99" s="62"/>
      <c r="J99" s="11"/>
      <c r="K99" s="11"/>
      <c r="L99" s="11"/>
      <c r="M99" s="11"/>
      <c r="N99" s="59"/>
      <c r="O99" s="60"/>
      <c r="P99" s="206"/>
      <c r="Q99" s="201"/>
      <c r="R99" s="61"/>
      <c r="S99" s="60"/>
      <c r="T99" s="60"/>
      <c r="U99" s="62"/>
      <c r="V99" s="2"/>
      <c r="W99" s="63">
        <v>38</v>
      </c>
      <c r="X99" s="64" t="s">
        <v>146</v>
      </c>
      <c r="Y99" s="20" t="s">
        <v>89</v>
      </c>
      <c r="Z99" s="20">
        <v>10.5</v>
      </c>
      <c r="AA99" s="20"/>
      <c r="AB99" s="10"/>
      <c r="AC99" s="10"/>
      <c r="AD99" s="20"/>
      <c r="AE99" s="20"/>
      <c r="AF99" s="20"/>
      <c r="AG99" s="65"/>
      <c r="AH99" s="66"/>
      <c r="AI99" s="40"/>
      <c r="AJ99" s="10"/>
      <c r="AK99" s="20"/>
      <c r="AL99" s="20"/>
    </row>
    <row r="100" spans="1:38" ht="13.2">
      <c r="A100" s="1"/>
      <c r="B100" s="59"/>
      <c r="C100" s="60">
        <v>39</v>
      </c>
      <c r="D100" s="206" t="s">
        <v>148</v>
      </c>
      <c r="E100" s="201"/>
      <c r="F100" s="61">
        <v>9</v>
      </c>
      <c r="G100" s="60" t="s">
        <v>110</v>
      </c>
      <c r="H100" s="60"/>
      <c r="I100" s="62"/>
      <c r="J100" s="11"/>
      <c r="K100" s="11"/>
      <c r="L100" s="11"/>
      <c r="M100" s="11"/>
      <c r="N100" s="59"/>
      <c r="O100" s="60"/>
      <c r="P100" s="206"/>
      <c r="Q100" s="201"/>
      <c r="R100" s="61"/>
      <c r="S100" s="60"/>
      <c r="T100" s="60"/>
      <c r="U100" s="62"/>
      <c r="V100" s="2"/>
      <c r="W100" s="63">
        <v>39</v>
      </c>
      <c r="X100" s="64" t="s">
        <v>148</v>
      </c>
      <c r="Y100" s="20" t="s">
        <v>110</v>
      </c>
      <c r="Z100" s="20">
        <v>9</v>
      </c>
      <c r="AA100" s="20"/>
      <c r="AB100" s="10"/>
      <c r="AC100" s="10"/>
      <c r="AD100" s="20"/>
      <c r="AE100" s="20"/>
      <c r="AF100" s="20"/>
      <c r="AG100" s="65"/>
      <c r="AH100" s="66"/>
      <c r="AI100" s="40"/>
      <c r="AJ100" s="10"/>
      <c r="AK100" s="20"/>
      <c r="AL100" s="20"/>
    </row>
    <row r="101" spans="1:38" ht="13.2">
      <c r="A101" s="1"/>
      <c r="B101" s="59"/>
      <c r="C101" s="60" t="s">
        <v>25</v>
      </c>
      <c r="D101" s="206">
        <v>0</v>
      </c>
      <c r="E101" s="201"/>
      <c r="F101" s="61">
        <v>0</v>
      </c>
      <c r="G101" s="60">
        <v>0</v>
      </c>
      <c r="H101" s="60"/>
      <c r="I101" s="62"/>
      <c r="J101" s="11"/>
      <c r="K101" s="11"/>
      <c r="L101" s="11"/>
      <c r="M101" s="11"/>
      <c r="N101" s="59"/>
      <c r="O101" s="60"/>
      <c r="P101" s="206"/>
      <c r="Q101" s="201"/>
      <c r="R101" s="61"/>
      <c r="S101" s="60"/>
      <c r="T101" s="60"/>
      <c r="U101" s="62"/>
      <c r="V101" s="2"/>
      <c r="W101" s="63">
        <v>40</v>
      </c>
      <c r="X101" s="64"/>
      <c r="Y101" s="20"/>
      <c r="Z101" s="20"/>
      <c r="AA101" s="20"/>
      <c r="AB101" s="10"/>
      <c r="AC101" s="10"/>
      <c r="AD101" s="20"/>
      <c r="AE101" s="20"/>
      <c r="AF101" s="20"/>
      <c r="AG101" s="65"/>
      <c r="AH101" s="66"/>
      <c r="AI101" s="40"/>
      <c r="AJ101" s="10"/>
      <c r="AK101" s="20"/>
      <c r="AL101" s="20"/>
    </row>
    <row r="102" spans="1:38" ht="13.2">
      <c r="A102" s="1"/>
      <c r="B102" s="59"/>
      <c r="C102" s="60"/>
      <c r="D102" s="206"/>
      <c r="E102" s="201"/>
      <c r="F102" s="61"/>
      <c r="G102" s="60"/>
      <c r="H102" s="60"/>
      <c r="I102" s="62"/>
      <c r="J102" s="11"/>
      <c r="K102" s="11"/>
      <c r="L102" s="11"/>
      <c r="M102" s="11"/>
      <c r="N102" s="59"/>
      <c r="O102" s="60"/>
      <c r="P102" s="206"/>
      <c r="Q102" s="201"/>
      <c r="R102" s="61"/>
      <c r="S102" s="60"/>
      <c r="T102" s="60"/>
      <c r="U102" s="62"/>
      <c r="V102" s="2"/>
      <c r="W102" s="63">
        <v>50</v>
      </c>
      <c r="X102" s="64"/>
      <c r="Y102" s="20"/>
      <c r="Z102" s="20"/>
      <c r="AA102" s="20"/>
      <c r="AB102" s="10"/>
      <c r="AC102" s="10"/>
      <c r="AD102" s="20"/>
      <c r="AE102" s="20"/>
      <c r="AF102" s="20"/>
      <c r="AG102" s="65"/>
      <c r="AH102" s="66"/>
      <c r="AI102" s="40"/>
      <c r="AJ102" s="10"/>
      <c r="AK102" s="20"/>
      <c r="AL102" s="20"/>
    </row>
    <row r="103" spans="1:38" ht="13.2">
      <c r="A103" s="1"/>
      <c r="B103" s="1"/>
      <c r="C103" s="67"/>
      <c r="D103" s="1"/>
      <c r="E103" s="1"/>
      <c r="F103" s="10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68"/>
      <c r="R103" s="10"/>
      <c r="S103" s="1"/>
      <c r="T103" s="1"/>
      <c r="U103" s="1"/>
      <c r="V103" s="2"/>
      <c r="W103" s="63">
        <v>51</v>
      </c>
      <c r="X103" s="10"/>
      <c r="Y103" s="10"/>
      <c r="Z103" s="10"/>
      <c r="AA103" s="10"/>
      <c r="AB103" s="10"/>
      <c r="AC103" s="20"/>
      <c r="AD103" s="20"/>
      <c r="AE103" s="10"/>
      <c r="AF103" s="10"/>
      <c r="AG103" s="10"/>
      <c r="AH103" s="10"/>
      <c r="AI103" s="40"/>
      <c r="AJ103" s="20"/>
      <c r="AK103" s="20"/>
      <c r="AL103" s="10"/>
    </row>
    <row r="104" spans="1:38" ht="13.2">
      <c r="A104" s="1"/>
      <c r="B104" s="1"/>
      <c r="C104" s="69" t="s">
        <v>100</v>
      </c>
      <c r="D104" s="12"/>
      <c r="E104" s="12"/>
      <c r="F104" s="13"/>
      <c r="G104" s="12"/>
      <c r="H104" s="12"/>
      <c r="I104" s="11"/>
      <c r="J104" s="11"/>
      <c r="K104" s="11"/>
      <c r="L104" s="11"/>
      <c r="M104" s="11"/>
      <c r="N104" s="11"/>
      <c r="O104" s="69"/>
      <c r="P104" s="12"/>
      <c r="Q104" s="70"/>
      <c r="R104" s="13"/>
      <c r="S104" s="12"/>
      <c r="T104" s="12"/>
      <c r="U104" s="1"/>
      <c r="V104" s="2"/>
      <c r="W104" s="10"/>
      <c r="X104" s="10"/>
      <c r="Y104" s="10"/>
      <c r="Z104" s="10"/>
      <c r="AA104" s="10"/>
      <c r="AB104" s="10"/>
      <c r="AC104" s="20"/>
      <c r="AD104" s="20"/>
      <c r="AE104" s="10"/>
      <c r="AF104" s="10"/>
      <c r="AG104" s="10"/>
      <c r="AH104" s="10"/>
      <c r="AI104" s="10"/>
      <c r="AJ104" s="20"/>
      <c r="AK104" s="20"/>
      <c r="AL104" s="10"/>
    </row>
    <row r="105" spans="1:38" ht="13.2">
      <c r="A105" s="1"/>
      <c r="B105" s="1"/>
      <c r="C105" s="195">
        <v>0</v>
      </c>
      <c r="D105" s="196"/>
      <c r="E105" s="196"/>
      <c r="F105" s="196"/>
      <c r="G105" s="196"/>
      <c r="H105" s="196"/>
      <c r="I105" s="196"/>
      <c r="J105" s="196"/>
      <c r="K105" s="196"/>
      <c r="L105" s="196"/>
      <c r="M105" s="196"/>
      <c r="N105" s="196"/>
      <c r="O105" s="196"/>
      <c r="P105" s="196"/>
      <c r="Q105" s="196"/>
      <c r="R105" s="196"/>
      <c r="S105" s="196"/>
      <c r="T105" s="197"/>
      <c r="U105" s="1"/>
      <c r="V105" s="2"/>
      <c r="W105" s="10"/>
      <c r="X105" s="10"/>
      <c r="Y105" s="10"/>
      <c r="Z105" s="10"/>
      <c r="AA105" s="10"/>
      <c r="AB105" s="10"/>
      <c r="AC105" s="20"/>
      <c r="AD105" s="20"/>
      <c r="AE105" s="10"/>
      <c r="AF105" s="10"/>
      <c r="AG105" s="10"/>
      <c r="AH105" s="10"/>
      <c r="AI105" s="10"/>
      <c r="AJ105" s="20"/>
      <c r="AK105" s="20"/>
      <c r="AL105" s="10"/>
    </row>
    <row r="106" spans="1:38" ht="13.2">
      <c r="A106" s="1"/>
      <c r="B106" s="1"/>
      <c r="C106" s="198"/>
      <c r="D106" s="194"/>
      <c r="E106" s="194"/>
      <c r="F106" s="194"/>
      <c r="G106" s="194"/>
      <c r="H106" s="194"/>
      <c r="I106" s="194"/>
      <c r="J106" s="194"/>
      <c r="K106" s="194"/>
      <c r="L106" s="194"/>
      <c r="M106" s="194"/>
      <c r="N106" s="194"/>
      <c r="O106" s="194"/>
      <c r="P106" s="194"/>
      <c r="Q106" s="194"/>
      <c r="R106" s="194"/>
      <c r="S106" s="194"/>
      <c r="T106" s="199"/>
      <c r="U106" s="1"/>
      <c r="V106" s="2"/>
      <c r="W106" s="10"/>
      <c r="X106" s="10"/>
      <c r="Y106" s="10"/>
      <c r="Z106" s="10"/>
      <c r="AA106" s="10"/>
      <c r="AB106" s="10"/>
      <c r="AC106" s="20"/>
      <c r="AD106" s="20"/>
      <c r="AE106" s="10"/>
      <c r="AF106" s="10"/>
      <c r="AG106" s="10"/>
      <c r="AH106" s="10"/>
      <c r="AI106" s="10"/>
      <c r="AJ106" s="20"/>
      <c r="AK106" s="20"/>
      <c r="AL106" s="10"/>
    </row>
    <row r="107" spans="1:38" ht="13.2">
      <c r="A107" s="1"/>
      <c r="B107" s="1"/>
      <c r="C107" s="198"/>
      <c r="D107" s="194"/>
      <c r="E107" s="194"/>
      <c r="F107" s="194"/>
      <c r="G107" s="194"/>
      <c r="H107" s="194"/>
      <c r="I107" s="194"/>
      <c r="J107" s="194"/>
      <c r="K107" s="194"/>
      <c r="L107" s="194"/>
      <c r="M107" s="194"/>
      <c r="N107" s="194"/>
      <c r="O107" s="194"/>
      <c r="P107" s="194"/>
      <c r="Q107" s="194"/>
      <c r="R107" s="194"/>
      <c r="S107" s="194"/>
      <c r="T107" s="199"/>
      <c r="U107" s="1"/>
      <c r="V107" s="2"/>
      <c r="W107" s="10"/>
      <c r="X107" s="10"/>
      <c r="Y107" s="10"/>
      <c r="Z107" s="10"/>
      <c r="AA107" s="10"/>
      <c r="AB107" s="10"/>
      <c r="AC107" s="20"/>
      <c r="AD107" s="20"/>
      <c r="AE107" s="10"/>
      <c r="AF107" s="10"/>
      <c r="AG107" s="10"/>
      <c r="AH107" s="10"/>
      <c r="AI107" s="10"/>
      <c r="AJ107" s="20"/>
      <c r="AK107" s="20"/>
      <c r="AL107" s="10"/>
    </row>
    <row r="108" spans="1:38" ht="13.2">
      <c r="A108" s="1"/>
      <c r="B108" s="1"/>
      <c r="C108" s="200"/>
      <c r="D108" s="201"/>
      <c r="E108" s="201"/>
      <c r="F108" s="201"/>
      <c r="G108" s="201"/>
      <c r="H108" s="201"/>
      <c r="I108" s="201"/>
      <c r="J108" s="201"/>
      <c r="K108" s="201"/>
      <c r="L108" s="201"/>
      <c r="M108" s="201"/>
      <c r="N108" s="201"/>
      <c r="O108" s="201"/>
      <c r="P108" s="201"/>
      <c r="Q108" s="201"/>
      <c r="R108" s="201"/>
      <c r="S108" s="201"/>
      <c r="T108" s="202"/>
      <c r="U108" s="1"/>
      <c r="V108" s="2"/>
      <c r="W108" s="10"/>
      <c r="X108" s="10"/>
      <c r="Y108" s="10"/>
      <c r="Z108" s="10"/>
      <c r="AA108" s="10"/>
      <c r="AB108" s="10"/>
      <c r="AC108" s="20"/>
      <c r="AD108" s="20"/>
      <c r="AE108" s="10"/>
      <c r="AF108" s="10"/>
      <c r="AG108" s="10"/>
      <c r="AH108" s="10"/>
      <c r="AI108" s="10"/>
      <c r="AJ108" s="20"/>
      <c r="AK108" s="20"/>
      <c r="AL108" s="10"/>
    </row>
    <row r="109" spans="1:38" ht="13.2">
      <c r="A109" s="1"/>
      <c r="B109" s="1"/>
      <c r="C109" s="67"/>
      <c r="D109" s="1"/>
      <c r="E109" s="1"/>
      <c r="F109" s="10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68"/>
      <c r="R109" s="10"/>
      <c r="S109" s="1"/>
      <c r="T109" s="1"/>
      <c r="U109" s="1"/>
      <c r="V109" s="2"/>
      <c r="W109" s="10"/>
      <c r="X109" s="10"/>
      <c r="Y109" s="10"/>
      <c r="Z109" s="10"/>
      <c r="AA109" s="10"/>
      <c r="AB109" s="10"/>
      <c r="AC109" s="20"/>
      <c r="AD109" s="20"/>
      <c r="AE109" s="10"/>
      <c r="AF109" s="10"/>
      <c r="AG109" s="10"/>
      <c r="AH109" s="10"/>
      <c r="AI109" s="10"/>
      <c r="AJ109" s="20"/>
      <c r="AK109" s="20"/>
      <c r="AL109" s="10"/>
    </row>
    <row r="110" spans="1:38" ht="13.2">
      <c r="A110" s="1"/>
      <c r="B110" s="1"/>
      <c r="C110" s="67"/>
      <c r="D110" s="1"/>
      <c r="E110" s="1"/>
      <c r="F110" s="10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68"/>
      <c r="R110" s="10"/>
      <c r="S110" s="1"/>
      <c r="T110" s="1"/>
      <c r="U110" s="1"/>
      <c r="V110" s="2"/>
      <c r="W110" s="2"/>
      <c r="X110" s="2"/>
      <c r="Y110" s="2"/>
      <c r="Z110" s="2"/>
      <c r="AA110" s="2"/>
      <c r="AB110" s="2"/>
      <c r="AC110" s="14"/>
      <c r="AD110" s="14"/>
      <c r="AE110" s="2"/>
      <c r="AF110" s="2"/>
      <c r="AG110" s="2"/>
      <c r="AH110" s="2"/>
      <c r="AI110" s="2"/>
      <c r="AJ110" s="14"/>
      <c r="AK110" s="14"/>
      <c r="AL110" s="2"/>
    </row>
    <row r="111" spans="1:38" ht="15.6">
      <c r="A111" s="1"/>
      <c r="B111" s="28"/>
      <c r="C111" s="17"/>
      <c r="D111" s="29" t="s">
        <v>500</v>
      </c>
      <c r="E111" s="225" t="s">
        <v>519</v>
      </c>
      <c r="F111" s="194"/>
      <c r="G111" s="194"/>
      <c r="H111" s="19"/>
      <c r="I111" s="30"/>
      <c r="J111" s="30"/>
      <c r="K111" s="30"/>
      <c r="L111" s="30"/>
      <c r="M111" s="30"/>
      <c r="N111" s="30"/>
      <c r="O111" s="30"/>
      <c r="P111" s="29" t="s">
        <v>493</v>
      </c>
      <c r="Q111" s="207" t="s">
        <v>0</v>
      </c>
      <c r="R111" s="194"/>
      <c r="S111" s="19"/>
      <c r="T111" s="6"/>
      <c r="U111" s="31"/>
      <c r="V111" s="2"/>
      <c r="W111" s="10"/>
      <c r="X111" s="10"/>
      <c r="Y111" s="10"/>
      <c r="Z111" s="10"/>
      <c r="AA111" s="10"/>
      <c r="AB111" s="10"/>
      <c r="AC111" s="20"/>
      <c r="AD111" s="20"/>
      <c r="AE111" s="10"/>
      <c r="AF111" s="10"/>
      <c r="AG111" s="10"/>
      <c r="AH111" s="10"/>
      <c r="AI111" s="10"/>
      <c r="AJ111" s="20"/>
      <c r="AK111" s="20"/>
      <c r="AL111" s="10"/>
    </row>
    <row r="112" spans="1:38" ht="15.6">
      <c r="A112" s="1"/>
      <c r="B112" s="32"/>
      <c r="C112" s="16"/>
      <c r="D112" s="33" t="s">
        <v>494</v>
      </c>
      <c r="E112" s="30"/>
      <c r="F112" s="34"/>
      <c r="G112" s="19"/>
      <c r="H112" s="19"/>
      <c r="I112" s="19"/>
      <c r="J112" s="19"/>
      <c r="K112" s="19"/>
      <c r="L112" s="19"/>
      <c r="M112" s="19"/>
      <c r="N112" s="19"/>
      <c r="O112" s="19"/>
      <c r="P112" s="35" t="s">
        <v>98</v>
      </c>
      <c r="Q112" s="208" t="s">
        <v>99</v>
      </c>
      <c r="R112" s="194"/>
      <c r="S112" s="194"/>
      <c r="T112" s="194"/>
      <c r="U112" s="19"/>
      <c r="V112" s="2"/>
      <c r="W112" s="10"/>
      <c r="X112" s="10"/>
      <c r="Y112" s="10"/>
      <c r="Z112" s="10"/>
      <c r="AA112" s="10"/>
      <c r="AB112" s="10"/>
      <c r="AC112" s="20"/>
      <c r="AD112" s="20"/>
      <c r="AE112" s="10"/>
      <c r="AF112" s="10"/>
      <c r="AG112" s="10"/>
      <c r="AH112" s="10"/>
      <c r="AI112" s="10"/>
      <c r="AJ112" s="20"/>
      <c r="AK112" s="20"/>
      <c r="AL112" s="10"/>
    </row>
    <row r="113" spans="1:38" ht="15.6">
      <c r="A113" s="1"/>
      <c r="B113" s="7"/>
      <c r="C113" s="36"/>
      <c r="D113" s="30"/>
      <c r="E113" s="30"/>
      <c r="F113" s="34"/>
      <c r="G113" s="19"/>
      <c r="H113" s="19"/>
      <c r="I113" s="19"/>
      <c r="J113" s="19"/>
      <c r="K113" s="19"/>
      <c r="L113" s="19"/>
      <c r="M113" s="19"/>
      <c r="N113" s="19"/>
      <c r="O113" s="19"/>
      <c r="P113" s="30"/>
      <c r="Q113" s="37"/>
      <c r="R113" s="38"/>
      <c r="S113" s="19"/>
      <c r="T113" s="19"/>
      <c r="U113" s="19"/>
      <c r="V113" s="2"/>
      <c r="W113" s="15"/>
      <c r="X113" s="39"/>
      <c r="Y113" s="40"/>
      <c r="Z113" s="41"/>
      <c r="AA113" s="41"/>
      <c r="AB113" s="40"/>
      <c r="AC113" s="40"/>
      <c r="AD113" s="40"/>
      <c r="AE113" s="40"/>
      <c r="AF113" s="40"/>
      <c r="AG113" s="40"/>
      <c r="AH113" s="40"/>
      <c r="AI113" s="15"/>
      <c r="AJ113" s="40"/>
      <c r="AK113" s="40"/>
      <c r="AL113" s="40"/>
    </row>
    <row r="114" spans="1:38" ht="15.6">
      <c r="A114" s="1"/>
      <c r="B114" s="8"/>
      <c r="C114" s="226" t="s">
        <v>20</v>
      </c>
      <c r="D114" s="204"/>
      <c r="E114" s="203" t="s">
        <v>8</v>
      </c>
      <c r="F114" s="204"/>
      <c r="G114" s="204"/>
      <c r="H114" s="42"/>
      <c r="I114" s="43"/>
      <c r="J114" s="44"/>
      <c r="K114" s="44"/>
      <c r="L114" s="44"/>
      <c r="M114" s="44"/>
      <c r="N114" s="9"/>
      <c r="O114" s="209" t="s">
        <v>20</v>
      </c>
      <c r="P114" s="204"/>
      <c r="Q114" s="205" t="s">
        <v>9</v>
      </c>
      <c r="R114" s="204"/>
      <c r="S114" s="204"/>
      <c r="T114" s="45"/>
      <c r="U114" s="46"/>
      <c r="V114" s="2"/>
      <c r="W114" s="39"/>
      <c r="X114" s="40"/>
      <c r="Y114" s="41"/>
      <c r="Z114" s="210"/>
      <c r="AA114" s="194"/>
      <c r="AB114" s="41"/>
      <c r="AC114" s="10"/>
      <c r="AD114" s="41"/>
      <c r="AE114" s="210"/>
      <c r="AF114" s="194"/>
      <c r="AG114" s="210"/>
      <c r="AH114" s="194"/>
      <c r="AI114" s="47"/>
      <c r="AJ114" s="10"/>
      <c r="AK114" s="41"/>
      <c r="AL114" s="41"/>
    </row>
    <row r="115" spans="1:38" ht="15.6">
      <c r="A115" s="1"/>
      <c r="B115" s="43"/>
      <c r="C115" s="223" t="s">
        <v>2</v>
      </c>
      <c r="D115" s="193"/>
      <c r="E115" s="224">
        <v>46</v>
      </c>
      <c r="F115" s="204"/>
      <c r="G115" s="204"/>
      <c r="H115" s="48"/>
      <c r="I115" s="43"/>
      <c r="J115" s="49"/>
      <c r="K115" s="49"/>
      <c r="L115" s="49"/>
      <c r="M115" s="49"/>
      <c r="N115" s="9"/>
      <c r="O115" s="211" t="s">
        <v>2</v>
      </c>
      <c r="P115" s="193"/>
      <c r="Q115" s="212">
        <v>30</v>
      </c>
      <c r="R115" s="204"/>
      <c r="S115" s="204"/>
      <c r="T115" s="50"/>
      <c r="U115" s="46"/>
      <c r="V115" s="2"/>
      <c r="W115" s="47"/>
      <c r="X115" s="51"/>
      <c r="Y115" s="41"/>
      <c r="Z115" s="210"/>
      <c r="AA115" s="194"/>
      <c r="AB115" s="10"/>
      <c r="AC115" s="10"/>
      <c r="AD115" s="41"/>
      <c r="AE115" s="210"/>
      <c r="AF115" s="194"/>
      <c r="AG115" s="210"/>
      <c r="AH115" s="194"/>
      <c r="AI115" s="47"/>
      <c r="AJ115" s="10"/>
      <c r="AK115" s="41"/>
      <c r="AL115" s="41"/>
    </row>
    <row r="116" spans="1:38" ht="13.2">
      <c r="A116" s="1"/>
      <c r="B116" s="52"/>
      <c r="C116" s="53" t="s">
        <v>495</v>
      </c>
      <c r="D116" s="213" t="s">
        <v>8</v>
      </c>
      <c r="E116" s="193"/>
      <c r="F116" s="54" t="s">
        <v>21</v>
      </c>
      <c r="G116" s="55" t="s">
        <v>496</v>
      </c>
      <c r="H116" s="55"/>
      <c r="I116" s="56"/>
      <c r="J116" s="11"/>
      <c r="K116" s="11"/>
      <c r="L116" s="11"/>
      <c r="M116" s="57"/>
      <c r="N116" s="56"/>
      <c r="O116" s="53" t="s">
        <v>495</v>
      </c>
      <c r="P116" s="213" t="s">
        <v>9</v>
      </c>
      <c r="Q116" s="193"/>
      <c r="R116" s="54" t="s">
        <v>21</v>
      </c>
      <c r="S116" s="55" t="s">
        <v>496</v>
      </c>
      <c r="T116" s="55"/>
      <c r="U116" s="56"/>
      <c r="V116" s="2"/>
      <c r="W116" s="39" t="s">
        <v>495</v>
      </c>
      <c r="X116" s="58" t="s">
        <v>497</v>
      </c>
      <c r="Y116" s="41" t="s">
        <v>496</v>
      </c>
      <c r="Z116" s="41" t="s">
        <v>21</v>
      </c>
      <c r="AA116" s="41"/>
      <c r="AB116" s="58"/>
      <c r="AC116" s="58"/>
      <c r="AD116" s="41"/>
      <c r="AE116" s="41"/>
      <c r="AF116" s="41"/>
      <c r="AG116" s="41"/>
      <c r="AH116" s="41"/>
      <c r="AI116" s="39"/>
      <c r="AJ116" s="58" t="s">
        <v>497</v>
      </c>
      <c r="AK116" s="41" t="s">
        <v>496</v>
      </c>
      <c r="AL116" s="41" t="s">
        <v>21</v>
      </c>
    </row>
    <row r="117" spans="1:38" ht="13.2">
      <c r="A117" s="1"/>
      <c r="B117" s="59"/>
      <c r="C117" s="60">
        <v>1</v>
      </c>
      <c r="D117" s="206" t="s">
        <v>246</v>
      </c>
      <c r="E117" s="201"/>
      <c r="F117" s="61">
        <v>71.45</v>
      </c>
      <c r="G117" s="60" t="s">
        <v>30</v>
      </c>
      <c r="H117" s="60"/>
      <c r="I117" s="62"/>
      <c r="J117" s="11"/>
      <c r="K117" s="11"/>
      <c r="L117" s="11"/>
      <c r="M117" s="11"/>
      <c r="N117" s="59"/>
      <c r="O117" s="60">
        <v>1</v>
      </c>
      <c r="P117" s="206" t="s">
        <v>231</v>
      </c>
      <c r="Q117" s="202"/>
      <c r="R117" s="61">
        <v>63.55</v>
      </c>
      <c r="S117" s="60" t="s">
        <v>68</v>
      </c>
      <c r="T117" s="60"/>
      <c r="U117" s="62"/>
      <c r="V117" s="2"/>
      <c r="W117" s="63">
        <v>1</v>
      </c>
      <c r="X117" s="64" t="s">
        <v>246</v>
      </c>
      <c r="Y117" s="20" t="s">
        <v>30</v>
      </c>
      <c r="Z117" s="20">
        <v>71.45</v>
      </c>
      <c r="AA117" s="20"/>
      <c r="AB117" s="64"/>
      <c r="AC117" s="64"/>
      <c r="AD117" s="20"/>
      <c r="AE117" s="20"/>
      <c r="AF117" s="20"/>
      <c r="AG117" s="65"/>
      <c r="AH117" s="66"/>
      <c r="AI117" s="40"/>
      <c r="AJ117" s="64" t="s">
        <v>231</v>
      </c>
      <c r="AK117" s="20" t="s">
        <v>68</v>
      </c>
      <c r="AL117" s="20">
        <v>63.55</v>
      </c>
    </row>
    <row r="118" spans="1:38" ht="13.2">
      <c r="A118" s="1"/>
      <c r="B118" s="59"/>
      <c r="C118" s="60">
        <v>2</v>
      </c>
      <c r="D118" s="206" t="s">
        <v>228</v>
      </c>
      <c r="E118" s="201"/>
      <c r="F118" s="61">
        <v>59.25</v>
      </c>
      <c r="G118" s="60" t="s">
        <v>97</v>
      </c>
      <c r="H118" s="60"/>
      <c r="I118" s="62"/>
      <c r="J118" s="11"/>
      <c r="K118" s="11"/>
      <c r="L118" s="11"/>
      <c r="M118" s="11"/>
      <c r="N118" s="59"/>
      <c r="O118" s="60">
        <v>2</v>
      </c>
      <c r="P118" s="206" t="s">
        <v>190</v>
      </c>
      <c r="Q118" s="201"/>
      <c r="R118" s="61">
        <v>52.95</v>
      </c>
      <c r="S118" s="60" t="s">
        <v>50</v>
      </c>
      <c r="T118" s="60"/>
      <c r="U118" s="62"/>
      <c r="V118" s="2"/>
      <c r="W118" s="63">
        <v>2</v>
      </c>
      <c r="X118" s="64" t="s">
        <v>228</v>
      </c>
      <c r="Y118" s="20" t="s">
        <v>97</v>
      </c>
      <c r="Z118" s="20">
        <v>59.25</v>
      </c>
      <c r="AA118" s="20"/>
      <c r="AB118" s="10"/>
      <c r="AC118" s="10"/>
      <c r="AD118" s="20"/>
      <c r="AE118" s="20"/>
      <c r="AF118" s="20"/>
      <c r="AG118" s="65"/>
      <c r="AH118" s="66"/>
      <c r="AI118" s="40"/>
      <c r="AJ118" s="10" t="s">
        <v>190</v>
      </c>
      <c r="AK118" s="20" t="s">
        <v>50</v>
      </c>
      <c r="AL118" s="20">
        <v>52.95</v>
      </c>
    </row>
    <row r="119" spans="1:38" ht="13.2">
      <c r="A119" s="1"/>
      <c r="B119" s="59"/>
      <c r="C119" s="60">
        <v>3</v>
      </c>
      <c r="D119" s="206" t="s">
        <v>245</v>
      </c>
      <c r="E119" s="201"/>
      <c r="F119" s="61">
        <v>56.2</v>
      </c>
      <c r="G119" s="60" t="s">
        <v>35</v>
      </c>
      <c r="H119" s="60"/>
      <c r="I119" s="62"/>
      <c r="J119" s="11"/>
      <c r="K119" s="11"/>
      <c r="L119" s="11"/>
      <c r="M119" s="11"/>
      <c r="N119" s="59"/>
      <c r="O119" s="60">
        <v>3</v>
      </c>
      <c r="P119" s="206" t="s">
        <v>184</v>
      </c>
      <c r="Q119" s="201"/>
      <c r="R119" s="61">
        <v>49.3</v>
      </c>
      <c r="S119" s="60" t="s">
        <v>134</v>
      </c>
      <c r="T119" s="60"/>
      <c r="U119" s="62"/>
      <c r="V119" s="2"/>
      <c r="W119" s="63">
        <v>3</v>
      </c>
      <c r="X119" s="64" t="s">
        <v>245</v>
      </c>
      <c r="Y119" s="20" t="s">
        <v>35</v>
      </c>
      <c r="Z119" s="20">
        <v>56.2</v>
      </c>
      <c r="AA119" s="20"/>
      <c r="AB119" s="10"/>
      <c r="AC119" s="10"/>
      <c r="AD119" s="20"/>
      <c r="AE119" s="20"/>
      <c r="AF119" s="20"/>
      <c r="AG119" s="65"/>
      <c r="AH119" s="66"/>
      <c r="AI119" s="40"/>
      <c r="AJ119" s="10" t="s">
        <v>184</v>
      </c>
      <c r="AK119" s="20" t="s">
        <v>134</v>
      </c>
      <c r="AL119" s="20">
        <v>49.3</v>
      </c>
    </row>
    <row r="120" spans="1:38" ht="13.2">
      <c r="A120" s="1"/>
      <c r="B120" s="59"/>
      <c r="C120" s="60">
        <v>4</v>
      </c>
      <c r="D120" s="206" t="s">
        <v>223</v>
      </c>
      <c r="E120" s="201"/>
      <c r="F120" s="61">
        <v>54.3</v>
      </c>
      <c r="G120" s="60" t="s">
        <v>76</v>
      </c>
      <c r="H120" s="60"/>
      <c r="I120" s="62"/>
      <c r="J120" s="11"/>
      <c r="K120" s="11"/>
      <c r="L120" s="11"/>
      <c r="M120" s="11"/>
      <c r="N120" s="59"/>
      <c r="O120" s="60">
        <v>4</v>
      </c>
      <c r="P120" s="206" t="s">
        <v>214</v>
      </c>
      <c r="Q120" s="201"/>
      <c r="R120" s="61">
        <v>48.5</v>
      </c>
      <c r="S120" s="60" t="s">
        <v>50</v>
      </c>
      <c r="T120" s="60"/>
      <c r="U120" s="62"/>
      <c r="V120" s="2"/>
      <c r="W120" s="63">
        <v>4</v>
      </c>
      <c r="X120" s="64" t="s">
        <v>223</v>
      </c>
      <c r="Y120" s="20" t="s">
        <v>76</v>
      </c>
      <c r="Z120" s="20">
        <v>54.3</v>
      </c>
      <c r="AA120" s="20"/>
      <c r="AB120" s="10"/>
      <c r="AC120" s="10"/>
      <c r="AD120" s="20"/>
      <c r="AE120" s="20"/>
      <c r="AF120" s="20"/>
      <c r="AG120" s="65"/>
      <c r="AH120" s="66"/>
      <c r="AI120" s="40"/>
      <c r="AJ120" s="10" t="s">
        <v>214</v>
      </c>
      <c r="AK120" s="20" t="s">
        <v>50</v>
      </c>
      <c r="AL120" s="20">
        <v>48.5</v>
      </c>
    </row>
    <row r="121" spans="1:38" ht="13.2">
      <c r="A121" s="1"/>
      <c r="B121" s="59"/>
      <c r="C121" s="60">
        <v>5</v>
      </c>
      <c r="D121" s="206" t="s">
        <v>205</v>
      </c>
      <c r="E121" s="201"/>
      <c r="F121" s="61">
        <v>52.05</v>
      </c>
      <c r="G121" s="60" t="s">
        <v>75</v>
      </c>
      <c r="H121" s="60"/>
      <c r="I121" s="62"/>
      <c r="J121" s="11"/>
      <c r="K121" s="11"/>
      <c r="L121" s="11"/>
      <c r="M121" s="11"/>
      <c r="N121" s="59"/>
      <c r="O121" s="60">
        <v>5</v>
      </c>
      <c r="P121" s="206" t="s">
        <v>202</v>
      </c>
      <c r="Q121" s="201"/>
      <c r="R121" s="61">
        <v>46.15</v>
      </c>
      <c r="S121" s="60" t="s">
        <v>52</v>
      </c>
      <c r="T121" s="60"/>
      <c r="U121" s="62"/>
      <c r="V121" s="2"/>
      <c r="W121" s="63">
        <v>5</v>
      </c>
      <c r="X121" s="64" t="s">
        <v>205</v>
      </c>
      <c r="Y121" s="20" t="s">
        <v>75</v>
      </c>
      <c r="Z121" s="20">
        <v>52.05</v>
      </c>
      <c r="AA121" s="20"/>
      <c r="AB121" s="10"/>
      <c r="AC121" s="10"/>
      <c r="AD121" s="20"/>
      <c r="AE121" s="20"/>
      <c r="AF121" s="20"/>
      <c r="AG121" s="65"/>
      <c r="AH121" s="66"/>
      <c r="AI121" s="40"/>
      <c r="AJ121" s="10" t="s">
        <v>202</v>
      </c>
      <c r="AK121" s="20" t="s">
        <v>52</v>
      </c>
      <c r="AL121" s="20">
        <v>46.15</v>
      </c>
    </row>
    <row r="122" spans="1:38" ht="13.2">
      <c r="A122" s="1"/>
      <c r="B122" s="59"/>
      <c r="C122" s="60" t="s">
        <v>503</v>
      </c>
      <c r="D122" s="206" t="s">
        <v>232</v>
      </c>
      <c r="E122" s="201"/>
      <c r="F122" s="61">
        <v>49.5</v>
      </c>
      <c r="G122" s="60" t="s">
        <v>55</v>
      </c>
      <c r="H122" s="60"/>
      <c r="I122" s="62"/>
      <c r="J122" s="11"/>
      <c r="K122" s="11"/>
      <c r="L122" s="11"/>
      <c r="M122" s="11"/>
      <c r="N122" s="59"/>
      <c r="O122" s="60">
        <v>6</v>
      </c>
      <c r="P122" s="206" t="s">
        <v>197</v>
      </c>
      <c r="Q122" s="201"/>
      <c r="R122" s="61">
        <v>41.65</v>
      </c>
      <c r="S122" s="60" t="s">
        <v>75</v>
      </c>
      <c r="T122" s="60"/>
      <c r="U122" s="62"/>
      <c r="V122" s="2"/>
      <c r="W122" s="63">
        <v>6</v>
      </c>
      <c r="X122" s="64" t="s">
        <v>232</v>
      </c>
      <c r="Y122" s="20" t="s">
        <v>55</v>
      </c>
      <c r="Z122" s="20">
        <v>49.5</v>
      </c>
      <c r="AA122" s="20"/>
      <c r="AB122" s="10"/>
      <c r="AC122" s="10"/>
      <c r="AD122" s="20"/>
      <c r="AE122" s="20"/>
      <c r="AF122" s="20"/>
      <c r="AG122" s="65"/>
      <c r="AH122" s="66"/>
      <c r="AI122" s="40"/>
      <c r="AJ122" s="10" t="s">
        <v>197</v>
      </c>
      <c r="AK122" s="20" t="s">
        <v>75</v>
      </c>
      <c r="AL122" s="20">
        <v>41.65</v>
      </c>
    </row>
    <row r="123" spans="1:38" ht="13.2">
      <c r="A123" s="1"/>
      <c r="B123" s="59"/>
      <c r="C123" s="60" t="s">
        <v>503</v>
      </c>
      <c r="D123" s="206" t="s">
        <v>241</v>
      </c>
      <c r="E123" s="201"/>
      <c r="F123" s="61">
        <v>49.5</v>
      </c>
      <c r="G123" s="60" t="s">
        <v>79</v>
      </c>
      <c r="H123" s="60"/>
      <c r="I123" s="62"/>
      <c r="J123" s="11"/>
      <c r="K123" s="11"/>
      <c r="L123" s="11"/>
      <c r="M123" s="11"/>
      <c r="N123" s="59"/>
      <c r="O123" s="60">
        <v>7</v>
      </c>
      <c r="P123" s="206" t="s">
        <v>196</v>
      </c>
      <c r="Q123" s="201"/>
      <c r="R123" s="61">
        <v>35.85</v>
      </c>
      <c r="S123" s="60" t="s">
        <v>52</v>
      </c>
      <c r="T123" s="60"/>
      <c r="U123" s="62"/>
      <c r="V123" s="2"/>
      <c r="W123" s="63">
        <v>7</v>
      </c>
      <c r="X123" s="64" t="s">
        <v>241</v>
      </c>
      <c r="Y123" s="20" t="s">
        <v>79</v>
      </c>
      <c r="Z123" s="20">
        <v>49.5</v>
      </c>
      <c r="AA123" s="20"/>
      <c r="AB123" s="10"/>
      <c r="AC123" s="10"/>
      <c r="AD123" s="20"/>
      <c r="AE123" s="20"/>
      <c r="AF123" s="20"/>
      <c r="AG123" s="65"/>
      <c r="AH123" s="66"/>
      <c r="AI123" s="40"/>
      <c r="AJ123" s="10" t="s">
        <v>196</v>
      </c>
      <c r="AK123" s="20" t="s">
        <v>52</v>
      </c>
      <c r="AL123" s="20">
        <v>35.85</v>
      </c>
    </row>
    <row r="124" spans="1:38" ht="13.2">
      <c r="A124" s="1"/>
      <c r="B124" s="59"/>
      <c r="C124" s="60">
        <v>8</v>
      </c>
      <c r="D124" s="206" t="s">
        <v>207</v>
      </c>
      <c r="E124" s="201"/>
      <c r="F124" s="61">
        <v>48.5</v>
      </c>
      <c r="G124" s="60" t="s">
        <v>30</v>
      </c>
      <c r="H124" s="60"/>
      <c r="I124" s="62"/>
      <c r="J124" s="11"/>
      <c r="K124" s="11"/>
      <c r="L124" s="11"/>
      <c r="M124" s="11"/>
      <c r="N124" s="59"/>
      <c r="O124" s="60">
        <v>8</v>
      </c>
      <c r="P124" s="206" t="s">
        <v>226</v>
      </c>
      <c r="Q124" s="201"/>
      <c r="R124" s="61">
        <v>35.6</v>
      </c>
      <c r="S124" s="60" t="s">
        <v>50</v>
      </c>
      <c r="T124" s="60"/>
      <c r="U124" s="62"/>
      <c r="V124" s="2"/>
      <c r="W124" s="63">
        <v>8</v>
      </c>
      <c r="X124" s="64" t="s">
        <v>207</v>
      </c>
      <c r="Y124" s="20" t="s">
        <v>30</v>
      </c>
      <c r="Z124" s="20">
        <v>48.5</v>
      </c>
      <c r="AA124" s="20"/>
      <c r="AB124" s="10"/>
      <c r="AC124" s="10"/>
      <c r="AD124" s="20"/>
      <c r="AE124" s="20"/>
      <c r="AF124" s="20"/>
      <c r="AG124" s="65"/>
      <c r="AH124" s="66"/>
      <c r="AI124" s="40"/>
      <c r="AJ124" s="10" t="s">
        <v>226</v>
      </c>
      <c r="AK124" s="20" t="s">
        <v>50</v>
      </c>
      <c r="AL124" s="20">
        <v>35.6</v>
      </c>
    </row>
    <row r="125" spans="1:38" ht="13.2">
      <c r="A125" s="1"/>
      <c r="B125" s="59"/>
      <c r="C125" s="60">
        <v>9</v>
      </c>
      <c r="D125" s="206" t="s">
        <v>180</v>
      </c>
      <c r="E125" s="201"/>
      <c r="F125" s="61">
        <v>48.2</v>
      </c>
      <c r="G125" s="60" t="s">
        <v>40</v>
      </c>
      <c r="H125" s="60"/>
      <c r="I125" s="62"/>
      <c r="J125" s="11"/>
      <c r="K125" s="11"/>
      <c r="L125" s="11"/>
      <c r="M125" s="11"/>
      <c r="N125" s="59"/>
      <c r="O125" s="60">
        <v>9</v>
      </c>
      <c r="P125" s="206" t="s">
        <v>199</v>
      </c>
      <c r="Q125" s="201"/>
      <c r="R125" s="61">
        <v>34.65</v>
      </c>
      <c r="S125" s="60" t="s">
        <v>40</v>
      </c>
      <c r="T125" s="60"/>
      <c r="U125" s="62"/>
      <c r="V125" s="2"/>
      <c r="W125" s="63">
        <v>9</v>
      </c>
      <c r="X125" s="64" t="s">
        <v>180</v>
      </c>
      <c r="Y125" s="20" t="s">
        <v>40</v>
      </c>
      <c r="Z125" s="20">
        <v>48.2</v>
      </c>
      <c r="AA125" s="20"/>
      <c r="AB125" s="10"/>
      <c r="AC125" s="10"/>
      <c r="AD125" s="20"/>
      <c r="AE125" s="20"/>
      <c r="AF125" s="20"/>
      <c r="AG125" s="65"/>
      <c r="AH125" s="66"/>
      <c r="AI125" s="40"/>
      <c r="AJ125" s="10" t="s">
        <v>199</v>
      </c>
      <c r="AK125" s="20" t="s">
        <v>40</v>
      </c>
      <c r="AL125" s="20">
        <v>34.65</v>
      </c>
    </row>
    <row r="126" spans="1:38" ht="13.2">
      <c r="A126" s="1"/>
      <c r="B126" s="59"/>
      <c r="C126" s="60">
        <v>10</v>
      </c>
      <c r="D126" s="206" t="s">
        <v>191</v>
      </c>
      <c r="E126" s="201"/>
      <c r="F126" s="61">
        <v>45.95</v>
      </c>
      <c r="G126" s="60" t="s">
        <v>97</v>
      </c>
      <c r="H126" s="60"/>
      <c r="I126" s="62"/>
      <c r="J126" s="11"/>
      <c r="K126" s="11"/>
      <c r="L126" s="11"/>
      <c r="M126" s="11"/>
      <c r="N126" s="59"/>
      <c r="O126" s="60">
        <v>10</v>
      </c>
      <c r="P126" s="206" t="s">
        <v>181</v>
      </c>
      <c r="Q126" s="201"/>
      <c r="R126" s="61">
        <v>32.549999999999997</v>
      </c>
      <c r="S126" s="60" t="s">
        <v>54</v>
      </c>
      <c r="T126" s="60"/>
      <c r="U126" s="62"/>
      <c r="V126" s="2"/>
      <c r="W126" s="63">
        <v>10</v>
      </c>
      <c r="X126" s="64" t="s">
        <v>191</v>
      </c>
      <c r="Y126" s="20" t="s">
        <v>97</v>
      </c>
      <c r="Z126" s="20">
        <v>45.95</v>
      </c>
      <c r="AA126" s="20"/>
      <c r="AB126" s="10"/>
      <c r="AC126" s="10"/>
      <c r="AD126" s="20"/>
      <c r="AE126" s="20"/>
      <c r="AF126" s="20"/>
      <c r="AG126" s="65"/>
      <c r="AH126" s="66"/>
      <c r="AI126" s="40"/>
      <c r="AJ126" s="10" t="s">
        <v>181</v>
      </c>
      <c r="AK126" s="20" t="s">
        <v>54</v>
      </c>
      <c r="AL126" s="20">
        <v>32.549999999999997</v>
      </c>
    </row>
    <row r="127" spans="1:38" ht="13.2">
      <c r="A127" s="1"/>
      <c r="B127" s="59"/>
      <c r="C127" s="60">
        <v>11</v>
      </c>
      <c r="D127" s="206" t="s">
        <v>210</v>
      </c>
      <c r="E127" s="201"/>
      <c r="F127" s="61">
        <v>45.5</v>
      </c>
      <c r="G127" s="60" t="s">
        <v>76</v>
      </c>
      <c r="H127" s="60"/>
      <c r="I127" s="62"/>
      <c r="J127" s="11"/>
      <c r="K127" s="11"/>
      <c r="L127" s="11"/>
      <c r="M127" s="11"/>
      <c r="N127" s="59"/>
      <c r="O127" s="60">
        <v>11</v>
      </c>
      <c r="P127" s="206" t="s">
        <v>229</v>
      </c>
      <c r="Q127" s="201"/>
      <c r="R127" s="61">
        <v>31.5</v>
      </c>
      <c r="S127" s="60" t="s">
        <v>37</v>
      </c>
      <c r="T127" s="60"/>
      <c r="U127" s="62"/>
      <c r="V127" s="2"/>
      <c r="W127" s="63">
        <v>11</v>
      </c>
      <c r="X127" s="64" t="s">
        <v>210</v>
      </c>
      <c r="Y127" s="20" t="s">
        <v>76</v>
      </c>
      <c r="Z127" s="20">
        <v>45.5</v>
      </c>
      <c r="AA127" s="20"/>
      <c r="AB127" s="10"/>
      <c r="AC127" s="10"/>
      <c r="AD127" s="20"/>
      <c r="AE127" s="20"/>
      <c r="AF127" s="20"/>
      <c r="AG127" s="65"/>
      <c r="AH127" s="66"/>
      <c r="AI127" s="40"/>
      <c r="AJ127" s="10" t="s">
        <v>229</v>
      </c>
      <c r="AK127" s="20" t="s">
        <v>37</v>
      </c>
      <c r="AL127" s="20">
        <v>31.5</v>
      </c>
    </row>
    <row r="128" spans="1:38" ht="13.2">
      <c r="A128" s="1"/>
      <c r="B128" s="59"/>
      <c r="C128" s="60">
        <v>12</v>
      </c>
      <c r="D128" s="206" t="s">
        <v>230</v>
      </c>
      <c r="E128" s="201"/>
      <c r="F128" s="61">
        <v>43.55</v>
      </c>
      <c r="G128" s="60" t="s">
        <v>89</v>
      </c>
      <c r="H128" s="60"/>
      <c r="I128" s="62"/>
      <c r="J128" s="11"/>
      <c r="K128" s="11"/>
      <c r="L128" s="11"/>
      <c r="M128" s="11"/>
      <c r="N128" s="59"/>
      <c r="O128" s="60">
        <v>12</v>
      </c>
      <c r="P128" s="206" t="s">
        <v>200</v>
      </c>
      <c r="Q128" s="201"/>
      <c r="R128" s="61">
        <v>28.7</v>
      </c>
      <c r="S128" s="60" t="s">
        <v>65</v>
      </c>
      <c r="T128" s="60"/>
      <c r="U128" s="62"/>
      <c r="V128" s="2"/>
      <c r="W128" s="63">
        <v>12</v>
      </c>
      <c r="X128" s="64" t="s">
        <v>230</v>
      </c>
      <c r="Y128" s="20" t="s">
        <v>89</v>
      </c>
      <c r="Z128" s="20">
        <v>43.55</v>
      </c>
      <c r="AA128" s="20"/>
      <c r="AB128" s="10"/>
      <c r="AC128" s="10"/>
      <c r="AD128" s="20"/>
      <c r="AE128" s="20"/>
      <c r="AF128" s="20"/>
      <c r="AG128" s="65"/>
      <c r="AH128" s="66"/>
      <c r="AI128" s="40"/>
      <c r="AJ128" s="10" t="s">
        <v>200</v>
      </c>
      <c r="AK128" s="20" t="s">
        <v>65</v>
      </c>
      <c r="AL128" s="20">
        <v>28.7</v>
      </c>
    </row>
    <row r="129" spans="1:38" ht="13.2">
      <c r="A129" s="1"/>
      <c r="B129" s="59"/>
      <c r="C129" s="60">
        <v>13</v>
      </c>
      <c r="D129" s="206" t="s">
        <v>233</v>
      </c>
      <c r="E129" s="201"/>
      <c r="F129" s="61">
        <v>41.5</v>
      </c>
      <c r="G129" s="60" t="s">
        <v>40</v>
      </c>
      <c r="H129" s="60"/>
      <c r="I129" s="62"/>
      <c r="J129" s="11"/>
      <c r="K129" s="11"/>
      <c r="L129" s="11"/>
      <c r="M129" s="11"/>
      <c r="N129" s="59"/>
      <c r="O129" s="60">
        <v>13</v>
      </c>
      <c r="P129" s="206" t="s">
        <v>211</v>
      </c>
      <c r="Q129" s="201"/>
      <c r="R129" s="61">
        <v>28.55</v>
      </c>
      <c r="S129" s="60" t="s">
        <v>75</v>
      </c>
      <c r="T129" s="60"/>
      <c r="U129" s="62"/>
      <c r="V129" s="2"/>
      <c r="W129" s="63">
        <v>13</v>
      </c>
      <c r="X129" s="64" t="s">
        <v>233</v>
      </c>
      <c r="Y129" s="20" t="s">
        <v>40</v>
      </c>
      <c r="Z129" s="20">
        <v>41.5</v>
      </c>
      <c r="AA129" s="20"/>
      <c r="AB129" s="10"/>
      <c r="AC129" s="10"/>
      <c r="AD129" s="20"/>
      <c r="AE129" s="20"/>
      <c r="AF129" s="20"/>
      <c r="AG129" s="65"/>
      <c r="AH129" s="66"/>
      <c r="AI129" s="40"/>
      <c r="AJ129" s="10" t="s">
        <v>211</v>
      </c>
      <c r="AK129" s="20" t="s">
        <v>75</v>
      </c>
      <c r="AL129" s="20">
        <v>28.55</v>
      </c>
    </row>
    <row r="130" spans="1:38" ht="13.2">
      <c r="A130" s="1"/>
      <c r="B130" s="59"/>
      <c r="C130" s="60">
        <v>14</v>
      </c>
      <c r="D130" s="206" t="s">
        <v>243</v>
      </c>
      <c r="E130" s="201"/>
      <c r="F130" s="61">
        <v>41.1</v>
      </c>
      <c r="G130" s="60" t="s">
        <v>28</v>
      </c>
      <c r="H130" s="60"/>
      <c r="I130" s="62"/>
      <c r="J130" s="11"/>
      <c r="K130" s="11"/>
      <c r="L130" s="11"/>
      <c r="M130" s="11"/>
      <c r="N130" s="59"/>
      <c r="O130" s="60">
        <v>14</v>
      </c>
      <c r="P130" s="206" t="s">
        <v>173</v>
      </c>
      <c r="Q130" s="201"/>
      <c r="R130" s="61">
        <v>26.7</v>
      </c>
      <c r="S130" s="60" t="s">
        <v>55</v>
      </c>
      <c r="T130" s="60"/>
      <c r="U130" s="62"/>
      <c r="V130" s="2"/>
      <c r="W130" s="63">
        <v>14</v>
      </c>
      <c r="X130" s="64" t="s">
        <v>243</v>
      </c>
      <c r="Y130" s="20" t="s">
        <v>28</v>
      </c>
      <c r="Z130" s="20">
        <v>41.1</v>
      </c>
      <c r="AA130" s="20"/>
      <c r="AB130" s="10"/>
      <c r="AC130" s="10"/>
      <c r="AD130" s="20"/>
      <c r="AE130" s="20"/>
      <c r="AF130" s="20"/>
      <c r="AG130" s="65"/>
      <c r="AH130" s="66"/>
      <c r="AI130" s="40"/>
      <c r="AJ130" s="10" t="s">
        <v>173</v>
      </c>
      <c r="AK130" s="20" t="s">
        <v>55</v>
      </c>
      <c r="AL130" s="20">
        <v>26.7</v>
      </c>
    </row>
    <row r="131" spans="1:38" ht="13.2">
      <c r="A131" s="1"/>
      <c r="B131" s="59"/>
      <c r="C131" s="60">
        <v>15</v>
      </c>
      <c r="D131" s="206" t="s">
        <v>235</v>
      </c>
      <c r="E131" s="201"/>
      <c r="F131" s="61">
        <v>39.65</v>
      </c>
      <c r="G131" s="60" t="s">
        <v>37</v>
      </c>
      <c r="H131" s="60"/>
      <c r="I131" s="62"/>
      <c r="J131" s="11"/>
      <c r="K131" s="11"/>
      <c r="L131" s="11"/>
      <c r="M131" s="11"/>
      <c r="N131" s="59"/>
      <c r="O131" s="60">
        <v>15</v>
      </c>
      <c r="P131" s="206" t="s">
        <v>119</v>
      </c>
      <c r="Q131" s="201"/>
      <c r="R131" s="61">
        <v>24.75</v>
      </c>
      <c r="S131" s="60" t="s">
        <v>55</v>
      </c>
      <c r="T131" s="60"/>
      <c r="U131" s="62"/>
      <c r="V131" s="2"/>
      <c r="W131" s="63">
        <v>15</v>
      </c>
      <c r="X131" s="64" t="s">
        <v>235</v>
      </c>
      <c r="Y131" s="20" t="s">
        <v>37</v>
      </c>
      <c r="Z131" s="20">
        <v>39.65</v>
      </c>
      <c r="AA131" s="20"/>
      <c r="AB131" s="10"/>
      <c r="AC131" s="10"/>
      <c r="AD131" s="20"/>
      <c r="AE131" s="20"/>
      <c r="AF131" s="20"/>
      <c r="AG131" s="65"/>
      <c r="AH131" s="66"/>
      <c r="AI131" s="40"/>
      <c r="AJ131" s="10" t="s">
        <v>119</v>
      </c>
      <c r="AK131" s="20" t="s">
        <v>55</v>
      </c>
      <c r="AL131" s="20">
        <v>24.75</v>
      </c>
    </row>
    <row r="132" spans="1:38" ht="13.2">
      <c r="A132" s="1"/>
      <c r="B132" s="59"/>
      <c r="C132" s="60">
        <v>16</v>
      </c>
      <c r="D132" s="206" t="s">
        <v>178</v>
      </c>
      <c r="E132" s="201"/>
      <c r="F132" s="61">
        <v>38.700000000000003</v>
      </c>
      <c r="G132" s="60" t="s">
        <v>42</v>
      </c>
      <c r="H132" s="60"/>
      <c r="I132" s="62"/>
      <c r="J132" s="11"/>
      <c r="K132" s="11"/>
      <c r="L132" s="11"/>
      <c r="M132" s="11"/>
      <c r="N132" s="59"/>
      <c r="O132" s="60">
        <v>16</v>
      </c>
      <c r="P132" s="206" t="s">
        <v>186</v>
      </c>
      <c r="Q132" s="201"/>
      <c r="R132" s="61">
        <v>24.65</v>
      </c>
      <c r="S132" s="60" t="s">
        <v>48</v>
      </c>
      <c r="T132" s="60"/>
      <c r="U132" s="62"/>
      <c r="V132" s="2"/>
      <c r="W132" s="63">
        <v>16</v>
      </c>
      <c r="X132" s="64" t="s">
        <v>178</v>
      </c>
      <c r="Y132" s="20" t="s">
        <v>42</v>
      </c>
      <c r="Z132" s="20">
        <v>38.700000000000003</v>
      </c>
      <c r="AA132" s="20"/>
      <c r="AB132" s="10"/>
      <c r="AC132" s="10"/>
      <c r="AD132" s="20"/>
      <c r="AE132" s="20"/>
      <c r="AF132" s="20"/>
      <c r="AG132" s="65"/>
      <c r="AH132" s="66"/>
      <c r="AI132" s="40"/>
      <c r="AJ132" s="10" t="s">
        <v>186</v>
      </c>
      <c r="AK132" s="20" t="s">
        <v>48</v>
      </c>
      <c r="AL132" s="20">
        <v>24.65</v>
      </c>
    </row>
    <row r="133" spans="1:38" ht="13.2">
      <c r="A133" s="1"/>
      <c r="B133" s="59"/>
      <c r="C133" s="60">
        <v>17</v>
      </c>
      <c r="D133" s="206" t="s">
        <v>182</v>
      </c>
      <c r="E133" s="201"/>
      <c r="F133" s="61">
        <v>37.5</v>
      </c>
      <c r="G133" s="60" t="s">
        <v>44</v>
      </c>
      <c r="H133" s="60"/>
      <c r="I133" s="62"/>
      <c r="J133" s="11"/>
      <c r="K133" s="11"/>
      <c r="L133" s="11"/>
      <c r="M133" s="11"/>
      <c r="N133" s="59"/>
      <c r="O133" s="60">
        <v>17</v>
      </c>
      <c r="P133" s="206" t="s">
        <v>216</v>
      </c>
      <c r="Q133" s="201"/>
      <c r="R133" s="61">
        <v>23.9</v>
      </c>
      <c r="S133" s="60" t="s">
        <v>32</v>
      </c>
      <c r="T133" s="60"/>
      <c r="U133" s="62"/>
      <c r="V133" s="2"/>
      <c r="W133" s="63">
        <v>17</v>
      </c>
      <c r="X133" s="64" t="s">
        <v>182</v>
      </c>
      <c r="Y133" s="20" t="s">
        <v>44</v>
      </c>
      <c r="Z133" s="20">
        <v>37.5</v>
      </c>
      <c r="AA133" s="20"/>
      <c r="AB133" s="10"/>
      <c r="AC133" s="10"/>
      <c r="AD133" s="20"/>
      <c r="AE133" s="20"/>
      <c r="AF133" s="20"/>
      <c r="AG133" s="65"/>
      <c r="AH133" s="66"/>
      <c r="AI133" s="40"/>
      <c r="AJ133" s="10" t="s">
        <v>216</v>
      </c>
      <c r="AK133" s="20" t="s">
        <v>32</v>
      </c>
      <c r="AL133" s="20">
        <v>23.9</v>
      </c>
    </row>
    <row r="134" spans="1:38" ht="13.2">
      <c r="A134" s="1"/>
      <c r="B134" s="59"/>
      <c r="C134" s="60">
        <v>18</v>
      </c>
      <c r="D134" s="206" t="s">
        <v>220</v>
      </c>
      <c r="E134" s="201"/>
      <c r="F134" s="61">
        <v>37.35</v>
      </c>
      <c r="G134" s="60" t="s">
        <v>76</v>
      </c>
      <c r="H134" s="60"/>
      <c r="I134" s="62"/>
      <c r="J134" s="11"/>
      <c r="K134" s="11"/>
      <c r="L134" s="11"/>
      <c r="M134" s="11"/>
      <c r="N134" s="59"/>
      <c r="O134" s="60">
        <v>18</v>
      </c>
      <c r="P134" s="206" t="s">
        <v>222</v>
      </c>
      <c r="Q134" s="201"/>
      <c r="R134" s="61">
        <v>23.55</v>
      </c>
      <c r="S134" s="60" t="s">
        <v>48</v>
      </c>
      <c r="T134" s="60"/>
      <c r="U134" s="62"/>
      <c r="V134" s="2"/>
      <c r="W134" s="63">
        <v>18</v>
      </c>
      <c r="X134" s="64" t="s">
        <v>220</v>
      </c>
      <c r="Y134" s="20" t="s">
        <v>76</v>
      </c>
      <c r="Z134" s="20">
        <v>37.35</v>
      </c>
      <c r="AA134" s="20"/>
      <c r="AB134" s="10"/>
      <c r="AC134" s="10"/>
      <c r="AD134" s="20"/>
      <c r="AE134" s="20"/>
      <c r="AF134" s="20"/>
      <c r="AG134" s="65"/>
      <c r="AH134" s="66"/>
      <c r="AI134" s="40"/>
      <c r="AJ134" s="10" t="s">
        <v>222</v>
      </c>
      <c r="AK134" s="20" t="s">
        <v>48</v>
      </c>
      <c r="AL134" s="20">
        <v>23.55</v>
      </c>
    </row>
    <row r="135" spans="1:38" ht="13.2">
      <c r="A135" s="1"/>
      <c r="B135" s="59"/>
      <c r="C135" s="60">
        <v>19</v>
      </c>
      <c r="D135" s="206" t="s">
        <v>201</v>
      </c>
      <c r="E135" s="201"/>
      <c r="F135" s="61">
        <v>37.25</v>
      </c>
      <c r="G135" s="60" t="s">
        <v>37</v>
      </c>
      <c r="H135" s="60"/>
      <c r="I135" s="62"/>
      <c r="J135" s="11"/>
      <c r="K135" s="11"/>
      <c r="L135" s="11"/>
      <c r="M135" s="11"/>
      <c r="N135" s="59"/>
      <c r="O135" s="60">
        <v>19</v>
      </c>
      <c r="P135" s="206" t="s">
        <v>176</v>
      </c>
      <c r="Q135" s="201"/>
      <c r="R135" s="61">
        <v>22.9</v>
      </c>
      <c r="S135" s="60" t="s">
        <v>75</v>
      </c>
      <c r="T135" s="60"/>
      <c r="U135" s="62"/>
      <c r="V135" s="2"/>
      <c r="W135" s="63">
        <v>19</v>
      </c>
      <c r="X135" s="64" t="s">
        <v>201</v>
      </c>
      <c r="Y135" s="20" t="s">
        <v>37</v>
      </c>
      <c r="Z135" s="20">
        <v>37.25</v>
      </c>
      <c r="AA135" s="20"/>
      <c r="AB135" s="10"/>
      <c r="AC135" s="10"/>
      <c r="AD135" s="20"/>
      <c r="AE135" s="20"/>
      <c r="AF135" s="20"/>
      <c r="AG135" s="65"/>
      <c r="AH135" s="66"/>
      <c r="AI135" s="40"/>
      <c r="AJ135" s="10" t="s">
        <v>176</v>
      </c>
      <c r="AK135" s="20" t="s">
        <v>75</v>
      </c>
      <c r="AL135" s="20">
        <v>22.9</v>
      </c>
    </row>
    <row r="136" spans="1:38" ht="13.2">
      <c r="A136" s="1"/>
      <c r="B136" s="59"/>
      <c r="C136" s="60">
        <v>20</v>
      </c>
      <c r="D136" s="206" t="s">
        <v>172</v>
      </c>
      <c r="E136" s="201"/>
      <c r="F136" s="61">
        <v>37.15</v>
      </c>
      <c r="G136" s="60" t="s">
        <v>65</v>
      </c>
      <c r="H136" s="60"/>
      <c r="I136" s="62"/>
      <c r="J136" s="11"/>
      <c r="K136" s="11"/>
      <c r="L136" s="11"/>
      <c r="M136" s="11"/>
      <c r="N136" s="59"/>
      <c r="O136" s="60" t="s">
        <v>504</v>
      </c>
      <c r="P136" s="206" t="s">
        <v>192</v>
      </c>
      <c r="Q136" s="201"/>
      <c r="R136" s="61">
        <v>22.4</v>
      </c>
      <c r="S136" s="60" t="s">
        <v>76</v>
      </c>
      <c r="T136" s="60"/>
      <c r="U136" s="62"/>
      <c r="V136" s="2"/>
      <c r="W136" s="63">
        <v>20</v>
      </c>
      <c r="X136" s="64" t="s">
        <v>172</v>
      </c>
      <c r="Y136" s="20" t="s">
        <v>65</v>
      </c>
      <c r="Z136" s="20">
        <v>37.15</v>
      </c>
      <c r="AA136" s="20"/>
      <c r="AB136" s="10"/>
      <c r="AC136" s="10"/>
      <c r="AD136" s="20"/>
      <c r="AE136" s="20"/>
      <c r="AF136" s="20"/>
      <c r="AG136" s="65"/>
      <c r="AH136" s="66"/>
      <c r="AI136" s="40"/>
      <c r="AJ136" s="10" t="s">
        <v>192</v>
      </c>
      <c r="AK136" s="20" t="s">
        <v>76</v>
      </c>
      <c r="AL136" s="20">
        <v>22.4</v>
      </c>
    </row>
    <row r="137" spans="1:38" ht="13.2">
      <c r="A137" s="1"/>
      <c r="B137" s="59"/>
      <c r="C137" s="60">
        <v>21</v>
      </c>
      <c r="D137" s="206" t="s">
        <v>221</v>
      </c>
      <c r="E137" s="201"/>
      <c r="F137" s="61">
        <v>34.549999999999997</v>
      </c>
      <c r="G137" s="60" t="s">
        <v>30</v>
      </c>
      <c r="H137" s="60"/>
      <c r="I137" s="62"/>
      <c r="J137" s="11"/>
      <c r="K137" s="11"/>
      <c r="L137" s="11"/>
      <c r="M137" s="11"/>
      <c r="N137" s="59"/>
      <c r="O137" s="60" t="s">
        <v>504</v>
      </c>
      <c r="P137" s="206" t="s">
        <v>227</v>
      </c>
      <c r="Q137" s="201"/>
      <c r="R137" s="61">
        <v>22.4</v>
      </c>
      <c r="S137" s="60" t="s">
        <v>42</v>
      </c>
      <c r="T137" s="60"/>
      <c r="U137" s="62"/>
      <c r="V137" s="2"/>
      <c r="W137" s="63">
        <v>21</v>
      </c>
      <c r="X137" s="64" t="s">
        <v>221</v>
      </c>
      <c r="Y137" s="20" t="s">
        <v>30</v>
      </c>
      <c r="Z137" s="20">
        <v>34.549999999999997</v>
      </c>
      <c r="AA137" s="20"/>
      <c r="AB137" s="10"/>
      <c r="AC137" s="10"/>
      <c r="AD137" s="20"/>
      <c r="AE137" s="20"/>
      <c r="AF137" s="20"/>
      <c r="AG137" s="65"/>
      <c r="AH137" s="66"/>
      <c r="AI137" s="40"/>
      <c r="AJ137" s="10" t="s">
        <v>227</v>
      </c>
      <c r="AK137" s="20" t="s">
        <v>42</v>
      </c>
      <c r="AL137" s="20">
        <v>22.4</v>
      </c>
    </row>
    <row r="138" spans="1:38" ht="13.2">
      <c r="A138" s="1"/>
      <c r="B138" s="59"/>
      <c r="C138" s="60">
        <v>22</v>
      </c>
      <c r="D138" s="206" t="s">
        <v>212</v>
      </c>
      <c r="E138" s="201"/>
      <c r="F138" s="61">
        <v>33.549999999999997</v>
      </c>
      <c r="G138" s="60" t="s">
        <v>76</v>
      </c>
      <c r="H138" s="60"/>
      <c r="I138" s="62"/>
      <c r="J138" s="11"/>
      <c r="K138" s="11"/>
      <c r="L138" s="11"/>
      <c r="M138" s="11"/>
      <c r="N138" s="59"/>
      <c r="O138" s="60">
        <v>22</v>
      </c>
      <c r="P138" s="206" t="s">
        <v>213</v>
      </c>
      <c r="Q138" s="201"/>
      <c r="R138" s="61">
        <v>21.25</v>
      </c>
      <c r="S138" s="60" t="s">
        <v>138</v>
      </c>
      <c r="T138" s="60"/>
      <c r="U138" s="62"/>
      <c r="V138" s="2"/>
      <c r="W138" s="63">
        <v>22</v>
      </c>
      <c r="X138" s="64" t="s">
        <v>212</v>
      </c>
      <c r="Y138" s="20" t="s">
        <v>76</v>
      </c>
      <c r="Z138" s="20">
        <v>33.549999999999997</v>
      </c>
      <c r="AA138" s="20"/>
      <c r="AB138" s="10"/>
      <c r="AC138" s="10"/>
      <c r="AD138" s="20"/>
      <c r="AE138" s="20"/>
      <c r="AF138" s="20"/>
      <c r="AG138" s="65"/>
      <c r="AH138" s="66"/>
      <c r="AI138" s="40"/>
      <c r="AJ138" s="10" t="s">
        <v>213</v>
      </c>
      <c r="AK138" s="20" t="s">
        <v>138</v>
      </c>
      <c r="AL138" s="20">
        <v>21.25</v>
      </c>
    </row>
    <row r="139" spans="1:38" ht="13.2">
      <c r="A139" s="1"/>
      <c r="B139" s="59"/>
      <c r="C139" s="60">
        <v>23</v>
      </c>
      <c r="D139" s="206" t="s">
        <v>217</v>
      </c>
      <c r="E139" s="201"/>
      <c r="F139" s="61">
        <v>32.9</v>
      </c>
      <c r="G139" s="60" t="s">
        <v>76</v>
      </c>
      <c r="H139" s="60"/>
      <c r="I139" s="62"/>
      <c r="J139" s="11"/>
      <c r="K139" s="11"/>
      <c r="L139" s="11"/>
      <c r="M139" s="11"/>
      <c r="N139" s="59"/>
      <c r="O139" s="60">
        <v>23</v>
      </c>
      <c r="P139" s="206" t="s">
        <v>188</v>
      </c>
      <c r="Q139" s="201"/>
      <c r="R139" s="61">
        <v>20.45</v>
      </c>
      <c r="S139" s="60" t="s">
        <v>40</v>
      </c>
      <c r="T139" s="60"/>
      <c r="U139" s="62"/>
      <c r="V139" s="2"/>
      <c r="W139" s="63">
        <v>23</v>
      </c>
      <c r="X139" s="64" t="s">
        <v>217</v>
      </c>
      <c r="Y139" s="20" t="s">
        <v>76</v>
      </c>
      <c r="Z139" s="20">
        <v>32.9</v>
      </c>
      <c r="AA139" s="20"/>
      <c r="AB139" s="10"/>
      <c r="AC139" s="10"/>
      <c r="AD139" s="20"/>
      <c r="AE139" s="20"/>
      <c r="AF139" s="20"/>
      <c r="AG139" s="65"/>
      <c r="AH139" s="66"/>
      <c r="AI139" s="40"/>
      <c r="AJ139" s="10" t="s">
        <v>188</v>
      </c>
      <c r="AK139" s="20" t="s">
        <v>40</v>
      </c>
      <c r="AL139" s="20">
        <v>20.45</v>
      </c>
    </row>
    <row r="140" spans="1:38" ht="13.2">
      <c r="A140" s="1"/>
      <c r="B140" s="59"/>
      <c r="C140" s="60">
        <v>24</v>
      </c>
      <c r="D140" s="206" t="s">
        <v>174</v>
      </c>
      <c r="E140" s="201"/>
      <c r="F140" s="61">
        <v>30.85</v>
      </c>
      <c r="G140" s="60" t="s">
        <v>52</v>
      </c>
      <c r="H140" s="60"/>
      <c r="I140" s="62"/>
      <c r="J140" s="11"/>
      <c r="K140" s="11"/>
      <c r="L140" s="11"/>
      <c r="M140" s="11"/>
      <c r="N140" s="59"/>
      <c r="O140" s="60">
        <v>24</v>
      </c>
      <c r="P140" s="206" t="s">
        <v>224</v>
      </c>
      <c r="Q140" s="201"/>
      <c r="R140" s="61">
        <v>19.5</v>
      </c>
      <c r="S140" s="60" t="s">
        <v>75</v>
      </c>
      <c r="T140" s="60"/>
      <c r="U140" s="62"/>
      <c r="V140" s="2"/>
      <c r="W140" s="63">
        <v>24</v>
      </c>
      <c r="X140" s="64" t="s">
        <v>174</v>
      </c>
      <c r="Y140" s="20" t="s">
        <v>52</v>
      </c>
      <c r="Z140" s="20">
        <v>30.85</v>
      </c>
      <c r="AA140" s="20"/>
      <c r="AB140" s="10"/>
      <c r="AC140" s="10"/>
      <c r="AD140" s="20"/>
      <c r="AE140" s="20"/>
      <c r="AF140" s="20"/>
      <c r="AG140" s="65"/>
      <c r="AH140" s="66"/>
      <c r="AI140" s="40"/>
      <c r="AJ140" s="10" t="s">
        <v>224</v>
      </c>
      <c r="AK140" s="20" t="s">
        <v>75</v>
      </c>
      <c r="AL140" s="20">
        <v>19.5</v>
      </c>
    </row>
    <row r="141" spans="1:38" ht="13.2">
      <c r="A141" s="1"/>
      <c r="B141" s="59"/>
      <c r="C141" s="60">
        <v>25</v>
      </c>
      <c r="D141" s="206" t="s">
        <v>195</v>
      </c>
      <c r="E141" s="201"/>
      <c r="F141" s="61">
        <v>30.15</v>
      </c>
      <c r="G141" s="60" t="s">
        <v>79</v>
      </c>
      <c r="H141" s="60"/>
      <c r="I141" s="62"/>
      <c r="J141" s="11"/>
      <c r="K141" s="11"/>
      <c r="L141" s="11"/>
      <c r="M141" s="11"/>
      <c r="N141" s="59"/>
      <c r="O141" s="60">
        <v>25</v>
      </c>
      <c r="P141" s="206" t="s">
        <v>218</v>
      </c>
      <c r="Q141" s="201"/>
      <c r="R141" s="61">
        <v>17.899999999999999</v>
      </c>
      <c r="S141" s="60" t="s">
        <v>32</v>
      </c>
      <c r="T141" s="60"/>
      <c r="U141" s="62"/>
      <c r="V141" s="2"/>
      <c r="W141" s="63">
        <v>25</v>
      </c>
      <c r="X141" s="64" t="s">
        <v>195</v>
      </c>
      <c r="Y141" s="20" t="s">
        <v>79</v>
      </c>
      <c r="Z141" s="20">
        <v>30.15</v>
      </c>
      <c r="AA141" s="20"/>
      <c r="AB141" s="10"/>
      <c r="AC141" s="10"/>
      <c r="AD141" s="20"/>
      <c r="AE141" s="20"/>
      <c r="AF141" s="20"/>
      <c r="AG141" s="65"/>
      <c r="AH141" s="66"/>
      <c r="AI141" s="40"/>
      <c r="AJ141" s="10" t="s">
        <v>218</v>
      </c>
      <c r="AK141" s="20" t="s">
        <v>32</v>
      </c>
      <c r="AL141" s="20">
        <v>17.899999999999999</v>
      </c>
    </row>
    <row r="142" spans="1:38" ht="13.2">
      <c r="A142" s="1"/>
      <c r="B142" s="59"/>
      <c r="C142" s="60">
        <v>26</v>
      </c>
      <c r="D142" s="206" t="s">
        <v>185</v>
      </c>
      <c r="E142" s="201"/>
      <c r="F142" s="61">
        <v>29.8</v>
      </c>
      <c r="G142" s="60" t="s">
        <v>50</v>
      </c>
      <c r="H142" s="60"/>
      <c r="I142" s="62"/>
      <c r="J142" s="11"/>
      <c r="K142" s="11"/>
      <c r="L142" s="11"/>
      <c r="M142" s="11"/>
      <c r="N142" s="59"/>
      <c r="O142" s="60">
        <v>26</v>
      </c>
      <c r="P142" s="206" t="s">
        <v>206</v>
      </c>
      <c r="Q142" s="201"/>
      <c r="R142" s="61">
        <v>16.5</v>
      </c>
      <c r="S142" s="60" t="s">
        <v>37</v>
      </c>
      <c r="T142" s="60"/>
      <c r="U142" s="62"/>
      <c r="V142" s="2"/>
      <c r="W142" s="63">
        <v>26</v>
      </c>
      <c r="X142" s="64" t="s">
        <v>185</v>
      </c>
      <c r="Y142" s="20" t="s">
        <v>50</v>
      </c>
      <c r="Z142" s="20">
        <v>29.8</v>
      </c>
      <c r="AA142" s="20"/>
      <c r="AB142" s="10"/>
      <c r="AC142" s="10"/>
      <c r="AD142" s="20"/>
      <c r="AE142" s="20"/>
      <c r="AF142" s="20"/>
      <c r="AG142" s="65"/>
      <c r="AH142" s="66"/>
      <c r="AI142" s="40"/>
      <c r="AJ142" s="10" t="s">
        <v>206</v>
      </c>
      <c r="AK142" s="20" t="s">
        <v>37</v>
      </c>
      <c r="AL142" s="20">
        <v>16.5</v>
      </c>
    </row>
    <row r="143" spans="1:38" ht="13.2">
      <c r="A143" s="1"/>
      <c r="B143" s="59"/>
      <c r="C143" s="60">
        <v>27</v>
      </c>
      <c r="D143" s="206" t="s">
        <v>242</v>
      </c>
      <c r="E143" s="201"/>
      <c r="F143" s="61">
        <v>29.6</v>
      </c>
      <c r="G143" s="60" t="s">
        <v>87</v>
      </c>
      <c r="H143" s="60"/>
      <c r="I143" s="62"/>
      <c r="J143" s="11"/>
      <c r="K143" s="11"/>
      <c r="L143" s="11"/>
      <c r="M143" s="11"/>
      <c r="N143" s="59"/>
      <c r="O143" s="60">
        <v>27</v>
      </c>
      <c r="P143" s="206" t="s">
        <v>194</v>
      </c>
      <c r="Q143" s="201"/>
      <c r="R143" s="61">
        <v>15.75</v>
      </c>
      <c r="S143" s="60" t="s">
        <v>32</v>
      </c>
      <c r="T143" s="60"/>
      <c r="U143" s="62"/>
      <c r="V143" s="2"/>
      <c r="W143" s="63">
        <v>27</v>
      </c>
      <c r="X143" s="64" t="s">
        <v>242</v>
      </c>
      <c r="Y143" s="20" t="s">
        <v>87</v>
      </c>
      <c r="Z143" s="20">
        <v>29.6</v>
      </c>
      <c r="AA143" s="20"/>
      <c r="AB143" s="10"/>
      <c r="AC143" s="10"/>
      <c r="AD143" s="20"/>
      <c r="AE143" s="20"/>
      <c r="AF143" s="20"/>
      <c r="AG143" s="65"/>
      <c r="AH143" s="66"/>
      <c r="AI143" s="40"/>
      <c r="AJ143" s="10" t="s">
        <v>194</v>
      </c>
      <c r="AK143" s="20" t="s">
        <v>32</v>
      </c>
      <c r="AL143" s="20">
        <v>15.75</v>
      </c>
    </row>
    <row r="144" spans="1:38" ht="13.2">
      <c r="A144" s="1"/>
      <c r="B144" s="59"/>
      <c r="C144" s="60">
        <v>28</v>
      </c>
      <c r="D144" s="206" t="s">
        <v>237</v>
      </c>
      <c r="E144" s="201"/>
      <c r="F144" s="61">
        <v>29.5</v>
      </c>
      <c r="G144" s="60" t="s">
        <v>76</v>
      </c>
      <c r="H144" s="60"/>
      <c r="I144" s="62"/>
      <c r="J144" s="11"/>
      <c r="K144" s="11"/>
      <c r="L144" s="11"/>
      <c r="M144" s="11"/>
      <c r="N144" s="59"/>
      <c r="O144" s="60">
        <v>28</v>
      </c>
      <c r="P144" s="206" t="s">
        <v>204</v>
      </c>
      <c r="Q144" s="201"/>
      <c r="R144" s="61">
        <v>12.5</v>
      </c>
      <c r="S144" s="60" t="s">
        <v>75</v>
      </c>
      <c r="T144" s="60"/>
      <c r="U144" s="62"/>
      <c r="V144" s="2"/>
      <c r="W144" s="63">
        <v>28</v>
      </c>
      <c r="X144" s="64" t="s">
        <v>237</v>
      </c>
      <c r="Y144" s="20" t="s">
        <v>76</v>
      </c>
      <c r="Z144" s="20">
        <v>29.5</v>
      </c>
      <c r="AA144" s="20"/>
      <c r="AB144" s="10"/>
      <c r="AC144" s="10"/>
      <c r="AD144" s="20"/>
      <c r="AE144" s="20"/>
      <c r="AF144" s="20"/>
      <c r="AG144" s="65"/>
      <c r="AH144" s="66"/>
      <c r="AI144" s="40"/>
      <c r="AJ144" s="10" t="s">
        <v>204</v>
      </c>
      <c r="AK144" s="20" t="s">
        <v>75</v>
      </c>
      <c r="AL144" s="20">
        <v>12.5</v>
      </c>
    </row>
    <row r="145" spans="1:38" ht="13.2">
      <c r="A145" s="1"/>
      <c r="B145" s="59"/>
      <c r="C145" s="60">
        <v>29</v>
      </c>
      <c r="D145" s="206" t="s">
        <v>209</v>
      </c>
      <c r="E145" s="201"/>
      <c r="F145" s="61">
        <v>27.15</v>
      </c>
      <c r="G145" s="60" t="s">
        <v>48</v>
      </c>
      <c r="H145" s="60"/>
      <c r="I145" s="62"/>
      <c r="J145" s="11"/>
      <c r="K145" s="11"/>
      <c r="L145" s="11"/>
      <c r="M145" s="11"/>
      <c r="N145" s="59"/>
      <c r="O145" s="60">
        <v>29</v>
      </c>
      <c r="P145" s="206" t="s">
        <v>208</v>
      </c>
      <c r="Q145" s="201"/>
      <c r="R145" s="61">
        <v>11.25</v>
      </c>
      <c r="S145" s="60" t="s">
        <v>129</v>
      </c>
      <c r="T145" s="60"/>
      <c r="U145" s="62"/>
      <c r="V145" s="2"/>
      <c r="W145" s="63">
        <v>29</v>
      </c>
      <c r="X145" s="64" t="s">
        <v>209</v>
      </c>
      <c r="Y145" s="20" t="s">
        <v>48</v>
      </c>
      <c r="Z145" s="20">
        <v>27.15</v>
      </c>
      <c r="AA145" s="20"/>
      <c r="AB145" s="10"/>
      <c r="AC145" s="10"/>
      <c r="AD145" s="20"/>
      <c r="AE145" s="20"/>
      <c r="AF145" s="20"/>
      <c r="AG145" s="65"/>
      <c r="AH145" s="66"/>
      <c r="AI145" s="40"/>
      <c r="AJ145" s="10" t="s">
        <v>208</v>
      </c>
      <c r="AK145" s="20" t="s">
        <v>129</v>
      </c>
      <c r="AL145" s="20">
        <v>11.25</v>
      </c>
    </row>
    <row r="146" spans="1:38" ht="13.2">
      <c r="A146" s="1"/>
      <c r="B146" s="59"/>
      <c r="C146" s="60">
        <v>30</v>
      </c>
      <c r="D146" s="206" t="s">
        <v>215</v>
      </c>
      <c r="E146" s="201"/>
      <c r="F146" s="61">
        <v>27</v>
      </c>
      <c r="G146" s="60" t="s">
        <v>54</v>
      </c>
      <c r="H146" s="60"/>
      <c r="I146" s="62"/>
      <c r="J146" s="11"/>
      <c r="K146" s="11"/>
      <c r="L146" s="11"/>
      <c r="M146" s="11"/>
      <c r="N146" s="59"/>
      <c r="O146" s="60">
        <v>30</v>
      </c>
      <c r="P146" s="206" t="s">
        <v>179</v>
      </c>
      <c r="Q146" s="201"/>
      <c r="R146" s="61">
        <v>7.5</v>
      </c>
      <c r="S146" s="60" t="s">
        <v>75</v>
      </c>
      <c r="T146" s="60"/>
      <c r="U146" s="62"/>
      <c r="V146" s="2"/>
      <c r="W146" s="63">
        <v>30</v>
      </c>
      <c r="X146" s="64" t="s">
        <v>215</v>
      </c>
      <c r="Y146" s="20" t="s">
        <v>54</v>
      </c>
      <c r="Z146" s="20">
        <v>27</v>
      </c>
      <c r="AA146" s="20"/>
      <c r="AB146" s="10"/>
      <c r="AC146" s="10"/>
      <c r="AD146" s="20"/>
      <c r="AE146" s="20"/>
      <c r="AF146" s="20"/>
      <c r="AG146" s="65"/>
      <c r="AH146" s="66"/>
      <c r="AI146" s="40"/>
      <c r="AJ146" s="10" t="s">
        <v>179</v>
      </c>
      <c r="AK146" s="20" t="s">
        <v>75</v>
      </c>
      <c r="AL146" s="20">
        <v>7.5</v>
      </c>
    </row>
    <row r="147" spans="1:38" ht="13.2">
      <c r="A147" s="1"/>
      <c r="B147" s="59"/>
      <c r="C147" s="60">
        <v>31</v>
      </c>
      <c r="D147" s="206" t="s">
        <v>236</v>
      </c>
      <c r="E147" s="201"/>
      <c r="F147" s="61">
        <v>25</v>
      </c>
      <c r="G147" s="60" t="s">
        <v>30</v>
      </c>
      <c r="H147" s="60"/>
      <c r="I147" s="62"/>
      <c r="J147" s="11"/>
      <c r="K147" s="11"/>
      <c r="L147" s="11"/>
      <c r="M147" s="11"/>
      <c r="N147" s="59"/>
      <c r="O147" s="60"/>
      <c r="P147" s="206"/>
      <c r="Q147" s="201"/>
      <c r="R147" s="61"/>
      <c r="S147" s="60"/>
      <c r="T147" s="60"/>
      <c r="U147" s="62"/>
      <c r="V147" s="2"/>
      <c r="W147" s="63">
        <v>31</v>
      </c>
      <c r="X147" s="64" t="s">
        <v>236</v>
      </c>
      <c r="Y147" s="20" t="s">
        <v>30</v>
      </c>
      <c r="Z147" s="20">
        <v>25</v>
      </c>
      <c r="AA147" s="20"/>
      <c r="AB147" s="10"/>
      <c r="AC147" s="10"/>
      <c r="AD147" s="20"/>
      <c r="AE147" s="20"/>
      <c r="AF147" s="20"/>
      <c r="AG147" s="65"/>
      <c r="AH147" s="66"/>
      <c r="AI147" s="40"/>
      <c r="AJ147" s="10"/>
      <c r="AK147" s="20"/>
      <c r="AL147" s="20"/>
    </row>
    <row r="148" spans="1:38" ht="13.2">
      <c r="A148" s="1"/>
      <c r="B148" s="59"/>
      <c r="C148" s="60">
        <v>32</v>
      </c>
      <c r="D148" s="206" t="s">
        <v>219</v>
      </c>
      <c r="E148" s="201"/>
      <c r="F148" s="61">
        <v>24.95</v>
      </c>
      <c r="G148" s="60" t="s">
        <v>50</v>
      </c>
      <c r="H148" s="60"/>
      <c r="I148" s="62"/>
      <c r="J148" s="11"/>
      <c r="K148" s="11"/>
      <c r="L148" s="11"/>
      <c r="M148" s="11"/>
      <c r="N148" s="59"/>
      <c r="O148" s="60"/>
      <c r="P148" s="206"/>
      <c r="Q148" s="201"/>
      <c r="R148" s="61"/>
      <c r="S148" s="60"/>
      <c r="T148" s="60"/>
      <c r="U148" s="62"/>
      <c r="V148" s="2"/>
      <c r="W148" s="63">
        <v>32</v>
      </c>
      <c r="X148" s="64" t="s">
        <v>219</v>
      </c>
      <c r="Y148" s="20" t="s">
        <v>50</v>
      </c>
      <c r="Z148" s="20">
        <v>24.95</v>
      </c>
      <c r="AA148" s="20"/>
      <c r="AB148" s="10"/>
      <c r="AC148" s="10"/>
      <c r="AD148" s="20"/>
      <c r="AE148" s="20"/>
      <c r="AF148" s="20"/>
      <c r="AG148" s="65"/>
      <c r="AH148" s="66"/>
      <c r="AI148" s="40"/>
      <c r="AJ148" s="10"/>
      <c r="AK148" s="20"/>
      <c r="AL148" s="20"/>
    </row>
    <row r="149" spans="1:38" ht="13.2">
      <c r="A149" s="1"/>
      <c r="B149" s="59"/>
      <c r="C149" s="60">
        <v>33</v>
      </c>
      <c r="D149" s="206" t="s">
        <v>187</v>
      </c>
      <c r="E149" s="201"/>
      <c r="F149" s="61">
        <v>24.5</v>
      </c>
      <c r="G149" s="60" t="s">
        <v>71</v>
      </c>
      <c r="H149" s="60"/>
      <c r="I149" s="62"/>
      <c r="J149" s="11"/>
      <c r="K149" s="11"/>
      <c r="L149" s="11"/>
      <c r="M149" s="11"/>
      <c r="N149" s="59"/>
      <c r="O149" s="60"/>
      <c r="P149" s="206"/>
      <c r="Q149" s="201"/>
      <c r="R149" s="61"/>
      <c r="S149" s="60"/>
      <c r="T149" s="60"/>
      <c r="U149" s="62"/>
      <c r="V149" s="2"/>
      <c r="W149" s="63">
        <v>33</v>
      </c>
      <c r="X149" s="64" t="s">
        <v>187</v>
      </c>
      <c r="Y149" s="20" t="s">
        <v>71</v>
      </c>
      <c r="Z149" s="20">
        <v>24.5</v>
      </c>
      <c r="AA149" s="20"/>
      <c r="AB149" s="10"/>
      <c r="AC149" s="10"/>
      <c r="AD149" s="20"/>
      <c r="AE149" s="20"/>
      <c r="AF149" s="20"/>
      <c r="AG149" s="65"/>
      <c r="AH149" s="66"/>
      <c r="AI149" s="40"/>
      <c r="AJ149" s="10"/>
      <c r="AK149" s="20"/>
      <c r="AL149" s="20"/>
    </row>
    <row r="150" spans="1:38" ht="13.2">
      <c r="A150" s="1"/>
      <c r="B150" s="59"/>
      <c r="C150" s="60">
        <v>34</v>
      </c>
      <c r="D150" s="206" t="s">
        <v>239</v>
      </c>
      <c r="E150" s="201"/>
      <c r="F150" s="61">
        <v>21</v>
      </c>
      <c r="G150" s="60" t="s">
        <v>54</v>
      </c>
      <c r="H150" s="60"/>
      <c r="I150" s="62"/>
      <c r="J150" s="11"/>
      <c r="K150" s="11"/>
      <c r="L150" s="11"/>
      <c r="M150" s="11"/>
      <c r="N150" s="59"/>
      <c r="O150" s="60"/>
      <c r="P150" s="206"/>
      <c r="Q150" s="201"/>
      <c r="R150" s="61"/>
      <c r="S150" s="60"/>
      <c r="T150" s="60"/>
      <c r="U150" s="62"/>
      <c r="V150" s="2"/>
      <c r="W150" s="63">
        <v>34</v>
      </c>
      <c r="X150" s="64" t="s">
        <v>239</v>
      </c>
      <c r="Y150" s="20" t="s">
        <v>54</v>
      </c>
      <c r="Z150" s="20">
        <v>21</v>
      </c>
      <c r="AA150" s="20"/>
      <c r="AB150" s="10"/>
      <c r="AC150" s="10"/>
      <c r="AD150" s="20"/>
      <c r="AE150" s="20"/>
      <c r="AF150" s="20"/>
      <c r="AG150" s="65"/>
      <c r="AH150" s="66"/>
      <c r="AI150" s="40"/>
      <c r="AJ150" s="10"/>
      <c r="AK150" s="20"/>
      <c r="AL150" s="20"/>
    </row>
    <row r="151" spans="1:38" ht="13.2">
      <c r="A151" s="1"/>
      <c r="B151" s="59"/>
      <c r="C151" s="60">
        <v>35</v>
      </c>
      <c r="D151" s="206" t="s">
        <v>240</v>
      </c>
      <c r="E151" s="201"/>
      <c r="F151" s="61">
        <v>20.7</v>
      </c>
      <c r="G151" s="60" t="s">
        <v>75</v>
      </c>
      <c r="H151" s="60"/>
      <c r="I151" s="62"/>
      <c r="J151" s="11"/>
      <c r="K151" s="11"/>
      <c r="L151" s="11"/>
      <c r="M151" s="11"/>
      <c r="N151" s="59"/>
      <c r="O151" s="60"/>
      <c r="P151" s="206"/>
      <c r="Q151" s="201"/>
      <c r="R151" s="61"/>
      <c r="S151" s="60"/>
      <c r="T151" s="60"/>
      <c r="U151" s="62"/>
      <c r="V151" s="2"/>
      <c r="W151" s="63">
        <v>35</v>
      </c>
      <c r="X151" s="64" t="s">
        <v>240</v>
      </c>
      <c r="Y151" s="20" t="s">
        <v>75</v>
      </c>
      <c r="Z151" s="20">
        <v>20.7</v>
      </c>
      <c r="AA151" s="20"/>
      <c r="AB151" s="10"/>
      <c r="AC151" s="10"/>
      <c r="AD151" s="20"/>
      <c r="AE151" s="20"/>
      <c r="AF151" s="20"/>
      <c r="AG151" s="65"/>
      <c r="AH151" s="66"/>
      <c r="AI151" s="40"/>
      <c r="AJ151" s="10"/>
      <c r="AK151" s="20"/>
      <c r="AL151" s="20"/>
    </row>
    <row r="152" spans="1:38" ht="13.2">
      <c r="A152" s="1"/>
      <c r="B152" s="59"/>
      <c r="C152" s="60">
        <v>36</v>
      </c>
      <c r="D152" s="206" t="s">
        <v>234</v>
      </c>
      <c r="E152" s="201"/>
      <c r="F152" s="61">
        <v>20</v>
      </c>
      <c r="G152" s="60" t="s">
        <v>79</v>
      </c>
      <c r="H152" s="60"/>
      <c r="I152" s="62"/>
      <c r="J152" s="11"/>
      <c r="K152" s="11"/>
      <c r="L152" s="11"/>
      <c r="M152" s="11"/>
      <c r="N152" s="59"/>
      <c r="O152" s="60"/>
      <c r="P152" s="206"/>
      <c r="Q152" s="201"/>
      <c r="R152" s="61"/>
      <c r="S152" s="60"/>
      <c r="T152" s="60"/>
      <c r="U152" s="62"/>
      <c r="V152" s="2"/>
      <c r="W152" s="63">
        <v>36</v>
      </c>
      <c r="X152" s="64" t="s">
        <v>234</v>
      </c>
      <c r="Y152" s="20" t="s">
        <v>79</v>
      </c>
      <c r="Z152" s="20">
        <v>20</v>
      </c>
      <c r="AA152" s="20"/>
      <c r="AB152" s="10"/>
      <c r="AC152" s="10"/>
      <c r="AD152" s="20"/>
      <c r="AE152" s="20"/>
      <c r="AF152" s="20"/>
      <c r="AG152" s="65"/>
      <c r="AH152" s="66"/>
      <c r="AI152" s="40"/>
      <c r="AJ152" s="10"/>
      <c r="AK152" s="20"/>
      <c r="AL152" s="20"/>
    </row>
    <row r="153" spans="1:38" ht="13.2">
      <c r="A153" s="1"/>
      <c r="B153" s="59"/>
      <c r="C153" s="60">
        <v>37</v>
      </c>
      <c r="D153" s="206" t="s">
        <v>225</v>
      </c>
      <c r="E153" s="201"/>
      <c r="F153" s="61">
        <v>19.399999999999999</v>
      </c>
      <c r="G153" s="60" t="s">
        <v>32</v>
      </c>
      <c r="H153" s="60"/>
      <c r="I153" s="62"/>
      <c r="J153" s="11"/>
      <c r="K153" s="11"/>
      <c r="L153" s="11"/>
      <c r="M153" s="11"/>
      <c r="N153" s="59"/>
      <c r="O153" s="60"/>
      <c r="P153" s="206"/>
      <c r="Q153" s="201"/>
      <c r="R153" s="61"/>
      <c r="S153" s="60"/>
      <c r="T153" s="60"/>
      <c r="U153" s="62"/>
      <c r="V153" s="2"/>
      <c r="W153" s="63">
        <v>37</v>
      </c>
      <c r="X153" s="64" t="s">
        <v>225</v>
      </c>
      <c r="Y153" s="20" t="s">
        <v>32</v>
      </c>
      <c r="Z153" s="20">
        <v>19.399999999999999</v>
      </c>
      <c r="AA153" s="20"/>
      <c r="AB153" s="10"/>
      <c r="AC153" s="10"/>
      <c r="AD153" s="20"/>
      <c r="AE153" s="20"/>
      <c r="AF153" s="20"/>
      <c r="AG153" s="65"/>
      <c r="AH153" s="66"/>
      <c r="AI153" s="40"/>
      <c r="AJ153" s="10"/>
      <c r="AK153" s="20"/>
      <c r="AL153" s="20"/>
    </row>
    <row r="154" spans="1:38" ht="13.2">
      <c r="A154" s="1"/>
      <c r="B154" s="59"/>
      <c r="C154" s="60">
        <v>38</v>
      </c>
      <c r="D154" s="206" t="s">
        <v>189</v>
      </c>
      <c r="E154" s="201"/>
      <c r="F154" s="61">
        <v>19.25</v>
      </c>
      <c r="G154" s="60" t="s">
        <v>44</v>
      </c>
      <c r="H154" s="60"/>
      <c r="I154" s="62"/>
      <c r="J154" s="11"/>
      <c r="K154" s="11"/>
      <c r="L154" s="11"/>
      <c r="M154" s="11"/>
      <c r="N154" s="59"/>
      <c r="O154" s="60"/>
      <c r="P154" s="206"/>
      <c r="Q154" s="201"/>
      <c r="R154" s="61"/>
      <c r="S154" s="60"/>
      <c r="T154" s="60"/>
      <c r="U154" s="62"/>
      <c r="V154" s="2"/>
      <c r="W154" s="63">
        <v>38</v>
      </c>
      <c r="X154" s="64" t="s">
        <v>189</v>
      </c>
      <c r="Y154" s="20" t="s">
        <v>44</v>
      </c>
      <c r="Z154" s="20">
        <v>19.25</v>
      </c>
      <c r="AA154" s="20"/>
      <c r="AB154" s="10"/>
      <c r="AC154" s="10"/>
      <c r="AD154" s="20"/>
      <c r="AE154" s="20"/>
      <c r="AF154" s="20"/>
      <c r="AG154" s="65"/>
      <c r="AH154" s="66"/>
      <c r="AI154" s="40"/>
      <c r="AJ154" s="10"/>
      <c r="AK154" s="20"/>
      <c r="AL154" s="20"/>
    </row>
    <row r="155" spans="1:38" ht="13.2">
      <c r="A155" s="1"/>
      <c r="B155" s="59"/>
      <c r="C155" s="60">
        <v>39</v>
      </c>
      <c r="D155" s="206" t="s">
        <v>247</v>
      </c>
      <c r="E155" s="201"/>
      <c r="F155" s="61">
        <v>18.75</v>
      </c>
      <c r="G155" s="60" t="s">
        <v>76</v>
      </c>
      <c r="H155" s="60"/>
      <c r="I155" s="62"/>
      <c r="J155" s="11"/>
      <c r="K155" s="11"/>
      <c r="L155" s="11"/>
      <c r="M155" s="11"/>
      <c r="N155" s="59"/>
      <c r="O155" s="60"/>
      <c r="P155" s="206"/>
      <c r="Q155" s="201"/>
      <c r="R155" s="61"/>
      <c r="S155" s="60"/>
      <c r="T155" s="60"/>
      <c r="U155" s="62"/>
      <c r="V155" s="2"/>
      <c r="W155" s="63">
        <v>39</v>
      </c>
      <c r="X155" s="64" t="s">
        <v>247</v>
      </c>
      <c r="Y155" s="20" t="s">
        <v>76</v>
      </c>
      <c r="Z155" s="20">
        <v>18.75</v>
      </c>
      <c r="AA155" s="20"/>
      <c r="AB155" s="10"/>
      <c r="AC155" s="10"/>
      <c r="AD155" s="20"/>
      <c r="AE155" s="20"/>
      <c r="AF155" s="20"/>
      <c r="AG155" s="65"/>
      <c r="AH155" s="66"/>
      <c r="AI155" s="40"/>
      <c r="AJ155" s="10"/>
      <c r="AK155" s="20"/>
      <c r="AL155" s="20"/>
    </row>
    <row r="156" spans="1:38" ht="13.2">
      <c r="A156" s="1"/>
      <c r="B156" s="59"/>
      <c r="C156" s="60">
        <v>40</v>
      </c>
      <c r="D156" s="206" t="s">
        <v>175</v>
      </c>
      <c r="E156" s="201"/>
      <c r="F156" s="61">
        <v>17.5</v>
      </c>
      <c r="G156" s="60" t="s">
        <v>177</v>
      </c>
      <c r="H156" s="60"/>
      <c r="I156" s="62"/>
      <c r="J156" s="11"/>
      <c r="K156" s="11"/>
      <c r="L156" s="11"/>
      <c r="M156" s="11"/>
      <c r="N156" s="59"/>
      <c r="O156" s="60"/>
      <c r="P156" s="206"/>
      <c r="Q156" s="201"/>
      <c r="R156" s="61"/>
      <c r="S156" s="60"/>
      <c r="T156" s="60"/>
      <c r="U156" s="62"/>
      <c r="V156" s="2"/>
      <c r="W156" s="63">
        <v>40</v>
      </c>
      <c r="X156" s="64" t="s">
        <v>175</v>
      </c>
      <c r="Y156" s="20" t="s">
        <v>177</v>
      </c>
      <c r="Z156" s="20">
        <v>17.5</v>
      </c>
      <c r="AA156" s="20"/>
      <c r="AB156" s="10"/>
      <c r="AC156" s="10"/>
      <c r="AD156" s="20"/>
      <c r="AE156" s="20"/>
      <c r="AF156" s="20"/>
      <c r="AG156" s="65"/>
      <c r="AH156" s="66"/>
      <c r="AI156" s="40"/>
      <c r="AJ156" s="10"/>
      <c r="AK156" s="20"/>
      <c r="AL156" s="20"/>
    </row>
    <row r="157" spans="1:38" ht="13.2">
      <c r="A157" s="1"/>
      <c r="B157" s="59"/>
      <c r="C157" s="60">
        <v>41</v>
      </c>
      <c r="D157" s="206" t="s">
        <v>244</v>
      </c>
      <c r="E157" s="201"/>
      <c r="F157" s="61">
        <v>17.25</v>
      </c>
      <c r="G157" s="60" t="s">
        <v>32</v>
      </c>
      <c r="H157" s="60"/>
      <c r="I157" s="62"/>
      <c r="J157" s="11"/>
      <c r="K157" s="11"/>
      <c r="L157" s="11"/>
      <c r="M157" s="11"/>
      <c r="N157" s="59"/>
      <c r="O157" s="60"/>
      <c r="P157" s="206"/>
      <c r="Q157" s="201"/>
      <c r="R157" s="61"/>
      <c r="S157" s="60"/>
      <c r="T157" s="60"/>
      <c r="U157" s="62"/>
      <c r="V157" s="2"/>
      <c r="W157" s="63">
        <v>41</v>
      </c>
      <c r="X157" s="64" t="s">
        <v>244</v>
      </c>
      <c r="Y157" s="20" t="s">
        <v>32</v>
      </c>
      <c r="Z157" s="20">
        <v>17.25</v>
      </c>
      <c r="AA157" s="20"/>
      <c r="AB157" s="10"/>
      <c r="AC157" s="10"/>
      <c r="AD157" s="20"/>
      <c r="AE157" s="20"/>
      <c r="AF157" s="20"/>
      <c r="AG157" s="65"/>
      <c r="AH157" s="66"/>
      <c r="AI157" s="40"/>
      <c r="AJ157" s="10"/>
      <c r="AK157" s="20"/>
      <c r="AL157" s="20"/>
    </row>
    <row r="158" spans="1:38" ht="13.2">
      <c r="A158" s="1"/>
      <c r="B158" s="59"/>
      <c r="C158" s="60">
        <v>42</v>
      </c>
      <c r="D158" s="206" t="s">
        <v>193</v>
      </c>
      <c r="E158" s="201"/>
      <c r="F158" s="61">
        <v>17</v>
      </c>
      <c r="G158" s="60" t="s">
        <v>32</v>
      </c>
      <c r="H158" s="60"/>
      <c r="I158" s="62"/>
      <c r="J158" s="11"/>
      <c r="K158" s="11"/>
      <c r="L158" s="11"/>
      <c r="M158" s="11"/>
      <c r="N158" s="59"/>
      <c r="O158" s="60"/>
      <c r="P158" s="206"/>
      <c r="Q158" s="201"/>
      <c r="R158" s="61"/>
      <c r="S158" s="60"/>
      <c r="T158" s="60"/>
      <c r="U158" s="62"/>
      <c r="V158" s="2"/>
      <c r="W158" s="63">
        <v>42</v>
      </c>
      <c r="X158" s="64" t="s">
        <v>193</v>
      </c>
      <c r="Y158" s="20" t="s">
        <v>32</v>
      </c>
      <c r="Z158" s="20">
        <v>17</v>
      </c>
      <c r="AA158" s="20"/>
      <c r="AB158" s="10"/>
      <c r="AC158" s="10"/>
      <c r="AD158" s="20"/>
      <c r="AE158" s="20"/>
      <c r="AF158" s="20"/>
      <c r="AG158" s="65"/>
      <c r="AH158" s="66"/>
      <c r="AI158" s="40"/>
      <c r="AJ158" s="10"/>
      <c r="AK158" s="20"/>
      <c r="AL158" s="20"/>
    </row>
    <row r="159" spans="1:38" ht="13.2">
      <c r="A159" s="1"/>
      <c r="B159" s="59"/>
      <c r="C159" s="60">
        <v>43</v>
      </c>
      <c r="D159" s="206" t="s">
        <v>238</v>
      </c>
      <c r="E159" s="201"/>
      <c r="F159" s="61">
        <v>16.600000000000001</v>
      </c>
      <c r="G159" s="60" t="s">
        <v>76</v>
      </c>
      <c r="H159" s="60"/>
      <c r="I159" s="62"/>
      <c r="J159" s="11"/>
      <c r="K159" s="11"/>
      <c r="L159" s="11"/>
      <c r="M159" s="11"/>
      <c r="N159" s="59"/>
      <c r="O159" s="60"/>
      <c r="P159" s="206"/>
      <c r="Q159" s="201"/>
      <c r="R159" s="61"/>
      <c r="S159" s="60"/>
      <c r="T159" s="60"/>
      <c r="U159" s="62"/>
      <c r="V159" s="2"/>
      <c r="W159" s="63">
        <v>43</v>
      </c>
      <c r="X159" s="64" t="s">
        <v>238</v>
      </c>
      <c r="Y159" s="20" t="s">
        <v>76</v>
      </c>
      <c r="Z159" s="20">
        <v>16.600000000000001</v>
      </c>
      <c r="AA159" s="20"/>
      <c r="AB159" s="10"/>
      <c r="AC159" s="10"/>
      <c r="AD159" s="20"/>
      <c r="AE159" s="20"/>
      <c r="AF159" s="20"/>
      <c r="AG159" s="65"/>
      <c r="AH159" s="66"/>
      <c r="AI159" s="40"/>
      <c r="AJ159" s="10"/>
      <c r="AK159" s="20"/>
      <c r="AL159" s="20"/>
    </row>
    <row r="160" spans="1:38" ht="13.2">
      <c r="A160" s="1"/>
      <c r="B160" s="59"/>
      <c r="C160" s="60">
        <v>44</v>
      </c>
      <c r="D160" s="206" t="s">
        <v>203</v>
      </c>
      <c r="E160" s="201"/>
      <c r="F160" s="61">
        <v>14</v>
      </c>
      <c r="G160" s="60" t="s">
        <v>44</v>
      </c>
      <c r="H160" s="60"/>
      <c r="I160" s="62"/>
      <c r="J160" s="11"/>
      <c r="K160" s="11"/>
      <c r="L160" s="11"/>
      <c r="M160" s="11"/>
      <c r="N160" s="59"/>
      <c r="O160" s="60"/>
      <c r="P160" s="206"/>
      <c r="Q160" s="201"/>
      <c r="R160" s="61"/>
      <c r="S160" s="60"/>
      <c r="T160" s="60"/>
      <c r="U160" s="62"/>
      <c r="V160" s="2"/>
      <c r="W160" s="63">
        <v>44</v>
      </c>
      <c r="X160" s="64" t="s">
        <v>203</v>
      </c>
      <c r="Y160" s="20" t="s">
        <v>44</v>
      </c>
      <c r="Z160" s="20">
        <v>14</v>
      </c>
      <c r="AA160" s="20"/>
      <c r="AB160" s="10"/>
      <c r="AC160" s="10"/>
      <c r="AD160" s="20"/>
      <c r="AE160" s="20"/>
      <c r="AF160" s="20"/>
      <c r="AG160" s="65"/>
      <c r="AH160" s="66"/>
      <c r="AI160" s="40"/>
      <c r="AJ160" s="10"/>
      <c r="AK160" s="20"/>
      <c r="AL160" s="20"/>
    </row>
    <row r="161" spans="1:38" ht="13.2">
      <c r="A161" s="1"/>
      <c r="B161" s="59"/>
      <c r="C161" s="60">
        <v>45</v>
      </c>
      <c r="D161" s="206" t="s">
        <v>198</v>
      </c>
      <c r="E161" s="201"/>
      <c r="F161" s="61">
        <v>13.75</v>
      </c>
      <c r="G161" s="60" t="s">
        <v>32</v>
      </c>
      <c r="H161" s="60"/>
      <c r="I161" s="62"/>
      <c r="J161" s="11"/>
      <c r="K161" s="11"/>
      <c r="L161" s="11"/>
      <c r="M161" s="11"/>
      <c r="N161" s="59"/>
      <c r="O161" s="60"/>
      <c r="P161" s="206"/>
      <c r="Q161" s="201"/>
      <c r="R161" s="61"/>
      <c r="S161" s="60"/>
      <c r="T161" s="60"/>
      <c r="U161" s="62"/>
      <c r="V161" s="2"/>
      <c r="W161" s="63">
        <v>45</v>
      </c>
      <c r="X161" s="64" t="s">
        <v>198</v>
      </c>
      <c r="Y161" s="20" t="s">
        <v>32</v>
      </c>
      <c r="Z161" s="20">
        <v>13.75</v>
      </c>
      <c r="AA161" s="20"/>
      <c r="AB161" s="10"/>
      <c r="AC161" s="10"/>
      <c r="AD161" s="20"/>
      <c r="AE161" s="20"/>
      <c r="AF161" s="20"/>
      <c r="AG161" s="65"/>
      <c r="AH161" s="66"/>
      <c r="AI161" s="40"/>
      <c r="AJ161" s="10"/>
      <c r="AK161" s="20"/>
      <c r="AL161" s="20"/>
    </row>
    <row r="162" spans="1:38" ht="13.2">
      <c r="A162" s="1"/>
      <c r="B162" s="59"/>
      <c r="C162" s="60">
        <v>46</v>
      </c>
      <c r="D162" s="206" t="s">
        <v>183</v>
      </c>
      <c r="E162" s="201"/>
      <c r="F162" s="61">
        <v>9</v>
      </c>
      <c r="G162" s="60" t="s">
        <v>28</v>
      </c>
      <c r="H162" s="60"/>
      <c r="I162" s="62"/>
      <c r="J162" s="11"/>
      <c r="K162" s="11"/>
      <c r="L162" s="11"/>
      <c r="M162" s="11"/>
      <c r="N162" s="59"/>
      <c r="O162" s="60"/>
      <c r="P162" s="206"/>
      <c r="Q162" s="201"/>
      <c r="R162" s="61"/>
      <c r="S162" s="60"/>
      <c r="T162" s="60"/>
      <c r="U162" s="62"/>
      <c r="V162" s="2"/>
      <c r="W162" s="63">
        <v>46</v>
      </c>
      <c r="X162" s="64" t="s">
        <v>183</v>
      </c>
      <c r="Y162" s="20" t="s">
        <v>28</v>
      </c>
      <c r="Z162" s="20">
        <v>9</v>
      </c>
      <c r="AA162" s="20"/>
      <c r="AB162" s="10"/>
      <c r="AC162" s="10"/>
      <c r="AD162" s="20"/>
      <c r="AE162" s="20"/>
      <c r="AF162" s="20"/>
      <c r="AG162" s="65"/>
      <c r="AH162" s="66"/>
      <c r="AI162" s="40"/>
      <c r="AJ162" s="10"/>
      <c r="AK162" s="20"/>
      <c r="AL162" s="20"/>
    </row>
    <row r="163" spans="1:38" ht="13.2">
      <c r="A163" s="1"/>
      <c r="B163" s="59"/>
      <c r="C163" s="60"/>
      <c r="D163" s="206"/>
      <c r="E163" s="201"/>
      <c r="F163" s="61"/>
      <c r="G163" s="60"/>
      <c r="H163" s="60"/>
      <c r="I163" s="62"/>
      <c r="J163" s="11"/>
      <c r="K163" s="11"/>
      <c r="L163" s="11"/>
      <c r="M163" s="11"/>
      <c r="N163" s="59"/>
      <c r="O163" s="60"/>
      <c r="P163" s="206"/>
      <c r="Q163" s="201"/>
      <c r="R163" s="61"/>
      <c r="S163" s="60"/>
      <c r="T163" s="60"/>
      <c r="U163" s="62"/>
      <c r="V163" s="2"/>
      <c r="W163" s="63">
        <v>50</v>
      </c>
      <c r="X163" s="64"/>
      <c r="Y163" s="20"/>
      <c r="Z163" s="20"/>
      <c r="AA163" s="20"/>
      <c r="AB163" s="10"/>
      <c r="AC163" s="10"/>
      <c r="AD163" s="20"/>
      <c r="AE163" s="20"/>
      <c r="AF163" s="20"/>
      <c r="AG163" s="65"/>
      <c r="AH163" s="66"/>
      <c r="AI163" s="40"/>
      <c r="AJ163" s="10"/>
      <c r="AK163" s="20"/>
      <c r="AL163" s="20"/>
    </row>
    <row r="164" spans="1:38" ht="13.2">
      <c r="A164" s="1"/>
      <c r="B164" s="1"/>
      <c r="C164" s="67"/>
      <c r="D164" s="1"/>
      <c r="E164" s="1"/>
      <c r="F164" s="10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68"/>
      <c r="R164" s="10"/>
      <c r="S164" s="1"/>
      <c r="T164" s="1"/>
      <c r="U164" s="1"/>
      <c r="V164" s="2"/>
      <c r="W164" s="63">
        <v>51</v>
      </c>
      <c r="X164" s="10"/>
      <c r="Y164" s="10"/>
      <c r="Z164" s="10"/>
      <c r="AA164" s="10"/>
      <c r="AB164" s="10"/>
      <c r="AC164" s="20"/>
      <c r="AD164" s="20"/>
      <c r="AE164" s="10"/>
      <c r="AF164" s="10"/>
      <c r="AG164" s="10"/>
      <c r="AH164" s="10"/>
      <c r="AI164" s="40"/>
      <c r="AJ164" s="20"/>
      <c r="AK164" s="20"/>
      <c r="AL164" s="10"/>
    </row>
    <row r="165" spans="1:38" ht="13.2">
      <c r="A165" s="1"/>
      <c r="B165" s="1"/>
      <c r="C165" s="69" t="s">
        <v>100</v>
      </c>
      <c r="D165" s="12"/>
      <c r="E165" s="12"/>
      <c r="F165" s="13"/>
      <c r="G165" s="12"/>
      <c r="H165" s="12"/>
      <c r="I165" s="11"/>
      <c r="J165" s="11"/>
      <c r="K165" s="11"/>
      <c r="L165" s="11"/>
      <c r="M165" s="11"/>
      <c r="N165" s="11"/>
      <c r="O165" s="69"/>
      <c r="P165" s="12"/>
      <c r="Q165" s="70"/>
      <c r="R165" s="13"/>
      <c r="S165" s="12"/>
      <c r="T165" s="12"/>
      <c r="U165" s="1"/>
      <c r="V165" s="2"/>
      <c r="W165" s="10"/>
      <c r="X165" s="10"/>
      <c r="Y165" s="10"/>
      <c r="Z165" s="10"/>
      <c r="AA165" s="10"/>
      <c r="AB165" s="10"/>
      <c r="AC165" s="20"/>
      <c r="AD165" s="20"/>
      <c r="AE165" s="10"/>
      <c r="AF165" s="10"/>
      <c r="AG165" s="10"/>
      <c r="AH165" s="10"/>
      <c r="AI165" s="10"/>
      <c r="AJ165" s="20"/>
      <c r="AK165" s="20"/>
      <c r="AL165" s="10"/>
    </row>
    <row r="166" spans="1:38" ht="13.2">
      <c r="A166" s="1"/>
      <c r="B166" s="1"/>
      <c r="C166" s="195">
        <v>0</v>
      </c>
      <c r="D166" s="196"/>
      <c r="E166" s="196"/>
      <c r="F166" s="196"/>
      <c r="G166" s="196"/>
      <c r="H166" s="196"/>
      <c r="I166" s="196"/>
      <c r="J166" s="196"/>
      <c r="K166" s="196"/>
      <c r="L166" s="196"/>
      <c r="M166" s="196"/>
      <c r="N166" s="196"/>
      <c r="O166" s="196"/>
      <c r="P166" s="196"/>
      <c r="Q166" s="196"/>
      <c r="R166" s="196"/>
      <c r="S166" s="196"/>
      <c r="T166" s="197"/>
      <c r="U166" s="1"/>
      <c r="V166" s="2"/>
      <c r="W166" s="10"/>
      <c r="X166" s="10"/>
      <c r="Y166" s="10"/>
      <c r="Z166" s="10"/>
      <c r="AA166" s="10"/>
      <c r="AB166" s="10"/>
      <c r="AC166" s="20"/>
      <c r="AD166" s="20"/>
      <c r="AE166" s="10"/>
      <c r="AF166" s="10"/>
      <c r="AG166" s="10"/>
      <c r="AH166" s="10"/>
      <c r="AI166" s="10"/>
      <c r="AJ166" s="20"/>
      <c r="AK166" s="20"/>
      <c r="AL166" s="10"/>
    </row>
    <row r="167" spans="1:38" ht="13.2">
      <c r="A167" s="1"/>
      <c r="B167" s="1"/>
      <c r="C167" s="198"/>
      <c r="D167" s="194"/>
      <c r="E167" s="194"/>
      <c r="F167" s="194"/>
      <c r="G167" s="194"/>
      <c r="H167" s="194"/>
      <c r="I167" s="194"/>
      <c r="J167" s="194"/>
      <c r="K167" s="194"/>
      <c r="L167" s="194"/>
      <c r="M167" s="194"/>
      <c r="N167" s="194"/>
      <c r="O167" s="194"/>
      <c r="P167" s="194"/>
      <c r="Q167" s="194"/>
      <c r="R167" s="194"/>
      <c r="S167" s="194"/>
      <c r="T167" s="199"/>
      <c r="U167" s="1"/>
      <c r="V167" s="2"/>
      <c r="W167" s="10"/>
      <c r="X167" s="10"/>
      <c r="Y167" s="10"/>
      <c r="Z167" s="10"/>
      <c r="AA167" s="10"/>
      <c r="AB167" s="10"/>
      <c r="AC167" s="20"/>
      <c r="AD167" s="20"/>
      <c r="AE167" s="10"/>
      <c r="AF167" s="10"/>
      <c r="AG167" s="10"/>
      <c r="AH167" s="10"/>
      <c r="AI167" s="10"/>
      <c r="AJ167" s="20"/>
      <c r="AK167" s="20"/>
      <c r="AL167" s="10"/>
    </row>
    <row r="168" spans="1:38" ht="13.2">
      <c r="A168" s="1"/>
      <c r="B168" s="1"/>
      <c r="C168" s="198"/>
      <c r="D168" s="194"/>
      <c r="E168" s="194"/>
      <c r="F168" s="194"/>
      <c r="G168" s="194"/>
      <c r="H168" s="194"/>
      <c r="I168" s="194"/>
      <c r="J168" s="194"/>
      <c r="K168" s="194"/>
      <c r="L168" s="194"/>
      <c r="M168" s="194"/>
      <c r="N168" s="194"/>
      <c r="O168" s="194"/>
      <c r="P168" s="194"/>
      <c r="Q168" s="194"/>
      <c r="R168" s="194"/>
      <c r="S168" s="194"/>
      <c r="T168" s="199"/>
      <c r="U168" s="1"/>
      <c r="V168" s="2"/>
      <c r="W168" s="10"/>
      <c r="X168" s="10"/>
      <c r="Y168" s="10"/>
      <c r="Z168" s="10"/>
      <c r="AA168" s="10"/>
      <c r="AB168" s="10"/>
      <c r="AC168" s="20"/>
      <c r="AD168" s="20"/>
      <c r="AE168" s="10"/>
      <c r="AF168" s="10"/>
      <c r="AG168" s="10"/>
      <c r="AH168" s="10"/>
      <c r="AI168" s="10"/>
      <c r="AJ168" s="20"/>
      <c r="AK168" s="20"/>
      <c r="AL168" s="10"/>
    </row>
    <row r="169" spans="1:38" ht="13.2">
      <c r="A169" s="1"/>
      <c r="B169" s="1"/>
      <c r="C169" s="200"/>
      <c r="D169" s="201"/>
      <c r="E169" s="201"/>
      <c r="F169" s="201"/>
      <c r="G169" s="201"/>
      <c r="H169" s="201"/>
      <c r="I169" s="201"/>
      <c r="J169" s="201"/>
      <c r="K169" s="201"/>
      <c r="L169" s="201"/>
      <c r="M169" s="201"/>
      <c r="N169" s="201"/>
      <c r="O169" s="201"/>
      <c r="P169" s="201"/>
      <c r="Q169" s="201"/>
      <c r="R169" s="201"/>
      <c r="S169" s="201"/>
      <c r="T169" s="202"/>
      <c r="U169" s="1"/>
      <c r="V169" s="2"/>
      <c r="W169" s="10"/>
      <c r="X169" s="10"/>
      <c r="Y169" s="10"/>
      <c r="Z169" s="10"/>
      <c r="AA169" s="10"/>
      <c r="AB169" s="10"/>
      <c r="AC169" s="20"/>
      <c r="AD169" s="20"/>
      <c r="AE169" s="10"/>
      <c r="AF169" s="10"/>
      <c r="AG169" s="10"/>
      <c r="AH169" s="10"/>
      <c r="AI169" s="10"/>
      <c r="AJ169" s="20"/>
      <c r="AK169" s="20"/>
      <c r="AL169" s="10"/>
    </row>
    <row r="170" spans="1:38" ht="13.2">
      <c r="A170" s="1"/>
      <c r="B170" s="1"/>
      <c r="C170" s="67"/>
      <c r="D170" s="1"/>
      <c r="E170" s="1"/>
      <c r="F170" s="10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68"/>
      <c r="R170" s="10"/>
      <c r="S170" s="1"/>
      <c r="T170" s="1"/>
      <c r="U170" s="1"/>
      <c r="V170" s="2"/>
      <c r="W170" s="10"/>
      <c r="X170" s="10"/>
      <c r="Y170" s="10"/>
      <c r="Z170" s="10"/>
      <c r="AA170" s="10"/>
      <c r="AB170" s="10"/>
      <c r="AC170" s="20"/>
      <c r="AD170" s="20"/>
      <c r="AE170" s="10"/>
      <c r="AF170" s="10"/>
      <c r="AG170" s="10"/>
      <c r="AH170" s="10"/>
      <c r="AI170" s="10"/>
      <c r="AJ170" s="20"/>
      <c r="AK170" s="20"/>
      <c r="AL170" s="10"/>
    </row>
    <row r="171" spans="1:38" ht="13.2">
      <c r="A171" s="1"/>
      <c r="B171" s="1"/>
      <c r="C171" s="67"/>
      <c r="D171" s="1"/>
      <c r="E171" s="1"/>
      <c r="F171" s="10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68"/>
      <c r="R171" s="10"/>
      <c r="S171" s="1"/>
      <c r="T171" s="1"/>
      <c r="U171" s="1"/>
      <c r="V171" s="2"/>
      <c r="W171" s="10"/>
      <c r="X171" s="10"/>
      <c r="Y171" s="10"/>
      <c r="Z171" s="10"/>
      <c r="AA171" s="10"/>
      <c r="AB171" s="10"/>
      <c r="AC171" s="20"/>
      <c r="AD171" s="20"/>
      <c r="AE171" s="10"/>
      <c r="AF171" s="10"/>
      <c r="AG171" s="10"/>
      <c r="AH171" s="10"/>
      <c r="AI171" s="10"/>
      <c r="AJ171" s="20"/>
      <c r="AK171" s="20"/>
      <c r="AL171" s="10"/>
    </row>
    <row r="172" spans="1:38" ht="13.2">
      <c r="A172" s="1"/>
      <c r="B172" s="1"/>
      <c r="C172" s="67"/>
      <c r="D172" s="1"/>
      <c r="E172" s="1"/>
      <c r="F172" s="10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68"/>
      <c r="R172" s="10"/>
      <c r="S172" s="1"/>
      <c r="T172" s="1"/>
      <c r="U172" s="1"/>
      <c r="V172" s="2"/>
      <c r="W172" s="2"/>
      <c r="X172" s="2"/>
      <c r="Y172" s="2"/>
      <c r="Z172" s="2"/>
      <c r="AA172" s="2"/>
      <c r="AB172" s="2"/>
      <c r="AC172" s="14"/>
      <c r="AD172" s="14"/>
      <c r="AE172" s="2"/>
      <c r="AF172" s="2"/>
      <c r="AG172" s="2"/>
      <c r="AH172" s="2"/>
      <c r="AI172" s="2"/>
      <c r="AJ172" s="14"/>
      <c r="AK172" s="14"/>
      <c r="AL172" s="2"/>
    </row>
    <row r="173" spans="1:38" ht="15.6">
      <c r="A173" s="1"/>
      <c r="B173" s="28"/>
      <c r="C173" s="17"/>
      <c r="D173" s="29" t="s">
        <v>500</v>
      </c>
      <c r="E173" s="225" t="s">
        <v>520</v>
      </c>
      <c r="F173" s="194"/>
      <c r="G173" s="194"/>
      <c r="H173" s="19"/>
      <c r="I173" s="30"/>
      <c r="J173" s="30"/>
      <c r="K173" s="30"/>
      <c r="L173" s="30"/>
      <c r="M173" s="30"/>
      <c r="N173" s="30"/>
      <c r="O173" s="30"/>
      <c r="P173" s="29" t="s">
        <v>493</v>
      </c>
      <c r="Q173" s="207" t="s">
        <v>0</v>
      </c>
      <c r="R173" s="194"/>
      <c r="S173" s="19"/>
      <c r="T173" s="6"/>
      <c r="U173" s="31"/>
      <c r="V173" s="2"/>
      <c r="W173" s="10"/>
      <c r="X173" s="10"/>
      <c r="Y173" s="10"/>
      <c r="Z173" s="10"/>
      <c r="AA173" s="10"/>
      <c r="AB173" s="10"/>
      <c r="AC173" s="20"/>
      <c r="AD173" s="20"/>
      <c r="AE173" s="10"/>
      <c r="AF173" s="10"/>
      <c r="AG173" s="10"/>
      <c r="AH173" s="10"/>
      <c r="AI173" s="10"/>
      <c r="AJ173" s="20"/>
      <c r="AK173" s="20"/>
      <c r="AL173" s="10"/>
    </row>
    <row r="174" spans="1:38" ht="15.6">
      <c r="A174" s="1"/>
      <c r="B174" s="32"/>
      <c r="C174" s="16"/>
      <c r="D174" s="33" t="s">
        <v>494</v>
      </c>
      <c r="E174" s="30"/>
      <c r="F174" s="34"/>
      <c r="G174" s="19"/>
      <c r="H174" s="19"/>
      <c r="I174" s="19"/>
      <c r="J174" s="19"/>
      <c r="K174" s="19"/>
      <c r="L174" s="19"/>
      <c r="M174" s="19"/>
      <c r="N174" s="19"/>
      <c r="O174" s="19"/>
      <c r="P174" s="35" t="s">
        <v>98</v>
      </c>
      <c r="Q174" s="208" t="s">
        <v>99</v>
      </c>
      <c r="R174" s="194"/>
      <c r="S174" s="194"/>
      <c r="T174" s="194"/>
      <c r="U174" s="19"/>
      <c r="V174" s="2"/>
      <c r="W174" s="10"/>
      <c r="X174" s="10"/>
      <c r="Y174" s="10"/>
      <c r="Z174" s="10"/>
      <c r="AA174" s="10"/>
      <c r="AB174" s="10"/>
      <c r="AC174" s="20"/>
      <c r="AD174" s="20"/>
      <c r="AE174" s="10"/>
      <c r="AF174" s="10"/>
      <c r="AG174" s="10"/>
      <c r="AH174" s="10"/>
      <c r="AI174" s="10"/>
      <c r="AJ174" s="20"/>
      <c r="AK174" s="20"/>
      <c r="AL174" s="10"/>
    </row>
    <row r="175" spans="1:38" ht="15.6">
      <c r="A175" s="1"/>
      <c r="B175" s="7"/>
      <c r="C175" s="36"/>
      <c r="D175" s="30"/>
      <c r="E175" s="30"/>
      <c r="F175" s="34"/>
      <c r="G175" s="19"/>
      <c r="H175" s="19"/>
      <c r="I175" s="19"/>
      <c r="J175" s="19"/>
      <c r="K175" s="19"/>
      <c r="L175" s="19"/>
      <c r="M175" s="19"/>
      <c r="N175" s="19"/>
      <c r="O175" s="19"/>
      <c r="P175" s="30"/>
      <c r="Q175" s="37"/>
      <c r="R175" s="38"/>
      <c r="S175" s="19"/>
      <c r="T175" s="19"/>
      <c r="U175" s="19"/>
      <c r="V175" s="2"/>
      <c r="W175" s="15"/>
      <c r="X175" s="39"/>
      <c r="Y175" s="40"/>
      <c r="Z175" s="41"/>
      <c r="AA175" s="41"/>
      <c r="AB175" s="40"/>
      <c r="AC175" s="40"/>
      <c r="AD175" s="40"/>
      <c r="AE175" s="40"/>
      <c r="AF175" s="40"/>
      <c r="AG175" s="40"/>
      <c r="AH175" s="40"/>
      <c r="AI175" s="15"/>
      <c r="AJ175" s="40"/>
      <c r="AK175" s="40"/>
      <c r="AL175" s="40"/>
    </row>
    <row r="176" spans="1:38" ht="15.6">
      <c r="A176" s="1"/>
      <c r="B176" s="8"/>
      <c r="C176" s="226" t="s">
        <v>20</v>
      </c>
      <c r="D176" s="204"/>
      <c r="E176" s="203" t="s">
        <v>10</v>
      </c>
      <c r="F176" s="204"/>
      <c r="G176" s="204"/>
      <c r="H176" s="42"/>
      <c r="I176" s="43"/>
      <c r="J176" s="44"/>
      <c r="K176" s="44"/>
      <c r="L176" s="44"/>
      <c r="M176" s="44"/>
      <c r="N176" s="9"/>
      <c r="O176" s="209" t="s">
        <v>20</v>
      </c>
      <c r="P176" s="204"/>
      <c r="Q176" s="205" t="s">
        <v>11</v>
      </c>
      <c r="R176" s="204"/>
      <c r="S176" s="204"/>
      <c r="T176" s="45"/>
      <c r="U176" s="46"/>
      <c r="V176" s="2"/>
      <c r="W176" s="39"/>
      <c r="X176" s="40"/>
      <c r="Y176" s="41"/>
      <c r="Z176" s="210"/>
      <c r="AA176" s="194"/>
      <c r="AB176" s="41"/>
      <c r="AC176" s="10"/>
      <c r="AD176" s="41"/>
      <c r="AE176" s="210"/>
      <c r="AF176" s="194"/>
      <c r="AG176" s="210"/>
      <c r="AH176" s="194"/>
      <c r="AI176" s="47"/>
      <c r="AJ176" s="10"/>
      <c r="AK176" s="41"/>
      <c r="AL176" s="41"/>
    </row>
    <row r="177" spans="1:38" ht="15.6">
      <c r="A177" s="1"/>
      <c r="B177" s="43"/>
      <c r="C177" s="223" t="s">
        <v>2</v>
      </c>
      <c r="D177" s="193"/>
      <c r="E177" s="224">
        <v>36</v>
      </c>
      <c r="F177" s="204"/>
      <c r="G177" s="204"/>
      <c r="H177" s="48"/>
      <c r="I177" s="43"/>
      <c r="J177" s="49"/>
      <c r="K177" s="49"/>
      <c r="L177" s="49"/>
      <c r="M177" s="49"/>
      <c r="N177" s="9"/>
      <c r="O177" s="211" t="s">
        <v>2</v>
      </c>
      <c r="P177" s="193"/>
      <c r="Q177" s="212">
        <v>34</v>
      </c>
      <c r="R177" s="204"/>
      <c r="S177" s="204"/>
      <c r="T177" s="50"/>
      <c r="U177" s="46"/>
      <c r="V177" s="2"/>
      <c r="W177" s="47"/>
      <c r="X177" s="51"/>
      <c r="Y177" s="41"/>
      <c r="Z177" s="210"/>
      <c r="AA177" s="194"/>
      <c r="AB177" s="10"/>
      <c r="AC177" s="10"/>
      <c r="AD177" s="41"/>
      <c r="AE177" s="210"/>
      <c r="AF177" s="194"/>
      <c r="AG177" s="210"/>
      <c r="AH177" s="194"/>
      <c r="AI177" s="47"/>
      <c r="AJ177" s="10"/>
      <c r="AK177" s="41"/>
      <c r="AL177" s="41"/>
    </row>
    <row r="178" spans="1:38" ht="13.2">
      <c r="A178" s="1"/>
      <c r="B178" s="52"/>
      <c r="C178" s="53" t="s">
        <v>495</v>
      </c>
      <c r="D178" s="213" t="s">
        <v>10</v>
      </c>
      <c r="E178" s="193"/>
      <c r="F178" s="54" t="s">
        <v>21</v>
      </c>
      <c r="G178" s="55" t="s">
        <v>496</v>
      </c>
      <c r="H178" s="55"/>
      <c r="I178" s="56"/>
      <c r="J178" s="11"/>
      <c r="K178" s="11"/>
      <c r="L178" s="11"/>
      <c r="M178" s="57"/>
      <c r="N178" s="56"/>
      <c r="O178" s="53" t="s">
        <v>495</v>
      </c>
      <c r="P178" s="213" t="s">
        <v>11</v>
      </c>
      <c r="Q178" s="193"/>
      <c r="R178" s="54" t="s">
        <v>21</v>
      </c>
      <c r="S178" s="55" t="s">
        <v>496</v>
      </c>
      <c r="T178" s="55"/>
      <c r="U178" s="56"/>
      <c r="V178" s="2"/>
      <c r="W178" s="39" t="s">
        <v>495</v>
      </c>
      <c r="X178" s="58" t="s">
        <v>497</v>
      </c>
      <c r="Y178" s="41" t="s">
        <v>496</v>
      </c>
      <c r="Z178" s="41" t="s">
        <v>21</v>
      </c>
      <c r="AA178" s="41"/>
      <c r="AB178" s="58"/>
      <c r="AC178" s="58"/>
      <c r="AD178" s="41"/>
      <c r="AE178" s="41"/>
      <c r="AF178" s="41"/>
      <c r="AG178" s="41"/>
      <c r="AH178" s="41"/>
      <c r="AI178" s="39"/>
      <c r="AJ178" s="58" t="s">
        <v>497</v>
      </c>
      <c r="AK178" s="41" t="s">
        <v>496</v>
      </c>
      <c r="AL178" s="41" t="s">
        <v>21</v>
      </c>
    </row>
    <row r="179" spans="1:38" ht="13.2">
      <c r="A179" s="1"/>
      <c r="B179" s="59"/>
      <c r="C179" s="60">
        <v>1</v>
      </c>
      <c r="D179" s="206" t="s">
        <v>269</v>
      </c>
      <c r="E179" s="201"/>
      <c r="F179" s="61">
        <v>52.05</v>
      </c>
      <c r="G179" s="60" t="s">
        <v>177</v>
      </c>
      <c r="H179" s="60"/>
      <c r="I179" s="62"/>
      <c r="J179" s="11"/>
      <c r="K179" s="11"/>
      <c r="L179" s="11"/>
      <c r="M179" s="11"/>
      <c r="N179" s="59"/>
      <c r="O179" s="60">
        <v>1</v>
      </c>
      <c r="P179" s="206" t="s">
        <v>282</v>
      </c>
      <c r="Q179" s="202"/>
      <c r="R179" s="61">
        <v>55.65</v>
      </c>
      <c r="S179" s="60" t="s">
        <v>68</v>
      </c>
      <c r="T179" s="60"/>
      <c r="U179" s="62"/>
      <c r="V179" s="2"/>
      <c r="W179" s="63">
        <v>1</v>
      </c>
      <c r="X179" s="64" t="s">
        <v>269</v>
      </c>
      <c r="Y179" s="20" t="s">
        <v>177</v>
      </c>
      <c r="Z179" s="20">
        <v>52.05</v>
      </c>
      <c r="AA179" s="20"/>
      <c r="AB179" s="64"/>
      <c r="AC179" s="64"/>
      <c r="AD179" s="20"/>
      <c r="AE179" s="20"/>
      <c r="AF179" s="20"/>
      <c r="AG179" s="65"/>
      <c r="AH179" s="66"/>
      <c r="AI179" s="40"/>
      <c r="AJ179" s="64" t="s">
        <v>282</v>
      </c>
      <c r="AK179" s="20" t="s">
        <v>68</v>
      </c>
      <c r="AL179" s="20">
        <v>55.65</v>
      </c>
    </row>
    <row r="180" spans="1:38" ht="13.2">
      <c r="A180" s="1"/>
      <c r="B180" s="59"/>
      <c r="C180" s="60">
        <v>2</v>
      </c>
      <c r="D180" s="206" t="s">
        <v>291</v>
      </c>
      <c r="E180" s="201"/>
      <c r="F180" s="61">
        <v>50.95</v>
      </c>
      <c r="G180" s="60" t="s">
        <v>28</v>
      </c>
      <c r="H180" s="60"/>
      <c r="I180" s="62"/>
      <c r="J180" s="11"/>
      <c r="K180" s="11"/>
      <c r="L180" s="11"/>
      <c r="M180" s="11"/>
      <c r="N180" s="59"/>
      <c r="O180" s="60">
        <v>2</v>
      </c>
      <c r="P180" s="206" t="s">
        <v>253</v>
      </c>
      <c r="Q180" s="201"/>
      <c r="R180" s="61">
        <v>51.75</v>
      </c>
      <c r="S180" s="60" t="s">
        <v>30</v>
      </c>
      <c r="T180" s="60"/>
      <c r="U180" s="62"/>
      <c r="V180" s="2"/>
      <c r="W180" s="63">
        <v>2</v>
      </c>
      <c r="X180" s="64" t="s">
        <v>291</v>
      </c>
      <c r="Y180" s="20" t="s">
        <v>28</v>
      </c>
      <c r="Z180" s="20">
        <v>50.95</v>
      </c>
      <c r="AA180" s="20"/>
      <c r="AB180" s="10"/>
      <c r="AC180" s="10"/>
      <c r="AD180" s="20"/>
      <c r="AE180" s="20"/>
      <c r="AF180" s="20"/>
      <c r="AG180" s="65"/>
      <c r="AH180" s="66"/>
      <c r="AI180" s="40"/>
      <c r="AJ180" s="10" t="s">
        <v>253</v>
      </c>
      <c r="AK180" s="20" t="s">
        <v>30</v>
      </c>
      <c r="AL180" s="20">
        <v>51.75</v>
      </c>
    </row>
    <row r="181" spans="1:38" ht="13.2">
      <c r="A181" s="1"/>
      <c r="B181" s="59"/>
      <c r="C181" s="60">
        <v>3</v>
      </c>
      <c r="D181" s="206" t="s">
        <v>266</v>
      </c>
      <c r="E181" s="201"/>
      <c r="F181" s="61">
        <v>50.8</v>
      </c>
      <c r="G181" s="60" t="s">
        <v>134</v>
      </c>
      <c r="H181" s="60"/>
      <c r="I181" s="62"/>
      <c r="J181" s="11"/>
      <c r="K181" s="11"/>
      <c r="L181" s="11"/>
      <c r="M181" s="11"/>
      <c r="N181" s="59"/>
      <c r="O181" s="60">
        <v>3</v>
      </c>
      <c r="P181" s="206" t="s">
        <v>270</v>
      </c>
      <c r="Q181" s="201"/>
      <c r="R181" s="61">
        <v>47.8</v>
      </c>
      <c r="S181" s="60" t="s">
        <v>76</v>
      </c>
      <c r="T181" s="60"/>
      <c r="U181" s="62"/>
      <c r="V181" s="2"/>
      <c r="W181" s="63">
        <v>3</v>
      </c>
      <c r="X181" s="64" t="s">
        <v>266</v>
      </c>
      <c r="Y181" s="20" t="s">
        <v>134</v>
      </c>
      <c r="Z181" s="20">
        <v>50.8</v>
      </c>
      <c r="AA181" s="20"/>
      <c r="AB181" s="10"/>
      <c r="AC181" s="10"/>
      <c r="AD181" s="20"/>
      <c r="AE181" s="20"/>
      <c r="AF181" s="20"/>
      <c r="AG181" s="65"/>
      <c r="AH181" s="66"/>
      <c r="AI181" s="40"/>
      <c r="AJ181" s="10" t="s">
        <v>270</v>
      </c>
      <c r="AK181" s="20" t="s">
        <v>76</v>
      </c>
      <c r="AL181" s="20">
        <v>47.8</v>
      </c>
    </row>
    <row r="182" spans="1:38" ht="13.2">
      <c r="A182" s="1"/>
      <c r="B182" s="59"/>
      <c r="C182" s="60">
        <v>4</v>
      </c>
      <c r="D182" s="206" t="s">
        <v>262</v>
      </c>
      <c r="E182" s="201"/>
      <c r="F182" s="61">
        <v>48.1</v>
      </c>
      <c r="G182" s="60" t="s">
        <v>76</v>
      </c>
      <c r="H182" s="60"/>
      <c r="I182" s="62"/>
      <c r="J182" s="11"/>
      <c r="K182" s="11"/>
      <c r="L182" s="11"/>
      <c r="M182" s="11"/>
      <c r="N182" s="59"/>
      <c r="O182" s="60">
        <v>4</v>
      </c>
      <c r="P182" s="206" t="s">
        <v>276</v>
      </c>
      <c r="Q182" s="201"/>
      <c r="R182" s="61">
        <v>43.25</v>
      </c>
      <c r="S182" s="60" t="s">
        <v>106</v>
      </c>
      <c r="T182" s="60"/>
      <c r="U182" s="62"/>
      <c r="V182" s="2"/>
      <c r="W182" s="63">
        <v>4</v>
      </c>
      <c r="X182" s="64" t="s">
        <v>262</v>
      </c>
      <c r="Y182" s="20" t="s">
        <v>76</v>
      </c>
      <c r="Z182" s="20">
        <v>48.1</v>
      </c>
      <c r="AA182" s="20"/>
      <c r="AB182" s="10"/>
      <c r="AC182" s="10"/>
      <c r="AD182" s="20"/>
      <c r="AE182" s="20"/>
      <c r="AF182" s="20"/>
      <c r="AG182" s="65"/>
      <c r="AH182" s="66"/>
      <c r="AI182" s="40"/>
      <c r="AJ182" s="10" t="s">
        <v>276</v>
      </c>
      <c r="AK182" s="20" t="s">
        <v>106</v>
      </c>
      <c r="AL182" s="20">
        <v>43.25</v>
      </c>
    </row>
    <row r="183" spans="1:38" ht="13.2">
      <c r="A183" s="1"/>
      <c r="B183" s="59"/>
      <c r="C183" s="60">
        <v>5</v>
      </c>
      <c r="D183" s="206" t="s">
        <v>254</v>
      </c>
      <c r="E183" s="201"/>
      <c r="F183" s="61">
        <v>47.65</v>
      </c>
      <c r="G183" s="60" t="s">
        <v>134</v>
      </c>
      <c r="H183" s="60"/>
      <c r="I183" s="62"/>
      <c r="J183" s="11"/>
      <c r="K183" s="11"/>
      <c r="L183" s="11"/>
      <c r="M183" s="11"/>
      <c r="N183" s="59"/>
      <c r="O183" s="60" t="s">
        <v>505</v>
      </c>
      <c r="P183" s="206" t="s">
        <v>292</v>
      </c>
      <c r="Q183" s="201"/>
      <c r="R183" s="61">
        <v>42.7</v>
      </c>
      <c r="S183" s="60" t="s">
        <v>97</v>
      </c>
      <c r="T183" s="60"/>
      <c r="U183" s="62"/>
      <c r="V183" s="2"/>
      <c r="W183" s="63">
        <v>5</v>
      </c>
      <c r="X183" s="64" t="s">
        <v>254</v>
      </c>
      <c r="Y183" s="20" t="s">
        <v>134</v>
      </c>
      <c r="Z183" s="20">
        <v>47.65</v>
      </c>
      <c r="AA183" s="20"/>
      <c r="AB183" s="10"/>
      <c r="AC183" s="10"/>
      <c r="AD183" s="20"/>
      <c r="AE183" s="20"/>
      <c r="AF183" s="20"/>
      <c r="AG183" s="65"/>
      <c r="AH183" s="66"/>
      <c r="AI183" s="40"/>
      <c r="AJ183" s="10" t="s">
        <v>292</v>
      </c>
      <c r="AK183" s="20" t="s">
        <v>97</v>
      </c>
      <c r="AL183" s="20">
        <v>42.7</v>
      </c>
    </row>
    <row r="184" spans="1:38" ht="13.2">
      <c r="A184" s="1"/>
      <c r="B184" s="59"/>
      <c r="C184" s="60">
        <v>6</v>
      </c>
      <c r="D184" s="206" t="s">
        <v>248</v>
      </c>
      <c r="E184" s="201"/>
      <c r="F184" s="61">
        <v>46.5</v>
      </c>
      <c r="G184" s="60" t="s">
        <v>164</v>
      </c>
      <c r="H184" s="60"/>
      <c r="I184" s="62"/>
      <c r="J184" s="11"/>
      <c r="K184" s="11"/>
      <c r="L184" s="11"/>
      <c r="M184" s="11"/>
      <c r="N184" s="59"/>
      <c r="O184" s="60" t="s">
        <v>505</v>
      </c>
      <c r="P184" s="206" t="s">
        <v>312</v>
      </c>
      <c r="Q184" s="201"/>
      <c r="R184" s="61">
        <v>42.7</v>
      </c>
      <c r="S184" s="60" t="s">
        <v>79</v>
      </c>
      <c r="T184" s="60"/>
      <c r="U184" s="62"/>
      <c r="V184" s="2"/>
      <c r="W184" s="63">
        <v>6</v>
      </c>
      <c r="X184" s="64" t="s">
        <v>248</v>
      </c>
      <c r="Y184" s="20" t="s">
        <v>164</v>
      </c>
      <c r="Z184" s="20">
        <v>46.5</v>
      </c>
      <c r="AA184" s="20"/>
      <c r="AB184" s="10"/>
      <c r="AC184" s="10"/>
      <c r="AD184" s="20"/>
      <c r="AE184" s="20"/>
      <c r="AF184" s="20"/>
      <c r="AG184" s="65"/>
      <c r="AH184" s="66"/>
      <c r="AI184" s="40"/>
      <c r="AJ184" s="10" t="s">
        <v>312</v>
      </c>
      <c r="AK184" s="20" t="s">
        <v>79</v>
      </c>
      <c r="AL184" s="20">
        <v>42.7</v>
      </c>
    </row>
    <row r="185" spans="1:38" ht="13.2">
      <c r="A185" s="1"/>
      <c r="B185" s="59"/>
      <c r="C185" s="60">
        <v>7</v>
      </c>
      <c r="D185" s="206" t="s">
        <v>306</v>
      </c>
      <c r="E185" s="201"/>
      <c r="F185" s="61">
        <v>46.35</v>
      </c>
      <c r="G185" s="60" t="s">
        <v>37</v>
      </c>
      <c r="H185" s="60"/>
      <c r="I185" s="62"/>
      <c r="J185" s="11"/>
      <c r="K185" s="11"/>
      <c r="L185" s="11"/>
      <c r="M185" s="11"/>
      <c r="N185" s="59"/>
      <c r="O185" s="60">
        <v>7</v>
      </c>
      <c r="P185" s="206" t="s">
        <v>251</v>
      </c>
      <c r="Q185" s="201"/>
      <c r="R185" s="61">
        <v>42.35</v>
      </c>
      <c r="S185" s="60" t="s">
        <v>177</v>
      </c>
      <c r="T185" s="60"/>
      <c r="U185" s="62"/>
      <c r="V185" s="2"/>
      <c r="W185" s="63">
        <v>7</v>
      </c>
      <c r="X185" s="64" t="s">
        <v>306</v>
      </c>
      <c r="Y185" s="20" t="s">
        <v>37</v>
      </c>
      <c r="Z185" s="20">
        <v>46.35</v>
      </c>
      <c r="AA185" s="20"/>
      <c r="AB185" s="10"/>
      <c r="AC185" s="10"/>
      <c r="AD185" s="20"/>
      <c r="AE185" s="20"/>
      <c r="AF185" s="20"/>
      <c r="AG185" s="65"/>
      <c r="AH185" s="66"/>
      <c r="AI185" s="40"/>
      <c r="AJ185" s="10" t="s">
        <v>251</v>
      </c>
      <c r="AK185" s="20" t="s">
        <v>177</v>
      </c>
      <c r="AL185" s="20">
        <v>42.35</v>
      </c>
    </row>
    <row r="186" spans="1:38" ht="13.2">
      <c r="A186" s="1"/>
      <c r="B186" s="59"/>
      <c r="C186" s="60">
        <v>8</v>
      </c>
      <c r="D186" s="206" t="s">
        <v>318</v>
      </c>
      <c r="E186" s="201"/>
      <c r="F186" s="61">
        <v>40.75</v>
      </c>
      <c r="G186" s="60" t="s">
        <v>68</v>
      </c>
      <c r="H186" s="60"/>
      <c r="I186" s="62"/>
      <c r="J186" s="11"/>
      <c r="K186" s="11"/>
      <c r="L186" s="11"/>
      <c r="M186" s="11"/>
      <c r="N186" s="59"/>
      <c r="O186" s="60">
        <v>8</v>
      </c>
      <c r="P186" s="206" t="s">
        <v>310</v>
      </c>
      <c r="Q186" s="201"/>
      <c r="R186" s="61">
        <v>40.700000000000003</v>
      </c>
      <c r="S186" s="60" t="s">
        <v>79</v>
      </c>
      <c r="T186" s="60"/>
      <c r="U186" s="62"/>
      <c r="V186" s="2"/>
      <c r="W186" s="63">
        <v>8</v>
      </c>
      <c r="X186" s="64" t="s">
        <v>318</v>
      </c>
      <c r="Y186" s="20" t="s">
        <v>68</v>
      </c>
      <c r="Z186" s="20">
        <v>40.75</v>
      </c>
      <c r="AA186" s="20"/>
      <c r="AB186" s="10"/>
      <c r="AC186" s="10"/>
      <c r="AD186" s="20"/>
      <c r="AE186" s="20"/>
      <c r="AF186" s="20"/>
      <c r="AG186" s="65"/>
      <c r="AH186" s="66"/>
      <c r="AI186" s="40"/>
      <c r="AJ186" s="10" t="s">
        <v>310</v>
      </c>
      <c r="AK186" s="20" t="s">
        <v>79</v>
      </c>
      <c r="AL186" s="20">
        <v>40.700000000000003</v>
      </c>
    </row>
    <row r="187" spans="1:38" ht="13.2">
      <c r="A187" s="1"/>
      <c r="B187" s="59"/>
      <c r="C187" s="60">
        <v>9</v>
      </c>
      <c r="D187" s="206" t="s">
        <v>301</v>
      </c>
      <c r="E187" s="201"/>
      <c r="F187" s="61">
        <v>40.5</v>
      </c>
      <c r="G187" s="60" t="s">
        <v>55</v>
      </c>
      <c r="H187" s="60"/>
      <c r="I187" s="62"/>
      <c r="J187" s="11"/>
      <c r="K187" s="11"/>
      <c r="L187" s="11"/>
      <c r="M187" s="11"/>
      <c r="N187" s="59"/>
      <c r="O187" s="60">
        <v>9</v>
      </c>
      <c r="P187" s="206" t="s">
        <v>298</v>
      </c>
      <c r="Q187" s="201"/>
      <c r="R187" s="61">
        <v>40.549999999999997</v>
      </c>
      <c r="S187" s="60" t="s">
        <v>50</v>
      </c>
      <c r="T187" s="60"/>
      <c r="U187" s="62"/>
      <c r="V187" s="2"/>
      <c r="W187" s="63">
        <v>9</v>
      </c>
      <c r="X187" s="64" t="s">
        <v>301</v>
      </c>
      <c r="Y187" s="20" t="s">
        <v>55</v>
      </c>
      <c r="Z187" s="20">
        <v>40.5</v>
      </c>
      <c r="AA187" s="20"/>
      <c r="AB187" s="10"/>
      <c r="AC187" s="10"/>
      <c r="AD187" s="20"/>
      <c r="AE187" s="20"/>
      <c r="AF187" s="20"/>
      <c r="AG187" s="65"/>
      <c r="AH187" s="66"/>
      <c r="AI187" s="40"/>
      <c r="AJ187" s="10" t="s">
        <v>298</v>
      </c>
      <c r="AK187" s="20" t="s">
        <v>50</v>
      </c>
      <c r="AL187" s="20">
        <v>40.549999999999997</v>
      </c>
    </row>
    <row r="188" spans="1:38" ht="13.2">
      <c r="A188" s="1"/>
      <c r="B188" s="59"/>
      <c r="C188" s="60">
        <v>10</v>
      </c>
      <c r="D188" s="206" t="s">
        <v>267</v>
      </c>
      <c r="E188" s="201"/>
      <c r="F188" s="61">
        <v>40.25</v>
      </c>
      <c r="G188" s="60" t="s">
        <v>75</v>
      </c>
      <c r="H188" s="60"/>
      <c r="I188" s="62"/>
      <c r="J188" s="11"/>
      <c r="K188" s="11"/>
      <c r="L188" s="11"/>
      <c r="M188" s="11"/>
      <c r="N188" s="59"/>
      <c r="O188" s="60">
        <v>10</v>
      </c>
      <c r="P188" s="206" t="s">
        <v>258</v>
      </c>
      <c r="Q188" s="201"/>
      <c r="R188" s="61">
        <v>40.299999999999997</v>
      </c>
      <c r="S188" s="60" t="s">
        <v>177</v>
      </c>
      <c r="T188" s="60"/>
      <c r="U188" s="62"/>
      <c r="V188" s="2"/>
      <c r="W188" s="63">
        <v>10</v>
      </c>
      <c r="X188" s="64" t="s">
        <v>267</v>
      </c>
      <c r="Y188" s="20" t="s">
        <v>75</v>
      </c>
      <c r="Z188" s="20">
        <v>40.25</v>
      </c>
      <c r="AA188" s="20"/>
      <c r="AB188" s="10"/>
      <c r="AC188" s="10"/>
      <c r="AD188" s="20"/>
      <c r="AE188" s="20"/>
      <c r="AF188" s="20"/>
      <c r="AG188" s="65"/>
      <c r="AH188" s="66"/>
      <c r="AI188" s="40"/>
      <c r="AJ188" s="10" t="s">
        <v>258</v>
      </c>
      <c r="AK188" s="20" t="s">
        <v>177</v>
      </c>
      <c r="AL188" s="20">
        <v>40.299999999999997</v>
      </c>
    </row>
    <row r="189" spans="1:38" ht="13.2">
      <c r="A189" s="1"/>
      <c r="B189" s="59"/>
      <c r="C189" s="60">
        <v>11</v>
      </c>
      <c r="D189" s="206" t="s">
        <v>255</v>
      </c>
      <c r="E189" s="201"/>
      <c r="F189" s="61">
        <v>40</v>
      </c>
      <c r="G189" s="60" t="s">
        <v>164</v>
      </c>
      <c r="H189" s="60"/>
      <c r="I189" s="62"/>
      <c r="J189" s="11"/>
      <c r="K189" s="11"/>
      <c r="L189" s="11"/>
      <c r="M189" s="11"/>
      <c r="N189" s="59"/>
      <c r="O189" s="60">
        <v>11</v>
      </c>
      <c r="P189" s="206" t="s">
        <v>263</v>
      </c>
      <c r="Q189" s="201"/>
      <c r="R189" s="61">
        <v>39.450000000000003</v>
      </c>
      <c r="S189" s="60" t="s">
        <v>54</v>
      </c>
      <c r="T189" s="60"/>
      <c r="U189" s="62"/>
      <c r="V189" s="2"/>
      <c r="W189" s="63">
        <v>11</v>
      </c>
      <c r="X189" s="64" t="s">
        <v>255</v>
      </c>
      <c r="Y189" s="20" t="s">
        <v>164</v>
      </c>
      <c r="Z189" s="20">
        <v>40</v>
      </c>
      <c r="AA189" s="20"/>
      <c r="AB189" s="10"/>
      <c r="AC189" s="10"/>
      <c r="AD189" s="20"/>
      <c r="AE189" s="20"/>
      <c r="AF189" s="20"/>
      <c r="AG189" s="65"/>
      <c r="AH189" s="66"/>
      <c r="AI189" s="40"/>
      <c r="AJ189" s="10" t="s">
        <v>263</v>
      </c>
      <c r="AK189" s="20" t="s">
        <v>54</v>
      </c>
      <c r="AL189" s="20">
        <v>39.450000000000003</v>
      </c>
    </row>
    <row r="190" spans="1:38" ht="13.2">
      <c r="A190" s="1"/>
      <c r="B190" s="59"/>
      <c r="C190" s="60">
        <v>12</v>
      </c>
      <c r="D190" s="206" t="s">
        <v>297</v>
      </c>
      <c r="E190" s="201"/>
      <c r="F190" s="61">
        <v>39.549999999999997</v>
      </c>
      <c r="G190" s="60" t="s">
        <v>37</v>
      </c>
      <c r="H190" s="60"/>
      <c r="I190" s="62"/>
      <c r="J190" s="11"/>
      <c r="K190" s="11"/>
      <c r="L190" s="11"/>
      <c r="M190" s="11"/>
      <c r="N190" s="59"/>
      <c r="O190" s="60">
        <v>12</v>
      </c>
      <c r="P190" s="206" t="s">
        <v>307</v>
      </c>
      <c r="Q190" s="201"/>
      <c r="R190" s="61">
        <v>38.799999999999997</v>
      </c>
      <c r="S190" s="60" t="s">
        <v>87</v>
      </c>
      <c r="T190" s="60"/>
      <c r="U190" s="62"/>
      <c r="V190" s="2"/>
      <c r="W190" s="63">
        <v>12</v>
      </c>
      <c r="X190" s="64" t="s">
        <v>297</v>
      </c>
      <c r="Y190" s="20" t="s">
        <v>37</v>
      </c>
      <c r="Z190" s="20">
        <v>39.549999999999997</v>
      </c>
      <c r="AA190" s="20"/>
      <c r="AB190" s="10"/>
      <c r="AC190" s="10"/>
      <c r="AD190" s="20"/>
      <c r="AE190" s="20"/>
      <c r="AF190" s="20"/>
      <c r="AG190" s="65"/>
      <c r="AH190" s="66"/>
      <c r="AI190" s="40"/>
      <c r="AJ190" s="10" t="s">
        <v>307</v>
      </c>
      <c r="AK190" s="20" t="s">
        <v>87</v>
      </c>
      <c r="AL190" s="20">
        <v>38.799999999999997</v>
      </c>
    </row>
    <row r="191" spans="1:38" ht="13.2">
      <c r="A191" s="1"/>
      <c r="B191" s="59"/>
      <c r="C191" s="60">
        <v>13</v>
      </c>
      <c r="D191" s="206" t="s">
        <v>281</v>
      </c>
      <c r="E191" s="201"/>
      <c r="F191" s="61">
        <v>38.950000000000003</v>
      </c>
      <c r="G191" s="60" t="s">
        <v>68</v>
      </c>
      <c r="H191" s="60"/>
      <c r="I191" s="62"/>
      <c r="J191" s="11"/>
      <c r="K191" s="11"/>
      <c r="L191" s="11"/>
      <c r="M191" s="11"/>
      <c r="N191" s="59"/>
      <c r="O191" s="60">
        <v>13</v>
      </c>
      <c r="P191" s="206" t="s">
        <v>268</v>
      </c>
      <c r="Q191" s="201"/>
      <c r="R191" s="61">
        <v>37</v>
      </c>
      <c r="S191" s="60" t="s">
        <v>24</v>
      </c>
      <c r="T191" s="60"/>
      <c r="U191" s="62"/>
      <c r="V191" s="2"/>
      <c r="W191" s="63">
        <v>13</v>
      </c>
      <c r="X191" s="64" t="s">
        <v>281</v>
      </c>
      <c r="Y191" s="20" t="s">
        <v>68</v>
      </c>
      <c r="Z191" s="20">
        <v>38.950000000000003</v>
      </c>
      <c r="AA191" s="20"/>
      <c r="AB191" s="10"/>
      <c r="AC191" s="10"/>
      <c r="AD191" s="20"/>
      <c r="AE191" s="20"/>
      <c r="AF191" s="20"/>
      <c r="AG191" s="65"/>
      <c r="AH191" s="66"/>
      <c r="AI191" s="40"/>
      <c r="AJ191" s="10" t="s">
        <v>268</v>
      </c>
      <c r="AK191" s="20" t="s">
        <v>24</v>
      </c>
      <c r="AL191" s="20">
        <v>37</v>
      </c>
    </row>
    <row r="192" spans="1:38" ht="13.2">
      <c r="A192" s="1"/>
      <c r="B192" s="59"/>
      <c r="C192" s="60">
        <v>14</v>
      </c>
      <c r="D192" s="206" t="s">
        <v>295</v>
      </c>
      <c r="E192" s="201"/>
      <c r="F192" s="61">
        <v>38.5</v>
      </c>
      <c r="G192" s="60" t="s">
        <v>32</v>
      </c>
      <c r="H192" s="60"/>
      <c r="I192" s="62"/>
      <c r="J192" s="11"/>
      <c r="K192" s="11"/>
      <c r="L192" s="11"/>
      <c r="M192" s="11"/>
      <c r="N192" s="59"/>
      <c r="O192" s="60">
        <v>14</v>
      </c>
      <c r="P192" s="206" t="s">
        <v>275</v>
      </c>
      <c r="Q192" s="201"/>
      <c r="R192" s="61">
        <v>36.799999999999997</v>
      </c>
      <c r="S192" s="60" t="s">
        <v>79</v>
      </c>
      <c r="T192" s="60"/>
      <c r="U192" s="62"/>
      <c r="V192" s="2"/>
      <c r="W192" s="63">
        <v>14</v>
      </c>
      <c r="X192" s="64" t="s">
        <v>295</v>
      </c>
      <c r="Y192" s="20" t="s">
        <v>32</v>
      </c>
      <c r="Z192" s="20">
        <v>38.5</v>
      </c>
      <c r="AA192" s="20"/>
      <c r="AB192" s="10"/>
      <c r="AC192" s="10"/>
      <c r="AD192" s="20"/>
      <c r="AE192" s="20"/>
      <c r="AF192" s="20"/>
      <c r="AG192" s="65"/>
      <c r="AH192" s="66"/>
      <c r="AI192" s="40"/>
      <c r="AJ192" s="10" t="s">
        <v>275</v>
      </c>
      <c r="AK192" s="20" t="s">
        <v>79</v>
      </c>
      <c r="AL192" s="20">
        <v>36.799999999999997</v>
      </c>
    </row>
    <row r="193" spans="1:38" ht="13.2">
      <c r="A193" s="1"/>
      <c r="B193" s="59"/>
      <c r="C193" s="60">
        <v>15</v>
      </c>
      <c r="D193" s="206" t="s">
        <v>259</v>
      </c>
      <c r="E193" s="201"/>
      <c r="F193" s="61">
        <v>37.85</v>
      </c>
      <c r="G193" s="60" t="s">
        <v>68</v>
      </c>
      <c r="H193" s="60"/>
      <c r="I193" s="62"/>
      <c r="J193" s="11"/>
      <c r="K193" s="11"/>
      <c r="L193" s="11"/>
      <c r="M193" s="11"/>
      <c r="N193" s="59"/>
      <c r="O193" s="60">
        <v>15</v>
      </c>
      <c r="P193" s="206" t="s">
        <v>315</v>
      </c>
      <c r="Q193" s="201"/>
      <c r="R193" s="61">
        <v>35.450000000000003</v>
      </c>
      <c r="S193" s="60" t="s">
        <v>40</v>
      </c>
      <c r="T193" s="60"/>
      <c r="U193" s="62"/>
      <c r="V193" s="2"/>
      <c r="W193" s="63">
        <v>15</v>
      </c>
      <c r="X193" s="64" t="s">
        <v>259</v>
      </c>
      <c r="Y193" s="20" t="s">
        <v>68</v>
      </c>
      <c r="Z193" s="20">
        <v>37.85</v>
      </c>
      <c r="AA193" s="20"/>
      <c r="AB193" s="10"/>
      <c r="AC193" s="10"/>
      <c r="AD193" s="20"/>
      <c r="AE193" s="20"/>
      <c r="AF193" s="20"/>
      <c r="AG193" s="65"/>
      <c r="AH193" s="66"/>
      <c r="AI193" s="40"/>
      <c r="AJ193" s="10" t="s">
        <v>315</v>
      </c>
      <c r="AK193" s="20" t="s">
        <v>40</v>
      </c>
      <c r="AL193" s="20">
        <v>35.450000000000003</v>
      </c>
    </row>
    <row r="194" spans="1:38" ht="13.2">
      <c r="A194" s="1"/>
      <c r="B194" s="59"/>
      <c r="C194" s="60">
        <v>16</v>
      </c>
      <c r="D194" s="206" t="s">
        <v>289</v>
      </c>
      <c r="E194" s="201"/>
      <c r="F194" s="61">
        <v>36.35</v>
      </c>
      <c r="G194" s="60" t="s">
        <v>37</v>
      </c>
      <c r="H194" s="60"/>
      <c r="I194" s="62"/>
      <c r="J194" s="11"/>
      <c r="K194" s="11"/>
      <c r="L194" s="11"/>
      <c r="M194" s="11"/>
      <c r="N194" s="59"/>
      <c r="O194" s="60">
        <v>16</v>
      </c>
      <c r="P194" s="206" t="s">
        <v>290</v>
      </c>
      <c r="Q194" s="201"/>
      <c r="R194" s="61">
        <v>34.200000000000003</v>
      </c>
      <c r="S194" s="60" t="s">
        <v>37</v>
      </c>
      <c r="T194" s="60"/>
      <c r="U194" s="62"/>
      <c r="V194" s="2"/>
      <c r="W194" s="63">
        <v>16</v>
      </c>
      <c r="X194" s="64" t="s">
        <v>289</v>
      </c>
      <c r="Y194" s="20" t="s">
        <v>37</v>
      </c>
      <c r="Z194" s="20">
        <v>36.35</v>
      </c>
      <c r="AA194" s="20"/>
      <c r="AB194" s="10"/>
      <c r="AC194" s="10"/>
      <c r="AD194" s="20"/>
      <c r="AE194" s="20"/>
      <c r="AF194" s="20"/>
      <c r="AG194" s="65"/>
      <c r="AH194" s="66"/>
      <c r="AI194" s="40"/>
      <c r="AJ194" s="10" t="s">
        <v>290</v>
      </c>
      <c r="AK194" s="20" t="s">
        <v>37</v>
      </c>
      <c r="AL194" s="20">
        <v>34.200000000000003</v>
      </c>
    </row>
    <row r="195" spans="1:38" ht="13.2">
      <c r="A195" s="1"/>
      <c r="B195" s="59"/>
      <c r="C195" s="60">
        <v>17</v>
      </c>
      <c r="D195" s="206" t="s">
        <v>303</v>
      </c>
      <c r="E195" s="201"/>
      <c r="F195" s="61">
        <v>35.65</v>
      </c>
      <c r="G195" s="60" t="s">
        <v>40</v>
      </c>
      <c r="H195" s="60"/>
      <c r="I195" s="62"/>
      <c r="J195" s="11"/>
      <c r="K195" s="11"/>
      <c r="L195" s="11"/>
      <c r="M195" s="11"/>
      <c r="N195" s="59"/>
      <c r="O195" s="60">
        <v>17</v>
      </c>
      <c r="P195" s="206" t="s">
        <v>249</v>
      </c>
      <c r="Q195" s="201"/>
      <c r="R195" s="61">
        <v>34.1</v>
      </c>
      <c r="S195" s="60" t="s">
        <v>75</v>
      </c>
      <c r="T195" s="60"/>
      <c r="U195" s="62"/>
      <c r="V195" s="2"/>
      <c r="W195" s="63">
        <v>17</v>
      </c>
      <c r="X195" s="64" t="s">
        <v>303</v>
      </c>
      <c r="Y195" s="20" t="s">
        <v>40</v>
      </c>
      <c r="Z195" s="20">
        <v>35.65</v>
      </c>
      <c r="AA195" s="20"/>
      <c r="AB195" s="10"/>
      <c r="AC195" s="10"/>
      <c r="AD195" s="20"/>
      <c r="AE195" s="20"/>
      <c r="AF195" s="20"/>
      <c r="AG195" s="65"/>
      <c r="AH195" s="66"/>
      <c r="AI195" s="40"/>
      <c r="AJ195" s="10" t="s">
        <v>249</v>
      </c>
      <c r="AK195" s="20" t="s">
        <v>75</v>
      </c>
      <c r="AL195" s="20">
        <v>34.1</v>
      </c>
    </row>
    <row r="196" spans="1:38" ht="13.2">
      <c r="A196" s="1"/>
      <c r="B196" s="59"/>
      <c r="C196" s="60">
        <v>18</v>
      </c>
      <c r="D196" s="206" t="s">
        <v>271</v>
      </c>
      <c r="E196" s="201"/>
      <c r="F196" s="61">
        <v>33.85</v>
      </c>
      <c r="G196" s="60" t="s">
        <v>48</v>
      </c>
      <c r="H196" s="60"/>
      <c r="I196" s="62"/>
      <c r="J196" s="11"/>
      <c r="K196" s="11"/>
      <c r="L196" s="11"/>
      <c r="M196" s="11"/>
      <c r="N196" s="59"/>
      <c r="O196" s="60">
        <v>18</v>
      </c>
      <c r="P196" s="206" t="s">
        <v>280</v>
      </c>
      <c r="Q196" s="201"/>
      <c r="R196" s="61">
        <v>33.299999999999997</v>
      </c>
      <c r="S196" s="60" t="s">
        <v>30</v>
      </c>
      <c r="T196" s="60"/>
      <c r="U196" s="62"/>
      <c r="V196" s="2"/>
      <c r="W196" s="63">
        <v>18</v>
      </c>
      <c r="X196" s="64" t="s">
        <v>271</v>
      </c>
      <c r="Y196" s="20" t="s">
        <v>48</v>
      </c>
      <c r="Z196" s="20">
        <v>33.85</v>
      </c>
      <c r="AA196" s="20"/>
      <c r="AB196" s="10"/>
      <c r="AC196" s="10"/>
      <c r="AD196" s="20"/>
      <c r="AE196" s="20"/>
      <c r="AF196" s="20"/>
      <c r="AG196" s="65"/>
      <c r="AH196" s="66"/>
      <c r="AI196" s="40"/>
      <c r="AJ196" s="10" t="s">
        <v>280</v>
      </c>
      <c r="AK196" s="20" t="s">
        <v>30</v>
      </c>
      <c r="AL196" s="20">
        <v>33.299999999999997</v>
      </c>
    </row>
    <row r="197" spans="1:38" ht="13.2">
      <c r="A197" s="1"/>
      <c r="B197" s="59"/>
      <c r="C197" s="60">
        <v>19</v>
      </c>
      <c r="D197" s="206" t="s">
        <v>264</v>
      </c>
      <c r="E197" s="201"/>
      <c r="F197" s="61">
        <v>32.85</v>
      </c>
      <c r="G197" s="60" t="s">
        <v>28</v>
      </c>
      <c r="H197" s="60"/>
      <c r="I197" s="62"/>
      <c r="J197" s="11"/>
      <c r="K197" s="11"/>
      <c r="L197" s="11"/>
      <c r="M197" s="11"/>
      <c r="N197" s="59"/>
      <c r="O197" s="60">
        <v>19</v>
      </c>
      <c r="P197" s="206" t="s">
        <v>265</v>
      </c>
      <c r="Q197" s="201"/>
      <c r="R197" s="61">
        <v>32.799999999999997</v>
      </c>
      <c r="S197" s="60" t="s">
        <v>65</v>
      </c>
      <c r="T197" s="60"/>
      <c r="U197" s="62"/>
      <c r="V197" s="2"/>
      <c r="W197" s="63">
        <v>19</v>
      </c>
      <c r="X197" s="64" t="s">
        <v>264</v>
      </c>
      <c r="Y197" s="20" t="s">
        <v>28</v>
      </c>
      <c r="Z197" s="20">
        <v>32.85</v>
      </c>
      <c r="AA197" s="20"/>
      <c r="AB197" s="10"/>
      <c r="AC197" s="10"/>
      <c r="AD197" s="20"/>
      <c r="AE197" s="20"/>
      <c r="AF197" s="20"/>
      <c r="AG197" s="65"/>
      <c r="AH197" s="66"/>
      <c r="AI197" s="40"/>
      <c r="AJ197" s="10" t="s">
        <v>265</v>
      </c>
      <c r="AK197" s="20" t="s">
        <v>65</v>
      </c>
      <c r="AL197" s="20">
        <v>32.799999999999997</v>
      </c>
    </row>
    <row r="198" spans="1:38" ht="13.2">
      <c r="A198" s="1"/>
      <c r="B198" s="59"/>
      <c r="C198" s="60">
        <v>20</v>
      </c>
      <c r="D198" s="206" t="s">
        <v>311</v>
      </c>
      <c r="E198" s="201"/>
      <c r="F198" s="61">
        <v>32.450000000000003</v>
      </c>
      <c r="G198" s="60" t="s">
        <v>37</v>
      </c>
      <c r="H198" s="60"/>
      <c r="I198" s="62"/>
      <c r="J198" s="11"/>
      <c r="K198" s="11"/>
      <c r="L198" s="11"/>
      <c r="M198" s="11"/>
      <c r="N198" s="59"/>
      <c r="O198" s="60">
        <v>20</v>
      </c>
      <c r="P198" s="206" t="s">
        <v>283</v>
      </c>
      <c r="Q198" s="201"/>
      <c r="R198" s="61">
        <v>30.5</v>
      </c>
      <c r="S198" s="60" t="s">
        <v>37</v>
      </c>
      <c r="T198" s="60"/>
      <c r="U198" s="62"/>
      <c r="V198" s="2"/>
      <c r="W198" s="63">
        <v>20</v>
      </c>
      <c r="X198" s="64" t="s">
        <v>311</v>
      </c>
      <c r="Y198" s="20" t="s">
        <v>37</v>
      </c>
      <c r="Z198" s="20">
        <v>32.450000000000003</v>
      </c>
      <c r="AA198" s="20"/>
      <c r="AB198" s="10"/>
      <c r="AC198" s="10"/>
      <c r="AD198" s="20"/>
      <c r="AE198" s="20"/>
      <c r="AF198" s="20"/>
      <c r="AG198" s="65"/>
      <c r="AH198" s="66"/>
      <c r="AI198" s="40"/>
      <c r="AJ198" s="10" t="s">
        <v>283</v>
      </c>
      <c r="AK198" s="20" t="s">
        <v>37</v>
      </c>
      <c r="AL198" s="20">
        <v>30.5</v>
      </c>
    </row>
    <row r="199" spans="1:38" ht="13.2">
      <c r="A199" s="1"/>
      <c r="B199" s="59"/>
      <c r="C199" s="60">
        <v>21</v>
      </c>
      <c r="D199" s="206" t="s">
        <v>317</v>
      </c>
      <c r="E199" s="201"/>
      <c r="F199" s="61">
        <v>31.6</v>
      </c>
      <c r="G199" s="60" t="s">
        <v>48</v>
      </c>
      <c r="H199" s="60"/>
      <c r="I199" s="62"/>
      <c r="J199" s="11"/>
      <c r="K199" s="11"/>
      <c r="L199" s="11"/>
      <c r="M199" s="11"/>
      <c r="N199" s="59"/>
      <c r="O199" s="60">
        <v>21</v>
      </c>
      <c r="P199" s="206" t="s">
        <v>296</v>
      </c>
      <c r="Q199" s="201"/>
      <c r="R199" s="61">
        <v>28</v>
      </c>
      <c r="S199" s="60" t="s">
        <v>32</v>
      </c>
      <c r="T199" s="60"/>
      <c r="U199" s="62"/>
      <c r="V199" s="2"/>
      <c r="W199" s="63">
        <v>21</v>
      </c>
      <c r="X199" s="64" t="s">
        <v>317</v>
      </c>
      <c r="Y199" s="20" t="s">
        <v>48</v>
      </c>
      <c r="Z199" s="20">
        <v>31.6</v>
      </c>
      <c r="AA199" s="20"/>
      <c r="AB199" s="10"/>
      <c r="AC199" s="10"/>
      <c r="AD199" s="20"/>
      <c r="AE199" s="20"/>
      <c r="AF199" s="20"/>
      <c r="AG199" s="65"/>
      <c r="AH199" s="66"/>
      <c r="AI199" s="40"/>
      <c r="AJ199" s="10" t="s">
        <v>296</v>
      </c>
      <c r="AK199" s="20" t="s">
        <v>32</v>
      </c>
      <c r="AL199" s="20">
        <v>28</v>
      </c>
    </row>
    <row r="200" spans="1:38" ht="13.2">
      <c r="A200" s="1"/>
      <c r="B200" s="59"/>
      <c r="C200" s="60">
        <v>22</v>
      </c>
      <c r="D200" s="206" t="s">
        <v>286</v>
      </c>
      <c r="E200" s="201"/>
      <c r="F200" s="61">
        <v>31.25</v>
      </c>
      <c r="G200" s="60" t="s">
        <v>32</v>
      </c>
      <c r="H200" s="60"/>
      <c r="I200" s="62"/>
      <c r="J200" s="11"/>
      <c r="K200" s="11"/>
      <c r="L200" s="11"/>
      <c r="M200" s="11"/>
      <c r="N200" s="59"/>
      <c r="O200" s="60">
        <v>22</v>
      </c>
      <c r="P200" s="206" t="s">
        <v>300</v>
      </c>
      <c r="Q200" s="201"/>
      <c r="R200" s="61">
        <v>27.9</v>
      </c>
      <c r="S200" s="60" t="s">
        <v>32</v>
      </c>
      <c r="T200" s="60"/>
      <c r="U200" s="62"/>
      <c r="V200" s="2"/>
      <c r="W200" s="63">
        <v>22</v>
      </c>
      <c r="X200" s="64" t="s">
        <v>286</v>
      </c>
      <c r="Y200" s="20" t="s">
        <v>32</v>
      </c>
      <c r="Z200" s="20">
        <v>31.25</v>
      </c>
      <c r="AA200" s="20"/>
      <c r="AB200" s="10"/>
      <c r="AC200" s="10"/>
      <c r="AD200" s="20"/>
      <c r="AE200" s="20"/>
      <c r="AF200" s="20"/>
      <c r="AG200" s="65"/>
      <c r="AH200" s="66"/>
      <c r="AI200" s="40"/>
      <c r="AJ200" s="10" t="s">
        <v>300</v>
      </c>
      <c r="AK200" s="20" t="s">
        <v>32</v>
      </c>
      <c r="AL200" s="20">
        <v>27.9</v>
      </c>
    </row>
    <row r="201" spans="1:38" ht="13.2">
      <c r="A201" s="1"/>
      <c r="B201" s="59"/>
      <c r="C201" s="60">
        <v>23</v>
      </c>
      <c r="D201" s="206" t="s">
        <v>252</v>
      </c>
      <c r="E201" s="201"/>
      <c r="F201" s="61">
        <v>29.7</v>
      </c>
      <c r="G201" s="60" t="s">
        <v>55</v>
      </c>
      <c r="H201" s="60"/>
      <c r="I201" s="62"/>
      <c r="J201" s="11"/>
      <c r="K201" s="11"/>
      <c r="L201" s="11"/>
      <c r="M201" s="11"/>
      <c r="N201" s="59"/>
      <c r="O201" s="60">
        <v>23</v>
      </c>
      <c r="P201" s="206" t="s">
        <v>250</v>
      </c>
      <c r="Q201" s="201"/>
      <c r="R201" s="61">
        <v>26.4</v>
      </c>
      <c r="S201" s="60" t="s">
        <v>28</v>
      </c>
      <c r="T201" s="60"/>
      <c r="U201" s="62"/>
      <c r="V201" s="2"/>
      <c r="W201" s="63">
        <v>23</v>
      </c>
      <c r="X201" s="64" t="s">
        <v>252</v>
      </c>
      <c r="Y201" s="20" t="s">
        <v>55</v>
      </c>
      <c r="Z201" s="20">
        <v>29.7</v>
      </c>
      <c r="AA201" s="20"/>
      <c r="AB201" s="10"/>
      <c r="AC201" s="10"/>
      <c r="AD201" s="20"/>
      <c r="AE201" s="20"/>
      <c r="AF201" s="20"/>
      <c r="AG201" s="65"/>
      <c r="AH201" s="66"/>
      <c r="AI201" s="40"/>
      <c r="AJ201" s="10" t="s">
        <v>250</v>
      </c>
      <c r="AK201" s="20" t="s">
        <v>28</v>
      </c>
      <c r="AL201" s="20">
        <v>26.4</v>
      </c>
    </row>
    <row r="202" spans="1:38" ht="13.2">
      <c r="A202" s="1"/>
      <c r="B202" s="59"/>
      <c r="C202" s="60">
        <v>24</v>
      </c>
      <c r="D202" s="206" t="s">
        <v>279</v>
      </c>
      <c r="E202" s="201"/>
      <c r="F202" s="61">
        <v>29.6</v>
      </c>
      <c r="G202" s="60" t="s">
        <v>54</v>
      </c>
      <c r="H202" s="60"/>
      <c r="I202" s="62"/>
      <c r="J202" s="11"/>
      <c r="K202" s="11"/>
      <c r="L202" s="11"/>
      <c r="M202" s="11"/>
      <c r="N202" s="59"/>
      <c r="O202" s="60">
        <v>24</v>
      </c>
      <c r="P202" s="206" t="s">
        <v>309</v>
      </c>
      <c r="Q202" s="201"/>
      <c r="R202" s="61">
        <v>25.75</v>
      </c>
      <c r="S202" s="60" t="s">
        <v>65</v>
      </c>
      <c r="T202" s="60"/>
      <c r="U202" s="62"/>
      <c r="V202" s="2"/>
      <c r="W202" s="63">
        <v>24</v>
      </c>
      <c r="X202" s="64" t="s">
        <v>279</v>
      </c>
      <c r="Y202" s="20" t="s">
        <v>54</v>
      </c>
      <c r="Z202" s="20">
        <v>29.6</v>
      </c>
      <c r="AA202" s="20"/>
      <c r="AB202" s="10"/>
      <c r="AC202" s="10"/>
      <c r="AD202" s="20"/>
      <c r="AE202" s="20"/>
      <c r="AF202" s="20"/>
      <c r="AG202" s="65"/>
      <c r="AH202" s="66"/>
      <c r="AI202" s="40"/>
      <c r="AJ202" s="10" t="s">
        <v>309</v>
      </c>
      <c r="AK202" s="20" t="s">
        <v>65</v>
      </c>
      <c r="AL202" s="20">
        <v>25.75</v>
      </c>
    </row>
    <row r="203" spans="1:38" ht="13.2">
      <c r="A203" s="1"/>
      <c r="B203" s="59"/>
      <c r="C203" s="60">
        <v>25</v>
      </c>
      <c r="D203" s="206" t="s">
        <v>260</v>
      </c>
      <c r="E203" s="201"/>
      <c r="F203" s="61">
        <v>29.05</v>
      </c>
      <c r="G203" s="60" t="s">
        <v>65</v>
      </c>
      <c r="H203" s="60"/>
      <c r="I203" s="62"/>
      <c r="J203" s="11"/>
      <c r="K203" s="11"/>
      <c r="L203" s="11"/>
      <c r="M203" s="11"/>
      <c r="N203" s="59"/>
      <c r="O203" s="60" t="s">
        <v>506</v>
      </c>
      <c r="P203" s="206" t="s">
        <v>256</v>
      </c>
      <c r="Q203" s="201"/>
      <c r="R203" s="61">
        <v>23.4</v>
      </c>
      <c r="S203" s="60" t="s">
        <v>134</v>
      </c>
      <c r="T203" s="60"/>
      <c r="U203" s="62"/>
      <c r="V203" s="2"/>
      <c r="W203" s="63">
        <v>25</v>
      </c>
      <c r="X203" s="64" t="s">
        <v>260</v>
      </c>
      <c r="Y203" s="20" t="s">
        <v>65</v>
      </c>
      <c r="Z203" s="20">
        <v>29.05</v>
      </c>
      <c r="AA203" s="20"/>
      <c r="AB203" s="10"/>
      <c r="AC203" s="10"/>
      <c r="AD203" s="20"/>
      <c r="AE203" s="20"/>
      <c r="AF203" s="20"/>
      <c r="AG203" s="65"/>
      <c r="AH203" s="66"/>
      <c r="AI203" s="40"/>
      <c r="AJ203" s="10" t="s">
        <v>256</v>
      </c>
      <c r="AK203" s="20" t="s">
        <v>134</v>
      </c>
      <c r="AL203" s="20">
        <v>23.4</v>
      </c>
    </row>
    <row r="204" spans="1:38" ht="13.2">
      <c r="A204" s="1"/>
      <c r="B204" s="59"/>
      <c r="C204" s="60">
        <v>26</v>
      </c>
      <c r="D204" s="206" t="s">
        <v>313</v>
      </c>
      <c r="E204" s="201"/>
      <c r="F204" s="61">
        <v>29</v>
      </c>
      <c r="G204" s="60" t="s">
        <v>79</v>
      </c>
      <c r="H204" s="60"/>
      <c r="I204" s="62"/>
      <c r="J204" s="11"/>
      <c r="K204" s="11"/>
      <c r="L204" s="11"/>
      <c r="M204" s="11"/>
      <c r="N204" s="59"/>
      <c r="O204" s="60" t="s">
        <v>506</v>
      </c>
      <c r="P204" s="206" t="s">
        <v>287</v>
      </c>
      <c r="Q204" s="201"/>
      <c r="R204" s="61">
        <v>23.4</v>
      </c>
      <c r="S204" s="60" t="s">
        <v>30</v>
      </c>
      <c r="T204" s="60"/>
      <c r="U204" s="62"/>
      <c r="V204" s="2"/>
      <c r="W204" s="63">
        <v>26</v>
      </c>
      <c r="X204" s="64" t="s">
        <v>313</v>
      </c>
      <c r="Y204" s="20" t="s">
        <v>79</v>
      </c>
      <c r="Z204" s="20">
        <v>29</v>
      </c>
      <c r="AA204" s="20"/>
      <c r="AB204" s="10"/>
      <c r="AC204" s="10"/>
      <c r="AD204" s="20"/>
      <c r="AE204" s="20"/>
      <c r="AF204" s="20"/>
      <c r="AG204" s="65"/>
      <c r="AH204" s="66"/>
      <c r="AI204" s="40"/>
      <c r="AJ204" s="10" t="s">
        <v>287</v>
      </c>
      <c r="AK204" s="20" t="s">
        <v>30</v>
      </c>
      <c r="AL204" s="20">
        <v>23.4</v>
      </c>
    </row>
    <row r="205" spans="1:38" ht="13.2">
      <c r="A205" s="1"/>
      <c r="B205" s="59"/>
      <c r="C205" s="60" t="s">
        <v>507</v>
      </c>
      <c r="D205" s="206" t="s">
        <v>288</v>
      </c>
      <c r="E205" s="201"/>
      <c r="F205" s="61">
        <v>27.85</v>
      </c>
      <c r="G205" s="60" t="s">
        <v>65</v>
      </c>
      <c r="H205" s="60"/>
      <c r="I205" s="62"/>
      <c r="J205" s="11"/>
      <c r="K205" s="11"/>
      <c r="L205" s="11"/>
      <c r="M205" s="11"/>
      <c r="N205" s="59"/>
      <c r="O205" s="60">
        <v>27</v>
      </c>
      <c r="P205" s="206" t="s">
        <v>278</v>
      </c>
      <c r="Q205" s="201"/>
      <c r="R205" s="61">
        <v>23.25</v>
      </c>
      <c r="S205" s="60" t="s">
        <v>26</v>
      </c>
      <c r="T205" s="60"/>
      <c r="U205" s="62"/>
      <c r="V205" s="2"/>
      <c r="W205" s="63">
        <v>27</v>
      </c>
      <c r="X205" s="64" t="s">
        <v>288</v>
      </c>
      <c r="Y205" s="20" t="s">
        <v>65</v>
      </c>
      <c r="Z205" s="20">
        <v>27.85</v>
      </c>
      <c r="AA205" s="20"/>
      <c r="AB205" s="10"/>
      <c r="AC205" s="10"/>
      <c r="AD205" s="20"/>
      <c r="AE205" s="20"/>
      <c r="AF205" s="20"/>
      <c r="AG205" s="65"/>
      <c r="AH205" s="66"/>
      <c r="AI205" s="40"/>
      <c r="AJ205" s="10" t="s">
        <v>278</v>
      </c>
      <c r="AK205" s="20" t="s">
        <v>26</v>
      </c>
      <c r="AL205" s="20">
        <v>23.25</v>
      </c>
    </row>
    <row r="206" spans="1:38" ht="13.2">
      <c r="A206" s="1"/>
      <c r="B206" s="59"/>
      <c r="C206" s="60" t="s">
        <v>507</v>
      </c>
      <c r="D206" s="206" t="s">
        <v>314</v>
      </c>
      <c r="E206" s="201"/>
      <c r="F206" s="61">
        <v>27.85</v>
      </c>
      <c r="G206" s="60" t="s">
        <v>65</v>
      </c>
      <c r="H206" s="60"/>
      <c r="I206" s="62"/>
      <c r="J206" s="11"/>
      <c r="K206" s="11"/>
      <c r="L206" s="11"/>
      <c r="M206" s="11"/>
      <c r="N206" s="59"/>
      <c r="O206" s="60">
        <v>28</v>
      </c>
      <c r="P206" s="206" t="s">
        <v>294</v>
      </c>
      <c r="Q206" s="201"/>
      <c r="R206" s="61">
        <v>21.8</v>
      </c>
      <c r="S206" s="60" t="s">
        <v>79</v>
      </c>
      <c r="T206" s="60"/>
      <c r="U206" s="62"/>
      <c r="V206" s="2"/>
      <c r="W206" s="63">
        <v>28</v>
      </c>
      <c r="X206" s="64" t="s">
        <v>314</v>
      </c>
      <c r="Y206" s="20" t="s">
        <v>65</v>
      </c>
      <c r="Z206" s="20">
        <v>27.85</v>
      </c>
      <c r="AA206" s="20"/>
      <c r="AB206" s="10"/>
      <c r="AC206" s="10"/>
      <c r="AD206" s="20"/>
      <c r="AE206" s="20"/>
      <c r="AF206" s="20"/>
      <c r="AG206" s="65"/>
      <c r="AH206" s="66"/>
      <c r="AI206" s="40"/>
      <c r="AJ206" s="10" t="s">
        <v>294</v>
      </c>
      <c r="AK206" s="20" t="s">
        <v>79</v>
      </c>
      <c r="AL206" s="20">
        <v>21.8</v>
      </c>
    </row>
    <row r="207" spans="1:38" ht="13.2">
      <c r="A207" s="1"/>
      <c r="B207" s="59"/>
      <c r="C207" s="60">
        <v>29</v>
      </c>
      <c r="D207" s="206" t="s">
        <v>293</v>
      </c>
      <c r="E207" s="201"/>
      <c r="F207" s="61">
        <v>26.65</v>
      </c>
      <c r="G207" s="60" t="s">
        <v>65</v>
      </c>
      <c r="H207" s="60"/>
      <c r="I207" s="62"/>
      <c r="J207" s="11"/>
      <c r="K207" s="11"/>
      <c r="L207" s="11"/>
      <c r="M207" s="11"/>
      <c r="N207" s="59"/>
      <c r="O207" s="60">
        <v>29</v>
      </c>
      <c r="P207" s="206" t="s">
        <v>285</v>
      </c>
      <c r="Q207" s="201"/>
      <c r="R207" s="61">
        <v>21.55</v>
      </c>
      <c r="S207" s="60" t="s">
        <v>129</v>
      </c>
      <c r="T207" s="60"/>
      <c r="U207" s="62"/>
      <c r="V207" s="2"/>
      <c r="W207" s="63">
        <v>29</v>
      </c>
      <c r="X207" s="64" t="s">
        <v>293</v>
      </c>
      <c r="Y207" s="20" t="s">
        <v>65</v>
      </c>
      <c r="Z207" s="20">
        <v>26.65</v>
      </c>
      <c r="AA207" s="20"/>
      <c r="AB207" s="10"/>
      <c r="AC207" s="10"/>
      <c r="AD207" s="20"/>
      <c r="AE207" s="20"/>
      <c r="AF207" s="20"/>
      <c r="AG207" s="65"/>
      <c r="AH207" s="66"/>
      <c r="AI207" s="40"/>
      <c r="AJ207" s="10" t="s">
        <v>285</v>
      </c>
      <c r="AK207" s="20" t="s">
        <v>129</v>
      </c>
      <c r="AL207" s="20">
        <v>21.55</v>
      </c>
    </row>
    <row r="208" spans="1:38" ht="13.2">
      <c r="A208" s="1"/>
      <c r="B208" s="59"/>
      <c r="C208" s="60">
        <v>30</v>
      </c>
      <c r="D208" s="206" t="s">
        <v>308</v>
      </c>
      <c r="E208" s="201"/>
      <c r="F208" s="61">
        <v>25.15</v>
      </c>
      <c r="G208" s="60" t="s">
        <v>35</v>
      </c>
      <c r="H208" s="60"/>
      <c r="I208" s="62"/>
      <c r="J208" s="11"/>
      <c r="K208" s="11"/>
      <c r="L208" s="11"/>
      <c r="M208" s="11"/>
      <c r="N208" s="59"/>
      <c r="O208" s="60">
        <v>30</v>
      </c>
      <c r="P208" s="206" t="s">
        <v>305</v>
      </c>
      <c r="Q208" s="201"/>
      <c r="R208" s="61">
        <v>19.7</v>
      </c>
      <c r="S208" s="60" t="s">
        <v>110</v>
      </c>
      <c r="T208" s="60"/>
      <c r="U208" s="62"/>
      <c r="V208" s="2"/>
      <c r="W208" s="63">
        <v>30</v>
      </c>
      <c r="X208" s="64" t="s">
        <v>308</v>
      </c>
      <c r="Y208" s="20" t="s">
        <v>35</v>
      </c>
      <c r="Z208" s="20">
        <v>25.15</v>
      </c>
      <c r="AA208" s="20"/>
      <c r="AB208" s="10"/>
      <c r="AC208" s="10"/>
      <c r="AD208" s="20"/>
      <c r="AE208" s="20"/>
      <c r="AF208" s="20"/>
      <c r="AG208" s="65"/>
      <c r="AH208" s="66"/>
      <c r="AI208" s="40"/>
      <c r="AJ208" s="10" t="s">
        <v>305</v>
      </c>
      <c r="AK208" s="20" t="s">
        <v>110</v>
      </c>
      <c r="AL208" s="20">
        <v>19.7</v>
      </c>
    </row>
    <row r="209" spans="1:38" ht="13.2">
      <c r="A209" s="1"/>
      <c r="B209" s="59"/>
      <c r="C209" s="60">
        <v>31</v>
      </c>
      <c r="D209" s="206" t="s">
        <v>316</v>
      </c>
      <c r="E209" s="201"/>
      <c r="F209" s="61">
        <v>24.75</v>
      </c>
      <c r="G209" s="60" t="s">
        <v>55</v>
      </c>
      <c r="H209" s="60"/>
      <c r="I209" s="62"/>
      <c r="J209" s="11"/>
      <c r="K209" s="11"/>
      <c r="L209" s="11"/>
      <c r="M209" s="11"/>
      <c r="N209" s="59"/>
      <c r="O209" s="60">
        <v>31</v>
      </c>
      <c r="P209" s="206" t="s">
        <v>261</v>
      </c>
      <c r="Q209" s="201"/>
      <c r="R209" s="61">
        <v>18.600000000000001</v>
      </c>
      <c r="S209" s="60" t="s">
        <v>44</v>
      </c>
      <c r="T209" s="60"/>
      <c r="U209" s="62"/>
      <c r="V209" s="2"/>
      <c r="W209" s="63">
        <v>31</v>
      </c>
      <c r="X209" s="64" t="s">
        <v>316</v>
      </c>
      <c r="Y209" s="20" t="s">
        <v>55</v>
      </c>
      <c r="Z209" s="20">
        <v>24.75</v>
      </c>
      <c r="AA209" s="20"/>
      <c r="AB209" s="10"/>
      <c r="AC209" s="10"/>
      <c r="AD209" s="20"/>
      <c r="AE209" s="20"/>
      <c r="AF209" s="20"/>
      <c r="AG209" s="65"/>
      <c r="AH209" s="66"/>
      <c r="AI209" s="40"/>
      <c r="AJ209" s="10" t="s">
        <v>261</v>
      </c>
      <c r="AK209" s="20" t="s">
        <v>44</v>
      </c>
      <c r="AL209" s="20">
        <v>18.600000000000001</v>
      </c>
    </row>
    <row r="210" spans="1:38" ht="13.2">
      <c r="A210" s="1"/>
      <c r="B210" s="59"/>
      <c r="C210" s="60">
        <v>32</v>
      </c>
      <c r="D210" s="206" t="s">
        <v>277</v>
      </c>
      <c r="E210" s="201"/>
      <c r="F210" s="61">
        <v>24.6</v>
      </c>
      <c r="G210" s="60" t="s">
        <v>48</v>
      </c>
      <c r="H210" s="60"/>
      <c r="I210" s="62"/>
      <c r="J210" s="11"/>
      <c r="K210" s="11"/>
      <c r="L210" s="11"/>
      <c r="M210" s="11"/>
      <c r="N210" s="59"/>
      <c r="O210" s="60">
        <v>32</v>
      </c>
      <c r="P210" s="206" t="s">
        <v>274</v>
      </c>
      <c r="Q210" s="201"/>
      <c r="R210" s="61">
        <v>18.25</v>
      </c>
      <c r="S210" s="60" t="s">
        <v>32</v>
      </c>
      <c r="T210" s="60"/>
      <c r="U210" s="62"/>
      <c r="V210" s="2"/>
      <c r="W210" s="63">
        <v>32</v>
      </c>
      <c r="X210" s="64" t="s">
        <v>277</v>
      </c>
      <c r="Y210" s="20" t="s">
        <v>48</v>
      </c>
      <c r="Z210" s="20">
        <v>24.6</v>
      </c>
      <c r="AA210" s="20"/>
      <c r="AB210" s="10"/>
      <c r="AC210" s="10"/>
      <c r="AD210" s="20"/>
      <c r="AE210" s="20"/>
      <c r="AF210" s="20"/>
      <c r="AG210" s="65"/>
      <c r="AH210" s="66"/>
      <c r="AI210" s="40"/>
      <c r="AJ210" s="10" t="s">
        <v>274</v>
      </c>
      <c r="AK210" s="20" t="s">
        <v>32</v>
      </c>
      <c r="AL210" s="20">
        <v>18.25</v>
      </c>
    </row>
    <row r="211" spans="1:38" ht="13.2">
      <c r="A211" s="1"/>
      <c r="B211" s="59"/>
      <c r="C211" s="60" t="s">
        <v>508</v>
      </c>
      <c r="D211" s="206" t="s">
        <v>257</v>
      </c>
      <c r="E211" s="201"/>
      <c r="F211" s="61">
        <v>23.3</v>
      </c>
      <c r="G211" s="60" t="s">
        <v>55</v>
      </c>
      <c r="H211" s="60"/>
      <c r="I211" s="62"/>
      <c r="J211" s="11"/>
      <c r="K211" s="11"/>
      <c r="L211" s="11"/>
      <c r="M211" s="11"/>
      <c r="N211" s="59"/>
      <c r="O211" s="60">
        <v>33</v>
      </c>
      <c r="P211" s="206" t="s">
        <v>302</v>
      </c>
      <c r="Q211" s="201"/>
      <c r="R211" s="61">
        <v>15.8</v>
      </c>
      <c r="S211" s="60" t="s">
        <v>138</v>
      </c>
      <c r="T211" s="60"/>
      <c r="U211" s="62"/>
      <c r="V211" s="2"/>
      <c r="W211" s="63">
        <v>33</v>
      </c>
      <c r="X211" s="64" t="s">
        <v>257</v>
      </c>
      <c r="Y211" s="20" t="s">
        <v>55</v>
      </c>
      <c r="Z211" s="20">
        <v>23.3</v>
      </c>
      <c r="AA211" s="20"/>
      <c r="AB211" s="10"/>
      <c r="AC211" s="10"/>
      <c r="AD211" s="20"/>
      <c r="AE211" s="20"/>
      <c r="AF211" s="20"/>
      <c r="AG211" s="65"/>
      <c r="AH211" s="66"/>
      <c r="AI211" s="40"/>
      <c r="AJ211" s="10" t="s">
        <v>302</v>
      </c>
      <c r="AK211" s="20" t="s">
        <v>138</v>
      </c>
      <c r="AL211" s="20">
        <v>15.8</v>
      </c>
    </row>
    <row r="212" spans="1:38" ht="13.2">
      <c r="A212" s="1"/>
      <c r="B212" s="59"/>
      <c r="C212" s="60" t="s">
        <v>508</v>
      </c>
      <c r="D212" s="206" t="s">
        <v>284</v>
      </c>
      <c r="E212" s="201"/>
      <c r="F212" s="61">
        <v>23.3</v>
      </c>
      <c r="G212" s="60" t="s">
        <v>138</v>
      </c>
      <c r="H212" s="60"/>
      <c r="I212" s="62"/>
      <c r="J212" s="11"/>
      <c r="K212" s="11"/>
      <c r="L212" s="11"/>
      <c r="M212" s="11"/>
      <c r="N212" s="59"/>
      <c r="O212" s="60">
        <v>34</v>
      </c>
      <c r="P212" s="206" t="s">
        <v>272</v>
      </c>
      <c r="Q212" s="201"/>
      <c r="R212" s="61">
        <v>13.2</v>
      </c>
      <c r="S212" s="60" t="s">
        <v>177</v>
      </c>
      <c r="T212" s="60"/>
      <c r="U212" s="62"/>
      <c r="V212" s="2"/>
      <c r="W212" s="63">
        <v>34</v>
      </c>
      <c r="X212" s="64" t="s">
        <v>284</v>
      </c>
      <c r="Y212" s="20" t="s">
        <v>138</v>
      </c>
      <c r="Z212" s="20">
        <v>23.3</v>
      </c>
      <c r="AA212" s="20"/>
      <c r="AB212" s="10"/>
      <c r="AC212" s="10"/>
      <c r="AD212" s="20"/>
      <c r="AE212" s="20"/>
      <c r="AF212" s="20"/>
      <c r="AG212" s="65"/>
      <c r="AH212" s="66"/>
      <c r="AI212" s="40"/>
      <c r="AJ212" s="10" t="s">
        <v>272</v>
      </c>
      <c r="AK212" s="20" t="s">
        <v>177</v>
      </c>
      <c r="AL212" s="20">
        <v>13.2</v>
      </c>
    </row>
    <row r="213" spans="1:38" ht="13.2">
      <c r="A213" s="1"/>
      <c r="B213" s="59"/>
      <c r="C213" s="60">
        <v>35</v>
      </c>
      <c r="D213" s="206" t="s">
        <v>299</v>
      </c>
      <c r="E213" s="201"/>
      <c r="F213" s="61">
        <v>14.5</v>
      </c>
      <c r="G213" s="60" t="s">
        <v>54</v>
      </c>
      <c r="H213" s="60"/>
      <c r="I213" s="62"/>
      <c r="J213" s="11"/>
      <c r="K213" s="11"/>
      <c r="L213" s="11"/>
      <c r="M213" s="11"/>
      <c r="N213" s="59"/>
      <c r="O213" s="60"/>
      <c r="P213" s="206"/>
      <c r="Q213" s="201"/>
      <c r="R213" s="61"/>
      <c r="S213" s="60"/>
      <c r="T213" s="60"/>
      <c r="U213" s="62"/>
      <c r="V213" s="2"/>
      <c r="W213" s="63">
        <v>35</v>
      </c>
      <c r="X213" s="64" t="s">
        <v>299</v>
      </c>
      <c r="Y213" s="20" t="s">
        <v>54</v>
      </c>
      <c r="Z213" s="20">
        <v>14.5</v>
      </c>
      <c r="AA213" s="20"/>
      <c r="AB213" s="10"/>
      <c r="AC213" s="10"/>
      <c r="AD213" s="20"/>
      <c r="AE213" s="20"/>
      <c r="AF213" s="20"/>
      <c r="AG213" s="65"/>
      <c r="AH213" s="66"/>
      <c r="AI213" s="40"/>
      <c r="AJ213" s="10"/>
      <c r="AK213" s="20"/>
      <c r="AL213" s="20"/>
    </row>
    <row r="214" spans="1:38" ht="13.2">
      <c r="A214" s="1"/>
      <c r="B214" s="59"/>
      <c r="C214" s="60">
        <v>36</v>
      </c>
      <c r="D214" s="206" t="s">
        <v>273</v>
      </c>
      <c r="E214" s="201"/>
      <c r="F214" s="61">
        <v>13.25</v>
      </c>
      <c r="G214" s="60" t="s">
        <v>129</v>
      </c>
      <c r="H214" s="60"/>
      <c r="I214" s="62"/>
      <c r="J214" s="11"/>
      <c r="K214" s="11"/>
      <c r="L214" s="11"/>
      <c r="M214" s="11"/>
      <c r="N214" s="59"/>
      <c r="O214" s="60"/>
      <c r="P214" s="206"/>
      <c r="Q214" s="201"/>
      <c r="R214" s="61"/>
      <c r="S214" s="60"/>
      <c r="T214" s="60"/>
      <c r="U214" s="62"/>
      <c r="V214" s="2"/>
      <c r="W214" s="63">
        <v>36</v>
      </c>
      <c r="X214" s="64" t="s">
        <v>273</v>
      </c>
      <c r="Y214" s="20" t="s">
        <v>129</v>
      </c>
      <c r="Z214" s="20">
        <v>13.25</v>
      </c>
      <c r="AA214" s="20"/>
      <c r="AB214" s="10"/>
      <c r="AC214" s="10"/>
      <c r="AD214" s="20"/>
      <c r="AE214" s="20"/>
      <c r="AF214" s="20"/>
      <c r="AG214" s="65"/>
      <c r="AH214" s="66"/>
      <c r="AI214" s="40"/>
      <c r="AJ214" s="10"/>
      <c r="AK214" s="20"/>
      <c r="AL214" s="20"/>
    </row>
    <row r="215" spans="1:38" ht="13.2">
      <c r="A215" s="1"/>
      <c r="B215" s="59"/>
      <c r="C215" s="60" t="s">
        <v>25</v>
      </c>
      <c r="D215" s="206"/>
      <c r="E215" s="201"/>
      <c r="F215" s="61"/>
      <c r="G215" s="60"/>
      <c r="H215" s="60"/>
      <c r="I215" s="62"/>
      <c r="J215" s="11"/>
      <c r="K215" s="11"/>
      <c r="L215" s="11"/>
      <c r="M215" s="11"/>
      <c r="N215" s="59"/>
      <c r="O215" s="60"/>
      <c r="P215" s="206"/>
      <c r="Q215" s="201"/>
      <c r="R215" s="61"/>
      <c r="S215" s="60"/>
      <c r="T215" s="60"/>
      <c r="U215" s="62"/>
      <c r="V215" s="2"/>
      <c r="W215" s="63">
        <v>37</v>
      </c>
      <c r="X215" s="64"/>
      <c r="Y215" s="20"/>
      <c r="Z215" s="20"/>
      <c r="AA215" s="20"/>
      <c r="AB215" s="10"/>
      <c r="AC215" s="10"/>
      <c r="AD215" s="20"/>
      <c r="AE215" s="20"/>
      <c r="AF215" s="20"/>
      <c r="AG215" s="65"/>
      <c r="AH215" s="66"/>
      <c r="AI215" s="40"/>
      <c r="AJ215" s="10"/>
      <c r="AK215" s="20"/>
      <c r="AL215" s="20"/>
    </row>
    <row r="216" spans="1:38" ht="13.2">
      <c r="A216" s="1"/>
      <c r="B216" s="59"/>
      <c r="C216" s="60"/>
      <c r="D216" s="206"/>
      <c r="E216" s="201"/>
      <c r="F216" s="61"/>
      <c r="G216" s="60"/>
      <c r="H216" s="60"/>
      <c r="I216" s="62"/>
      <c r="J216" s="11"/>
      <c r="K216" s="11"/>
      <c r="L216" s="11"/>
      <c r="M216" s="11"/>
      <c r="N216" s="59"/>
      <c r="O216" s="60"/>
      <c r="P216" s="206"/>
      <c r="Q216" s="201"/>
      <c r="R216" s="61"/>
      <c r="S216" s="60"/>
      <c r="T216" s="60"/>
      <c r="U216" s="62"/>
      <c r="V216" s="2"/>
      <c r="W216" s="63">
        <v>50</v>
      </c>
      <c r="X216" s="64"/>
      <c r="Y216" s="20"/>
      <c r="Z216" s="20"/>
      <c r="AA216" s="20"/>
      <c r="AB216" s="10"/>
      <c r="AC216" s="10"/>
      <c r="AD216" s="20"/>
      <c r="AE216" s="20"/>
      <c r="AF216" s="20"/>
      <c r="AG216" s="65"/>
      <c r="AH216" s="66"/>
      <c r="AI216" s="40"/>
      <c r="AJ216" s="10"/>
      <c r="AK216" s="20"/>
      <c r="AL216" s="20"/>
    </row>
    <row r="217" spans="1:38" ht="13.2">
      <c r="A217" s="1"/>
      <c r="B217" s="1"/>
      <c r="C217" s="67"/>
      <c r="D217" s="1"/>
      <c r="E217" s="1"/>
      <c r="F217" s="10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68"/>
      <c r="R217" s="10"/>
      <c r="S217" s="1"/>
      <c r="T217" s="1"/>
      <c r="U217" s="1"/>
      <c r="V217" s="2"/>
      <c r="W217" s="63">
        <v>51</v>
      </c>
      <c r="X217" s="10"/>
      <c r="Y217" s="10"/>
      <c r="Z217" s="10"/>
      <c r="AA217" s="10"/>
      <c r="AB217" s="10"/>
      <c r="AC217" s="20"/>
      <c r="AD217" s="20"/>
      <c r="AE217" s="10"/>
      <c r="AF217" s="10"/>
      <c r="AG217" s="10"/>
      <c r="AH217" s="10"/>
      <c r="AI217" s="40"/>
      <c r="AJ217" s="20"/>
      <c r="AK217" s="20"/>
      <c r="AL217" s="10"/>
    </row>
    <row r="218" spans="1:38" ht="13.2">
      <c r="A218" s="1"/>
      <c r="B218" s="1"/>
      <c r="C218" s="69" t="s">
        <v>100</v>
      </c>
      <c r="D218" s="12"/>
      <c r="E218" s="12"/>
      <c r="F218" s="13"/>
      <c r="G218" s="12"/>
      <c r="H218" s="12"/>
      <c r="I218" s="11"/>
      <c r="J218" s="11"/>
      <c r="K218" s="11"/>
      <c r="L218" s="11"/>
      <c r="M218" s="11"/>
      <c r="N218" s="11"/>
      <c r="O218" s="69"/>
      <c r="P218" s="12"/>
      <c r="Q218" s="70"/>
      <c r="R218" s="13"/>
      <c r="S218" s="12"/>
      <c r="T218" s="12"/>
      <c r="U218" s="1"/>
      <c r="V218" s="2"/>
      <c r="W218" s="10"/>
      <c r="X218" s="10"/>
      <c r="Y218" s="10"/>
      <c r="Z218" s="10"/>
      <c r="AA218" s="10"/>
      <c r="AB218" s="10"/>
      <c r="AC218" s="20"/>
      <c r="AD218" s="20"/>
      <c r="AE218" s="10"/>
      <c r="AF218" s="10"/>
      <c r="AG218" s="10"/>
      <c r="AH218" s="10"/>
      <c r="AI218" s="10"/>
      <c r="AJ218" s="20"/>
      <c r="AK218" s="20"/>
      <c r="AL218" s="10"/>
    </row>
    <row r="219" spans="1:38" ht="13.2">
      <c r="A219" s="1"/>
      <c r="B219" s="1"/>
      <c r="C219" s="195">
        <v>0</v>
      </c>
      <c r="D219" s="196"/>
      <c r="E219" s="196"/>
      <c r="F219" s="196"/>
      <c r="G219" s="196"/>
      <c r="H219" s="196"/>
      <c r="I219" s="196"/>
      <c r="J219" s="196"/>
      <c r="K219" s="196"/>
      <c r="L219" s="196"/>
      <c r="M219" s="196"/>
      <c r="N219" s="196"/>
      <c r="O219" s="196"/>
      <c r="P219" s="196"/>
      <c r="Q219" s="196"/>
      <c r="R219" s="196"/>
      <c r="S219" s="196"/>
      <c r="T219" s="197"/>
      <c r="U219" s="1"/>
      <c r="V219" s="2"/>
      <c r="W219" s="10"/>
      <c r="X219" s="10"/>
      <c r="Y219" s="10"/>
      <c r="Z219" s="10"/>
      <c r="AA219" s="10"/>
      <c r="AB219" s="10"/>
      <c r="AC219" s="20"/>
      <c r="AD219" s="20"/>
      <c r="AE219" s="10"/>
      <c r="AF219" s="10"/>
      <c r="AG219" s="10"/>
      <c r="AH219" s="10"/>
      <c r="AI219" s="10"/>
      <c r="AJ219" s="20"/>
      <c r="AK219" s="20"/>
      <c r="AL219" s="10"/>
    </row>
    <row r="220" spans="1:38" ht="13.2">
      <c r="A220" s="1"/>
      <c r="B220" s="1"/>
      <c r="C220" s="198"/>
      <c r="D220" s="194"/>
      <c r="E220" s="194"/>
      <c r="F220" s="194"/>
      <c r="G220" s="194"/>
      <c r="H220" s="194"/>
      <c r="I220" s="194"/>
      <c r="J220" s="194"/>
      <c r="K220" s="194"/>
      <c r="L220" s="194"/>
      <c r="M220" s="194"/>
      <c r="N220" s="194"/>
      <c r="O220" s="194"/>
      <c r="P220" s="194"/>
      <c r="Q220" s="194"/>
      <c r="R220" s="194"/>
      <c r="S220" s="194"/>
      <c r="T220" s="199"/>
      <c r="U220" s="1"/>
      <c r="V220" s="2"/>
      <c r="W220" s="10"/>
      <c r="X220" s="10"/>
      <c r="Y220" s="10"/>
      <c r="Z220" s="10"/>
      <c r="AA220" s="10"/>
      <c r="AB220" s="10"/>
      <c r="AC220" s="20"/>
      <c r="AD220" s="20"/>
      <c r="AE220" s="10"/>
      <c r="AF220" s="10"/>
      <c r="AG220" s="10"/>
      <c r="AH220" s="10"/>
      <c r="AI220" s="10"/>
      <c r="AJ220" s="20"/>
      <c r="AK220" s="20"/>
      <c r="AL220" s="10"/>
    </row>
    <row r="221" spans="1:38" ht="13.2">
      <c r="A221" s="1"/>
      <c r="B221" s="1"/>
      <c r="C221" s="198"/>
      <c r="D221" s="194"/>
      <c r="E221" s="194"/>
      <c r="F221" s="194"/>
      <c r="G221" s="194"/>
      <c r="H221" s="194"/>
      <c r="I221" s="194"/>
      <c r="J221" s="194"/>
      <c r="K221" s="194"/>
      <c r="L221" s="194"/>
      <c r="M221" s="194"/>
      <c r="N221" s="194"/>
      <c r="O221" s="194"/>
      <c r="P221" s="194"/>
      <c r="Q221" s="194"/>
      <c r="R221" s="194"/>
      <c r="S221" s="194"/>
      <c r="T221" s="199"/>
      <c r="U221" s="1"/>
      <c r="V221" s="2"/>
      <c r="W221" s="10"/>
      <c r="X221" s="10"/>
      <c r="Y221" s="10"/>
      <c r="Z221" s="10"/>
      <c r="AA221" s="10"/>
      <c r="AB221" s="10"/>
      <c r="AC221" s="20"/>
      <c r="AD221" s="20"/>
      <c r="AE221" s="10"/>
      <c r="AF221" s="10"/>
      <c r="AG221" s="10"/>
      <c r="AH221" s="10"/>
      <c r="AI221" s="10"/>
      <c r="AJ221" s="20"/>
      <c r="AK221" s="20"/>
      <c r="AL221" s="10"/>
    </row>
    <row r="222" spans="1:38" ht="13.2">
      <c r="A222" s="1"/>
      <c r="B222" s="1"/>
      <c r="C222" s="200"/>
      <c r="D222" s="201"/>
      <c r="E222" s="201"/>
      <c r="F222" s="201"/>
      <c r="G222" s="201"/>
      <c r="H222" s="201"/>
      <c r="I222" s="201"/>
      <c r="J222" s="201"/>
      <c r="K222" s="201"/>
      <c r="L222" s="201"/>
      <c r="M222" s="201"/>
      <c r="N222" s="201"/>
      <c r="O222" s="201"/>
      <c r="P222" s="201"/>
      <c r="Q222" s="201"/>
      <c r="R222" s="201"/>
      <c r="S222" s="201"/>
      <c r="T222" s="202"/>
      <c r="U222" s="1"/>
      <c r="V222" s="2"/>
      <c r="W222" s="10"/>
      <c r="X222" s="10"/>
      <c r="Y222" s="10"/>
      <c r="Z222" s="10"/>
      <c r="AA222" s="10"/>
      <c r="AB222" s="10"/>
      <c r="AC222" s="20"/>
      <c r="AD222" s="20"/>
      <c r="AE222" s="10"/>
      <c r="AF222" s="10"/>
      <c r="AG222" s="10"/>
      <c r="AH222" s="10"/>
      <c r="AI222" s="10"/>
      <c r="AJ222" s="20"/>
      <c r="AK222" s="20"/>
      <c r="AL222" s="10"/>
    </row>
    <row r="223" spans="1:38" ht="13.2">
      <c r="A223" s="1"/>
      <c r="B223" s="1"/>
      <c r="C223" s="67"/>
      <c r="D223" s="1"/>
      <c r="E223" s="1"/>
      <c r="F223" s="10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68"/>
      <c r="R223" s="10"/>
      <c r="S223" s="1"/>
      <c r="T223" s="1"/>
      <c r="U223" s="1"/>
      <c r="V223" s="2"/>
      <c r="W223" s="10"/>
      <c r="X223" s="10"/>
      <c r="Y223" s="10"/>
      <c r="Z223" s="10"/>
      <c r="AA223" s="10"/>
      <c r="AB223" s="10"/>
      <c r="AC223" s="20"/>
      <c r="AD223" s="20"/>
      <c r="AE223" s="10"/>
      <c r="AF223" s="10"/>
      <c r="AG223" s="10"/>
      <c r="AH223" s="10"/>
      <c r="AI223" s="10"/>
      <c r="AJ223" s="20"/>
      <c r="AK223" s="20"/>
      <c r="AL223" s="10"/>
    </row>
    <row r="224" spans="1:38" ht="13.2">
      <c r="A224" s="1"/>
      <c r="B224" s="1"/>
      <c r="C224" s="67"/>
      <c r="D224" s="1"/>
      <c r="E224" s="1"/>
      <c r="F224" s="10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68"/>
      <c r="R224" s="10"/>
      <c r="S224" s="1"/>
      <c r="T224" s="1"/>
      <c r="U224" s="1"/>
      <c r="V224" s="2"/>
      <c r="W224" s="2"/>
      <c r="X224" s="2"/>
      <c r="Y224" s="2"/>
      <c r="Z224" s="2"/>
      <c r="AA224" s="2"/>
      <c r="AB224" s="2"/>
      <c r="AC224" s="14"/>
      <c r="AD224" s="14"/>
      <c r="AE224" s="2"/>
      <c r="AF224" s="2"/>
      <c r="AG224" s="2"/>
      <c r="AH224" s="2"/>
      <c r="AI224" s="2"/>
      <c r="AJ224" s="14"/>
      <c r="AK224" s="14"/>
      <c r="AL224" s="2"/>
    </row>
    <row r="225" spans="1:38" ht="15.6">
      <c r="A225" s="1"/>
      <c r="B225" s="28"/>
      <c r="C225" s="17"/>
      <c r="D225" s="29" t="s">
        <v>500</v>
      </c>
      <c r="E225" s="225" t="s">
        <v>521</v>
      </c>
      <c r="F225" s="194"/>
      <c r="G225" s="194"/>
      <c r="H225" s="19"/>
      <c r="I225" s="30"/>
      <c r="J225" s="30"/>
      <c r="K225" s="30"/>
      <c r="L225" s="30"/>
      <c r="M225" s="30"/>
      <c r="N225" s="30"/>
      <c r="O225" s="30"/>
      <c r="P225" s="29" t="s">
        <v>493</v>
      </c>
      <c r="Q225" s="207" t="s">
        <v>0</v>
      </c>
      <c r="R225" s="194"/>
      <c r="S225" s="19"/>
      <c r="T225" s="6"/>
      <c r="U225" s="31"/>
      <c r="V225" s="2"/>
      <c r="W225" s="10"/>
      <c r="X225" s="10"/>
      <c r="Y225" s="10"/>
      <c r="Z225" s="10"/>
      <c r="AA225" s="10"/>
      <c r="AB225" s="10"/>
      <c r="AC225" s="20"/>
      <c r="AD225" s="20"/>
      <c r="AE225" s="10"/>
      <c r="AF225" s="10"/>
      <c r="AG225" s="10"/>
      <c r="AH225" s="10"/>
      <c r="AI225" s="10"/>
      <c r="AJ225" s="20"/>
      <c r="AK225" s="20"/>
      <c r="AL225" s="10"/>
    </row>
    <row r="226" spans="1:38" ht="15.6">
      <c r="A226" s="1"/>
      <c r="B226" s="32"/>
      <c r="C226" s="16"/>
      <c r="D226" s="33" t="s">
        <v>494</v>
      </c>
      <c r="E226" s="30"/>
      <c r="F226" s="34"/>
      <c r="G226" s="19"/>
      <c r="H226" s="19"/>
      <c r="I226" s="19"/>
      <c r="J226" s="19"/>
      <c r="K226" s="19"/>
      <c r="L226" s="19"/>
      <c r="M226" s="19"/>
      <c r="N226" s="19"/>
      <c r="O226" s="19"/>
      <c r="P226" s="35" t="s">
        <v>98</v>
      </c>
      <c r="Q226" s="208" t="s">
        <v>99</v>
      </c>
      <c r="R226" s="194"/>
      <c r="S226" s="194"/>
      <c r="T226" s="194"/>
      <c r="U226" s="19"/>
      <c r="V226" s="2"/>
      <c r="W226" s="10"/>
      <c r="X226" s="10"/>
      <c r="Y226" s="10"/>
      <c r="Z226" s="10"/>
      <c r="AA226" s="10"/>
      <c r="AB226" s="10"/>
      <c r="AC226" s="20"/>
      <c r="AD226" s="20"/>
      <c r="AE226" s="10"/>
      <c r="AF226" s="10"/>
      <c r="AG226" s="10"/>
      <c r="AH226" s="10"/>
      <c r="AI226" s="10"/>
      <c r="AJ226" s="20"/>
      <c r="AK226" s="20"/>
      <c r="AL226" s="10"/>
    </row>
    <row r="227" spans="1:38" ht="15.6">
      <c r="A227" s="1"/>
      <c r="B227" s="7"/>
      <c r="C227" s="36"/>
      <c r="D227" s="30"/>
      <c r="E227" s="30"/>
      <c r="F227" s="34"/>
      <c r="G227" s="19"/>
      <c r="H227" s="19"/>
      <c r="I227" s="19"/>
      <c r="J227" s="19"/>
      <c r="K227" s="19"/>
      <c r="L227" s="19"/>
      <c r="M227" s="19"/>
      <c r="N227" s="19"/>
      <c r="O227" s="19"/>
      <c r="P227" s="30"/>
      <c r="Q227" s="37"/>
      <c r="R227" s="38"/>
      <c r="S227" s="19"/>
      <c r="T227" s="19"/>
      <c r="U227" s="19"/>
      <c r="V227" s="2"/>
      <c r="W227" s="15"/>
      <c r="X227" s="39"/>
      <c r="Y227" s="40"/>
      <c r="Z227" s="41"/>
      <c r="AA227" s="41"/>
      <c r="AB227" s="40"/>
      <c r="AC227" s="40"/>
      <c r="AD227" s="40"/>
      <c r="AE227" s="40"/>
      <c r="AF227" s="40"/>
      <c r="AG227" s="40"/>
      <c r="AH227" s="40"/>
      <c r="AI227" s="15"/>
      <c r="AJ227" s="40"/>
      <c r="AK227" s="40"/>
      <c r="AL227" s="40"/>
    </row>
    <row r="228" spans="1:38" ht="15.6">
      <c r="A228" s="1"/>
      <c r="B228" s="8"/>
      <c r="C228" s="226" t="s">
        <v>20</v>
      </c>
      <c r="D228" s="204"/>
      <c r="E228" s="203" t="s">
        <v>12</v>
      </c>
      <c r="F228" s="204"/>
      <c r="G228" s="204"/>
      <c r="H228" s="42"/>
      <c r="I228" s="43"/>
      <c r="J228" s="44"/>
      <c r="K228" s="44"/>
      <c r="L228" s="44"/>
      <c r="M228" s="44"/>
      <c r="N228" s="9"/>
      <c r="O228" s="209" t="s">
        <v>20</v>
      </c>
      <c r="P228" s="204"/>
      <c r="Q228" s="205" t="s">
        <v>13</v>
      </c>
      <c r="R228" s="204"/>
      <c r="S228" s="204"/>
      <c r="T228" s="45"/>
      <c r="U228" s="46"/>
      <c r="V228" s="2"/>
      <c r="W228" s="39"/>
      <c r="X228" s="40"/>
      <c r="Y228" s="41"/>
      <c r="Z228" s="210"/>
      <c r="AA228" s="194"/>
      <c r="AB228" s="41"/>
      <c r="AC228" s="10"/>
      <c r="AD228" s="41"/>
      <c r="AE228" s="210"/>
      <c r="AF228" s="194"/>
      <c r="AG228" s="210"/>
      <c r="AH228" s="194"/>
      <c r="AI228" s="47"/>
      <c r="AJ228" s="10"/>
      <c r="AK228" s="41"/>
      <c r="AL228" s="41"/>
    </row>
    <row r="229" spans="1:38" ht="15.6">
      <c r="A229" s="1"/>
      <c r="B229" s="43"/>
      <c r="C229" s="223" t="s">
        <v>2</v>
      </c>
      <c r="D229" s="193"/>
      <c r="E229" s="224">
        <v>42</v>
      </c>
      <c r="F229" s="204"/>
      <c r="G229" s="204"/>
      <c r="H229" s="48"/>
      <c r="I229" s="43"/>
      <c r="J229" s="49"/>
      <c r="K229" s="49"/>
      <c r="L229" s="49"/>
      <c r="M229" s="49"/>
      <c r="N229" s="9"/>
      <c r="O229" s="211" t="s">
        <v>2</v>
      </c>
      <c r="P229" s="193"/>
      <c r="Q229" s="212">
        <v>18</v>
      </c>
      <c r="R229" s="204"/>
      <c r="S229" s="204"/>
      <c r="T229" s="50"/>
      <c r="U229" s="46"/>
      <c r="V229" s="2"/>
      <c r="W229" s="47"/>
      <c r="X229" s="51"/>
      <c r="Y229" s="41"/>
      <c r="Z229" s="210"/>
      <c r="AA229" s="194"/>
      <c r="AB229" s="10"/>
      <c r="AC229" s="10"/>
      <c r="AD229" s="41"/>
      <c r="AE229" s="210"/>
      <c r="AF229" s="194"/>
      <c r="AG229" s="210"/>
      <c r="AH229" s="194"/>
      <c r="AI229" s="47"/>
      <c r="AJ229" s="10"/>
      <c r="AK229" s="41"/>
      <c r="AL229" s="41"/>
    </row>
    <row r="230" spans="1:38" ht="13.2">
      <c r="A230" s="1"/>
      <c r="B230" s="52"/>
      <c r="C230" s="53" t="s">
        <v>495</v>
      </c>
      <c r="D230" s="213" t="s">
        <v>12</v>
      </c>
      <c r="E230" s="193"/>
      <c r="F230" s="54" t="s">
        <v>21</v>
      </c>
      <c r="G230" s="55" t="s">
        <v>496</v>
      </c>
      <c r="H230" s="55"/>
      <c r="I230" s="56"/>
      <c r="J230" s="11"/>
      <c r="K230" s="11"/>
      <c r="L230" s="11"/>
      <c r="M230" s="57"/>
      <c r="N230" s="56"/>
      <c r="O230" s="53" t="s">
        <v>495</v>
      </c>
      <c r="P230" s="213" t="s">
        <v>13</v>
      </c>
      <c r="Q230" s="193"/>
      <c r="R230" s="54" t="s">
        <v>21</v>
      </c>
      <c r="S230" s="55" t="s">
        <v>496</v>
      </c>
      <c r="T230" s="55"/>
      <c r="U230" s="56"/>
      <c r="V230" s="2"/>
      <c r="W230" s="39" t="s">
        <v>495</v>
      </c>
      <c r="X230" s="58" t="s">
        <v>497</v>
      </c>
      <c r="Y230" s="41" t="s">
        <v>496</v>
      </c>
      <c r="Z230" s="41" t="s">
        <v>21</v>
      </c>
      <c r="AA230" s="41"/>
      <c r="AB230" s="58"/>
      <c r="AC230" s="58"/>
      <c r="AD230" s="41"/>
      <c r="AE230" s="41"/>
      <c r="AF230" s="41"/>
      <c r="AG230" s="41"/>
      <c r="AH230" s="41"/>
      <c r="AI230" s="39"/>
      <c r="AJ230" s="58" t="s">
        <v>497</v>
      </c>
      <c r="AK230" s="41" t="s">
        <v>496</v>
      </c>
      <c r="AL230" s="41" t="s">
        <v>21</v>
      </c>
    </row>
    <row r="231" spans="1:38" ht="13.2">
      <c r="A231" s="1"/>
      <c r="B231" s="59"/>
      <c r="C231" s="60">
        <v>1</v>
      </c>
      <c r="D231" s="206" t="s">
        <v>372</v>
      </c>
      <c r="E231" s="201"/>
      <c r="F231" s="61">
        <v>61.3</v>
      </c>
      <c r="G231" s="60" t="s">
        <v>106</v>
      </c>
      <c r="H231" s="60"/>
      <c r="I231" s="62"/>
      <c r="J231" s="11"/>
      <c r="K231" s="11"/>
      <c r="L231" s="11"/>
      <c r="M231" s="11"/>
      <c r="N231" s="59"/>
      <c r="O231" s="60">
        <v>1</v>
      </c>
      <c r="P231" s="206" t="s">
        <v>355</v>
      </c>
      <c r="Q231" s="202"/>
      <c r="R231" s="61">
        <v>58.65</v>
      </c>
      <c r="S231" s="60" t="s">
        <v>68</v>
      </c>
      <c r="T231" s="60"/>
      <c r="U231" s="62"/>
      <c r="V231" s="2"/>
      <c r="W231" s="63">
        <v>1</v>
      </c>
      <c r="X231" s="64" t="s">
        <v>372</v>
      </c>
      <c r="Y231" s="20" t="s">
        <v>106</v>
      </c>
      <c r="Z231" s="20">
        <v>61.3</v>
      </c>
      <c r="AA231" s="20"/>
      <c r="AB231" s="64"/>
      <c r="AC231" s="64"/>
      <c r="AD231" s="20"/>
      <c r="AE231" s="20"/>
      <c r="AF231" s="20"/>
      <c r="AG231" s="65"/>
      <c r="AH231" s="66"/>
      <c r="AI231" s="40"/>
      <c r="AJ231" s="64" t="s">
        <v>355</v>
      </c>
      <c r="AK231" s="20" t="s">
        <v>68</v>
      </c>
      <c r="AL231" s="20">
        <v>58.65</v>
      </c>
    </row>
    <row r="232" spans="1:38" ht="13.2">
      <c r="A232" s="1"/>
      <c r="B232" s="59"/>
      <c r="C232" s="60">
        <v>2</v>
      </c>
      <c r="D232" s="206" t="s">
        <v>370</v>
      </c>
      <c r="E232" s="201"/>
      <c r="F232" s="61">
        <v>58.35</v>
      </c>
      <c r="G232" s="60" t="s">
        <v>52</v>
      </c>
      <c r="H232" s="60"/>
      <c r="I232" s="62"/>
      <c r="J232" s="11"/>
      <c r="K232" s="11"/>
      <c r="L232" s="11"/>
      <c r="M232" s="11"/>
      <c r="N232" s="59"/>
      <c r="O232" s="60">
        <v>2</v>
      </c>
      <c r="P232" s="206" t="s">
        <v>339</v>
      </c>
      <c r="Q232" s="201"/>
      <c r="R232" s="61">
        <v>55</v>
      </c>
      <c r="S232" s="60" t="s">
        <v>68</v>
      </c>
      <c r="T232" s="60"/>
      <c r="U232" s="62"/>
      <c r="V232" s="2"/>
      <c r="W232" s="63">
        <v>2</v>
      </c>
      <c r="X232" s="64" t="s">
        <v>370</v>
      </c>
      <c r="Y232" s="20" t="s">
        <v>52</v>
      </c>
      <c r="Z232" s="20">
        <v>58.35</v>
      </c>
      <c r="AA232" s="20"/>
      <c r="AB232" s="10"/>
      <c r="AC232" s="10"/>
      <c r="AD232" s="20"/>
      <c r="AE232" s="20"/>
      <c r="AF232" s="20"/>
      <c r="AG232" s="65"/>
      <c r="AH232" s="66"/>
      <c r="AI232" s="40"/>
      <c r="AJ232" s="10" t="s">
        <v>339</v>
      </c>
      <c r="AK232" s="20" t="s">
        <v>68</v>
      </c>
      <c r="AL232" s="20">
        <v>55</v>
      </c>
    </row>
    <row r="233" spans="1:38" ht="13.2">
      <c r="A233" s="1"/>
      <c r="B233" s="59"/>
      <c r="C233" s="60">
        <v>3</v>
      </c>
      <c r="D233" s="206" t="s">
        <v>376</v>
      </c>
      <c r="E233" s="201"/>
      <c r="F233" s="61">
        <v>55.85</v>
      </c>
      <c r="G233" s="60" t="s">
        <v>129</v>
      </c>
      <c r="H233" s="60"/>
      <c r="I233" s="62"/>
      <c r="J233" s="11"/>
      <c r="K233" s="11"/>
      <c r="L233" s="11"/>
      <c r="M233" s="11"/>
      <c r="N233" s="59"/>
      <c r="O233" s="60">
        <v>3</v>
      </c>
      <c r="P233" s="206" t="s">
        <v>330</v>
      </c>
      <c r="Q233" s="201"/>
      <c r="R233" s="61">
        <v>51.85</v>
      </c>
      <c r="S233" s="60" t="s">
        <v>76</v>
      </c>
      <c r="T233" s="60"/>
      <c r="U233" s="62"/>
      <c r="V233" s="2"/>
      <c r="W233" s="63">
        <v>3</v>
      </c>
      <c r="X233" s="64" t="s">
        <v>376</v>
      </c>
      <c r="Y233" s="20" t="s">
        <v>129</v>
      </c>
      <c r="Z233" s="20">
        <v>55.85</v>
      </c>
      <c r="AA233" s="20"/>
      <c r="AB233" s="10"/>
      <c r="AC233" s="10"/>
      <c r="AD233" s="20"/>
      <c r="AE233" s="20"/>
      <c r="AF233" s="20"/>
      <c r="AG233" s="65"/>
      <c r="AH233" s="66"/>
      <c r="AI233" s="40"/>
      <c r="AJ233" s="10" t="s">
        <v>330</v>
      </c>
      <c r="AK233" s="20" t="s">
        <v>76</v>
      </c>
      <c r="AL233" s="20">
        <v>51.85</v>
      </c>
    </row>
    <row r="234" spans="1:38" ht="13.2">
      <c r="A234" s="1"/>
      <c r="B234" s="59"/>
      <c r="C234" s="60">
        <v>4</v>
      </c>
      <c r="D234" s="206" t="s">
        <v>341</v>
      </c>
      <c r="E234" s="201"/>
      <c r="F234" s="61">
        <v>53.4</v>
      </c>
      <c r="G234" s="60" t="s">
        <v>52</v>
      </c>
      <c r="H234" s="60"/>
      <c r="I234" s="62"/>
      <c r="J234" s="11"/>
      <c r="K234" s="11"/>
      <c r="L234" s="11"/>
      <c r="M234" s="11"/>
      <c r="N234" s="59"/>
      <c r="O234" s="60">
        <v>4</v>
      </c>
      <c r="P234" s="206" t="s">
        <v>343</v>
      </c>
      <c r="Q234" s="201"/>
      <c r="R234" s="61">
        <v>48.1</v>
      </c>
      <c r="S234" s="60" t="s">
        <v>106</v>
      </c>
      <c r="T234" s="60"/>
      <c r="U234" s="62"/>
      <c r="V234" s="2"/>
      <c r="W234" s="63">
        <v>4</v>
      </c>
      <c r="X234" s="64" t="s">
        <v>341</v>
      </c>
      <c r="Y234" s="20" t="s">
        <v>52</v>
      </c>
      <c r="Z234" s="20">
        <v>53.4</v>
      </c>
      <c r="AA234" s="20"/>
      <c r="AB234" s="10"/>
      <c r="AC234" s="10"/>
      <c r="AD234" s="20"/>
      <c r="AE234" s="20"/>
      <c r="AF234" s="20"/>
      <c r="AG234" s="65"/>
      <c r="AH234" s="66"/>
      <c r="AI234" s="40"/>
      <c r="AJ234" s="10" t="s">
        <v>343</v>
      </c>
      <c r="AK234" s="20" t="s">
        <v>106</v>
      </c>
      <c r="AL234" s="20">
        <v>48.1</v>
      </c>
    </row>
    <row r="235" spans="1:38" ht="13.2">
      <c r="A235" s="1"/>
      <c r="B235" s="59"/>
      <c r="C235" s="60">
        <v>5</v>
      </c>
      <c r="D235" s="206" t="s">
        <v>360</v>
      </c>
      <c r="E235" s="201"/>
      <c r="F235" s="61">
        <v>52.2</v>
      </c>
      <c r="G235" s="60" t="s">
        <v>52</v>
      </c>
      <c r="H235" s="60"/>
      <c r="I235" s="62"/>
      <c r="J235" s="11"/>
      <c r="K235" s="11"/>
      <c r="L235" s="11"/>
      <c r="M235" s="11"/>
      <c r="N235" s="59"/>
      <c r="O235" s="60">
        <v>5</v>
      </c>
      <c r="P235" s="206" t="s">
        <v>321</v>
      </c>
      <c r="Q235" s="201"/>
      <c r="R235" s="61">
        <v>46.75</v>
      </c>
      <c r="S235" s="60" t="s">
        <v>129</v>
      </c>
      <c r="T235" s="60"/>
      <c r="U235" s="62"/>
      <c r="V235" s="2"/>
      <c r="W235" s="63">
        <v>5</v>
      </c>
      <c r="X235" s="64" t="s">
        <v>360</v>
      </c>
      <c r="Y235" s="20" t="s">
        <v>52</v>
      </c>
      <c r="Z235" s="20">
        <v>52.2</v>
      </c>
      <c r="AA235" s="20"/>
      <c r="AB235" s="10"/>
      <c r="AC235" s="10"/>
      <c r="AD235" s="20"/>
      <c r="AE235" s="20"/>
      <c r="AF235" s="20"/>
      <c r="AG235" s="65"/>
      <c r="AH235" s="66"/>
      <c r="AI235" s="40"/>
      <c r="AJ235" s="10" t="s">
        <v>321</v>
      </c>
      <c r="AK235" s="20" t="s">
        <v>129</v>
      </c>
      <c r="AL235" s="20">
        <v>46.75</v>
      </c>
    </row>
    <row r="236" spans="1:38" ht="13.2">
      <c r="A236" s="1"/>
      <c r="B236" s="59"/>
      <c r="C236" s="60">
        <v>6</v>
      </c>
      <c r="D236" s="206" t="s">
        <v>333</v>
      </c>
      <c r="E236" s="201"/>
      <c r="F236" s="61">
        <v>43.05</v>
      </c>
      <c r="G236" s="60" t="s">
        <v>134</v>
      </c>
      <c r="H236" s="60"/>
      <c r="I236" s="62"/>
      <c r="J236" s="11"/>
      <c r="K236" s="11"/>
      <c r="L236" s="11"/>
      <c r="M236" s="11"/>
      <c r="N236" s="59"/>
      <c r="O236" s="60">
        <v>6</v>
      </c>
      <c r="P236" s="206" t="s">
        <v>345</v>
      </c>
      <c r="Q236" s="201"/>
      <c r="R236" s="61">
        <v>44.8</v>
      </c>
      <c r="S236" s="60" t="s">
        <v>65</v>
      </c>
      <c r="T236" s="60"/>
      <c r="U236" s="62"/>
      <c r="V236" s="2"/>
      <c r="W236" s="63">
        <v>6</v>
      </c>
      <c r="X236" s="64" t="s">
        <v>333</v>
      </c>
      <c r="Y236" s="20" t="s">
        <v>134</v>
      </c>
      <c r="Z236" s="20">
        <v>43.05</v>
      </c>
      <c r="AA236" s="20"/>
      <c r="AB236" s="10"/>
      <c r="AC236" s="10"/>
      <c r="AD236" s="20"/>
      <c r="AE236" s="20"/>
      <c r="AF236" s="20"/>
      <c r="AG236" s="65"/>
      <c r="AH236" s="66"/>
      <c r="AI236" s="40"/>
      <c r="AJ236" s="10" t="s">
        <v>345</v>
      </c>
      <c r="AK236" s="20" t="s">
        <v>65</v>
      </c>
      <c r="AL236" s="20">
        <v>44.8</v>
      </c>
    </row>
    <row r="237" spans="1:38" ht="13.2">
      <c r="A237" s="1"/>
      <c r="B237" s="59"/>
      <c r="C237" s="60" t="s">
        <v>509</v>
      </c>
      <c r="D237" s="206" t="s">
        <v>350</v>
      </c>
      <c r="E237" s="201"/>
      <c r="F237" s="61">
        <v>41.35</v>
      </c>
      <c r="G237" s="60" t="s">
        <v>37</v>
      </c>
      <c r="H237" s="60"/>
      <c r="I237" s="62"/>
      <c r="J237" s="11"/>
      <c r="K237" s="11"/>
      <c r="L237" s="11"/>
      <c r="M237" s="11"/>
      <c r="N237" s="59"/>
      <c r="O237" s="60">
        <v>7</v>
      </c>
      <c r="P237" s="206" t="s">
        <v>334</v>
      </c>
      <c r="Q237" s="201"/>
      <c r="R237" s="61">
        <v>42.95</v>
      </c>
      <c r="S237" s="60" t="s">
        <v>129</v>
      </c>
      <c r="T237" s="60"/>
      <c r="U237" s="62"/>
      <c r="V237" s="2"/>
      <c r="W237" s="63">
        <v>7</v>
      </c>
      <c r="X237" s="64" t="s">
        <v>350</v>
      </c>
      <c r="Y237" s="20" t="s">
        <v>37</v>
      </c>
      <c r="Z237" s="20">
        <v>41.35</v>
      </c>
      <c r="AA237" s="20"/>
      <c r="AB237" s="10"/>
      <c r="AC237" s="10"/>
      <c r="AD237" s="20"/>
      <c r="AE237" s="20"/>
      <c r="AF237" s="20"/>
      <c r="AG237" s="65"/>
      <c r="AH237" s="66"/>
      <c r="AI237" s="40"/>
      <c r="AJ237" s="10" t="s">
        <v>334</v>
      </c>
      <c r="AK237" s="20" t="s">
        <v>129</v>
      </c>
      <c r="AL237" s="20">
        <v>42.95</v>
      </c>
    </row>
    <row r="238" spans="1:38" ht="13.2">
      <c r="A238" s="1"/>
      <c r="B238" s="59"/>
      <c r="C238" s="60" t="s">
        <v>509</v>
      </c>
      <c r="D238" s="206" t="s">
        <v>375</v>
      </c>
      <c r="E238" s="201"/>
      <c r="F238" s="61">
        <v>41.35</v>
      </c>
      <c r="G238" s="60" t="s">
        <v>106</v>
      </c>
      <c r="H238" s="60"/>
      <c r="I238" s="62"/>
      <c r="J238" s="11"/>
      <c r="K238" s="11"/>
      <c r="L238" s="11"/>
      <c r="M238" s="11"/>
      <c r="N238" s="59"/>
      <c r="O238" s="60">
        <v>8</v>
      </c>
      <c r="P238" s="206" t="s">
        <v>325</v>
      </c>
      <c r="Q238" s="201"/>
      <c r="R238" s="61">
        <v>40.5</v>
      </c>
      <c r="S238" s="60" t="s">
        <v>37</v>
      </c>
      <c r="T238" s="60"/>
      <c r="U238" s="62"/>
      <c r="V238" s="2"/>
      <c r="W238" s="63">
        <v>8</v>
      </c>
      <c r="X238" s="64" t="s">
        <v>375</v>
      </c>
      <c r="Y238" s="20" t="s">
        <v>106</v>
      </c>
      <c r="Z238" s="20">
        <v>41.35</v>
      </c>
      <c r="AA238" s="20"/>
      <c r="AB238" s="10"/>
      <c r="AC238" s="10"/>
      <c r="AD238" s="20"/>
      <c r="AE238" s="20"/>
      <c r="AF238" s="20"/>
      <c r="AG238" s="65"/>
      <c r="AH238" s="66"/>
      <c r="AI238" s="40"/>
      <c r="AJ238" s="10" t="s">
        <v>325</v>
      </c>
      <c r="AK238" s="20" t="s">
        <v>37</v>
      </c>
      <c r="AL238" s="20">
        <v>40.5</v>
      </c>
    </row>
    <row r="239" spans="1:38" ht="13.2">
      <c r="A239" s="1"/>
      <c r="B239" s="59"/>
      <c r="C239" s="60">
        <v>9</v>
      </c>
      <c r="D239" s="206" t="s">
        <v>340</v>
      </c>
      <c r="E239" s="201"/>
      <c r="F239" s="61">
        <v>40.700000000000003</v>
      </c>
      <c r="G239" s="60" t="s">
        <v>55</v>
      </c>
      <c r="H239" s="60"/>
      <c r="I239" s="62"/>
      <c r="J239" s="11"/>
      <c r="K239" s="11"/>
      <c r="L239" s="11"/>
      <c r="M239" s="11"/>
      <c r="N239" s="59"/>
      <c r="O239" s="60">
        <v>9</v>
      </c>
      <c r="P239" s="206" t="s">
        <v>357</v>
      </c>
      <c r="Q239" s="201"/>
      <c r="R239" s="61">
        <v>40.200000000000003</v>
      </c>
      <c r="S239" s="60" t="s">
        <v>28</v>
      </c>
      <c r="T239" s="60"/>
      <c r="U239" s="62"/>
      <c r="V239" s="2"/>
      <c r="W239" s="63">
        <v>9</v>
      </c>
      <c r="X239" s="64" t="s">
        <v>340</v>
      </c>
      <c r="Y239" s="20" t="s">
        <v>55</v>
      </c>
      <c r="Z239" s="20">
        <v>40.700000000000003</v>
      </c>
      <c r="AA239" s="20"/>
      <c r="AB239" s="10"/>
      <c r="AC239" s="10"/>
      <c r="AD239" s="20"/>
      <c r="AE239" s="20"/>
      <c r="AF239" s="20"/>
      <c r="AG239" s="65"/>
      <c r="AH239" s="66"/>
      <c r="AI239" s="40"/>
      <c r="AJ239" s="10" t="s">
        <v>357</v>
      </c>
      <c r="AK239" s="20" t="s">
        <v>28</v>
      </c>
      <c r="AL239" s="20">
        <v>40.200000000000003</v>
      </c>
    </row>
    <row r="240" spans="1:38" ht="13.2">
      <c r="A240" s="1"/>
      <c r="B240" s="59"/>
      <c r="C240" s="60">
        <v>10</v>
      </c>
      <c r="D240" s="206" t="s">
        <v>326</v>
      </c>
      <c r="E240" s="201"/>
      <c r="F240" s="61">
        <v>40.450000000000003</v>
      </c>
      <c r="G240" s="60" t="s">
        <v>55</v>
      </c>
      <c r="H240" s="60"/>
      <c r="I240" s="62"/>
      <c r="J240" s="11"/>
      <c r="K240" s="11"/>
      <c r="L240" s="11"/>
      <c r="M240" s="11"/>
      <c r="N240" s="59"/>
      <c r="O240" s="60">
        <v>10</v>
      </c>
      <c r="P240" s="206" t="s">
        <v>354</v>
      </c>
      <c r="Q240" s="201"/>
      <c r="R240" s="61">
        <v>34.25</v>
      </c>
      <c r="S240" s="60" t="s">
        <v>54</v>
      </c>
      <c r="T240" s="60"/>
      <c r="U240" s="62"/>
      <c r="V240" s="2"/>
      <c r="W240" s="63">
        <v>10</v>
      </c>
      <c r="X240" s="64" t="s">
        <v>326</v>
      </c>
      <c r="Y240" s="20" t="s">
        <v>55</v>
      </c>
      <c r="Z240" s="20">
        <v>40.450000000000003</v>
      </c>
      <c r="AA240" s="20"/>
      <c r="AB240" s="10"/>
      <c r="AC240" s="10"/>
      <c r="AD240" s="20"/>
      <c r="AE240" s="20"/>
      <c r="AF240" s="20"/>
      <c r="AG240" s="65"/>
      <c r="AH240" s="66"/>
      <c r="AI240" s="40"/>
      <c r="AJ240" s="10" t="s">
        <v>354</v>
      </c>
      <c r="AK240" s="20" t="s">
        <v>54</v>
      </c>
      <c r="AL240" s="20">
        <v>34.25</v>
      </c>
    </row>
    <row r="241" spans="1:38" ht="13.2">
      <c r="A241" s="1"/>
      <c r="B241" s="59"/>
      <c r="C241" s="60">
        <v>11</v>
      </c>
      <c r="D241" s="206" t="s">
        <v>338</v>
      </c>
      <c r="E241" s="201"/>
      <c r="F241" s="61">
        <v>40.299999999999997</v>
      </c>
      <c r="G241" s="60" t="s">
        <v>55</v>
      </c>
      <c r="H241" s="60"/>
      <c r="I241" s="62"/>
      <c r="J241" s="11"/>
      <c r="K241" s="11"/>
      <c r="L241" s="11"/>
      <c r="M241" s="11"/>
      <c r="N241" s="59"/>
      <c r="O241" s="60">
        <v>11</v>
      </c>
      <c r="P241" s="206" t="s">
        <v>336</v>
      </c>
      <c r="Q241" s="201"/>
      <c r="R241" s="61">
        <v>33.549999999999997</v>
      </c>
      <c r="S241" s="60" t="s">
        <v>37</v>
      </c>
      <c r="T241" s="60"/>
      <c r="U241" s="62"/>
      <c r="V241" s="2"/>
      <c r="W241" s="63">
        <v>11</v>
      </c>
      <c r="X241" s="64" t="s">
        <v>338</v>
      </c>
      <c r="Y241" s="20" t="s">
        <v>55</v>
      </c>
      <c r="Z241" s="20">
        <v>40.299999999999997</v>
      </c>
      <c r="AA241" s="20"/>
      <c r="AB241" s="10"/>
      <c r="AC241" s="10"/>
      <c r="AD241" s="20"/>
      <c r="AE241" s="20"/>
      <c r="AF241" s="20"/>
      <c r="AG241" s="65"/>
      <c r="AH241" s="66"/>
      <c r="AI241" s="40"/>
      <c r="AJ241" s="10" t="s">
        <v>336</v>
      </c>
      <c r="AK241" s="20" t="s">
        <v>37</v>
      </c>
      <c r="AL241" s="20">
        <v>33.549999999999997</v>
      </c>
    </row>
    <row r="242" spans="1:38" ht="13.2">
      <c r="A242" s="1"/>
      <c r="B242" s="59"/>
      <c r="C242" s="60">
        <v>12</v>
      </c>
      <c r="D242" s="206" t="s">
        <v>353</v>
      </c>
      <c r="E242" s="201"/>
      <c r="F242" s="61">
        <v>40.25</v>
      </c>
      <c r="G242" s="60" t="s">
        <v>28</v>
      </c>
      <c r="H242" s="60"/>
      <c r="I242" s="62"/>
      <c r="J242" s="11"/>
      <c r="K242" s="11"/>
      <c r="L242" s="11"/>
      <c r="M242" s="11"/>
      <c r="N242" s="59"/>
      <c r="O242" s="60">
        <v>12</v>
      </c>
      <c r="P242" s="206" t="s">
        <v>324</v>
      </c>
      <c r="Q242" s="201"/>
      <c r="R242" s="61">
        <v>28.3</v>
      </c>
      <c r="S242" s="60" t="s">
        <v>71</v>
      </c>
      <c r="T242" s="60"/>
      <c r="U242" s="62"/>
      <c r="V242" s="2"/>
      <c r="W242" s="63">
        <v>12</v>
      </c>
      <c r="X242" s="64" t="s">
        <v>353</v>
      </c>
      <c r="Y242" s="20" t="s">
        <v>28</v>
      </c>
      <c r="Z242" s="20">
        <v>40.25</v>
      </c>
      <c r="AA242" s="20"/>
      <c r="AB242" s="10"/>
      <c r="AC242" s="10"/>
      <c r="AD242" s="20"/>
      <c r="AE242" s="20"/>
      <c r="AF242" s="20"/>
      <c r="AG242" s="65"/>
      <c r="AH242" s="66"/>
      <c r="AI242" s="40"/>
      <c r="AJ242" s="10" t="s">
        <v>324</v>
      </c>
      <c r="AK242" s="20" t="s">
        <v>71</v>
      </c>
      <c r="AL242" s="20">
        <v>28.3</v>
      </c>
    </row>
    <row r="243" spans="1:38" ht="13.2">
      <c r="A243" s="1"/>
      <c r="B243" s="59"/>
      <c r="C243" s="60">
        <v>13</v>
      </c>
      <c r="D243" s="206" t="s">
        <v>368</v>
      </c>
      <c r="E243" s="201"/>
      <c r="F243" s="61">
        <v>38.4</v>
      </c>
      <c r="G243" s="60" t="s">
        <v>42</v>
      </c>
      <c r="H243" s="60"/>
      <c r="I243" s="62"/>
      <c r="J243" s="11"/>
      <c r="K243" s="11"/>
      <c r="L243" s="11"/>
      <c r="M243" s="11"/>
      <c r="N243" s="59"/>
      <c r="O243" s="60">
        <v>13</v>
      </c>
      <c r="P243" s="206" t="s">
        <v>347</v>
      </c>
      <c r="Q243" s="201"/>
      <c r="R243" s="61">
        <v>28.2</v>
      </c>
      <c r="S243" s="60" t="s">
        <v>55</v>
      </c>
      <c r="T243" s="60"/>
      <c r="U243" s="62"/>
      <c r="V243" s="2"/>
      <c r="W243" s="63">
        <v>13</v>
      </c>
      <c r="X243" s="64" t="s">
        <v>368</v>
      </c>
      <c r="Y243" s="20" t="s">
        <v>42</v>
      </c>
      <c r="Z243" s="20">
        <v>38.4</v>
      </c>
      <c r="AA243" s="20"/>
      <c r="AB243" s="10"/>
      <c r="AC243" s="10"/>
      <c r="AD243" s="20"/>
      <c r="AE243" s="20"/>
      <c r="AF243" s="20"/>
      <c r="AG243" s="65"/>
      <c r="AH243" s="66"/>
      <c r="AI243" s="40"/>
      <c r="AJ243" s="10" t="s">
        <v>347</v>
      </c>
      <c r="AK243" s="20" t="s">
        <v>55</v>
      </c>
      <c r="AL243" s="20">
        <v>28.2</v>
      </c>
    </row>
    <row r="244" spans="1:38" ht="13.2">
      <c r="A244" s="1"/>
      <c r="B244" s="59"/>
      <c r="C244" s="60">
        <v>14</v>
      </c>
      <c r="D244" s="206" t="s">
        <v>356</v>
      </c>
      <c r="E244" s="201"/>
      <c r="F244" s="61">
        <v>38.15</v>
      </c>
      <c r="G244" s="60" t="s">
        <v>30</v>
      </c>
      <c r="H244" s="60"/>
      <c r="I244" s="62"/>
      <c r="J244" s="11"/>
      <c r="K244" s="11"/>
      <c r="L244" s="11"/>
      <c r="M244" s="11"/>
      <c r="N244" s="59"/>
      <c r="O244" s="60">
        <v>14</v>
      </c>
      <c r="P244" s="206" t="s">
        <v>337</v>
      </c>
      <c r="Q244" s="201"/>
      <c r="R244" s="61">
        <v>27.9</v>
      </c>
      <c r="S244" s="60" t="s">
        <v>76</v>
      </c>
      <c r="T244" s="60"/>
      <c r="U244" s="62"/>
      <c r="V244" s="2"/>
      <c r="W244" s="63">
        <v>14</v>
      </c>
      <c r="X244" s="64" t="s">
        <v>356</v>
      </c>
      <c r="Y244" s="20" t="s">
        <v>30</v>
      </c>
      <c r="Z244" s="20">
        <v>38.15</v>
      </c>
      <c r="AA244" s="20"/>
      <c r="AB244" s="10"/>
      <c r="AC244" s="10"/>
      <c r="AD244" s="20"/>
      <c r="AE244" s="20"/>
      <c r="AF244" s="20"/>
      <c r="AG244" s="65"/>
      <c r="AH244" s="66"/>
      <c r="AI244" s="40"/>
      <c r="AJ244" s="10" t="s">
        <v>337</v>
      </c>
      <c r="AK244" s="20" t="s">
        <v>76</v>
      </c>
      <c r="AL244" s="20">
        <v>27.9</v>
      </c>
    </row>
    <row r="245" spans="1:38" ht="13.2">
      <c r="A245" s="1"/>
      <c r="B245" s="59"/>
      <c r="C245" s="60">
        <v>15</v>
      </c>
      <c r="D245" s="206" t="s">
        <v>346</v>
      </c>
      <c r="E245" s="201"/>
      <c r="F245" s="61">
        <v>37.700000000000003</v>
      </c>
      <c r="G245" s="60" t="s">
        <v>50</v>
      </c>
      <c r="H245" s="60"/>
      <c r="I245" s="62"/>
      <c r="J245" s="11"/>
      <c r="K245" s="11"/>
      <c r="L245" s="11"/>
      <c r="M245" s="11"/>
      <c r="N245" s="59"/>
      <c r="O245" s="60">
        <v>15</v>
      </c>
      <c r="P245" s="206" t="s">
        <v>328</v>
      </c>
      <c r="Q245" s="201"/>
      <c r="R245" s="61">
        <v>27.85</v>
      </c>
      <c r="S245" s="60" t="s">
        <v>48</v>
      </c>
      <c r="T245" s="60"/>
      <c r="U245" s="62"/>
      <c r="V245" s="2"/>
      <c r="W245" s="63">
        <v>15</v>
      </c>
      <c r="X245" s="64" t="s">
        <v>346</v>
      </c>
      <c r="Y245" s="20" t="s">
        <v>50</v>
      </c>
      <c r="Z245" s="20">
        <v>37.700000000000003</v>
      </c>
      <c r="AA245" s="20"/>
      <c r="AB245" s="10"/>
      <c r="AC245" s="10"/>
      <c r="AD245" s="20"/>
      <c r="AE245" s="20"/>
      <c r="AF245" s="20"/>
      <c r="AG245" s="65"/>
      <c r="AH245" s="66"/>
      <c r="AI245" s="40"/>
      <c r="AJ245" s="10" t="s">
        <v>328</v>
      </c>
      <c r="AK245" s="20" t="s">
        <v>48</v>
      </c>
      <c r="AL245" s="20">
        <v>27.85</v>
      </c>
    </row>
    <row r="246" spans="1:38" ht="13.2">
      <c r="A246" s="1"/>
      <c r="B246" s="59"/>
      <c r="C246" s="60">
        <v>16</v>
      </c>
      <c r="D246" s="206" t="s">
        <v>363</v>
      </c>
      <c r="E246" s="201"/>
      <c r="F246" s="61">
        <v>37.049999999999997</v>
      </c>
      <c r="G246" s="60" t="s">
        <v>55</v>
      </c>
      <c r="H246" s="60"/>
      <c r="I246" s="62"/>
      <c r="J246" s="11"/>
      <c r="K246" s="11"/>
      <c r="L246" s="11"/>
      <c r="M246" s="11"/>
      <c r="N246" s="59"/>
      <c r="O246" s="60">
        <v>16</v>
      </c>
      <c r="P246" s="206" t="s">
        <v>349</v>
      </c>
      <c r="Q246" s="201"/>
      <c r="R246" s="61">
        <v>21.8</v>
      </c>
      <c r="S246" s="60" t="s">
        <v>75</v>
      </c>
      <c r="T246" s="60"/>
      <c r="U246" s="62"/>
      <c r="V246" s="2"/>
      <c r="W246" s="63">
        <v>16</v>
      </c>
      <c r="X246" s="64" t="s">
        <v>363</v>
      </c>
      <c r="Y246" s="20" t="s">
        <v>55</v>
      </c>
      <c r="Z246" s="20">
        <v>37.049999999999997</v>
      </c>
      <c r="AA246" s="20"/>
      <c r="AB246" s="10"/>
      <c r="AC246" s="10"/>
      <c r="AD246" s="20"/>
      <c r="AE246" s="20"/>
      <c r="AF246" s="20"/>
      <c r="AG246" s="65"/>
      <c r="AH246" s="66"/>
      <c r="AI246" s="40"/>
      <c r="AJ246" s="10" t="s">
        <v>349</v>
      </c>
      <c r="AK246" s="20" t="s">
        <v>75</v>
      </c>
      <c r="AL246" s="20">
        <v>21.8</v>
      </c>
    </row>
    <row r="247" spans="1:38" ht="13.2">
      <c r="A247" s="1"/>
      <c r="B247" s="59"/>
      <c r="C247" s="60">
        <v>17</v>
      </c>
      <c r="D247" s="206" t="s">
        <v>366</v>
      </c>
      <c r="E247" s="201"/>
      <c r="F247" s="61">
        <v>34.85</v>
      </c>
      <c r="G247" s="60" t="s">
        <v>52</v>
      </c>
      <c r="H247" s="60"/>
      <c r="I247" s="62"/>
      <c r="J247" s="11"/>
      <c r="K247" s="11"/>
      <c r="L247" s="11"/>
      <c r="M247" s="11"/>
      <c r="N247" s="59"/>
      <c r="O247" s="60">
        <v>17</v>
      </c>
      <c r="P247" s="206" t="s">
        <v>332</v>
      </c>
      <c r="Q247" s="201"/>
      <c r="R247" s="61">
        <v>19.25</v>
      </c>
      <c r="S247" s="60" t="s">
        <v>164</v>
      </c>
      <c r="T247" s="60"/>
      <c r="U247" s="62"/>
      <c r="V247" s="2"/>
      <c r="W247" s="63">
        <v>17</v>
      </c>
      <c r="X247" s="64" t="s">
        <v>366</v>
      </c>
      <c r="Y247" s="20" t="s">
        <v>52</v>
      </c>
      <c r="Z247" s="20">
        <v>34.85</v>
      </c>
      <c r="AA247" s="20"/>
      <c r="AB247" s="10"/>
      <c r="AC247" s="10"/>
      <c r="AD247" s="20"/>
      <c r="AE247" s="20"/>
      <c r="AF247" s="20"/>
      <c r="AG247" s="65"/>
      <c r="AH247" s="66"/>
      <c r="AI247" s="40"/>
      <c r="AJ247" s="10" t="s">
        <v>332</v>
      </c>
      <c r="AK247" s="20" t="s">
        <v>164</v>
      </c>
      <c r="AL247" s="20">
        <v>19.25</v>
      </c>
    </row>
    <row r="248" spans="1:38" ht="13.2">
      <c r="A248" s="1"/>
      <c r="B248" s="59"/>
      <c r="C248" s="60" t="s">
        <v>510</v>
      </c>
      <c r="D248" s="206" t="s">
        <v>359</v>
      </c>
      <c r="E248" s="201"/>
      <c r="F248" s="61">
        <v>34.700000000000003</v>
      </c>
      <c r="G248" s="60" t="s">
        <v>30</v>
      </c>
      <c r="H248" s="60"/>
      <c r="I248" s="62"/>
      <c r="J248" s="11"/>
      <c r="K248" s="11"/>
      <c r="L248" s="11"/>
      <c r="M248" s="11"/>
      <c r="N248" s="59"/>
      <c r="O248" s="60">
        <v>18</v>
      </c>
      <c r="P248" s="206" t="s">
        <v>327</v>
      </c>
      <c r="Q248" s="201"/>
      <c r="R248" s="61">
        <v>18.55</v>
      </c>
      <c r="S248" s="60" t="s">
        <v>129</v>
      </c>
      <c r="T248" s="60"/>
      <c r="U248" s="62"/>
      <c r="V248" s="2"/>
      <c r="W248" s="63">
        <v>18</v>
      </c>
      <c r="X248" s="64" t="s">
        <v>359</v>
      </c>
      <c r="Y248" s="20" t="s">
        <v>30</v>
      </c>
      <c r="Z248" s="20">
        <v>34.700000000000003</v>
      </c>
      <c r="AA248" s="20"/>
      <c r="AB248" s="10"/>
      <c r="AC248" s="10"/>
      <c r="AD248" s="20"/>
      <c r="AE248" s="20"/>
      <c r="AF248" s="20"/>
      <c r="AG248" s="65"/>
      <c r="AH248" s="66"/>
      <c r="AI248" s="40"/>
      <c r="AJ248" s="10" t="s">
        <v>327</v>
      </c>
      <c r="AK248" s="20" t="s">
        <v>129</v>
      </c>
      <c r="AL248" s="20">
        <v>18.55</v>
      </c>
    </row>
    <row r="249" spans="1:38" ht="13.2">
      <c r="A249" s="1"/>
      <c r="B249" s="59"/>
      <c r="C249" s="60" t="s">
        <v>510</v>
      </c>
      <c r="D249" s="206" t="s">
        <v>367</v>
      </c>
      <c r="E249" s="201"/>
      <c r="F249" s="61">
        <v>34.700000000000003</v>
      </c>
      <c r="G249" s="60" t="s">
        <v>42</v>
      </c>
      <c r="H249" s="60"/>
      <c r="I249" s="62"/>
      <c r="J249" s="11"/>
      <c r="K249" s="11"/>
      <c r="L249" s="11"/>
      <c r="M249" s="11"/>
      <c r="N249" s="59"/>
      <c r="O249" s="60"/>
      <c r="P249" s="206"/>
      <c r="Q249" s="201"/>
      <c r="R249" s="61"/>
      <c r="S249" s="60"/>
      <c r="T249" s="60"/>
      <c r="U249" s="62"/>
      <c r="V249" s="2"/>
      <c r="W249" s="63">
        <v>19</v>
      </c>
      <c r="X249" s="64" t="s">
        <v>367</v>
      </c>
      <c r="Y249" s="20" t="s">
        <v>42</v>
      </c>
      <c r="Z249" s="20">
        <v>34.700000000000003</v>
      </c>
      <c r="AA249" s="20"/>
      <c r="AB249" s="10"/>
      <c r="AC249" s="10"/>
      <c r="AD249" s="20"/>
      <c r="AE249" s="20"/>
      <c r="AF249" s="20"/>
      <c r="AG249" s="65"/>
      <c r="AH249" s="66"/>
      <c r="AI249" s="40"/>
      <c r="AJ249" s="10"/>
      <c r="AK249" s="20"/>
      <c r="AL249" s="20"/>
    </row>
    <row r="250" spans="1:38" ht="13.2">
      <c r="A250" s="1"/>
      <c r="B250" s="59"/>
      <c r="C250" s="60">
        <v>20</v>
      </c>
      <c r="D250" s="206" t="s">
        <v>319</v>
      </c>
      <c r="E250" s="201"/>
      <c r="F250" s="61">
        <v>34.299999999999997</v>
      </c>
      <c r="G250" s="60" t="s">
        <v>30</v>
      </c>
      <c r="H250" s="60"/>
      <c r="I250" s="62"/>
      <c r="J250" s="11"/>
      <c r="K250" s="11"/>
      <c r="L250" s="11"/>
      <c r="M250" s="11"/>
      <c r="N250" s="59"/>
      <c r="O250" s="60"/>
      <c r="P250" s="206"/>
      <c r="Q250" s="201"/>
      <c r="R250" s="61"/>
      <c r="S250" s="60"/>
      <c r="T250" s="60"/>
      <c r="U250" s="62"/>
      <c r="V250" s="2"/>
      <c r="W250" s="63">
        <v>20</v>
      </c>
      <c r="X250" s="64" t="s">
        <v>319</v>
      </c>
      <c r="Y250" s="20" t="s">
        <v>30</v>
      </c>
      <c r="Z250" s="20">
        <v>34.299999999999997</v>
      </c>
      <c r="AA250" s="20"/>
      <c r="AB250" s="10"/>
      <c r="AC250" s="10"/>
      <c r="AD250" s="20"/>
      <c r="AE250" s="20"/>
      <c r="AF250" s="20"/>
      <c r="AG250" s="65"/>
      <c r="AH250" s="66"/>
      <c r="AI250" s="40"/>
      <c r="AJ250" s="10"/>
      <c r="AK250" s="20"/>
      <c r="AL250" s="20"/>
    </row>
    <row r="251" spans="1:38" ht="13.2">
      <c r="A251" s="1"/>
      <c r="B251" s="59"/>
      <c r="C251" s="60">
        <v>21</v>
      </c>
      <c r="D251" s="206" t="s">
        <v>329</v>
      </c>
      <c r="E251" s="201"/>
      <c r="F251" s="61">
        <v>33.9</v>
      </c>
      <c r="G251" s="60" t="s">
        <v>35</v>
      </c>
      <c r="H251" s="60"/>
      <c r="I251" s="62"/>
      <c r="J251" s="11"/>
      <c r="K251" s="11"/>
      <c r="L251" s="11"/>
      <c r="M251" s="11"/>
      <c r="N251" s="59"/>
      <c r="O251" s="60"/>
      <c r="P251" s="206"/>
      <c r="Q251" s="201"/>
      <c r="R251" s="61"/>
      <c r="S251" s="60"/>
      <c r="T251" s="60"/>
      <c r="U251" s="62"/>
      <c r="V251" s="2"/>
      <c r="W251" s="63">
        <v>21</v>
      </c>
      <c r="X251" s="64" t="s">
        <v>329</v>
      </c>
      <c r="Y251" s="20" t="s">
        <v>35</v>
      </c>
      <c r="Z251" s="20">
        <v>33.9</v>
      </c>
      <c r="AA251" s="20"/>
      <c r="AB251" s="10"/>
      <c r="AC251" s="10"/>
      <c r="AD251" s="20"/>
      <c r="AE251" s="20"/>
      <c r="AF251" s="20"/>
      <c r="AG251" s="65"/>
      <c r="AH251" s="66"/>
      <c r="AI251" s="40"/>
      <c r="AJ251" s="10"/>
      <c r="AK251" s="20"/>
      <c r="AL251" s="20"/>
    </row>
    <row r="252" spans="1:38" ht="13.2">
      <c r="A252" s="1"/>
      <c r="B252" s="59"/>
      <c r="C252" s="60" t="s">
        <v>511</v>
      </c>
      <c r="D252" s="206" t="s">
        <v>358</v>
      </c>
      <c r="E252" s="201"/>
      <c r="F252" s="61">
        <v>33.65</v>
      </c>
      <c r="G252" s="60" t="s">
        <v>138</v>
      </c>
      <c r="H252" s="60"/>
      <c r="I252" s="62"/>
      <c r="J252" s="11"/>
      <c r="K252" s="11"/>
      <c r="L252" s="11"/>
      <c r="M252" s="11"/>
      <c r="N252" s="59"/>
      <c r="O252" s="60"/>
      <c r="P252" s="206"/>
      <c r="Q252" s="201"/>
      <c r="R252" s="61"/>
      <c r="S252" s="60"/>
      <c r="T252" s="60"/>
      <c r="U252" s="62"/>
      <c r="V252" s="2"/>
      <c r="W252" s="63">
        <v>22</v>
      </c>
      <c r="X252" s="64" t="s">
        <v>358</v>
      </c>
      <c r="Y252" s="20" t="s">
        <v>138</v>
      </c>
      <c r="Z252" s="20">
        <v>33.65</v>
      </c>
      <c r="AA252" s="20"/>
      <c r="AB252" s="10"/>
      <c r="AC252" s="10"/>
      <c r="AD252" s="20"/>
      <c r="AE252" s="20"/>
      <c r="AF252" s="20"/>
      <c r="AG252" s="65"/>
      <c r="AH252" s="66"/>
      <c r="AI252" s="40"/>
      <c r="AJ252" s="10"/>
      <c r="AK252" s="20"/>
      <c r="AL252" s="20"/>
    </row>
    <row r="253" spans="1:38" ht="13.2">
      <c r="A253" s="1"/>
      <c r="B253" s="59"/>
      <c r="C253" s="60" t="s">
        <v>511</v>
      </c>
      <c r="D253" s="206" t="s">
        <v>373</v>
      </c>
      <c r="E253" s="201"/>
      <c r="F253" s="61">
        <v>33.65</v>
      </c>
      <c r="G253" s="60" t="s">
        <v>87</v>
      </c>
      <c r="H253" s="60"/>
      <c r="I253" s="62"/>
      <c r="J253" s="11"/>
      <c r="K253" s="11"/>
      <c r="L253" s="11"/>
      <c r="M253" s="11"/>
      <c r="N253" s="59"/>
      <c r="O253" s="60"/>
      <c r="P253" s="206"/>
      <c r="Q253" s="201"/>
      <c r="R253" s="61"/>
      <c r="S253" s="60"/>
      <c r="T253" s="60"/>
      <c r="U253" s="62"/>
      <c r="V253" s="2"/>
      <c r="W253" s="63">
        <v>23</v>
      </c>
      <c r="X253" s="64" t="s">
        <v>373</v>
      </c>
      <c r="Y253" s="20" t="s">
        <v>87</v>
      </c>
      <c r="Z253" s="20">
        <v>33.65</v>
      </c>
      <c r="AA253" s="20"/>
      <c r="AB253" s="10"/>
      <c r="AC253" s="10"/>
      <c r="AD253" s="20"/>
      <c r="AE253" s="20"/>
      <c r="AF253" s="20"/>
      <c r="AG253" s="65"/>
      <c r="AH253" s="66"/>
      <c r="AI253" s="40"/>
      <c r="AJ253" s="10"/>
      <c r="AK253" s="20"/>
      <c r="AL253" s="20"/>
    </row>
    <row r="254" spans="1:38" ht="13.2">
      <c r="A254" s="1"/>
      <c r="B254" s="59"/>
      <c r="C254" s="60">
        <v>24</v>
      </c>
      <c r="D254" s="206" t="s">
        <v>364</v>
      </c>
      <c r="E254" s="201"/>
      <c r="F254" s="61">
        <v>33.200000000000003</v>
      </c>
      <c r="G254" s="60" t="s">
        <v>55</v>
      </c>
      <c r="H254" s="60"/>
      <c r="I254" s="62"/>
      <c r="J254" s="11"/>
      <c r="K254" s="11"/>
      <c r="L254" s="11"/>
      <c r="M254" s="11"/>
      <c r="N254" s="59"/>
      <c r="O254" s="60"/>
      <c r="P254" s="206"/>
      <c r="Q254" s="201"/>
      <c r="R254" s="61"/>
      <c r="S254" s="60"/>
      <c r="T254" s="60"/>
      <c r="U254" s="62"/>
      <c r="V254" s="2"/>
      <c r="W254" s="63">
        <v>24</v>
      </c>
      <c r="X254" s="64" t="s">
        <v>364</v>
      </c>
      <c r="Y254" s="20" t="s">
        <v>55</v>
      </c>
      <c r="Z254" s="20">
        <v>33.200000000000003</v>
      </c>
      <c r="AA254" s="20"/>
      <c r="AB254" s="10"/>
      <c r="AC254" s="10"/>
      <c r="AD254" s="20"/>
      <c r="AE254" s="20"/>
      <c r="AF254" s="20"/>
      <c r="AG254" s="65"/>
      <c r="AH254" s="66"/>
      <c r="AI254" s="40"/>
      <c r="AJ254" s="10"/>
      <c r="AK254" s="20"/>
      <c r="AL254" s="20"/>
    </row>
    <row r="255" spans="1:38" ht="13.2">
      <c r="A255" s="1"/>
      <c r="B255" s="59"/>
      <c r="C255" s="60">
        <v>25</v>
      </c>
      <c r="D255" s="206" t="s">
        <v>331</v>
      </c>
      <c r="E255" s="201"/>
      <c r="F255" s="61">
        <v>32.299999999999997</v>
      </c>
      <c r="G255" s="60" t="s">
        <v>28</v>
      </c>
      <c r="H255" s="60"/>
      <c r="I255" s="62"/>
      <c r="J255" s="11"/>
      <c r="K255" s="11"/>
      <c r="L255" s="11"/>
      <c r="M255" s="11"/>
      <c r="N255" s="59"/>
      <c r="O255" s="60"/>
      <c r="P255" s="206"/>
      <c r="Q255" s="201"/>
      <c r="R255" s="61"/>
      <c r="S255" s="60"/>
      <c r="T255" s="60"/>
      <c r="U255" s="62"/>
      <c r="V255" s="2"/>
      <c r="W255" s="63">
        <v>25</v>
      </c>
      <c r="X255" s="64" t="s">
        <v>331</v>
      </c>
      <c r="Y255" s="20" t="s">
        <v>28</v>
      </c>
      <c r="Z255" s="20">
        <v>32.299999999999997</v>
      </c>
      <c r="AA255" s="20"/>
      <c r="AB255" s="10"/>
      <c r="AC255" s="10"/>
      <c r="AD255" s="20"/>
      <c r="AE255" s="20"/>
      <c r="AF255" s="20"/>
      <c r="AG255" s="65"/>
      <c r="AH255" s="66"/>
      <c r="AI255" s="40"/>
      <c r="AJ255" s="10"/>
      <c r="AK255" s="20"/>
      <c r="AL255" s="20"/>
    </row>
    <row r="256" spans="1:38" ht="13.2">
      <c r="A256" s="1"/>
      <c r="B256" s="59"/>
      <c r="C256" s="60">
        <v>26</v>
      </c>
      <c r="D256" s="206" t="s">
        <v>322</v>
      </c>
      <c r="E256" s="201"/>
      <c r="F256" s="61">
        <v>31.9</v>
      </c>
      <c r="G256" s="60" t="s">
        <v>24</v>
      </c>
      <c r="H256" s="60"/>
      <c r="I256" s="62"/>
      <c r="J256" s="11"/>
      <c r="K256" s="11"/>
      <c r="L256" s="11"/>
      <c r="M256" s="11"/>
      <c r="N256" s="59"/>
      <c r="O256" s="60"/>
      <c r="P256" s="206"/>
      <c r="Q256" s="201"/>
      <c r="R256" s="61"/>
      <c r="S256" s="60"/>
      <c r="T256" s="60"/>
      <c r="U256" s="62"/>
      <c r="V256" s="2"/>
      <c r="W256" s="63">
        <v>26</v>
      </c>
      <c r="X256" s="64" t="s">
        <v>322</v>
      </c>
      <c r="Y256" s="20" t="s">
        <v>24</v>
      </c>
      <c r="Z256" s="20">
        <v>31.9</v>
      </c>
      <c r="AA256" s="20"/>
      <c r="AB256" s="10"/>
      <c r="AC256" s="10"/>
      <c r="AD256" s="20"/>
      <c r="AE256" s="20"/>
      <c r="AF256" s="20"/>
      <c r="AG256" s="65"/>
      <c r="AH256" s="66"/>
      <c r="AI256" s="40"/>
      <c r="AJ256" s="10"/>
      <c r="AK256" s="20"/>
      <c r="AL256" s="20"/>
    </row>
    <row r="257" spans="1:38" ht="13.2">
      <c r="A257" s="1"/>
      <c r="B257" s="59"/>
      <c r="C257" s="60">
        <v>27</v>
      </c>
      <c r="D257" s="206" t="s">
        <v>361</v>
      </c>
      <c r="E257" s="201"/>
      <c r="F257" s="61">
        <v>30.95</v>
      </c>
      <c r="G257" s="60" t="s">
        <v>30</v>
      </c>
      <c r="H257" s="60"/>
      <c r="I257" s="62"/>
      <c r="J257" s="11"/>
      <c r="K257" s="11"/>
      <c r="L257" s="11"/>
      <c r="M257" s="11"/>
      <c r="N257" s="59"/>
      <c r="O257" s="60"/>
      <c r="P257" s="206"/>
      <c r="Q257" s="201"/>
      <c r="R257" s="61"/>
      <c r="S257" s="60"/>
      <c r="T257" s="60"/>
      <c r="U257" s="62"/>
      <c r="V257" s="2"/>
      <c r="W257" s="63">
        <v>27</v>
      </c>
      <c r="X257" s="64" t="s">
        <v>361</v>
      </c>
      <c r="Y257" s="20" t="s">
        <v>30</v>
      </c>
      <c r="Z257" s="20">
        <v>30.95</v>
      </c>
      <c r="AA257" s="20"/>
      <c r="AB257" s="10"/>
      <c r="AC257" s="10"/>
      <c r="AD257" s="20"/>
      <c r="AE257" s="20"/>
      <c r="AF257" s="20"/>
      <c r="AG257" s="65"/>
      <c r="AH257" s="66"/>
      <c r="AI257" s="40"/>
      <c r="AJ257" s="10"/>
      <c r="AK257" s="20"/>
      <c r="AL257" s="20"/>
    </row>
    <row r="258" spans="1:38" ht="13.2">
      <c r="A258" s="1"/>
      <c r="B258" s="59"/>
      <c r="C258" s="60">
        <v>28</v>
      </c>
      <c r="D258" s="206" t="s">
        <v>351</v>
      </c>
      <c r="E258" s="201"/>
      <c r="F258" s="61">
        <v>29.85</v>
      </c>
      <c r="G258" s="60" t="s">
        <v>129</v>
      </c>
      <c r="H258" s="60"/>
      <c r="I258" s="62"/>
      <c r="J258" s="11"/>
      <c r="K258" s="11"/>
      <c r="L258" s="11"/>
      <c r="M258" s="11"/>
      <c r="N258" s="59"/>
      <c r="O258" s="60"/>
      <c r="P258" s="206"/>
      <c r="Q258" s="201"/>
      <c r="R258" s="61"/>
      <c r="S258" s="60"/>
      <c r="T258" s="60"/>
      <c r="U258" s="62"/>
      <c r="V258" s="2"/>
      <c r="W258" s="63">
        <v>28</v>
      </c>
      <c r="X258" s="64" t="s">
        <v>351</v>
      </c>
      <c r="Y258" s="20" t="s">
        <v>129</v>
      </c>
      <c r="Z258" s="20">
        <v>29.85</v>
      </c>
      <c r="AA258" s="20"/>
      <c r="AB258" s="10"/>
      <c r="AC258" s="10"/>
      <c r="AD258" s="20"/>
      <c r="AE258" s="20"/>
      <c r="AF258" s="20"/>
      <c r="AG258" s="65"/>
      <c r="AH258" s="66"/>
      <c r="AI258" s="40"/>
      <c r="AJ258" s="10"/>
      <c r="AK258" s="20"/>
      <c r="AL258" s="20"/>
    </row>
    <row r="259" spans="1:38" ht="13.2">
      <c r="A259" s="1"/>
      <c r="B259" s="59"/>
      <c r="C259" s="60">
        <v>29</v>
      </c>
      <c r="D259" s="206" t="s">
        <v>362</v>
      </c>
      <c r="E259" s="201"/>
      <c r="F259" s="61">
        <v>29.05</v>
      </c>
      <c r="G259" s="60" t="s">
        <v>30</v>
      </c>
      <c r="H259" s="60"/>
      <c r="I259" s="62"/>
      <c r="J259" s="11"/>
      <c r="K259" s="11"/>
      <c r="L259" s="11"/>
      <c r="M259" s="11"/>
      <c r="N259" s="59"/>
      <c r="O259" s="60"/>
      <c r="P259" s="206"/>
      <c r="Q259" s="201"/>
      <c r="R259" s="61"/>
      <c r="S259" s="60"/>
      <c r="T259" s="60"/>
      <c r="U259" s="62"/>
      <c r="V259" s="2"/>
      <c r="W259" s="63">
        <v>29</v>
      </c>
      <c r="X259" s="64" t="s">
        <v>362</v>
      </c>
      <c r="Y259" s="20" t="s">
        <v>30</v>
      </c>
      <c r="Z259" s="20">
        <v>29.05</v>
      </c>
      <c r="AA259" s="20"/>
      <c r="AB259" s="10"/>
      <c r="AC259" s="10"/>
      <c r="AD259" s="20"/>
      <c r="AE259" s="20"/>
      <c r="AF259" s="20"/>
      <c r="AG259" s="65"/>
      <c r="AH259" s="66"/>
      <c r="AI259" s="40"/>
      <c r="AJ259" s="10"/>
      <c r="AK259" s="20"/>
      <c r="AL259" s="20"/>
    </row>
    <row r="260" spans="1:38" ht="13.2">
      <c r="A260" s="1"/>
      <c r="B260" s="59"/>
      <c r="C260" s="60">
        <v>30</v>
      </c>
      <c r="D260" s="206" t="s">
        <v>377</v>
      </c>
      <c r="E260" s="201"/>
      <c r="F260" s="61">
        <v>27.35</v>
      </c>
      <c r="G260" s="60" t="s">
        <v>54</v>
      </c>
      <c r="H260" s="60"/>
      <c r="I260" s="62"/>
      <c r="J260" s="11"/>
      <c r="K260" s="11"/>
      <c r="L260" s="11"/>
      <c r="M260" s="11"/>
      <c r="N260" s="59"/>
      <c r="O260" s="60"/>
      <c r="P260" s="206"/>
      <c r="Q260" s="201"/>
      <c r="R260" s="61"/>
      <c r="S260" s="60"/>
      <c r="T260" s="60"/>
      <c r="U260" s="62"/>
      <c r="V260" s="2"/>
      <c r="W260" s="63">
        <v>30</v>
      </c>
      <c r="X260" s="64" t="s">
        <v>377</v>
      </c>
      <c r="Y260" s="20" t="s">
        <v>54</v>
      </c>
      <c r="Z260" s="20">
        <v>27.35</v>
      </c>
      <c r="AA260" s="20"/>
      <c r="AB260" s="10"/>
      <c r="AC260" s="10"/>
      <c r="AD260" s="20"/>
      <c r="AE260" s="20"/>
      <c r="AF260" s="20"/>
      <c r="AG260" s="65"/>
      <c r="AH260" s="66"/>
      <c r="AI260" s="40"/>
      <c r="AJ260" s="10"/>
      <c r="AK260" s="20"/>
      <c r="AL260" s="20"/>
    </row>
    <row r="261" spans="1:38" ht="13.2">
      <c r="A261" s="1"/>
      <c r="B261" s="59"/>
      <c r="C261" s="60">
        <v>31</v>
      </c>
      <c r="D261" s="206" t="s">
        <v>323</v>
      </c>
      <c r="E261" s="201"/>
      <c r="F261" s="61">
        <v>26.75</v>
      </c>
      <c r="G261" s="60" t="s">
        <v>44</v>
      </c>
      <c r="H261" s="60"/>
      <c r="I261" s="62"/>
      <c r="J261" s="11"/>
      <c r="K261" s="11"/>
      <c r="L261" s="11"/>
      <c r="M261" s="11"/>
      <c r="N261" s="59"/>
      <c r="O261" s="60"/>
      <c r="P261" s="206"/>
      <c r="Q261" s="201"/>
      <c r="R261" s="61"/>
      <c r="S261" s="60"/>
      <c r="T261" s="60"/>
      <c r="U261" s="62"/>
      <c r="V261" s="2"/>
      <c r="W261" s="63">
        <v>31</v>
      </c>
      <c r="X261" s="64" t="s">
        <v>323</v>
      </c>
      <c r="Y261" s="20" t="s">
        <v>44</v>
      </c>
      <c r="Z261" s="20">
        <v>26.75</v>
      </c>
      <c r="AA261" s="20"/>
      <c r="AB261" s="10"/>
      <c r="AC261" s="10"/>
      <c r="AD261" s="20"/>
      <c r="AE261" s="20"/>
      <c r="AF261" s="20"/>
      <c r="AG261" s="65"/>
      <c r="AH261" s="66"/>
      <c r="AI261" s="40"/>
      <c r="AJ261" s="10"/>
      <c r="AK261" s="20"/>
      <c r="AL261" s="20"/>
    </row>
    <row r="262" spans="1:38" ht="13.2">
      <c r="A262" s="1"/>
      <c r="B262" s="59"/>
      <c r="C262" s="60">
        <v>32</v>
      </c>
      <c r="D262" s="206" t="s">
        <v>365</v>
      </c>
      <c r="E262" s="201"/>
      <c r="F262" s="61">
        <v>25</v>
      </c>
      <c r="G262" s="60" t="s">
        <v>37</v>
      </c>
      <c r="H262" s="60"/>
      <c r="I262" s="62"/>
      <c r="J262" s="11"/>
      <c r="K262" s="11"/>
      <c r="L262" s="11"/>
      <c r="M262" s="11"/>
      <c r="N262" s="59"/>
      <c r="O262" s="60"/>
      <c r="P262" s="206"/>
      <c r="Q262" s="201"/>
      <c r="R262" s="61"/>
      <c r="S262" s="60"/>
      <c r="T262" s="60"/>
      <c r="U262" s="62"/>
      <c r="V262" s="2"/>
      <c r="W262" s="63">
        <v>32</v>
      </c>
      <c r="X262" s="64" t="s">
        <v>365</v>
      </c>
      <c r="Y262" s="20" t="s">
        <v>37</v>
      </c>
      <c r="Z262" s="20">
        <v>25</v>
      </c>
      <c r="AA262" s="20"/>
      <c r="AB262" s="10"/>
      <c r="AC262" s="10"/>
      <c r="AD262" s="20"/>
      <c r="AE262" s="20"/>
      <c r="AF262" s="20"/>
      <c r="AG262" s="65"/>
      <c r="AH262" s="66"/>
      <c r="AI262" s="40"/>
      <c r="AJ262" s="10"/>
      <c r="AK262" s="20"/>
      <c r="AL262" s="20"/>
    </row>
    <row r="263" spans="1:38" ht="13.2">
      <c r="A263" s="1"/>
      <c r="B263" s="59"/>
      <c r="C263" s="60">
        <v>33</v>
      </c>
      <c r="D263" s="206" t="s">
        <v>342</v>
      </c>
      <c r="E263" s="201"/>
      <c r="F263" s="61">
        <v>24.65</v>
      </c>
      <c r="G263" s="60" t="s">
        <v>79</v>
      </c>
      <c r="H263" s="60"/>
      <c r="I263" s="62"/>
      <c r="J263" s="11"/>
      <c r="K263" s="11"/>
      <c r="L263" s="11"/>
      <c r="M263" s="11"/>
      <c r="N263" s="59"/>
      <c r="O263" s="60"/>
      <c r="P263" s="206"/>
      <c r="Q263" s="201"/>
      <c r="R263" s="61"/>
      <c r="S263" s="60"/>
      <c r="T263" s="60"/>
      <c r="U263" s="62"/>
      <c r="V263" s="2"/>
      <c r="W263" s="63">
        <v>33</v>
      </c>
      <c r="X263" s="64" t="s">
        <v>342</v>
      </c>
      <c r="Y263" s="20" t="s">
        <v>79</v>
      </c>
      <c r="Z263" s="20">
        <v>24.65</v>
      </c>
      <c r="AA263" s="20"/>
      <c r="AB263" s="10"/>
      <c r="AC263" s="10"/>
      <c r="AD263" s="20"/>
      <c r="AE263" s="20"/>
      <c r="AF263" s="20"/>
      <c r="AG263" s="65"/>
      <c r="AH263" s="66"/>
      <c r="AI263" s="40"/>
      <c r="AJ263" s="10"/>
      <c r="AK263" s="20"/>
      <c r="AL263" s="20"/>
    </row>
    <row r="264" spans="1:38" ht="13.2">
      <c r="A264" s="1"/>
      <c r="B264" s="59"/>
      <c r="C264" s="60">
        <v>34</v>
      </c>
      <c r="D264" s="206" t="s">
        <v>344</v>
      </c>
      <c r="E264" s="201"/>
      <c r="F264" s="61">
        <v>22.2</v>
      </c>
      <c r="G264" s="60" t="s">
        <v>37</v>
      </c>
      <c r="H264" s="60"/>
      <c r="I264" s="62"/>
      <c r="J264" s="11"/>
      <c r="K264" s="11"/>
      <c r="L264" s="11"/>
      <c r="M264" s="11"/>
      <c r="N264" s="59"/>
      <c r="O264" s="60"/>
      <c r="P264" s="206"/>
      <c r="Q264" s="201"/>
      <c r="R264" s="61"/>
      <c r="S264" s="60"/>
      <c r="T264" s="60"/>
      <c r="U264" s="62"/>
      <c r="V264" s="2"/>
      <c r="W264" s="63">
        <v>34</v>
      </c>
      <c r="X264" s="64" t="s">
        <v>344</v>
      </c>
      <c r="Y264" s="20" t="s">
        <v>37</v>
      </c>
      <c r="Z264" s="20">
        <v>22.2</v>
      </c>
      <c r="AA264" s="20"/>
      <c r="AB264" s="10"/>
      <c r="AC264" s="10"/>
      <c r="AD264" s="20"/>
      <c r="AE264" s="20"/>
      <c r="AF264" s="20"/>
      <c r="AG264" s="65"/>
      <c r="AH264" s="66"/>
      <c r="AI264" s="40"/>
      <c r="AJ264" s="10"/>
      <c r="AK264" s="20"/>
      <c r="AL264" s="20"/>
    </row>
    <row r="265" spans="1:38" ht="13.2">
      <c r="A265" s="1"/>
      <c r="B265" s="59"/>
      <c r="C265" s="60">
        <v>35</v>
      </c>
      <c r="D265" s="206" t="s">
        <v>371</v>
      </c>
      <c r="E265" s="201"/>
      <c r="F265" s="61">
        <v>22</v>
      </c>
      <c r="G265" s="60" t="s">
        <v>129</v>
      </c>
      <c r="H265" s="60"/>
      <c r="I265" s="62"/>
      <c r="J265" s="11"/>
      <c r="K265" s="11"/>
      <c r="L265" s="11"/>
      <c r="M265" s="11"/>
      <c r="N265" s="59"/>
      <c r="O265" s="60"/>
      <c r="P265" s="206"/>
      <c r="Q265" s="201"/>
      <c r="R265" s="61"/>
      <c r="S265" s="60"/>
      <c r="T265" s="60"/>
      <c r="U265" s="62"/>
      <c r="V265" s="2"/>
      <c r="W265" s="63">
        <v>35</v>
      </c>
      <c r="X265" s="64" t="s">
        <v>371</v>
      </c>
      <c r="Y265" s="20" t="s">
        <v>129</v>
      </c>
      <c r="Z265" s="20">
        <v>22</v>
      </c>
      <c r="AA265" s="20"/>
      <c r="AB265" s="10"/>
      <c r="AC265" s="10"/>
      <c r="AD265" s="20"/>
      <c r="AE265" s="20"/>
      <c r="AF265" s="20"/>
      <c r="AG265" s="65"/>
      <c r="AH265" s="66"/>
      <c r="AI265" s="40"/>
      <c r="AJ265" s="10"/>
      <c r="AK265" s="20"/>
      <c r="AL265" s="20"/>
    </row>
    <row r="266" spans="1:38" ht="13.2">
      <c r="A266" s="1"/>
      <c r="B266" s="59"/>
      <c r="C266" s="60">
        <v>36</v>
      </c>
      <c r="D266" s="206" t="s">
        <v>352</v>
      </c>
      <c r="E266" s="201"/>
      <c r="F266" s="61">
        <v>21.3</v>
      </c>
      <c r="G266" s="60" t="s">
        <v>24</v>
      </c>
      <c r="H266" s="60"/>
      <c r="I266" s="62"/>
      <c r="J266" s="11"/>
      <c r="K266" s="11"/>
      <c r="L266" s="11"/>
      <c r="M266" s="11"/>
      <c r="N266" s="59"/>
      <c r="O266" s="60"/>
      <c r="P266" s="206"/>
      <c r="Q266" s="201"/>
      <c r="R266" s="61"/>
      <c r="S266" s="60"/>
      <c r="T266" s="60"/>
      <c r="U266" s="62"/>
      <c r="V266" s="2"/>
      <c r="W266" s="63">
        <v>36</v>
      </c>
      <c r="X266" s="64" t="s">
        <v>352</v>
      </c>
      <c r="Y266" s="20" t="s">
        <v>24</v>
      </c>
      <c r="Z266" s="20">
        <v>21.3</v>
      </c>
      <c r="AA266" s="20"/>
      <c r="AB266" s="10"/>
      <c r="AC266" s="10"/>
      <c r="AD266" s="20"/>
      <c r="AE266" s="20"/>
      <c r="AF266" s="20"/>
      <c r="AG266" s="65"/>
      <c r="AH266" s="66"/>
      <c r="AI266" s="40"/>
      <c r="AJ266" s="10"/>
      <c r="AK266" s="20"/>
      <c r="AL266" s="20"/>
    </row>
    <row r="267" spans="1:38" ht="13.2">
      <c r="A267" s="1"/>
      <c r="B267" s="59"/>
      <c r="C267" s="60">
        <v>37</v>
      </c>
      <c r="D267" s="206" t="s">
        <v>335</v>
      </c>
      <c r="E267" s="201"/>
      <c r="F267" s="61">
        <v>21.15</v>
      </c>
      <c r="G267" s="60" t="s">
        <v>52</v>
      </c>
      <c r="H267" s="60"/>
      <c r="I267" s="62"/>
      <c r="J267" s="11"/>
      <c r="K267" s="11"/>
      <c r="L267" s="11"/>
      <c r="M267" s="11"/>
      <c r="N267" s="59"/>
      <c r="O267" s="60"/>
      <c r="P267" s="206"/>
      <c r="Q267" s="201"/>
      <c r="R267" s="61"/>
      <c r="S267" s="60"/>
      <c r="T267" s="60"/>
      <c r="U267" s="62"/>
      <c r="V267" s="2"/>
      <c r="W267" s="63">
        <v>37</v>
      </c>
      <c r="X267" s="64" t="s">
        <v>335</v>
      </c>
      <c r="Y267" s="20" t="s">
        <v>52</v>
      </c>
      <c r="Z267" s="20">
        <v>21.15</v>
      </c>
      <c r="AA267" s="20"/>
      <c r="AB267" s="10"/>
      <c r="AC267" s="10"/>
      <c r="AD267" s="20"/>
      <c r="AE267" s="20"/>
      <c r="AF267" s="20"/>
      <c r="AG267" s="65"/>
      <c r="AH267" s="66"/>
      <c r="AI267" s="40"/>
      <c r="AJ267" s="10"/>
      <c r="AK267" s="20"/>
      <c r="AL267" s="20"/>
    </row>
    <row r="268" spans="1:38" ht="13.2">
      <c r="A268" s="1"/>
      <c r="B268" s="59"/>
      <c r="C268" s="60">
        <v>38</v>
      </c>
      <c r="D268" s="206" t="s">
        <v>348</v>
      </c>
      <c r="E268" s="201"/>
      <c r="F268" s="61">
        <v>21</v>
      </c>
      <c r="G268" s="60" t="s">
        <v>37</v>
      </c>
      <c r="H268" s="60"/>
      <c r="I268" s="62"/>
      <c r="J268" s="11"/>
      <c r="K268" s="11"/>
      <c r="L268" s="11"/>
      <c r="M268" s="11"/>
      <c r="N268" s="59"/>
      <c r="O268" s="60"/>
      <c r="P268" s="206"/>
      <c r="Q268" s="201"/>
      <c r="R268" s="61"/>
      <c r="S268" s="60"/>
      <c r="T268" s="60"/>
      <c r="U268" s="62"/>
      <c r="V268" s="2"/>
      <c r="W268" s="63">
        <v>38</v>
      </c>
      <c r="X268" s="64" t="s">
        <v>348</v>
      </c>
      <c r="Y268" s="20" t="s">
        <v>37</v>
      </c>
      <c r="Z268" s="20">
        <v>21</v>
      </c>
      <c r="AA268" s="20"/>
      <c r="AB268" s="10"/>
      <c r="AC268" s="10"/>
      <c r="AD268" s="20"/>
      <c r="AE268" s="20"/>
      <c r="AF268" s="20"/>
      <c r="AG268" s="65"/>
      <c r="AH268" s="66"/>
      <c r="AI268" s="40"/>
      <c r="AJ268" s="10"/>
      <c r="AK268" s="20"/>
      <c r="AL268" s="20"/>
    </row>
    <row r="269" spans="1:38" ht="13.2">
      <c r="A269" s="1"/>
      <c r="B269" s="59"/>
      <c r="C269" s="60">
        <v>39</v>
      </c>
      <c r="D269" s="206" t="s">
        <v>369</v>
      </c>
      <c r="E269" s="201"/>
      <c r="F269" s="61">
        <v>20.55</v>
      </c>
      <c r="G269" s="60" t="s">
        <v>50</v>
      </c>
      <c r="H269" s="60"/>
      <c r="I269" s="62"/>
      <c r="J269" s="11"/>
      <c r="K269" s="11"/>
      <c r="L269" s="11"/>
      <c r="M269" s="11"/>
      <c r="N269" s="59"/>
      <c r="O269" s="60"/>
      <c r="P269" s="206"/>
      <c r="Q269" s="201"/>
      <c r="R269" s="61"/>
      <c r="S269" s="60"/>
      <c r="T269" s="60"/>
      <c r="U269" s="62"/>
      <c r="V269" s="2"/>
      <c r="W269" s="63">
        <v>39</v>
      </c>
      <c r="X269" s="64" t="s">
        <v>369</v>
      </c>
      <c r="Y269" s="20" t="s">
        <v>50</v>
      </c>
      <c r="Z269" s="20">
        <v>20.55</v>
      </c>
      <c r="AA269" s="20"/>
      <c r="AB269" s="10"/>
      <c r="AC269" s="10"/>
      <c r="AD269" s="20"/>
      <c r="AE269" s="20"/>
      <c r="AF269" s="20"/>
      <c r="AG269" s="65"/>
      <c r="AH269" s="66"/>
      <c r="AI269" s="40"/>
      <c r="AJ269" s="10"/>
      <c r="AK269" s="20"/>
      <c r="AL269" s="20"/>
    </row>
    <row r="270" spans="1:38" ht="13.2">
      <c r="A270" s="1"/>
      <c r="B270" s="59"/>
      <c r="C270" s="60">
        <v>40</v>
      </c>
      <c r="D270" s="206" t="s">
        <v>304</v>
      </c>
      <c r="E270" s="201"/>
      <c r="F270" s="61">
        <v>18.149999999999999</v>
      </c>
      <c r="G270" s="60" t="s">
        <v>59</v>
      </c>
      <c r="H270" s="60"/>
      <c r="I270" s="62"/>
      <c r="J270" s="11"/>
      <c r="K270" s="11"/>
      <c r="L270" s="11"/>
      <c r="M270" s="11"/>
      <c r="N270" s="59"/>
      <c r="O270" s="60"/>
      <c r="P270" s="206"/>
      <c r="Q270" s="201"/>
      <c r="R270" s="61"/>
      <c r="S270" s="60"/>
      <c r="T270" s="60"/>
      <c r="U270" s="62"/>
      <c r="V270" s="2"/>
      <c r="W270" s="63">
        <v>40</v>
      </c>
      <c r="X270" s="64" t="s">
        <v>304</v>
      </c>
      <c r="Y270" s="20" t="s">
        <v>59</v>
      </c>
      <c r="Z270" s="20">
        <v>18.149999999999999</v>
      </c>
      <c r="AA270" s="20"/>
      <c r="AB270" s="10"/>
      <c r="AC270" s="10"/>
      <c r="AD270" s="20"/>
      <c r="AE270" s="20"/>
      <c r="AF270" s="20"/>
      <c r="AG270" s="65"/>
      <c r="AH270" s="66"/>
      <c r="AI270" s="40"/>
      <c r="AJ270" s="10"/>
      <c r="AK270" s="20"/>
      <c r="AL270" s="20"/>
    </row>
    <row r="271" spans="1:38" ht="13.2">
      <c r="A271" s="1"/>
      <c r="B271" s="59"/>
      <c r="C271" s="60">
        <v>41</v>
      </c>
      <c r="D271" s="206" t="s">
        <v>374</v>
      </c>
      <c r="E271" s="201"/>
      <c r="F271" s="61">
        <v>17.649999999999999</v>
      </c>
      <c r="G271" s="60" t="s">
        <v>22</v>
      </c>
      <c r="H271" s="60"/>
      <c r="I271" s="62"/>
      <c r="J271" s="11"/>
      <c r="K271" s="11"/>
      <c r="L271" s="11"/>
      <c r="M271" s="11"/>
      <c r="N271" s="59"/>
      <c r="O271" s="60"/>
      <c r="P271" s="206"/>
      <c r="Q271" s="201"/>
      <c r="R271" s="61"/>
      <c r="S271" s="60"/>
      <c r="T271" s="60"/>
      <c r="U271" s="62"/>
      <c r="V271" s="2"/>
      <c r="W271" s="63">
        <v>41</v>
      </c>
      <c r="X271" s="64" t="s">
        <v>374</v>
      </c>
      <c r="Y271" s="20" t="s">
        <v>22</v>
      </c>
      <c r="Z271" s="20">
        <v>17.649999999999999</v>
      </c>
      <c r="AA271" s="20"/>
      <c r="AB271" s="10"/>
      <c r="AC271" s="10"/>
      <c r="AD271" s="20"/>
      <c r="AE271" s="20"/>
      <c r="AF271" s="20"/>
      <c r="AG271" s="65"/>
      <c r="AH271" s="66"/>
      <c r="AI271" s="40"/>
      <c r="AJ271" s="10"/>
      <c r="AK271" s="20"/>
      <c r="AL271" s="20"/>
    </row>
    <row r="272" spans="1:38" ht="13.2">
      <c r="A272" s="1"/>
      <c r="B272" s="59"/>
      <c r="C272" s="60">
        <v>42</v>
      </c>
      <c r="D272" s="206" t="s">
        <v>320</v>
      </c>
      <c r="E272" s="201"/>
      <c r="F272" s="61">
        <v>14.25</v>
      </c>
      <c r="G272" s="60" t="s">
        <v>138</v>
      </c>
      <c r="H272" s="60"/>
      <c r="I272" s="62"/>
      <c r="J272" s="11"/>
      <c r="K272" s="11"/>
      <c r="L272" s="11"/>
      <c r="M272" s="11"/>
      <c r="N272" s="59"/>
      <c r="O272" s="60"/>
      <c r="P272" s="206"/>
      <c r="Q272" s="201"/>
      <c r="R272" s="61"/>
      <c r="S272" s="60"/>
      <c r="T272" s="60"/>
      <c r="U272" s="62"/>
      <c r="V272" s="2"/>
      <c r="W272" s="63">
        <v>42</v>
      </c>
      <c r="X272" s="64" t="s">
        <v>320</v>
      </c>
      <c r="Y272" s="20" t="s">
        <v>138</v>
      </c>
      <c r="Z272" s="20">
        <v>14.25</v>
      </c>
      <c r="AA272" s="20"/>
      <c r="AB272" s="10"/>
      <c r="AC272" s="10"/>
      <c r="AD272" s="20"/>
      <c r="AE272" s="20"/>
      <c r="AF272" s="20"/>
      <c r="AG272" s="65"/>
      <c r="AH272" s="66"/>
      <c r="AI272" s="40"/>
      <c r="AJ272" s="10"/>
      <c r="AK272" s="20"/>
      <c r="AL272" s="20"/>
    </row>
    <row r="273" spans="1:38" ht="13.2">
      <c r="A273" s="1"/>
      <c r="B273" s="59"/>
      <c r="C273" s="60" t="s">
        <v>25</v>
      </c>
      <c r="D273" s="206"/>
      <c r="E273" s="201"/>
      <c r="F273" s="61"/>
      <c r="G273" s="60"/>
      <c r="H273" s="60"/>
      <c r="I273" s="62"/>
      <c r="J273" s="11"/>
      <c r="K273" s="11"/>
      <c r="L273" s="11"/>
      <c r="M273" s="11"/>
      <c r="N273" s="59"/>
      <c r="O273" s="60"/>
      <c r="P273" s="206"/>
      <c r="Q273" s="201"/>
      <c r="R273" s="61"/>
      <c r="S273" s="60"/>
      <c r="T273" s="60"/>
      <c r="U273" s="62"/>
      <c r="V273" s="2"/>
      <c r="W273" s="63">
        <v>43</v>
      </c>
      <c r="X273" s="64"/>
      <c r="Y273" s="20"/>
      <c r="Z273" s="20"/>
      <c r="AA273" s="20"/>
      <c r="AB273" s="10"/>
      <c r="AC273" s="10"/>
      <c r="AD273" s="20"/>
      <c r="AE273" s="20"/>
      <c r="AF273" s="20"/>
      <c r="AG273" s="65"/>
      <c r="AH273" s="66"/>
      <c r="AI273" s="40"/>
      <c r="AJ273" s="10"/>
      <c r="AK273" s="20"/>
      <c r="AL273" s="20"/>
    </row>
    <row r="274" spans="1:38" ht="13.2">
      <c r="A274" s="1"/>
      <c r="B274" s="59"/>
      <c r="C274" s="60"/>
      <c r="D274" s="206"/>
      <c r="E274" s="201"/>
      <c r="F274" s="61"/>
      <c r="G274" s="60"/>
      <c r="H274" s="60"/>
      <c r="I274" s="62"/>
      <c r="J274" s="11"/>
      <c r="K274" s="11"/>
      <c r="L274" s="11"/>
      <c r="M274" s="11"/>
      <c r="N274" s="59"/>
      <c r="O274" s="60"/>
      <c r="P274" s="206"/>
      <c r="Q274" s="201"/>
      <c r="R274" s="61"/>
      <c r="S274" s="60"/>
      <c r="T274" s="60"/>
      <c r="U274" s="62"/>
      <c r="V274" s="2"/>
      <c r="W274" s="63">
        <v>50</v>
      </c>
      <c r="X274" s="64"/>
      <c r="Y274" s="20"/>
      <c r="Z274" s="20"/>
      <c r="AA274" s="20"/>
      <c r="AB274" s="10"/>
      <c r="AC274" s="10"/>
      <c r="AD274" s="20"/>
      <c r="AE274" s="20"/>
      <c r="AF274" s="20"/>
      <c r="AG274" s="65"/>
      <c r="AH274" s="66"/>
      <c r="AI274" s="40"/>
      <c r="AJ274" s="10"/>
      <c r="AK274" s="20"/>
      <c r="AL274" s="20"/>
    </row>
    <row r="275" spans="1:38" ht="13.2">
      <c r="A275" s="1"/>
      <c r="B275" s="1"/>
      <c r="C275" s="67"/>
      <c r="D275" s="1"/>
      <c r="E275" s="1"/>
      <c r="F275" s="10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68"/>
      <c r="R275" s="10"/>
      <c r="S275" s="1"/>
      <c r="T275" s="1"/>
      <c r="U275" s="1"/>
      <c r="V275" s="2"/>
      <c r="W275" s="63">
        <v>51</v>
      </c>
      <c r="X275" s="10"/>
      <c r="Y275" s="10"/>
      <c r="Z275" s="10"/>
      <c r="AA275" s="10"/>
      <c r="AB275" s="10"/>
      <c r="AC275" s="20"/>
      <c r="AD275" s="20"/>
      <c r="AE275" s="10"/>
      <c r="AF275" s="10"/>
      <c r="AG275" s="10"/>
      <c r="AH275" s="10"/>
      <c r="AI275" s="40"/>
      <c r="AJ275" s="20"/>
      <c r="AK275" s="20"/>
      <c r="AL275" s="10"/>
    </row>
    <row r="276" spans="1:38" ht="13.2">
      <c r="A276" s="1"/>
      <c r="B276" s="1"/>
      <c r="C276" s="69" t="s">
        <v>100</v>
      </c>
      <c r="D276" s="12"/>
      <c r="E276" s="12"/>
      <c r="F276" s="13"/>
      <c r="G276" s="12"/>
      <c r="H276" s="12"/>
      <c r="I276" s="11"/>
      <c r="J276" s="11"/>
      <c r="K276" s="11"/>
      <c r="L276" s="11"/>
      <c r="M276" s="11"/>
      <c r="N276" s="11"/>
      <c r="O276" s="69"/>
      <c r="P276" s="12"/>
      <c r="Q276" s="70"/>
      <c r="R276" s="13"/>
      <c r="S276" s="12"/>
      <c r="T276" s="12"/>
      <c r="U276" s="1"/>
      <c r="V276" s="2"/>
      <c r="W276" s="10"/>
      <c r="X276" s="10"/>
      <c r="Y276" s="10"/>
      <c r="Z276" s="10"/>
      <c r="AA276" s="10"/>
      <c r="AB276" s="10"/>
      <c r="AC276" s="20"/>
      <c r="AD276" s="20"/>
      <c r="AE276" s="10"/>
      <c r="AF276" s="10"/>
      <c r="AG276" s="10"/>
      <c r="AH276" s="10"/>
      <c r="AI276" s="10"/>
      <c r="AJ276" s="20"/>
      <c r="AK276" s="20"/>
      <c r="AL276" s="10"/>
    </row>
    <row r="277" spans="1:38" ht="13.2">
      <c r="A277" s="1"/>
      <c r="B277" s="1"/>
      <c r="C277" s="195">
        <v>0</v>
      </c>
      <c r="D277" s="196"/>
      <c r="E277" s="196"/>
      <c r="F277" s="196"/>
      <c r="G277" s="196"/>
      <c r="H277" s="196"/>
      <c r="I277" s="196"/>
      <c r="J277" s="196"/>
      <c r="K277" s="196"/>
      <c r="L277" s="196"/>
      <c r="M277" s="196"/>
      <c r="N277" s="196"/>
      <c r="O277" s="196"/>
      <c r="P277" s="196"/>
      <c r="Q277" s="196"/>
      <c r="R277" s="196"/>
      <c r="S277" s="196"/>
      <c r="T277" s="197"/>
      <c r="U277" s="1"/>
      <c r="V277" s="2"/>
      <c r="W277" s="10"/>
      <c r="X277" s="10"/>
      <c r="Y277" s="10"/>
      <c r="Z277" s="10"/>
      <c r="AA277" s="10"/>
      <c r="AB277" s="10"/>
      <c r="AC277" s="20"/>
      <c r="AD277" s="20"/>
      <c r="AE277" s="10"/>
      <c r="AF277" s="10"/>
      <c r="AG277" s="10"/>
      <c r="AH277" s="10"/>
      <c r="AI277" s="10"/>
      <c r="AJ277" s="20"/>
      <c r="AK277" s="20"/>
      <c r="AL277" s="10"/>
    </row>
    <row r="278" spans="1:38" ht="13.2">
      <c r="A278" s="1"/>
      <c r="B278" s="1"/>
      <c r="C278" s="198"/>
      <c r="D278" s="194"/>
      <c r="E278" s="194"/>
      <c r="F278" s="194"/>
      <c r="G278" s="194"/>
      <c r="H278" s="194"/>
      <c r="I278" s="194"/>
      <c r="J278" s="194"/>
      <c r="K278" s="194"/>
      <c r="L278" s="194"/>
      <c r="M278" s="194"/>
      <c r="N278" s="194"/>
      <c r="O278" s="194"/>
      <c r="P278" s="194"/>
      <c r="Q278" s="194"/>
      <c r="R278" s="194"/>
      <c r="S278" s="194"/>
      <c r="T278" s="199"/>
      <c r="U278" s="1"/>
      <c r="V278" s="2"/>
      <c r="W278" s="10"/>
      <c r="X278" s="10"/>
      <c r="Y278" s="10"/>
      <c r="Z278" s="10"/>
      <c r="AA278" s="10"/>
      <c r="AB278" s="10"/>
      <c r="AC278" s="20"/>
      <c r="AD278" s="20"/>
      <c r="AE278" s="10"/>
      <c r="AF278" s="10"/>
      <c r="AG278" s="10"/>
      <c r="AH278" s="10"/>
      <c r="AI278" s="10"/>
      <c r="AJ278" s="20"/>
      <c r="AK278" s="20"/>
      <c r="AL278" s="10"/>
    </row>
    <row r="279" spans="1:38" ht="13.2">
      <c r="A279" s="1"/>
      <c r="B279" s="1"/>
      <c r="C279" s="198"/>
      <c r="D279" s="194"/>
      <c r="E279" s="194"/>
      <c r="F279" s="194"/>
      <c r="G279" s="194"/>
      <c r="H279" s="194"/>
      <c r="I279" s="194"/>
      <c r="J279" s="194"/>
      <c r="K279" s="194"/>
      <c r="L279" s="194"/>
      <c r="M279" s="194"/>
      <c r="N279" s="194"/>
      <c r="O279" s="194"/>
      <c r="P279" s="194"/>
      <c r="Q279" s="194"/>
      <c r="R279" s="194"/>
      <c r="S279" s="194"/>
      <c r="T279" s="199"/>
      <c r="U279" s="1"/>
      <c r="V279" s="2"/>
      <c r="W279" s="10"/>
      <c r="X279" s="10"/>
      <c r="Y279" s="10"/>
      <c r="Z279" s="10"/>
      <c r="AA279" s="10"/>
      <c r="AB279" s="10"/>
      <c r="AC279" s="20"/>
      <c r="AD279" s="20"/>
      <c r="AE279" s="10"/>
      <c r="AF279" s="10"/>
      <c r="AG279" s="10"/>
      <c r="AH279" s="10"/>
      <c r="AI279" s="10"/>
      <c r="AJ279" s="20"/>
      <c r="AK279" s="20"/>
      <c r="AL279" s="10"/>
    </row>
    <row r="280" spans="1:38" ht="13.2">
      <c r="A280" s="1"/>
      <c r="B280" s="1"/>
      <c r="C280" s="200"/>
      <c r="D280" s="201"/>
      <c r="E280" s="201"/>
      <c r="F280" s="201"/>
      <c r="G280" s="201"/>
      <c r="H280" s="201"/>
      <c r="I280" s="201"/>
      <c r="J280" s="201"/>
      <c r="K280" s="201"/>
      <c r="L280" s="201"/>
      <c r="M280" s="201"/>
      <c r="N280" s="201"/>
      <c r="O280" s="201"/>
      <c r="P280" s="201"/>
      <c r="Q280" s="201"/>
      <c r="R280" s="201"/>
      <c r="S280" s="201"/>
      <c r="T280" s="202"/>
      <c r="U280" s="1"/>
      <c r="V280" s="2"/>
      <c r="W280" s="10"/>
      <c r="X280" s="10"/>
      <c r="Y280" s="10"/>
      <c r="Z280" s="10"/>
      <c r="AA280" s="10"/>
      <c r="AB280" s="10"/>
      <c r="AC280" s="20"/>
      <c r="AD280" s="20"/>
      <c r="AE280" s="10"/>
      <c r="AF280" s="10"/>
      <c r="AG280" s="10"/>
      <c r="AH280" s="10"/>
      <c r="AI280" s="10"/>
      <c r="AJ280" s="20"/>
      <c r="AK280" s="20"/>
      <c r="AL280" s="10"/>
    </row>
    <row r="281" spans="1:38" ht="13.2">
      <c r="A281" s="1"/>
      <c r="B281" s="1"/>
      <c r="C281" s="67"/>
      <c r="D281" s="1"/>
      <c r="E281" s="1"/>
      <c r="F281" s="10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68"/>
      <c r="R281" s="10"/>
      <c r="S281" s="1"/>
      <c r="T281" s="1"/>
      <c r="U281" s="1"/>
      <c r="V281" s="2"/>
      <c r="W281" s="10"/>
      <c r="X281" s="10"/>
      <c r="Y281" s="10"/>
      <c r="Z281" s="10"/>
      <c r="AA281" s="10"/>
      <c r="AB281" s="10"/>
      <c r="AC281" s="20"/>
      <c r="AD281" s="20"/>
      <c r="AE281" s="10"/>
      <c r="AF281" s="10"/>
      <c r="AG281" s="10"/>
      <c r="AH281" s="10"/>
      <c r="AI281" s="10"/>
      <c r="AJ281" s="20"/>
      <c r="AK281" s="20"/>
      <c r="AL281" s="10"/>
    </row>
    <row r="282" spans="1:38" ht="13.2">
      <c r="A282" s="1"/>
      <c r="B282" s="1"/>
      <c r="C282" s="67"/>
      <c r="D282" s="1"/>
      <c r="E282" s="1"/>
      <c r="F282" s="10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68"/>
      <c r="R282" s="10"/>
      <c r="S282" s="1"/>
      <c r="T282" s="1"/>
      <c r="U282" s="1"/>
      <c r="V282" s="2"/>
      <c r="W282" s="10"/>
      <c r="X282" s="10"/>
      <c r="Y282" s="10"/>
      <c r="Z282" s="10"/>
      <c r="AA282" s="10"/>
      <c r="AB282" s="10"/>
      <c r="AC282" s="20"/>
      <c r="AD282" s="20"/>
      <c r="AE282" s="10"/>
      <c r="AF282" s="10"/>
      <c r="AG282" s="10"/>
      <c r="AH282" s="10"/>
      <c r="AI282" s="10"/>
      <c r="AJ282" s="20"/>
      <c r="AK282" s="20"/>
      <c r="AL282" s="10"/>
    </row>
    <row r="283" spans="1:38" ht="13.2">
      <c r="A283" s="1"/>
      <c r="B283" s="1"/>
      <c r="C283" s="67"/>
      <c r="D283" s="1"/>
      <c r="E283" s="1"/>
      <c r="F283" s="10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68"/>
      <c r="R283" s="10"/>
      <c r="S283" s="1"/>
      <c r="T283" s="1"/>
      <c r="U283" s="1"/>
      <c r="V283" s="2"/>
      <c r="W283" s="10"/>
      <c r="X283" s="10"/>
      <c r="Y283" s="10"/>
      <c r="Z283" s="10"/>
      <c r="AA283" s="10"/>
      <c r="AB283" s="10"/>
      <c r="AC283" s="20"/>
      <c r="AD283" s="20"/>
      <c r="AE283" s="10"/>
      <c r="AF283" s="10"/>
      <c r="AG283" s="10"/>
      <c r="AH283" s="10"/>
      <c r="AI283" s="10"/>
      <c r="AJ283" s="20"/>
      <c r="AK283" s="20"/>
      <c r="AL283" s="10"/>
    </row>
    <row r="284" spans="1:38" ht="15.6">
      <c r="A284" s="1"/>
      <c r="B284" s="1"/>
      <c r="C284" s="67"/>
      <c r="D284" s="1"/>
      <c r="E284" s="1"/>
      <c r="F284" s="10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68"/>
      <c r="R284" s="10"/>
      <c r="S284" s="1"/>
      <c r="T284" s="1"/>
      <c r="U284" s="1"/>
      <c r="V284" s="2"/>
      <c r="W284" s="10"/>
      <c r="X284" s="10"/>
      <c r="Y284" s="10"/>
      <c r="Z284" s="10"/>
      <c r="AA284" s="10"/>
      <c r="AB284" s="10"/>
      <c r="AC284" s="20"/>
      <c r="AD284" s="20"/>
      <c r="AE284" s="10"/>
      <c r="AF284" s="10"/>
      <c r="AG284" s="10"/>
      <c r="AH284" s="10"/>
      <c r="AI284" s="10"/>
      <c r="AJ284" s="20"/>
      <c r="AK284" s="20"/>
      <c r="AL284" s="10"/>
    </row>
    <row r="285" spans="1:38" ht="13.2">
      <c r="A285" s="1"/>
      <c r="B285" s="1"/>
      <c r="C285" s="67"/>
      <c r="D285" s="1"/>
      <c r="E285" s="1"/>
      <c r="F285" s="10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68"/>
      <c r="R285" s="10"/>
      <c r="S285" s="1"/>
      <c r="T285" s="1"/>
      <c r="U285" s="1"/>
      <c r="V285" s="2"/>
      <c r="W285" s="10"/>
      <c r="X285" s="10"/>
      <c r="Y285" s="10"/>
      <c r="Z285" s="10"/>
      <c r="AA285" s="10"/>
      <c r="AB285" s="10"/>
      <c r="AC285" s="20"/>
      <c r="AD285" s="20"/>
      <c r="AE285" s="10"/>
      <c r="AF285" s="10"/>
      <c r="AG285" s="10"/>
      <c r="AH285" s="10"/>
      <c r="AI285" s="10"/>
      <c r="AJ285" s="20"/>
      <c r="AK285" s="20"/>
      <c r="AL285" s="10"/>
    </row>
    <row r="286" spans="1:38" ht="13.2">
      <c r="A286" s="1"/>
      <c r="B286" s="1"/>
      <c r="C286" s="67"/>
      <c r="D286" s="1"/>
      <c r="E286" s="1"/>
      <c r="F286" s="10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68"/>
      <c r="R286" s="10"/>
      <c r="S286" s="1"/>
      <c r="T286" s="1"/>
      <c r="U286" s="1"/>
      <c r="V286" s="2"/>
      <c r="W286" s="10"/>
      <c r="X286" s="10"/>
      <c r="Y286" s="10"/>
      <c r="Z286" s="10"/>
      <c r="AA286" s="10"/>
      <c r="AB286" s="10"/>
      <c r="AC286" s="20"/>
      <c r="AD286" s="20"/>
      <c r="AE286" s="10"/>
      <c r="AF286" s="10"/>
      <c r="AG286" s="10"/>
      <c r="AH286" s="10"/>
      <c r="AI286" s="10"/>
      <c r="AJ286" s="20"/>
      <c r="AK286" s="20"/>
      <c r="AL286" s="10"/>
    </row>
    <row r="287" spans="1:38" ht="13.2">
      <c r="A287" s="1"/>
      <c r="B287" s="1"/>
      <c r="C287" s="67"/>
      <c r="D287" s="1"/>
      <c r="E287" s="1"/>
      <c r="F287" s="10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68"/>
      <c r="R287" s="10"/>
      <c r="S287" s="1"/>
      <c r="T287" s="1"/>
      <c r="U287" s="1"/>
      <c r="V287" s="2"/>
      <c r="W287" s="10"/>
      <c r="X287" s="10"/>
      <c r="Y287" s="10"/>
      <c r="Z287" s="10"/>
      <c r="AA287" s="10"/>
      <c r="AB287" s="10"/>
      <c r="AC287" s="20"/>
      <c r="AD287" s="20"/>
      <c r="AE287" s="10"/>
      <c r="AF287" s="10"/>
      <c r="AG287" s="10"/>
      <c r="AH287" s="10"/>
      <c r="AI287" s="10"/>
      <c r="AJ287" s="20"/>
      <c r="AK287" s="20"/>
      <c r="AL287" s="10"/>
    </row>
    <row r="288" spans="1:38" ht="13.2">
      <c r="A288" s="1"/>
      <c r="B288" s="1"/>
      <c r="C288" s="67"/>
      <c r="D288" s="1"/>
      <c r="E288" s="1"/>
      <c r="F288" s="10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68"/>
      <c r="R288" s="10"/>
      <c r="S288" s="1"/>
      <c r="T288" s="1"/>
      <c r="U288" s="1"/>
      <c r="V288" s="2"/>
      <c r="W288" s="10"/>
      <c r="X288" s="10"/>
      <c r="Y288" s="10"/>
      <c r="Z288" s="10"/>
      <c r="AA288" s="10"/>
      <c r="AB288" s="10"/>
      <c r="AC288" s="20"/>
      <c r="AD288" s="20"/>
      <c r="AE288" s="10"/>
      <c r="AF288" s="10"/>
      <c r="AG288" s="10"/>
      <c r="AH288" s="10"/>
      <c r="AI288" s="10"/>
      <c r="AJ288" s="20"/>
      <c r="AK288" s="20"/>
      <c r="AL288" s="10"/>
    </row>
    <row r="289" spans="1:38" ht="13.2">
      <c r="A289" s="1"/>
      <c r="B289" s="1"/>
      <c r="C289" s="67"/>
      <c r="D289" s="1"/>
      <c r="E289" s="1"/>
      <c r="F289" s="10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68"/>
      <c r="R289" s="10"/>
      <c r="S289" s="1"/>
      <c r="T289" s="1"/>
      <c r="U289" s="1"/>
      <c r="V289" s="2"/>
      <c r="W289" s="10"/>
      <c r="X289" s="10"/>
      <c r="Y289" s="10"/>
      <c r="Z289" s="10"/>
      <c r="AA289" s="10"/>
      <c r="AB289" s="10"/>
      <c r="AC289" s="20"/>
      <c r="AD289" s="20"/>
      <c r="AE289" s="10"/>
      <c r="AF289" s="10"/>
      <c r="AG289" s="10"/>
      <c r="AH289" s="10"/>
      <c r="AI289" s="10"/>
      <c r="AJ289" s="20"/>
      <c r="AK289" s="20"/>
      <c r="AL289" s="10"/>
    </row>
    <row r="290" spans="1:38" ht="13.2">
      <c r="A290" s="1"/>
      <c r="B290" s="1"/>
      <c r="C290" s="67"/>
      <c r="D290" s="1"/>
      <c r="E290" s="1"/>
      <c r="F290" s="10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68"/>
      <c r="R290" s="10"/>
      <c r="S290" s="1"/>
      <c r="T290" s="1"/>
      <c r="U290" s="1"/>
      <c r="V290" s="2"/>
      <c r="W290" s="10"/>
      <c r="X290" s="10"/>
      <c r="Y290" s="10"/>
      <c r="Z290" s="10"/>
      <c r="AA290" s="10"/>
      <c r="AB290" s="10"/>
      <c r="AC290" s="20"/>
      <c r="AD290" s="20"/>
      <c r="AE290" s="10"/>
      <c r="AF290" s="10"/>
      <c r="AG290" s="10"/>
      <c r="AH290" s="10"/>
      <c r="AI290" s="10"/>
      <c r="AJ290" s="20"/>
      <c r="AK290" s="20"/>
      <c r="AL290" s="10"/>
    </row>
    <row r="291" spans="1:38" ht="13.2">
      <c r="A291" s="1"/>
      <c r="B291" s="1"/>
      <c r="C291" s="67"/>
      <c r="D291" s="1"/>
      <c r="E291" s="1"/>
      <c r="F291" s="10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68"/>
      <c r="R291" s="10"/>
      <c r="S291" s="1"/>
      <c r="T291" s="1"/>
      <c r="U291" s="1"/>
      <c r="V291" s="2"/>
      <c r="W291" s="10"/>
      <c r="X291" s="10"/>
      <c r="Y291" s="10"/>
      <c r="Z291" s="10"/>
      <c r="AA291" s="10"/>
      <c r="AB291" s="10"/>
      <c r="AC291" s="20"/>
      <c r="AD291" s="20"/>
      <c r="AE291" s="10"/>
      <c r="AF291" s="10"/>
      <c r="AG291" s="10"/>
      <c r="AH291" s="10"/>
      <c r="AI291" s="10"/>
      <c r="AJ291" s="20"/>
      <c r="AK291" s="20"/>
      <c r="AL291" s="10"/>
    </row>
    <row r="292" spans="1:38" ht="13.2">
      <c r="A292" s="1"/>
      <c r="B292" s="1"/>
      <c r="C292" s="67"/>
      <c r="D292" s="1"/>
      <c r="E292" s="1"/>
      <c r="F292" s="10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68"/>
      <c r="R292" s="10"/>
      <c r="S292" s="1"/>
      <c r="T292" s="1"/>
      <c r="U292" s="1"/>
      <c r="V292" s="2"/>
      <c r="W292" s="10"/>
      <c r="X292" s="10"/>
      <c r="Y292" s="10"/>
      <c r="Z292" s="10"/>
      <c r="AA292" s="10"/>
      <c r="AB292" s="10"/>
      <c r="AC292" s="20"/>
      <c r="AD292" s="20"/>
      <c r="AE292" s="10"/>
      <c r="AF292" s="10"/>
      <c r="AG292" s="10"/>
      <c r="AH292" s="10"/>
      <c r="AI292" s="10"/>
      <c r="AJ292" s="20"/>
      <c r="AK292" s="20"/>
      <c r="AL292" s="10"/>
    </row>
    <row r="293" spans="1:38" ht="13.2">
      <c r="A293" s="1"/>
      <c r="B293" s="1"/>
      <c r="C293" s="67"/>
      <c r="D293" s="1"/>
      <c r="E293" s="1"/>
      <c r="F293" s="10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68"/>
      <c r="R293" s="10"/>
      <c r="S293" s="1"/>
      <c r="T293" s="1"/>
      <c r="U293" s="1"/>
      <c r="V293" s="2"/>
      <c r="W293" s="10"/>
      <c r="X293" s="10"/>
      <c r="Y293" s="10"/>
      <c r="Z293" s="10"/>
      <c r="AA293" s="10"/>
      <c r="AB293" s="10"/>
      <c r="AC293" s="20"/>
      <c r="AD293" s="20"/>
      <c r="AE293" s="10"/>
      <c r="AF293" s="10"/>
      <c r="AG293" s="10"/>
      <c r="AH293" s="10"/>
      <c r="AI293" s="10"/>
      <c r="AJ293" s="20"/>
      <c r="AK293" s="20"/>
      <c r="AL293" s="10"/>
    </row>
    <row r="294" spans="1:38" ht="13.2">
      <c r="A294" s="1"/>
      <c r="B294" s="1"/>
      <c r="C294" s="67"/>
      <c r="D294" s="1"/>
      <c r="E294" s="1"/>
      <c r="F294" s="10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68"/>
      <c r="R294" s="10"/>
      <c r="S294" s="1"/>
      <c r="T294" s="1"/>
      <c r="U294" s="1"/>
      <c r="V294" s="2"/>
      <c r="W294" s="10"/>
      <c r="X294" s="10"/>
      <c r="Y294" s="10"/>
      <c r="Z294" s="10"/>
      <c r="AA294" s="10"/>
      <c r="AB294" s="10"/>
      <c r="AC294" s="20"/>
      <c r="AD294" s="20"/>
      <c r="AE294" s="10"/>
      <c r="AF294" s="10"/>
      <c r="AG294" s="10"/>
      <c r="AH294" s="10"/>
      <c r="AI294" s="10"/>
      <c r="AJ294" s="20"/>
      <c r="AK294" s="20"/>
      <c r="AL294" s="10"/>
    </row>
    <row r="295" spans="1:38" ht="13.2">
      <c r="A295" s="1"/>
      <c r="B295" s="1"/>
      <c r="C295" s="67"/>
      <c r="D295" s="1"/>
      <c r="E295" s="1"/>
      <c r="F295" s="10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68"/>
      <c r="R295" s="10"/>
      <c r="S295" s="1"/>
      <c r="T295" s="1"/>
      <c r="U295" s="1"/>
      <c r="V295" s="2"/>
      <c r="W295" s="10"/>
      <c r="X295" s="10"/>
      <c r="Y295" s="10"/>
      <c r="Z295" s="10"/>
      <c r="AA295" s="10"/>
      <c r="AB295" s="10"/>
      <c r="AC295" s="20"/>
      <c r="AD295" s="20"/>
      <c r="AE295" s="10"/>
      <c r="AF295" s="10"/>
      <c r="AG295" s="10"/>
      <c r="AH295" s="10"/>
      <c r="AI295" s="10"/>
      <c r="AJ295" s="20"/>
      <c r="AK295" s="20"/>
      <c r="AL295" s="10"/>
    </row>
    <row r="296" spans="1:38" ht="13.2">
      <c r="A296" s="1"/>
      <c r="B296" s="1"/>
      <c r="C296" s="67"/>
      <c r="D296" s="1"/>
      <c r="E296" s="1"/>
      <c r="F296" s="10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68"/>
      <c r="R296" s="10"/>
      <c r="S296" s="1"/>
      <c r="T296" s="1"/>
      <c r="U296" s="1"/>
      <c r="V296" s="2"/>
      <c r="W296" s="10"/>
      <c r="X296" s="10"/>
      <c r="Y296" s="10"/>
      <c r="Z296" s="10"/>
      <c r="AA296" s="10"/>
      <c r="AB296" s="10"/>
      <c r="AC296" s="20"/>
      <c r="AD296" s="20"/>
      <c r="AE296" s="10"/>
      <c r="AF296" s="10"/>
      <c r="AG296" s="10"/>
      <c r="AH296" s="10"/>
      <c r="AI296" s="10"/>
      <c r="AJ296" s="20"/>
      <c r="AK296" s="20"/>
      <c r="AL296" s="10"/>
    </row>
    <row r="297" spans="1:38" ht="13.2">
      <c r="A297" s="1"/>
      <c r="B297" s="1"/>
      <c r="C297" s="67"/>
      <c r="D297" s="1"/>
      <c r="E297" s="1"/>
      <c r="F297" s="10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68"/>
      <c r="R297" s="10"/>
      <c r="S297" s="1"/>
      <c r="T297" s="1"/>
      <c r="U297" s="1"/>
      <c r="V297" s="2"/>
      <c r="W297" s="10"/>
      <c r="X297" s="10"/>
      <c r="Y297" s="10"/>
      <c r="Z297" s="10"/>
      <c r="AA297" s="10"/>
      <c r="AB297" s="10"/>
      <c r="AC297" s="20"/>
      <c r="AD297" s="20"/>
      <c r="AE297" s="10"/>
      <c r="AF297" s="10"/>
      <c r="AG297" s="10"/>
      <c r="AH297" s="10"/>
      <c r="AI297" s="10"/>
      <c r="AJ297" s="20"/>
      <c r="AK297" s="20"/>
      <c r="AL297" s="10"/>
    </row>
    <row r="298" spans="1:38" ht="13.2">
      <c r="A298" s="1"/>
      <c r="B298" s="1"/>
      <c r="C298" s="67"/>
      <c r="D298" s="1"/>
      <c r="E298" s="1"/>
      <c r="F298" s="10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68"/>
      <c r="R298" s="10"/>
      <c r="S298" s="1"/>
      <c r="T298" s="1"/>
      <c r="U298" s="1"/>
      <c r="V298" s="2"/>
      <c r="W298" s="10"/>
      <c r="X298" s="10"/>
      <c r="Y298" s="10"/>
      <c r="Z298" s="10"/>
      <c r="AA298" s="10"/>
      <c r="AB298" s="10"/>
      <c r="AC298" s="20"/>
      <c r="AD298" s="20"/>
      <c r="AE298" s="10"/>
      <c r="AF298" s="10"/>
      <c r="AG298" s="10"/>
      <c r="AH298" s="10"/>
      <c r="AI298" s="10"/>
      <c r="AJ298" s="20"/>
      <c r="AK298" s="20"/>
      <c r="AL298" s="10"/>
    </row>
    <row r="299" spans="1:38" ht="13.2">
      <c r="A299" s="1"/>
      <c r="B299" s="1"/>
      <c r="C299" s="67"/>
      <c r="D299" s="1"/>
      <c r="E299" s="1"/>
      <c r="F299" s="10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68"/>
      <c r="R299" s="10"/>
      <c r="S299" s="1"/>
      <c r="T299" s="1"/>
      <c r="U299" s="1"/>
      <c r="V299" s="2"/>
      <c r="W299" s="10"/>
      <c r="X299" s="10"/>
      <c r="Y299" s="10"/>
      <c r="Z299" s="10"/>
      <c r="AA299" s="10"/>
      <c r="AB299" s="10"/>
      <c r="AC299" s="20"/>
      <c r="AD299" s="20"/>
      <c r="AE299" s="10"/>
      <c r="AF299" s="10"/>
      <c r="AG299" s="10"/>
      <c r="AH299" s="10"/>
      <c r="AI299" s="10"/>
      <c r="AJ299" s="20"/>
      <c r="AK299" s="20"/>
      <c r="AL299" s="10"/>
    </row>
    <row r="300" spans="1:38" ht="13.2">
      <c r="A300" s="1"/>
      <c r="B300" s="1"/>
      <c r="C300" s="67"/>
      <c r="D300" s="1"/>
      <c r="E300" s="1"/>
      <c r="F300" s="10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68"/>
      <c r="R300" s="10"/>
      <c r="S300" s="1"/>
      <c r="T300" s="1"/>
      <c r="U300" s="1"/>
      <c r="V300" s="2"/>
      <c r="W300" s="10"/>
      <c r="X300" s="10"/>
      <c r="Y300" s="10"/>
      <c r="Z300" s="10"/>
      <c r="AA300" s="10"/>
      <c r="AB300" s="10"/>
      <c r="AC300" s="20"/>
      <c r="AD300" s="20"/>
      <c r="AE300" s="10"/>
      <c r="AF300" s="10"/>
      <c r="AG300" s="10"/>
      <c r="AH300" s="10"/>
      <c r="AI300" s="10"/>
      <c r="AJ300" s="20"/>
      <c r="AK300" s="20"/>
      <c r="AL300" s="10"/>
    </row>
    <row r="301" spans="1:38" ht="13.2">
      <c r="A301" s="1"/>
      <c r="B301" s="1"/>
      <c r="C301" s="67"/>
      <c r="D301" s="1"/>
      <c r="E301" s="1"/>
      <c r="F301" s="10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68"/>
      <c r="R301" s="10"/>
      <c r="S301" s="1"/>
      <c r="T301" s="1"/>
      <c r="U301" s="1"/>
      <c r="V301" s="2"/>
      <c r="W301" s="10"/>
      <c r="X301" s="10"/>
      <c r="Y301" s="10"/>
      <c r="Z301" s="10"/>
      <c r="AA301" s="10"/>
      <c r="AB301" s="10"/>
      <c r="AC301" s="20"/>
      <c r="AD301" s="20"/>
      <c r="AE301" s="10"/>
      <c r="AF301" s="10"/>
      <c r="AG301" s="10"/>
      <c r="AH301" s="10"/>
      <c r="AI301" s="10"/>
      <c r="AJ301" s="20"/>
      <c r="AK301" s="20"/>
      <c r="AL301" s="10"/>
    </row>
    <row r="302" spans="1:38" ht="13.2">
      <c r="A302" s="1"/>
      <c r="B302" s="1"/>
      <c r="C302" s="67"/>
      <c r="D302" s="1"/>
      <c r="E302" s="1"/>
      <c r="F302" s="10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68"/>
      <c r="R302" s="10"/>
      <c r="S302" s="1"/>
      <c r="T302" s="1"/>
      <c r="U302" s="1"/>
      <c r="V302" s="2"/>
      <c r="W302" s="10"/>
      <c r="X302" s="10"/>
      <c r="Y302" s="10"/>
      <c r="Z302" s="10"/>
      <c r="AA302" s="10"/>
      <c r="AB302" s="10"/>
      <c r="AC302" s="20"/>
      <c r="AD302" s="20"/>
      <c r="AE302" s="10"/>
      <c r="AF302" s="10"/>
      <c r="AG302" s="10"/>
      <c r="AH302" s="10"/>
      <c r="AI302" s="10"/>
      <c r="AJ302" s="20"/>
      <c r="AK302" s="20"/>
      <c r="AL302" s="10"/>
    </row>
    <row r="303" spans="1:38" ht="13.2">
      <c r="A303" s="1"/>
      <c r="B303" s="1"/>
      <c r="C303" s="67"/>
      <c r="D303" s="1"/>
      <c r="E303" s="1"/>
      <c r="F303" s="10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68"/>
      <c r="R303" s="10"/>
      <c r="S303" s="1"/>
      <c r="T303" s="1"/>
      <c r="U303" s="1"/>
      <c r="V303" s="2"/>
      <c r="W303" s="10"/>
      <c r="X303" s="10"/>
      <c r="Y303" s="10"/>
      <c r="Z303" s="10"/>
      <c r="AA303" s="10"/>
      <c r="AB303" s="10"/>
      <c r="AC303" s="20"/>
      <c r="AD303" s="20"/>
      <c r="AE303" s="10"/>
      <c r="AF303" s="10"/>
      <c r="AG303" s="10"/>
      <c r="AH303" s="10"/>
      <c r="AI303" s="10"/>
      <c r="AJ303" s="20"/>
      <c r="AK303" s="20"/>
      <c r="AL303" s="10"/>
    </row>
    <row r="304" spans="1:38" ht="13.2">
      <c r="A304" s="1"/>
      <c r="B304" s="1"/>
      <c r="C304" s="67"/>
      <c r="D304" s="1"/>
      <c r="E304" s="1"/>
      <c r="F304" s="10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68"/>
      <c r="R304" s="10"/>
      <c r="S304" s="1"/>
      <c r="T304" s="1"/>
      <c r="U304" s="1"/>
      <c r="V304" s="2"/>
      <c r="W304" s="10"/>
      <c r="X304" s="10"/>
      <c r="Y304" s="10"/>
      <c r="Z304" s="10"/>
      <c r="AA304" s="10"/>
      <c r="AB304" s="10"/>
      <c r="AC304" s="20"/>
      <c r="AD304" s="20"/>
      <c r="AE304" s="10"/>
      <c r="AF304" s="10"/>
      <c r="AG304" s="10"/>
      <c r="AH304" s="10"/>
      <c r="AI304" s="10"/>
      <c r="AJ304" s="20"/>
      <c r="AK304" s="20"/>
      <c r="AL304" s="10"/>
    </row>
    <row r="305" spans="1:38" ht="13.2">
      <c r="A305" s="1"/>
      <c r="B305" s="1"/>
      <c r="C305" s="67"/>
      <c r="D305" s="1"/>
      <c r="E305" s="1"/>
      <c r="F305" s="10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68"/>
      <c r="R305" s="10"/>
      <c r="S305" s="1"/>
      <c r="T305" s="1"/>
      <c r="U305" s="1"/>
      <c r="V305" s="2"/>
      <c r="W305" s="10"/>
      <c r="X305" s="10"/>
      <c r="Y305" s="10"/>
      <c r="Z305" s="10"/>
      <c r="AA305" s="10"/>
      <c r="AB305" s="10"/>
      <c r="AC305" s="20"/>
      <c r="AD305" s="20"/>
      <c r="AE305" s="10"/>
      <c r="AF305" s="10"/>
      <c r="AG305" s="10"/>
      <c r="AH305" s="10"/>
      <c r="AI305" s="10"/>
      <c r="AJ305" s="20"/>
      <c r="AK305" s="20"/>
      <c r="AL305" s="10"/>
    </row>
    <row r="306" spans="1:38" ht="13.2">
      <c r="A306" s="1"/>
      <c r="B306" s="1"/>
      <c r="C306" s="67"/>
      <c r="D306" s="1"/>
      <c r="E306" s="1"/>
      <c r="F306" s="10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68"/>
      <c r="R306" s="10"/>
      <c r="S306" s="1"/>
      <c r="T306" s="1"/>
      <c r="U306" s="1"/>
      <c r="V306" s="2"/>
      <c r="W306" s="10"/>
      <c r="X306" s="10"/>
      <c r="Y306" s="10"/>
      <c r="Z306" s="10"/>
      <c r="AA306" s="10"/>
      <c r="AB306" s="10"/>
      <c r="AC306" s="20"/>
      <c r="AD306" s="20"/>
      <c r="AE306" s="10"/>
      <c r="AF306" s="10"/>
      <c r="AG306" s="10"/>
      <c r="AH306" s="10"/>
      <c r="AI306" s="10"/>
      <c r="AJ306" s="20"/>
      <c r="AK306" s="20"/>
      <c r="AL306" s="10"/>
    </row>
    <row r="307" spans="1:38" ht="13.2">
      <c r="A307" s="1"/>
      <c r="B307" s="1"/>
      <c r="C307" s="67"/>
      <c r="D307" s="1"/>
      <c r="E307" s="1"/>
      <c r="F307" s="10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68"/>
      <c r="R307" s="10"/>
      <c r="S307" s="1"/>
      <c r="T307" s="1"/>
      <c r="U307" s="1"/>
      <c r="V307" s="2"/>
      <c r="W307" s="10"/>
      <c r="X307" s="10"/>
      <c r="Y307" s="10"/>
      <c r="Z307" s="10"/>
      <c r="AA307" s="10"/>
      <c r="AB307" s="10"/>
      <c r="AC307" s="20"/>
      <c r="AD307" s="20"/>
      <c r="AE307" s="10"/>
      <c r="AF307" s="10"/>
      <c r="AG307" s="10"/>
      <c r="AH307" s="10"/>
      <c r="AI307" s="10"/>
      <c r="AJ307" s="20"/>
      <c r="AK307" s="20"/>
      <c r="AL307" s="10"/>
    </row>
    <row r="308" spans="1:38" ht="13.2">
      <c r="A308" s="1"/>
      <c r="B308" s="1"/>
      <c r="C308" s="67"/>
      <c r="D308" s="1"/>
      <c r="E308" s="1"/>
      <c r="F308" s="10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68"/>
      <c r="R308" s="10"/>
      <c r="S308" s="1"/>
      <c r="T308" s="1"/>
      <c r="U308" s="1"/>
      <c r="V308" s="2"/>
      <c r="W308" s="10"/>
      <c r="X308" s="10"/>
      <c r="Y308" s="10"/>
      <c r="Z308" s="10"/>
      <c r="AA308" s="10"/>
      <c r="AB308" s="10"/>
      <c r="AC308" s="20"/>
      <c r="AD308" s="20"/>
      <c r="AE308" s="10"/>
      <c r="AF308" s="10"/>
      <c r="AG308" s="10"/>
      <c r="AH308" s="10"/>
      <c r="AI308" s="10"/>
      <c r="AJ308" s="20"/>
      <c r="AK308" s="20"/>
      <c r="AL308" s="10"/>
    </row>
    <row r="309" spans="1:38" ht="13.2">
      <c r="A309" s="1"/>
      <c r="B309" s="1"/>
      <c r="C309" s="67"/>
      <c r="D309" s="1"/>
      <c r="E309" s="1"/>
      <c r="F309" s="10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68"/>
      <c r="R309" s="10"/>
      <c r="S309" s="1"/>
      <c r="T309" s="1"/>
      <c r="U309" s="1"/>
      <c r="V309" s="2"/>
      <c r="W309" s="10"/>
      <c r="X309" s="10"/>
      <c r="Y309" s="10"/>
      <c r="Z309" s="10"/>
      <c r="AA309" s="10"/>
      <c r="AB309" s="10"/>
      <c r="AC309" s="20"/>
      <c r="AD309" s="20"/>
      <c r="AE309" s="10"/>
      <c r="AF309" s="10"/>
      <c r="AG309" s="10"/>
      <c r="AH309" s="10"/>
      <c r="AI309" s="10"/>
      <c r="AJ309" s="20"/>
      <c r="AK309" s="20"/>
      <c r="AL309" s="10"/>
    </row>
    <row r="310" spans="1:38" ht="13.2">
      <c r="A310" s="1"/>
      <c r="B310" s="1"/>
      <c r="C310" s="67"/>
      <c r="D310" s="1"/>
      <c r="E310" s="1"/>
      <c r="F310" s="10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68"/>
      <c r="R310" s="10"/>
      <c r="S310" s="1"/>
      <c r="T310" s="1"/>
      <c r="U310" s="1"/>
      <c r="V310" s="2"/>
      <c r="W310" s="10"/>
      <c r="X310" s="10"/>
      <c r="Y310" s="10"/>
      <c r="Z310" s="10"/>
      <c r="AA310" s="10"/>
      <c r="AB310" s="10"/>
      <c r="AC310" s="20"/>
      <c r="AD310" s="20"/>
      <c r="AE310" s="10"/>
      <c r="AF310" s="10"/>
      <c r="AG310" s="10"/>
      <c r="AH310" s="10"/>
      <c r="AI310" s="10"/>
      <c r="AJ310" s="20"/>
      <c r="AK310" s="20"/>
      <c r="AL310" s="10"/>
    </row>
    <row r="311" spans="1:38" ht="13.2">
      <c r="A311" s="1"/>
      <c r="B311" s="1"/>
      <c r="C311" s="67"/>
      <c r="D311" s="1"/>
      <c r="E311" s="1"/>
      <c r="F311" s="10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68"/>
      <c r="R311" s="10"/>
      <c r="S311" s="1"/>
      <c r="T311" s="1"/>
      <c r="U311" s="1"/>
      <c r="V311" s="2"/>
      <c r="W311" s="10"/>
      <c r="X311" s="10"/>
      <c r="Y311" s="10"/>
      <c r="Z311" s="10"/>
      <c r="AA311" s="10"/>
      <c r="AB311" s="10"/>
      <c r="AC311" s="20"/>
      <c r="AD311" s="20"/>
      <c r="AE311" s="10"/>
      <c r="AF311" s="10"/>
      <c r="AG311" s="10"/>
      <c r="AH311" s="10"/>
      <c r="AI311" s="10"/>
      <c r="AJ311" s="20"/>
      <c r="AK311" s="20"/>
      <c r="AL311" s="10"/>
    </row>
    <row r="312" spans="1:38" ht="13.2">
      <c r="A312" s="1"/>
      <c r="B312" s="1"/>
      <c r="C312" s="67"/>
      <c r="D312" s="1"/>
      <c r="E312" s="1"/>
      <c r="F312" s="10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68"/>
      <c r="R312" s="10"/>
      <c r="S312" s="1"/>
      <c r="T312" s="1"/>
      <c r="U312" s="1"/>
      <c r="V312" s="2"/>
      <c r="W312" s="10"/>
      <c r="X312" s="10"/>
      <c r="Y312" s="10"/>
      <c r="Z312" s="10"/>
      <c r="AA312" s="10"/>
      <c r="AB312" s="10"/>
      <c r="AC312" s="20"/>
      <c r="AD312" s="20"/>
      <c r="AE312" s="10"/>
      <c r="AF312" s="10"/>
      <c r="AG312" s="10"/>
      <c r="AH312" s="10"/>
      <c r="AI312" s="10"/>
      <c r="AJ312" s="20"/>
      <c r="AK312" s="20"/>
      <c r="AL312" s="10"/>
    </row>
    <row r="313" spans="1:38" ht="13.2">
      <c r="A313" s="1"/>
      <c r="B313" s="1"/>
      <c r="C313" s="67"/>
      <c r="D313" s="1"/>
      <c r="E313" s="1"/>
      <c r="F313" s="10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68"/>
      <c r="R313" s="10"/>
      <c r="S313" s="1"/>
      <c r="T313" s="1"/>
      <c r="U313" s="1"/>
      <c r="V313" s="2"/>
      <c r="W313" s="10"/>
      <c r="X313" s="10"/>
      <c r="Y313" s="10"/>
      <c r="Z313" s="10"/>
      <c r="AA313" s="10"/>
      <c r="AB313" s="10"/>
      <c r="AC313" s="20"/>
      <c r="AD313" s="20"/>
      <c r="AE313" s="10"/>
      <c r="AF313" s="10"/>
      <c r="AG313" s="10"/>
      <c r="AH313" s="10"/>
      <c r="AI313" s="10"/>
      <c r="AJ313" s="20"/>
      <c r="AK313" s="20"/>
      <c r="AL313" s="10"/>
    </row>
    <row r="314" spans="1:38" ht="13.2">
      <c r="A314" s="1"/>
      <c r="B314" s="1"/>
      <c r="C314" s="67"/>
      <c r="D314" s="1"/>
      <c r="E314" s="1"/>
      <c r="F314" s="10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68"/>
      <c r="R314" s="10"/>
      <c r="S314" s="1"/>
      <c r="T314" s="1"/>
      <c r="U314" s="1"/>
      <c r="V314" s="2"/>
      <c r="W314" s="10"/>
      <c r="X314" s="10"/>
      <c r="Y314" s="10"/>
      <c r="Z314" s="10"/>
      <c r="AA314" s="10"/>
      <c r="AB314" s="10"/>
      <c r="AC314" s="20"/>
      <c r="AD314" s="20"/>
      <c r="AE314" s="10"/>
      <c r="AF314" s="10"/>
      <c r="AG314" s="10"/>
      <c r="AH314" s="10"/>
      <c r="AI314" s="10"/>
      <c r="AJ314" s="20"/>
      <c r="AK314" s="20"/>
      <c r="AL314" s="10"/>
    </row>
    <row r="315" spans="1:38" ht="13.2">
      <c r="A315" s="1"/>
      <c r="B315" s="1"/>
      <c r="C315" s="67"/>
      <c r="D315" s="1"/>
      <c r="E315" s="1"/>
      <c r="F315" s="10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68"/>
      <c r="R315" s="10"/>
      <c r="S315" s="1"/>
      <c r="T315" s="1"/>
      <c r="U315" s="1"/>
      <c r="V315" s="2"/>
      <c r="W315" s="10"/>
      <c r="X315" s="10"/>
      <c r="Y315" s="10"/>
      <c r="Z315" s="10"/>
      <c r="AA315" s="10"/>
      <c r="AB315" s="10"/>
      <c r="AC315" s="20"/>
      <c r="AD315" s="20"/>
      <c r="AE315" s="10"/>
      <c r="AF315" s="10"/>
      <c r="AG315" s="10"/>
      <c r="AH315" s="10"/>
      <c r="AI315" s="10"/>
      <c r="AJ315" s="20"/>
      <c r="AK315" s="20"/>
      <c r="AL315" s="10"/>
    </row>
    <row r="316" spans="1:38" ht="13.2">
      <c r="A316" s="1"/>
      <c r="B316" s="1"/>
      <c r="C316" s="67"/>
      <c r="D316" s="1"/>
      <c r="E316" s="1"/>
      <c r="F316" s="10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68"/>
      <c r="R316" s="10"/>
      <c r="S316" s="1"/>
      <c r="T316" s="1"/>
      <c r="U316" s="1"/>
      <c r="V316" s="2"/>
      <c r="W316" s="10"/>
      <c r="X316" s="10"/>
      <c r="Y316" s="10"/>
      <c r="Z316" s="10"/>
      <c r="AA316" s="10"/>
      <c r="AB316" s="10"/>
      <c r="AC316" s="20"/>
      <c r="AD316" s="20"/>
      <c r="AE316" s="10"/>
      <c r="AF316" s="10"/>
      <c r="AG316" s="10"/>
      <c r="AH316" s="10"/>
      <c r="AI316" s="10"/>
      <c r="AJ316" s="20"/>
      <c r="AK316" s="20"/>
      <c r="AL316" s="10"/>
    </row>
    <row r="317" spans="1:38" ht="13.2">
      <c r="A317" s="1"/>
      <c r="B317" s="1"/>
      <c r="C317" s="67"/>
      <c r="D317" s="1"/>
      <c r="E317" s="1"/>
      <c r="F317" s="10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68"/>
      <c r="R317" s="10"/>
      <c r="S317" s="1"/>
      <c r="T317" s="1"/>
      <c r="U317" s="1"/>
      <c r="V317" s="2"/>
      <c r="W317" s="10"/>
      <c r="X317" s="10"/>
      <c r="Y317" s="10"/>
      <c r="Z317" s="10"/>
      <c r="AA317" s="10"/>
      <c r="AB317" s="10"/>
      <c r="AC317" s="20"/>
      <c r="AD317" s="20"/>
      <c r="AE317" s="10"/>
      <c r="AF317" s="10"/>
      <c r="AG317" s="10"/>
      <c r="AH317" s="10"/>
      <c r="AI317" s="10"/>
      <c r="AJ317" s="20"/>
      <c r="AK317" s="20"/>
      <c r="AL317" s="10"/>
    </row>
    <row r="318" spans="1:38" ht="13.2">
      <c r="A318" s="1"/>
      <c r="B318" s="1"/>
      <c r="C318" s="67"/>
      <c r="D318" s="1"/>
      <c r="E318" s="1"/>
      <c r="F318" s="10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68"/>
      <c r="R318" s="10"/>
      <c r="S318" s="1"/>
      <c r="T318" s="1"/>
      <c r="U318" s="1"/>
      <c r="V318" s="2"/>
      <c r="W318" s="2"/>
      <c r="X318" s="2"/>
      <c r="Y318" s="2"/>
      <c r="Z318" s="2"/>
      <c r="AA318" s="2"/>
      <c r="AB318" s="2"/>
      <c r="AC318" s="14"/>
      <c r="AD318" s="14"/>
      <c r="AE318" s="2"/>
      <c r="AF318" s="2"/>
      <c r="AG318" s="2"/>
      <c r="AH318" s="2"/>
      <c r="AI318" s="2"/>
      <c r="AJ318" s="14"/>
      <c r="AK318" s="14"/>
      <c r="AL318" s="2"/>
    </row>
    <row r="319" spans="1:38" ht="15.6">
      <c r="A319" s="1"/>
      <c r="B319" s="28"/>
      <c r="C319" s="17"/>
      <c r="D319" s="29" t="s">
        <v>500</v>
      </c>
      <c r="E319" s="225" t="s">
        <v>522</v>
      </c>
      <c r="F319" s="194"/>
      <c r="G319" s="194"/>
      <c r="H319" s="19"/>
      <c r="I319" s="30"/>
      <c r="J319" s="30"/>
      <c r="K319" s="30"/>
      <c r="L319" s="30"/>
      <c r="M319" s="30"/>
      <c r="N319" s="30"/>
      <c r="O319" s="30"/>
      <c r="P319" s="29" t="s">
        <v>493</v>
      </c>
      <c r="Q319" s="207" t="s">
        <v>0</v>
      </c>
      <c r="R319" s="194"/>
      <c r="S319" s="19"/>
      <c r="T319" s="6"/>
      <c r="U319" s="31"/>
      <c r="V319" s="2"/>
      <c r="W319" s="10"/>
      <c r="X319" s="10"/>
      <c r="Y319" s="10"/>
      <c r="Z319" s="10"/>
      <c r="AA319" s="10"/>
      <c r="AB319" s="10"/>
      <c r="AC319" s="20"/>
      <c r="AD319" s="20"/>
      <c r="AE319" s="10"/>
      <c r="AF319" s="10"/>
      <c r="AG319" s="10"/>
      <c r="AH319" s="10"/>
      <c r="AI319" s="10"/>
      <c r="AJ319" s="20"/>
      <c r="AK319" s="20"/>
      <c r="AL319" s="10"/>
    </row>
    <row r="320" spans="1:38" ht="15.6">
      <c r="A320" s="1"/>
      <c r="B320" s="32"/>
      <c r="C320" s="16"/>
      <c r="D320" s="33" t="s">
        <v>494</v>
      </c>
      <c r="E320" s="30"/>
      <c r="F320" s="34"/>
      <c r="G320" s="19"/>
      <c r="H320" s="19"/>
      <c r="I320" s="19"/>
      <c r="J320" s="19"/>
      <c r="K320" s="19"/>
      <c r="L320" s="19"/>
      <c r="M320" s="19"/>
      <c r="N320" s="19"/>
      <c r="O320" s="19"/>
      <c r="P320" s="35" t="s">
        <v>98</v>
      </c>
      <c r="Q320" s="208" t="s">
        <v>99</v>
      </c>
      <c r="R320" s="194"/>
      <c r="S320" s="194"/>
      <c r="T320" s="194"/>
      <c r="U320" s="19"/>
      <c r="V320" s="2"/>
      <c r="W320" s="10"/>
      <c r="X320" s="10"/>
      <c r="Y320" s="10"/>
      <c r="Z320" s="10"/>
      <c r="AA320" s="10"/>
      <c r="AB320" s="10"/>
      <c r="AC320" s="20"/>
      <c r="AD320" s="20"/>
      <c r="AE320" s="10"/>
      <c r="AF320" s="10"/>
      <c r="AG320" s="10"/>
      <c r="AH320" s="10"/>
      <c r="AI320" s="10"/>
      <c r="AJ320" s="20"/>
      <c r="AK320" s="20"/>
      <c r="AL320" s="10"/>
    </row>
    <row r="321" spans="1:38" ht="15.6">
      <c r="A321" s="1"/>
      <c r="B321" s="7"/>
      <c r="C321" s="36"/>
      <c r="D321" s="30"/>
      <c r="E321" s="30"/>
      <c r="F321" s="34"/>
      <c r="G321" s="19"/>
      <c r="H321" s="19"/>
      <c r="I321" s="19"/>
      <c r="J321" s="19"/>
      <c r="K321" s="19"/>
      <c r="L321" s="19"/>
      <c r="M321" s="19"/>
      <c r="N321" s="19"/>
      <c r="O321" s="19"/>
      <c r="P321" s="30"/>
      <c r="Q321" s="37"/>
      <c r="R321" s="38"/>
      <c r="S321" s="19"/>
      <c r="T321" s="19"/>
      <c r="U321" s="19"/>
      <c r="V321" s="2"/>
      <c r="W321" s="15"/>
      <c r="X321" s="39"/>
      <c r="Y321" s="40"/>
      <c r="Z321" s="41"/>
      <c r="AA321" s="41"/>
      <c r="AB321" s="40"/>
      <c r="AC321" s="40"/>
      <c r="AD321" s="40"/>
      <c r="AE321" s="40"/>
      <c r="AF321" s="40"/>
      <c r="AG321" s="40"/>
      <c r="AH321" s="40"/>
      <c r="AI321" s="15"/>
      <c r="AJ321" s="40"/>
      <c r="AK321" s="40"/>
      <c r="AL321" s="40"/>
    </row>
    <row r="322" spans="1:38" ht="15.6">
      <c r="A322" s="1"/>
      <c r="B322" s="8"/>
      <c r="C322" s="226" t="s">
        <v>20</v>
      </c>
      <c r="D322" s="204"/>
      <c r="E322" s="203" t="s">
        <v>14</v>
      </c>
      <c r="F322" s="204"/>
      <c r="G322" s="204"/>
      <c r="H322" s="42"/>
      <c r="I322" s="43"/>
      <c r="J322" s="44"/>
      <c r="K322" s="44"/>
      <c r="L322" s="44"/>
      <c r="M322" s="44"/>
      <c r="N322" s="9"/>
      <c r="O322" s="209" t="s">
        <v>20</v>
      </c>
      <c r="P322" s="204"/>
      <c r="Q322" s="205" t="s">
        <v>15</v>
      </c>
      <c r="R322" s="204"/>
      <c r="S322" s="204"/>
      <c r="T322" s="45"/>
      <c r="U322" s="46"/>
      <c r="V322" s="2"/>
      <c r="W322" s="39"/>
      <c r="X322" s="40"/>
      <c r="Y322" s="41"/>
      <c r="Z322" s="210"/>
      <c r="AA322" s="194"/>
      <c r="AB322" s="41"/>
      <c r="AC322" s="10"/>
      <c r="AD322" s="41"/>
      <c r="AE322" s="210"/>
      <c r="AF322" s="194"/>
      <c r="AG322" s="210"/>
      <c r="AH322" s="194"/>
      <c r="AI322" s="47"/>
      <c r="AJ322" s="10"/>
      <c r="AK322" s="41"/>
      <c r="AL322" s="41"/>
    </row>
    <row r="323" spans="1:38" ht="15.6">
      <c r="A323" s="1"/>
      <c r="B323" s="43"/>
      <c r="C323" s="223" t="s">
        <v>2</v>
      </c>
      <c r="D323" s="193"/>
      <c r="E323" s="224">
        <v>23</v>
      </c>
      <c r="F323" s="204"/>
      <c r="G323" s="204"/>
      <c r="H323" s="48"/>
      <c r="I323" s="43"/>
      <c r="J323" s="49"/>
      <c r="K323" s="49"/>
      <c r="L323" s="49"/>
      <c r="M323" s="49"/>
      <c r="N323" s="9"/>
      <c r="O323" s="211" t="s">
        <v>2</v>
      </c>
      <c r="P323" s="193"/>
      <c r="Q323" s="212">
        <v>17</v>
      </c>
      <c r="R323" s="204"/>
      <c r="S323" s="204"/>
      <c r="T323" s="50"/>
      <c r="U323" s="46"/>
      <c r="V323" s="2"/>
      <c r="W323" s="47"/>
      <c r="X323" s="51"/>
      <c r="Y323" s="41"/>
      <c r="Z323" s="210"/>
      <c r="AA323" s="194"/>
      <c r="AB323" s="10"/>
      <c r="AC323" s="10"/>
      <c r="AD323" s="41"/>
      <c r="AE323" s="210"/>
      <c r="AF323" s="194"/>
      <c r="AG323" s="210"/>
      <c r="AH323" s="194"/>
      <c r="AI323" s="47"/>
      <c r="AJ323" s="10"/>
      <c r="AK323" s="41"/>
      <c r="AL323" s="41"/>
    </row>
    <row r="324" spans="1:38" ht="13.2">
      <c r="A324" s="1"/>
      <c r="B324" s="52"/>
      <c r="C324" s="53" t="s">
        <v>495</v>
      </c>
      <c r="D324" s="213" t="s">
        <v>14</v>
      </c>
      <c r="E324" s="193"/>
      <c r="F324" s="54" t="s">
        <v>21</v>
      </c>
      <c r="G324" s="55" t="s">
        <v>496</v>
      </c>
      <c r="H324" s="55"/>
      <c r="I324" s="56"/>
      <c r="J324" s="11"/>
      <c r="K324" s="11"/>
      <c r="L324" s="11"/>
      <c r="M324" s="57"/>
      <c r="N324" s="56"/>
      <c r="O324" s="53" t="s">
        <v>495</v>
      </c>
      <c r="P324" s="213" t="s">
        <v>15</v>
      </c>
      <c r="Q324" s="193"/>
      <c r="R324" s="54" t="s">
        <v>21</v>
      </c>
      <c r="S324" s="55" t="s">
        <v>496</v>
      </c>
      <c r="T324" s="55"/>
      <c r="U324" s="56"/>
      <c r="V324" s="2"/>
      <c r="W324" s="39" t="s">
        <v>495</v>
      </c>
      <c r="X324" s="58" t="s">
        <v>497</v>
      </c>
      <c r="Y324" s="41" t="s">
        <v>496</v>
      </c>
      <c r="Z324" s="41" t="s">
        <v>21</v>
      </c>
      <c r="AA324" s="41"/>
      <c r="AB324" s="58"/>
      <c r="AC324" s="58"/>
      <c r="AD324" s="41"/>
      <c r="AE324" s="41"/>
      <c r="AF324" s="41"/>
      <c r="AG324" s="41"/>
      <c r="AH324" s="41"/>
      <c r="AI324" s="39"/>
      <c r="AJ324" s="58" t="s">
        <v>497</v>
      </c>
      <c r="AK324" s="41" t="s">
        <v>496</v>
      </c>
      <c r="AL324" s="41" t="s">
        <v>21</v>
      </c>
    </row>
    <row r="325" spans="1:38" ht="13.2">
      <c r="A325" s="1"/>
      <c r="B325" s="59"/>
      <c r="C325" s="60">
        <v>1</v>
      </c>
      <c r="D325" s="206" t="s">
        <v>398</v>
      </c>
      <c r="E325" s="201"/>
      <c r="F325" s="61">
        <v>74.75</v>
      </c>
      <c r="G325" s="60" t="s">
        <v>76</v>
      </c>
      <c r="H325" s="60"/>
      <c r="I325" s="62"/>
      <c r="J325" s="11"/>
      <c r="K325" s="11"/>
      <c r="L325" s="11"/>
      <c r="M325" s="11"/>
      <c r="N325" s="59"/>
      <c r="O325" s="60">
        <v>1</v>
      </c>
      <c r="P325" s="206" t="s">
        <v>407</v>
      </c>
      <c r="Q325" s="202"/>
      <c r="R325" s="61">
        <v>70.75</v>
      </c>
      <c r="S325" s="60" t="s">
        <v>68</v>
      </c>
      <c r="T325" s="60"/>
      <c r="U325" s="62"/>
      <c r="V325" s="2"/>
      <c r="W325" s="63">
        <v>1</v>
      </c>
      <c r="X325" s="64" t="s">
        <v>398</v>
      </c>
      <c r="Y325" s="20" t="s">
        <v>76</v>
      </c>
      <c r="Z325" s="20">
        <v>74.75</v>
      </c>
      <c r="AA325" s="20"/>
      <c r="AB325" s="64"/>
      <c r="AC325" s="64"/>
      <c r="AD325" s="20"/>
      <c r="AE325" s="20"/>
      <c r="AF325" s="20"/>
      <c r="AG325" s="65"/>
      <c r="AH325" s="66"/>
      <c r="AI325" s="40"/>
      <c r="AJ325" s="64" t="s">
        <v>407</v>
      </c>
      <c r="AK325" s="20" t="s">
        <v>68</v>
      </c>
      <c r="AL325" s="20">
        <v>70.75</v>
      </c>
    </row>
    <row r="326" spans="1:38" ht="13.2">
      <c r="A326" s="1"/>
      <c r="B326" s="59"/>
      <c r="C326" s="60">
        <v>2</v>
      </c>
      <c r="D326" s="206" t="s">
        <v>405</v>
      </c>
      <c r="E326" s="201"/>
      <c r="F326" s="61">
        <v>74.7</v>
      </c>
      <c r="G326" s="60" t="s">
        <v>138</v>
      </c>
      <c r="H326" s="60"/>
      <c r="I326" s="62"/>
      <c r="J326" s="11"/>
      <c r="K326" s="11"/>
      <c r="L326" s="11"/>
      <c r="M326" s="11"/>
      <c r="N326" s="59"/>
      <c r="O326" s="60">
        <v>2</v>
      </c>
      <c r="P326" s="206" t="s">
        <v>400</v>
      </c>
      <c r="Q326" s="201"/>
      <c r="R326" s="61">
        <v>68.650000000000006</v>
      </c>
      <c r="S326" s="60" t="s">
        <v>24</v>
      </c>
      <c r="T326" s="60"/>
      <c r="U326" s="62"/>
      <c r="V326" s="2"/>
      <c r="W326" s="63">
        <v>2</v>
      </c>
      <c r="X326" s="64" t="s">
        <v>405</v>
      </c>
      <c r="Y326" s="20" t="s">
        <v>138</v>
      </c>
      <c r="Z326" s="20">
        <v>74.7</v>
      </c>
      <c r="AA326" s="20"/>
      <c r="AB326" s="10"/>
      <c r="AC326" s="10"/>
      <c r="AD326" s="20"/>
      <c r="AE326" s="20"/>
      <c r="AF326" s="20"/>
      <c r="AG326" s="65"/>
      <c r="AH326" s="66"/>
      <c r="AI326" s="40"/>
      <c r="AJ326" s="10" t="s">
        <v>400</v>
      </c>
      <c r="AK326" s="20" t="s">
        <v>24</v>
      </c>
      <c r="AL326" s="20">
        <v>68.650000000000006</v>
      </c>
    </row>
    <row r="327" spans="1:38" ht="13.2">
      <c r="A327" s="1"/>
      <c r="B327" s="59"/>
      <c r="C327" s="60">
        <v>3</v>
      </c>
      <c r="D327" s="206" t="s">
        <v>382</v>
      </c>
      <c r="E327" s="201"/>
      <c r="F327" s="61">
        <v>74.599999999999994</v>
      </c>
      <c r="G327" s="60" t="s">
        <v>134</v>
      </c>
      <c r="H327" s="60"/>
      <c r="I327" s="62"/>
      <c r="J327" s="11"/>
      <c r="K327" s="11"/>
      <c r="L327" s="11"/>
      <c r="M327" s="11"/>
      <c r="N327" s="59"/>
      <c r="O327" s="60">
        <v>3</v>
      </c>
      <c r="P327" s="206" t="s">
        <v>404</v>
      </c>
      <c r="Q327" s="201"/>
      <c r="R327" s="61">
        <v>67.599999999999994</v>
      </c>
      <c r="S327" s="60" t="s">
        <v>24</v>
      </c>
      <c r="T327" s="60"/>
      <c r="U327" s="62"/>
      <c r="V327" s="2"/>
      <c r="W327" s="63">
        <v>3</v>
      </c>
      <c r="X327" s="64" t="s">
        <v>382</v>
      </c>
      <c r="Y327" s="20" t="s">
        <v>134</v>
      </c>
      <c r="Z327" s="20">
        <v>74.599999999999994</v>
      </c>
      <c r="AA327" s="20"/>
      <c r="AB327" s="10"/>
      <c r="AC327" s="10"/>
      <c r="AD327" s="20"/>
      <c r="AE327" s="20"/>
      <c r="AF327" s="20"/>
      <c r="AG327" s="65"/>
      <c r="AH327" s="66"/>
      <c r="AI327" s="40"/>
      <c r="AJ327" s="10" t="s">
        <v>404</v>
      </c>
      <c r="AK327" s="20" t="s">
        <v>24</v>
      </c>
      <c r="AL327" s="20">
        <v>67.599999999999994</v>
      </c>
    </row>
    <row r="328" spans="1:38" ht="13.2">
      <c r="A328" s="1"/>
      <c r="B328" s="59"/>
      <c r="C328" s="60">
        <v>4</v>
      </c>
      <c r="D328" s="206" t="s">
        <v>414</v>
      </c>
      <c r="E328" s="201"/>
      <c r="F328" s="61">
        <v>74.3</v>
      </c>
      <c r="G328" s="60" t="s">
        <v>129</v>
      </c>
      <c r="H328" s="60"/>
      <c r="I328" s="62"/>
      <c r="J328" s="11"/>
      <c r="K328" s="11"/>
      <c r="L328" s="11"/>
      <c r="M328" s="11"/>
      <c r="N328" s="59"/>
      <c r="O328" s="60">
        <v>4</v>
      </c>
      <c r="P328" s="206" t="s">
        <v>389</v>
      </c>
      <c r="Q328" s="201"/>
      <c r="R328" s="61">
        <v>65.2</v>
      </c>
      <c r="S328" s="60" t="s">
        <v>52</v>
      </c>
      <c r="T328" s="60"/>
      <c r="U328" s="62"/>
      <c r="V328" s="2"/>
      <c r="W328" s="63">
        <v>4</v>
      </c>
      <c r="X328" s="64" t="s">
        <v>414</v>
      </c>
      <c r="Y328" s="20" t="s">
        <v>129</v>
      </c>
      <c r="Z328" s="20">
        <v>74.3</v>
      </c>
      <c r="AA328" s="20"/>
      <c r="AB328" s="10"/>
      <c r="AC328" s="10"/>
      <c r="AD328" s="20"/>
      <c r="AE328" s="20"/>
      <c r="AF328" s="20"/>
      <c r="AG328" s="65"/>
      <c r="AH328" s="66"/>
      <c r="AI328" s="40"/>
      <c r="AJ328" s="10" t="s">
        <v>389</v>
      </c>
      <c r="AK328" s="20" t="s">
        <v>52</v>
      </c>
      <c r="AL328" s="20">
        <v>65.2</v>
      </c>
    </row>
    <row r="329" spans="1:38" ht="13.2">
      <c r="A329" s="1"/>
      <c r="B329" s="59"/>
      <c r="C329" s="60">
        <v>5</v>
      </c>
      <c r="D329" s="206" t="s">
        <v>410</v>
      </c>
      <c r="E329" s="201"/>
      <c r="F329" s="61">
        <v>71.25</v>
      </c>
      <c r="G329" s="60" t="s">
        <v>55</v>
      </c>
      <c r="H329" s="60"/>
      <c r="I329" s="62"/>
      <c r="J329" s="11"/>
      <c r="K329" s="11"/>
      <c r="L329" s="11"/>
      <c r="M329" s="11"/>
      <c r="N329" s="59"/>
      <c r="O329" s="60">
        <v>5</v>
      </c>
      <c r="P329" s="206" t="s">
        <v>409</v>
      </c>
      <c r="Q329" s="201"/>
      <c r="R329" s="61">
        <v>65.099999999999994</v>
      </c>
      <c r="S329" s="60" t="s">
        <v>97</v>
      </c>
      <c r="T329" s="60"/>
      <c r="U329" s="62"/>
      <c r="V329" s="2"/>
      <c r="W329" s="63">
        <v>5</v>
      </c>
      <c r="X329" s="64" t="s">
        <v>410</v>
      </c>
      <c r="Y329" s="20" t="s">
        <v>55</v>
      </c>
      <c r="Z329" s="20">
        <v>71.25</v>
      </c>
      <c r="AA329" s="20"/>
      <c r="AB329" s="10"/>
      <c r="AC329" s="10"/>
      <c r="AD329" s="20"/>
      <c r="AE329" s="20"/>
      <c r="AF329" s="20"/>
      <c r="AG329" s="65"/>
      <c r="AH329" s="66"/>
      <c r="AI329" s="40"/>
      <c r="AJ329" s="10" t="s">
        <v>409</v>
      </c>
      <c r="AK329" s="20" t="s">
        <v>97</v>
      </c>
      <c r="AL329" s="20">
        <v>65.099999999999994</v>
      </c>
    </row>
    <row r="330" spans="1:38" ht="13.2">
      <c r="A330" s="1"/>
      <c r="B330" s="59"/>
      <c r="C330" s="60">
        <v>6</v>
      </c>
      <c r="D330" s="206" t="s">
        <v>412</v>
      </c>
      <c r="E330" s="201"/>
      <c r="F330" s="61">
        <v>71.150000000000006</v>
      </c>
      <c r="G330" s="60" t="s">
        <v>106</v>
      </c>
      <c r="H330" s="60"/>
      <c r="I330" s="62"/>
      <c r="J330" s="11"/>
      <c r="K330" s="11"/>
      <c r="L330" s="11"/>
      <c r="M330" s="11"/>
      <c r="N330" s="59"/>
      <c r="O330" s="60">
        <v>6</v>
      </c>
      <c r="P330" s="206" t="s">
        <v>388</v>
      </c>
      <c r="Q330" s="201"/>
      <c r="R330" s="61">
        <v>64.150000000000006</v>
      </c>
      <c r="S330" s="60" t="s">
        <v>68</v>
      </c>
      <c r="T330" s="60"/>
      <c r="U330" s="62"/>
      <c r="V330" s="2"/>
      <c r="W330" s="63">
        <v>6</v>
      </c>
      <c r="X330" s="64" t="s">
        <v>412</v>
      </c>
      <c r="Y330" s="20" t="s">
        <v>106</v>
      </c>
      <c r="Z330" s="20">
        <v>71.150000000000006</v>
      </c>
      <c r="AA330" s="20"/>
      <c r="AB330" s="10"/>
      <c r="AC330" s="10"/>
      <c r="AD330" s="20"/>
      <c r="AE330" s="20"/>
      <c r="AF330" s="20"/>
      <c r="AG330" s="65"/>
      <c r="AH330" s="66"/>
      <c r="AI330" s="40"/>
      <c r="AJ330" s="10" t="s">
        <v>388</v>
      </c>
      <c r="AK330" s="20" t="s">
        <v>68</v>
      </c>
      <c r="AL330" s="20">
        <v>64.150000000000006</v>
      </c>
    </row>
    <row r="331" spans="1:38" ht="13.2">
      <c r="A331" s="1"/>
      <c r="B331" s="59"/>
      <c r="C331" s="60">
        <v>7</v>
      </c>
      <c r="D331" s="206" t="s">
        <v>380</v>
      </c>
      <c r="E331" s="201"/>
      <c r="F331" s="61">
        <v>70.5</v>
      </c>
      <c r="G331" s="60" t="s">
        <v>28</v>
      </c>
      <c r="H331" s="60"/>
      <c r="I331" s="62"/>
      <c r="J331" s="11"/>
      <c r="K331" s="11"/>
      <c r="L331" s="11"/>
      <c r="M331" s="11"/>
      <c r="N331" s="59"/>
      <c r="O331" s="60">
        <v>7</v>
      </c>
      <c r="P331" s="206" t="s">
        <v>391</v>
      </c>
      <c r="Q331" s="201"/>
      <c r="R331" s="61">
        <v>63.5</v>
      </c>
      <c r="S331" s="60" t="s">
        <v>138</v>
      </c>
      <c r="T331" s="60"/>
      <c r="U331" s="62"/>
      <c r="V331" s="2"/>
      <c r="W331" s="63">
        <v>7</v>
      </c>
      <c r="X331" s="64" t="s">
        <v>380</v>
      </c>
      <c r="Y331" s="20" t="s">
        <v>28</v>
      </c>
      <c r="Z331" s="20">
        <v>70.5</v>
      </c>
      <c r="AA331" s="20"/>
      <c r="AB331" s="10"/>
      <c r="AC331" s="10"/>
      <c r="AD331" s="20"/>
      <c r="AE331" s="20"/>
      <c r="AF331" s="20"/>
      <c r="AG331" s="65"/>
      <c r="AH331" s="66"/>
      <c r="AI331" s="40"/>
      <c r="AJ331" s="10" t="s">
        <v>391</v>
      </c>
      <c r="AK331" s="20" t="s">
        <v>138</v>
      </c>
      <c r="AL331" s="20">
        <v>63.5</v>
      </c>
    </row>
    <row r="332" spans="1:38" ht="13.2">
      <c r="A332" s="1"/>
      <c r="B332" s="59"/>
      <c r="C332" s="60">
        <v>8</v>
      </c>
      <c r="D332" s="206" t="s">
        <v>406</v>
      </c>
      <c r="E332" s="201"/>
      <c r="F332" s="61">
        <v>67.75</v>
      </c>
      <c r="G332" s="60" t="s">
        <v>79</v>
      </c>
      <c r="H332" s="60"/>
      <c r="I332" s="62"/>
      <c r="J332" s="11"/>
      <c r="K332" s="11"/>
      <c r="L332" s="11"/>
      <c r="M332" s="11"/>
      <c r="N332" s="59"/>
      <c r="O332" s="60">
        <v>8</v>
      </c>
      <c r="P332" s="206" t="s">
        <v>383</v>
      </c>
      <c r="Q332" s="201"/>
      <c r="R332" s="61">
        <v>58.8</v>
      </c>
      <c r="S332" s="60" t="s">
        <v>42</v>
      </c>
      <c r="T332" s="60"/>
      <c r="U332" s="62"/>
      <c r="V332" s="2"/>
      <c r="W332" s="63">
        <v>8</v>
      </c>
      <c r="X332" s="64" t="s">
        <v>406</v>
      </c>
      <c r="Y332" s="20" t="s">
        <v>79</v>
      </c>
      <c r="Z332" s="20">
        <v>67.75</v>
      </c>
      <c r="AA332" s="20"/>
      <c r="AB332" s="10"/>
      <c r="AC332" s="10"/>
      <c r="AD332" s="20"/>
      <c r="AE332" s="20"/>
      <c r="AF332" s="20"/>
      <c r="AG332" s="65"/>
      <c r="AH332" s="66"/>
      <c r="AI332" s="40"/>
      <c r="AJ332" s="10" t="s">
        <v>383</v>
      </c>
      <c r="AK332" s="20" t="s">
        <v>42</v>
      </c>
      <c r="AL332" s="20">
        <v>58.8</v>
      </c>
    </row>
    <row r="333" spans="1:38" ht="13.2">
      <c r="A333" s="1"/>
      <c r="B333" s="59"/>
      <c r="C333" s="60">
        <v>9</v>
      </c>
      <c r="D333" s="206" t="s">
        <v>392</v>
      </c>
      <c r="E333" s="201"/>
      <c r="F333" s="61">
        <v>66.7</v>
      </c>
      <c r="G333" s="60" t="s">
        <v>68</v>
      </c>
      <c r="H333" s="60"/>
      <c r="I333" s="62"/>
      <c r="J333" s="11"/>
      <c r="K333" s="11"/>
      <c r="L333" s="11"/>
      <c r="M333" s="11"/>
      <c r="N333" s="59"/>
      <c r="O333" s="60">
        <v>9</v>
      </c>
      <c r="P333" s="206" t="s">
        <v>386</v>
      </c>
      <c r="Q333" s="201"/>
      <c r="R333" s="61">
        <v>52.35</v>
      </c>
      <c r="S333" s="60" t="s">
        <v>76</v>
      </c>
      <c r="T333" s="60"/>
      <c r="U333" s="62"/>
      <c r="V333" s="2"/>
      <c r="W333" s="63">
        <v>9</v>
      </c>
      <c r="X333" s="64" t="s">
        <v>392</v>
      </c>
      <c r="Y333" s="20" t="s">
        <v>68</v>
      </c>
      <c r="Z333" s="20">
        <v>66.7</v>
      </c>
      <c r="AA333" s="20"/>
      <c r="AB333" s="10"/>
      <c r="AC333" s="10"/>
      <c r="AD333" s="20"/>
      <c r="AE333" s="20"/>
      <c r="AF333" s="20"/>
      <c r="AG333" s="65"/>
      <c r="AH333" s="66"/>
      <c r="AI333" s="40"/>
      <c r="AJ333" s="10" t="s">
        <v>386</v>
      </c>
      <c r="AK333" s="20" t="s">
        <v>76</v>
      </c>
      <c r="AL333" s="20">
        <v>52.35</v>
      </c>
    </row>
    <row r="334" spans="1:38" ht="13.2">
      <c r="A334" s="1"/>
      <c r="B334" s="59"/>
      <c r="C334" s="60">
        <v>10</v>
      </c>
      <c r="D334" s="206" t="s">
        <v>413</v>
      </c>
      <c r="E334" s="201"/>
      <c r="F334" s="61">
        <v>63.7</v>
      </c>
      <c r="G334" s="60" t="s">
        <v>55</v>
      </c>
      <c r="H334" s="60"/>
      <c r="I334" s="62"/>
      <c r="J334" s="11"/>
      <c r="K334" s="11"/>
      <c r="L334" s="11"/>
      <c r="M334" s="11"/>
      <c r="N334" s="59"/>
      <c r="O334" s="60">
        <v>10</v>
      </c>
      <c r="P334" s="206" t="s">
        <v>381</v>
      </c>
      <c r="Q334" s="201"/>
      <c r="R334" s="61">
        <v>49.3</v>
      </c>
      <c r="S334" s="60" t="s">
        <v>30</v>
      </c>
      <c r="T334" s="60"/>
      <c r="U334" s="62"/>
      <c r="V334" s="2"/>
      <c r="W334" s="63">
        <v>10</v>
      </c>
      <c r="X334" s="64" t="s">
        <v>413</v>
      </c>
      <c r="Y334" s="20" t="s">
        <v>55</v>
      </c>
      <c r="Z334" s="20">
        <v>63.7</v>
      </c>
      <c r="AA334" s="20"/>
      <c r="AB334" s="10"/>
      <c r="AC334" s="10"/>
      <c r="AD334" s="20"/>
      <c r="AE334" s="20"/>
      <c r="AF334" s="20"/>
      <c r="AG334" s="65"/>
      <c r="AH334" s="66"/>
      <c r="AI334" s="40"/>
      <c r="AJ334" s="10" t="s">
        <v>381</v>
      </c>
      <c r="AK334" s="20" t="s">
        <v>30</v>
      </c>
      <c r="AL334" s="20">
        <v>49.3</v>
      </c>
    </row>
    <row r="335" spans="1:38" ht="13.2">
      <c r="A335" s="1"/>
      <c r="B335" s="59"/>
      <c r="C335" s="60">
        <v>11</v>
      </c>
      <c r="D335" s="206" t="s">
        <v>393</v>
      </c>
      <c r="E335" s="201"/>
      <c r="F335" s="61">
        <v>62.1</v>
      </c>
      <c r="G335" s="60" t="s">
        <v>68</v>
      </c>
      <c r="H335" s="60"/>
      <c r="I335" s="62"/>
      <c r="J335" s="11"/>
      <c r="K335" s="11"/>
      <c r="L335" s="11"/>
      <c r="M335" s="11"/>
      <c r="N335" s="59"/>
      <c r="O335" s="60">
        <v>11</v>
      </c>
      <c r="P335" s="206" t="s">
        <v>384</v>
      </c>
      <c r="Q335" s="201"/>
      <c r="R335" s="61">
        <v>47.15</v>
      </c>
      <c r="S335" s="60" t="s">
        <v>68</v>
      </c>
      <c r="T335" s="60"/>
      <c r="U335" s="62"/>
      <c r="V335" s="2"/>
      <c r="W335" s="63">
        <v>11</v>
      </c>
      <c r="X335" s="64" t="s">
        <v>393</v>
      </c>
      <c r="Y335" s="20" t="s">
        <v>68</v>
      </c>
      <c r="Z335" s="20">
        <v>62.1</v>
      </c>
      <c r="AA335" s="20"/>
      <c r="AB335" s="10"/>
      <c r="AC335" s="10"/>
      <c r="AD335" s="20"/>
      <c r="AE335" s="20"/>
      <c r="AF335" s="20"/>
      <c r="AG335" s="65"/>
      <c r="AH335" s="66"/>
      <c r="AI335" s="40"/>
      <c r="AJ335" s="10" t="s">
        <v>384</v>
      </c>
      <c r="AK335" s="20" t="s">
        <v>68</v>
      </c>
      <c r="AL335" s="20">
        <v>47.15</v>
      </c>
    </row>
    <row r="336" spans="1:38" ht="13.2">
      <c r="A336" s="1"/>
      <c r="B336" s="59"/>
      <c r="C336" s="60">
        <v>12</v>
      </c>
      <c r="D336" s="206" t="s">
        <v>417</v>
      </c>
      <c r="E336" s="201"/>
      <c r="F336" s="61">
        <v>62</v>
      </c>
      <c r="G336" s="60" t="s">
        <v>59</v>
      </c>
      <c r="H336" s="60"/>
      <c r="I336" s="62"/>
      <c r="J336" s="11"/>
      <c r="K336" s="11"/>
      <c r="L336" s="11"/>
      <c r="M336" s="11"/>
      <c r="N336" s="59"/>
      <c r="O336" s="60">
        <v>12</v>
      </c>
      <c r="P336" s="206" t="s">
        <v>394</v>
      </c>
      <c r="Q336" s="201"/>
      <c r="R336" s="61">
        <v>46.55</v>
      </c>
      <c r="S336" s="60" t="s">
        <v>30</v>
      </c>
      <c r="T336" s="60"/>
      <c r="U336" s="62"/>
      <c r="V336" s="2"/>
      <c r="W336" s="63">
        <v>12</v>
      </c>
      <c r="X336" s="64" t="s">
        <v>417</v>
      </c>
      <c r="Y336" s="20" t="s">
        <v>59</v>
      </c>
      <c r="Z336" s="20">
        <v>62</v>
      </c>
      <c r="AA336" s="20"/>
      <c r="AB336" s="10"/>
      <c r="AC336" s="10"/>
      <c r="AD336" s="20"/>
      <c r="AE336" s="20"/>
      <c r="AF336" s="20"/>
      <c r="AG336" s="65"/>
      <c r="AH336" s="66"/>
      <c r="AI336" s="40"/>
      <c r="AJ336" s="10" t="s">
        <v>394</v>
      </c>
      <c r="AK336" s="20" t="s">
        <v>30</v>
      </c>
      <c r="AL336" s="20">
        <v>46.55</v>
      </c>
    </row>
    <row r="337" spans="1:38" ht="13.2">
      <c r="A337" s="1"/>
      <c r="B337" s="59"/>
      <c r="C337" s="60">
        <v>13</v>
      </c>
      <c r="D337" s="206" t="s">
        <v>378</v>
      </c>
      <c r="E337" s="201"/>
      <c r="F337" s="61">
        <v>51.25</v>
      </c>
      <c r="G337" s="60" t="s">
        <v>52</v>
      </c>
      <c r="H337" s="60"/>
      <c r="I337" s="62"/>
      <c r="J337" s="11"/>
      <c r="K337" s="11"/>
      <c r="L337" s="11"/>
      <c r="M337" s="11"/>
      <c r="N337" s="59"/>
      <c r="O337" s="60">
        <v>13</v>
      </c>
      <c r="P337" s="206" t="s">
        <v>403</v>
      </c>
      <c r="Q337" s="201"/>
      <c r="R337" s="61">
        <v>46.5</v>
      </c>
      <c r="S337" s="60" t="s">
        <v>164</v>
      </c>
      <c r="T337" s="60"/>
      <c r="U337" s="62"/>
      <c r="V337" s="2"/>
      <c r="W337" s="63">
        <v>13</v>
      </c>
      <c r="X337" s="64" t="s">
        <v>378</v>
      </c>
      <c r="Y337" s="20" t="s">
        <v>52</v>
      </c>
      <c r="Z337" s="20">
        <v>51.25</v>
      </c>
      <c r="AA337" s="20"/>
      <c r="AB337" s="10"/>
      <c r="AC337" s="10"/>
      <c r="AD337" s="20"/>
      <c r="AE337" s="20"/>
      <c r="AF337" s="20"/>
      <c r="AG337" s="65"/>
      <c r="AH337" s="66"/>
      <c r="AI337" s="40"/>
      <c r="AJ337" s="10" t="s">
        <v>403</v>
      </c>
      <c r="AK337" s="20" t="s">
        <v>164</v>
      </c>
      <c r="AL337" s="20">
        <v>46.5</v>
      </c>
    </row>
    <row r="338" spans="1:38" ht="13.2">
      <c r="A338" s="1"/>
      <c r="B338" s="59"/>
      <c r="C338" s="60">
        <v>14</v>
      </c>
      <c r="D338" s="206" t="s">
        <v>387</v>
      </c>
      <c r="E338" s="201"/>
      <c r="F338" s="61">
        <v>47.9</v>
      </c>
      <c r="G338" s="60" t="s">
        <v>59</v>
      </c>
      <c r="H338" s="60"/>
      <c r="I338" s="62"/>
      <c r="J338" s="11"/>
      <c r="K338" s="11"/>
      <c r="L338" s="11"/>
      <c r="M338" s="11"/>
      <c r="N338" s="59"/>
      <c r="O338" s="60">
        <v>14</v>
      </c>
      <c r="P338" s="206" t="s">
        <v>379</v>
      </c>
      <c r="Q338" s="201"/>
      <c r="R338" s="61">
        <v>42</v>
      </c>
      <c r="S338" s="60" t="s">
        <v>35</v>
      </c>
      <c r="T338" s="60"/>
      <c r="U338" s="62"/>
      <c r="V338" s="2"/>
      <c r="W338" s="63">
        <v>14</v>
      </c>
      <c r="X338" s="64" t="s">
        <v>387</v>
      </c>
      <c r="Y338" s="20" t="s">
        <v>59</v>
      </c>
      <c r="Z338" s="20">
        <v>47.9</v>
      </c>
      <c r="AA338" s="20"/>
      <c r="AB338" s="10"/>
      <c r="AC338" s="10"/>
      <c r="AD338" s="20"/>
      <c r="AE338" s="20"/>
      <c r="AF338" s="20"/>
      <c r="AG338" s="65"/>
      <c r="AH338" s="66"/>
      <c r="AI338" s="40"/>
      <c r="AJ338" s="10" t="s">
        <v>379</v>
      </c>
      <c r="AK338" s="20" t="s">
        <v>35</v>
      </c>
      <c r="AL338" s="20">
        <v>42</v>
      </c>
    </row>
    <row r="339" spans="1:38" ht="13.2">
      <c r="A339" s="1"/>
      <c r="B339" s="59"/>
      <c r="C339" s="60">
        <v>15</v>
      </c>
      <c r="D339" s="206" t="s">
        <v>411</v>
      </c>
      <c r="E339" s="201"/>
      <c r="F339" s="61">
        <v>47.35</v>
      </c>
      <c r="G339" s="60" t="s">
        <v>55</v>
      </c>
      <c r="H339" s="60"/>
      <c r="I339" s="62"/>
      <c r="J339" s="11"/>
      <c r="K339" s="11"/>
      <c r="L339" s="11"/>
      <c r="M339" s="11"/>
      <c r="N339" s="59"/>
      <c r="O339" s="60">
        <v>15</v>
      </c>
      <c r="P339" s="206" t="s">
        <v>402</v>
      </c>
      <c r="Q339" s="201"/>
      <c r="R339" s="61">
        <v>36.450000000000003</v>
      </c>
      <c r="S339" s="60" t="s">
        <v>110</v>
      </c>
      <c r="T339" s="60"/>
      <c r="U339" s="62"/>
      <c r="V339" s="2"/>
      <c r="W339" s="63">
        <v>15</v>
      </c>
      <c r="X339" s="64" t="s">
        <v>411</v>
      </c>
      <c r="Y339" s="20" t="s">
        <v>55</v>
      </c>
      <c r="Z339" s="20">
        <v>47.35</v>
      </c>
      <c r="AA339" s="20"/>
      <c r="AB339" s="10"/>
      <c r="AC339" s="10"/>
      <c r="AD339" s="20"/>
      <c r="AE339" s="20"/>
      <c r="AF339" s="20"/>
      <c r="AG339" s="65"/>
      <c r="AH339" s="66"/>
      <c r="AI339" s="40"/>
      <c r="AJ339" s="10" t="s">
        <v>402</v>
      </c>
      <c r="AK339" s="20" t="s">
        <v>110</v>
      </c>
      <c r="AL339" s="20">
        <v>36.450000000000003</v>
      </c>
    </row>
    <row r="340" spans="1:38" ht="13.2">
      <c r="A340" s="1"/>
      <c r="B340" s="59"/>
      <c r="C340" s="60">
        <v>16</v>
      </c>
      <c r="D340" s="206" t="s">
        <v>408</v>
      </c>
      <c r="E340" s="201"/>
      <c r="F340" s="61">
        <v>44.8</v>
      </c>
      <c r="G340" s="60" t="s">
        <v>55</v>
      </c>
      <c r="H340" s="60"/>
      <c r="I340" s="62"/>
      <c r="J340" s="11"/>
      <c r="K340" s="11"/>
      <c r="L340" s="11"/>
      <c r="M340" s="11"/>
      <c r="N340" s="59"/>
      <c r="O340" s="60">
        <v>16</v>
      </c>
      <c r="P340" s="206" t="s">
        <v>399</v>
      </c>
      <c r="Q340" s="201"/>
      <c r="R340" s="61">
        <v>36.4</v>
      </c>
      <c r="S340" s="60" t="s">
        <v>28</v>
      </c>
      <c r="T340" s="60"/>
      <c r="U340" s="62"/>
      <c r="V340" s="2"/>
      <c r="W340" s="63">
        <v>16</v>
      </c>
      <c r="X340" s="64" t="s">
        <v>408</v>
      </c>
      <c r="Y340" s="20" t="s">
        <v>55</v>
      </c>
      <c r="Z340" s="20">
        <v>44.8</v>
      </c>
      <c r="AA340" s="20"/>
      <c r="AB340" s="10"/>
      <c r="AC340" s="10"/>
      <c r="AD340" s="20"/>
      <c r="AE340" s="20"/>
      <c r="AF340" s="20"/>
      <c r="AG340" s="65"/>
      <c r="AH340" s="66"/>
      <c r="AI340" s="40"/>
      <c r="AJ340" s="10" t="s">
        <v>399</v>
      </c>
      <c r="AK340" s="20" t="s">
        <v>28</v>
      </c>
      <c r="AL340" s="20">
        <v>36.4</v>
      </c>
    </row>
    <row r="341" spans="1:38" ht="13.2">
      <c r="A341" s="1"/>
      <c r="B341" s="59"/>
      <c r="C341" s="60">
        <v>17</v>
      </c>
      <c r="D341" s="206" t="s">
        <v>416</v>
      </c>
      <c r="E341" s="201"/>
      <c r="F341" s="61">
        <v>41.9</v>
      </c>
      <c r="G341" s="60" t="s">
        <v>68</v>
      </c>
      <c r="H341" s="60"/>
      <c r="I341" s="62"/>
      <c r="J341" s="11"/>
      <c r="K341" s="11"/>
      <c r="L341" s="11"/>
      <c r="M341" s="11"/>
      <c r="N341" s="59"/>
      <c r="O341" s="60">
        <v>17</v>
      </c>
      <c r="P341" s="206" t="s">
        <v>396</v>
      </c>
      <c r="Q341" s="201"/>
      <c r="R341" s="61">
        <v>25.5</v>
      </c>
      <c r="S341" s="60" t="s">
        <v>110</v>
      </c>
      <c r="T341" s="60"/>
      <c r="U341" s="62"/>
      <c r="V341" s="2"/>
      <c r="W341" s="63">
        <v>17</v>
      </c>
      <c r="X341" s="64" t="s">
        <v>416</v>
      </c>
      <c r="Y341" s="20" t="s">
        <v>68</v>
      </c>
      <c r="Z341" s="20">
        <v>41.9</v>
      </c>
      <c r="AA341" s="20"/>
      <c r="AB341" s="10"/>
      <c r="AC341" s="10"/>
      <c r="AD341" s="20"/>
      <c r="AE341" s="20"/>
      <c r="AF341" s="20"/>
      <c r="AG341" s="65"/>
      <c r="AH341" s="66"/>
      <c r="AI341" s="40"/>
      <c r="AJ341" s="10" t="s">
        <v>396</v>
      </c>
      <c r="AK341" s="20" t="s">
        <v>110</v>
      </c>
      <c r="AL341" s="20">
        <v>25.5</v>
      </c>
    </row>
    <row r="342" spans="1:38" ht="13.2">
      <c r="A342" s="1"/>
      <c r="B342" s="59"/>
      <c r="C342" s="60">
        <v>18</v>
      </c>
      <c r="D342" s="206" t="s">
        <v>401</v>
      </c>
      <c r="E342" s="201"/>
      <c r="F342" s="61">
        <v>41.85</v>
      </c>
      <c r="G342" s="60" t="s">
        <v>40</v>
      </c>
      <c r="H342" s="60"/>
      <c r="I342" s="62"/>
      <c r="J342" s="11"/>
      <c r="K342" s="11"/>
      <c r="L342" s="11"/>
      <c r="M342" s="11"/>
      <c r="N342" s="59"/>
      <c r="O342" s="60" t="s">
        <v>25</v>
      </c>
      <c r="P342" s="206"/>
      <c r="Q342" s="201"/>
      <c r="R342" s="61"/>
      <c r="S342" s="60"/>
      <c r="T342" s="60"/>
      <c r="U342" s="62"/>
      <c r="V342" s="2"/>
      <c r="W342" s="63">
        <v>18</v>
      </c>
      <c r="X342" s="64" t="s">
        <v>401</v>
      </c>
      <c r="Y342" s="20" t="s">
        <v>40</v>
      </c>
      <c r="Z342" s="20">
        <v>41.85</v>
      </c>
      <c r="AA342" s="20"/>
      <c r="AB342" s="10"/>
      <c r="AC342" s="10"/>
      <c r="AD342" s="20"/>
      <c r="AE342" s="20"/>
      <c r="AF342" s="20"/>
      <c r="AG342" s="65"/>
      <c r="AH342" s="66"/>
      <c r="AI342" s="40"/>
      <c r="AJ342" s="10"/>
      <c r="AK342" s="20"/>
      <c r="AL342" s="20"/>
    </row>
    <row r="343" spans="1:38" ht="13.2">
      <c r="A343" s="1"/>
      <c r="B343" s="59"/>
      <c r="C343" s="60">
        <v>19</v>
      </c>
      <c r="D343" s="206" t="s">
        <v>395</v>
      </c>
      <c r="E343" s="201"/>
      <c r="F343" s="61">
        <v>38</v>
      </c>
      <c r="G343" s="60" t="s">
        <v>55</v>
      </c>
      <c r="H343" s="60"/>
      <c r="I343" s="62"/>
      <c r="J343" s="11"/>
      <c r="K343" s="11"/>
      <c r="L343" s="11"/>
      <c r="M343" s="11"/>
      <c r="N343" s="59"/>
      <c r="O343" s="60" t="s">
        <v>25</v>
      </c>
      <c r="P343" s="206"/>
      <c r="Q343" s="201"/>
      <c r="R343" s="61"/>
      <c r="S343" s="60"/>
      <c r="T343" s="60"/>
      <c r="U343" s="62"/>
      <c r="V343" s="2"/>
      <c r="W343" s="63">
        <v>19</v>
      </c>
      <c r="X343" s="64" t="s">
        <v>395</v>
      </c>
      <c r="Y343" s="20" t="s">
        <v>55</v>
      </c>
      <c r="Z343" s="20">
        <v>38</v>
      </c>
      <c r="AA343" s="20"/>
      <c r="AB343" s="10"/>
      <c r="AC343" s="10"/>
      <c r="AD343" s="20"/>
      <c r="AE343" s="20"/>
      <c r="AF343" s="20"/>
      <c r="AG343" s="65"/>
      <c r="AH343" s="66"/>
      <c r="AI343" s="40"/>
      <c r="AJ343" s="10"/>
      <c r="AK343" s="20"/>
      <c r="AL343" s="20"/>
    </row>
    <row r="344" spans="1:38" ht="13.2">
      <c r="A344" s="1"/>
      <c r="B344" s="59"/>
      <c r="C344" s="60">
        <v>20</v>
      </c>
      <c r="D344" s="206" t="s">
        <v>415</v>
      </c>
      <c r="E344" s="201"/>
      <c r="F344" s="61">
        <v>34.75</v>
      </c>
      <c r="G344" s="60" t="s">
        <v>55</v>
      </c>
      <c r="H344" s="60"/>
      <c r="I344" s="62"/>
      <c r="J344" s="11"/>
      <c r="K344" s="11"/>
      <c r="L344" s="11"/>
      <c r="M344" s="11"/>
      <c r="N344" s="59"/>
      <c r="O344" s="60" t="s">
        <v>25</v>
      </c>
      <c r="P344" s="206"/>
      <c r="Q344" s="201"/>
      <c r="R344" s="61"/>
      <c r="S344" s="60"/>
      <c r="T344" s="60"/>
      <c r="U344" s="62"/>
      <c r="V344" s="2"/>
      <c r="W344" s="63">
        <v>20</v>
      </c>
      <c r="X344" s="64" t="s">
        <v>415</v>
      </c>
      <c r="Y344" s="20" t="s">
        <v>55</v>
      </c>
      <c r="Z344" s="20">
        <v>34.75</v>
      </c>
      <c r="AA344" s="20"/>
      <c r="AB344" s="10"/>
      <c r="AC344" s="10"/>
      <c r="AD344" s="20"/>
      <c r="AE344" s="20"/>
      <c r="AF344" s="20"/>
      <c r="AG344" s="65"/>
      <c r="AH344" s="66"/>
      <c r="AI344" s="40"/>
      <c r="AJ344" s="10"/>
      <c r="AK344" s="20"/>
      <c r="AL344" s="20"/>
    </row>
    <row r="345" spans="1:38" ht="13.2">
      <c r="A345" s="1"/>
      <c r="B345" s="59"/>
      <c r="C345" s="60">
        <v>21</v>
      </c>
      <c r="D345" s="206" t="s">
        <v>385</v>
      </c>
      <c r="E345" s="201"/>
      <c r="F345" s="61">
        <v>34.15</v>
      </c>
      <c r="G345" s="60" t="s">
        <v>54</v>
      </c>
      <c r="H345" s="60"/>
      <c r="I345" s="62"/>
      <c r="J345" s="11"/>
      <c r="K345" s="11"/>
      <c r="L345" s="11"/>
      <c r="M345" s="11"/>
      <c r="N345" s="59"/>
      <c r="O345" s="60" t="s">
        <v>25</v>
      </c>
      <c r="P345" s="206"/>
      <c r="Q345" s="201"/>
      <c r="R345" s="61"/>
      <c r="S345" s="60"/>
      <c r="T345" s="60"/>
      <c r="U345" s="62"/>
      <c r="V345" s="2"/>
      <c r="W345" s="63">
        <v>21</v>
      </c>
      <c r="X345" s="64" t="s">
        <v>385</v>
      </c>
      <c r="Y345" s="20" t="s">
        <v>54</v>
      </c>
      <c r="Z345" s="20">
        <v>34.15</v>
      </c>
      <c r="AA345" s="20"/>
      <c r="AB345" s="10"/>
      <c r="AC345" s="10"/>
      <c r="AD345" s="20"/>
      <c r="AE345" s="20"/>
      <c r="AF345" s="20"/>
      <c r="AG345" s="65"/>
      <c r="AH345" s="66"/>
      <c r="AI345" s="40"/>
      <c r="AJ345" s="10"/>
      <c r="AK345" s="20"/>
      <c r="AL345" s="20"/>
    </row>
    <row r="346" spans="1:38" ht="13.2">
      <c r="A346" s="1"/>
      <c r="B346" s="59"/>
      <c r="C346" s="60">
        <v>22</v>
      </c>
      <c r="D346" s="206" t="s">
        <v>397</v>
      </c>
      <c r="E346" s="201"/>
      <c r="F346" s="61">
        <v>33.1</v>
      </c>
      <c r="G346" s="60" t="s">
        <v>65</v>
      </c>
      <c r="H346" s="60"/>
      <c r="I346" s="62"/>
      <c r="J346" s="11"/>
      <c r="K346" s="11"/>
      <c r="L346" s="11"/>
      <c r="M346" s="11"/>
      <c r="N346" s="59"/>
      <c r="O346" s="60" t="s">
        <v>25</v>
      </c>
      <c r="P346" s="206"/>
      <c r="Q346" s="201"/>
      <c r="R346" s="61"/>
      <c r="S346" s="60"/>
      <c r="T346" s="60"/>
      <c r="U346" s="62"/>
      <c r="V346" s="2"/>
      <c r="W346" s="63">
        <v>22</v>
      </c>
      <c r="X346" s="64" t="s">
        <v>397</v>
      </c>
      <c r="Y346" s="20" t="s">
        <v>65</v>
      </c>
      <c r="Z346" s="20">
        <v>33.1</v>
      </c>
      <c r="AA346" s="20"/>
      <c r="AB346" s="10"/>
      <c r="AC346" s="10"/>
      <c r="AD346" s="20"/>
      <c r="AE346" s="20"/>
      <c r="AF346" s="20"/>
      <c r="AG346" s="65"/>
      <c r="AH346" s="66"/>
      <c r="AI346" s="40"/>
      <c r="AJ346" s="10"/>
      <c r="AK346" s="20"/>
      <c r="AL346" s="20"/>
    </row>
    <row r="347" spans="1:38" ht="13.2">
      <c r="A347" s="1"/>
      <c r="B347" s="59"/>
      <c r="C347" s="60">
        <v>23</v>
      </c>
      <c r="D347" s="206" t="s">
        <v>390</v>
      </c>
      <c r="E347" s="201"/>
      <c r="F347" s="61">
        <v>32.950000000000003</v>
      </c>
      <c r="G347" s="60" t="s">
        <v>55</v>
      </c>
      <c r="H347" s="60"/>
      <c r="I347" s="62"/>
      <c r="J347" s="11"/>
      <c r="K347" s="11"/>
      <c r="L347" s="11"/>
      <c r="M347" s="11"/>
      <c r="N347" s="59"/>
      <c r="O347" s="60" t="s">
        <v>25</v>
      </c>
      <c r="P347" s="206"/>
      <c r="Q347" s="201"/>
      <c r="R347" s="61"/>
      <c r="S347" s="60"/>
      <c r="T347" s="60"/>
      <c r="U347" s="62"/>
      <c r="V347" s="2"/>
      <c r="W347" s="63">
        <v>23</v>
      </c>
      <c r="X347" s="64" t="s">
        <v>390</v>
      </c>
      <c r="Y347" s="20" t="s">
        <v>55</v>
      </c>
      <c r="Z347" s="20">
        <v>32.950000000000003</v>
      </c>
      <c r="AA347" s="20"/>
      <c r="AB347" s="10"/>
      <c r="AC347" s="10"/>
      <c r="AD347" s="20"/>
      <c r="AE347" s="20"/>
      <c r="AF347" s="20"/>
      <c r="AG347" s="65"/>
      <c r="AH347" s="66"/>
      <c r="AI347" s="40"/>
      <c r="AJ347" s="10"/>
      <c r="AK347" s="20"/>
      <c r="AL347" s="20"/>
    </row>
    <row r="348" spans="1:38" ht="13.2">
      <c r="A348" s="1"/>
      <c r="B348" s="59"/>
      <c r="C348" s="60" t="s">
        <v>25</v>
      </c>
      <c r="D348" s="206"/>
      <c r="E348" s="201"/>
      <c r="F348" s="61"/>
      <c r="G348" s="60"/>
      <c r="H348" s="60"/>
      <c r="I348" s="62"/>
      <c r="J348" s="11"/>
      <c r="K348" s="11"/>
      <c r="L348" s="11"/>
      <c r="M348" s="11"/>
      <c r="N348" s="59"/>
      <c r="O348" s="60" t="s">
        <v>25</v>
      </c>
      <c r="P348" s="206"/>
      <c r="Q348" s="201"/>
      <c r="R348" s="61"/>
      <c r="S348" s="60"/>
      <c r="T348" s="60"/>
      <c r="U348" s="62"/>
      <c r="V348" s="2"/>
      <c r="W348" s="63">
        <v>24</v>
      </c>
      <c r="X348" s="64"/>
      <c r="Y348" s="20"/>
      <c r="Z348" s="20"/>
      <c r="AA348" s="20"/>
      <c r="AB348" s="10"/>
      <c r="AC348" s="10"/>
      <c r="AD348" s="20"/>
      <c r="AE348" s="20"/>
      <c r="AF348" s="20"/>
      <c r="AG348" s="65"/>
      <c r="AH348" s="66"/>
      <c r="AI348" s="40"/>
      <c r="AJ348" s="10"/>
      <c r="AK348" s="20"/>
      <c r="AL348" s="20"/>
    </row>
    <row r="349" spans="1:38" ht="13.2">
      <c r="A349" s="1"/>
      <c r="B349" s="59"/>
      <c r="C349" s="60"/>
      <c r="D349" s="206"/>
      <c r="E349" s="201"/>
      <c r="F349" s="61"/>
      <c r="G349" s="60"/>
      <c r="H349" s="60"/>
      <c r="I349" s="62"/>
      <c r="J349" s="11"/>
      <c r="K349" s="11"/>
      <c r="L349" s="11"/>
      <c r="M349" s="11"/>
      <c r="N349" s="59"/>
      <c r="O349" s="60"/>
      <c r="P349" s="206"/>
      <c r="Q349" s="201"/>
      <c r="R349" s="61"/>
      <c r="S349" s="60"/>
      <c r="T349" s="60"/>
      <c r="U349" s="62"/>
      <c r="V349" s="2"/>
      <c r="W349" s="63">
        <v>50</v>
      </c>
      <c r="X349" s="64"/>
      <c r="Y349" s="20"/>
      <c r="Z349" s="20"/>
      <c r="AA349" s="20"/>
      <c r="AB349" s="10"/>
      <c r="AC349" s="10"/>
      <c r="AD349" s="20"/>
      <c r="AE349" s="20"/>
      <c r="AF349" s="20"/>
      <c r="AG349" s="65"/>
      <c r="AH349" s="66"/>
      <c r="AI349" s="40"/>
      <c r="AJ349" s="10"/>
      <c r="AK349" s="20"/>
      <c r="AL349" s="20"/>
    </row>
    <row r="350" spans="1:38" ht="13.2">
      <c r="A350" s="1"/>
      <c r="B350" s="1"/>
      <c r="C350" s="67"/>
      <c r="D350" s="1"/>
      <c r="E350" s="1"/>
      <c r="F350" s="10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68"/>
      <c r="R350" s="10"/>
      <c r="S350" s="1"/>
      <c r="T350" s="1"/>
      <c r="U350" s="1"/>
      <c r="V350" s="2"/>
      <c r="W350" s="63">
        <v>51</v>
      </c>
      <c r="X350" s="10"/>
      <c r="Y350" s="10"/>
      <c r="Z350" s="10"/>
      <c r="AA350" s="10"/>
      <c r="AB350" s="10"/>
      <c r="AC350" s="20"/>
      <c r="AD350" s="20"/>
      <c r="AE350" s="10"/>
      <c r="AF350" s="10"/>
      <c r="AG350" s="10"/>
      <c r="AH350" s="10"/>
      <c r="AI350" s="40"/>
      <c r="AJ350" s="20"/>
      <c r="AK350" s="20"/>
      <c r="AL350" s="10"/>
    </row>
    <row r="351" spans="1:38" ht="13.2">
      <c r="A351" s="1"/>
      <c r="B351" s="1"/>
      <c r="C351" s="69" t="s">
        <v>100</v>
      </c>
      <c r="D351" s="12"/>
      <c r="E351" s="12"/>
      <c r="F351" s="13"/>
      <c r="G351" s="12"/>
      <c r="H351" s="12"/>
      <c r="I351" s="11"/>
      <c r="J351" s="11"/>
      <c r="K351" s="11"/>
      <c r="L351" s="11"/>
      <c r="M351" s="11"/>
      <c r="N351" s="11"/>
      <c r="O351" s="69"/>
      <c r="P351" s="12"/>
      <c r="Q351" s="70"/>
      <c r="R351" s="13"/>
      <c r="S351" s="12"/>
      <c r="T351" s="12"/>
      <c r="U351" s="1"/>
      <c r="V351" s="2"/>
      <c r="W351" s="10"/>
      <c r="X351" s="10"/>
      <c r="Y351" s="10"/>
      <c r="Z351" s="10"/>
      <c r="AA351" s="10"/>
      <c r="AB351" s="10"/>
      <c r="AC351" s="20"/>
      <c r="AD351" s="20"/>
      <c r="AE351" s="10"/>
      <c r="AF351" s="10"/>
      <c r="AG351" s="10"/>
      <c r="AH351" s="10"/>
      <c r="AI351" s="10"/>
      <c r="AJ351" s="20"/>
      <c r="AK351" s="20"/>
      <c r="AL351" s="10"/>
    </row>
    <row r="352" spans="1:38" ht="13.2">
      <c r="A352" s="1"/>
      <c r="B352" s="1"/>
      <c r="C352" s="195">
        <v>0</v>
      </c>
      <c r="D352" s="196"/>
      <c r="E352" s="196"/>
      <c r="F352" s="196"/>
      <c r="G352" s="196"/>
      <c r="H352" s="196"/>
      <c r="I352" s="196"/>
      <c r="J352" s="196"/>
      <c r="K352" s="196"/>
      <c r="L352" s="196"/>
      <c r="M352" s="196"/>
      <c r="N352" s="196"/>
      <c r="O352" s="196"/>
      <c r="P352" s="196"/>
      <c r="Q352" s="196"/>
      <c r="R352" s="196"/>
      <c r="S352" s="196"/>
      <c r="T352" s="197"/>
      <c r="U352" s="1"/>
      <c r="V352" s="2"/>
      <c r="W352" s="10"/>
      <c r="X352" s="10"/>
      <c r="Y352" s="10"/>
      <c r="Z352" s="10"/>
      <c r="AA352" s="10"/>
      <c r="AB352" s="10"/>
      <c r="AC352" s="20"/>
      <c r="AD352" s="20"/>
      <c r="AE352" s="10"/>
      <c r="AF352" s="10"/>
      <c r="AG352" s="10"/>
      <c r="AH352" s="10"/>
      <c r="AI352" s="10"/>
      <c r="AJ352" s="20"/>
      <c r="AK352" s="20"/>
      <c r="AL352" s="10"/>
    </row>
    <row r="353" spans="1:38" ht="13.2">
      <c r="A353" s="1"/>
      <c r="B353" s="1"/>
      <c r="C353" s="198"/>
      <c r="D353" s="194"/>
      <c r="E353" s="194"/>
      <c r="F353" s="194"/>
      <c r="G353" s="194"/>
      <c r="H353" s="194"/>
      <c r="I353" s="194"/>
      <c r="J353" s="194"/>
      <c r="K353" s="194"/>
      <c r="L353" s="194"/>
      <c r="M353" s="194"/>
      <c r="N353" s="194"/>
      <c r="O353" s="194"/>
      <c r="P353" s="194"/>
      <c r="Q353" s="194"/>
      <c r="R353" s="194"/>
      <c r="S353" s="194"/>
      <c r="T353" s="199"/>
      <c r="U353" s="1"/>
      <c r="V353" s="2"/>
      <c r="W353" s="10"/>
      <c r="X353" s="10"/>
      <c r="Y353" s="10"/>
      <c r="Z353" s="10"/>
      <c r="AA353" s="10"/>
      <c r="AB353" s="10"/>
      <c r="AC353" s="20"/>
      <c r="AD353" s="20"/>
      <c r="AE353" s="10"/>
      <c r="AF353" s="10"/>
      <c r="AG353" s="10"/>
      <c r="AH353" s="10"/>
      <c r="AI353" s="10"/>
      <c r="AJ353" s="20"/>
      <c r="AK353" s="20"/>
      <c r="AL353" s="10"/>
    </row>
    <row r="354" spans="1:38" ht="13.2">
      <c r="A354" s="1"/>
      <c r="B354" s="1"/>
      <c r="C354" s="198"/>
      <c r="D354" s="194"/>
      <c r="E354" s="194"/>
      <c r="F354" s="194"/>
      <c r="G354" s="194"/>
      <c r="H354" s="194"/>
      <c r="I354" s="194"/>
      <c r="J354" s="194"/>
      <c r="K354" s="194"/>
      <c r="L354" s="194"/>
      <c r="M354" s="194"/>
      <c r="N354" s="194"/>
      <c r="O354" s="194"/>
      <c r="P354" s="194"/>
      <c r="Q354" s="194"/>
      <c r="R354" s="194"/>
      <c r="S354" s="194"/>
      <c r="T354" s="199"/>
      <c r="U354" s="1"/>
      <c r="V354" s="2"/>
      <c r="W354" s="10"/>
      <c r="X354" s="10"/>
      <c r="Y354" s="10"/>
      <c r="Z354" s="10"/>
      <c r="AA354" s="10"/>
      <c r="AB354" s="10"/>
      <c r="AC354" s="20"/>
      <c r="AD354" s="20"/>
      <c r="AE354" s="10"/>
      <c r="AF354" s="10"/>
      <c r="AG354" s="10"/>
      <c r="AH354" s="10"/>
      <c r="AI354" s="10"/>
      <c r="AJ354" s="20"/>
      <c r="AK354" s="20"/>
      <c r="AL354" s="10"/>
    </row>
    <row r="355" spans="1:38" ht="13.2">
      <c r="A355" s="1"/>
      <c r="B355" s="1"/>
      <c r="C355" s="200"/>
      <c r="D355" s="201"/>
      <c r="E355" s="201"/>
      <c r="F355" s="201"/>
      <c r="G355" s="201"/>
      <c r="H355" s="201"/>
      <c r="I355" s="201"/>
      <c r="J355" s="201"/>
      <c r="K355" s="201"/>
      <c r="L355" s="201"/>
      <c r="M355" s="201"/>
      <c r="N355" s="201"/>
      <c r="O355" s="201"/>
      <c r="P355" s="201"/>
      <c r="Q355" s="201"/>
      <c r="R355" s="201"/>
      <c r="S355" s="201"/>
      <c r="T355" s="202"/>
      <c r="U355" s="1"/>
      <c r="V355" s="2"/>
      <c r="W355" s="10"/>
      <c r="X355" s="10"/>
      <c r="Y355" s="10"/>
      <c r="Z355" s="10"/>
      <c r="AA355" s="10"/>
      <c r="AB355" s="10"/>
      <c r="AC355" s="20"/>
      <c r="AD355" s="20"/>
      <c r="AE355" s="10"/>
      <c r="AF355" s="10"/>
      <c r="AG355" s="10"/>
      <c r="AH355" s="10"/>
      <c r="AI355" s="10"/>
      <c r="AJ355" s="20"/>
      <c r="AK355" s="20"/>
      <c r="AL355" s="10"/>
    </row>
    <row r="356" spans="1:38" ht="13.2">
      <c r="A356" s="1"/>
      <c r="B356" s="1"/>
      <c r="C356" s="67"/>
      <c r="D356" s="1"/>
      <c r="E356" s="1"/>
      <c r="F356" s="10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68"/>
      <c r="R356" s="10"/>
      <c r="S356" s="1"/>
      <c r="T356" s="1"/>
      <c r="U356" s="1"/>
      <c r="V356" s="2"/>
      <c r="W356" s="10"/>
      <c r="X356" s="10"/>
      <c r="Y356" s="10"/>
      <c r="Z356" s="10"/>
      <c r="AA356" s="10"/>
      <c r="AB356" s="10"/>
      <c r="AC356" s="20"/>
      <c r="AD356" s="20"/>
      <c r="AE356" s="10"/>
      <c r="AF356" s="10"/>
      <c r="AG356" s="10"/>
      <c r="AH356" s="10"/>
      <c r="AI356" s="10"/>
      <c r="AJ356" s="20"/>
      <c r="AK356" s="20"/>
      <c r="AL356" s="10"/>
    </row>
    <row r="357" spans="1:38" ht="13.2">
      <c r="A357" s="1"/>
      <c r="B357" s="1"/>
      <c r="C357" s="67"/>
      <c r="D357" s="1"/>
      <c r="E357" s="1"/>
      <c r="F357" s="10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68"/>
      <c r="R357" s="10"/>
      <c r="S357" s="1"/>
      <c r="T357" s="1"/>
      <c r="U357" s="1"/>
      <c r="V357" s="2"/>
      <c r="W357" s="10"/>
      <c r="X357" s="10"/>
      <c r="Y357" s="10"/>
      <c r="Z357" s="10"/>
      <c r="AA357" s="10"/>
      <c r="AB357" s="10"/>
      <c r="AC357" s="20"/>
      <c r="AD357" s="20"/>
      <c r="AE357" s="10"/>
      <c r="AF357" s="10"/>
      <c r="AG357" s="10"/>
      <c r="AH357" s="10"/>
      <c r="AI357" s="10"/>
      <c r="AJ357" s="20"/>
      <c r="AK357" s="20"/>
      <c r="AL357" s="10"/>
    </row>
    <row r="358" spans="1:38" ht="13.2">
      <c r="A358" s="1"/>
      <c r="B358" s="1"/>
      <c r="C358" s="67"/>
      <c r="D358" s="1"/>
      <c r="E358" s="1"/>
      <c r="F358" s="10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68"/>
      <c r="R358" s="10"/>
      <c r="S358" s="1"/>
      <c r="T358" s="1"/>
      <c r="U358" s="1"/>
      <c r="V358" s="2"/>
      <c r="W358" s="10"/>
      <c r="X358" s="10"/>
      <c r="Y358" s="10"/>
      <c r="Z358" s="10"/>
      <c r="AA358" s="10"/>
      <c r="AB358" s="10"/>
      <c r="AC358" s="20"/>
      <c r="AD358" s="20"/>
      <c r="AE358" s="10"/>
      <c r="AF358" s="10"/>
      <c r="AG358" s="10"/>
      <c r="AH358" s="10"/>
      <c r="AI358" s="10"/>
      <c r="AJ358" s="20"/>
      <c r="AK358" s="20"/>
      <c r="AL358" s="10"/>
    </row>
    <row r="359" spans="1:38" ht="13.2">
      <c r="A359" s="1"/>
      <c r="B359" s="1"/>
      <c r="C359" s="67"/>
      <c r="D359" s="1"/>
      <c r="E359" s="1"/>
      <c r="F359" s="10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68"/>
      <c r="R359" s="10"/>
      <c r="S359" s="1"/>
      <c r="T359" s="1"/>
      <c r="U359" s="1"/>
      <c r="V359" s="2"/>
      <c r="W359" s="10"/>
      <c r="X359" s="10"/>
      <c r="Y359" s="10"/>
      <c r="Z359" s="10"/>
      <c r="AA359" s="10"/>
      <c r="AB359" s="10"/>
      <c r="AC359" s="20"/>
      <c r="AD359" s="20"/>
      <c r="AE359" s="10"/>
      <c r="AF359" s="10"/>
      <c r="AG359" s="10"/>
      <c r="AH359" s="10"/>
      <c r="AI359" s="10"/>
      <c r="AJ359" s="20"/>
      <c r="AK359" s="20"/>
      <c r="AL359" s="10"/>
    </row>
    <row r="360" spans="1:38" ht="13.2">
      <c r="A360" s="1"/>
      <c r="B360" s="1"/>
      <c r="C360" s="67"/>
      <c r="D360" s="1"/>
      <c r="E360" s="1"/>
      <c r="F360" s="10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68"/>
      <c r="R360" s="10"/>
      <c r="S360" s="1"/>
      <c r="T360" s="1"/>
      <c r="U360" s="1"/>
      <c r="V360" s="2"/>
      <c r="W360" s="10"/>
      <c r="X360" s="10"/>
      <c r="Y360" s="10"/>
      <c r="Z360" s="10"/>
      <c r="AA360" s="10"/>
      <c r="AB360" s="10"/>
      <c r="AC360" s="20"/>
      <c r="AD360" s="20"/>
      <c r="AE360" s="10"/>
      <c r="AF360" s="10"/>
      <c r="AG360" s="10"/>
      <c r="AH360" s="10"/>
      <c r="AI360" s="10"/>
      <c r="AJ360" s="20"/>
      <c r="AK360" s="20"/>
      <c r="AL360" s="10"/>
    </row>
    <row r="361" spans="1:38" ht="13.2">
      <c r="A361" s="1"/>
      <c r="B361" s="1"/>
      <c r="C361" s="67"/>
      <c r="D361" s="1"/>
      <c r="E361" s="1"/>
      <c r="F361" s="10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68"/>
      <c r="R361" s="10"/>
      <c r="S361" s="1"/>
      <c r="T361" s="1"/>
      <c r="U361" s="1"/>
      <c r="V361" s="2"/>
      <c r="W361" s="10"/>
      <c r="X361" s="10"/>
      <c r="Y361" s="10"/>
      <c r="Z361" s="10"/>
      <c r="AA361" s="10"/>
      <c r="AB361" s="10"/>
      <c r="AC361" s="20"/>
      <c r="AD361" s="20"/>
      <c r="AE361" s="10"/>
      <c r="AF361" s="10"/>
      <c r="AG361" s="10"/>
      <c r="AH361" s="10"/>
      <c r="AI361" s="10"/>
      <c r="AJ361" s="20"/>
      <c r="AK361" s="20"/>
      <c r="AL361" s="10"/>
    </row>
    <row r="362" spans="1:38" ht="13.2">
      <c r="A362" s="1"/>
      <c r="B362" s="1"/>
      <c r="C362" s="67"/>
      <c r="D362" s="1"/>
      <c r="E362" s="1"/>
      <c r="F362" s="10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68"/>
      <c r="R362" s="10"/>
      <c r="S362" s="1"/>
      <c r="T362" s="1"/>
      <c r="U362" s="1"/>
      <c r="V362" s="2"/>
      <c r="W362" s="10"/>
      <c r="X362" s="10"/>
      <c r="Y362" s="10"/>
      <c r="Z362" s="10"/>
      <c r="AA362" s="10"/>
      <c r="AB362" s="10"/>
      <c r="AC362" s="20"/>
      <c r="AD362" s="20"/>
      <c r="AE362" s="10"/>
      <c r="AF362" s="10"/>
      <c r="AG362" s="10"/>
      <c r="AH362" s="10"/>
      <c r="AI362" s="10"/>
      <c r="AJ362" s="20"/>
      <c r="AK362" s="20"/>
      <c r="AL362" s="10"/>
    </row>
    <row r="363" spans="1:38" ht="13.2">
      <c r="A363" s="1"/>
      <c r="B363" s="1"/>
      <c r="C363" s="67"/>
      <c r="D363" s="1"/>
      <c r="E363" s="1"/>
      <c r="F363" s="10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68"/>
      <c r="R363" s="10"/>
      <c r="S363" s="1"/>
      <c r="T363" s="1"/>
      <c r="U363" s="1"/>
      <c r="V363" s="2"/>
      <c r="W363" s="10"/>
      <c r="X363" s="10"/>
      <c r="Y363" s="10"/>
      <c r="Z363" s="10"/>
      <c r="AA363" s="10"/>
      <c r="AB363" s="10"/>
      <c r="AC363" s="20"/>
      <c r="AD363" s="20"/>
      <c r="AE363" s="10"/>
      <c r="AF363" s="10"/>
      <c r="AG363" s="10"/>
      <c r="AH363" s="10"/>
      <c r="AI363" s="10"/>
      <c r="AJ363" s="20"/>
      <c r="AK363" s="20"/>
      <c r="AL363" s="10"/>
    </row>
    <row r="364" spans="1:38" ht="13.2">
      <c r="A364" s="1"/>
      <c r="B364" s="1"/>
      <c r="C364" s="67"/>
      <c r="D364" s="1"/>
      <c r="E364" s="1"/>
      <c r="F364" s="10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68"/>
      <c r="R364" s="10"/>
      <c r="S364" s="1"/>
      <c r="T364" s="1"/>
      <c r="U364" s="1"/>
      <c r="V364" s="2"/>
      <c r="W364" s="10"/>
      <c r="X364" s="10"/>
      <c r="Y364" s="10"/>
      <c r="Z364" s="10"/>
      <c r="AA364" s="10"/>
      <c r="AB364" s="10"/>
      <c r="AC364" s="20"/>
      <c r="AD364" s="20"/>
      <c r="AE364" s="10"/>
      <c r="AF364" s="10"/>
      <c r="AG364" s="10"/>
      <c r="AH364" s="10"/>
      <c r="AI364" s="10"/>
      <c r="AJ364" s="20"/>
      <c r="AK364" s="20"/>
      <c r="AL364" s="10"/>
    </row>
    <row r="365" spans="1:38" ht="13.2">
      <c r="A365" s="1"/>
      <c r="B365" s="1"/>
      <c r="C365" s="67"/>
      <c r="D365" s="1"/>
      <c r="E365" s="1"/>
      <c r="F365" s="10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68"/>
      <c r="R365" s="10"/>
      <c r="S365" s="1"/>
      <c r="T365" s="1"/>
      <c r="U365" s="1"/>
      <c r="V365" s="2"/>
      <c r="W365" s="10"/>
      <c r="X365" s="10"/>
      <c r="Y365" s="10"/>
      <c r="Z365" s="10"/>
      <c r="AA365" s="10"/>
      <c r="AB365" s="10"/>
      <c r="AC365" s="20"/>
      <c r="AD365" s="20"/>
      <c r="AE365" s="10"/>
      <c r="AF365" s="10"/>
      <c r="AG365" s="10"/>
      <c r="AH365" s="10"/>
      <c r="AI365" s="10"/>
      <c r="AJ365" s="20"/>
      <c r="AK365" s="20"/>
      <c r="AL365" s="10"/>
    </row>
    <row r="366" spans="1:38" ht="13.2">
      <c r="A366" s="1"/>
      <c r="B366" s="1"/>
      <c r="C366" s="67"/>
      <c r="D366" s="1"/>
      <c r="E366" s="1"/>
      <c r="F366" s="10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68"/>
      <c r="R366" s="10"/>
      <c r="S366" s="1"/>
      <c r="T366" s="1"/>
      <c r="U366" s="1"/>
      <c r="V366" s="2"/>
      <c r="W366" s="10"/>
      <c r="X366" s="10"/>
      <c r="Y366" s="10"/>
      <c r="Z366" s="10"/>
      <c r="AA366" s="10"/>
      <c r="AB366" s="10"/>
      <c r="AC366" s="20"/>
      <c r="AD366" s="20"/>
      <c r="AE366" s="10"/>
      <c r="AF366" s="10"/>
      <c r="AG366" s="10"/>
      <c r="AH366" s="10"/>
      <c r="AI366" s="10"/>
      <c r="AJ366" s="20"/>
      <c r="AK366" s="20"/>
      <c r="AL366" s="10"/>
    </row>
    <row r="367" spans="1:38" ht="13.2">
      <c r="A367" s="1"/>
      <c r="B367" s="1"/>
      <c r="C367" s="67"/>
      <c r="D367" s="1"/>
      <c r="E367" s="1"/>
      <c r="F367" s="10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68"/>
      <c r="R367" s="10"/>
      <c r="S367" s="1"/>
      <c r="T367" s="1"/>
      <c r="U367" s="1"/>
      <c r="V367" s="2"/>
      <c r="W367" s="10"/>
      <c r="X367" s="10"/>
      <c r="Y367" s="10"/>
      <c r="Z367" s="10"/>
      <c r="AA367" s="10"/>
      <c r="AB367" s="10"/>
      <c r="AC367" s="20"/>
      <c r="AD367" s="20"/>
      <c r="AE367" s="10"/>
      <c r="AF367" s="10"/>
      <c r="AG367" s="10"/>
      <c r="AH367" s="10"/>
      <c r="AI367" s="10"/>
      <c r="AJ367" s="20"/>
      <c r="AK367" s="20"/>
      <c r="AL367" s="10"/>
    </row>
    <row r="368" spans="1:38" ht="13.2">
      <c r="A368" s="1"/>
      <c r="B368" s="1"/>
      <c r="C368" s="67"/>
      <c r="D368" s="1"/>
      <c r="E368" s="1"/>
      <c r="F368" s="10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68"/>
      <c r="R368" s="10"/>
      <c r="S368" s="1"/>
      <c r="T368" s="1"/>
      <c r="U368" s="1"/>
      <c r="V368" s="2"/>
      <c r="W368" s="10"/>
      <c r="X368" s="10"/>
      <c r="Y368" s="10"/>
      <c r="Z368" s="10"/>
      <c r="AA368" s="10"/>
      <c r="AB368" s="10"/>
      <c r="AC368" s="20"/>
      <c r="AD368" s="20"/>
      <c r="AE368" s="10"/>
      <c r="AF368" s="10"/>
      <c r="AG368" s="10"/>
      <c r="AH368" s="10"/>
      <c r="AI368" s="10"/>
      <c r="AJ368" s="20"/>
      <c r="AK368" s="20"/>
      <c r="AL368" s="10"/>
    </row>
    <row r="369" spans="1:38" ht="13.2">
      <c r="A369" s="1"/>
      <c r="B369" s="1"/>
      <c r="C369" s="67"/>
      <c r="D369" s="1"/>
      <c r="E369" s="1"/>
      <c r="F369" s="10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68"/>
      <c r="R369" s="10"/>
      <c r="S369" s="1"/>
      <c r="T369" s="1"/>
      <c r="U369" s="1"/>
      <c r="V369" s="2"/>
      <c r="W369" s="10"/>
      <c r="X369" s="10"/>
      <c r="Y369" s="10"/>
      <c r="Z369" s="10"/>
      <c r="AA369" s="10"/>
      <c r="AB369" s="10"/>
      <c r="AC369" s="20"/>
      <c r="AD369" s="20"/>
      <c r="AE369" s="10"/>
      <c r="AF369" s="10"/>
      <c r="AG369" s="10"/>
      <c r="AH369" s="10"/>
      <c r="AI369" s="10"/>
      <c r="AJ369" s="20"/>
      <c r="AK369" s="20"/>
      <c r="AL369" s="10"/>
    </row>
    <row r="370" spans="1:38" ht="13.2">
      <c r="A370" s="1"/>
      <c r="B370" s="1"/>
      <c r="C370" s="67"/>
      <c r="D370" s="1"/>
      <c r="E370" s="1"/>
      <c r="F370" s="10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68"/>
      <c r="R370" s="10"/>
      <c r="S370" s="1"/>
      <c r="T370" s="1"/>
      <c r="U370" s="1"/>
      <c r="V370" s="2"/>
      <c r="W370" s="10"/>
      <c r="X370" s="10"/>
      <c r="Y370" s="10"/>
      <c r="Z370" s="10"/>
      <c r="AA370" s="10"/>
      <c r="AB370" s="10"/>
      <c r="AC370" s="20"/>
      <c r="AD370" s="20"/>
      <c r="AE370" s="10"/>
      <c r="AF370" s="10"/>
      <c r="AG370" s="10"/>
      <c r="AH370" s="10"/>
      <c r="AI370" s="10"/>
      <c r="AJ370" s="20"/>
      <c r="AK370" s="20"/>
      <c r="AL370" s="10"/>
    </row>
    <row r="371" spans="1:38" ht="13.2">
      <c r="A371" s="1"/>
      <c r="B371" s="1"/>
      <c r="C371" s="67"/>
      <c r="D371" s="1"/>
      <c r="E371" s="1"/>
      <c r="F371" s="10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68"/>
      <c r="R371" s="10"/>
      <c r="S371" s="1"/>
      <c r="T371" s="1"/>
      <c r="U371" s="1"/>
      <c r="V371" s="2"/>
      <c r="W371" s="10"/>
      <c r="X371" s="10"/>
      <c r="Y371" s="10"/>
      <c r="Z371" s="10"/>
      <c r="AA371" s="10"/>
      <c r="AB371" s="10"/>
      <c r="AC371" s="20"/>
      <c r="AD371" s="20"/>
      <c r="AE371" s="10"/>
      <c r="AF371" s="10"/>
      <c r="AG371" s="10"/>
      <c r="AH371" s="10"/>
      <c r="AI371" s="10"/>
      <c r="AJ371" s="20"/>
      <c r="AK371" s="20"/>
      <c r="AL371" s="10"/>
    </row>
    <row r="372" spans="1:38" ht="13.2">
      <c r="A372" s="1"/>
      <c r="B372" s="1"/>
      <c r="C372" s="67"/>
      <c r="D372" s="1"/>
      <c r="E372" s="1"/>
      <c r="F372" s="10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68"/>
      <c r="R372" s="10"/>
      <c r="S372" s="1"/>
      <c r="T372" s="1"/>
      <c r="U372" s="1"/>
      <c r="V372" s="2"/>
      <c r="W372" s="10"/>
      <c r="X372" s="10"/>
      <c r="Y372" s="10"/>
      <c r="Z372" s="10"/>
      <c r="AA372" s="10"/>
      <c r="AB372" s="10"/>
      <c r="AC372" s="20"/>
      <c r="AD372" s="20"/>
      <c r="AE372" s="10"/>
      <c r="AF372" s="10"/>
      <c r="AG372" s="10"/>
      <c r="AH372" s="10"/>
      <c r="AI372" s="10"/>
      <c r="AJ372" s="20"/>
      <c r="AK372" s="20"/>
      <c r="AL372" s="10"/>
    </row>
    <row r="373" spans="1:38" ht="13.2">
      <c r="A373" s="1"/>
      <c r="B373" s="1"/>
      <c r="C373" s="67"/>
      <c r="D373" s="1"/>
      <c r="E373" s="1"/>
      <c r="F373" s="10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68"/>
      <c r="R373" s="10"/>
      <c r="S373" s="1"/>
      <c r="T373" s="1"/>
      <c r="U373" s="1"/>
      <c r="V373" s="2"/>
      <c r="W373" s="10"/>
      <c r="X373" s="10"/>
      <c r="Y373" s="10"/>
      <c r="Z373" s="10"/>
      <c r="AA373" s="10"/>
      <c r="AB373" s="10"/>
      <c r="AC373" s="20"/>
      <c r="AD373" s="20"/>
      <c r="AE373" s="10"/>
      <c r="AF373" s="10"/>
      <c r="AG373" s="10"/>
      <c r="AH373" s="10"/>
      <c r="AI373" s="10"/>
      <c r="AJ373" s="20"/>
      <c r="AK373" s="20"/>
      <c r="AL373" s="10"/>
    </row>
    <row r="374" spans="1:38" ht="13.2">
      <c r="A374" s="1"/>
      <c r="B374" s="1"/>
      <c r="C374" s="67"/>
      <c r="D374" s="1"/>
      <c r="E374" s="1"/>
      <c r="F374" s="10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68"/>
      <c r="R374" s="10"/>
      <c r="S374" s="1"/>
      <c r="T374" s="1"/>
      <c r="U374" s="1"/>
      <c r="V374" s="2"/>
      <c r="W374" s="10"/>
      <c r="X374" s="10"/>
      <c r="Y374" s="10"/>
      <c r="Z374" s="10"/>
      <c r="AA374" s="10"/>
      <c r="AB374" s="10"/>
      <c r="AC374" s="20"/>
      <c r="AD374" s="20"/>
      <c r="AE374" s="10"/>
      <c r="AF374" s="10"/>
      <c r="AG374" s="10"/>
      <c r="AH374" s="10"/>
      <c r="AI374" s="10"/>
      <c r="AJ374" s="20"/>
      <c r="AK374" s="20"/>
      <c r="AL374" s="10"/>
    </row>
    <row r="375" spans="1:38" ht="13.2">
      <c r="A375" s="1"/>
      <c r="B375" s="1"/>
      <c r="C375" s="67"/>
      <c r="D375" s="1"/>
      <c r="E375" s="1"/>
      <c r="F375" s="10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68"/>
      <c r="R375" s="10"/>
      <c r="S375" s="1"/>
      <c r="T375" s="1"/>
      <c r="U375" s="1"/>
      <c r="V375" s="2"/>
      <c r="W375" s="10"/>
      <c r="X375" s="10"/>
      <c r="Y375" s="10"/>
      <c r="Z375" s="10"/>
      <c r="AA375" s="10"/>
      <c r="AB375" s="10"/>
      <c r="AC375" s="20"/>
      <c r="AD375" s="20"/>
      <c r="AE375" s="10"/>
      <c r="AF375" s="10"/>
      <c r="AG375" s="10"/>
      <c r="AH375" s="10"/>
      <c r="AI375" s="10"/>
      <c r="AJ375" s="20"/>
      <c r="AK375" s="20"/>
      <c r="AL375" s="10"/>
    </row>
    <row r="376" spans="1:38" ht="13.2">
      <c r="A376" s="1"/>
      <c r="B376" s="1"/>
      <c r="C376" s="67"/>
      <c r="D376" s="1"/>
      <c r="E376" s="1"/>
      <c r="F376" s="10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68"/>
      <c r="R376" s="10"/>
      <c r="S376" s="1"/>
      <c r="T376" s="1"/>
      <c r="U376" s="1"/>
      <c r="V376" s="2"/>
      <c r="W376" s="10"/>
      <c r="X376" s="10"/>
      <c r="Y376" s="10"/>
      <c r="Z376" s="10"/>
      <c r="AA376" s="10"/>
      <c r="AB376" s="10"/>
      <c r="AC376" s="20"/>
      <c r="AD376" s="20"/>
      <c r="AE376" s="10"/>
      <c r="AF376" s="10"/>
      <c r="AG376" s="10"/>
      <c r="AH376" s="10"/>
      <c r="AI376" s="10"/>
      <c r="AJ376" s="20"/>
      <c r="AK376" s="20"/>
      <c r="AL376" s="10"/>
    </row>
    <row r="377" spans="1:38" ht="13.2">
      <c r="A377" s="1"/>
      <c r="B377" s="1"/>
      <c r="C377" s="67"/>
      <c r="D377" s="1"/>
      <c r="E377" s="1"/>
      <c r="F377" s="10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68"/>
      <c r="R377" s="10"/>
      <c r="S377" s="1"/>
      <c r="T377" s="1"/>
      <c r="U377" s="1"/>
      <c r="V377" s="2"/>
      <c r="W377" s="10"/>
      <c r="X377" s="10"/>
      <c r="Y377" s="10"/>
      <c r="Z377" s="10"/>
      <c r="AA377" s="10"/>
      <c r="AB377" s="10"/>
      <c r="AC377" s="20"/>
      <c r="AD377" s="20"/>
      <c r="AE377" s="10"/>
      <c r="AF377" s="10"/>
      <c r="AG377" s="10"/>
      <c r="AH377" s="10"/>
      <c r="AI377" s="10"/>
      <c r="AJ377" s="20"/>
      <c r="AK377" s="20"/>
      <c r="AL377" s="10"/>
    </row>
    <row r="378" spans="1:38" ht="13.2">
      <c r="A378" s="1"/>
      <c r="B378" s="1"/>
      <c r="C378" s="67"/>
      <c r="D378" s="1"/>
      <c r="E378" s="1"/>
      <c r="F378" s="10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68"/>
      <c r="R378" s="10"/>
      <c r="S378" s="1"/>
      <c r="T378" s="1"/>
      <c r="U378" s="1"/>
      <c r="V378" s="2"/>
      <c r="W378" s="10"/>
      <c r="X378" s="10"/>
      <c r="Y378" s="10"/>
      <c r="Z378" s="10"/>
      <c r="AA378" s="10"/>
      <c r="AB378" s="10"/>
      <c r="AC378" s="20"/>
      <c r="AD378" s="20"/>
      <c r="AE378" s="10"/>
      <c r="AF378" s="10"/>
      <c r="AG378" s="10"/>
      <c r="AH378" s="10"/>
      <c r="AI378" s="10"/>
      <c r="AJ378" s="20"/>
      <c r="AK378" s="20"/>
      <c r="AL378" s="10"/>
    </row>
    <row r="379" spans="1:38" ht="13.2">
      <c r="A379" s="1"/>
      <c r="B379" s="1"/>
      <c r="C379" s="67"/>
      <c r="D379" s="1"/>
      <c r="E379" s="1"/>
      <c r="F379" s="10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68"/>
      <c r="R379" s="10"/>
      <c r="S379" s="1"/>
      <c r="T379" s="1"/>
      <c r="U379" s="1"/>
      <c r="V379" s="2"/>
      <c r="W379" s="10"/>
      <c r="X379" s="10"/>
      <c r="Y379" s="10"/>
      <c r="Z379" s="10"/>
      <c r="AA379" s="10"/>
      <c r="AB379" s="10"/>
      <c r="AC379" s="20"/>
      <c r="AD379" s="20"/>
      <c r="AE379" s="10"/>
      <c r="AF379" s="10"/>
      <c r="AG379" s="10"/>
      <c r="AH379" s="10"/>
      <c r="AI379" s="10"/>
      <c r="AJ379" s="20"/>
      <c r="AK379" s="20"/>
      <c r="AL379" s="10"/>
    </row>
    <row r="380" spans="1:38" ht="13.2">
      <c r="A380" s="1"/>
      <c r="B380" s="1"/>
      <c r="C380" s="67"/>
      <c r="D380" s="1"/>
      <c r="E380" s="1"/>
      <c r="F380" s="10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68"/>
      <c r="R380" s="10"/>
      <c r="S380" s="1"/>
      <c r="T380" s="1"/>
      <c r="U380" s="1"/>
      <c r="V380" s="2"/>
      <c r="W380" s="10"/>
      <c r="X380" s="10"/>
      <c r="Y380" s="10"/>
      <c r="Z380" s="10"/>
      <c r="AA380" s="10"/>
      <c r="AB380" s="10"/>
      <c r="AC380" s="20"/>
      <c r="AD380" s="20"/>
      <c r="AE380" s="10"/>
      <c r="AF380" s="10"/>
      <c r="AG380" s="10"/>
      <c r="AH380" s="10"/>
      <c r="AI380" s="10"/>
      <c r="AJ380" s="20"/>
      <c r="AK380" s="20"/>
      <c r="AL380" s="10"/>
    </row>
    <row r="381" spans="1:38" ht="13.2">
      <c r="A381" s="1"/>
      <c r="B381" s="1"/>
      <c r="C381" s="67"/>
      <c r="D381" s="1"/>
      <c r="E381" s="1"/>
      <c r="F381" s="10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68"/>
      <c r="R381" s="10"/>
      <c r="S381" s="1"/>
      <c r="T381" s="1"/>
      <c r="U381" s="1"/>
      <c r="V381" s="2"/>
      <c r="W381" s="10"/>
      <c r="X381" s="10"/>
      <c r="Y381" s="10"/>
      <c r="Z381" s="10"/>
      <c r="AA381" s="10"/>
      <c r="AB381" s="10"/>
      <c r="AC381" s="20"/>
      <c r="AD381" s="20"/>
      <c r="AE381" s="10"/>
      <c r="AF381" s="10"/>
      <c r="AG381" s="10"/>
      <c r="AH381" s="10"/>
      <c r="AI381" s="10"/>
      <c r="AJ381" s="20"/>
      <c r="AK381" s="20"/>
      <c r="AL381" s="10"/>
    </row>
    <row r="382" spans="1:38" ht="13.2">
      <c r="A382" s="1"/>
      <c r="B382" s="1"/>
      <c r="C382" s="67"/>
      <c r="D382" s="1"/>
      <c r="E382" s="1"/>
      <c r="F382" s="10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68"/>
      <c r="R382" s="10"/>
      <c r="S382" s="1"/>
      <c r="T382" s="1"/>
      <c r="U382" s="1"/>
      <c r="V382" s="2"/>
      <c r="W382" s="10"/>
      <c r="X382" s="10"/>
      <c r="Y382" s="10"/>
      <c r="Z382" s="10"/>
      <c r="AA382" s="10"/>
      <c r="AB382" s="10"/>
      <c r="AC382" s="20"/>
      <c r="AD382" s="20"/>
      <c r="AE382" s="10"/>
      <c r="AF382" s="10"/>
      <c r="AG382" s="10"/>
      <c r="AH382" s="10"/>
      <c r="AI382" s="10"/>
      <c r="AJ382" s="20"/>
      <c r="AK382" s="20"/>
      <c r="AL382" s="10"/>
    </row>
    <row r="383" spans="1:38" ht="13.2">
      <c r="A383" s="1"/>
      <c r="B383" s="1"/>
      <c r="C383" s="67"/>
      <c r="D383" s="1"/>
      <c r="E383" s="1"/>
      <c r="F383" s="10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68"/>
      <c r="R383" s="10"/>
      <c r="S383" s="1"/>
      <c r="T383" s="1"/>
      <c r="U383" s="1"/>
      <c r="V383" s="2"/>
      <c r="W383" s="10"/>
      <c r="X383" s="10"/>
      <c r="Y383" s="10"/>
      <c r="Z383" s="10"/>
      <c r="AA383" s="10"/>
      <c r="AB383" s="10"/>
      <c r="AC383" s="20"/>
      <c r="AD383" s="20"/>
      <c r="AE383" s="10"/>
      <c r="AF383" s="10"/>
      <c r="AG383" s="10"/>
      <c r="AH383" s="10"/>
      <c r="AI383" s="10"/>
      <c r="AJ383" s="20"/>
      <c r="AK383" s="20"/>
      <c r="AL383" s="10"/>
    </row>
    <row r="384" spans="1:38" ht="13.2">
      <c r="A384" s="1"/>
      <c r="B384" s="1"/>
      <c r="C384" s="67"/>
      <c r="D384" s="1"/>
      <c r="E384" s="1"/>
      <c r="F384" s="10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68"/>
      <c r="R384" s="10"/>
      <c r="S384" s="1"/>
      <c r="T384" s="1"/>
      <c r="U384" s="1"/>
      <c r="V384" s="2"/>
      <c r="W384" s="10"/>
      <c r="X384" s="10"/>
      <c r="Y384" s="10"/>
      <c r="Z384" s="10"/>
      <c r="AA384" s="10"/>
      <c r="AB384" s="10"/>
      <c r="AC384" s="20"/>
      <c r="AD384" s="20"/>
      <c r="AE384" s="10"/>
      <c r="AF384" s="10"/>
      <c r="AG384" s="10"/>
      <c r="AH384" s="10"/>
      <c r="AI384" s="10"/>
      <c r="AJ384" s="20"/>
      <c r="AK384" s="20"/>
      <c r="AL384" s="10"/>
    </row>
    <row r="385" spans="1:38" ht="13.2">
      <c r="A385" s="1"/>
      <c r="B385" s="1"/>
      <c r="C385" s="67"/>
      <c r="D385" s="1"/>
      <c r="E385" s="1"/>
      <c r="F385" s="10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68"/>
      <c r="R385" s="10"/>
      <c r="S385" s="1"/>
      <c r="T385" s="1"/>
      <c r="U385" s="1"/>
      <c r="V385" s="2"/>
      <c r="W385" s="10"/>
      <c r="X385" s="10"/>
      <c r="Y385" s="10"/>
      <c r="Z385" s="10"/>
      <c r="AA385" s="10"/>
      <c r="AB385" s="10"/>
      <c r="AC385" s="20"/>
      <c r="AD385" s="20"/>
      <c r="AE385" s="10"/>
      <c r="AF385" s="10"/>
      <c r="AG385" s="10"/>
      <c r="AH385" s="10"/>
      <c r="AI385" s="10"/>
      <c r="AJ385" s="20"/>
      <c r="AK385" s="20"/>
      <c r="AL385" s="10"/>
    </row>
    <row r="386" spans="1:38" ht="13.2">
      <c r="A386" s="1"/>
      <c r="B386" s="1"/>
      <c r="C386" s="67"/>
      <c r="D386" s="1"/>
      <c r="E386" s="1"/>
      <c r="F386" s="10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68"/>
      <c r="R386" s="10"/>
      <c r="S386" s="1"/>
      <c r="T386" s="1"/>
      <c r="U386" s="1"/>
      <c r="V386" s="2"/>
      <c r="W386" s="10"/>
      <c r="X386" s="10"/>
      <c r="Y386" s="10"/>
      <c r="Z386" s="10"/>
      <c r="AA386" s="10"/>
      <c r="AB386" s="10"/>
      <c r="AC386" s="20"/>
      <c r="AD386" s="20"/>
      <c r="AE386" s="10"/>
      <c r="AF386" s="10"/>
      <c r="AG386" s="10"/>
      <c r="AH386" s="10"/>
      <c r="AI386" s="10"/>
      <c r="AJ386" s="20"/>
      <c r="AK386" s="20"/>
      <c r="AL386" s="10"/>
    </row>
    <row r="387" spans="1:38" ht="13.2">
      <c r="A387" s="1"/>
      <c r="B387" s="1"/>
      <c r="C387" s="67"/>
      <c r="D387" s="1"/>
      <c r="E387" s="1"/>
      <c r="F387" s="10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68"/>
      <c r="R387" s="10"/>
      <c r="S387" s="1"/>
      <c r="T387" s="1"/>
      <c r="U387" s="1"/>
      <c r="V387" s="2"/>
      <c r="W387" s="10"/>
      <c r="X387" s="10"/>
      <c r="Y387" s="10"/>
      <c r="Z387" s="10"/>
      <c r="AA387" s="10"/>
      <c r="AB387" s="10"/>
      <c r="AC387" s="20"/>
      <c r="AD387" s="20"/>
      <c r="AE387" s="10"/>
      <c r="AF387" s="10"/>
      <c r="AG387" s="10"/>
      <c r="AH387" s="10"/>
      <c r="AI387" s="10"/>
      <c r="AJ387" s="20"/>
      <c r="AK387" s="20"/>
      <c r="AL387" s="10"/>
    </row>
    <row r="388" spans="1:38" ht="13.2">
      <c r="A388" s="1"/>
      <c r="B388" s="1"/>
      <c r="C388" s="67"/>
      <c r="D388" s="1"/>
      <c r="E388" s="1"/>
      <c r="F388" s="10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68"/>
      <c r="R388" s="10"/>
      <c r="S388" s="1"/>
      <c r="T388" s="1"/>
      <c r="U388" s="1"/>
      <c r="V388" s="2"/>
      <c r="W388" s="10"/>
      <c r="X388" s="10"/>
      <c r="Y388" s="10"/>
      <c r="Z388" s="10"/>
      <c r="AA388" s="10"/>
      <c r="AB388" s="10"/>
      <c r="AC388" s="20"/>
      <c r="AD388" s="20"/>
      <c r="AE388" s="10"/>
      <c r="AF388" s="10"/>
      <c r="AG388" s="10"/>
      <c r="AH388" s="10"/>
      <c r="AI388" s="10"/>
      <c r="AJ388" s="20"/>
      <c r="AK388" s="20"/>
      <c r="AL388" s="10"/>
    </row>
    <row r="389" spans="1:38" ht="13.2">
      <c r="A389" s="1"/>
      <c r="B389" s="1"/>
      <c r="C389" s="67"/>
      <c r="D389" s="1"/>
      <c r="E389" s="1"/>
      <c r="F389" s="10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68"/>
      <c r="R389" s="10"/>
      <c r="S389" s="1"/>
      <c r="T389" s="1"/>
      <c r="U389" s="1"/>
      <c r="V389" s="2"/>
      <c r="W389" s="10"/>
      <c r="X389" s="10"/>
      <c r="Y389" s="10"/>
      <c r="Z389" s="10"/>
      <c r="AA389" s="10"/>
      <c r="AB389" s="10"/>
      <c r="AC389" s="20"/>
      <c r="AD389" s="20"/>
      <c r="AE389" s="10"/>
      <c r="AF389" s="10"/>
      <c r="AG389" s="10"/>
      <c r="AH389" s="10"/>
      <c r="AI389" s="10"/>
      <c r="AJ389" s="20"/>
      <c r="AK389" s="20"/>
      <c r="AL389" s="10"/>
    </row>
    <row r="390" spans="1:38" ht="13.2">
      <c r="A390" s="1"/>
      <c r="B390" s="1"/>
      <c r="C390" s="67"/>
      <c r="D390" s="1"/>
      <c r="E390" s="1"/>
      <c r="F390" s="10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68"/>
      <c r="R390" s="10"/>
      <c r="S390" s="1"/>
      <c r="T390" s="1"/>
      <c r="U390" s="1"/>
      <c r="V390" s="2"/>
      <c r="W390" s="10"/>
      <c r="X390" s="10"/>
      <c r="Y390" s="10"/>
      <c r="Z390" s="10"/>
      <c r="AA390" s="10"/>
      <c r="AB390" s="10"/>
      <c r="AC390" s="20"/>
      <c r="AD390" s="20"/>
      <c r="AE390" s="10"/>
      <c r="AF390" s="10"/>
      <c r="AG390" s="10"/>
      <c r="AH390" s="10"/>
      <c r="AI390" s="10"/>
      <c r="AJ390" s="20"/>
      <c r="AK390" s="20"/>
      <c r="AL390" s="10"/>
    </row>
    <row r="391" spans="1:38" ht="13.2">
      <c r="A391" s="1"/>
      <c r="B391" s="1"/>
      <c r="C391" s="67"/>
      <c r="D391" s="1"/>
      <c r="E391" s="1"/>
      <c r="F391" s="10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68"/>
      <c r="R391" s="10"/>
      <c r="S391" s="1"/>
      <c r="T391" s="1"/>
      <c r="U391" s="1"/>
      <c r="V391" s="2"/>
      <c r="W391" s="10"/>
      <c r="X391" s="10"/>
      <c r="Y391" s="10"/>
      <c r="Z391" s="10"/>
      <c r="AA391" s="10"/>
      <c r="AB391" s="10"/>
      <c r="AC391" s="20"/>
      <c r="AD391" s="20"/>
      <c r="AE391" s="10"/>
      <c r="AF391" s="10"/>
      <c r="AG391" s="10"/>
      <c r="AH391" s="10"/>
      <c r="AI391" s="10"/>
      <c r="AJ391" s="20"/>
      <c r="AK391" s="20"/>
      <c r="AL391" s="10"/>
    </row>
    <row r="392" spans="1:38" ht="13.2">
      <c r="A392" s="1"/>
      <c r="B392" s="1"/>
      <c r="C392" s="67"/>
      <c r="D392" s="1"/>
      <c r="E392" s="1"/>
      <c r="F392" s="10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68"/>
      <c r="R392" s="10"/>
      <c r="S392" s="1"/>
      <c r="T392" s="1"/>
      <c r="U392" s="1"/>
      <c r="V392" s="2"/>
      <c r="W392" s="10"/>
      <c r="X392" s="10"/>
      <c r="Y392" s="10"/>
      <c r="Z392" s="10"/>
      <c r="AA392" s="10"/>
      <c r="AB392" s="10"/>
      <c r="AC392" s="20"/>
      <c r="AD392" s="20"/>
      <c r="AE392" s="10"/>
      <c r="AF392" s="10"/>
      <c r="AG392" s="10"/>
      <c r="AH392" s="10"/>
      <c r="AI392" s="10"/>
      <c r="AJ392" s="20"/>
      <c r="AK392" s="20"/>
      <c r="AL392" s="10"/>
    </row>
    <row r="393" spans="1:38" ht="13.2">
      <c r="A393" s="1"/>
      <c r="B393" s="1"/>
      <c r="C393" s="67"/>
      <c r="D393" s="1"/>
      <c r="E393" s="1"/>
      <c r="F393" s="10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68"/>
      <c r="R393" s="10"/>
      <c r="S393" s="1"/>
      <c r="T393" s="1"/>
      <c r="U393" s="1"/>
      <c r="V393" s="2"/>
      <c r="W393" s="2"/>
      <c r="X393" s="2"/>
      <c r="Y393" s="2"/>
      <c r="Z393" s="2"/>
      <c r="AA393" s="2"/>
      <c r="AB393" s="2"/>
      <c r="AC393" s="14"/>
      <c r="AD393" s="14"/>
      <c r="AE393" s="2"/>
      <c r="AF393" s="2"/>
      <c r="AG393" s="2"/>
      <c r="AH393" s="2"/>
      <c r="AI393" s="2"/>
      <c r="AJ393" s="14"/>
      <c r="AK393" s="14"/>
      <c r="AL393" s="2"/>
    </row>
    <row r="394" spans="1:38" ht="15.6">
      <c r="A394" s="1"/>
      <c r="B394" s="28"/>
      <c r="C394" s="17"/>
      <c r="D394" s="29" t="s">
        <v>500</v>
      </c>
      <c r="E394" s="225" t="s">
        <v>523</v>
      </c>
      <c r="F394" s="194"/>
      <c r="G394" s="194"/>
      <c r="H394" s="19"/>
      <c r="I394" s="30"/>
      <c r="J394" s="30"/>
      <c r="K394" s="30"/>
      <c r="L394" s="30"/>
      <c r="M394" s="30"/>
      <c r="N394" s="30"/>
      <c r="O394" s="30"/>
      <c r="P394" s="29" t="s">
        <v>493</v>
      </c>
      <c r="Q394" s="207" t="s">
        <v>0</v>
      </c>
      <c r="R394" s="194"/>
      <c r="S394" s="19"/>
      <c r="T394" s="6"/>
      <c r="U394" s="31"/>
      <c r="V394" s="2"/>
      <c r="W394" s="10"/>
      <c r="X394" s="10"/>
      <c r="Y394" s="10"/>
      <c r="Z394" s="10"/>
      <c r="AA394" s="10"/>
      <c r="AB394" s="10"/>
      <c r="AC394" s="20"/>
      <c r="AD394" s="20"/>
      <c r="AE394" s="10"/>
      <c r="AF394" s="10"/>
      <c r="AG394" s="10"/>
      <c r="AH394" s="10"/>
      <c r="AI394" s="10"/>
      <c r="AJ394" s="20"/>
      <c r="AK394" s="20"/>
      <c r="AL394" s="10"/>
    </row>
    <row r="395" spans="1:38" ht="15.6">
      <c r="A395" s="1"/>
      <c r="B395" s="32"/>
      <c r="C395" s="16"/>
      <c r="D395" s="33" t="s">
        <v>494</v>
      </c>
      <c r="E395" s="30"/>
      <c r="F395" s="34"/>
      <c r="G395" s="19"/>
      <c r="H395" s="19"/>
      <c r="I395" s="19"/>
      <c r="J395" s="19"/>
      <c r="K395" s="19"/>
      <c r="L395" s="19"/>
      <c r="M395" s="19"/>
      <c r="N395" s="19"/>
      <c r="O395" s="19"/>
      <c r="P395" s="35" t="s">
        <v>98</v>
      </c>
      <c r="Q395" s="208" t="s">
        <v>99</v>
      </c>
      <c r="R395" s="194"/>
      <c r="S395" s="194"/>
      <c r="T395" s="194"/>
      <c r="U395" s="19"/>
      <c r="V395" s="2"/>
      <c r="W395" s="10"/>
      <c r="X395" s="10"/>
      <c r="Y395" s="10"/>
      <c r="Z395" s="10"/>
      <c r="AA395" s="10"/>
      <c r="AB395" s="10"/>
      <c r="AC395" s="20"/>
      <c r="AD395" s="20"/>
      <c r="AE395" s="10"/>
      <c r="AF395" s="10"/>
      <c r="AG395" s="10"/>
      <c r="AH395" s="10"/>
      <c r="AI395" s="10"/>
      <c r="AJ395" s="20"/>
      <c r="AK395" s="20"/>
      <c r="AL395" s="10"/>
    </row>
    <row r="396" spans="1:38" ht="15.6">
      <c r="A396" s="1"/>
      <c r="B396" s="7"/>
      <c r="C396" s="36"/>
      <c r="D396" s="30"/>
      <c r="E396" s="30"/>
      <c r="F396" s="34"/>
      <c r="G396" s="19"/>
      <c r="H396" s="19"/>
      <c r="I396" s="19"/>
      <c r="J396" s="19"/>
      <c r="K396" s="19"/>
      <c r="L396" s="19"/>
      <c r="M396" s="19"/>
      <c r="N396" s="19"/>
      <c r="O396" s="19"/>
      <c r="P396" s="30"/>
      <c r="Q396" s="37"/>
      <c r="R396" s="38"/>
      <c r="S396" s="19"/>
      <c r="T396" s="19"/>
      <c r="U396" s="19"/>
      <c r="V396" s="2"/>
      <c r="W396" s="15"/>
      <c r="X396" s="39"/>
      <c r="Y396" s="40"/>
      <c r="Z396" s="41"/>
      <c r="AA396" s="41"/>
      <c r="AB396" s="40"/>
      <c r="AC396" s="40"/>
      <c r="AD396" s="40"/>
      <c r="AE396" s="40"/>
      <c r="AF396" s="40"/>
      <c r="AG396" s="40"/>
      <c r="AH396" s="40"/>
      <c r="AI396" s="15"/>
      <c r="AJ396" s="40"/>
      <c r="AK396" s="40"/>
      <c r="AL396" s="40"/>
    </row>
    <row r="397" spans="1:38" ht="15.6">
      <c r="A397" s="1"/>
      <c r="B397" s="8"/>
      <c r="C397" s="226" t="s">
        <v>20</v>
      </c>
      <c r="D397" s="204"/>
      <c r="E397" s="203" t="s">
        <v>16</v>
      </c>
      <c r="F397" s="204"/>
      <c r="G397" s="204"/>
      <c r="H397" s="42"/>
      <c r="I397" s="43"/>
      <c r="J397" s="44"/>
      <c r="K397" s="44"/>
      <c r="L397" s="44"/>
      <c r="M397" s="44"/>
      <c r="N397" s="9"/>
      <c r="O397" s="209" t="s">
        <v>20</v>
      </c>
      <c r="P397" s="204"/>
      <c r="Q397" s="205" t="s">
        <v>17</v>
      </c>
      <c r="R397" s="204"/>
      <c r="S397" s="204"/>
      <c r="T397" s="45"/>
      <c r="U397" s="46"/>
      <c r="V397" s="2"/>
      <c r="W397" s="39"/>
      <c r="X397" s="40"/>
      <c r="Y397" s="41"/>
      <c r="Z397" s="210"/>
      <c r="AA397" s="194"/>
      <c r="AB397" s="41"/>
      <c r="AC397" s="10"/>
      <c r="AD397" s="41"/>
      <c r="AE397" s="210"/>
      <c r="AF397" s="194"/>
      <c r="AG397" s="210"/>
      <c r="AH397" s="194"/>
      <c r="AI397" s="47"/>
      <c r="AJ397" s="10"/>
      <c r="AK397" s="41"/>
      <c r="AL397" s="41"/>
    </row>
    <row r="398" spans="1:38" ht="15.6">
      <c r="A398" s="1"/>
      <c r="B398" s="43"/>
      <c r="C398" s="223" t="s">
        <v>2</v>
      </c>
      <c r="D398" s="193"/>
      <c r="E398" s="224">
        <v>26</v>
      </c>
      <c r="F398" s="204"/>
      <c r="G398" s="204"/>
      <c r="H398" s="48"/>
      <c r="I398" s="43"/>
      <c r="J398" s="49"/>
      <c r="K398" s="49"/>
      <c r="L398" s="49"/>
      <c r="M398" s="49"/>
      <c r="N398" s="9"/>
      <c r="O398" s="211" t="s">
        <v>2</v>
      </c>
      <c r="P398" s="193"/>
      <c r="Q398" s="212">
        <v>4</v>
      </c>
      <c r="R398" s="204"/>
      <c r="S398" s="204"/>
      <c r="T398" s="50"/>
      <c r="U398" s="46"/>
      <c r="V398" s="2"/>
      <c r="W398" s="47"/>
      <c r="X398" s="51"/>
      <c r="Y398" s="41"/>
      <c r="Z398" s="210"/>
      <c r="AA398" s="194"/>
      <c r="AB398" s="10"/>
      <c r="AC398" s="10"/>
      <c r="AD398" s="41"/>
      <c r="AE398" s="210"/>
      <c r="AF398" s="194"/>
      <c r="AG398" s="210"/>
      <c r="AH398" s="194"/>
      <c r="AI398" s="47"/>
      <c r="AJ398" s="10"/>
      <c r="AK398" s="41"/>
      <c r="AL398" s="41"/>
    </row>
    <row r="399" spans="1:38" ht="13.2">
      <c r="A399" s="1"/>
      <c r="B399" s="52"/>
      <c r="C399" s="53" t="s">
        <v>495</v>
      </c>
      <c r="D399" s="213" t="s">
        <v>16</v>
      </c>
      <c r="E399" s="193"/>
      <c r="F399" s="54" t="s">
        <v>21</v>
      </c>
      <c r="G399" s="55" t="s">
        <v>496</v>
      </c>
      <c r="H399" s="55"/>
      <c r="I399" s="56"/>
      <c r="J399" s="11"/>
      <c r="K399" s="11"/>
      <c r="L399" s="11"/>
      <c r="M399" s="57"/>
      <c r="N399" s="56"/>
      <c r="O399" s="53" t="s">
        <v>495</v>
      </c>
      <c r="P399" s="213" t="s">
        <v>17</v>
      </c>
      <c r="Q399" s="193"/>
      <c r="R399" s="54" t="s">
        <v>21</v>
      </c>
      <c r="S399" s="55" t="s">
        <v>496</v>
      </c>
      <c r="T399" s="55"/>
      <c r="U399" s="56"/>
      <c r="V399" s="2"/>
      <c r="W399" s="39" t="s">
        <v>495</v>
      </c>
      <c r="X399" s="58" t="s">
        <v>497</v>
      </c>
      <c r="Y399" s="41" t="s">
        <v>496</v>
      </c>
      <c r="Z399" s="41" t="s">
        <v>21</v>
      </c>
      <c r="AA399" s="41"/>
      <c r="AB399" s="58"/>
      <c r="AC399" s="58"/>
      <c r="AD399" s="41"/>
      <c r="AE399" s="41"/>
      <c r="AF399" s="41"/>
      <c r="AG399" s="41"/>
      <c r="AH399" s="41"/>
      <c r="AI399" s="39"/>
      <c r="AJ399" s="58" t="s">
        <v>497</v>
      </c>
      <c r="AK399" s="41" t="s">
        <v>496</v>
      </c>
      <c r="AL399" s="41" t="s">
        <v>21</v>
      </c>
    </row>
    <row r="400" spans="1:38" ht="13.2">
      <c r="A400" s="1"/>
      <c r="B400" s="59"/>
      <c r="C400" s="60">
        <v>1</v>
      </c>
      <c r="D400" s="206" t="s">
        <v>432</v>
      </c>
      <c r="E400" s="201"/>
      <c r="F400" s="61">
        <v>80.5</v>
      </c>
      <c r="G400" s="60" t="s">
        <v>164</v>
      </c>
      <c r="H400" s="60"/>
      <c r="I400" s="62"/>
      <c r="J400" s="11"/>
      <c r="K400" s="11"/>
      <c r="L400" s="11"/>
      <c r="M400" s="11"/>
      <c r="N400" s="59"/>
      <c r="O400" s="60">
        <v>1</v>
      </c>
      <c r="P400" s="206" t="s">
        <v>423</v>
      </c>
      <c r="Q400" s="202"/>
      <c r="R400" s="61">
        <v>94.45</v>
      </c>
      <c r="S400" s="60" t="s">
        <v>68</v>
      </c>
      <c r="T400" s="60"/>
      <c r="U400" s="62"/>
      <c r="V400" s="2"/>
      <c r="W400" s="63">
        <v>1</v>
      </c>
      <c r="X400" s="64" t="s">
        <v>432</v>
      </c>
      <c r="Y400" s="20" t="s">
        <v>164</v>
      </c>
      <c r="Z400" s="20">
        <v>80.5</v>
      </c>
      <c r="AA400" s="20"/>
      <c r="AB400" s="64"/>
      <c r="AC400" s="64"/>
      <c r="AD400" s="20"/>
      <c r="AE400" s="20"/>
      <c r="AF400" s="20"/>
      <c r="AG400" s="65"/>
      <c r="AH400" s="66"/>
      <c r="AI400" s="40"/>
      <c r="AJ400" s="64" t="s">
        <v>423</v>
      </c>
      <c r="AK400" s="20" t="s">
        <v>68</v>
      </c>
      <c r="AL400" s="20">
        <v>94.45</v>
      </c>
    </row>
    <row r="401" spans="1:38" ht="13.2">
      <c r="A401" s="1"/>
      <c r="B401" s="59"/>
      <c r="C401" s="60">
        <v>2</v>
      </c>
      <c r="D401" s="206" t="s">
        <v>441</v>
      </c>
      <c r="E401" s="201"/>
      <c r="F401" s="61">
        <v>72.75</v>
      </c>
      <c r="G401" s="60" t="s">
        <v>37</v>
      </c>
      <c r="H401" s="60"/>
      <c r="I401" s="62"/>
      <c r="J401" s="11"/>
      <c r="K401" s="11"/>
      <c r="L401" s="11"/>
      <c r="M401" s="11"/>
      <c r="N401" s="59"/>
      <c r="O401" s="60">
        <v>2</v>
      </c>
      <c r="P401" s="206" t="s">
        <v>425</v>
      </c>
      <c r="Q401" s="201"/>
      <c r="R401" s="61">
        <v>82.5</v>
      </c>
      <c r="S401" s="60" t="s">
        <v>177</v>
      </c>
      <c r="T401" s="60"/>
      <c r="U401" s="62"/>
      <c r="V401" s="2"/>
      <c r="W401" s="63">
        <v>2</v>
      </c>
      <c r="X401" s="64" t="s">
        <v>441</v>
      </c>
      <c r="Y401" s="20" t="s">
        <v>37</v>
      </c>
      <c r="Z401" s="20">
        <v>72.75</v>
      </c>
      <c r="AA401" s="20"/>
      <c r="AB401" s="10"/>
      <c r="AC401" s="10"/>
      <c r="AD401" s="20"/>
      <c r="AE401" s="20"/>
      <c r="AF401" s="20"/>
      <c r="AG401" s="65"/>
      <c r="AH401" s="66"/>
      <c r="AI401" s="40"/>
      <c r="AJ401" s="10" t="s">
        <v>425</v>
      </c>
      <c r="AK401" s="20" t="s">
        <v>177</v>
      </c>
      <c r="AL401" s="20">
        <v>82.5</v>
      </c>
    </row>
    <row r="402" spans="1:38" ht="13.2">
      <c r="A402" s="1"/>
      <c r="B402" s="59"/>
      <c r="C402" s="60">
        <v>3</v>
      </c>
      <c r="D402" s="206" t="s">
        <v>439</v>
      </c>
      <c r="E402" s="201"/>
      <c r="F402" s="61">
        <v>71.5</v>
      </c>
      <c r="G402" s="60" t="s">
        <v>76</v>
      </c>
      <c r="H402" s="60"/>
      <c r="I402" s="62"/>
      <c r="J402" s="11"/>
      <c r="K402" s="11"/>
      <c r="L402" s="11"/>
      <c r="M402" s="11"/>
      <c r="N402" s="59"/>
      <c r="O402" s="60">
        <v>3</v>
      </c>
      <c r="P402" s="206" t="s">
        <v>421</v>
      </c>
      <c r="Q402" s="201"/>
      <c r="R402" s="61">
        <v>53.25</v>
      </c>
      <c r="S402" s="60" t="s">
        <v>59</v>
      </c>
      <c r="T402" s="60"/>
      <c r="U402" s="62"/>
      <c r="V402" s="2"/>
      <c r="W402" s="63">
        <v>3</v>
      </c>
      <c r="X402" s="64" t="s">
        <v>439</v>
      </c>
      <c r="Y402" s="20" t="s">
        <v>76</v>
      </c>
      <c r="Z402" s="20">
        <v>71.5</v>
      </c>
      <c r="AA402" s="20"/>
      <c r="AB402" s="10"/>
      <c r="AC402" s="10"/>
      <c r="AD402" s="20"/>
      <c r="AE402" s="20"/>
      <c r="AF402" s="20"/>
      <c r="AG402" s="65"/>
      <c r="AH402" s="66"/>
      <c r="AI402" s="40"/>
      <c r="AJ402" s="10" t="s">
        <v>421</v>
      </c>
      <c r="AK402" s="20" t="s">
        <v>59</v>
      </c>
      <c r="AL402" s="20">
        <v>53.25</v>
      </c>
    </row>
    <row r="403" spans="1:38" ht="13.2">
      <c r="A403" s="1"/>
      <c r="B403" s="59"/>
      <c r="C403" s="60">
        <v>4</v>
      </c>
      <c r="D403" s="206" t="s">
        <v>434</v>
      </c>
      <c r="E403" s="201"/>
      <c r="F403" s="61">
        <v>70.599999999999994</v>
      </c>
      <c r="G403" s="60" t="s">
        <v>42</v>
      </c>
      <c r="H403" s="60"/>
      <c r="I403" s="62"/>
      <c r="J403" s="11"/>
      <c r="K403" s="11"/>
      <c r="L403" s="11"/>
      <c r="M403" s="11"/>
      <c r="N403" s="59"/>
      <c r="O403" s="60">
        <v>4</v>
      </c>
      <c r="P403" s="206" t="s">
        <v>420</v>
      </c>
      <c r="Q403" s="201"/>
      <c r="R403" s="61">
        <v>16</v>
      </c>
      <c r="S403" s="60" t="s">
        <v>138</v>
      </c>
      <c r="T403" s="60"/>
      <c r="U403" s="62"/>
      <c r="V403" s="2"/>
      <c r="W403" s="63">
        <v>4</v>
      </c>
      <c r="X403" s="64" t="s">
        <v>434</v>
      </c>
      <c r="Y403" s="20" t="s">
        <v>42</v>
      </c>
      <c r="Z403" s="20">
        <v>70.599999999999994</v>
      </c>
      <c r="AA403" s="20"/>
      <c r="AB403" s="10"/>
      <c r="AC403" s="10"/>
      <c r="AD403" s="20"/>
      <c r="AE403" s="20"/>
      <c r="AF403" s="20"/>
      <c r="AG403" s="65"/>
      <c r="AH403" s="66"/>
      <c r="AI403" s="40"/>
      <c r="AJ403" s="10" t="s">
        <v>420</v>
      </c>
      <c r="AK403" s="20" t="s">
        <v>138</v>
      </c>
      <c r="AL403" s="20">
        <v>16</v>
      </c>
    </row>
    <row r="404" spans="1:38" ht="13.2">
      <c r="A404" s="1"/>
      <c r="B404" s="59"/>
      <c r="C404" s="60">
        <v>5</v>
      </c>
      <c r="D404" s="206" t="s">
        <v>426</v>
      </c>
      <c r="E404" s="201"/>
      <c r="F404" s="61">
        <v>66.650000000000006</v>
      </c>
      <c r="G404" s="60" t="s">
        <v>76</v>
      </c>
      <c r="H404" s="60"/>
      <c r="I404" s="62"/>
      <c r="J404" s="11"/>
      <c r="K404" s="11"/>
      <c r="L404" s="11"/>
      <c r="M404" s="11"/>
      <c r="N404" s="59"/>
      <c r="O404" s="60"/>
      <c r="P404" s="206"/>
      <c r="Q404" s="201"/>
      <c r="R404" s="61"/>
      <c r="S404" s="60"/>
      <c r="T404" s="60"/>
      <c r="U404" s="62"/>
      <c r="V404" s="2"/>
      <c r="W404" s="63">
        <v>5</v>
      </c>
      <c r="X404" s="64" t="s">
        <v>426</v>
      </c>
      <c r="Y404" s="20" t="s">
        <v>76</v>
      </c>
      <c r="Z404" s="20">
        <v>66.650000000000006</v>
      </c>
      <c r="AA404" s="20"/>
      <c r="AB404" s="10"/>
      <c r="AC404" s="10"/>
      <c r="AD404" s="20"/>
      <c r="AE404" s="20"/>
      <c r="AF404" s="20"/>
      <c r="AG404" s="65"/>
      <c r="AH404" s="66"/>
      <c r="AI404" s="40"/>
      <c r="AJ404" s="10"/>
      <c r="AK404" s="20"/>
      <c r="AL404" s="20"/>
    </row>
    <row r="405" spans="1:38" ht="13.2">
      <c r="A405" s="1"/>
      <c r="B405" s="59"/>
      <c r="C405" s="60">
        <v>6</v>
      </c>
      <c r="D405" s="206" t="s">
        <v>437</v>
      </c>
      <c r="E405" s="201"/>
      <c r="F405" s="61">
        <v>62.2</v>
      </c>
      <c r="G405" s="60" t="s">
        <v>35</v>
      </c>
      <c r="H405" s="60"/>
      <c r="I405" s="62"/>
      <c r="J405" s="11"/>
      <c r="K405" s="11"/>
      <c r="L405" s="11"/>
      <c r="M405" s="11"/>
      <c r="N405" s="59"/>
      <c r="O405" s="60"/>
      <c r="P405" s="206"/>
      <c r="Q405" s="201"/>
      <c r="R405" s="61"/>
      <c r="S405" s="60"/>
      <c r="T405" s="60"/>
      <c r="U405" s="62"/>
      <c r="V405" s="2"/>
      <c r="W405" s="63">
        <v>6</v>
      </c>
      <c r="X405" s="64" t="s">
        <v>437</v>
      </c>
      <c r="Y405" s="20" t="s">
        <v>35</v>
      </c>
      <c r="Z405" s="20">
        <v>62.2</v>
      </c>
      <c r="AA405" s="20"/>
      <c r="AB405" s="10"/>
      <c r="AC405" s="10"/>
      <c r="AD405" s="20"/>
      <c r="AE405" s="20"/>
      <c r="AF405" s="20"/>
      <c r="AG405" s="65"/>
      <c r="AH405" s="66"/>
      <c r="AI405" s="40"/>
      <c r="AJ405" s="10"/>
      <c r="AK405" s="20"/>
      <c r="AL405" s="20"/>
    </row>
    <row r="406" spans="1:38" ht="13.2">
      <c r="A406" s="1"/>
      <c r="B406" s="59"/>
      <c r="C406" s="60">
        <v>7</v>
      </c>
      <c r="D406" s="206" t="s">
        <v>418</v>
      </c>
      <c r="E406" s="201"/>
      <c r="F406" s="61">
        <v>61.65</v>
      </c>
      <c r="G406" s="60" t="s">
        <v>52</v>
      </c>
      <c r="H406" s="60"/>
      <c r="I406" s="62"/>
      <c r="J406" s="11"/>
      <c r="K406" s="11"/>
      <c r="L406" s="11"/>
      <c r="M406" s="11"/>
      <c r="N406" s="59"/>
      <c r="O406" s="60"/>
      <c r="P406" s="206"/>
      <c r="Q406" s="201"/>
      <c r="R406" s="61"/>
      <c r="S406" s="60"/>
      <c r="T406" s="60"/>
      <c r="U406" s="62"/>
      <c r="V406" s="2"/>
      <c r="W406" s="63">
        <v>7</v>
      </c>
      <c r="X406" s="64" t="s">
        <v>418</v>
      </c>
      <c r="Y406" s="20" t="s">
        <v>52</v>
      </c>
      <c r="Z406" s="20">
        <v>61.65</v>
      </c>
      <c r="AA406" s="20"/>
      <c r="AB406" s="10"/>
      <c r="AC406" s="10"/>
      <c r="AD406" s="20"/>
      <c r="AE406" s="20"/>
      <c r="AF406" s="20"/>
      <c r="AG406" s="65"/>
      <c r="AH406" s="66"/>
      <c r="AI406" s="40"/>
      <c r="AJ406" s="10"/>
      <c r="AK406" s="20"/>
      <c r="AL406" s="20"/>
    </row>
    <row r="407" spans="1:38" ht="13.2">
      <c r="A407" s="1"/>
      <c r="B407" s="59"/>
      <c r="C407" s="60">
        <v>8</v>
      </c>
      <c r="D407" s="206" t="s">
        <v>436</v>
      </c>
      <c r="E407" s="201"/>
      <c r="F407" s="61">
        <v>59.75</v>
      </c>
      <c r="G407" s="60" t="s">
        <v>75</v>
      </c>
      <c r="H407" s="60"/>
      <c r="I407" s="62"/>
      <c r="J407" s="11"/>
      <c r="K407" s="11"/>
      <c r="L407" s="11"/>
      <c r="M407" s="11"/>
      <c r="N407" s="59"/>
      <c r="O407" s="60"/>
      <c r="P407" s="206"/>
      <c r="Q407" s="201"/>
      <c r="R407" s="61"/>
      <c r="S407" s="60"/>
      <c r="T407" s="60"/>
      <c r="U407" s="62"/>
      <c r="V407" s="2"/>
      <c r="W407" s="63">
        <v>8</v>
      </c>
      <c r="X407" s="64" t="s">
        <v>436</v>
      </c>
      <c r="Y407" s="20" t="s">
        <v>75</v>
      </c>
      <c r="Z407" s="20">
        <v>59.75</v>
      </c>
      <c r="AA407" s="20"/>
      <c r="AB407" s="10"/>
      <c r="AC407" s="10"/>
      <c r="AD407" s="20"/>
      <c r="AE407" s="20"/>
      <c r="AF407" s="20"/>
      <c r="AG407" s="65"/>
      <c r="AH407" s="66"/>
      <c r="AI407" s="40"/>
      <c r="AJ407" s="10"/>
      <c r="AK407" s="20"/>
      <c r="AL407" s="20"/>
    </row>
    <row r="408" spans="1:38" ht="13.2">
      <c r="A408" s="1"/>
      <c r="B408" s="59"/>
      <c r="C408" s="60">
        <v>9</v>
      </c>
      <c r="D408" s="206" t="s">
        <v>424</v>
      </c>
      <c r="E408" s="201"/>
      <c r="F408" s="61">
        <v>58.3</v>
      </c>
      <c r="G408" s="60" t="s">
        <v>50</v>
      </c>
      <c r="H408" s="60"/>
      <c r="I408" s="62"/>
      <c r="J408" s="11"/>
      <c r="K408" s="11"/>
      <c r="L408" s="11"/>
      <c r="M408" s="11"/>
      <c r="N408" s="59"/>
      <c r="O408" s="60"/>
      <c r="P408" s="206"/>
      <c r="Q408" s="201"/>
      <c r="R408" s="61"/>
      <c r="S408" s="60"/>
      <c r="T408" s="60"/>
      <c r="U408" s="62"/>
      <c r="V408" s="2"/>
      <c r="W408" s="63">
        <v>9</v>
      </c>
      <c r="X408" s="64" t="s">
        <v>424</v>
      </c>
      <c r="Y408" s="20" t="s">
        <v>50</v>
      </c>
      <c r="Z408" s="20">
        <v>58.3</v>
      </c>
      <c r="AA408" s="20"/>
      <c r="AB408" s="10"/>
      <c r="AC408" s="10"/>
      <c r="AD408" s="20"/>
      <c r="AE408" s="20"/>
      <c r="AF408" s="20"/>
      <c r="AG408" s="65"/>
      <c r="AH408" s="66"/>
      <c r="AI408" s="40"/>
      <c r="AJ408" s="10"/>
      <c r="AK408" s="20"/>
      <c r="AL408" s="20"/>
    </row>
    <row r="409" spans="1:38" ht="13.2">
      <c r="A409" s="1"/>
      <c r="B409" s="59"/>
      <c r="C409" s="60">
        <v>10</v>
      </c>
      <c r="D409" s="206" t="s">
        <v>429</v>
      </c>
      <c r="E409" s="201"/>
      <c r="F409" s="61">
        <v>58.05</v>
      </c>
      <c r="G409" s="60" t="s">
        <v>28</v>
      </c>
      <c r="H409" s="60"/>
      <c r="I409" s="62"/>
      <c r="J409" s="11"/>
      <c r="K409" s="11"/>
      <c r="L409" s="11"/>
      <c r="M409" s="11"/>
      <c r="N409" s="59"/>
      <c r="O409" s="60"/>
      <c r="P409" s="206"/>
      <c r="Q409" s="201"/>
      <c r="R409" s="61"/>
      <c r="S409" s="60"/>
      <c r="T409" s="60"/>
      <c r="U409" s="62"/>
      <c r="V409" s="2"/>
      <c r="W409" s="63">
        <v>10</v>
      </c>
      <c r="X409" s="64" t="s">
        <v>429</v>
      </c>
      <c r="Y409" s="20" t="s">
        <v>28</v>
      </c>
      <c r="Z409" s="20">
        <v>58.05</v>
      </c>
      <c r="AA409" s="20"/>
      <c r="AB409" s="10"/>
      <c r="AC409" s="10"/>
      <c r="AD409" s="20"/>
      <c r="AE409" s="20"/>
      <c r="AF409" s="20"/>
      <c r="AG409" s="65"/>
      <c r="AH409" s="66"/>
      <c r="AI409" s="40"/>
      <c r="AJ409" s="10"/>
      <c r="AK409" s="20"/>
      <c r="AL409" s="20"/>
    </row>
    <row r="410" spans="1:38" ht="13.2">
      <c r="A410" s="1"/>
      <c r="B410" s="59"/>
      <c r="C410" s="60">
        <v>11</v>
      </c>
      <c r="D410" s="206" t="s">
        <v>440</v>
      </c>
      <c r="E410" s="201"/>
      <c r="F410" s="61">
        <v>57.95</v>
      </c>
      <c r="G410" s="60" t="s">
        <v>68</v>
      </c>
      <c r="H410" s="60"/>
      <c r="I410" s="62"/>
      <c r="J410" s="11"/>
      <c r="K410" s="11"/>
      <c r="L410" s="11"/>
      <c r="M410" s="11"/>
      <c r="N410" s="59"/>
      <c r="O410" s="60"/>
      <c r="P410" s="206"/>
      <c r="Q410" s="201"/>
      <c r="R410" s="61"/>
      <c r="S410" s="60"/>
      <c r="T410" s="60"/>
      <c r="U410" s="62"/>
      <c r="V410" s="2"/>
      <c r="W410" s="63">
        <v>11</v>
      </c>
      <c r="X410" s="64" t="s">
        <v>440</v>
      </c>
      <c r="Y410" s="20" t="s">
        <v>68</v>
      </c>
      <c r="Z410" s="20">
        <v>57.95</v>
      </c>
      <c r="AA410" s="20"/>
      <c r="AB410" s="10"/>
      <c r="AC410" s="10"/>
      <c r="AD410" s="20"/>
      <c r="AE410" s="20"/>
      <c r="AF410" s="20"/>
      <c r="AG410" s="65"/>
      <c r="AH410" s="66"/>
      <c r="AI410" s="40"/>
      <c r="AJ410" s="10"/>
      <c r="AK410" s="20"/>
      <c r="AL410" s="20"/>
    </row>
    <row r="411" spans="1:38" ht="13.2">
      <c r="A411" s="1"/>
      <c r="B411" s="59"/>
      <c r="C411" s="60">
        <v>12</v>
      </c>
      <c r="D411" s="206" t="s">
        <v>419</v>
      </c>
      <c r="E411" s="201"/>
      <c r="F411" s="61">
        <v>55.25</v>
      </c>
      <c r="G411" s="60" t="s">
        <v>177</v>
      </c>
      <c r="H411" s="60"/>
      <c r="I411" s="62"/>
      <c r="J411" s="11"/>
      <c r="K411" s="11"/>
      <c r="L411" s="11"/>
      <c r="M411" s="11"/>
      <c r="N411" s="59"/>
      <c r="O411" s="60"/>
      <c r="P411" s="206"/>
      <c r="Q411" s="201"/>
      <c r="R411" s="61"/>
      <c r="S411" s="60"/>
      <c r="T411" s="60"/>
      <c r="U411" s="62"/>
      <c r="V411" s="2"/>
      <c r="W411" s="63">
        <v>12</v>
      </c>
      <c r="X411" s="64" t="s">
        <v>419</v>
      </c>
      <c r="Y411" s="20" t="s">
        <v>177</v>
      </c>
      <c r="Z411" s="20">
        <v>55.25</v>
      </c>
      <c r="AA411" s="20"/>
      <c r="AB411" s="10"/>
      <c r="AC411" s="10"/>
      <c r="AD411" s="20"/>
      <c r="AE411" s="20"/>
      <c r="AF411" s="20"/>
      <c r="AG411" s="65"/>
      <c r="AH411" s="66"/>
      <c r="AI411" s="40"/>
      <c r="AJ411" s="10"/>
      <c r="AK411" s="20"/>
      <c r="AL411" s="20"/>
    </row>
    <row r="412" spans="1:38" ht="13.2">
      <c r="A412" s="1"/>
      <c r="B412" s="59"/>
      <c r="C412" s="60">
        <v>13</v>
      </c>
      <c r="D412" s="206" t="s">
        <v>433</v>
      </c>
      <c r="E412" s="201"/>
      <c r="F412" s="61">
        <v>55</v>
      </c>
      <c r="G412" s="60" t="s">
        <v>79</v>
      </c>
      <c r="H412" s="60"/>
      <c r="I412" s="62"/>
      <c r="J412" s="11"/>
      <c r="K412" s="11"/>
      <c r="L412" s="11"/>
      <c r="M412" s="11"/>
      <c r="N412" s="59"/>
      <c r="O412" s="60"/>
      <c r="P412" s="206"/>
      <c r="Q412" s="201"/>
      <c r="R412" s="61"/>
      <c r="S412" s="60"/>
      <c r="T412" s="60"/>
      <c r="U412" s="62"/>
      <c r="V412" s="2"/>
      <c r="W412" s="63">
        <v>13</v>
      </c>
      <c r="X412" s="64" t="s">
        <v>433</v>
      </c>
      <c r="Y412" s="20" t="s">
        <v>79</v>
      </c>
      <c r="Z412" s="20">
        <v>55</v>
      </c>
      <c r="AA412" s="20"/>
      <c r="AB412" s="10"/>
      <c r="AC412" s="10"/>
      <c r="AD412" s="20"/>
      <c r="AE412" s="20"/>
      <c r="AF412" s="20"/>
      <c r="AG412" s="65"/>
      <c r="AH412" s="66"/>
      <c r="AI412" s="40"/>
      <c r="AJ412" s="10"/>
      <c r="AK412" s="20"/>
      <c r="AL412" s="20"/>
    </row>
    <row r="413" spans="1:38" ht="13.2">
      <c r="A413" s="1"/>
      <c r="B413" s="59"/>
      <c r="C413" s="60">
        <v>14</v>
      </c>
      <c r="D413" s="206" t="s">
        <v>427</v>
      </c>
      <c r="E413" s="201"/>
      <c r="F413" s="61">
        <v>54.3</v>
      </c>
      <c r="G413" s="60" t="s">
        <v>37</v>
      </c>
      <c r="H413" s="60"/>
      <c r="I413" s="62"/>
      <c r="J413" s="11"/>
      <c r="K413" s="11"/>
      <c r="L413" s="11"/>
      <c r="M413" s="11"/>
      <c r="N413" s="59"/>
      <c r="O413" s="60"/>
      <c r="P413" s="206"/>
      <c r="Q413" s="201"/>
      <c r="R413" s="61"/>
      <c r="S413" s="60"/>
      <c r="T413" s="60"/>
      <c r="U413" s="62"/>
      <c r="V413" s="2"/>
      <c r="W413" s="63">
        <v>14</v>
      </c>
      <c r="X413" s="64" t="s">
        <v>427</v>
      </c>
      <c r="Y413" s="20" t="s">
        <v>37</v>
      </c>
      <c r="Z413" s="20">
        <v>54.3</v>
      </c>
      <c r="AA413" s="20"/>
      <c r="AB413" s="10"/>
      <c r="AC413" s="10"/>
      <c r="AD413" s="20"/>
      <c r="AE413" s="20"/>
      <c r="AF413" s="20"/>
      <c r="AG413" s="65"/>
      <c r="AH413" s="66"/>
      <c r="AI413" s="40"/>
      <c r="AJ413" s="10"/>
      <c r="AK413" s="20"/>
      <c r="AL413" s="20"/>
    </row>
    <row r="414" spans="1:38" ht="13.2">
      <c r="A414" s="1"/>
      <c r="B414" s="59"/>
      <c r="C414" s="60">
        <v>15</v>
      </c>
      <c r="D414" s="206" t="s">
        <v>443</v>
      </c>
      <c r="E414" s="201"/>
      <c r="F414" s="61">
        <v>52.45</v>
      </c>
      <c r="G414" s="60" t="s">
        <v>24</v>
      </c>
      <c r="H414" s="60"/>
      <c r="I414" s="62"/>
      <c r="J414" s="11"/>
      <c r="K414" s="11"/>
      <c r="L414" s="11"/>
      <c r="M414" s="11"/>
      <c r="N414" s="59"/>
      <c r="O414" s="60"/>
      <c r="P414" s="206"/>
      <c r="Q414" s="201"/>
      <c r="R414" s="61"/>
      <c r="S414" s="60"/>
      <c r="T414" s="60"/>
      <c r="U414" s="62"/>
      <c r="V414" s="2"/>
      <c r="W414" s="63">
        <v>15</v>
      </c>
      <c r="X414" s="64" t="s">
        <v>443</v>
      </c>
      <c r="Y414" s="20" t="s">
        <v>24</v>
      </c>
      <c r="Z414" s="20">
        <v>52.45</v>
      </c>
      <c r="AA414" s="20"/>
      <c r="AB414" s="10"/>
      <c r="AC414" s="10"/>
      <c r="AD414" s="20"/>
      <c r="AE414" s="20"/>
      <c r="AF414" s="20"/>
      <c r="AG414" s="65"/>
      <c r="AH414" s="66"/>
      <c r="AI414" s="40"/>
      <c r="AJ414" s="10"/>
      <c r="AK414" s="20"/>
      <c r="AL414" s="20"/>
    </row>
    <row r="415" spans="1:38" ht="13.2">
      <c r="A415" s="1"/>
      <c r="B415" s="59"/>
      <c r="C415" s="60">
        <v>16</v>
      </c>
      <c r="D415" s="206" t="s">
        <v>442</v>
      </c>
      <c r="E415" s="201"/>
      <c r="F415" s="61">
        <v>52.4</v>
      </c>
      <c r="G415" s="60" t="s">
        <v>55</v>
      </c>
      <c r="H415" s="60"/>
      <c r="I415" s="62"/>
      <c r="J415" s="11"/>
      <c r="K415" s="11"/>
      <c r="L415" s="11"/>
      <c r="M415" s="11"/>
      <c r="N415" s="59"/>
      <c r="O415" s="60"/>
      <c r="P415" s="206"/>
      <c r="Q415" s="201"/>
      <c r="R415" s="61"/>
      <c r="S415" s="60"/>
      <c r="T415" s="60"/>
      <c r="U415" s="62"/>
      <c r="V415" s="2"/>
      <c r="W415" s="63">
        <v>16</v>
      </c>
      <c r="X415" s="64" t="s">
        <v>442</v>
      </c>
      <c r="Y415" s="20" t="s">
        <v>55</v>
      </c>
      <c r="Z415" s="20">
        <v>52.4</v>
      </c>
      <c r="AA415" s="20"/>
      <c r="AB415" s="10"/>
      <c r="AC415" s="10"/>
      <c r="AD415" s="20"/>
      <c r="AE415" s="20"/>
      <c r="AF415" s="20"/>
      <c r="AG415" s="65"/>
      <c r="AH415" s="66"/>
      <c r="AI415" s="40"/>
      <c r="AJ415" s="10"/>
      <c r="AK415" s="20"/>
      <c r="AL415" s="20"/>
    </row>
    <row r="416" spans="1:38" ht="13.2">
      <c r="A416" s="1"/>
      <c r="B416" s="59"/>
      <c r="C416" s="60">
        <v>17</v>
      </c>
      <c r="D416" s="206" t="s">
        <v>445</v>
      </c>
      <c r="E416" s="201"/>
      <c r="F416" s="61">
        <v>50.1</v>
      </c>
      <c r="G416" s="60" t="s">
        <v>129</v>
      </c>
      <c r="H416" s="60"/>
      <c r="I416" s="62"/>
      <c r="J416" s="11"/>
      <c r="K416" s="11"/>
      <c r="L416" s="11"/>
      <c r="M416" s="11"/>
      <c r="N416" s="59"/>
      <c r="O416" s="60"/>
      <c r="P416" s="206"/>
      <c r="Q416" s="201"/>
      <c r="R416" s="61"/>
      <c r="S416" s="60"/>
      <c r="T416" s="60"/>
      <c r="U416" s="62"/>
      <c r="V416" s="2"/>
      <c r="W416" s="63">
        <v>17</v>
      </c>
      <c r="X416" s="64" t="s">
        <v>445</v>
      </c>
      <c r="Y416" s="20" t="s">
        <v>129</v>
      </c>
      <c r="Z416" s="20">
        <v>50.1</v>
      </c>
      <c r="AA416" s="20"/>
      <c r="AB416" s="10"/>
      <c r="AC416" s="10"/>
      <c r="AD416" s="20"/>
      <c r="AE416" s="20"/>
      <c r="AF416" s="20"/>
      <c r="AG416" s="65"/>
      <c r="AH416" s="66"/>
      <c r="AI416" s="40"/>
      <c r="AJ416" s="10"/>
      <c r="AK416" s="20"/>
      <c r="AL416" s="20"/>
    </row>
    <row r="417" spans="1:38" ht="13.2">
      <c r="A417" s="1"/>
      <c r="B417" s="59"/>
      <c r="C417" s="60">
        <v>18</v>
      </c>
      <c r="D417" s="206" t="s">
        <v>438</v>
      </c>
      <c r="E417" s="201"/>
      <c r="F417" s="61">
        <v>47.95</v>
      </c>
      <c r="G417" s="60" t="s">
        <v>65</v>
      </c>
      <c r="H417" s="60"/>
      <c r="I417" s="62"/>
      <c r="J417" s="11"/>
      <c r="K417" s="11"/>
      <c r="L417" s="11"/>
      <c r="M417" s="11"/>
      <c r="N417" s="59"/>
      <c r="O417" s="60"/>
      <c r="P417" s="206"/>
      <c r="Q417" s="201"/>
      <c r="R417" s="61"/>
      <c r="S417" s="60"/>
      <c r="T417" s="60"/>
      <c r="U417" s="62"/>
      <c r="V417" s="2"/>
      <c r="W417" s="63">
        <v>18</v>
      </c>
      <c r="X417" s="64" t="s">
        <v>438</v>
      </c>
      <c r="Y417" s="20" t="s">
        <v>65</v>
      </c>
      <c r="Z417" s="20">
        <v>47.95</v>
      </c>
      <c r="AA417" s="20"/>
      <c r="AB417" s="10"/>
      <c r="AC417" s="10"/>
      <c r="AD417" s="20"/>
      <c r="AE417" s="20"/>
      <c r="AF417" s="20"/>
      <c r="AG417" s="65"/>
      <c r="AH417" s="66"/>
      <c r="AI417" s="40"/>
      <c r="AJ417" s="10"/>
      <c r="AK417" s="20"/>
      <c r="AL417" s="20"/>
    </row>
    <row r="418" spans="1:38" ht="13.2">
      <c r="A418" s="1"/>
      <c r="B418" s="59"/>
      <c r="C418" s="60">
        <v>19</v>
      </c>
      <c r="D418" s="206" t="s">
        <v>422</v>
      </c>
      <c r="E418" s="201"/>
      <c r="F418" s="61">
        <v>41.1</v>
      </c>
      <c r="G418" s="60" t="s">
        <v>65</v>
      </c>
      <c r="H418" s="60"/>
      <c r="I418" s="62"/>
      <c r="J418" s="11"/>
      <c r="K418" s="11"/>
      <c r="L418" s="11"/>
      <c r="M418" s="11"/>
      <c r="N418" s="59"/>
      <c r="O418" s="60"/>
      <c r="P418" s="206"/>
      <c r="Q418" s="201"/>
      <c r="R418" s="61"/>
      <c r="S418" s="60"/>
      <c r="T418" s="60"/>
      <c r="U418" s="62"/>
      <c r="V418" s="2"/>
      <c r="W418" s="63">
        <v>19</v>
      </c>
      <c r="X418" s="64" t="s">
        <v>422</v>
      </c>
      <c r="Y418" s="20" t="s">
        <v>65</v>
      </c>
      <c r="Z418" s="20">
        <v>41.1</v>
      </c>
      <c r="AA418" s="20"/>
      <c r="AB418" s="10"/>
      <c r="AC418" s="10"/>
      <c r="AD418" s="20"/>
      <c r="AE418" s="20"/>
      <c r="AF418" s="20"/>
      <c r="AG418" s="65"/>
      <c r="AH418" s="66"/>
      <c r="AI418" s="40"/>
      <c r="AJ418" s="10"/>
      <c r="AK418" s="20"/>
      <c r="AL418" s="20"/>
    </row>
    <row r="419" spans="1:38" ht="13.2">
      <c r="A419" s="1"/>
      <c r="B419" s="59"/>
      <c r="C419" s="60">
        <v>20</v>
      </c>
      <c r="D419" s="206" t="s">
        <v>430</v>
      </c>
      <c r="E419" s="201"/>
      <c r="F419" s="61">
        <v>40.799999999999997</v>
      </c>
      <c r="G419" s="60" t="s">
        <v>177</v>
      </c>
      <c r="H419" s="60"/>
      <c r="I419" s="62"/>
      <c r="J419" s="11"/>
      <c r="K419" s="11"/>
      <c r="L419" s="11"/>
      <c r="M419" s="11"/>
      <c r="N419" s="59"/>
      <c r="O419" s="60"/>
      <c r="P419" s="206"/>
      <c r="Q419" s="201"/>
      <c r="R419" s="61"/>
      <c r="S419" s="60"/>
      <c r="T419" s="60"/>
      <c r="U419" s="62"/>
      <c r="V419" s="2"/>
      <c r="W419" s="63">
        <v>20</v>
      </c>
      <c r="X419" s="64" t="s">
        <v>430</v>
      </c>
      <c r="Y419" s="20" t="s">
        <v>177</v>
      </c>
      <c r="Z419" s="20">
        <v>40.799999999999997</v>
      </c>
      <c r="AA419" s="20"/>
      <c r="AB419" s="10"/>
      <c r="AC419" s="10"/>
      <c r="AD419" s="20"/>
      <c r="AE419" s="20"/>
      <c r="AF419" s="20"/>
      <c r="AG419" s="65"/>
      <c r="AH419" s="66"/>
      <c r="AI419" s="40"/>
      <c r="AJ419" s="10"/>
      <c r="AK419" s="20"/>
      <c r="AL419" s="20"/>
    </row>
    <row r="420" spans="1:38" ht="13.2">
      <c r="A420" s="1"/>
      <c r="B420" s="59"/>
      <c r="C420" s="60">
        <v>21</v>
      </c>
      <c r="D420" s="206" t="s">
        <v>447</v>
      </c>
      <c r="E420" s="201"/>
      <c r="F420" s="61">
        <v>38.85</v>
      </c>
      <c r="G420" s="60" t="s">
        <v>28</v>
      </c>
      <c r="H420" s="60"/>
      <c r="I420" s="62"/>
      <c r="J420" s="11"/>
      <c r="K420" s="11"/>
      <c r="L420" s="11"/>
      <c r="M420" s="11"/>
      <c r="N420" s="59"/>
      <c r="O420" s="60"/>
      <c r="P420" s="206"/>
      <c r="Q420" s="201"/>
      <c r="R420" s="61"/>
      <c r="S420" s="60"/>
      <c r="T420" s="60"/>
      <c r="U420" s="62"/>
      <c r="V420" s="2"/>
      <c r="W420" s="63">
        <v>21</v>
      </c>
      <c r="X420" s="64" t="s">
        <v>447</v>
      </c>
      <c r="Y420" s="20" t="s">
        <v>28</v>
      </c>
      <c r="Z420" s="20">
        <v>38.85</v>
      </c>
      <c r="AA420" s="20"/>
      <c r="AB420" s="10"/>
      <c r="AC420" s="10"/>
      <c r="AD420" s="20"/>
      <c r="AE420" s="20"/>
      <c r="AF420" s="20"/>
      <c r="AG420" s="65"/>
      <c r="AH420" s="66"/>
      <c r="AI420" s="40"/>
      <c r="AJ420" s="10"/>
      <c r="AK420" s="20"/>
      <c r="AL420" s="20"/>
    </row>
    <row r="421" spans="1:38" ht="13.2">
      <c r="A421" s="1"/>
      <c r="B421" s="59"/>
      <c r="C421" s="60">
        <v>22</v>
      </c>
      <c r="D421" s="206" t="s">
        <v>435</v>
      </c>
      <c r="E421" s="201"/>
      <c r="F421" s="61">
        <v>38.25</v>
      </c>
      <c r="G421" s="60" t="s">
        <v>37</v>
      </c>
      <c r="H421" s="60"/>
      <c r="I421" s="62"/>
      <c r="J421" s="11"/>
      <c r="K421" s="11"/>
      <c r="L421" s="11"/>
      <c r="M421" s="11"/>
      <c r="N421" s="59"/>
      <c r="O421" s="60"/>
      <c r="P421" s="206"/>
      <c r="Q421" s="201"/>
      <c r="R421" s="61"/>
      <c r="S421" s="60"/>
      <c r="T421" s="60"/>
      <c r="U421" s="62"/>
      <c r="V421" s="2"/>
      <c r="W421" s="63">
        <v>22</v>
      </c>
      <c r="X421" s="64" t="s">
        <v>435</v>
      </c>
      <c r="Y421" s="20" t="s">
        <v>37</v>
      </c>
      <c r="Z421" s="20">
        <v>38.25</v>
      </c>
      <c r="AA421" s="20"/>
      <c r="AB421" s="10"/>
      <c r="AC421" s="10"/>
      <c r="AD421" s="20"/>
      <c r="AE421" s="20"/>
      <c r="AF421" s="20"/>
      <c r="AG421" s="65"/>
      <c r="AH421" s="66"/>
      <c r="AI421" s="40"/>
      <c r="AJ421" s="10"/>
      <c r="AK421" s="20"/>
      <c r="AL421" s="20"/>
    </row>
    <row r="422" spans="1:38" ht="13.2">
      <c r="A422" s="1"/>
      <c r="B422" s="59"/>
      <c r="C422" s="60">
        <v>23</v>
      </c>
      <c r="D422" s="206" t="s">
        <v>428</v>
      </c>
      <c r="E422" s="201"/>
      <c r="F422" s="61">
        <v>37.700000000000003</v>
      </c>
      <c r="G422" s="60" t="s">
        <v>37</v>
      </c>
      <c r="H422" s="60"/>
      <c r="I422" s="62"/>
      <c r="J422" s="11"/>
      <c r="K422" s="11"/>
      <c r="L422" s="11"/>
      <c r="M422" s="11"/>
      <c r="N422" s="59"/>
      <c r="O422" s="60"/>
      <c r="P422" s="206"/>
      <c r="Q422" s="201"/>
      <c r="R422" s="61"/>
      <c r="S422" s="60"/>
      <c r="T422" s="60"/>
      <c r="U422" s="62"/>
      <c r="V422" s="2"/>
      <c r="W422" s="63">
        <v>23</v>
      </c>
      <c r="X422" s="64" t="s">
        <v>428</v>
      </c>
      <c r="Y422" s="20" t="s">
        <v>37</v>
      </c>
      <c r="Z422" s="20">
        <v>37.700000000000003</v>
      </c>
      <c r="AA422" s="20"/>
      <c r="AB422" s="10"/>
      <c r="AC422" s="10"/>
      <c r="AD422" s="20"/>
      <c r="AE422" s="20"/>
      <c r="AF422" s="20"/>
      <c r="AG422" s="65"/>
      <c r="AH422" s="66"/>
      <c r="AI422" s="40"/>
      <c r="AJ422" s="10"/>
      <c r="AK422" s="20"/>
      <c r="AL422" s="20"/>
    </row>
    <row r="423" spans="1:38" ht="13.2">
      <c r="A423" s="1"/>
      <c r="B423" s="59"/>
      <c r="C423" s="60">
        <v>24</v>
      </c>
      <c r="D423" s="206" t="s">
        <v>446</v>
      </c>
      <c r="E423" s="201"/>
      <c r="F423" s="61">
        <v>34.75</v>
      </c>
      <c r="G423" s="60" t="s">
        <v>134</v>
      </c>
      <c r="H423" s="60"/>
      <c r="I423" s="62"/>
      <c r="J423" s="11"/>
      <c r="K423" s="11"/>
      <c r="L423" s="11"/>
      <c r="M423" s="11"/>
      <c r="N423" s="59"/>
      <c r="O423" s="60"/>
      <c r="P423" s="206"/>
      <c r="Q423" s="201"/>
      <c r="R423" s="61"/>
      <c r="S423" s="60"/>
      <c r="T423" s="60"/>
      <c r="U423" s="62"/>
      <c r="V423" s="2"/>
      <c r="W423" s="63">
        <v>24</v>
      </c>
      <c r="X423" s="64" t="s">
        <v>446</v>
      </c>
      <c r="Y423" s="20" t="s">
        <v>134</v>
      </c>
      <c r="Z423" s="20">
        <v>34.75</v>
      </c>
      <c r="AA423" s="20"/>
      <c r="AB423" s="10"/>
      <c r="AC423" s="10"/>
      <c r="AD423" s="20"/>
      <c r="AE423" s="20"/>
      <c r="AF423" s="20"/>
      <c r="AG423" s="65"/>
      <c r="AH423" s="66"/>
      <c r="AI423" s="40"/>
      <c r="AJ423" s="10"/>
      <c r="AK423" s="20"/>
      <c r="AL423" s="20"/>
    </row>
    <row r="424" spans="1:38" ht="13.2">
      <c r="A424" s="1"/>
      <c r="B424" s="59"/>
      <c r="C424" s="60">
        <v>25</v>
      </c>
      <c r="D424" s="206" t="s">
        <v>431</v>
      </c>
      <c r="E424" s="201"/>
      <c r="F424" s="61">
        <v>28.85</v>
      </c>
      <c r="G424" s="60" t="s">
        <v>89</v>
      </c>
      <c r="H424" s="60"/>
      <c r="I424" s="62"/>
      <c r="J424" s="11"/>
      <c r="K424" s="11"/>
      <c r="L424" s="11"/>
      <c r="M424" s="11"/>
      <c r="N424" s="59"/>
      <c r="O424" s="60"/>
      <c r="P424" s="206"/>
      <c r="Q424" s="201"/>
      <c r="R424" s="61"/>
      <c r="S424" s="60"/>
      <c r="T424" s="60"/>
      <c r="U424" s="62"/>
      <c r="V424" s="2"/>
      <c r="W424" s="63">
        <v>25</v>
      </c>
      <c r="X424" s="64" t="s">
        <v>431</v>
      </c>
      <c r="Y424" s="20" t="s">
        <v>89</v>
      </c>
      <c r="Z424" s="20">
        <v>28.85</v>
      </c>
      <c r="AA424" s="20"/>
      <c r="AB424" s="10"/>
      <c r="AC424" s="10"/>
      <c r="AD424" s="20"/>
      <c r="AE424" s="20"/>
      <c r="AF424" s="20"/>
      <c r="AG424" s="65"/>
      <c r="AH424" s="66"/>
      <c r="AI424" s="40"/>
      <c r="AJ424" s="10"/>
      <c r="AK424" s="20"/>
      <c r="AL424" s="20"/>
    </row>
    <row r="425" spans="1:38" ht="13.2">
      <c r="A425" s="1"/>
      <c r="B425" s="59"/>
      <c r="C425" s="60">
        <v>26</v>
      </c>
      <c r="D425" s="206" t="s">
        <v>444</v>
      </c>
      <c r="E425" s="201"/>
      <c r="F425" s="61">
        <v>24.7</v>
      </c>
      <c r="G425" s="60" t="s">
        <v>37</v>
      </c>
      <c r="H425" s="60"/>
      <c r="I425" s="62"/>
      <c r="J425" s="11"/>
      <c r="K425" s="11"/>
      <c r="L425" s="11"/>
      <c r="M425" s="11"/>
      <c r="N425" s="59"/>
      <c r="O425" s="60"/>
      <c r="P425" s="206"/>
      <c r="Q425" s="201"/>
      <c r="R425" s="61"/>
      <c r="S425" s="60"/>
      <c r="T425" s="60"/>
      <c r="U425" s="62"/>
      <c r="V425" s="2"/>
      <c r="W425" s="63">
        <v>26</v>
      </c>
      <c r="X425" s="64" t="s">
        <v>444</v>
      </c>
      <c r="Y425" s="20" t="s">
        <v>37</v>
      </c>
      <c r="Z425" s="20">
        <v>24.7</v>
      </c>
      <c r="AA425" s="20"/>
      <c r="AB425" s="10"/>
      <c r="AC425" s="10"/>
      <c r="AD425" s="20"/>
      <c r="AE425" s="20"/>
      <c r="AF425" s="20"/>
      <c r="AG425" s="65"/>
      <c r="AH425" s="66"/>
      <c r="AI425" s="40"/>
      <c r="AJ425" s="10"/>
      <c r="AK425" s="20"/>
      <c r="AL425" s="20"/>
    </row>
    <row r="426" spans="1:38" ht="13.2">
      <c r="A426" s="1"/>
      <c r="B426" s="59"/>
      <c r="C426" s="60"/>
      <c r="D426" s="206"/>
      <c r="E426" s="201"/>
      <c r="F426" s="61"/>
      <c r="G426" s="60"/>
      <c r="H426" s="60"/>
      <c r="I426" s="62"/>
      <c r="J426" s="11"/>
      <c r="K426" s="11"/>
      <c r="L426" s="11"/>
      <c r="M426" s="11"/>
      <c r="N426" s="59"/>
      <c r="O426" s="60"/>
      <c r="P426" s="206"/>
      <c r="Q426" s="201"/>
      <c r="R426" s="61"/>
      <c r="S426" s="60"/>
      <c r="T426" s="60"/>
      <c r="U426" s="62"/>
      <c r="V426" s="2"/>
      <c r="W426" s="63">
        <v>27</v>
      </c>
      <c r="X426" s="64"/>
      <c r="Y426" s="20"/>
      <c r="Z426" s="20"/>
      <c r="AA426" s="20"/>
      <c r="AB426" s="10"/>
      <c r="AC426" s="10"/>
      <c r="AD426" s="20"/>
      <c r="AE426" s="20"/>
      <c r="AF426" s="20"/>
      <c r="AG426" s="65"/>
      <c r="AH426" s="66"/>
      <c r="AI426" s="40"/>
      <c r="AJ426" s="10"/>
      <c r="AK426" s="20"/>
      <c r="AL426" s="20"/>
    </row>
    <row r="427" spans="1:38" ht="13.2">
      <c r="A427" s="1"/>
      <c r="B427" s="1"/>
      <c r="C427" s="67"/>
      <c r="D427" s="1"/>
      <c r="E427" s="1"/>
      <c r="F427" s="10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68"/>
      <c r="R427" s="10"/>
      <c r="S427" s="1"/>
      <c r="T427" s="1"/>
      <c r="U427" s="1"/>
      <c r="V427" s="2"/>
      <c r="W427" s="63">
        <v>51</v>
      </c>
      <c r="X427" s="10"/>
      <c r="Y427" s="10"/>
      <c r="Z427" s="10"/>
      <c r="AA427" s="10"/>
      <c r="AB427" s="10"/>
      <c r="AC427" s="20"/>
      <c r="AD427" s="20"/>
      <c r="AE427" s="10"/>
      <c r="AF427" s="10"/>
      <c r="AG427" s="10"/>
      <c r="AH427" s="10"/>
      <c r="AI427" s="40"/>
      <c r="AJ427" s="20"/>
      <c r="AK427" s="20"/>
      <c r="AL427" s="10"/>
    </row>
    <row r="428" spans="1:38" ht="13.2">
      <c r="A428" s="1"/>
      <c r="B428" s="1"/>
      <c r="C428" s="69" t="s">
        <v>100</v>
      </c>
      <c r="D428" s="12"/>
      <c r="E428" s="12"/>
      <c r="F428" s="13"/>
      <c r="G428" s="12"/>
      <c r="H428" s="12"/>
      <c r="I428" s="11"/>
      <c r="J428" s="11"/>
      <c r="K428" s="11"/>
      <c r="L428" s="11"/>
      <c r="M428" s="11"/>
      <c r="N428" s="11"/>
      <c r="O428" s="69"/>
      <c r="P428" s="12"/>
      <c r="Q428" s="70"/>
      <c r="R428" s="13"/>
      <c r="S428" s="12"/>
      <c r="T428" s="12"/>
      <c r="U428" s="1"/>
      <c r="V428" s="2"/>
      <c r="W428" s="10"/>
      <c r="X428" s="10"/>
      <c r="Y428" s="10"/>
      <c r="Z428" s="10"/>
      <c r="AA428" s="10"/>
      <c r="AB428" s="10"/>
      <c r="AC428" s="20"/>
      <c r="AD428" s="20"/>
      <c r="AE428" s="10"/>
      <c r="AF428" s="10"/>
      <c r="AG428" s="10"/>
      <c r="AH428" s="10"/>
      <c r="AI428" s="10"/>
      <c r="AJ428" s="20"/>
      <c r="AK428" s="20"/>
      <c r="AL428" s="10"/>
    </row>
    <row r="429" spans="1:38" ht="13.2">
      <c r="A429" s="1"/>
      <c r="B429" s="1"/>
      <c r="C429" s="195">
        <v>0</v>
      </c>
      <c r="D429" s="196"/>
      <c r="E429" s="196"/>
      <c r="F429" s="196"/>
      <c r="G429" s="196"/>
      <c r="H429" s="196"/>
      <c r="I429" s="196"/>
      <c r="J429" s="196"/>
      <c r="K429" s="196"/>
      <c r="L429" s="196"/>
      <c r="M429" s="196"/>
      <c r="N429" s="196"/>
      <c r="O429" s="196"/>
      <c r="P429" s="196"/>
      <c r="Q429" s="196"/>
      <c r="R429" s="196"/>
      <c r="S429" s="196"/>
      <c r="T429" s="197"/>
      <c r="U429" s="1"/>
      <c r="V429" s="2"/>
      <c r="W429" s="10"/>
      <c r="X429" s="10"/>
      <c r="Y429" s="10"/>
      <c r="Z429" s="10"/>
      <c r="AA429" s="10"/>
      <c r="AB429" s="10"/>
      <c r="AC429" s="20"/>
      <c r="AD429" s="20"/>
      <c r="AE429" s="10"/>
      <c r="AF429" s="10"/>
      <c r="AG429" s="10"/>
      <c r="AH429" s="10"/>
      <c r="AI429" s="10"/>
      <c r="AJ429" s="20"/>
      <c r="AK429" s="20"/>
      <c r="AL429" s="10"/>
    </row>
    <row r="430" spans="1:38" ht="13.2">
      <c r="A430" s="1"/>
      <c r="B430" s="1"/>
      <c r="C430" s="198"/>
      <c r="D430" s="194"/>
      <c r="E430" s="194"/>
      <c r="F430" s="194"/>
      <c r="G430" s="194"/>
      <c r="H430" s="194"/>
      <c r="I430" s="194"/>
      <c r="J430" s="194"/>
      <c r="K430" s="194"/>
      <c r="L430" s="194"/>
      <c r="M430" s="194"/>
      <c r="N430" s="194"/>
      <c r="O430" s="194"/>
      <c r="P430" s="194"/>
      <c r="Q430" s="194"/>
      <c r="R430" s="194"/>
      <c r="S430" s="194"/>
      <c r="T430" s="199"/>
      <c r="U430" s="1"/>
      <c r="V430" s="2"/>
      <c r="W430" s="10"/>
      <c r="X430" s="10"/>
      <c r="Y430" s="10"/>
      <c r="Z430" s="10"/>
      <c r="AA430" s="10"/>
      <c r="AB430" s="10"/>
      <c r="AC430" s="20"/>
      <c r="AD430" s="20"/>
      <c r="AE430" s="10"/>
      <c r="AF430" s="10"/>
      <c r="AG430" s="10"/>
      <c r="AH430" s="10"/>
      <c r="AI430" s="10"/>
      <c r="AJ430" s="20"/>
      <c r="AK430" s="20"/>
      <c r="AL430" s="10"/>
    </row>
    <row r="431" spans="1:38" ht="13.2">
      <c r="A431" s="1"/>
      <c r="B431" s="1"/>
      <c r="C431" s="198"/>
      <c r="D431" s="194"/>
      <c r="E431" s="194"/>
      <c r="F431" s="194"/>
      <c r="G431" s="194"/>
      <c r="H431" s="194"/>
      <c r="I431" s="194"/>
      <c r="J431" s="194"/>
      <c r="K431" s="194"/>
      <c r="L431" s="194"/>
      <c r="M431" s="194"/>
      <c r="N431" s="194"/>
      <c r="O431" s="194"/>
      <c r="P431" s="194"/>
      <c r="Q431" s="194"/>
      <c r="R431" s="194"/>
      <c r="S431" s="194"/>
      <c r="T431" s="199"/>
      <c r="U431" s="1"/>
      <c r="V431" s="2"/>
      <c r="W431" s="10"/>
      <c r="X431" s="10"/>
      <c r="Y431" s="10"/>
      <c r="Z431" s="10"/>
      <c r="AA431" s="10"/>
      <c r="AB431" s="10"/>
      <c r="AC431" s="20"/>
      <c r="AD431" s="20"/>
      <c r="AE431" s="10"/>
      <c r="AF431" s="10"/>
      <c r="AG431" s="10"/>
      <c r="AH431" s="10"/>
      <c r="AI431" s="10"/>
      <c r="AJ431" s="20"/>
      <c r="AK431" s="20"/>
      <c r="AL431" s="10"/>
    </row>
    <row r="432" spans="1:38" ht="13.2">
      <c r="A432" s="1"/>
      <c r="B432" s="1"/>
      <c r="C432" s="200"/>
      <c r="D432" s="201"/>
      <c r="E432" s="201"/>
      <c r="F432" s="201"/>
      <c r="G432" s="201"/>
      <c r="H432" s="201"/>
      <c r="I432" s="201"/>
      <c r="J432" s="201"/>
      <c r="K432" s="201"/>
      <c r="L432" s="201"/>
      <c r="M432" s="201"/>
      <c r="N432" s="201"/>
      <c r="O432" s="201"/>
      <c r="P432" s="201"/>
      <c r="Q432" s="201"/>
      <c r="R432" s="201"/>
      <c r="S432" s="201"/>
      <c r="T432" s="202"/>
      <c r="U432" s="1"/>
      <c r="V432" s="2"/>
      <c r="W432" s="10"/>
      <c r="X432" s="10"/>
      <c r="Y432" s="10"/>
      <c r="Z432" s="10"/>
      <c r="AA432" s="10"/>
      <c r="AB432" s="10"/>
      <c r="AC432" s="20"/>
      <c r="AD432" s="20"/>
      <c r="AE432" s="10"/>
      <c r="AF432" s="10"/>
      <c r="AG432" s="10"/>
      <c r="AH432" s="10"/>
      <c r="AI432" s="10"/>
      <c r="AJ432" s="20"/>
      <c r="AK432" s="20"/>
      <c r="AL432" s="10"/>
    </row>
    <row r="433" spans="1:38" ht="13.2">
      <c r="A433" s="1"/>
      <c r="B433" s="1"/>
      <c r="C433" s="67"/>
      <c r="D433" s="1"/>
      <c r="E433" s="1"/>
      <c r="F433" s="10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68"/>
      <c r="R433" s="10"/>
      <c r="S433" s="1"/>
      <c r="T433" s="1"/>
      <c r="U433" s="1"/>
      <c r="V433" s="2"/>
      <c r="W433" s="10"/>
      <c r="X433" s="10"/>
      <c r="Y433" s="10"/>
      <c r="Z433" s="10"/>
      <c r="AA433" s="10"/>
      <c r="AB433" s="10"/>
      <c r="AC433" s="20"/>
      <c r="AD433" s="20"/>
      <c r="AE433" s="10"/>
      <c r="AF433" s="10"/>
      <c r="AG433" s="10"/>
      <c r="AH433" s="10"/>
      <c r="AI433" s="10"/>
      <c r="AJ433" s="20"/>
      <c r="AK433" s="20"/>
      <c r="AL433" s="10"/>
    </row>
    <row r="434" spans="1:38" ht="13.2">
      <c r="A434" s="1"/>
      <c r="B434" s="1"/>
      <c r="C434" s="67"/>
      <c r="D434" s="1"/>
      <c r="E434" s="1"/>
      <c r="F434" s="10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68"/>
      <c r="R434" s="10"/>
      <c r="S434" s="1"/>
      <c r="T434" s="1"/>
      <c r="U434" s="1"/>
      <c r="V434" s="2"/>
      <c r="W434" s="10"/>
      <c r="X434" s="10"/>
      <c r="Y434" s="10"/>
      <c r="Z434" s="10"/>
      <c r="AA434" s="10"/>
      <c r="AB434" s="10"/>
      <c r="AC434" s="20"/>
      <c r="AD434" s="20"/>
      <c r="AE434" s="10"/>
      <c r="AF434" s="10"/>
      <c r="AG434" s="10"/>
      <c r="AH434" s="10"/>
      <c r="AI434" s="10"/>
      <c r="AJ434" s="20"/>
      <c r="AK434" s="20"/>
      <c r="AL434" s="10"/>
    </row>
    <row r="435" spans="1:38" ht="13.2">
      <c r="A435" s="1"/>
      <c r="B435" s="1"/>
      <c r="C435" s="67"/>
      <c r="D435" s="1"/>
      <c r="E435" s="1"/>
      <c r="F435" s="10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68"/>
      <c r="R435" s="10"/>
      <c r="S435" s="1"/>
      <c r="T435" s="1"/>
      <c r="U435" s="1"/>
      <c r="V435" s="2"/>
      <c r="W435" s="10"/>
      <c r="X435" s="10"/>
      <c r="Y435" s="10"/>
      <c r="Z435" s="10"/>
      <c r="AA435" s="10"/>
      <c r="AB435" s="10"/>
      <c r="AC435" s="20"/>
      <c r="AD435" s="20"/>
      <c r="AE435" s="10"/>
      <c r="AF435" s="10"/>
      <c r="AG435" s="10"/>
      <c r="AH435" s="10"/>
      <c r="AI435" s="10"/>
      <c r="AJ435" s="20"/>
      <c r="AK435" s="20"/>
      <c r="AL435" s="10"/>
    </row>
    <row r="436" spans="1:38" ht="13.2">
      <c r="A436" s="1"/>
      <c r="B436" s="1"/>
      <c r="C436" s="67"/>
      <c r="D436" s="1"/>
      <c r="E436" s="1"/>
      <c r="F436" s="10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68"/>
      <c r="R436" s="10"/>
      <c r="S436" s="1"/>
      <c r="T436" s="1"/>
      <c r="U436" s="1"/>
      <c r="V436" s="2"/>
      <c r="W436" s="10"/>
      <c r="X436" s="10"/>
      <c r="Y436" s="10"/>
      <c r="Z436" s="10"/>
      <c r="AA436" s="10"/>
      <c r="AB436" s="10"/>
      <c r="AC436" s="20"/>
      <c r="AD436" s="20"/>
      <c r="AE436" s="10"/>
      <c r="AF436" s="10"/>
      <c r="AG436" s="10"/>
      <c r="AH436" s="10"/>
      <c r="AI436" s="10"/>
      <c r="AJ436" s="20"/>
      <c r="AK436" s="20"/>
      <c r="AL436" s="10"/>
    </row>
    <row r="437" spans="1:38" ht="13.2">
      <c r="A437" s="1"/>
      <c r="B437" s="1"/>
      <c r="C437" s="67"/>
      <c r="D437" s="1"/>
      <c r="E437" s="1"/>
      <c r="F437" s="10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68"/>
      <c r="R437" s="10"/>
      <c r="S437" s="1"/>
      <c r="T437" s="1"/>
      <c r="U437" s="1"/>
      <c r="V437" s="2"/>
      <c r="W437" s="10"/>
      <c r="X437" s="10"/>
      <c r="Y437" s="10"/>
      <c r="Z437" s="10"/>
      <c r="AA437" s="10"/>
      <c r="AB437" s="10"/>
      <c r="AC437" s="20"/>
      <c r="AD437" s="20"/>
      <c r="AE437" s="10"/>
      <c r="AF437" s="10"/>
      <c r="AG437" s="10"/>
      <c r="AH437" s="10"/>
      <c r="AI437" s="10"/>
      <c r="AJ437" s="20"/>
      <c r="AK437" s="20"/>
      <c r="AL437" s="10"/>
    </row>
    <row r="438" spans="1:38" ht="13.2">
      <c r="A438" s="1"/>
      <c r="B438" s="1"/>
      <c r="C438" s="67"/>
      <c r="D438" s="1"/>
      <c r="E438" s="1"/>
      <c r="F438" s="10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68"/>
      <c r="R438" s="10"/>
      <c r="S438" s="1"/>
      <c r="T438" s="1"/>
      <c r="U438" s="1"/>
      <c r="V438" s="2"/>
      <c r="W438" s="10"/>
      <c r="X438" s="10"/>
      <c r="Y438" s="10"/>
      <c r="Z438" s="10"/>
      <c r="AA438" s="10"/>
      <c r="AB438" s="10"/>
      <c r="AC438" s="20"/>
      <c r="AD438" s="20"/>
      <c r="AE438" s="10"/>
      <c r="AF438" s="10"/>
      <c r="AG438" s="10"/>
      <c r="AH438" s="10"/>
      <c r="AI438" s="10"/>
      <c r="AJ438" s="20"/>
      <c r="AK438" s="20"/>
      <c r="AL438" s="10"/>
    </row>
    <row r="439" spans="1:38" ht="13.2">
      <c r="A439" s="1"/>
      <c r="B439" s="1"/>
      <c r="C439" s="67"/>
      <c r="D439" s="1"/>
      <c r="E439" s="1"/>
      <c r="F439" s="10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68"/>
      <c r="R439" s="10"/>
      <c r="S439" s="1"/>
      <c r="T439" s="1"/>
      <c r="U439" s="1"/>
      <c r="V439" s="2"/>
      <c r="W439" s="10"/>
      <c r="X439" s="10"/>
      <c r="Y439" s="10"/>
      <c r="Z439" s="10"/>
      <c r="AA439" s="10"/>
      <c r="AB439" s="10"/>
      <c r="AC439" s="20"/>
      <c r="AD439" s="20"/>
      <c r="AE439" s="10"/>
      <c r="AF439" s="10"/>
      <c r="AG439" s="10"/>
      <c r="AH439" s="10"/>
      <c r="AI439" s="10"/>
      <c r="AJ439" s="20"/>
      <c r="AK439" s="20"/>
      <c r="AL439" s="10"/>
    </row>
    <row r="440" spans="1:38" ht="13.2">
      <c r="A440" s="1"/>
      <c r="B440" s="1"/>
      <c r="C440" s="67"/>
      <c r="D440" s="1"/>
      <c r="E440" s="1"/>
      <c r="F440" s="10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68"/>
      <c r="R440" s="10"/>
      <c r="S440" s="1"/>
      <c r="T440" s="1"/>
      <c r="U440" s="1"/>
      <c r="V440" s="2"/>
      <c r="W440" s="10"/>
      <c r="X440" s="10"/>
      <c r="Y440" s="10"/>
      <c r="Z440" s="10"/>
      <c r="AA440" s="10"/>
      <c r="AB440" s="10"/>
      <c r="AC440" s="20"/>
      <c r="AD440" s="20"/>
      <c r="AE440" s="10"/>
      <c r="AF440" s="10"/>
      <c r="AG440" s="10"/>
      <c r="AH440" s="10"/>
      <c r="AI440" s="10"/>
      <c r="AJ440" s="20"/>
      <c r="AK440" s="20"/>
      <c r="AL440" s="10"/>
    </row>
    <row r="441" spans="1:38" ht="13.2">
      <c r="A441" s="1"/>
      <c r="B441" s="1"/>
      <c r="C441" s="67"/>
      <c r="D441" s="1"/>
      <c r="E441" s="1"/>
      <c r="F441" s="10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68"/>
      <c r="R441" s="10"/>
      <c r="S441" s="1"/>
      <c r="T441" s="1"/>
      <c r="U441" s="1"/>
      <c r="V441" s="2"/>
      <c r="W441" s="10"/>
      <c r="X441" s="10"/>
      <c r="Y441" s="10"/>
      <c r="Z441" s="10"/>
      <c r="AA441" s="10"/>
      <c r="AB441" s="10"/>
      <c r="AC441" s="20"/>
      <c r="AD441" s="20"/>
      <c r="AE441" s="10"/>
      <c r="AF441" s="10"/>
      <c r="AG441" s="10"/>
      <c r="AH441" s="10"/>
      <c r="AI441" s="10"/>
      <c r="AJ441" s="20"/>
      <c r="AK441" s="20"/>
      <c r="AL441" s="10"/>
    </row>
    <row r="442" spans="1:38" ht="13.2">
      <c r="A442" s="1"/>
      <c r="B442" s="1"/>
      <c r="C442" s="67"/>
      <c r="D442" s="1"/>
      <c r="E442" s="1"/>
      <c r="F442" s="10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68"/>
      <c r="R442" s="10"/>
      <c r="S442" s="1"/>
      <c r="T442" s="1"/>
      <c r="U442" s="1"/>
      <c r="V442" s="2"/>
      <c r="W442" s="10"/>
      <c r="X442" s="10"/>
      <c r="Y442" s="10"/>
      <c r="Z442" s="10"/>
      <c r="AA442" s="10"/>
      <c r="AB442" s="10"/>
      <c r="AC442" s="20"/>
      <c r="AD442" s="20"/>
      <c r="AE442" s="10"/>
      <c r="AF442" s="10"/>
      <c r="AG442" s="10"/>
      <c r="AH442" s="10"/>
      <c r="AI442" s="10"/>
      <c r="AJ442" s="20"/>
      <c r="AK442" s="20"/>
      <c r="AL442" s="10"/>
    </row>
    <row r="443" spans="1:38" ht="13.2">
      <c r="A443" s="1"/>
      <c r="B443" s="1"/>
      <c r="C443" s="67"/>
      <c r="D443" s="1"/>
      <c r="E443" s="1"/>
      <c r="F443" s="10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68"/>
      <c r="R443" s="10"/>
      <c r="S443" s="1"/>
      <c r="T443" s="1"/>
      <c r="U443" s="1"/>
      <c r="V443" s="2"/>
      <c r="W443" s="10"/>
      <c r="X443" s="10"/>
      <c r="Y443" s="10"/>
      <c r="Z443" s="10"/>
      <c r="AA443" s="10"/>
      <c r="AB443" s="10"/>
      <c r="AC443" s="20"/>
      <c r="AD443" s="20"/>
      <c r="AE443" s="10"/>
      <c r="AF443" s="10"/>
      <c r="AG443" s="10"/>
      <c r="AH443" s="10"/>
      <c r="AI443" s="10"/>
      <c r="AJ443" s="20"/>
      <c r="AK443" s="20"/>
      <c r="AL443" s="10"/>
    </row>
    <row r="444" spans="1:38" ht="13.2">
      <c r="A444" s="1"/>
      <c r="B444" s="1"/>
      <c r="C444" s="67"/>
      <c r="D444" s="1"/>
      <c r="E444" s="1"/>
      <c r="F444" s="10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68"/>
      <c r="R444" s="10"/>
      <c r="S444" s="1"/>
      <c r="T444" s="1"/>
      <c r="U444" s="1"/>
      <c r="V444" s="2"/>
      <c r="W444" s="10"/>
      <c r="X444" s="10"/>
      <c r="Y444" s="10"/>
      <c r="Z444" s="10"/>
      <c r="AA444" s="10"/>
      <c r="AB444" s="10"/>
      <c r="AC444" s="20"/>
      <c r="AD444" s="20"/>
      <c r="AE444" s="10"/>
      <c r="AF444" s="10"/>
      <c r="AG444" s="10"/>
      <c r="AH444" s="10"/>
      <c r="AI444" s="10"/>
      <c r="AJ444" s="20"/>
      <c r="AK444" s="20"/>
      <c r="AL444" s="10"/>
    </row>
    <row r="445" spans="1:38" ht="13.2">
      <c r="A445" s="1"/>
      <c r="B445" s="1"/>
      <c r="C445" s="67"/>
      <c r="D445" s="1"/>
      <c r="E445" s="1"/>
      <c r="F445" s="10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68"/>
      <c r="R445" s="10"/>
      <c r="S445" s="1"/>
      <c r="T445" s="1"/>
      <c r="U445" s="1"/>
      <c r="V445" s="2"/>
      <c r="W445" s="10"/>
      <c r="X445" s="10"/>
      <c r="Y445" s="10"/>
      <c r="Z445" s="10"/>
      <c r="AA445" s="10"/>
      <c r="AB445" s="10"/>
      <c r="AC445" s="20"/>
      <c r="AD445" s="20"/>
      <c r="AE445" s="10"/>
      <c r="AF445" s="10"/>
      <c r="AG445" s="10"/>
      <c r="AH445" s="10"/>
      <c r="AI445" s="10"/>
      <c r="AJ445" s="20"/>
      <c r="AK445" s="20"/>
      <c r="AL445" s="10"/>
    </row>
    <row r="446" spans="1:38" ht="13.2">
      <c r="A446" s="1"/>
      <c r="B446" s="1"/>
      <c r="C446" s="67"/>
      <c r="D446" s="1"/>
      <c r="E446" s="1"/>
      <c r="F446" s="10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68"/>
      <c r="R446" s="10"/>
      <c r="S446" s="1"/>
      <c r="T446" s="1"/>
      <c r="U446" s="1"/>
      <c r="V446" s="2"/>
      <c r="W446" s="10"/>
      <c r="X446" s="10"/>
      <c r="Y446" s="10"/>
      <c r="Z446" s="10"/>
      <c r="AA446" s="10"/>
      <c r="AB446" s="10"/>
      <c r="AC446" s="20"/>
      <c r="AD446" s="20"/>
      <c r="AE446" s="10"/>
      <c r="AF446" s="10"/>
      <c r="AG446" s="10"/>
      <c r="AH446" s="10"/>
      <c r="AI446" s="10"/>
      <c r="AJ446" s="20"/>
      <c r="AK446" s="20"/>
      <c r="AL446" s="10"/>
    </row>
    <row r="447" spans="1:38" ht="13.2">
      <c r="A447" s="1"/>
      <c r="B447" s="1"/>
      <c r="C447" s="67"/>
      <c r="D447" s="1"/>
      <c r="E447" s="1"/>
      <c r="F447" s="10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68"/>
      <c r="R447" s="10"/>
      <c r="S447" s="1"/>
      <c r="T447" s="1"/>
      <c r="U447" s="1"/>
      <c r="V447" s="2"/>
      <c r="W447" s="10"/>
      <c r="X447" s="10"/>
      <c r="Y447" s="10"/>
      <c r="Z447" s="10"/>
      <c r="AA447" s="10"/>
      <c r="AB447" s="10"/>
      <c r="AC447" s="20"/>
      <c r="AD447" s="20"/>
      <c r="AE447" s="10"/>
      <c r="AF447" s="10"/>
      <c r="AG447" s="10"/>
      <c r="AH447" s="10"/>
      <c r="AI447" s="10"/>
      <c r="AJ447" s="20"/>
      <c r="AK447" s="20"/>
      <c r="AL447" s="10"/>
    </row>
    <row r="448" spans="1:38" ht="13.2">
      <c r="A448" s="1"/>
      <c r="B448" s="1"/>
      <c r="C448" s="67"/>
      <c r="D448" s="1"/>
      <c r="E448" s="1"/>
      <c r="F448" s="10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68"/>
      <c r="R448" s="10"/>
      <c r="S448" s="1"/>
      <c r="T448" s="1"/>
      <c r="U448" s="1"/>
      <c r="V448" s="2"/>
      <c r="W448" s="10"/>
      <c r="X448" s="10"/>
      <c r="Y448" s="10"/>
      <c r="Z448" s="10"/>
      <c r="AA448" s="10"/>
      <c r="AB448" s="10"/>
      <c r="AC448" s="20"/>
      <c r="AD448" s="20"/>
      <c r="AE448" s="10"/>
      <c r="AF448" s="10"/>
      <c r="AG448" s="10"/>
      <c r="AH448" s="10"/>
      <c r="AI448" s="10"/>
      <c r="AJ448" s="20"/>
      <c r="AK448" s="20"/>
      <c r="AL448" s="10"/>
    </row>
    <row r="449" spans="1:38" ht="13.2">
      <c r="A449" s="1"/>
      <c r="B449" s="1"/>
      <c r="C449" s="67"/>
      <c r="D449" s="1"/>
      <c r="E449" s="1"/>
      <c r="F449" s="10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68"/>
      <c r="R449" s="10"/>
      <c r="S449" s="1"/>
      <c r="T449" s="1"/>
      <c r="U449" s="1"/>
      <c r="V449" s="2"/>
      <c r="W449" s="10"/>
      <c r="X449" s="10"/>
      <c r="Y449" s="10"/>
      <c r="Z449" s="10"/>
      <c r="AA449" s="10"/>
      <c r="AB449" s="10"/>
      <c r="AC449" s="20"/>
      <c r="AD449" s="20"/>
      <c r="AE449" s="10"/>
      <c r="AF449" s="10"/>
      <c r="AG449" s="10"/>
      <c r="AH449" s="10"/>
      <c r="AI449" s="10"/>
      <c r="AJ449" s="20"/>
      <c r="AK449" s="20"/>
      <c r="AL449" s="10"/>
    </row>
    <row r="450" spans="1:38" ht="13.2">
      <c r="A450" s="1"/>
      <c r="B450" s="1"/>
      <c r="C450" s="67"/>
      <c r="D450" s="1"/>
      <c r="E450" s="1"/>
      <c r="F450" s="10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68"/>
      <c r="R450" s="10"/>
      <c r="S450" s="1"/>
      <c r="T450" s="1"/>
      <c r="U450" s="1"/>
      <c r="V450" s="2"/>
      <c r="W450" s="10"/>
      <c r="X450" s="10"/>
      <c r="Y450" s="10"/>
      <c r="Z450" s="10"/>
      <c r="AA450" s="10"/>
      <c r="AB450" s="10"/>
      <c r="AC450" s="20"/>
      <c r="AD450" s="20"/>
      <c r="AE450" s="10"/>
      <c r="AF450" s="10"/>
      <c r="AG450" s="10"/>
      <c r="AH450" s="10"/>
      <c r="AI450" s="10"/>
      <c r="AJ450" s="20"/>
      <c r="AK450" s="20"/>
      <c r="AL450" s="10"/>
    </row>
    <row r="451" spans="1:38" ht="13.2">
      <c r="A451" s="1"/>
      <c r="B451" s="1"/>
      <c r="C451" s="67"/>
      <c r="D451" s="1"/>
      <c r="E451" s="1"/>
      <c r="F451" s="10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68"/>
      <c r="R451" s="10"/>
      <c r="S451" s="1"/>
      <c r="T451" s="1"/>
      <c r="U451" s="1"/>
      <c r="V451" s="2"/>
      <c r="W451" s="10"/>
      <c r="X451" s="10"/>
      <c r="Y451" s="10"/>
      <c r="Z451" s="10"/>
      <c r="AA451" s="10"/>
      <c r="AB451" s="10"/>
      <c r="AC451" s="20"/>
      <c r="AD451" s="20"/>
      <c r="AE451" s="10"/>
      <c r="AF451" s="10"/>
      <c r="AG451" s="10"/>
      <c r="AH451" s="10"/>
      <c r="AI451" s="10"/>
      <c r="AJ451" s="20"/>
      <c r="AK451" s="20"/>
      <c r="AL451" s="10"/>
    </row>
    <row r="452" spans="1:38" ht="13.2">
      <c r="A452" s="1"/>
      <c r="B452" s="1"/>
      <c r="C452" s="67"/>
      <c r="D452" s="1"/>
      <c r="E452" s="1"/>
      <c r="F452" s="10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68"/>
      <c r="R452" s="10"/>
      <c r="S452" s="1"/>
      <c r="T452" s="1"/>
      <c r="U452" s="1"/>
      <c r="V452" s="2"/>
      <c r="W452" s="10"/>
      <c r="X452" s="10"/>
      <c r="Y452" s="10"/>
      <c r="Z452" s="10"/>
      <c r="AA452" s="10"/>
      <c r="AB452" s="10"/>
      <c r="AC452" s="20"/>
      <c r="AD452" s="20"/>
      <c r="AE452" s="10"/>
      <c r="AF452" s="10"/>
      <c r="AG452" s="10"/>
      <c r="AH452" s="10"/>
      <c r="AI452" s="10"/>
      <c r="AJ452" s="20"/>
      <c r="AK452" s="20"/>
      <c r="AL452" s="10"/>
    </row>
    <row r="453" spans="1:38" ht="13.2">
      <c r="A453" s="1"/>
      <c r="B453" s="1"/>
      <c r="C453" s="67"/>
      <c r="D453" s="1"/>
      <c r="E453" s="1"/>
      <c r="F453" s="10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68"/>
      <c r="R453" s="10"/>
      <c r="S453" s="1"/>
      <c r="T453" s="1"/>
      <c r="U453" s="1"/>
      <c r="V453" s="2"/>
      <c r="W453" s="10"/>
      <c r="X453" s="10"/>
      <c r="Y453" s="10"/>
      <c r="Z453" s="10"/>
      <c r="AA453" s="10"/>
      <c r="AB453" s="10"/>
      <c r="AC453" s="20"/>
      <c r="AD453" s="20"/>
      <c r="AE453" s="10"/>
      <c r="AF453" s="10"/>
      <c r="AG453" s="10"/>
      <c r="AH453" s="10"/>
      <c r="AI453" s="10"/>
      <c r="AJ453" s="20"/>
      <c r="AK453" s="20"/>
      <c r="AL453" s="10"/>
    </row>
    <row r="454" spans="1:38" ht="13.2">
      <c r="A454" s="1"/>
      <c r="B454" s="1"/>
      <c r="C454" s="67"/>
      <c r="D454" s="1"/>
      <c r="E454" s="1"/>
      <c r="F454" s="10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68"/>
      <c r="R454" s="10"/>
      <c r="S454" s="1"/>
      <c r="T454" s="1"/>
      <c r="U454" s="1"/>
      <c r="V454" s="2"/>
      <c r="W454" s="10"/>
      <c r="X454" s="10"/>
      <c r="Y454" s="10"/>
      <c r="Z454" s="10"/>
      <c r="AA454" s="10"/>
      <c r="AB454" s="10"/>
      <c r="AC454" s="20"/>
      <c r="AD454" s="20"/>
      <c r="AE454" s="10"/>
      <c r="AF454" s="10"/>
      <c r="AG454" s="10"/>
      <c r="AH454" s="10"/>
      <c r="AI454" s="10"/>
      <c r="AJ454" s="20"/>
      <c r="AK454" s="20"/>
      <c r="AL454" s="10"/>
    </row>
    <row r="455" spans="1:38" ht="13.2">
      <c r="A455" s="1"/>
      <c r="B455" s="1"/>
      <c r="C455" s="67"/>
      <c r="D455" s="1"/>
      <c r="E455" s="1"/>
      <c r="F455" s="10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68"/>
      <c r="R455" s="10"/>
      <c r="S455" s="1"/>
      <c r="T455" s="1"/>
      <c r="U455" s="1"/>
      <c r="V455" s="2"/>
      <c r="W455" s="10"/>
      <c r="X455" s="10"/>
      <c r="Y455" s="10"/>
      <c r="Z455" s="10"/>
      <c r="AA455" s="10"/>
      <c r="AB455" s="10"/>
      <c r="AC455" s="20"/>
      <c r="AD455" s="20"/>
      <c r="AE455" s="10"/>
      <c r="AF455" s="10"/>
      <c r="AG455" s="10"/>
      <c r="AH455" s="10"/>
      <c r="AI455" s="10"/>
      <c r="AJ455" s="20"/>
      <c r="AK455" s="20"/>
      <c r="AL455" s="10"/>
    </row>
    <row r="456" spans="1:38" ht="13.2">
      <c r="A456" s="1"/>
      <c r="B456" s="1"/>
      <c r="C456" s="67"/>
      <c r="D456" s="1"/>
      <c r="E456" s="1"/>
      <c r="F456" s="10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68"/>
      <c r="R456" s="10"/>
      <c r="S456" s="1"/>
      <c r="T456" s="1"/>
      <c r="U456" s="1"/>
      <c r="V456" s="2"/>
      <c r="W456" s="10"/>
      <c r="X456" s="10"/>
      <c r="Y456" s="10"/>
      <c r="Z456" s="10"/>
      <c r="AA456" s="10"/>
      <c r="AB456" s="10"/>
      <c r="AC456" s="20"/>
      <c r="AD456" s="20"/>
      <c r="AE456" s="10"/>
      <c r="AF456" s="10"/>
      <c r="AG456" s="10"/>
      <c r="AH456" s="10"/>
      <c r="AI456" s="10"/>
      <c r="AJ456" s="20"/>
      <c r="AK456" s="20"/>
      <c r="AL456" s="10"/>
    </row>
    <row r="457" spans="1:38" ht="13.2">
      <c r="A457" s="1"/>
      <c r="B457" s="1"/>
      <c r="C457" s="67"/>
      <c r="D457" s="1"/>
      <c r="E457" s="1"/>
      <c r="F457" s="10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68"/>
      <c r="R457" s="10"/>
      <c r="S457" s="1"/>
      <c r="T457" s="1"/>
      <c r="U457" s="1"/>
      <c r="V457" s="2"/>
      <c r="W457" s="10"/>
      <c r="X457" s="10"/>
      <c r="Y457" s="10"/>
      <c r="Z457" s="10"/>
      <c r="AA457" s="10"/>
      <c r="AB457" s="10"/>
      <c r="AC457" s="20"/>
      <c r="AD457" s="20"/>
      <c r="AE457" s="10"/>
      <c r="AF457" s="10"/>
      <c r="AG457" s="10"/>
      <c r="AH457" s="10"/>
      <c r="AI457" s="10"/>
      <c r="AJ457" s="20"/>
      <c r="AK457" s="20"/>
      <c r="AL457" s="10"/>
    </row>
    <row r="458" spans="1:38" ht="13.2">
      <c r="A458" s="1"/>
      <c r="B458" s="1"/>
      <c r="C458" s="67"/>
      <c r="D458" s="1"/>
      <c r="E458" s="1"/>
      <c r="F458" s="10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68"/>
      <c r="R458" s="10"/>
      <c r="S458" s="1"/>
      <c r="T458" s="1"/>
      <c r="U458" s="1"/>
      <c r="V458" s="2"/>
      <c r="W458" s="10"/>
      <c r="X458" s="10"/>
      <c r="Y458" s="10"/>
      <c r="Z458" s="10"/>
      <c r="AA458" s="10"/>
      <c r="AB458" s="10"/>
      <c r="AC458" s="20"/>
      <c r="AD458" s="20"/>
      <c r="AE458" s="10"/>
      <c r="AF458" s="10"/>
      <c r="AG458" s="10"/>
      <c r="AH458" s="10"/>
      <c r="AI458" s="10"/>
      <c r="AJ458" s="20"/>
      <c r="AK458" s="20"/>
      <c r="AL458" s="10"/>
    </row>
    <row r="459" spans="1:38" ht="13.2">
      <c r="A459" s="1"/>
      <c r="B459" s="1"/>
      <c r="C459" s="67"/>
      <c r="D459" s="1"/>
      <c r="E459" s="1"/>
      <c r="F459" s="10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68"/>
      <c r="R459" s="10"/>
      <c r="S459" s="1"/>
      <c r="T459" s="1"/>
      <c r="U459" s="1"/>
      <c r="V459" s="2"/>
      <c r="W459" s="10"/>
      <c r="X459" s="10"/>
      <c r="Y459" s="10"/>
      <c r="Z459" s="10"/>
      <c r="AA459" s="10"/>
      <c r="AB459" s="10"/>
      <c r="AC459" s="20"/>
      <c r="AD459" s="20"/>
      <c r="AE459" s="10"/>
      <c r="AF459" s="10"/>
      <c r="AG459" s="10"/>
      <c r="AH459" s="10"/>
      <c r="AI459" s="10"/>
      <c r="AJ459" s="20"/>
      <c r="AK459" s="20"/>
      <c r="AL459" s="10"/>
    </row>
    <row r="460" spans="1:38" ht="13.2">
      <c r="A460" s="1"/>
      <c r="B460" s="1"/>
      <c r="C460" s="67"/>
      <c r="D460" s="1"/>
      <c r="E460" s="1"/>
      <c r="F460" s="10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68"/>
      <c r="R460" s="10"/>
      <c r="S460" s="1"/>
      <c r="T460" s="1"/>
      <c r="U460" s="1"/>
      <c r="V460" s="2"/>
      <c r="W460" s="10"/>
      <c r="X460" s="10"/>
      <c r="Y460" s="10"/>
      <c r="Z460" s="10"/>
      <c r="AA460" s="10"/>
      <c r="AB460" s="10"/>
      <c r="AC460" s="20"/>
      <c r="AD460" s="20"/>
      <c r="AE460" s="10"/>
      <c r="AF460" s="10"/>
      <c r="AG460" s="10"/>
      <c r="AH460" s="10"/>
      <c r="AI460" s="10"/>
      <c r="AJ460" s="20"/>
      <c r="AK460" s="20"/>
      <c r="AL460" s="10"/>
    </row>
    <row r="461" spans="1:38" ht="13.2">
      <c r="A461" s="1"/>
      <c r="B461" s="1"/>
      <c r="C461" s="67"/>
      <c r="D461" s="1"/>
      <c r="E461" s="1"/>
      <c r="F461" s="10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68"/>
      <c r="R461" s="10"/>
      <c r="S461" s="1"/>
      <c r="T461" s="1"/>
      <c r="U461" s="1"/>
      <c r="V461" s="2"/>
      <c r="W461" s="10"/>
      <c r="X461" s="10"/>
      <c r="Y461" s="10"/>
      <c r="Z461" s="10"/>
      <c r="AA461" s="10"/>
      <c r="AB461" s="10"/>
      <c r="AC461" s="20"/>
      <c r="AD461" s="20"/>
      <c r="AE461" s="10"/>
      <c r="AF461" s="10"/>
      <c r="AG461" s="10"/>
      <c r="AH461" s="10"/>
      <c r="AI461" s="10"/>
      <c r="AJ461" s="20"/>
      <c r="AK461" s="20"/>
      <c r="AL461" s="10"/>
    </row>
    <row r="462" spans="1:38" ht="13.2">
      <c r="A462" s="1"/>
      <c r="B462" s="1"/>
      <c r="C462" s="67"/>
      <c r="D462" s="1"/>
      <c r="E462" s="1"/>
      <c r="F462" s="10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68"/>
      <c r="R462" s="10"/>
      <c r="S462" s="1"/>
      <c r="T462" s="1"/>
      <c r="U462" s="1"/>
      <c r="V462" s="2"/>
      <c r="W462" s="10"/>
      <c r="X462" s="10"/>
      <c r="Y462" s="10"/>
      <c r="Z462" s="10"/>
      <c r="AA462" s="10"/>
      <c r="AB462" s="10"/>
      <c r="AC462" s="20"/>
      <c r="AD462" s="20"/>
      <c r="AE462" s="10"/>
      <c r="AF462" s="10"/>
      <c r="AG462" s="10"/>
      <c r="AH462" s="10"/>
      <c r="AI462" s="10"/>
      <c r="AJ462" s="20"/>
      <c r="AK462" s="20"/>
      <c r="AL462" s="10"/>
    </row>
    <row r="463" spans="1:38" ht="13.2">
      <c r="A463" s="1"/>
      <c r="B463" s="1"/>
      <c r="C463" s="67"/>
      <c r="D463" s="1"/>
      <c r="E463" s="1"/>
      <c r="F463" s="10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68"/>
      <c r="R463" s="10"/>
      <c r="S463" s="1"/>
      <c r="T463" s="1"/>
      <c r="U463" s="1"/>
      <c r="V463" s="2"/>
      <c r="W463" s="10"/>
      <c r="X463" s="10"/>
      <c r="Y463" s="10"/>
      <c r="Z463" s="10"/>
      <c r="AA463" s="10"/>
      <c r="AB463" s="10"/>
      <c r="AC463" s="20"/>
      <c r="AD463" s="20"/>
      <c r="AE463" s="10"/>
      <c r="AF463" s="10"/>
      <c r="AG463" s="10"/>
      <c r="AH463" s="10"/>
      <c r="AI463" s="10"/>
      <c r="AJ463" s="20"/>
      <c r="AK463" s="20"/>
      <c r="AL463" s="10"/>
    </row>
    <row r="464" spans="1:38" ht="13.2">
      <c r="A464" s="1"/>
      <c r="B464" s="1"/>
      <c r="C464" s="67"/>
      <c r="D464" s="1"/>
      <c r="E464" s="1"/>
      <c r="F464" s="10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68"/>
      <c r="R464" s="10"/>
      <c r="S464" s="1"/>
      <c r="T464" s="1"/>
      <c r="U464" s="1"/>
      <c r="V464" s="2"/>
      <c r="W464" s="10"/>
      <c r="X464" s="10"/>
      <c r="Y464" s="10"/>
      <c r="Z464" s="10"/>
      <c r="AA464" s="10"/>
      <c r="AB464" s="10"/>
      <c r="AC464" s="20"/>
      <c r="AD464" s="20"/>
      <c r="AE464" s="10"/>
      <c r="AF464" s="10"/>
      <c r="AG464" s="10"/>
      <c r="AH464" s="10"/>
      <c r="AI464" s="10"/>
      <c r="AJ464" s="20"/>
      <c r="AK464" s="20"/>
      <c r="AL464" s="10"/>
    </row>
    <row r="465" spans="1:38" ht="13.2">
      <c r="A465" s="1"/>
      <c r="B465" s="1"/>
      <c r="C465" s="67"/>
      <c r="D465" s="1"/>
      <c r="E465" s="1"/>
      <c r="F465" s="10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68"/>
      <c r="R465" s="10"/>
      <c r="S465" s="1"/>
      <c r="T465" s="1"/>
      <c r="U465" s="1"/>
      <c r="V465" s="2"/>
      <c r="W465" s="10"/>
      <c r="X465" s="10"/>
      <c r="Y465" s="10"/>
      <c r="Z465" s="10"/>
      <c r="AA465" s="10"/>
      <c r="AB465" s="10"/>
      <c r="AC465" s="20"/>
      <c r="AD465" s="20"/>
      <c r="AE465" s="10"/>
      <c r="AF465" s="10"/>
      <c r="AG465" s="10"/>
      <c r="AH465" s="10"/>
      <c r="AI465" s="10"/>
      <c r="AJ465" s="20"/>
      <c r="AK465" s="20"/>
      <c r="AL465" s="10"/>
    </row>
    <row r="466" spans="1:38" ht="13.2">
      <c r="A466" s="1"/>
      <c r="B466" s="1"/>
      <c r="C466" s="67"/>
      <c r="D466" s="1"/>
      <c r="E466" s="1"/>
      <c r="F466" s="10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68"/>
      <c r="R466" s="10"/>
      <c r="S466" s="1"/>
      <c r="T466" s="1"/>
      <c r="U466" s="1"/>
      <c r="V466" s="2"/>
      <c r="W466" s="10"/>
      <c r="X466" s="10"/>
      <c r="Y466" s="10"/>
      <c r="Z466" s="10"/>
      <c r="AA466" s="10"/>
      <c r="AB466" s="10"/>
      <c r="AC466" s="20"/>
      <c r="AD466" s="20"/>
      <c r="AE466" s="10"/>
      <c r="AF466" s="10"/>
      <c r="AG466" s="10"/>
      <c r="AH466" s="10"/>
      <c r="AI466" s="10"/>
      <c r="AJ466" s="20"/>
      <c r="AK466" s="20"/>
      <c r="AL466" s="10"/>
    </row>
    <row r="467" spans="1:38" ht="13.2">
      <c r="A467" s="1"/>
      <c r="B467" s="1"/>
      <c r="C467" s="67"/>
      <c r="D467" s="1"/>
      <c r="E467" s="1"/>
      <c r="F467" s="10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68"/>
      <c r="R467" s="10"/>
      <c r="S467" s="1"/>
      <c r="T467" s="1"/>
      <c r="U467" s="1"/>
      <c r="V467" s="2"/>
      <c r="W467" s="10"/>
      <c r="X467" s="10"/>
      <c r="Y467" s="10"/>
      <c r="Z467" s="10"/>
      <c r="AA467" s="10"/>
      <c r="AB467" s="10"/>
      <c r="AC467" s="20"/>
      <c r="AD467" s="20"/>
      <c r="AE467" s="10"/>
      <c r="AF467" s="10"/>
      <c r="AG467" s="10"/>
      <c r="AH467" s="10"/>
      <c r="AI467" s="10"/>
      <c r="AJ467" s="20"/>
      <c r="AK467" s="20"/>
      <c r="AL467" s="10"/>
    </row>
    <row r="468" spans="1:38" ht="13.2">
      <c r="A468" s="1"/>
      <c r="B468" s="1"/>
      <c r="C468" s="67"/>
      <c r="D468" s="1"/>
      <c r="E468" s="1"/>
      <c r="F468" s="10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68"/>
      <c r="R468" s="10"/>
      <c r="S468" s="1"/>
      <c r="T468" s="1"/>
      <c r="U468" s="1"/>
      <c r="V468" s="2"/>
      <c r="W468" s="10"/>
      <c r="X468" s="10"/>
      <c r="Y468" s="10"/>
      <c r="Z468" s="10"/>
      <c r="AA468" s="10"/>
      <c r="AB468" s="10"/>
      <c r="AC468" s="20"/>
      <c r="AD468" s="20"/>
      <c r="AE468" s="10"/>
      <c r="AF468" s="10"/>
      <c r="AG468" s="10"/>
      <c r="AH468" s="10"/>
      <c r="AI468" s="10"/>
      <c r="AJ468" s="20"/>
      <c r="AK468" s="20"/>
      <c r="AL468" s="10"/>
    </row>
    <row r="469" spans="1:38" ht="13.2">
      <c r="A469" s="1"/>
      <c r="B469" s="1"/>
      <c r="C469" s="67"/>
      <c r="D469" s="1"/>
      <c r="E469" s="1"/>
      <c r="F469" s="10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68"/>
      <c r="R469" s="10"/>
      <c r="S469" s="1"/>
      <c r="T469" s="1"/>
      <c r="U469" s="1"/>
      <c r="V469" s="2"/>
      <c r="W469" s="10"/>
      <c r="X469" s="10"/>
      <c r="Y469" s="10"/>
      <c r="Z469" s="10"/>
      <c r="AA469" s="10"/>
      <c r="AB469" s="10"/>
      <c r="AC469" s="20"/>
      <c r="AD469" s="20"/>
      <c r="AE469" s="10"/>
      <c r="AF469" s="10"/>
      <c r="AG469" s="10"/>
      <c r="AH469" s="10"/>
      <c r="AI469" s="10"/>
      <c r="AJ469" s="20"/>
      <c r="AK469" s="20"/>
      <c r="AL469" s="10"/>
    </row>
    <row r="470" spans="1:38" ht="13.2">
      <c r="A470" s="1"/>
      <c r="B470" s="1"/>
      <c r="C470" s="67"/>
      <c r="D470" s="1"/>
      <c r="E470" s="1"/>
      <c r="F470" s="10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68"/>
      <c r="R470" s="10"/>
      <c r="S470" s="1"/>
      <c r="T470" s="1"/>
      <c r="U470" s="1"/>
      <c r="V470" s="2"/>
      <c r="W470" s="2"/>
      <c r="X470" s="2"/>
      <c r="Y470" s="2"/>
      <c r="Z470" s="2"/>
      <c r="AA470" s="2"/>
      <c r="AB470" s="2"/>
      <c r="AC470" s="14"/>
      <c r="AD470" s="14"/>
      <c r="AE470" s="2"/>
      <c r="AF470" s="2"/>
      <c r="AG470" s="2"/>
      <c r="AH470" s="2"/>
      <c r="AI470" s="2"/>
      <c r="AJ470" s="14"/>
      <c r="AK470" s="14"/>
      <c r="AL470" s="2"/>
    </row>
    <row r="471" spans="1:38" ht="15.6">
      <c r="A471" s="1"/>
      <c r="B471" s="28"/>
      <c r="C471" s="17"/>
      <c r="D471" s="29" t="s">
        <v>500</v>
      </c>
      <c r="E471" s="225" t="s">
        <v>524</v>
      </c>
      <c r="F471" s="194"/>
      <c r="G471" s="194"/>
      <c r="H471" s="19"/>
      <c r="I471" s="30"/>
      <c r="J471" s="30"/>
      <c r="K471" s="30"/>
      <c r="L471" s="30"/>
      <c r="M471" s="30"/>
      <c r="N471" s="30"/>
      <c r="O471" s="30"/>
      <c r="P471" s="29" t="s">
        <v>493</v>
      </c>
      <c r="Q471" s="207" t="s">
        <v>0</v>
      </c>
      <c r="R471" s="194"/>
      <c r="S471" s="19"/>
      <c r="T471" s="6"/>
      <c r="U471" s="31"/>
      <c r="V471" s="2"/>
      <c r="W471" s="10"/>
      <c r="X471" s="10"/>
      <c r="Y471" s="10"/>
      <c r="Z471" s="10"/>
      <c r="AA471" s="10"/>
      <c r="AB471" s="10"/>
      <c r="AC471" s="20"/>
      <c r="AD471" s="20"/>
      <c r="AE471" s="10"/>
      <c r="AF471" s="10"/>
      <c r="AG471" s="10"/>
      <c r="AH471" s="10"/>
      <c r="AI471" s="10"/>
      <c r="AJ471" s="20"/>
      <c r="AK471" s="20"/>
      <c r="AL471" s="10"/>
    </row>
    <row r="472" spans="1:38" ht="15.6">
      <c r="A472" s="1"/>
      <c r="B472" s="32"/>
      <c r="C472" s="16"/>
      <c r="D472" s="33" t="s">
        <v>494</v>
      </c>
      <c r="E472" s="30"/>
      <c r="F472" s="34"/>
      <c r="G472" s="19"/>
      <c r="H472" s="19"/>
      <c r="I472" s="19"/>
      <c r="J472" s="19"/>
      <c r="K472" s="19"/>
      <c r="L472" s="19"/>
      <c r="M472" s="19"/>
      <c r="N472" s="19"/>
      <c r="O472" s="19"/>
      <c r="P472" s="35" t="s">
        <v>98</v>
      </c>
      <c r="Q472" s="208" t="s">
        <v>99</v>
      </c>
      <c r="R472" s="194"/>
      <c r="S472" s="194"/>
      <c r="T472" s="194"/>
      <c r="U472" s="19"/>
      <c r="V472" s="2"/>
      <c r="W472" s="10"/>
      <c r="X472" s="10"/>
      <c r="Y472" s="10"/>
      <c r="Z472" s="10"/>
      <c r="AA472" s="10"/>
      <c r="AB472" s="10"/>
      <c r="AC472" s="20"/>
      <c r="AD472" s="20"/>
      <c r="AE472" s="10"/>
      <c r="AF472" s="10"/>
      <c r="AG472" s="10"/>
      <c r="AH472" s="10"/>
      <c r="AI472" s="10"/>
      <c r="AJ472" s="20"/>
      <c r="AK472" s="20"/>
      <c r="AL472" s="10"/>
    </row>
    <row r="473" spans="1:38" ht="15.6">
      <c r="A473" s="1"/>
      <c r="B473" s="7"/>
      <c r="C473" s="36"/>
      <c r="D473" s="30"/>
      <c r="E473" s="30"/>
      <c r="F473" s="34"/>
      <c r="G473" s="19"/>
      <c r="H473" s="19"/>
      <c r="I473" s="19"/>
      <c r="J473" s="19"/>
      <c r="K473" s="19"/>
      <c r="L473" s="19"/>
      <c r="M473" s="19"/>
      <c r="N473" s="19"/>
      <c r="O473" s="19"/>
      <c r="P473" s="30"/>
      <c r="Q473" s="37"/>
      <c r="R473" s="38"/>
      <c r="S473" s="19"/>
      <c r="T473" s="19"/>
      <c r="U473" s="19"/>
      <c r="V473" s="2"/>
      <c r="W473" s="15"/>
      <c r="X473" s="39"/>
      <c r="Y473" s="40"/>
      <c r="Z473" s="41"/>
      <c r="AA473" s="41"/>
      <c r="AB473" s="40"/>
      <c r="AC473" s="40"/>
      <c r="AD473" s="40"/>
      <c r="AE473" s="40"/>
      <c r="AF473" s="40"/>
      <c r="AG473" s="40"/>
      <c r="AH473" s="40"/>
      <c r="AI473" s="15"/>
      <c r="AJ473" s="40"/>
      <c r="AK473" s="40"/>
      <c r="AL473" s="40"/>
    </row>
    <row r="474" spans="1:38" ht="15.6">
      <c r="A474" s="1"/>
      <c r="B474" s="8"/>
      <c r="C474" s="226" t="s">
        <v>20</v>
      </c>
      <c r="D474" s="204"/>
      <c r="E474" s="203" t="s">
        <v>18</v>
      </c>
      <c r="F474" s="204"/>
      <c r="G474" s="204"/>
      <c r="H474" s="42"/>
      <c r="I474" s="43"/>
      <c r="J474" s="44"/>
      <c r="K474" s="44"/>
      <c r="L474" s="44"/>
      <c r="M474" s="44"/>
      <c r="N474" s="9"/>
      <c r="O474" s="209" t="s">
        <v>20</v>
      </c>
      <c r="P474" s="204"/>
      <c r="Q474" s="205" t="s">
        <v>19</v>
      </c>
      <c r="R474" s="204"/>
      <c r="S474" s="204"/>
      <c r="T474" s="45"/>
      <c r="U474" s="46"/>
      <c r="V474" s="2"/>
      <c r="W474" s="39"/>
      <c r="X474" s="40"/>
      <c r="Y474" s="41"/>
      <c r="Z474" s="210"/>
      <c r="AA474" s="194"/>
      <c r="AB474" s="41"/>
      <c r="AC474" s="10"/>
      <c r="AD474" s="41"/>
      <c r="AE474" s="210"/>
      <c r="AF474" s="194"/>
      <c r="AG474" s="210"/>
      <c r="AH474" s="194"/>
      <c r="AI474" s="47"/>
      <c r="AJ474" s="10"/>
      <c r="AK474" s="41"/>
      <c r="AL474" s="41"/>
    </row>
    <row r="475" spans="1:38" ht="15.6">
      <c r="A475" s="1"/>
      <c r="B475" s="43"/>
      <c r="C475" s="223" t="s">
        <v>2</v>
      </c>
      <c r="D475" s="193"/>
      <c r="E475" s="224">
        <v>22</v>
      </c>
      <c r="F475" s="204"/>
      <c r="G475" s="204"/>
      <c r="H475" s="48"/>
      <c r="I475" s="43"/>
      <c r="J475" s="49"/>
      <c r="K475" s="49"/>
      <c r="L475" s="49"/>
      <c r="M475" s="49"/>
      <c r="N475" s="9"/>
      <c r="O475" s="211" t="s">
        <v>2</v>
      </c>
      <c r="P475" s="193"/>
      <c r="Q475" s="212">
        <v>22</v>
      </c>
      <c r="R475" s="204"/>
      <c r="S475" s="204"/>
      <c r="T475" s="50"/>
      <c r="U475" s="46"/>
      <c r="V475" s="2"/>
      <c r="W475" s="47"/>
      <c r="X475" s="51"/>
      <c r="Y475" s="41"/>
      <c r="Z475" s="210"/>
      <c r="AA475" s="194"/>
      <c r="AB475" s="10"/>
      <c r="AC475" s="10"/>
      <c r="AD475" s="41"/>
      <c r="AE475" s="210"/>
      <c r="AF475" s="194"/>
      <c r="AG475" s="210"/>
      <c r="AH475" s="194"/>
      <c r="AI475" s="47"/>
      <c r="AJ475" s="10"/>
      <c r="AK475" s="41"/>
      <c r="AL475" s="41"/>
    </row>
    <row r="476" spans="1:38" ht="13.2">
      <c r="A476" s="1"/>
      <c r="B476" s="52"/>
      <c r="C476" s="53" t="s">
        <v>495</v>
      </c>
      <c r="D476" s="213" t="s">
        <v>18</v>
      </c>
      <c r="E476" s="193"/>
      <c r="F476" s="54" t="s">
        <v>21</v>
      </c>
      <c r="G476" s="55" t="s">
        <v>496</v>
      </c>
      <c r="H476" s="55"/>
      <c r="I476" s="56"/>
      <c r="J476" s="11"/>
      <c r="K476" s="11"/>
      <c r="L476" s="11"/>
      <c r="M476" s="57"/>
      <c r="N476" s="56"/>
      <c r="O476" s="53" t="s">
        <v>495</v>
      </c>
      <c r="P476" s="213" t="s">
        <v>19</v>
      </c>
      <c r="Q476" s="193"/>
      <c r="R476" s="54" t="s">
        <v>21</v>
      </c>
      <c r="S476" s="55" t="s">
        <v>496</v>
      </c>
      <c r="T476" s="55"/>
      <c r="U476" s="56"/>
      <c r="V476" s="2"/>
      <c r="W476" s="39" t="s">
        <v>495</v>
      </c>
      <c r="X476" s="58" t="s">
        <v>497</v>
      </c>
      <c r="Y476" s="41" t="s">
        <v>496</v>
      </c>
      <c r="Z476" s="41" t="s">
        <v>21</v>
      </c>
      <c r="AA476" s="41"/>
      <c r="AB476" s="58"/>
      <c r="AC476" s="58"/>
      <c r="AD476" s="41"/>
      <c r="AE476" s="41"/>
      <c r="AF476" s="41"/>
      <c r="AG476" s="41"/>
      <c r="AH476" s="41"/>
      <c r="AI476" s="39"/>
      <c r="AJ476" s="58" t="s">
        <v>497</v>
      </c>
      <c r="AK476" s="41" t="s">
        <v>496</v>
      </c>
      <c r="AL476" s="41" t="s">
        <v>21</v>
      </c>
    </row>
    <row r="477" spans="1:38" ht="13.2">
      <c r="A477" s="1"/>
      <c r="B477" s="59"/>
      <c r="C477" s="60">
        <v>1</v>
      </c>
      <c r="D477" s="206" t="s">
        <v>468</v>
      </c>
      <c r="E477" s="201"/>
      <c r="F477" s="61">
        <v>79.3</v>
      </c>
      <c r="G477" s="60" t="s">
        <v>97</v>
      </c>
      <c r="H477" s="60"/>
      <c r="I477" s="62"/>
      <c r="J477" s="11"/>
      <c r="K477" s="11"/>
      <c r="L477" s="11"/>
      <c r="M477" s="11"/>
      <c r="N477" s="59"/>
      <c r="O477" s="60">
        <v>1</v>
      </c>
      <c r="P477" s="206" t="s">
        <v>457</v>
      </c>
      <c r="Q477" s="202"/>
      <c r="R477" s="61">
        <v>92</v>
      </c>
      <c r="S477" s="60" t="s">
        <v>75</v>
      </c>
      <c r="T477" s="60"/>
      <c r="U477" s="62"/>
      <c r="V477" s="2"/>
      <c r="W477" s="63">
        <v>1</v>
      </c>
      <c r="X477" s="64" t="s">
        <v>468</v>
      </c>
      <c r="Y477" s="20" t="s">
        <v>97</v>
      </c>
      <c r="Z477" s="20">
        <v>79.3</v>
      </c>
      <c r="AA477" s="20"/>
      <c r="AB477" s="64"/>
      <c r="AC477" s="64"/>
      <c r="AD477" s="20"/>
      <c r="AE477" s="20"/>
      <c r="AF477" s="20"/>
      <c r="AG477" s="65"/>
      <c r="AH477" s="66"/>
      <c r="AI477" s="40"/>
      <c r="AJ477" s="64" t="s">
        <v>457</v>
      </c>
      <c r="AK477" s="20" t="s">
        <v>75</v>
      </c>
      <c r="AL477" s="20">
        <v>92</v>
      </c>
    </row>
    <row r="478" spans="1:38" ht="13.2">
      <c r="A478" s="1"/>
      <c r="B478" s="59"/>
      <c r="C478" s="60">
        <v>2</v>
      </c>
      <c r="D478" s="206" t="s">
        <v>475</v>
      </c>
      <c r="E478" s="201"/>
      <c r="F478" s="61">
        <v>77.75</v>
      </c>
      <c r="G478" s="60" t="s">
        <v>50</v>
      </c>
      <c r="H478" s="60"/>
      <c r="I478" s="62"/>
      <c r="J478" s="11"/>
      <c r="K478" s="11"/>
      <c r="L478" s="11"/>
      <c r="M478" s="11"/>
      <c r="N478" s="59"/>
      <c r="O478" s="60">
        <v>2</v>
      </c>
      <c r="P478" s="206" t="s">
        <v>484</v>
      </c>
      <c r="Q478" s="201"/>
      <c r="R478" s="61">
        <v>78.8</v>
      </c>
      <c r="S478" s="60" t="s">
        <v>75</v>
      </c>
      <c r="T478" s="60"/>
      <c r="U478" s="62"/>
      <c r="V478" s="2"/>
      <c r="W478" s="63">
        <v>2</v>
      </c>
      <c r="X478" s="64" t="s">
        <v>475</v>
      </c>
      <c r="Y478" s="20" t="s">
        <v>50</v>
      </c>
      <c r="Z478" s="20">
        <v>77.75</v>
      </c>
      <c r="AA478" s="20"/>
      <c r="AB478" s="10"/>
      <c r="AC478" s="10"/>
      <c r="AD478" s="20"/>
      <c r="AE478" s="20"/>
      <c r="AF478" s="20"/>
      <c r="AG478" s="65"/>
      <c r="AH478" s="66"/>
      <c r="AI478" s="40"/>
      <c r="AJ478" s="10" t="s">
        <v>484</v>
      </c>
      <c r="AK478" s="20" t="s">
        <v>75</v>
      </c>
      <c r="AL478" s="20">
        <v>78.8</v>
      </c>
    </row>
    <row r="479" spans="1:38" ht="13.2">
      <c r="A479" s="1"/>
      <c r="B479" s="59"/>
      <c r="C479" s="60">
        <v>3</v>
      </c>
      <c r="D479" s="206" t="s">
        <v>479</v>
      </c>
      <c r="E479" s="201"/>
      <c r="F479" s="61">
        <v>72.95</v>
      </c>
      <c r="G479" s="60" t="s">
        <v>106</v>
      </c>
      <c r="H479" s="60"/>
      <c r="I479" s="62"/>
      <c r="J479" s="11"/>
      <c r="K479" s="11"/>
      <c r="L479" s="11"/>
      <c r="M479" s="11"/>
      <c r="N479" s="59"/>
      <c r="O479" s="60">
        <v>3</v>
      </c>
      <c r="P479" s="206" t="s">
        <v>480</v>
      </c>
      <c r="Q479" s="201"/>
      <c r="R479" s="61">
        <v>74.45</v>
      </c>
      <c r="S479" s="60" t="s">
        <v>68</v>
      </c>
      <c r="T479" s="60"/>
      <c r="U479" s="62"/>
      <c r="V479" s="2"/>
      <c r="W479" s="63">
        <v>3</v>
      </c>
      <c r="X479" s="64" t="s">
        <v>479</v>
      </c>
      <c r="Y479" s="20" t="s">
        <v>106</v>
      </c>
      <c r="Z479" s="20">
        <v>72.95</v>
      </c>
      <c r="AA479" s="20"/>
      <c r="AB479" s="10"/>
      <c r="AC479" s="10"/>
      <c r="AD479" s="20"/>
      <c r="AE479" s="20"/>
      <c r="AF479" s="20"/>
      <c r="AG479" s="65"/>
      <c r="AH479" s="66"/>
      <c r="AI479" s="40"/>
      <c r="AJ479" s="10" t="s">
        <v>480</v>
      </c>
      <c r="AK479" s="20" t="s">
        <v>68</v>
      </c>
      <c r="AL479" s="20">
        <v>74.45</v>
      </c>
    </row>
    <row r="480" spans="1:38" ht="13.2">
      <c r="A480" s="1"/>
      <c r="B480" s="59"/>
      <c r="C480" s="60">
        <v>4</v>
      </c>
      <c r="D480" s="206" t="s">
        <v>448</v>
      </c>
      <c r="E480" s="201"/>
      <c r="F480" s="61">
        <v>72.05</v>
      </c>
      <c r="G480" s="60" t="s">
        <v>79</v>
      </c>
      <c r="H480" s="60"/>
      <c r="I480" s="62"/>
      <c r="J480" s="11"/>
      <c r="K480" s="11"/>
      <c r="L480" s="11"/>
      <c r="M480" s="11"/>
      <c r="N480" s="59"/>
      <c r="O480" s="60">
        <v>4</v>
      </c>
      <c r="P480" s="206" t="s">
        <v>453</v>
      </c>
      <c r="Q480" s="201"/>
      <c r="R480" s="61">
        <v>73.55</v>
      </c>
      <c r="S480" s="60" t="s">
        <v>50</v>
      </c>
      <c r="T480" s="60"/>
      <c r="U480" s="62"/>
      <c r="V480" s="2"/>
      <c r="W480" s="63">
        <v>4</v>
      </c>
      <c r="X480" s="64" t="s">
        <v>448</v>
      </c>
      <c r="Y480" s="20" t="s">
        <v>79</v>
      </c>
      <c r="Z480" s="20">
        <v>72.05</v>
      </c>
      <c r="AA480" s="20"/>
      <c r="AB480" s="10"/>
      <c r="AC480" s="10"/>
      <c r="AD480" s="20"/>
      <c r="AE480" s="20"/>
      <c r="AF480" s="20"/>
      <c r="AG480" s="65"/>
      <c r="AH480" s="66"/>
      <c r="AI480" s="40"/>
      <c r="AJ480" s="10" t="s">
        <v>453</v>
      </c>
      <c r="AK480" s="20" t="s">
        <v>50</v>
      </c>
      <c r="AL480" s="20">
        <v>73.55</v>
      </c>
    </row>
    <row r="481" spans="1:38" ht="13.2">
      <c r="A481" s="1"/>
      <c r="B481" s="59"/>
      <c r="C481" s="60">
        <v>5</v>
      </c>
      <c r="D481" s="206" t="s">
        <v>487</v>
      </c>
      <c r="E481" s="201"/>
      <c r="F481" s="61">
        <v>68.900000000000006</v>
      </c>
      <c r="G481" s="60" t="s">
        <v>50</v>
      </c>
      <c r="H481" s="60"/>
      <c r="I481" s="62"/>
      <c r="J481" s="11"/>
      <c r="K481" s="11"/>
      <c r="L481" s="11"/>
      <c r="M481" s="11"/>
      <c r="N481" s="59"/>
      <c r="O481" s="60">
        <v>5</v>
      </c>
      <c r="P481" s="206" t="s">
        <v>486</v>
      </c>
      <c r="Q481" s="201"/>
      <c r="R481" s="61">
        <v>73.5</v>
      </c>
      <c r="S481" s="60" t="s">
        <v>65</v>
      </c>
      <c r="T481" s="60"/>
      <c r="U481" s="62"/>
      <c r="V481" s="2"/>
      <c r="W481" s="63">
        <v>5</v>
      </c>
      <c r="X481" s="64" t="s">
        <v>487</v>
      </c>
      <c r="Y481" s="20" t="s">
        <v>50</v>
      </c>
      <c r="Z481" s="20">
        <v>68.900000000000006</v>
      </c>
      <c r="AA481" s="20"/>
      <c r="AB481" s="10"/>
      <c r="AC481" s="10"/>
      <c r="AD481" s="20"/>
      <c r="AE481" s="20"/>
      <c r="AF481" s="20"/>
      <c r="AG481" s="65"/>
      <c r="AH481" s="66"/>
      <c r="AI481" s="40"/>
      <c r="AJ481" s="10" t="s">
        <v>486</v>
      </c>
      <c r="AK481" s="20" t="s">
        <v>65</v>
      </c>
      <c r="AL481" s="20">
        <v>73.5</v>
      </c>
    </row>
    <row r="482" spans="1:38" ht="13.2">
      <c r="A482" s="1"/>
      <c r="B482" s="59"/>
      <c r="C482" s="60">
        <v>6</v>
      </c>
      <c r="D482" s="206" t="s">
        <v>477</v>
      </c>
      <c r="E482" s="201"/>
      <c r="F482" s="61">
        <v>68.3</v>
      </c>
      <c r="G482" s="60" t="s">
        <v>28</v>
      </c>
      <c r="H482" s="60"/>
      <c r="I482" s="62"/>
      <c r="J482" s="11"/>
      <c r="K482" s="11"/>
      <c r="L482" s="11"/>
      <c r="M482" s="11"/>
      <c r="N482" s="59"/>
      <c r="O482" s="60">
        <v>6</v>
      </c>
      <c r="P482" s="206" t="s">
        <v>461</v>
      </c>
      <c r="Q482" s="201"/>
      <c r="R482" s="61">
        <v>71.349999999999994</v>
      </c>
      <c r="S482" s="60" t="s">
        <v>76</v>
      </c>
      <c r="T482" s="60"/>
      <c r="U482" s="62"/>
      <c r="V482" s="2"/>
      <c r="W482" s="63">
        <v>6</v>
      </c>
      <c r="X482" s="64" t="s">
        <v>477</v>
      </c>
      <c r="Y482" s="20" t="s">
        <v>28</v>
      </c>
      <c r="Z482" s="20">
        <v>68.3</v>
      </c>
      <c r="AA482" s="20"/>
      <c r="AB482" s="10"/>
      <c r="AC482" s="10"/>
      <c r="AD482" s="20"/>
      <c r="AE482" s="20"/>
      <c r="AF482" s="20"/>
      <c r="AG482" s="65"/>
      <c r="AH482" s="66"/>
      <c r="AI482" s="40"/>
      <c r="AJ482" s="10" t="s">
        <v>461</v>
      </c>
      <c r="AK482" s="20" t="s">
        <v>76</v>
      </c>
      <c r="AL482" s="20">
        <v>71.349999999999994</v>
      </c>
    </row>
    <row r="483" spans="1:38" ht="13.2">
      <c r="A483" s="1"/>
      <c r="B483" s="59"/>
      <c r="C483" s="60">
        <v>7</v>
      </c>
      <c r="D483" s="206" t="s">
        <v>485</v>
      </c>
      <c r="E483" s="201"/>
      <c r="F483" s="61">
        <v>65.2</v>
      </c>
      <c r="G483" s="60" t="s">
        <v>76</v>
      </c>
      <c r="H483" s="60"/>
      <c r="I483" s="62"/>
      <c r="J483" s="11"/>
      <c r="K483" s="11"/>
      <c r="L483" s="11"/>
      <c r="M483" s="11"/>
      <c r="N483" s="59"/>
      <c r="O483" s="60">
        <v>7</v>
      </c>
      <c r="P483" s="206" t="s">
        <v>478</v>
      </c>
      <c r="Q483" s="201"/>
      <c r="R483" s="61">
        <v>68</v>
      </c>
      <c r="S483" s="60" t="s">
        <v>76</v>
      </c>
      <c r="T483" s="60"/>
      <c r="U483" s="62"/>
      <c r="V483" s="2"/>
      <c r="W483" s="63">
        <v>7</v>
      </c>
      <c r="X483" s="64" t="s">
        <v>485</v>
      </c>
      <c r="Y483" s="20" t="s">
        <v>76</v>
      </c>
      <c r="Z483" s="20">
        <v>65.2</v>
      </c>
      <c r="AA483" s="20"/>
      <c r="AB483" s="10"/>
      <c r="AC483" s="10"/>
      <c r="AD483" s="20"/>
      <c r="AE483" s="20"/>
      <c r="AF483" s="20"/>
      <c r="AG483" s="65"/>
      <c r="AH483" s="66"/>
      <c r="AI483" s="40"/>
      <c r="AJ483" s="10" t="s">
        <v>478</v>
      </c>
      <c r="AK483" s="20" t="s">
        <v>76</v>
      </c>
      <c r="AL483" s="20">
        <v>68</v>
      </c>
    </row>
    <row r="484" spans="1:38" ht="13.2">
      <c r="A484" s="1"/>
      <c r="B484" s="59"/>
      <c r="C484" s="60">
        <v>8</v>
      </c>
      <c r="D484" s="206" t="s">
        <v>470</v>
      </c>
      <c r="E484" s="201"/>
      <c r="F484" s="61">
        <v>61.25</v>
      </c>
      <c r="G484" s="60" t="s">
        <v>40</v>
      </c>
      <c r="H484" s="60"/>
      <c r="I484" s="62"/>
      <c r="J484" s="11"/>
      <c r="K484" s="11"/>
      <c r="L484" s="11"/>
      <c r="M484" s="11"/>
      <c r="N484" s="59"/>
      <c r="O484" s="60">
        <v>8</v>
      </c>
      <c r="P484" s="206" t="s">
        <v>490</v>
      </c>
      <c r="Q484" s="201"/>
      <c r="R484" s="61">
        <v>61.05</v>
      </c>
      <c r="S484" s="60" t="s">
        <v>177</v>
      </c>
      <c r="T484" s="60"/>
      <c r="U484" s="62"/>
      <c r="V484" s="2"/>
      <c r="W484" s="63">
        <v>8</v>
      </c>
      <c r="X484" s="64" t="s">
        <v>470</v>
      </c>
      <c r="Y484" s="20" t="s">
        <v>40</v>
      </c>
      <c r="Z484" s="20">
        <v>61.25</v>
      </c>
      <c r="AA484" s="20"/>
      <c r="AB484" s="10"/>
      <c r="AC484" s="10"/>
      <c r="AD484" s="20"/>
      <c r="AE484" s="20"/>
      <c r="AF484" s="20"/>
      <c r="AG484" s="65"/>
      <c r="AH484" s="66"/>
      <c r="AI484" s="40"/>
      <c r="AJ484" s="10" t="s">
        <v>490</v>
      </c>
      <c r="AK484" s="20" t="s">
        <v>177</v>
      </c>
      <c r="AL484" s="20">
        <v>61.05</v>
      </c>
    </row>
    <row r="485" spans="1:38" ht="13.2">
      <c r="A485" s="1"/>
      <c r="B485" s="59"/>
      <c r="C485" s="60">
        <v>9</v>
      </c>
      <c r="D485" s="206" t="s">
        <v>464</v>
      </c>
      <c r="E485" s="201"/>
      <c r="F485" s="61">
        <v>58.1</v>
      </c>
      <c r="G485" s="60" t="s">
        <v>65</v>
      </c>
      <c r="H485" s="60"/>
      <c r="I485" s="62"/>
      <c r="J485" s="11"/>
      <c r="K485" s="11"/>
      <c r="L485" s="11"/>
      <c r="M485" s="11"/>
      <c r="N485" s="59"/>
      <c r="O485" s="60">
        <v>9</v>
      </c>
      <c r="P485" s="206" t="s">
        <v>476</v>
      </c>
      <c r="Q485" s="201"/>
      <c r="R485" s="61">
        <v>61</v>
      </c>
      <c r="S485" s="60" t="s">
        <v>65</v>
      </c>
      <c r="T485" s="60"/>
      <c r="U485" s="62"/>
      <c r="V485" s="2"/>
      <c r="W485" s="63">
        <v>9</v>
      </c>
      <c r="X485" s="64" t="s">
        <v>464</v>
      </c>
      <c r="Y485" s="20" t="s">
        <v>65</v>
      </c>
      <c r="Z485" s="20">
        <v>58.1</v>
      </c>
      <c r="AA485" s="20"/>
      <c r="AB485" s="10"/>
      <c r="AC485" s="10"/>
      <c r="AD485" s="20"/>
      <c r="AE485" s="20"/>
      <c r="AF485" s="20"/>
      <c r="AG485" s="65"/>
      <c r="AH485" s="66"/>
      <c r="AI485" s="40"/>
      <c r="AJ485" s="10" t="s">
        <v>476</v>
      </c>
      <c r="AK485" s="20" t="s">
        <v>65</v>
      </c>
      <c r="AL485" s="20">
        <v>61</v>
      </c>
    </row>
    <row r="486" spans="1:38" ht="13.2">
      <c r="A486" s="1"/>
      <c r="B486" s="59"/>
      <c r="C486" s="60">
        <v>10</v>
      </c>
      <c r="D486" s="206" t="s">
        <v>466</v>
      </c>
      <c r="E486" s="201"/>
      <c r="F486" s="61">
        <v>56.9</v>
      </c>
      <c r="G486" s="60" t="s">
        <v>28</v>
      </c>
      <c r="H486" s="60"/>
      <c r="I486" s="62"/>
      <c r="J486" s="11"/>
      <c r="K486" s="11"/>
      <c r="L486" s="11"/>
      <c r="M486" s="11"/>
      <c r="N486" s="59"/>
      <c r="O486" s="60">
        <v>10</v>
      </c>
      <c r="P486" s="206" t="s">
        <v>469</v>
      </c>
      <c r="Q486" s="201"/>
      <c r="R486" s="61">
        <v>58.15</v>
      </c>
      <c r="S486" s="60" t="s">
        <v>76</v>
      </c>
      <c r="T486" s="60"/>
      <c r="U486" s="62"/>
      <c r="V486" s="2"/>
      <c r="W486" s="63">
        <v>10</v>
      </c>
      <c r="X486" s="64" t="s">
        <v>466</v>
      </c>
      <c r="Y486" s="20" t="s">
        <v>28</v>
      </c>
      <c r="Z486" s="20">
        <v>56.9</v>
      </c>
      <c r="AA486" s="20"/>
      <c r="AB486" s="10"/>
      <c r="AC486" s="10"/>
      <c r="AD486" s="20"/>
      <c r="AE486" s="20"/>
      <c r="AF486" s="20"/>
      <c r="AG486" s="65"/>
      <c r="AH486" s="66"/>
      <c r="AI486" s="40"/>
      <c r="AJ486" s="10" t="s">
        <v>469</v>
      </c>
      <c r="AK486" s="20" t="s">
        <v>76</v>
      </c>
      <c r="AL486" s="20">
        <v>58.15</v>
      </c>
    </row>
    <row r="487" spans="1:38" ht="13.2">
      <c r="A487" s="1"/>
      <c r="B487" s="59"/>
      <c r="C487" s="60">
        <v>11</v>
      </c>
      <c r="D487" s="206" t="s">
        <v>474</v>
      </c>
      <c r="E487" s="201"/>
      <c r="F487" s="61">
        <v>56.15</v>
      </c>
      <c r="G487" s="60" t="s">
        <v>37</v>
      </c>
      <c r="H487" s="60"/>
      <c r="I487" s="62"/>
      <c r="J487" s="11"/>
      <c r="K487" s="11"/>
      <c r="L487" s="11"/>
      <c r="M487" s="11"/>
      <c r="N487" s="59"/>
      <c r="O487" s="60">
        <v>11</v>
      </c>
      <c r="P487" s="206" t="s">
        <v>488</v>
      </c>
      <c r="Q487" s="201"/>
      <c r="R487" s="61">
        <v>54.75</v>
      </c>
      <c r="S487" s="60" t="s">
        <v>37</v>
      </c>
      <c r="T487" s="60"/>
      <c r="U487" s="62"/>
      <c r="V487" s="2"/>
      <c r="W487" s="63">
        <v>11</v>
      </c>
      <c r="X487" s="64" t="s">
        <v>474</v>
      </c>
      <c r="Y487" s="20" t="s">
        <v>37</v>
      </c>
      <c r="Z487" s="20">
        <v>56.15</v>
      </c>
      <c r="AA487" s="20"/>
      <c r="AB487" s="10"/>
      <c r="AC487" s="10"/>
      <c r="AD487" s="20"/>
      <c r="AE487" s="20"/>
      <c r="AF487" s="20"/>
      <c r="AG487" s="65"/>
      <c r="AH487" s="66"/>
      <c r="AI487" s="40"/>
      <c r="AJ487" s="10" t="s">
        <v>488</v>
      </c>
      <c r="AK487" s="20" t="s">
        <v>37</v>
      </c>
      <c r="AL487" s="20">
        <v>54.75</v>
      </c>
    </row>
    <row r="488" spans="1:38" ht="13.2">
      <c r="A488" s="1"/>
      <c r="B488" s="59"/>
      <c r="C488" s="60">
        <v>12</v>
      </c>
      <c r="D488" s="206" t="s">
        <v>462</v>
      </c>
      <c r="E488" s="201"/>
      <c r="F488" s="61">
        <v>53.4</v>
      </c>
      <c r="G488" s="60" t="s">
        <v>55</v>
      </c>
      <c r="H488" s="60"/>
      <c r="I488" s="62"/>
      <c r="J488" s="11"/>
      <c r="K488" s="11"/>
      <c r="L488" s="11"/>
      <c r="M488" s="11"/>
      <c r="N488" s="59"/>
      <c r="O488" s="60">
        <v>12</v>
      </c>
      <c r="P488" s="206" t="s">
        <v>455</v>
      </c>
      <c r="Q488" s="201"/>
      <c r="R488" s="61">
        <v>53.5</v>
      </c>
      <c r="S488" s="60" t="s">
        <v>177</v>
      </c>
      <c r="T488" s="60"/>
      <c r="U488" s="62"/>
      <c r="V488" s="2"/>
      <c r="W488" s="63">
        <v>12</v>
      </c>
      <c r="X488" s="64" t="s">
        <v>462</v>
      </c>
      <c r="Y488" s="20" t="s">
        <v>55</v>
      </c>
      <c r="Z488" s="20">
        <v>53.4</v>
      </c>
      <c r="AA488" s="20"/>
      <c r="AB488" s="10"/>
      <c r="AC488" s="10"/>
      <c r="AD488" s="20"/>
      <c r="AE488" s="20"/>
      <c r="AF488" s="20"/>
      <c r="AG488" s="65"/>
      <c r="AH488" s="66"/>
      <c r="AI488" s="40"/>
      <c r="AJ488" s="10" t="s">
        <v>455</v>
      </c>
      <c r="AK488" s="20" t="s">
        <v>177</v>
      </c>
      <c r="AL488" s="20">
        <v>53.5</v>
      </c>
    </row>
    <row r="489" spans="1:38" ht="13.2">
      <c r="A489" s="1"/>
      <c r="B489" s="59"/>
      <c r="C489" s="60">
        <v>13</v>
      </c>
      <c r="D489" s="206" t="s">
        <v>460</v>
      </c>
      <c r="E489" s="201"/>
      <c r="F489" s="61">
        <v>50.7</v>
      </c>
      <c r="G489" s="60" t="s">
        <v>50</v>
      </c>
      <c r="H489" s="60"/>
      <c r="I489" s="62"/>
      <c r="J489" s="11"/>
      <c r="K489" s="11"/>
      <c r="L489" s="11"/>
      <c r="M489" s="11"/>
      <c r="N489" s="59"/>
      <c r="O489" s="60">
        <v>13</v>
      </c>
      <c r="P489" s="206" t="s">
        <v>449</v>
      </c>
      <c r="Q489" s="201"/>
      <c r="R489" s="61">
        <v>50.8</v>
      </c>
      <c r="S489" s="60" t="s">
        <v>164</v>
      </c>
      <c r="T489" s="60"/>
      <c r="U489" s="62"/>
      <c r="V489" s="2"/>
      <c r="W489" s="63">
        <v>13</v>
      </c>
      <c r="X489" s="64" t="s">
        <v>460</v>
      </c>
      <c r="Y489" s="20" t="s">
        <v>50</v>
      </c>
      <c r="Z489" s="20">
        <v>50.7</v>
      </c>
      <c r="AA489" s="20"/>
      <c r="AB489" s="10"/>
      <c r="AC489" s="10"/>
      <c r="AD489" s="20"/>
      <c r="AE489" s="20"/>
      <c r="AF489" s="20"/>
      <c r="AG489" s="65"/>
      <c r="AH489" s="66"/>
      <c r="AI489" s="40"/>
      <c r="AJ489" s="10" t="s">
        <v>449</v>
      </c>
      <c r="AK489" s="20" t="s">
        <v>164</v>
      </c>
      <c r="AL489" s="20">
        <v>50.8</v>
      </c>
    </row>
    <row r="490" spans="1:38" ht="13.2">
      <c r="A490" s="1"/>
      <c r="B490" s="59"/>
      <c r="C490" s="60">
        <v>14</v>
      </c>
      <c r="D490" s="206" t="s">
        <v>456</v>
      </c>
      <c r="E490" s="201"/>
      <c r="F490" s="61">
        <v>47.65</v>
      </c>
      <c r="G490" s="60" t="s">
        <v>24</v>
      </c>
      <c r="H490" s="60"/>
      <c r="I490" s="62"/>
      <c r="J490" s="11"/>
      <c r="K490" s="11"/>
      <c r="L490" s="11"/>
      <c r="M490" s="11"/>
      <c r="N490" s="59"/>
      <c r="O490" s="60">
        <v>14</v>
      </c>
      <c r="P490" s="206" t="s">
        <v>491</v>
      </c>
      <c r="Q490" s="201"/>
      <c r="R490" s="61">
        <v>46.15</v>
      </c>
      <c r="S490" s="60" t="s">
        <v>40</v>
      </c>
      <c r="T490" s="60"/>
      <c r="U490" s="62"/>
      <c r="V490" s="2"/>
      <c r="W490" s="63">
        <v>14</v>
      </c>
      <c r="X490" s="64" t="s">
        <v>456</v>
      </c>
      <c r="Y490" s="20" t="s">
        <v>24</v>
      </c>
      <c r="Z490" s="20">
        <v>47.65</v>
      </c>
      <c r="AA490" s="20"/>
      <c r="AB490" s="10"/>
      <c r="AC490" s="10"/>
      <c r="AD490" s="20"/>
      <c r="AE490" s="20"/>
      <c r="AF490" s="20"/>
      <c r="AG490" s="65"/>
      <c r="AH490" s="66"/>
      <c r="AI490" s="40"/>
      <c r="AJ490" s="10" t="s">
        <v>491</v>
      </c>
      <c r="AK490" s="20" t="s">
        <v>40</v>
      </c>
      <c r="AL490" s="20">
        <v>46.15</v>
      </c>
    </row>
    <row r="491" spans="1:38" ht="13.2">
      <c r="A491" s="1"/>
      <c r="B491" s="59"/>
      <c r="C491" s="60">
        <v>15</v>
      </c>
      <c r="D491" s="206" t="s">
        <v>481</v>
      </c>
      <c r="E491" s="201"/>
      <c r="F491" s="61">
        <v>47.4</v>
      </c>
      <c r="G491" s="60" t="s">
        <v>40</v>
      </c>
      <c r="H491" s="60"/>
      <c r="I491" s="62"/>
      <c r="J491" s="11"/>
      <c r="K491" s="11"/>
      <c r="L491" s="11"/>
      <c r="M491" s="11"/>
      <c r="N491" s="59"/>
      <c r="O491" s="60">
        <v>15</v>
      </c>
      <c r="P491" s="206" t="s">
        <v>473</v>
      </c>
      <c r="Q491" s="201"/>
      <c r="R491" s="61">
        <v>44</v>
      </c>
      <c r="S491" s="60" t="s">
        <v>55</v>
      </c>
      <c r="T491" s="60"/>
      <c r="U491" s="62"/>
      <c r="V491" s="2"/>
      <c r="W491" s="63">
        <v>15</v>
      </c>
      <c r="X491" s="64" t="s">
        <v>481</v>
      </c>
      <c r="Y491" s="20" t="s">
        <v>40</v>
      </c>
      <c r="Z491" s="20">
        <v>47.4</v>
      </c>
      <c r="AA491" s="20"/>
      <c r="AB491" s="10"/>
      <c r="AC491" s="10"/>
      <c r="AD491" s="20"/>
      <c r="AE491" s="20"/>
      <c r="AF491" s="20"/>
      <c r="AG491" s="65"/>
      <c r="AH491" s="66"/>
      <c r="AI491" s="40"/>
      <c r="AJ491" s="10" t="s">
        <v>473</v>
      </c>
      <c r="AK491" s="20" t="s">
        <v>55</v>
      </c>
      <c r="AL491" s="20">
        <v>44</v>
      </c>
    </row>
    <row r="492" spans="1:38" ht="13.2">
      <c r="A492" s="1"/>
      <c r="B492" s="59"/>
      <c r="C492" s="60">
        <v>16</v>
      </c>
      <c r="D492" s="206" t="s">
        <v>482</v>
      </c>
      <c r="E492" s="201"/>
      <c r="F492" s="61">
        <v>46.8</v>
      </c>
      <c r="G492" s="60" t="s">
        <v>40</v>
      </c>
      <c r="H492" s="60"/>
      <c r="I492" s="62"/>
      <c r="J492" s="11"/>
      <c r="K492" s="11"/>
      <c r="L492" s="11"/>
      <c r="M492" s="11"/>
      <c r="N492" s="59"/>
      <c r="O492" s="60">
        <v>16</v>
      </c>
      <c r="P492" s="206" t="s">
        <v>465</v>
      </c>
      <c r="Q492" s="201"/>
      <c r="R492" s="61">
        <v>43.55</v>
      </c>
      <c r="S492" s="60" t="s">
        <v>65</v>
      </c>
      <c r="T492" s="60"/>
      <c r="U492" s="62"/>
      <c r="V492" s="2"/>
      <c r="W492" s="63">
        <v>16</v>
      </c>
      <c r="X492" s="64" t="s">
        <v>482</v>
      </c>
      <c r="Y492" s="20" t="s">
        <v>40</v>
      </c>
      <c r="Z492" s="20">
        <v>46.8</v>
      </c>
      <c r="AA492" s="20"/>
      <c r="AB492" s="10"/>
      <c r="AC492" s="10"/>
      <c r="AD492" s="20"/>
      <c r="AE492" s="20"/>
      <c r="AF492" s="20"/>
      <c r="AG492" s="65"/>
      <c r="AH492" s="66"/>
      <c r="AI492" s="40"/>
      <c r="AJ492" s="10" t="s">
        <v>465</v>
      </c>
      <c r="AK492" s="20" t="s">
        <v>65</v>
      </c>
      <c r="AL492" s="20">
        <v>43.55</v>
      </c>
    </row>
    <row r="493" spans="1:38" ht="13.2">
      <c r="A493" s="1"/>
      <c r="B493" s="59"/>
      <c r="C493" s="60">
        <v>17</v>
      </c>
      <c r="D493" s="206" t="s">
        <v>458</v>
      </c>
      <c r="E493" s="201"/>
      <c r="F493" s="61">
        <v>43.75</v>
      </c>
      <c r="G493" s="60" t="s">
        <v>24</v>
      </c>
      <c r="H493" s="60"/>
      <c r="I493" s="62"/>
      <c r="J493" s="11"/>
      <c r="K493" s="11"/>
      <c r="L493" s="11"/>
      <c r="M493" s="11"/>
      <c r="N493" s="59"/>
      <c r="O493" s="60">
        <v>17</v>
      </c>
      <c r="P493" s="206" t="s">
        <v>467</v>
      </c>
      <c r="Q493" s="201"/>
      <c r="R493" s="61">
        <v>37.1</v>
      </c>
      <c r="S493" s="60" t="s">
        <v>37</v>
      </c>
      <c r="T493" s="60"/>
      <c r="U493" s="62"/>
      <c r="V493" s="2"/>
      <c r="W493" s="63">
        <v>17</v>
      </c>
      <c r="X493" s="64" t="s">
        <v>458</v>
      </c>
      <c r="Y493" s="20" t="s">
        <v>24</v>
      </c>
      <c r="Z493" s="20">
        <v>43.75</v>
      </c>
      <c r="AA493" s="20"/>
      <c r="AB493" s="10"/>
      <c r="AC493" s="10"/>
      <c r="AD493" s="20"/>
      <c r="AE493" s="20"/>
      <c r="AF493" s="20"/>
      <c r="AG493" s="65"/>
      <c r="AH493" s="66"/>
      <c r="AI493" s="40"/>
      <c r="AJ493" s="10" t="s">
        <v>467</v>
      </c>
      <c r="AK493" s="20" t="s">
        <v>37</v>
      </c>
      <c r="AL493" s="20">
        <v>37.1</v>
      </c>
    </row>
    <row r="494" spans="1:38" ht="13.2">
      <c r="A494" s="1"/>
      <c r="B494" s="59"/>
      <c r="C494" s="60">
        <v>18</v>
      </c>
      <c r="D494" s="206" t="s">
        <v>472</v>
      </c>
      <c r="E494" s="201"/>
      <c r="F494" s="61">
        <v>38.549999999999997</v>
      </c>
      <c r="G494" s="60" t="s">
        <v>37</v>
      </c>
      <c r="H494" s="60"/>
      <c r="I494" s="62"/>
      <c r="J494" s="11"/>
      <c r="K494" s="11"/>
      <c r="L494" s="11"/>
      <c r="M494" s="11"/>
      <c r="N494" s="59"/>
      <c r="O494" s="60">
        <v>18</v>
      </c>
      <c r="P494" s="206" t="s">
        <v>489</v>
      </c>
      <c r="Q494" s="201"/>
      <c r="R494" s="61">
        <v>33.950000000000003</v>
      </c>
      <c r="S494" s="60" t="s">
        <v>22</v>
      </c>
      <c r="T494" s="60"/>
      <c r="U494" s="62"/>
      <c r="V494" s="2"/>
      <c r="W494" s="63">
        <v>18</v>
      </c>
      <c r="X494" s="64" t="s">
        <v>472</v>
      </c>
      <c r="Y494" s="20" t="s">
        <v>37</v>
      </c>
      <c r="Z494" s="20">
        <v>38.549999999999997</v>
      </c>
      <c r="AA494" s="20"/>
      <c r="AB494" s="10"/>
      <c r="AC494" s="10"/>
      <c r="AD494" s="20"/>
      <c r="AE494" s="20"/>
      <c r="AF494" s="20"/>
      <c r="AG494" s="65"/>
      <c r="AH494" s="66"/>
      <c r="AI494" s="40"/>
      <c r="AJ494" s="10" t="s">
        <v>489</v>
      </c>
      <c r="AK494" s="20" t="s">
        <v>22</v>
      </c>
      <c r="AL494" s="20">
        <v>33.950000000000003</v>
      </c>
    </row>
    <row r="495" spans="1:38" ht="13.2">
      <c r="A495" s="1"/>
      <c r="B495" s="59"/>
      <c r="C495" s="60">
        <v>19</v>
      </c>
      <c r="D495" s="206" t="s">
        <v>483</v>
      </c>
      <c r="E495" s="201"/>
      <c r="F495" s="61">
        <v>37.25</v>
      </c>
      <c r="G495" s="60" t="s">
        <v>40</v>
      </c>
      <c r="H495" s="60"/>
      <c r="I495" s="62"/>
      <c r="J495" s="11"/>
      <c r="K495" s="11"/>
      <c r="L495" s="11"/>
      <c r="M495" s="11"/>
      <c r="N495" s="59"/>
      <c r="O495" s="60">
        <v>19</v>
      </c>
      <c r="P495" s="206" t="s">
        <v>471</v>
      </c>
      <c r="Q495" s="201"/>
      <c r="R495" s="61">
        <v>29.7</v>
      </c>
      <c r="S495" s="60" t="s">
        <v>55</v>
      </c>
      <c r="T495" s="60"/>
      <c r="U495" s="62"/>
      <c r="V495" s="2"/>
      <c r="W495" s="63">
        <v>19</v>
      </c>
      <c r="X495" s="64" t="s">
        <v>483</v>
      </c>
      <c r="Y495" s="20" t="s">
        <v>40</v>
      </c>
      <c r="Z495" s="20">
        <v>37.25</v>
      </c>
      <c r="AA495" s="20"/>
      <c r="AB495" s="10"/>
      <c r="AC495" s="10"/>
      <c r="AD495" s="20"/>
      <c r="AE495" s="20"/>
      <c r="AF495" s="20"/>
      <c r="AG495" s="65"/>
      <c r="AH495" s="66"/>
      <c r="AI495" s="40"/>
      <c r="AJ495" s="10" t="s">
        <v>471</v>
      </c>
      <c r="AK495" s="20" t="s">
        <v>55</v>
      </c>
      <c r="AL495" s="20">
        <v>29.7</v>
      </c>
    </row>
    <row r="496" spans="1:38" ht="13.2">
      <c r="A496" s="1"/>
      <c r="B496" s="59"/>
      <c r="C496" s="60">
        <v>20</v>
      </c>
      <c r="D496" s="206" t="s">
        <v>454</v>
      </c>
      <c r="E496" s="201"/>
      <c r="F496" s="61">
        <v>31.85</v>
      </c>
      <c r="G496" s="60" t="s">
        <v>55</v>
      </c>
      <c r="H496" s="60"/>
      <c r="I496" s="62"/>
      <c r="J496" s="11"/>
      <c r="K496" s="11"/>
      <c r="L496" s="11"/>
      <c r="M496" s="11"/>
      <c r="N496" s="59"/>
      <c r="O496" s="60">
        <v>20</v>
      </c>
      <c r="P496" s="206" t="s">
        <v>463</v>
      </c>
      <c r="Q496" s="201"/>
      <c r="R496" s="61">
        <v>25.3</v>
      </c>
      <c r="S496" s="60" t="s">
        <v>22</v>
      </c>
      <c r="T496" s="60"/>
      <c r="U496" s="62"/>
      <c r="V496" s="2"/>
      <c r="W496" s="63">
        <v>20</v>
      </c>
      <c r="X496" s="64" t="s">
        <v>454</v>
      </c>
      <c r="Y496" s="20" t="s">
        <v>55</v>
      </c>
      <c r="Z496" s="20">
        <v>31.85</v>
      </c>
      <c r="AA496" s="20"/>
      <c r="AB496" s="10"/>
      <c r="AC496" s="10"/>
      <c r="AD496" s="20"/>
      <c r="AE496" s="20"/>
      <c r="AF496" s="20"/>
      <c r="AG496" s="65"/>
      <c r="AH496" s="66"/>
      <c r="AI496" s="40"/>
      <c r="AJ496" s="10" t="s">
        <v>463</v>
      </c>
      <c r="AK496" s="20" t="s">
        <v>22</v>
      </c>
      <c r="AL496" s="20">
        <v>25.3</v>
      </c>
    </row>
    <row r="497" spans="1:38" ht="13.2">
      <c r="A497" s="1"/>
      <c r="B497" s="59"/>
      <c r="C497" s="60">
        <v>21</v>
      </c>
      <c r="D497" s="206" t="s">
        <v>452</v>
      </c>
      <c r="E497" s="201"/>
      <c r="F497" s="61">
        <v>29.55</v>
      </c>
      <c r="G497" s="60" t="s">
        <v>134</v>
      </c>
      <c r="H497" s="60"/>
      <c r="I497" s="62"/>
      <c r="J497" s="11"/>
      <c r="K497" s="11"/>
      <c r="L497" s="11"/>
      <c r="M497" s="11"/>
      <c r="N497" s="59"/>
      <c r="O497" s="60">
        <v>21</v>
      </c>
      <c r="P497" s="206" t="s">
        <v>451</v>
      </c>
      <c r="Q497" s="201"/>
      <c r="R497" s="61">
        <v>24.2</v>
      </c>
      <c r="S497" s="60" t="s">
        <v>129</v>
      </c>
      <c r="T497" s="60"/>
      <c r="U497" s="62"/>
      <c r="V497" s="2"/>
      <c r="W497" s="63">
        <v>21</v>
      </c>
      <c r="X497" s="64" t="s">
        <v>452</v>
      </c>
      <c r="Y497" s="20" t="s">
        <v>134</v>
      </c>
      <c r="Z497" s="20">
        <v>29.55</v>
      </c>
      <c r="AA497" s="20"/>
      <c r="AB497" s="10"/>
      <c r="AC497" s="10"/>
      <c r="AD497" s="20"/>
      <c r="AE497" s="20"/>
      <c r="AF497" s="20"/>
      <c r="AG497" s="65"/>
      <c r="AH497" s="66"/>
      <c r="AI497" s="40"/>
      <c r="AJ497" s="10" t="s">
        <v>451</v>
      </c>
      <c r="AK497" s="20" t="s">
        <v>129</v>
      </c>
      <c r="AL497" s="20">
        <v>24.2</v>
      </c>
    </row>
    <row r="498" spans="1:38" ht="13.2">
      <c r="A498" s="1"/>
      <c r="B498" s="59"/>
      <c r="C498" s="60">
        <v>22</v>
      </c>
      <c r="D498" s="206" t="s">
        <v>450</v>
      </c>
      <c r="E498" s="201"/>
      <c r="F498" s="61">
        <v>25.35</v>
      </c>
      <c r="G498" s="60" t="s">
        <v>28</v>
      </c>
      <c r="H498" s="60"/>
      <c r="I498" s="62"/>
      <c r="J498" s="11"/>
      <c r="K498" s="11"/>
      <c r="L498" s="11"/>
      <c r="M498" s="11"/>
      <c r="N498" s="59"/>
      <c r="O498" s="60">
        <v>22</v>
      </c>
      <c r="P498" s="206" t="s">
        <v>459</v>
      </c>
      <c r="Q498" s="201"/>
      <c r="R498" s="61">
        <v>20.05</v>
      </c>
      <c r="S498" s="60" t="s">
        <v>24</v>
      </c>
      <c r="T498" s="60"/>
      <c r="U498" s="62"/>
      <c r="V498" s="2"/>
      <c r="W498" s="63">
        <v>22</v>
      </c>
      <c r="X498" s="64" t="s">
        <v>450</v>
      </c>
      <c r="Y498" s="20" t="s">
        <v>28</v>
      </c>
      <c r="Z498" s="20">
        <v>25.35</v>
      </c>
      <c r="AA498" s="20"/>
      <c r="AB498" s="10"/>
      <c r="AC498" s="10"/>
      <c r="AD498" s="20"/>
      <c r="AE498" s="20"/>
      <c r="AF498" s="20"/>
      <c r="AG498" s="65"/>
      <c r="AH498" s="66"/>
      <c r="AI498" s="40"/>
      <c r="AJ498" s="10" t="s">
        <v>459</v>
      </c>
      <c r="AK498" s="20" t="s">
        <v>24</v>
      </c>
      <c r="AL498" s="20">
        <v>20.05</v>
      </c>
    </row>
    <row r="499" spans="1:38" ht="13.2">
      <c r="A499" s="1"/>
      <c r="B499" s="59"/>
      <c r="C499" s="60"/>
      <c r="D499" s="206"/>
      <c r="E499" s="201"/>
      <c r="F499" s="61"/>
      <c r="G499" s="60"/>
      <c r="H499" s="60"/>
      <c r="I499" s="62"/>
      <c r="J499" s="11"/>
      <c r="K499" s="11"/>
      <c r="L499" s="11"/>
      <c r="M499" s="11"/>
      <c r="N499" s="59"/>
      <c r="O499" s="60"/>
      <c r="P499" s="206"/>
      <c r="Q499" s="201"/>
      <c r="R499" s="61"/>
      <c r="S499" s="60"/>
      <c r="T499" s="60"/>
      <c r="U499" s="62"/>
      <c r="V499" s="2"/>
      <c r="W499" s="63">
        <v>23</v>
      </c>
      <c r="X499" s="64"/>
      <c r="Y499" s="20"/>
      <c r="Z499" s="20"/>
      <c r="AA499" s="20"/>
      <c r="AB499" s="10"/>
      <c r="AC499" s="10"/>
      <c r="AD499" s="20"/>
      <c r="AE499" s="20"/>
      <c r="AF499" s="20"/>
      <c r="AG499" s="65"/>
      <c r="AH499" s="66"/>
      <c r="AI499" s="40"/>
      <c r="AJ499" s="10"/>
      <c r="AK499" s="20"/>
      <c r="AL499" s="20"/>
    </row>
    <row r="500" spans="1:38" ht="13.2">
      <c r="A500" s="1"/>
      <c r="B500" s="59"/>
      <c r="C500" s="60"/>
      <c r="D500" s="206"/>
      <c r="E500" s="201"/>
      <c r="F500" s="61"/>
      <c r="G500" s="60"/>
      <c r="H500" s="60"/>
      <c r="I500" s="62"/>
      <c r="J500" s="11"/>
      <c r="K500" s="11"/>
      <c r="L500" s="11"/>
      <c r="M500" s="11"/>
      <c r="N500" s="59"/>
      <c r="O500" s="60"/>
      <c r="P500" s="206"/>
      <c r="Q500" s="201"/>
      <c r="R500" s="61"/>
      <c r="S500" s="60"/>
      <c r="T500" s="60"/>
      <c r="U500" s="62"/>
      <c r="V500" s="2"/>
      <c r="W500" s="63">
        <v>50</v>
      </c>
      <c r="X500" s="64"/>
      <c r="Y500" s="20"/>
      <c r="Z500" s="20"/>
      <c r="AA500" s="20"/>
      <c r="AB500" s="10"/>
      <c r="AC500" s="10"/>
      <c r="AD500" s="20"/>
      <c r="AE500" s="20"/>
      <c r="AF500" s="20"/>
      <c r="AG500" s="65"/>
      <c r="AH500" s="66"/>
      <c r="AI500" s="40"/>
      <c r="AJ500" s="10"/>
      <c r="AK500" s="20"/>
      <c r="AL500" s="20"/>
    </row>
    <row r="501" spans="1:38" ht="13.2">
      <c r="A501" s="1"/>
      <c r="B501" s="1"/>
      <c r="C501" s="67"/>
      <c r="D501" s="1"/>
      <c r="E501" s="1"/>
      <c r="F501" s="10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68"/>
      <c r="R501" s="10"/>
      <c r="S501" s="1"/>
      <c r="T501" s="1"/>
      <c r="U501" s="1"/>
      <c r="V501" s="2"/>
      <c r="W501" s="63">
        <v>51</v>
      </c>
      <c r="X501" s="10"/>
      <c r="Y501" s="10"/>
      <c r="Z501" s="10"/>
      <c r="AA501" s="10"/>
      <c r="AB501" s="10"/>
      <c r="AC501" s="20"/>
      <c r="AD501" s="20"/>
      <c r="AE501" s="10"/>
      <c r="AF501" s="10"/>
      <c r="AG501" s="10"/>
      <c r="AH501" s="10"/>
      <c r="AI501" s="40"/>
      <c r="AJ501" s="20"/>
      <c r="AK501" s="20"/>
      <c r="AL501" s="10"/>
    </row>
    <row r="502" spans="1:38" ht="13.2">
      <c r="A502" s="1"/>
      <c r="B502" s="1"/>
      <c r="C502" s="69" t="s">
        <v>100</v>
      </c>
      <c r="D502" s="12"/>
      <c r="E502" s="12"/>
      <c r="F502" s="13"/>
      <c r="G502" s="12"/>
      <c r="H502" s="12"/>
      <c r="I502" s="11"/>
      <c r="J502" s="11"/>
      <c r="K502" s="11"/>
      <c r="L502" s="11"/>
      <c r="M502" s="11"/>
      <c r="N502" s="11"/>
      <c r="O502" s="69"/>
      <c r="P502" s="12"/>
      <c r="Q502" s="70"/>
      <c r="R502" s="13"/>
      <c r="S502" s="12"/>
      <c r="T502" s="12"/>
      <c r="U502" s="1"/>
      <c r="V502" s="2"/>
      <c r="W502" s="10"/>
      <c r="X502" s="10"/>
      <c r="Y502" s="10"/>
      <c r="Z502" s="10"/>
      <c r="AA502" s="10"/>
      <c r="AB502" s="10"/>
      <c r="AC502" s="20"/>
      <c r="AD502" s="20"/>
      <c r="AE502" s="10"/>
      <c r="AF502" s="10"/>
      <c r="AG502" s="10"/>
      <c r="AH502" s="10"/>
      <c r="AI502" s="10"/>
      <c r="AJ502" s="20"/>
      <c r="AK502" s="20"/>
      <c r="AL502" s="10"/>
    </row>
    <row r="503" spans="1:38" ht="13.2">
      <c r="A503" s="1"/>
      <c r="B503" s="1"/>
      <c r="C503" s="195">
        <v>0</v>
      </c>
      <c r="D503" s="196"/>
      <c r="E503" s="196"/>
      <c r="F503" s="196"/>
      <c r="G503" s="196"/>
      <c r="H503" s="196"/>
      <c r="I503" s="196"/>
      <c r="J503" s="196"/>
      <c r="K503" s="196"/>
      <c r="L503" s="196"/>
      <c r="M503" s="196"/>
      <c r="N503" s="196"/>
      <c r="O503" s="196"/>
      <c r="P503" s="196"/>
      <c r="Q503" s="196"/>
      <c r="R503" s="196"/>
      <c r="S503" s="196"/>
      <c r="T503" s="197"/>
      <c r="U503" s="1"/>
      <c r="V503" s="2"/>
      <c r="W503" s="10"/>
      <c r="X503" s="10"/>
      <c r="Y503" s="10"/>
      <c r="Z503" s="10"/>
      <c r="AA503" s="10"/>
      <c r="AB503" s="10"/>
      <c r="AC503" s="20"/>
      <c r="AD503" s="20"/>
      <c r="AE503" s="10"/>
      <c r="AF503" s="10"/>
      <c r="AG503" s="10"/>
      <c r="AH503" s="10"/>
      <c r="AI503" s="10"/>
      <c r="AJ503" s="20"/>
      <c r="AK503" s="20"/>
      <c r="AL503" s="10"/>
    </row>
    <row r="504" spans="1:38" ht="13.2">
      <c r="A504" s="1"/>
      <c r="B504" s="1"/>
      <c r="C504" s="198"/>
      <c r="D504" s="194"/>
      <c r="E504" s="194"/>
      <c r="F504" s="194"/>
      <c r="G504" s="194"/>
      <c r="H504" s="194"/>
      <c r="I504" s="194"/>
      <c r="J504" s="194"/>
      <c r="K504" s="194"/>
      <c r="L504" s="194"/>
      <c r="M504" s="194"/>
      <c r="N504" s="194"/>
      <c r="O504" s="194"/>
      <c r="P504" s="194"/>
      <c r="Q504" s="194"/>
      <c r="R504" s="194"/>
      <c r="S504" s="194"/>
      <c r="T504" s="199"/>
      <c r="U504" s="1"/>
      <c r="V504" s="2"/>
      <c r="W504" s="10"/>
      <c r="X504" s="10"/>
      <c r="Y504" s="10"/>
      <c r="Z504" s="10"/>
      <c r="AA504" s="10"/>
      <c r="AB504" s="10"/>
      <c r="AC504" s="20"/>
      <c r="AD504" s="20"/>
      <c r="AE504" s="10"/>
      <c r="AF504" s="10"/>
      <c r="AG504" s="10"/>
      <c r="AH504" s="10"/>
      <c r="AI504" s="10"/>
      <c r="AJ504" s="20"/>
      <c r="AK504" s="20"/>
      <c r="AL504" s="10"/>
    </row>
    <row r="505" spans="1:38" ht="13.2">
      <c r="A505" s="1"/>
      <c r="B505" s="1"/>
      <c r="C505" s="198"/>
      <c r="D505" s="194"/>
      <c r="E505" s="194"/>
      <c r="F505" s="194"/>
      <c r="G505" s="194"/>
      <c r="H505" s="194"/>
      <c r="I505" s="194"/>
      <c r="J505" s="194"/>
      <c r="K505" s="194"/>
      <c r="L505" s="194"/>
      <c r="M505" s="194"/>
      <c r="N505" s="194"/>
      <c r="O505" s="194"/>
      <c r="P505" s="194"/>
      <c r="Q505" s="194"/>
      <c r="R505" s="194"/>
      <c r="S505" s="194"/>
      <c r="T505" s="199"/>
      <c r="U505" s="1"/>
      <c r="V505" s="2"/>
      <c r="W505" s="10"/>
      <c r="X505" s="10"/>
      <c r="Y505" s="10"/>
      <c r="Z505" s="10"/>
      <c r="AA505" s="10"/>
      <c r="AB505" s="10"/>
      <c r="AC505" s="20"/>
      <c r="AD505" s="20"/>
      <c r="AE505" s="10"/>
      <c r="AF505" s="10"/>
      <c r="AG505" s="10"/>
      <c r="AH505" s="10"/>
      <c r="AI505" s="10"/>
      <c r="AJ505" s="20"/>
      <c r="AK505" s="20"/>
      <c r="AL505" s="10"/>
    </row>
    <row r="506" spans="1:38" ht="13.2">
      <c r="A506" s="1"/>
      <c r="B506" s="1"/>
      <c r="C506" s="200"/>
      <c r="D506" s="201"/>
      <c r="E506" s="201"/>
      <c r="F506" s="201"/>
      <c r="G506" s="201"/>
      <c r="H506" s="201"/>
      <c r="I506" s="201"/>
      <c r="J506" s="201"/>
      <c r="K506" s="201"/>
      <c r="L506" s="201"/>
      <c r="M506" s="201"/>
      <c r="N506" s="201"/>
      <c r="O506" s="201"/>
      <c r="P506" s="201"/>
      <c r="Q506" s="201"/>
      <c r="R506" s="201"/>
      <c r="S506" s="201"/>
      <c r="T506" s="202"/>
      <c r="U506" s="1"/>
      <c r="V506" s="2"/>
      <c r="W506" s="10"/>
      <c r="X506" s="10"/>
      <c r="Y506" s="10"/>
      <c r="Z506" s="10"/>
      <c r="AA506" s="10"/>
      <c r="AB506" s="10"/>
      <c r="AC506" s="20"/>
      <c r="AD506" s="20"/>
      <c r="AE506" s="10"/>
      <c r="AF506" s="10"/>
      <c r="AG506" s="10"/>
      <c r="AH506" s="10"/>
      <c r="AI506" s="10"/>
      <c r="AJ506" s="20"/>
      <c r="AK506" s="20"/>
      <c r="AL506" s="10"/>
    </row>
    <row r="507" spans="1:38" ht="13.2">
      <c r="A507" s="1"/>
      <c r="B507" s="1"/>
      <c r="C507" s="67"/>
      <c r="D507" s="1"/>
      <c r="E507" s="1"/>
      <c r="F507" s="10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68"/>
      <c r="R507" s="10"/>
      <c r="S507" s="1"/>
      <c r="T507" s="1"/>
      <c r="U507" s="1"/>
      <c r="V507" s="2"/>
      <c r="W507" s="10"/>
      <c r="X507" s="10"/>
      <c r="Y507" s="10"/>
      <c r="Z507" s="10"/>
      <c r="AA507" s="10"/>
      <c r="AB507" s="10"/>
      <c r="AC507" s="20"/>
      <c r="AD507" s="20"/>
      <c r="AE507" s="10"/>
      <c r="AF507" s="10"/>
      <c r="AG507" s="10"/>
      <c r="AH507" s="10"/>
      <c r="AI507" s="10"/>
      <c r="AJ507" s="20"/>
      <c r="AK507" s="20"/>
      <c r="AL507" s="10"/>
    </row>
    <row r="508" spans="1:38" ht="13.2">
      <c r="A508" s="1"/>
      <c r="B508" s="1"/>
      <c r="C508" s="67"/>
      <c r="D508" s="1"/>
      <c r="E508" s="1"/>
      <c r="F508" s="10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68"/>
      <c r="R508" s="10"/>
      <c r="S508" s="1"/>
      <c r="T508" s="1"/>
      <c r="U508" s="1"/>
      <c r="V508" s="2"/>
      <c r="W508" s="10"/>
      <c r="X508" s="10"/>
      <c r="Y508" s="10"/>
      <c r="Z508" s="10"/>
      <c r="AA508" s="10"/>
      <c r="AB508" s="10"/>
      <c r="AC508" s="20"/>
      <c r="AD508" s="20"/>
      <c r="AE508" s="10"/>
      <c r="AF508" s="10"/>
      <c r="AG508" s="10"/>
      <c r="AH508" s="10"/>
      <c r="AI508" s="10"/>
      <c r="AJ508" s="20"/>
      <c r="AK508" s="20"/>
      <c r="AL508" s="10"/>
    </row>
    <row r="509" spans="1:38" ht="13.2">
      <c r="A509" s="1"/>
      <c r="B509" s="1"/>
      <c r="C509" s="67"/>
      <c r="D509" s="1"/>
      <c r="E509" s="1"/>
      <c r="F509" s="10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68"/>
      <c r="R509" s="10"/>
      <c r="S509" s="1"/>
      <c r="T509" s="1"/>
      <c r="U509" s="1"/>
      <c r="V509" s="2"/>
      <c r="W509" s="10"/>
      <c r="X509" s="10"/>
      <c r="Y509" s="10"/>
      <c r="Z509" s="10"/>
      <c r="AA509" s="10"/>
      <c r="AB509" s="10"/>
      <c r="AC509" s="20"/>
      <c r="AD509" s="20"/>
      <c r="AE509" s="10"/>
      <c r="AF509" s="10"/>
      <c r="AG509" s="10"/>
      <c r="AH509" s="10"/>
      <c r="AI509" s="10"/>
      <c r="AJ509" s="20"/>
      <c r="AK509" s="20"/>
      <c r="AL509" s="10"/>
    </row>
    <row r="510" spans="1:38" ht="13.2">
      <c r="A510" s="1"/>
      <c r="B510" s="1"/>
      <c r="C510" s="67"/>
      <c r="D510" s="1"/>
      <c r="E510" s="1"/>
      <c r="F510" s="10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68"/>
      <c r="R510" s="10"/>
      <c r="S510" s="1"/>
      <c r="T510" s="1"/>
      <c r="U510" s="1"/>
      <c r="V510" s="2"/>
      <c r="W510" s="10"/>
      <c r="X510" s="10"/>
      <c r="Y510" s="10"/>
      <c r="Z510" s="10"/>
      <c r="AA510" s="10"/>
      <c r="AB510" s="10"/>
      <c r="AC510" s="20"/>
      <c r="AD510" s="20"/>
      <c r="AE510" s="10"/>
      <c r="AF510" s="10"/>
      <c r="AG510" s="10"/>
      <c r="AH510" s="10"/>
      <c r="AI510" s="10"/>
      <c r="AJ510" s="20"/>
      <c r="AK510" s="20"/>
      <c r="AL510" s="10"/>
    </row>
    <row r="511" spans="1:38" ht="13.2">
      <c r="A511" s="1"/>
      <c r="B511" s="1"/>
      <c r="C511" s="67"/>
      <c r="D511" s="1"/>
      <c r="E511" s="1"/>
      <c r="F511" s="10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68"/>
      <c r="R511" s="10"/>
      <c r="S511" s="1"/>
      <c r="T511" s="1"/>
      <c r="U511" s="1"/>
      <c r="V511" s="2"/>
      <c r="W511" s="10"/>
      <c r="X511" s="10"/>
      <c r="Y511" s="10"/>
      <c r="Z511" s="10"/>
      <c r="AA511" s="10"/>
      <c r="AB511" s="10"/>
      <c r="AC511" s="20"/>
      <c r="AD511" s="20"/>
      <c r="AE511" s="10"/>
      <c r="AF511" s="10"/>
      <c r="AG511" s="10"/>
      <c r="AH511" s="10"/>
      <c r="AI511" s="10"/>
      <c r="AJ511" s="20"/>
      <c r="AK511" s="20"/>
      <c r="AL511" s="10"/>
    </row>
    <row r="512" spans="1:38" ht="13.2">
      <c r="A512" s="1"/>
      <c r="B512" s="1"/>
      <c r="C512" s="67"/>
      <c r="D512" s="1"/>
      <c r="E512" s="1"/>
      <c r="F512" s="10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68"/>
      <c r="R512" s="10"/>
      <c r="S512" s="1"/>
      <c r="T512" s="1"/>
      <c r="U512" s="1"/>
      <c r="V512" s="2"/>
      <c r="W512" s="10"/>
      <c r="X512" s="10"/>
      <c r="Y512" s="10"/>
      <c r="Z512" s="10"/>
      <c r="AA512" s="10"/>
      <c r="AB512" s="10"/>
      <c r="AC512" s="20"/>
      <c r="AD512" s="20"/>
      <c r="AE512" s="10"/>
      <c r="AF512" s="10"/>
      <c r="AG512" s="10"/>
      <c r="AH512" s="10"/>
      <c r="AI512" s="10"/>
      <c r="AJ512" s="20"/>
      <c r="AK512" s="20"/>
      <c r="AL512" s="10"/>
    </row>
    <row r="513" spans="1:38" ht="13.2">
      <c r="A513" s="1"/>
      <c r="B513" s="1"/>
      <c r="C513" s="67"/>
      <c r="D513" s="1"/>
      <c r="E513" s="1"/>
      <c r="F513" s="10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68"/>
      <c r="R513" s="10"/>
      <c r="S513" s="1"/>
      <c r="T513" s="1"/>
      <c r="U513" s="1"/>
      <c r="V513" s="2"/>
      <c r="W513" s="10"/>
      <c r="X513" s="10"/>
      <c r="Y513" s="10"/>
      <c r="Z513" s="10"/>
      <c r="AA513" s="10"/>
      <c r="AB513" s="10"/>
      <c r="AC513" s="20"/>
      <c r="AD513" s="20"/>
      <c r="AE513" s="10"/>
      <c r="AF513" s="10"/>
      <c r="AG513" s="10"/>
      <c r="AH513" s="10"/>
      <c r="AI513" s="10"/>
      <c r="AJ513" s="20"/>
      <c r="AK513" s="20"/>
      <c r="AL513" s="10"/>
    </row>
    <row r="514" spans="1:38" ht="13.2">
      <c r="A514" s="1"/>
      <c r="B514" s="1"/>
      <c r="C514" s="67"/>
      <c r="D514" s="1"/>
      <c r="E514" s="1"/>
      <c r="F514" s="10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68"/>
      <c r="R514" s="10"/>
      <c r="S514" s="1"/>
      <c r="T514" s="1"/>
      <c r="U514" s="1"/>
      <c r="V514" s="2"/>
      <c r="W514" s="10"/>
      <c r="X514" s="10"/>
      <c r="Y514" s="10"/>
      <c r="Z514" s="10"/>
      <c r="AA514" s="10"/>
      <c r="AB514" s="10"/>
      <c r="AC514" s="20"/>
      <c r="AD514" s="20"/>
      <c r="AE514" s="10"/>
      <c r="AF514" s="10"/>
      <c r="AG514" s="10"/>
      <c r="AH514" s="10"/>
      <c r="AI514" s="10"/>
      <c r="AJ514" s="20"/>
      <c r="AK514" s="20"/>
      <c r="AL514" s="10"/>
    </row>
    <row r="515" spans="1:38" ht="13.2">
      <c r="A515" s="1"/>
      <c r="B515" s="1"/>
      <c r="C515" s="67"/>
      <c r="D515" s="1"/>
      <c r="E515" s="1"/>
      <c r="F515" s="10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68"/>
      <c r="R515" s="10"/>
      <c r="S515" s="1"/>
      <c r="T515" s="1"/>
      <c r="U515" s="1"/>
      <c r="V515" s="2"/>
      <c r="W515" s="10"/>
      <c r="X515" s="10"/>
      <c r="Y515" s="10"/>
      <c r="Z515" s="10"/>
      <c r="AA515" s="10"/>
      <c r="AB515" s="10"/>
      <c r="AC515" s="20"/>
      <c r="AD515" s="20"/>
      <c r="AE515" s="10"/>
      <c r="AF515" s="10"/>
      <c r="AG515" s="10"/>
      <c r="AH515" s="10"/>
      <c r="AI515" s="10"/>
      <c r="AJ515" s="20"/>
      <c r="AK515" s="20"/>
      <c r="AL515" s="10"/>
    </row>
    <row r="516" spans="1:38" ht="13.2">
      <c r="A516" s="1"/>
      <c r="B516" s="1"/>
      <c r="C516" s="67"/>
      <c r="D516" s="1"/>
      <c r="E516" s="1"/>
      <c r="F516" s="10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68"/>
      <c r="R516" s="10"/>
      <c r="S516" s="1"/>
      <c r="T516" s="1"/>
      <c r="U516" s="1"/>
      <c r="V516" s="2"/>
      <c r="W516" s="10"/>
      <c r="X516" s="10"/>
      <c r="Y516" s="10"/>
      <c r="Z516" s="10"/>
      <c r="AA516" s="10"/>
      <c r="AB516" s="10"/>
      <c r="AC516" s="20"/>
      <c r="AD516" s="20"/>
      <c r="AE516" s="10"/>
      <c r="AF516" s="10"/>
      <c r="AG516" s="10"/>
      <c r="AH516" s="10"/>
      <c r="AI516" s="10"/>
      <c r="AJ516" s="20"/>
      <c r="AK516" s="20"/>
      <c r="AL516" s="10"/>
    </row>
    <row r="517" spans="1:38" ht="13.2">
      <c r="A517" s="1"/>
      <c r="B517" s="1"/>
      <c r="C517" s="67"/>
      <c r="D517" s="1"/>
      <c r="E517" s="1"/>
      <c r="F517" s="10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68"/>
      <c r="R517" s="10"/>
      <c r="S517" s="1"/>
      <c r="T517" s="1"/>
      <c r="U517" s="1"/>
      <c r="V517" s="2"/>
      <c r="W517" s="10"/>
      <c r="X517" s="10"/>
      <c r="Y517" s="10"/>
      <c r="Z517" s="10"/>
      <c r="AA517" s="10"/>
      <c r="AB517" s="10"/>
      <c r="AC517" s="20"/>
      <c r="AD517" s="20"/>
      <c r="AE517" s="10"/>
      <c r="AF517" s="10"/>
      <c r="AG517" s="10"/>
      <c r="AH517" s="10"/>
      <c r="AI517" s="10"/>
      <c r="AJ517" s="20"/>
      <c r="AK517" s="20"/>
      <c r="AL517" s="10"/>
    </row>
    <row r="518" spans="1:38" ht="13.2">
      <c r="A518" s="1"/>
      <c r="B518" s="1"/>
      <c r="C518" s="67"/>
      <c r="D518" s="1"/>
      <c r="E518" s="1"/>
      <c r="F518" s="10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68"/>
      <c r="R518" s="10"/>
      <c r="S518" s="1"/>
      <c r="T518" s="1"/>
      <c r="U518" s="1"/>
      <c r="V518" s="2"/>
      <c r="W518" s="10"/>
      <c r="X518" s="10"/>
      <c r="Y518" s="10"/>
      <c r="Z518" s="10"/>
      <c r="AA518" s="10"/>
      <c r="AB518" s="10"/>
      <c r="AC518" s="20"/>
      <c r="AD518" s="20"/>
      <c r="AE518" s="10"/>
      <c r="AF518" s="10"/>
      <c r="AG518" s="10"/>
      <c r="AH518" s="10"/>
      <c r="AI518" s="10"/>
      <c r="AJ518" s="20"/>
      <c r="AK518" s="20"/>
      <c r="AL518" s="10"/>
    </row>
    <row r="519" spans="1:38" ht="13.2">
      <c r="A519" s="1"/>
      <c r="B519" s="1"/>
      <c r="C519" s="67"/>
      <c r="D519" s="1"/>
      <c r="E519" s="1"/>
      <c r="F519" s="10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68"/>
      <c r="R519" s="10"/>
      <c r="S519" s="1"/>
      <c r="T519" s="1"/>
      <c r="U519" s="1"/>
      <c r="V519" s="2"/>
      <c r="W519" s="10"/>
      <c r="X519" s="10"/>
      <c r="Y519" s="10"/>
      <c r="Z519" s="10"/>
      <c r="AA519" s="10"/>
      <c r="AB519" s="10"/>
      <c r="AC519" s="20"/>
      <c r="AD519" s="20"/>
      <c r="AE519" s="10"/>
      <c r="AF519" s="10"/>
      <c r="AG519" s="10"/>
      <c r="AH519" s="10"/>
      <c r="AI519" s="10"/>
      <c r="AJ519" s="20"/>
      <c r="AK519" s="20"/>
      <c r="AL519" s="10"/>
    </row>
    <row r="520" spans="1:38" ht="13.2">
      <c r="A520" s="1"/>
      <c r="B520" s="1"/>
      <c r="C520" s="67"/>
      <c r="D520" s="1"/>
      <c r="E520" s="1"/>
      <c r="F520" s="10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68"/>
      <c r="R520" s="10"/>
      <c r="S520" s="1"/>
      <c r="T520" s="1"/>
      <c r="U520" s="1"/>
      <c r="V520" s="2"/>
      <c r="W520" s="10"/>
      <c r="X520" s="10"/>
      <c r="Y520" s="10"/>
      <c r="Z520" s="10"/>
      <c r="AA520" s="10"/>
      <c r="AB520" s="10"/>
      <c r="AC520" s="20"/>
      <c r="AD520" s="20"/>
      <c r="AE520" s="10"/>
      <c r="AF520" s="10"/>
      <c r="AG520" s="10"/>
      <c r="AH520" s="10"/>
      <c r="AI520" s="10"/>
      <c r="AJ520" s="20"/>
      <c r="AK520" s="20"/>
      <c r="AL520" s="10"/>
    </row>
    <row r="521" spans="1:38" ht="13.2">
      <c r="A521" s="1"/>
      <c r="B521" s="1"/>
      <c r="C521" s="67"/>
      <c r="D521" s="1"/>
      <c r="E521" s="1"/>
      <c r="F521" s="10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68"/>
      <c r="R521" s="10"/>
      <c r="S521" s="1"/>
      <c r="T521" s="1"/>
      <c r="U521" s="1"/>
      <c r="V521" s="2"/>
      <c r="W521" s="10"/>
      <c r="X521" s="10"/>
      <c r="Y521" s="10"/>
      <c r="Z521" s="10"/>
      <c r="AA521" s="10"/>
      <c r="AB521" s="10"/>
      <c r="AC521" s="20"/>
      <c r="AD521" s="20"/>
      <c r="AE521" s="10"/>
      <c r="AF521" s="10"/>
      <c r="AG521" s="10"/>
      <c r="AH521" s="10"/>
      <c r="AI521" s="10"/>
      <c r="AJ521" s="20"/>
      <c r="AK521" s="20"/>
      <c r="AL521" s="10"/>
    </row>
    <row r="522" spans="1:38" ht="13.2">
      <c r="A522" s="1"/>
      <c r="B522" s="1"/>
      <c r="C522" s="67"/>
      <c r="D522" s="1"/>
      <c r="E522" s="1"/>
      <c r="F522" s="10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68"/>
      <c r="R522" s="10"/>
      <c r="S522" s="1"/>
      <c r="T522" s="1"/>
      <c r="U522" s="1"/>
      <c r="V522" s="2"/>
      <c r="W522" s="10"/>
      <c r="X522" s="10"/>
      <c r="Y522" s="10"/>
      <c r="Z522" s="10"/>
      <c r="AA522" s="10"/>
      <c r="AB522" s="10"/>
      <c r="AC522" s="20"/>
      <c r="AD522" s="20"/>
      <c r="AE522" s="10"/>
      <c r="AF522" s="10"/>
      <c r="AG522" s="10"/>
      <c r="AH522" s="10"/>
      <c r="AI522" s="10"/>
      <c r="AJ522" s="20"/>
      <c r="AK522" s="20"/>
      <c r="AL522" s="10"/>
    </row>
    <row r="523" spans="1:38" ht="13.2">
      <c r="A523" s="1"/>
      <c r="B523" s="1"/>
      <c r="C523" s="67"/>
      <c r="D523" s="1"/>
      <c r="E523" s="1"/>
      <c r="F523" s="10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68"/>
      <c r="R523" s="10"/>
      <c r="S523" s="1"/>
      <c r="T523" s="1"/>
      <c r="U523" s="1"/>
      <c r="V523" s="2"/>
      <c r="W523" s="10"/>
      <c r="X523" s="10"/>
      <c r="Y523" s="10"/>
      <c r="Z523" s="10"/>
      <c r="AA523" s="10"/>
      <c r="AB523" s="10"/>
      <c r="AC523" s="20"/>
      <c r="AD523" s="20"/>
      <c r="AE523" s="10"/>
      <c r="AF523" s="10"/>
      <c r="AG523" s="10"/>
      <c r="AH523" s="10"/>
      <c r="AI523" s="10"/>
      <c r="AJ523" s="20"/>
      <c r="AK523" s="20"/>
      <c r="AL523" s="10"/>
    </row>
    <row r="524" spans="1:38" ht="13.2">
      <c r="A524" s="1"/>
      <c r="B524" s="1"/>
      <c r="C524" s="67"/>
      <c r="D524" s="1"/>
      <c r="E524" s="1"/>
      <c r="F524" s="10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68"/>
      <c r="R524" s="10"/>
      <c r="S524" s="1"/>
      <c r="T524" s="1"/>
      <c r="U524" s="1"/>
      <c r="V524" s="2"/>
      <c r="W524" s="10"/>
      <c r="X524" s="10"/>
      <c r="Y524" s="10"/>
      <c r="Z524" s="10"/>
      <c r="AA524" s="10"/>
      <c r="AB524" s="10"/>
      <c r="AC524" s="20"/>
      <c r="AD524" s="20"/>
      <c r="AE524" s="10"/>
      <c r="AF524" s="10"/>
      <c r="AG524" s="10"/>
      <c r="AH524" s="10"/>
      <c r="AI524" s="10"/>
      <c r="AJ524" s="20"/>
      <c r="AK524" s="20"/>
      <c r="AL524" s="10"/>
    </row>
    <row r="525" spans="1:38" ht="13.2">
      <c r="A525" s="1"/>
      <c r="B525" s="1"/>
      <c r="C525" s="67"/>
      <c r="D525" s="1"/>
      <c r="E525" s="1"/>
      <c r="F525" s="10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68"/>
      <c r="R525" s="10"/>
      <c r="S525" s="1"/>
      <c r="T525" s="1"/>
      <c r="U525" s="1"/>
      <c r="V525" s="2"/>
      <c r="W525" s="10"/>
      <c r="X525" s="10"/>
      <c r="Y525" s="10"/>
      <c r="Z525" s="10"/>
      <c r="AA525" s="10"/>
      <c r="AB525" s="10"/>
      <c r="AC525" s="20"/>
      <c r="AD525" s="20"/>
      <c r="AE525" s="10"/>
      <c r="AF525" s="10"/>
      <c r="AG525" s="10"/>
      <c r="AH525" s="10"/>
      <c r="AI525" s="10"/>
      <c r="AJ525" s="20"/>
      <c r="AK525" s="20"/>
      <c r="AL525" s="10"/>
    </row>
    <row r="526" spans="1:38" ht="13.2">
      <c r="A526" s="1"/>
      <c r="B526" s="1"/>
      <c r="C526" s="67"/>
      <c r="D526" s="1"/>
      <c r="E526" s="1"/>
      <c r="F526" s="10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68"/>
      <c r="R526" s="10"/>
      <c r="S526" s="1"/>
      <c r="T526" s="1"/>
      <c r="U526" s="1"/>
      <c r="V526" s="2"/>
      <c r="W526" s="10"/>
      <c r="X526" s="10"/>
      <c r="Y526" s="10"/>
      <c r="Z526" s="10"/>
      <c r="AA526" s="10"/>
      <c r="AB526" s="10"/>
      <c r="AC526" s="20"/>
      <c r="AD526" s="20"/>
      <c r="AE526" s="10"/>
      <c r="AF526" s="10"/>
      <c r="AG526" s="10"/>
      <c r="AH526" s="10"/>
      <c r="AI526" s="10"/>
      <c r="AJ526" s="20"/>
      <c r="AK526" s="20"/>
      <c r="AL526" s="10"/>
    </row>
    <row r="527" spans="1:38" ht="13.2">
      <c r="A527" s="1"/>
      <c r="B527" s="1"/>
      <c r="C527" s="67"/>
      <c r="D527" s="1"/>
      <c r="E527" s="1"/>
      <c r="F527" s="10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68"/>
      <c r="R527" s="10"/>
      <c r="S527" s="1"/>
      <c r="T527" s="1"/>
      <c r="U527" s="1"/>
      <c r="V527" s="2"/>
      <c r="W527" s="10"/>
      <c r="X527" s="10"/>
      <c r="Y527" s="10"/>
      <c r="Z527" s="10"/>
      <c r="AA527" s="10"/>
      <c r="AB527" s="10"/>
      <c r="AC527" s="20"/>
      <c r="AD527" s="20"/>
      <c r="AE527" s="10"/>
      <c r="AF527" s="10"/>
      <c r="AG527" s="10"/>
      <c r="AH527" s="10"/>
      <c r="AI527" s="10"/>
      <c r="AJ527" s="20"/>
      <c r="AK527" s="20"/>
      <c r="AL527" s="10"/>
    </row>
    <row r="528" spans="1:38" ht="13.2">
      <c r="A528" s="1"/>
      <c r="B528" s="1"/>
      <c r="C528" s="67"/>
      <c r="D528" s="1"/>
      <c r="E528" s="1"/>
      <c r="F528" s="10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68"/>
      <c r="R528" s="10"/>
      <c r="S528" s="1"/>
      <c r="T528" s="1"/>
      <c r="U528" s="1"/>
      <c r="V528" s="2"/>
      <c r="W528" s="10"/>
      <c r="X528" s="10"/>
      <c r="Y528" s="10"/>
      <c r="Z528" s="10"/>
      <c r="AA528" s="10"/>
      <c r="AB528" s="10"/>
      <c r="AC528" s="20"/>
      <c r="AD528" s="20"/>
      <c r="AE528" s="10"/>
      <c r="AF528" s="10"/>
      <c r="AG528" s="10"/>
      <c r="AH528" s="10"/>
      <c r="AI528" s="10"/>
      <c r="AJ528" s="20"/>
      <c r="AK528" s="20"/>
      <c r="AL528" s="10"/>
    </row>
    <row r="529" spans="1:38" ht="13.2">
      <c r="A529" s="1"/>
      <c r="B529" s="1"/>
      <c r="C529" s="67"/>
      <c r="D529" s="1"/>
      <c r="E529" s="1"/>
      <c r="F529" s="10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68"/>
      <c r="R529" s="10"/>
      <c r="S529" s="1"/>
      <c r="T529" s="1"/>
      <c r="U529" s="1"/>
      <c r="V529" s="2"/>
      <c r="W529" s="10"/>
      <c r="X529" s="10"/>
      <c r="Y529" s="10"/>
      <c r="Z529" s="10"/>
      <c r="AA529" s="10"/>
      <c r="AB529" s="10"/>
      <c r="AC529" s="20"/>
      <c r="AD529" s="20"/>
      <c r="AE529" s="10"/>
      <c r="AF529" s="10"/>
      <c r="AG529" s="10"/>
      <c r="AH529" s="10"/>
      <c r="AI529" s="10"/>
      <c r="AJ529" s="20"/>
      <c r="AK529" s="20"/>
      <c r="AL529" s="10"/>
    </row>
    <row r="530" spans="1:38" ht="13.2">
      <c r="A530" s="1"/>
      <c r="B530" s="1"/>
      <c r="C530" s="67"/>
      <c r="D530" s="1"/>
      <c r="E530" s="1"/>
      <c r="F530" s="10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68"/>
      <c r="R530" s="10"/>
      <c r="S530" s="1"/>
      <c r="T530" s="1"/>
      <c r="U530" s="1"/>
      <c r="V530" s="2"/>
      <c r="W530" s="10"/>
      <c r="X530" s="10"/>
      <c r="Y530" s="10"/>
      <c r="Z530" s="10"/>
      <c r="AA530" s="10"/>
      <c r="AB530" s="10"/>
      <c r="AC530" s="20"/>
      <c r="AD530" s="20"/>
      <c r="AE530" s="10"/>
      <c r="AF530" s="10"/>
      <c r="AG530" s="10"/>
      <c r="AH530" s="10"/>
      <c r="AI530" s="10"/>
      <c r="AJ530" s="20"/>
      <c r="AK530" s="20"/>
      <c r="AL530" s="10"/>
    </row>
    <row r="531" spans="1:38" ht="13.2">
      <c r="A531" s="1"/>
      <c r="B531" s="1"/>
      <c r="C531" s="67"/>
      <c r="D531" s="1"/>
      <c r="E531" s="1"/>
      <c r="F531" s="10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68"/>
      <c r="R531" s="10"/>
      <c r="S531" s="1"/>
      <c r="T531" s="1"/>
      <c r="U531" s="1"/>
      <c r="V531" s="2"/>
      <c r="W531" s="10"/>
      <c r="X531" s="10"/>
      <c r="Y531" s="10"/>
      <c r="Z531" s="10"/>
      <c r="AA531" s="10"/>
      <c r="AB531" s="10"/>
      <c r="AC531" s="20"/>
      <c r="AD531" s="20"/>
      <c r="AE531" s="10"/>
      <c r="AF531" s="10"/>
      <c r="AG531" s="10"/>
      <c r="AH531" s="10"/>
      <c r="AI531" s="10"/>
      <c r="AJ531" s="20"/>
      <c r="AK531" s="20"/>
      <c r="AL531" s="10"/>
    </row>
    <row r="532" spans="1:38" ht="13.2">
      <c r="A532" s="1"/>
      <c r="B532" s="1"/>
      <c r="C532" s="67"/>
      <c r="D532" s="1"/>
      <c r="E532" s="1"/>
      <c r="F532" s="10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68"/>
      <c r="R532" s="10"/>
      <c r="S532" s="1"/>
      <c r="T532" s="1"/>
      <c r="U532" s="1"/>
      <c r="V532" s="2"/>
      <c r="W532" s="10"/>
      <c r="X532" s="10"/>
      <c r="Y532" s="10"/>
      <c r="Z532" s="10"/>
      <c r="AA532" s="10"/>
      <c r="AB532" s="10"/>
      <c r="AC532" s="20"/>
      <c r="AD532" s="20"/>
      <c r="AE532" s="10"/>
      <c r="AF532" s="10"/>
      <c r="AG532" s="10"/>
      <c r="AH532" s="10"/>
      <c r="AI532" s="10"/>
      <c r="AJ532" s="20"/>
      <c r="AK532" s="20"/>
      <c r="AL532" s="10"/>
    </row>
    <row r="533" spans="1:38" ht="13.2">
      <c r="A533" s="1"/>
      <c r="B533" s="1"/>
      <c r="C533" s="67"/>
      <c r="D533" s="1"/>
      <c r="E533" s="1"/>
      <c r="F533" s="10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68"/>
      <c r="R533" s="10"/>
      <c r="S533" s="1"/>
      <c r="T533" s="1"/>
      <c r="U533" s="1"/>
      <c r="V533" s="2"/>
      <c r="W533" s="10"/>
      <c r="X533" s="10"/>
      <c r="Y533" s="10"/>
      <c r="Z533" s="10"/>
      <c r="AA533" s="10"/>
      <c r="AB533" s="10"/>
      <c r="AC533" s="20"/>
      <c r="AD533" s="20"/>
      <c r="AE533" s="10"/>
      <c r="AF533" s="10"/>
      <c r="AG533" s="10"/>
      <c r="AH533" s="10"/>
      <c r="AI533" s="10"/>
      <c r="AJ533" s="20"/>
      <c r="AK533" s="20"/>
      <c r="AL533" s="10"/>
    </row>
    <row r="534" spans="1:38" ht="13.2">
      <c r="A534" s="1"/>
      <c r="B534" s="1"/>
      <c r="C534" s="67"/>
      <c r="D534" s="1"/>
      <c r="E534" s="1"/>
      <c r="F534" s="10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68"/>
      <c r="R534" s="10"/>
      <c r="S534" s="1"/>
      <c r="T534" s="1"/>
      <c r="U534" s="1"/>
      <c r="V534" s="2"/>
      <c r="W534" s="10"/>
      <c r="X534" s="10"/>
      <c r="Y534" s="10"/>
      <c r="Z534" s="10"/>
      <c r="AA534" s="10"/>
      <c r="AB534" s="10"/>
      <c r="AC534" s="20"/>
      <c r="AD534" s="20"/>
      <c r="AE534" s="10"/>
      <c r="AF534" s="10"/>
      <c r="AG534" s="10"/>
      <c r="AH534" s="10"/>
      <c r="AI534" s="10"/>
      <c r="AJ534" s="20"/>
      <c r="AK534" s="20"/>
      <c r="AL534" s="10"/>
    </row>
    <row r="535" spans="1:38" ht="13.2">
      <c r="A535" s="1"/>
      <c r="B535" s="1"/>
      <c r="C535" s="67"/>
      <c r="D535" s="1"/>
      <c r="E535" s="1"/>
      <c r="F535" s="10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68"/>
      <c r="R535" s="10"/>
      <c r="S535" s="1"/>
      <c r="T535" s="1"/>
      <c r="U535" s="1"/>
      <c r="V535" s="2"/>
      <c r="W535" s="10"/>
      <c r="X535" s="10"/>
      <c r="Y535" s="10"/>
      <c r="Z535" s="10"/>
      <c r="AA535" s="10"/>
      <c r="AB535" s="10"/>
      <c r="AC535" s="20"/>
      <c r="AD535" s="20"/>
      <c r="AE535" s="10"/>
      <c r="AF535" s="10"/>
      <c r="AG535" s="10"/>
      <c r="AH535" s="10"/>
      <c r="AI535" s="10"/>
      <c r="AJ535" s="20"/>
      <c r="AK535" s="20"/>
      <c r="AL535" s="10"/>
    </row>
    <row r="536" spans="1:38" ht="13.2">
      <c r="A536" s="1"/>
      <c r="B536" s="1"/>
      <c r="C536" s="67"/>
      <c r="D536" s="1"/>
      <c r="E536" s="1"/>
      <c r="F536" s="10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68"/>
      <c r="R536" s="10"/>
      <c r="S536" s="1"/>
      <c r="T536" s="1"/>
      <c r="U536" s="1"/>
      <c r="V536" s="2"/>
      <c r="W536" s="10"/>
      <c r="X536" s="10"/>
      <c r="Y536" s="10"/>
      <c r="Z536" s="10"/>
      <c r="AA536" s="10"/>
      <c r="AB536" s="10"/>
      <c r="AC536" s="20"/>
      <c r="AD536" s="20"/>
      <c r="AE536" s="10"/>
      <c r="AF536" s="10"/>
      <c r="AG536" s="10"/>
      <c r="AH536" s="10"/>
      <c r="AI536" s="10"/>
      <c r="AJ536" s="20"/>
      <c r="AK536" s="20"/>
      <c r="AL536" s="10"/>
    </row>
    <row r="537" spans="1:38" ht="13.2">
      <c r="A537" s="1"/>
      <c r="B537" s="1"/>
      <c r="C537" s="67"/>
      <c r="D537" s="1"/>
      <c r="E537" s="1"/>
      <c r="F537" s="10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68"/>
      <c r="R537" s="10"/>
      <c r="S537" s="1"/>
      <c r="T537" s="1"/>
      <c r="U537" s="1"/>
      <c r="V537" s="2"/>
      <c r="W537" s="10"/>
      <c r="X537" s="10"/>
      <c r="Y537" s="10"/>
      <c r="Z537" s="10"/>
      <c r="AA537" s="10"/>
      <c r="AB537" s="10"/>
      <c r="AC537" s="20"/>
      <c r="AD537" s="20"/>
      <c r="AE537" s="10"/>
      <c r="AF537" s="10"/>
      <c r="AG537" s="10"/>
      <c r="AH537" s="10"/>
      <c r="AI537" s="10"/>
      <c r="AJ537" s="20"/>
      <c r="AK537" s="20"/>
      <c r="AL537" s="10"/>
    </row>
    <row r="538" spans="1:38" ht="13.2">
      <c r="A538" s="1"/>
      <c r="B538" s="1"/>
      <c r="C538" s="67"/>
      <c r="D538" s="1"/>
      <c r="E538" s="1"/>
      <c r="F538" s="10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68"/>
      <c r="R538" s="10"/>
      <c r="S538" s="1"/>
      <c r="T538" s="1"/>
      <c r="U538" s="1"/>
      <c r="V538" s="2"/>
      <c r="W538" s="10"/>
      <c r="X538" s="10"/>
      <c r="Y538" s="10"/>
      <c r="Z538" s="10"/>
      <c r="AA538" s="10"/>
      <c r="AB538" s="10"/>
      <c r="AC538" s="20"/>
      <c r="AD538" s="20"/>
      <c r="AE538" s="10"/>
      <c r="AF538" s="10"/>
      <c r="AG538" s="10"/>
      <c r="AH538" s="10"/>
      <c r="AI538" s="10"/>
      <c r="AJ538" s="20"/>
      <c r="AK538" s="20"/>
      <c r="AL538" s="10"/>
    </row>
    <row r="539" spans="1:38" ht="13.2">
      <c r="A539" s="1"/>
      <c r="B539" s="1"/>
      <c r="C539" s="67"/>
      <c r="D539" s="1"/>
      <c r="E539" s="1"/>
      <c r="F539" s="10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68"/>
      <c r="R539" s="10"/>
      <c r="S539" s="1"/>
      <c r="T539" s="1"/>
      <c r="U539" s="1"/>
      <c r="V539" s="2"/>
      <c r="W539" s="10"/>
      <c r="X539" s="10"/>
      <c r="Y539" s="10"/>
      <c r="Z539" s="10"/>
      <c r="AA539" s="10"/>
      <c r="AB539" s="10"/>
      <c r="AC539" s="20"/>
      <c r="AD539" s="20"/>
      <c r="AE539" s="10"/>
      <c r="AF539" s="10"/>
      <c r="AG539" s="10"/>
      <c r="AH539" s="10"/>
      <c r="AI539" s="10"/>
      <c r="AJ539" s="20"/>
      <c r="AK539" s="20"/>
      <c r="AL539" s="10"/>
    </row>
    <row r="540" spans="1:38" ht="13.2">
      <c r="A540" s="1"/>
      <c r="B540" s="1"/>
      <c r="C540" s="67"/>
      <c r="D540" s="1"/>
      <c r="E540" s="1"/>
      <c r="F540" s="10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68"/>
      <c r="R540" s="10"/>
      <c r="S540" s="1"/>
      <c r="T540" s="1"/>
      <c r="U540" s="1"/>
      <c r="V540" s="2"/>
      <c r="W540" s="10"/>
      <c r="X540" s="10"/>
      <c r="Y540" s="10"/>
      <c r="Z540" s="10"/>
      <c r="AA540" s="10"/>
      <c r="AB540" s="10"/>
      <c r="AC540" s="20"/>
      <c r="AD540" s="20"/>
      <c r="AE540" s="10"/>
      <c r="AF540" s="10"/>
      <c r="AG540" s="10"/>
      <c r="AH540" s="10"/>
      <c r="AI540" s="10"/>
      <c r="AJ540" s="20"/>
      <c r="AK540" s="20"/>
      <c r="AL540" s="10"/>
    </row>
    <row r="541" spans="1:38" ht="13.2">
      <c r="A541" s="1"/>
      <c r="B541" s="1"/>
      <c r="C541" s="67"/>
      <c r="D541" s="1"/>
      <c r="E541" s="1"/>
      <c r="F541" s="10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68"/>
      <c r="R541" s="10"/>
      <c r="S541" s="1"/>
      <c r="T541" s="1"/>
      <c r="U541" s="1"/>
      <c r="V541" s="2"/>
      <c r="W541" s="10"/>
      <c r="X541" s="10"/>
      <c r="Y541" s="10"/>
      <c r="Z541" s="10"/>
      <c r="AA541" s="10"/>
      <c r="AB541" s="10"/>
      <c r="AC541" s="20"/>
      <c r="AD541" s="20"/>
      <c r="AE541" s="10"/>
      <c r="AF541" s="10"/>
      <c r="AG541" s="10"/>
      <c r="AH541" s="10"/>
      <c r="AI541" s="10"/>
      <c r="AJ541" s="20"/>
      <c r="AK541" s="20"/>
      <c r="AL541" s="10"/>
    </row>
    <row r="542" spans="1:38" ht="13.2">
      <c r="A542" s="1"/>
      <c r="B542" s="1"/>
      <c r="C542" s="67"/>
      <c r="D542" s="1"/>
      <c r="E542" s="1"/>
      <c r="F542" s="10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68"/>
      <c r="R542" s="10"/>
      <c r="S542" s="1"/>
      <c r="T542" s="1"/>
      <c r="U542" s="1"/>
      <c r="V542" s="2"/>
      <c r="W542" s="10"/>
      <c r="X542" s="10"/>
      <c r="Y542" s="10"/>
      <c r="Z542" s="10"/>
      <c r="AA542" s="10"/>
      <c r="AB542" s="10"/>
      <c r="AC542" s="20"/>
      <c r="AD542" s="20"/>
      <c r="AE542" s="10"/>
      <c r="AF542" s="10"/>
      <c r="AG542" s="10"/>
      <c r="AH542" s="10"/>
      <c r="AI542" s="10"/>
      <c r="AJ542" s="20"/>
      <c r="AK542" s="20"/>
      <c r="AL542" s="10"/>
    </row>
    <row r="543" spans="1:38" ht="13.2">
      <c r="A543" s="1"/>
      <c r="B543" s="1"/>
      <c r="C543" s="67"/>
      <c r="D543" s="1"/>
      <c r="E543" s="1"/>
      <c r="F543" s="10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68"/>
      <c r="R543" s="10"/>
      <c r="S543" s="1"/>
      <c r="T543" s="1"/>
      <c r="U543" s="1"/>
      <c r="V543" s="2"/>
      <c r="W543" s="10"/>
      <c r="X543" s="10"/>
      <c r="Y543" s="10"/>
      <c r="Z543" s="10"/>
      <c r="AA543" s="10"/>
      <c r="AB543" s="10"/>
      <c r="AC543" s="20"/>
      <c r="AD543" s="20"/>
      <c r="AE543" s="10"/>
      <c r="AF543" s="10"/>
      <c r="AG543" s="10"/>
      <c r="AH543" s="10"/>
      <c r="AI543" s="10"/>
      <c r="AJ543" s="20"/>
      <c r="AK543" s="20"/>
      <c r="AL543" s="10"/>
    </row>
    <row r="544" spans="1:38" ht="13.2">
      <c r="A544" s="1"/>
      <c r="B544" s="1"/>
      <c r="C544" s="67"/>
      <c r="D544" s="1"/>
      <c r="E544" s="1"/>
      <c r="F544" s="10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68"/>
      <c r="R544" s="10"/>
      <c r="S544" s="1"/>
      <c r="T544" s="1"/>
      <c r="U544" s="1"/>
      <c r="V544" s="2"/>
      <c r="W544" s="10"/>
      <c r="X544" s="10"/>
      <c r="Y544" s="10"/>
      <c r="Z544" s="10"/>
      <c r="AA544" s="10"/>
      <c r="AB544" s="10"/>
      <c r="AC544" s="20"/>
      <c r="AD544" s="20"/>
      <c r="AE544" s="10"/>
      <c r="AF544" s="10"/>
      <c r="AG544" s="10"/>
      <c r="AH544" s="10"/>
      <c r="AI544" s="10"/>
      <c r="AJ544" s="20"/>
      <c r="AK544" s="20"/>
      <c r="AL544" s="10"/>
    </row>
    <row r="545" spans="1:38" ht="13.2">
      <c r="A545" s="1"/>
      <c r="B545" s="1"/>
      <c r="C545" s="67"/>
      <c r="D545" s="1"/>
      <c r="E545" s="1"/>
      <c r="F545" s="10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68"/>
      <c r="R545" s="10"/>
      <c r="S545" s="1"/>
      <c r="T545" s="1"/>
      <c r="U545" s="1"/>
      <c r="V545" s="2"/>
      <c r="W545" s="10"/>
      <c r="X545" s="10"/>
      <c r="Y545" s="10"/>
      <c r="Z545" s="10"/>
      <c r="AA545" s="10"/>
      <c r="AB545" s="10"/>
      <c r="AC545" s="20"/>
      <c r="AD545" s="20"/>
      <c r="AE545" s="10"/>
      <c r="AF545" s="10"/>
      <c r="AG545" s="10"/>
      <c r="AH545" s="10"/>
      <c r="AI545" s="10"/>
      <c r="AJ545" s="20"/>
      <c r="AK545" s="20"/>
      <c r="AL545" s="10"/>
    </row>
    <row r="546" spans="1:38" ht="13.2">
      <c r="A546" s="1"/>
      <c r="B546" s="1"/>
      <c r="C546" s="67"/>
      <c r="D546" s="1"/>
      <c r="E546" s="1"/>
      <c r="F546" s="10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68"/>
      <c r="R546" s="10"/>
      <c r="S546" s="1"/>
      <c r="T546" s="1"/>
      <c r="U546" s="1"/>
      <c r="V546" s="2"/>
      <c r="W546" s="10"/>
      <c r="X546" s="10"/>
      <c r="Y546" s="10"/>
      <c r="Z546" s="10"/>
      <c r="AA546" s="10"/>
      <c r="AB546" s="10"/>
      <c r="AC546" s="20"/>
      <c r="AD546" s="20"/>
      <c r="AE546" s="10"/>
      <c r="AF546" s="10"/>
      <c r="AG546" s="10"/>
      <c r="AH546" s="10"/>
      <c r="AI546" s="10"/>
      <c r="AJ546" s="20"/>
      <c r="AK546" s="20"/>
      <c r="AL546" s="10"/>
    </row>
    <row r="547" spans="1:38" ht="13.2">
      <c r="A547" s="1"/>
      <c r="B547" s="1"/>
      <c r="C547" s="67"/>
      <c r="D547" s="1"/>
      <c r="E547" s="1"/>
      <c r="F547" s="10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68"/>
      <c r="R547" s="10"/>
      <c r="S547" s="1"/>
      <c r="T547" s="1"/>
      <c r="U547" s="1"/>
      <c r="V547" s="2"/>
      <c r="W547" s="10"/>
      <c r="X547" s="10"/>
      <c r="Y547" s="10"/>
      <c r="Z547" s="10"/>
      <c r="AA547" s="10"/>
      <c r="AB547" s="10"/>
      <c r="AC547" s="20"/>
      <c r="AD547" s="20"/>
      <c r="AE547" s="10"/>
      <c r="AF547" s="10"/>
      <c r="AG547" s="10"/>
      <c r="AH547" s="10"/>
      <c r="AI547" s="10"/>
      <c r="AJ547" s="20"/>
      <c r="AK547" s="20"/>
      <c r="AL547" s="10"/>
    </row>
    <row r="548" spans="1:38" ht="13.2">
      <c r="A548" s="1"/>
      <c r="B548" s="1"/>
      <c r="C548" s="67"/>
      <c r="D548" s="1"/>
      <c r="E548" s="1"/>
      <c r="F548" s="10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68"/>
      <c r="R548" s="10"/>
      <c r="S548" s="1"/>
      <c r="T548" s="1"/>
      <c r="U548" s="1"/>
      <c r="V548" s="2"/>
      <c r="W548" s="10"/>
      <c r="X548" s="10"/>
      <c r="Y548" s="10"/>
      <c r="Z548" s="10"/>
      <c r="AA548" s="10"/>
      <c r="AB548" s="10"/>
      <c r="AC548" s="20"/>
      <c r="AD548" s="20"/>
      <c r="AE548" s="10"/>
      <c r="AF548" s="10"/>
      <c r="AG548" s="10"/>
      <c r="AH548" s="10"/>
      <c r="AI548" s="10"/>
      <c r="AJ548" s="20"/>
      <c r="AK548" s="20"/>
      <c r="AL548" s="10"/>
    </row>
    <row r="549" spans="1:38" ht="13.2">
      <c r="A549" s="1"/>
      <c r="B549" s="1"/>
      <c r="C549" s="67"/>
      <c r="D549" s="1"/>
      <c r="E549" s="1"/>
      <c r="F549" s="10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68"/>
      <c r="R549" s="10"/>
      <c r="S549" s="1"/>
      <c r="T549" s="1"/>
      <c r="U549" s="1"/>
      <c r="V549" s="2"/>
      <c r="W549" s="10"/>
      <c r="X549" s="10"/>
      <c r="Y549" s="10"/>
      <c r="Z549" s="10"/>
      <c r="AA549" s="10"/>
      <c r="AB549" s="10"/>
      <c r="AC549" s="20"/>
      <c r="AD549" s="20"/>
      <c r="AE549" s="10"/>
      <c r="AF549" s="10"/>
      <c r="AG549" s="10"/>
      <c r="AH549" s="10"/>
      <c r="AI549" s="10"/>
      <c r="AJ549" s="20"/>
      <c r="AK549" s="20"/>
      <c r="AL549" s="10"/>
    </row>
    <row r="550" spans="1:38" ht="13.2">
      <c r="A550" s="1"/>
      <c r="B550" s="1"/>
      <c r="C550" s="67"/>
      <c r="D550" s="1"/>
      <c r="E550" s="1"/>
      <c r="F550" s="10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68"/>
      <c r="R550" s="10"/>
      <c r="S550" s="1"/>
      <c r="T550" s="1"/>
      <c r="U550" s="1"/>
      <c r="V550" s="2"/>
      <c r="W550" s="10"/>
      <c r="X550" s="10"/>
      <c r="Y550" s="10"/>
      <c r="Z550" s="10"/>
      <c r="AA550" s="10"/>
      <c r="AB550" s="10"/>
      <c r="AC550" s="20"/>
      <c r="AD550" s="20"/>
      <c r="AE550" s="10"/>
      <c r="AF550" s="10"/>
      <c r="AG550" s="10"/>
      <c r="AH550" s="10"/>
      <c r="AI550" s="10"/>
      <c r="AJ550" s="20"/>
      <c r="AK550" s="20"/>
      <c r="AL550" s="10"/>
    </row>
    <row r="551" spans="1:38" ht="13.2">
      <c r="A551" s="1"/>
      <c r="B551" s="1"/>
      <c r="C551" s="67"/>
      <c r="D551" s="1"/>
      <c r="E551" s="1"/>
      <c r="F551" s="10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68"/>
      <c r="R551" s="10"/>
      <c r="S551" s="1"/>
      <c r="T551" s="1"/>
      <c r="U551" s="1"/>
      <c r="V551" s="2"/>
      <c r="W551" s="10"/>
      <c r="X551" s="10"/>
      <c r="Y551" s="10"/>
      <c r="Z551" s="10"/>
      <c r="AA551" s="10"/>
      <c r="AB551" s="10"/>
      <c r="AC551" s="20"/>
      <c r="AD551" s="20"/>
      <c r="AE551" s="10"/>
      <c r="AF551" s="10"/>
      <c r="AG551" s="10"/>
      <c r="AH551" s="10"/>
      <c r="AI551" s="10"/>
      <c r="AJ551" s="20"/>
      <c r="AK551" s="20"/>
      <c r="AL551" s="10"/>
    </row>
    <row r="552" spans="1:38" ht="13.2">
      <c r="A552" s="1"/>
      <c r="B552" s="1"/>
      <c r="C552" s="67"/>
      <c r="D552" s="1"/>
      <c r="E552" s="1"/>
      <c r="F552" s="10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68"/>
      <c r="R552" s="10"/>
      <c r="S552" s="1"/>
      <c r="T552" s="1"/>
      <c r="U552" s="1"/>
      <c r="V552" s="2"/>
      <c r="W552" s="10"/>
      <c r="X552" s="10"/>
      <c r="Y552" s="10"/>
      <c r="Z552" s="10"/>
      <c r="AA552" s="10"/>
      <c r="AB552" s="10"/>
      <c r="AC552" s="20"/>
      <c r="AD552" s="20"/>
      <c r="AE552" s="10"/>
      <c r="AF552" s="10"/>
      <c r="AG552" s="10"/>
      <c r="AH552" s="10"/>
      <c r="AI552" s="10"/>
      <c r="AJ552" s="20"/>
      <c r="AK552" s="20"/>
      <c r="AL552" s="10"/>
    </row>
    <row r="553" spans="1:38" ht="13.2">
      <c r="A553" s="1"/>
      <c r="B553" s="1"/>
      <c r="C553" s="67"/>
      <c r="D553" s="1"/>
      <c r="E553" s="1"/>
      <c r="F553" s="10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68"/>
      <c r="R553" s="10"/>
      <c r="S553" s="1"/>
      <c r="T553" s="1"/>
      <c r="U553" s="1"/>
      <c r="V553" s="2"/>
      <c r="W553" s="10"/>
      <c r="X553" s="10"/>
      <c r="Y553" s="10"/>
      <c r="Z553" s="10"/>
      <c r="AA553" s="10"/>
      <c r="AB553" s="10"/>
      <c r="AC553" s="20"/>
      <c r="AD553" s="20"/>
      <c r="AE553" s="10"/>
      <c r="AF553" s="10"/>
      <c r="AG553" s="10"/>
      <c r="AH553" s="10"/>
      <c r="AI553" s="10"/>
      <c r="AJ553" s="20"/>
      <c r="AK553" s="20"/>
      <c r="AL553" s="10"/>
    </row>
    <row r="554" spans="1:38" ht="13.2">
      <c r="A554" s="1"/>
      <c r="B554" s="1"/>
      <c r="C554" s="67"/>
      <c r="D554" s="1"/>
      <c r="E554" s="1"/>
      <c r="F554" s="10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68"/>
      <c r="R554" s="10"/>
      <c r="S554" s="1"/>
      <c r="T554" s="1"/>
      <c r="U554" s="1"/>
      <c r="V554" s="2"/>
      <c r="W554" s="10"/>
      <c r="X554" s="10"/>
      <c r="Y554" s="10"/>
      <c r="Z554" s="10"/>
      <c r="AA554" s="10"/>
      <c r="AB554" s="10"/>
      <c r="AC554" s="20"/>
      <c r="AD554" s="20"/>
      <c r="AE554" s="10"/>
      <c r="AF554" s="10"/>
      <c r="AG554" s="10"/>
      <c r="AH554" s="10"/>
      <c r="AI554" s="10"/>
      <c r="AJ554" s="20"/>
      <c r="AK554" s="20"/>
      <c r="AL554" s="10"/>
    </row>
    <row r="555" spans="1:38" ht="13.2">
      <c r="A555" s="1"/>
      <c r="B555" s="1"/>
      <c r="C555" s="67"/>
      <c r="D555" s="1"/>
      <c r="E555" s="1"/>
      <c r="F555" s="10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68"/>
      <c r="R555" s="10"/>
      <c r="S555" s="1"/>
      <c r="T555" s="1"/>
      <c r="U555" s="1"/>
      <c r="V555" s="2"/>
      <c r="W555" s="10"/>
      <c r="X555" s="10"/>
      <c r="Y555" s="10"/>
      <c r="Z555" s="10"/>
      <c r="AA555" s="10"/>
      <c r="AB555" s="10"/>
      <c r="AC555" s="20"/>
      <c r="AD555" s="20"/>
      <c r="AE555" s="10"/>
      <c r="AF555" s="10"/>
      <c r="AG555" s="10"/>
      <c r="AH555" s="10"/>
      <c r="AI555" s="10"/>
      <c r="AJ555" s="20"/>
      <c r="AK555" s="20"/>
      <c r="AL555" s="10"/>
    </row>
    <row r="556" spans="1:38" ht="13.2">
      <c r="A556" s="1"/>
      <c r="B556" s="1"/>
      <c r="C556" s="67"/>
      <c r="D556" s="1"/>
      <c r="E556" s="1"/>
      <c r="F556" s="10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68"/>
      <c r="R556" s="10"/>
      <c r="S556" s="1"/>
      <c r="T556" s="1"/>
      <c r="U556" s="1"/>
      <c r="V556" s="2"/>
      <c r="W556" s="10"/>
      <c r="X556" s="10"/>
      <c r="Y556" s="10"/>
      <c r="Z556" s="10"/>
      <c r="AA556" s="10"/>
      <c r="AB556" s="10"/>
      <c r="AC556" s="20"/>
      <c r="AD556" s="20"/>
      <c r="AE556" s="10"/>
      <c r="AF556" s="10"/>
      <c r="AG556" s="10"/>
      <c r="AH556" s="10"/>
      <c r="AI556" s="10"/>
      <c r="AJ556" s="20"/>
      <c r="AK556" s="20"/>
      <c r="AL556" s="10"/>
    </row>
    <row r="557" spans="1:38" ht="13.2">
      <c r="A557" s="1"/>
      <c r="B557" s="1"/>
      <c r="C557" s="67"/>
      <c r="D557" s="1"/>
      <c r="E557" s="1"/>
      <c r="F557" s="10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68"/>
      <c r="R557" s="10"/>
      <c r="S557" s="1"/>
      <c r="T557" s="1"/>
      <c r="U557" s="1"/>
      <c r="V557" s="2"/>
      <c r="W557" s="10"/>
      <c r="X557" s="10"/>
      <c r="Y557" s="10"/>
      <c r="Z557" s="10"/>
      <c r="AA557" s="10"/>
      <c r="AB557" s="10"/>
      <c r="AC557" s="20"/>
      <c r="AD557" s="20"/>
      <c r="AE557" s="10"/>
      <c r="AF557" s="10"/>
      <c r="AG557" s="10"/>
      <c r="AH557" s="10"/>
      <c r="AI557" s="10"/>
      <c r="AJ557" s="20"/>
      <c r="AK557" s="20"/>
      <c r="AL557" s="10"/>
    </row>
    <row r="558" spans="1:38" ht="13.2">
      <c r="A558" s="1"/>
      <c r="B558" s="1"/>
      <c r="C558" s="67"/>
      <c r="D558" s="1"/>
      <c r="E558" s="1"/>
      <c r="F558" s="10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68"/>
      <c r="R558" s="10"/>
      <c r="S558" s="1"/>
      <c r="T558" s="1"/>
      <c r="U558" s="1"/>
      <c r="V558" s="2"/>
      <c r="W558" s="10"/>
      <c r="X558" s="10"/>
      <c r="Y558" s="10"/>
      <c r="Z558" s="10"/>
      <c r="AA558" s="10"/>
      <c r="AB558" s="10"/>
      <c r="AC558" s="20"/>
      <c r="AD558" s="20"/>
      <c r="AE558" s="10"/>
      <c r="AF558" s="10"/>
      <c r="AG558" s="10"/>
      <c r="AH558" s="10"/>
      <c r="AI558" s="10"/>
      <c r="AJ558" s="20"/>
      <c r="AK558" s="20"/>
      <c r="AL558" s="10"/>
    </row>
    <row r="559" spans="1:38" ht="13.2">
      <c r="A559" s="1"/>
      <c r="B559" s="1"/>
      <c r="C559" s="67"/>
      <c r="D559" s="1"/>
      <c r="E559" s="1"/>
      <c r="F559" s="10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68"/>
      <c r="R559" s="10"/>
      <c r="S559" s="1"/>
      <c r="T559" s="1"/>
      <c r="U559" s="1"/>
      <c r="V559" s="2"/>
      <c r="W559" s="10"/>
      <c r="X559" s="10"/>
      <c r="Y559" s="10"/>
      <c r="Z559" s="10"/>
      <c r="AA559" s="10"/>
      <c r="AB559" s="10"/>
      <c r="AC559" s="20"/>
      <c r="AD559" s="20"/>
      <c r="AE559" s="10"/>
      <c r="AF559" s="10"/>
      <c r="AG559" s="10"/>
      <c r="AH559" s="10"/>
      <c r="AI559" s="10"/>
      <c r="AJ559" s="20"/>
      <c r="AK559" s="20"/>
      <c r="AL559" s="10"/>
    </row>
    <row r="560" spans="1:38" ht="13.2">
      <c r="A560" s="1"/>
      <c r="B560" s="1"/>
      <c r="C560" s="67"/>
      <c r="D560" s="1"/>
      <c r="E560" s="1"/>
      <c r="F560" s="10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68"/>
      <c r="R560" s="10"/>
      <c r="S560" s="1"/>
      <c r="T560" s="1"/>
      <c r="U560" s="1"/>
      <c r="V560" s="2"/>
      <c r="W560" s="10"/>
      <c r="X560" s="10"/>
      <c r="Y560" s="10"/>
      <c r="Z560" s="10"/>
      <c r="AA560" s="10"/>
      <c r="AB560" s="10"/>
      <c r="AC560" s="20"/>
      <c r="AD560" s="20"/>
      <c r="AE560" s="10"/>
      <c r="AF560" s="10"/>
      <c r="AG560" s="10"/>
      <c r="AH560" s="10"/>
      <c r="AI560" s="10"/>
      <c r="AJ560" s="20"/>
      <c r="AK560" s="20"/>
      <c r="AL560" s="10"/>
    </row>
    <row r="561" spans="1:38" ht="13.2">
      <c r="A561" s="1"/>
      <c r="B561" s="1"/>
      <c r="C561" s="67"/>
      <c r="D561" s="1"/>
      <c r="E561" s="1"/>
      <c r="F561" s="10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68"/>
      <c r="R561" s="10"/>
      <c r="S561" s="1"/>
      <c r="T561" s="1"/>
      <c r="U561" s="1"/>
      <c r="V561" s="2"/>
      <c r="W561" s="10"/>
      <c r="X561" s="10"/>
      <c r="Y561" s="10"/>
      <c r="Z561" s="10"/>
      <c r="AA561" s="10"/>
      <c r="AB561" s="10"/>
      <c r="AC561" s="20"/>
      <c r="AD561" s="20"/>
      <c r="AE561" s="10"/>
      <c r="AF561" s="10"/>
      <c r="AG561" s="10"/>
      <c r="AH561" s="10"/>
      <c r="AI561" s="10"/>
      <c r="AJ561" s="20"/>
      <c r="AK561" s="20"/>
      <c r="AL561" s="10"/>
    </row>
    <row r="562" spans="1:38" ht="13.2">
      <c r="A562" s="1"/>
      <c r="B562" s="1"/>
      <c r="C562" s="67"/>
      <c r="D562" s="1"/>
      <c r="E562" s="1"/>
      <c r="F562" s="10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68"/>
      <c r="R562" s="10"/>
      <c r="S562" s="1"/>
      <c r="T562" s="1"/>
      <c r="U562" s="1"/>
      <c r="V562" s="2"/>
      <c r="W562" s="10"/>
      <c r="X562" s="10"/>
      <c r="Y562" s="10"/>
      <c r="Z562" s="10"/>
      <c r="AA562" s="10"/>
      <c r="AB562" s="10"/>
      <c r="AC562" s="20"/>
      <c r="AD562" s="20"/>
      <c r="AE562" s="10"/>
      <c r="AF562" s="10"/>
      <c r="AG562" s="10"/>
      <c r="AH562" s="10"/>
      <c r="AI562" s="10"/>
      <c r="AJ562" s="20"/>
      <c r="AK562" s="20"/>
      <c r="AL562" s="10"/>
    </row>
    <row r="563" spans="1:38" ht="13.2">
      <c r="A563" s="1"/>
      <c r="B563" s="1"/>
      <c r="C563" s="67"/>
      <c r="D563" s="1"/>
      <c r="E563" s="1"/>
      <c r="F563" s="10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68"/>
      <c r="R563" s="10"/>
      <c r="S563" s="1"/>
      <c r="T563" s="1"/>
      <c r="U563" s="1"/>
      <c r="V563" s="2"/>
      <c r="W563" s="10"/>
      <c r="X563" s="10"/>
      <c r="Y563" s="10"/>
      <c r="Z563" s="10"/>
      <c r="AA563" s="10"/>
      <c r="AB563" s="10"/>
      <c r="AC563" s="20"/>
      <c r="AD563" s="20"/>
      <c r="AE563" s="10"/>
      <c r="AF563" s="10"/>
      <c r="AG563" s="10"/>
      <c r="AH563" s="10"/>
      <c r="AI563" s="10"/>
      <c r="AJ563" s="20"/>
      <c r="AK563" s="20"/>
      <c r="AL563" s="10"/>
    </row>
    <row r="564" spans="1:38" ht="13.2">
      <c r="A564" s="1"/>
      <c r="B564" s="1"/>
      <c r="C564" s="67"/>
      <c r="D564" s="1"/>
      <c r="E564" s="1"/>
      <c r="F564" s="10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68"/>
      <c r="R564" s="10"/>
      <c r="S564" s="1"/>
      <c r="T564" s="1"/>
      <c r="U564" s="1"/>
      <c r="V564" s="2"/>
      <c r="W564" s="10"/>
      <c r="X564" s="10"/>
      <c r="Y564" s="10"/>
      <c r="Z564" s="10"/>
      <c r="AA564" s="10"/>
      <c r="AB564" s="10"/>
      <c r="AC564" s="20"/>
      <c r="AD564" s="20"/>
      <c r="AE564" s="10"/>
      <c r="AF564" s="10"/>
      <c r="AG564" s="10"/>
      <c r="AH564" s="10"/>
      <c r="AI564" s="10"/>
      <c r="AJ564" s="20"/>
      <c r="AK564" s="20"/>
      <c r="AL564" s="10"/>
    </row>
    <row r="565" spans="1:38" ht="13.2">
      <c r="A565" s="1"/>
      <c r="B565" s="1"/>
      <c r="C565" s="67"/>
      <c r="D565" s="1"/>
      <c r="E565" s="1"/>
      <c r="F565" s="10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68"/>
      <c r="R565" s="10"/>
      <c r="S565" s="1"/>
      <c r="T565" s="1"/>
      <c r="U565" s="1"/>
      <c r="V565" s="2"/>
      <c r="W565" s="10"/>
      <c r="X565" s="10"/>
      <c r="Y565" s="10"/>
      <c r="Z565" s="10"/>
      <c r="AA565" s="10"/>
      <c r="AB565" s="10"/>
      <c r="AC565" s="20"/>
      <c r="AD565" s="20"/>
      <c r="AE565" s="10"/>
      <c r="AF565" s="10"/>
      <c r="AG565" s="10"/>
      <c r="AH565" s="10"/>
      <c r="AI565" s="10"/>
      <c r="AJ565" s="20"/>
      <c r="AK565" s="20"/>
      <c r="AL565" s="10"/>
    </row>
    <row r="566" spans="1:38" ht="13.2">
      <c r="A566" s="1"/>
      <c r="B566" s="1"/>
      <c r="C566" s="67"/>
      <c r="D566" s="1"/>
      <c r="E566" s="1"/>
      <c r="F566" s="10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68"/>
      <c r="R566" s="10"/>
      <c r="S566" s="1"/>
      <c r="T566" s="1"/>
      <c r="U566" s="1"/>
      <c r="V566" s="2"/>
      <c r="W566" s="10"/>
      <c r="X566" s="10"/>
      <c r="Y566" s="10"/>
      <c r="Z566" s="10"/>
      <c r="AA566" s="10"/>
      <c r="AB566" s="10"/>
      <c r="AC566" s="20"/>
      <c r="AD566" s="20"/>
      <c r="AE566" s="10"/>
      <c r="AF566" s="10"/>
      <c r="AG566" s="10"/>
      <c r="AH566" s="10"/>
      <c r="AI566" s="10"/>
      <c r="AJ566" s="20"/>
      <c r="AK566" s="20"/>
      <c r="AL566" s="10"/>
    </row>
    <row r="567" spans="1:38" ht="13.2">
      <c r="A567" s="1"/>
      <c r="B567" s="1"/>
      <c r="C567" s="67"/>
      <c r="D567" s="1"/>
      <c r="E567" s="1"/>
      <c r="F567" s="10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68"/>
      <c r="R567" s="10"/>
      <c r="S567" s="1"/>
      <c r="T567" s="1"/>
      <c r="U567" s="1"/>
      <c r="V567" s="2"/>
      <c r="W567" s="10"/>
      <c r="X567" s="10"/>
      <c r="Y567" s="10"/>
      <c r="Z567" s="10"/>
      <c r="AA567" s="10"/>
      <c r="AB567" s="10"/>
      <c r="AC567" s="20"/>
      <c r="AD567" s="20"/>
      <c r="AE567" s="10"/>
      <c r="AF567" s="10"/>
      <c r="AG567" s="10"/>
      <c r="AH567" s="10"/>
      <c r="AI567" s="10"/>
      <c r="AJ567" s="20"/>
      <c r="AK567" s="20"/>
      <c r="AL567" s="10"/>
    </row>
    <row r="568" spans="1:38" ht="13.2">
      <c r="A568" s="1"/>
      <c r="B568" s="1"/>
      <c r="C568" s="67"/>
      <c r="D568" s="1"/>
      <c r="E568" s="1"/>
      <c r="F568" s="10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68"/>
      <c r="R568" s="10"/>
      <c r="S568" s="1"/>
      <c r="T568" s="1"/>
      <c r="U568" s="1"/>
      <c r="V568" s="2"/>
      <c r="W568" s="10"/>
      <c r="X568" s="10"/>
      <c r="Y568" s="10"/>
      <c r="Z568" s="10"/>
      <c r="AA568" s="10"/>
      <c r="AB568" s="10"/>
      <c r="AC568" s="20"/>
      <c r="AD568" s="20"/>
      <c r="AE568" s="10"/>
      <c r="AF568" s="10"/>
      <c r="AG568" s="10"/>
      <c r="AH568" s="10"/>
      <c r="AI568" s="10"/>
      <c r="AJ568" s="20"/>
      <c r="AK568" s="20"/>
      <c r="AL568" s="10"/>
    </row>
    <row r="569" spans="1:38" ht="13.2">
      <c r="A569" s="1"/>
      <c r="B569" s="1"/>
      <c r="C569" s="67"/>
      <c r="D569" s="1"/>
      <c r="E569" s="1"/>
      <c r="F569" s="10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68"/>
      <c r="R569" s="10"/>
      <c r="S569" s="1"/>
      <c r="T569" s="1"/>
      <c r="U569" s="1"/>
      <c r="V569" s="2"/>
      <c r="W569" s="10"/>
      <c r="X569" s="10"/>
      <c r="Y569" s="10"/>
      <c r="Z569" s="10"/>
      <c r="AA569" s="10"/>
      <c r="AB569" s="10"/>
      <c r="AC569" s="20"/>
      <c r="AD569" s="20"/>
      <c r="AE569" s="10"/>
      <c r="AF569" s="10"/>
      <c r="AG569" s="10"/>
      <c r="AH569" s="10"/>
      <c r="AI569" s="10"/>
      <c r="AJ569" s="20"/>
      <c r="AK569" s="20"/>
      <c r="AL569" s="10"/>
    </row>
    <row r="570" spans="1:38" ht="13.2">
      <c r="A570" s="1"/>
      <c r="B570" s="1"/>
      <c r="C570" s="67"/>
      <c r="D570" s="1"/>
      <c r="E570" s="1"/>
      <c r="F570" s="10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68"/>
      <c r="R570" s="10"/>
      <c r="S570" s="1"/>
      <c r="T570" s="1"/>
      <c r="U570" s="1"/>
      <c r="V570" s="2"/>
      <c r="W570" s="10"/>
      <c r="X570" s="10"/>
      <c r="Y570" s="10"/>
      <c r="Z570" s="10"/>
      <c r="AA570" s="10"/>
      <c r="AB570" s="10"/>
      <c r="AC570" s="20"/>
      <c r="AD570" s="20"/>
      <c r="AE570" s="10"/>
      <c r="AF570" s="10"/>
      <c r="AG570" s="10"/>
      <c r="AH570" s="10"/>
      <c r="AI570" s="10"/>
      <c r="AJ570" s="20"/>
      <c r="AK570" s="20"/>
      <c r="AL570" s="10"/>
    </row>
    <row r="571" spans="1:38" ht="13.2">
      <c r="A571" s="1"/>
      <c r="B571" s="1"/>
      <c r="C571" s="67"/>
      <c r="D571" s="1"/>
      <c r="E571" s="1"/>
      <c r="F571" s="10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68"/>
      <c r="R571" s="10"/>
      <c r="S571" s="1"/>
      <c r="T571" s="1"/>
      <c r="U571" s="1"/>
      <c r="V571" s="2"/>
      <c r="W571" s="10"/>
      <c r="X571" s="10"/>
      <c r="Y571" s="10"/>
      <c r="Z571" s="10"/>
      <c r="AA571" s="10"/>
      <c r="AB571" s="10"/>
      <c r="AC571" s="20"/>
      <c r="AD571" s="20"/>
      <c r="AE571" s="10"/>
      <c r="AF571" s="10"/>
      <c r="AG571" s="10"/>
      <c r="AH571" s="10"/>
      <c r="AI571" s="10"/>
      <c r="AJ571" s="20"/>
      <c r="AK571" s="20"/>
      <c r="AL571" s="10"/>
    </row>
    <row r="572" spans="1:38" ht="13.2">
      <c r="A572" s="1"/>
      <c r="B572" s="1"/>
      <c r="C572" s="67"/>
      <c r="D572" s="1"/>
      <c r="E572" s="1"/>
      <c r="F572" s="10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68"/>
      <c r="R572" s="10"/>
      <c r="S572" s="1"/>
      <c r="T572" s="1"/>
      <c r="U572" s="1"/>
      <c r="V572" s="2"/>
      <c r="W572" s="10"/>
      <c r="X572" s="10"/>
      <c r="Y572" s="10"/>
      <c r="Z572" s="10"/>
      <c r="AA572" s="10"/>
      <c r="AB572" s="10"/>
      <c r="AC572" s="20"/>
      <c r="AD572" s="20"/>
      <c r="AE572" s="10"/>
      <c r="AF572" s="10"/>
      <c r="AG572" s="10"/>
      <c r="AH572" s="10"/>
      <c r="AI572" s="10"/>
      <c r="AJ572" s="20"/>
      <c r="AK572" s="20"/>
      <c r="AL572" s="10"/>
    </row>
    <row r="573" spans="1:38" ht="13.2">
      <c r="A573" s="1"/>
      <c r="B573" s="1"/>
      <c r="C573" s="67"/>
      <c r="D573" s="1"/>
      <c r="E573" s="1"/>
      <c r="F573" s="10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68"/>
      <c r="R573" s="10"/>
      <c r="S573" s="1"/>
      <c r="T573" s="1"/>
      <c r="U573" s="1"/>
      <c r="V573" s="2"/>
      <c r="W573" s="10"/>
      <c r="X573" s="10"/>
      <c r="Y573" s="10"/>
      <c r="Z573" s="10"/>
      <c r="AA573" s="10"/>
      <c r="AB573" s="10"/>
      <c r="AC573" s="20"/>
      <c r="AD573" s="20"/>
      <c r="AE573" s="10"/>
      <c r="AF573" s="10"/>
      <c r="AG573" s="10"/>
      <c r="AH573" s="10"/>
      <c r="AI573" s="10"/>
      <c r="AJ573" s="20"/>
      <c r="AK573" s="20"/>
      <c r="AL573" s="10"/>
    </row>
    <row r="574" spans="1:38" ht="13.2">
      <c r="A574" s="1"/>
      <c r="B574" s="1"/>
      <c r="C574" s="67"/>
      <c r="D574" s="1"/>
      <c r="E574" s="1"/>
      <c r="F574" s="10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68"/>
      <c r="R574" s="10"/>
      <c r="S574" s="1"/>
      <c r="T574" s="1"/>
      <c r="U574" s="1"/>
      <c r="V574" s="2"/>
      <c r="W574" s="10"/>
      <c r="X574" s="10"/>
      <c r="Y574" s="10"/>
      <c r="Z574" s="10"/>
      <c r="AA574" s="10"/>
      <c r="AB574" s="10"/>
      <c r="AC574" s="20"/>
      <c r="AD574" s="20"/>
      <c r="AE574" s="10"/>
      <c r="AF574" s="10"/>
      <c r="AG574" s="10"/>
      <c r="AH574" s="10"/>
      <c r="AI574" s="10"/>
      <c r="AJ574" s="20"/>
      <c r="AK574" s="20"/>
      <c r="AL574" s="10"/>
    </row>
    <row r="575" spans="1:38" ht="13.2">
      <c r="A575" s="1"/>
      <c r="B575" s="1"/>
      <c r="C575" s="67"/>
      <c r="D575" s="1"/>
      <c r="E575" s="1"/>
      <c r="F575" s="10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68"/>
      <c r="R575" s="10"/>
      <c r="S575" s="1"/>
      <c r="T575" s="1"/>
      <c r="U575" s="1"/>
      <c r="V575" s="2"/>
      <c r="W575" s="10"/>
      <c r="X575" s="10"/>
      <c r="Y575" s="10"/>
      <c r="Z575" s="10"/>
      <c r="AA575" s="10"/>
      <c r="AB575" s="10"/>
      <c r="AC575" s="20"/>
      <c r="AD575" s="20"/>
      <c r="AE575" s="10"/>
      <c r="AF575" s="10"/>
      <c r="AG575" s="10"/>
      <c r="AH575" s="10"/>
      <c r="AI575" s="10"/>
      <c r="AJ575" s="20"/>
      <c r="AK575" s="20"/>
      <c r="AL575" s="10"/>
    </row>
    <row r="576" spans="1:38" ht="13.2">
      <c r="A576" s="1"/>
      <c r="B576" s="1"/>
      <c r="C576" s="67"/>
      <c r="D576" s="1"/>
      <c r="E576" s="1"/>
      <c r="F576" s="10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68"/>
      <c r="R576" s="10"/>
      <c r="S576" s="1"/>
      <c r="T576" s="1"/>
      <c r="U576" s="1"/>
      <c r="V576" s="2"/>
      <c r="W576" s="10"/>
      <c r="X576" s="10"/>
      <c r="Y576" s="10"/>
      <c r="Z576" s="10"/>
      <c r="AA576" s="10"/>
      <c r="AB576" s="10"/>
      <c r="AC576" s="20"/>
      <c r="AD576" s="20"/>
      <c r="AE576" s="10"/>
      <c r="AF576" s="10"/>
      <c r="AG576" s="10"/>
      <c r="AH576" s="10"/>
      <c r="AI576" s="10"/>
      <c r="AJ576" s="20"/>
      <c r="AK576" s="20"/>
      <c r="AL576" s="10"/>
    </row>
    <row r="577" spans="1:38" ht="13.2">
      <c r="A577" s="1"/>
      <c r="B577" s="1"/>
      <c r="C577" s="67"/>
      <c r="D577" s="1"/>
      <c r="E577" s="1"/>
      <c r="F577" s="10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68"/>
      <c r="R577" s="10"/>
      <c r="S577" s="1"/>
      <c r="T577" s="1"/>
      <c r="U577" s="1"/>
      <c r="V577" s="2"/>
      <c r="W577" s="10"/>
      <c r="X577" s="10"/>
      <c r="Y577" s="10"/>
      <c r="Z577" s="10"/>
      <c r="AA577" s="10"/>
      <c r="AB577" s="10"/>
      <c r="AC577" s="20"/>
      <c r="AD577" s="20"/>
      <c r="AE577" s="10"/>
      <c r="AF577" s="10"/>
      <c r="AG577" s="10"/>
      <c r="AH577" s="10"/>
      <c r="AI577" s="10"/>
      <c r="AJ577" s="20"/>
      <c r="AK577" s="20"/>
      <c r="AL577" s="10"/>
    </row>
    <row r="578" spans="1:38" ht="13.2">
      <c r="A578" s="1"/>
      <c r="B578" s="1"/>
      <c r="C578" s="67"/>
      <c r="D578" s="1"/>
      <c r="E578" s="1"/>
      <c r="F578" s="10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68"/>
      <c r="R578" s="10"/>
      <c r="S578" s="1"/>
      <c r="T578" s="1"/>
      <c r="U578" s="1"/>
      <c r="V578" s="2"/>
      <c r="W578" s="10"/>
      <c r="X578" s="10"/>
      <c r="Y578" s="10"/>
      <c r="Z578" s="10"/>
      <c r="AA578" s="10"/>
      <c r="AB578" s="10"/>
      <c r="AC578" s="20"/>
      <c r="AD578" s="20"/>
      <c r="AE578" s="10"/>
      <c r="AF578" s="10"/>
      <c r="AG578" s="10"/>
      <c r="AH578" s="10"/>
      <c r="AI578" s="10"/>
      <c r="AJ578" s="20"/>
      <c r="AK578" s="20"/>
      <c r="AL578" s="10"/>
    </row>
    <row r="579" spans="1:38" ht="13.2">
      <c r="A579" s="1"/>
      <c r="B579" s="1"/>
      <c r="C579" s="67"/>
      <c r="D579" s="1"/>
      <c r="E579" s="1"/>
      <c r="F579" s="10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68"/>
      <c r="R579" s="10"/>
      <c r="S579" s="1"/>
      <c r="T579" s="1"/>
      <c r="U579" s="1"/>
      <c r="V579" s="2"/>
      <c r="W579" s="10"/>
      <c r="X579" s="10"/>
      <c r="Y579" s="10"/>
      <c r="Z579" s="10"/>
      <c r="AA579" s="10"/>
      <c r="AB579" s="10"/>
      <c r="AC579" s="20"/>
      <c r="AD579" s="20"/>
      <c r="AE579" s="10"/>
      <c r="AF579" s="10"/>
      <c r="AG579" s="10"/>
      <c r="AH579" s="10"/>
      <c r="AI579" s="10"/>
      <c r="AJ579" s="20"/>
      <c r="AK579" s="20"/>
      <c r="AL579" s="10"/>
    </row>
    <row r="580" spans="1:38" ht="13.2">
      <c r="A580" s="1"/>
      <c r="B580" s="1"/>
      <c r="C580" s="67"/>
      <c r="D580" s="1"/>
      <c r="E580" s="1"/>
      <c r="F580" s="10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68"/>
      <c r="R580" s="10"/>
      <c r="S580" s="1"/>
      <c r="T580" s="1"/>
      <c r="U580" s="1"/>
      <c r="V580" s="2"/>
      <c r="W580" s="10"/>
      <c r="X580" s="10"/>
      <c r="Y580" s="10"/>
      <c r="Z580" s="10"/>
      <c r="AA580" s="10"/>
      <c r="AB580" s="10"/>
      <c r="AC580" s="20"/>
      <c r="AD580" s="20"/>
      <c r="AE580" s="10"/>
      <c r="AF580" s="10"/>
      <c r="AG580" s="10"/>
      <c r="AH580" s="10"/>
      <c r="AI580" s="10"/>
      <c r="AJ580" s="20"/>
      <c r="AK580" s="20"/>
      <c r="AL580" s="10"/>
    </row>
    <row r="581" spans="1:38" ht="13.2">
      <c r="A581" s="1"/>
      <c r="B581" s="1"/>
      <c r="C581" s="67"/>
      <c r="D581" s="1"/>
      <c r="E581" s="1"/>
      <c r="F581" s="10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68"/>
      <c r="R581" s="10"/>
      <c r="S581" s="1"/>
      <c r="T581" s="1"/>
      <c r="U581" s="1"/>
      <c r="V581" s="2"/>
      <c r="W581" s="10"/>
      <c r="X581" s="10"/>
      <c r="Y581" s="10"/>
      <c r="Z581" s="10"/>
      <c r="AA581" s="10"/>
      <c r="AB581" s="10"/>
      <c r="AC581" s="20"/>
      <c r="AD581" s="20"/>
      <c r="AE581" s="10"/>
      <c r="AF581" s="10"/>
      <c r="AG581" s="10"/>
      <c r="AH581" s="10"/>
      <c r="AI581" s="10"/>
      <c r="AJ581" s="20"/>
      <c r="AK581" s="20"/>
      <c r="AL581" s="10"/>
    </row>
    <row r="582" spans="1:38" ht="13.2">
      <c r="A582" s="1"/>
      <c r="B582" s="1"/>
      <c r="C582" s="67"/>
      <c r="D582" s="1"/>
      <c r="E582" s="1"/>
      <c r="F582" s="10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68"/>
      <c r="R582" s="10"/>
      <c r="S582" s="1"/>
      <c r="T582" s="1"/>
      <c r="U582" s="1"/>
      <c r="V582" s="2"/>
      <c r="W582" s="10"/>
      <c r="X582" s="10"/>
      <c r="Y582" s="10"/>
      <c r="Z582" s="10"/>
      <c r="AA582" s="10"/>
      <c r="AB582" s="10"/>
      <c r="AC582" s="20"/>
      <c r="AD582" s="20"/>
      <c r="AE582" s="10"/>
      <c r="AF582" s="10"/>
      <c r="AG582" s="10"/>
      <c r="AH582" s="10"/>
      <c r="AI582" s="10"/>
      <c r="AJ582" s="20"/>
      <c r="AK582" s="20"/>
      <c r="AL582" s="10"/>
    </row>
    <row r="583" spans="1:38" ht="13.2">
      <c r="A583" s="1"/>
      <c r="B583" s="1"/>
      <c r="C583" s="67"/>
      <c r="D583" s="1"/>
      <c r="E583" s="1"/>
      <c r="F583" s="10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68"/>
      <c r="R583" s="10"/>
      <c r="S583" s="1"/>
      <c r="T583" s="1"/>
      <c r="U583" s="1"/>
      <c r="V583" s="2"/>
      <c r="W583" s="10"/>
      <c r="X583" s="10"/>
      <c r="Y583" s="10"/>
      <c r="Z583" s="10"/>
      <c r="AA583" s="10"/>
      <c r="AB583" s="10"/>
      <c r="AC583" s="20"/>
      <c r="AD583" s="20"/>
      <c r="AE583" s="10"/>
      <c r="AF583" s="10"/>
      <c r="AG583" s="10"/>
      <c r="AH583" s="10"/>
      <c r="AI583" s="10"/>
      <c r="AJ583" s="20"/>
      <c r="AK583" s="20"/>
      <c r="AL583" s="10"/>
    </row>
    <row r="584" spans="1:38" ht="13.2">
      <c r="A584" s="1"/>
      <c r="B584" s="1"/>
      <c r="C584" s="67"/>
      <c r="D584" s="1"/>
      <c r="E584" s="1"/>
      <c r="F584" s="10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68"/>
      <c r="R584" s="10"/>
      <c r="S584" s="1"/>
      <c r="T584" s="1"/>
      <c r="U584" s="1"/>
      <c r="V584" s="2"/>
      <c r="W584" s="10"/>
      <c r="X584" s="10"/>
      <c r="Y584" s="10"/>
      <c r="Z584" s="10"/>
      <c r="AA584" s="10"/>
      <c r="AB584" s="10"/>
      <c r="AC584" s="20"/>
      <c r="AD584" s="20"/>
      <c r="AE584" s="10"/>
      <c r="AF584" s="10"/>
      <c r="AG584" s="10"/>
      <c r="AH584" s="10"/>
      <c r="AI584" s="10"/>
      <c r="AJ584" s="20"/>
      <c r="AK584" s="20"/>
      <c r="AL584" s="10"/>
    </row>
    <row r="585" spans="1:38" ht="13.2">
      <c r="A585" s="1"/>
      <c r="B585" s="1"/>
      <c r="C585" s="67"/>
      <c r="D585" s="1"/>
      <c r="E585" s="1"/>
      <c r="F585" s="10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68"/>
      <c r="R585" s="10"/>
      <c r="S585" s="1"/>
      <c r="T585" s="1"/>
      <c r="U585" s="1"/>
      <c r="V585" s="2"/>
      <c r="W585" s="10"/>
      <c r="X585" s="10"/>
      <c r="Y585" s="10"/>
      <c r="Z585" s="10"/>
      <c r="AA585" s="10"/>
      <c r="AB585" s="10"/>
      <c r="AC585" s="20"/>
      <c r="AD585" s="20"/>
      <c r="AE585" s="10"/>
      <c r="AF585" s="10"/>
      <c r="AG585" s="10"/>
      <c r="AH585" s="10"/>
      <c r="AI585" s="10"/>
      <c r="AJ585" s="20"/>
      <c r="AK585" s="20"/>
      <c r="AL585" s="10"/>
    </row>
    <row r="586" spans="1:38" ht="13.2">
      <c r="A586" s="1"/>
      <c r="B586" s="1"/>
      <c r="C586" s="67"/>
      <c r="D586" s="1"/>
      <c r="E586" s="1"/>
      <c r="F586" s="10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68"/>
      <c r="R586" s="10"/>
      <c r="S586" s="1"/>
      <c r="T586" s="1"/>
      <c r="U586" s="1"/>
      <c r="V586" s="2"/>
      <c r="W586" s="10"/>
      <c r="X586" s="10"/>
      <c r="Y586" s="10"/>
      <c r="Z586" s="10"/>
      <c r="AA586" s="10"/>
      <c r="AB586" s="10"/>
      <c r="AC586" s="20"/>
      <c r="AD586" s="20"/>
      <c r="AE586" s="10"/>
      <c r="AF586" s="10"/>
      <c r="AG586" s="10"/>
      <c r="AH586" s="10"/>
      <c r="AI586" s="10"/>
      <c r="AJ586" s="20"/>
      <c r="AK586" s="20"/>
      <c r="AL586" s="10"/>
    </row>
    <row r="587" spans="1:38" ht="13.2">
      <c r="A587" s="1"/>
      <c r="B587" s="1"/>
      <c r="C587" s="67"/>
      <c r="D587" s="1"/>
      <c r="E587" s="1"/>
      <c r="F587" s="10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68"/>
      <c r="R587" s="10"/>
      <c r="S587" s="1"/>
      <c r="T587" s="1"/>
      <c r="U587" s="1"/>
      <c r="V587" s="2"/>
      <c r="W587" s="10"/>
      <c r="X587" s="10"/>
      <c r="Y587" s="10"/>
      <c r="Z587" s="10"/>
      <c r="AA587" s="10"/>
      <c r="AB587" s="10"/>
      <c r="AC587" s="20"/>
      <c r="AD587" s="20"/>
      <c r="AE587" s="10"/>
      <c r="AF587" s="10"/>
      <c r="AG587" s="10"/>
      <c r="AH587" s="10"/>
      <c r="AI587" s="10"/>
      <c r="AJ587" s="20"/>
      <c r="AK587" s="20"/>
      <c r="AL587" s="10"/>
    </row>
    <row r="588" spans="1:38" ht="13.2">
      <c r="A588" s="1"/>
      <c r="B588" s="1"/>
      <c r="C588" s="67"/>
      <c r="D588" s="1"/>
      <c r="E588" s="1"/>
      <c r="F588" s="10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68"/>
      <c r="R588" s="10"/>
      <c r="S588" s="1"/>
      <c r="T588" s="1"/>
      <c r="U588" s="1"/>
      <c r="V588" s="2"/>
      <c r="W588" s="10"/>
      <c r="X588" s="10"/>
      <c r="Y588" s="10"/>
      <c r="Z588" s="10"/>
      <c r="AA588" s="10"/>
      <c r="AB588" s="10"/>
      <c r="AC588" s="20"/>
      <c r="AD588" s="20"/>
      <c r="AE588" s="10"/>
      <c r="AF588" s="10"/>
      <c r="AG588" s="10"/>
      <c r="AH588" s="10"/>
      <c r="AI588" s="10"/>
      <c r="AJ588" s="20"/>
      <c r="AK588" s="20"/>
      <c r="AL588" s="10"/>
    </row>
    <row r="589" spans="1:38" ht="13.2">
      <c r="A589" s="1"/>
      <c r="B589" s="1"/>
      <c r="C589" s="67"/>
      <c r="D589" s="1"/>
      <c r="E589" s="1"/>
      <c r="F589" s="10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68"/>
      <c r="R589" s="10"/>
      <c r="S589" s="1"/>
      <c r="T589" s="1"/>
      <c r="U589" s="1"/>
      <c r="V589" s="2"/>
      <c r="W589" s="10"/>
      <c r="X589" s="10"/>
      <c r="Y589" s="10"/>
      <c r="Z589" s="10"/>
      <c r="AA589" s="10"/>
      <c r="AB589" s="10"/>
      <c r="AC589" s="20"/>
      <c r="AD589" s="20"/>
      <c r="AE589" s="10"/>
      <c r="AF589" s="10"/>
      <c r="AG589" s="10"/>
      <c r="AH589" s="10"/>
      <c r="AI589" s="10"/>
      <c r="AJ589" s="20"/>
      <c r="AK589" s="20"/>
      <c r="AL589" s="10"/>
    </row>
    <row r="590" spans="1:38" ht="13.2">
      <c r="A590" s="1"/>
      <c r="B590" s="1"/>
      <c r="C590" s="67"/>
      <c r="D590" s="1"/>
      <c r="E590" s="1"/>
      <c r="F590" s="10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68"/>
      <c r="R590" s="10"/>
      <c r="S590" s="1"/>
      <c r="T590" s="1"/>
      <c r="U590" s="1"/>
      <c r="V590" s="2"/>
      <c r="W590" s="10"/>
      <c r="X590" s="10"/>
      <c r="Y590" s="10"/>
      <c r="Z590" s="10"/>
      <c r="AA590" s="10"/>
      <c r="AB590" s="10"/>
      <c r="AC590" s="20"/>
      <c r="AD590" s="20"/>
      <c r="AE590" s="10"/>
      <c r="AF590" s="10"/>
      <c r="AG590" s="10"/>
      <c r="AH590" s="10"/>
      <c r="AI590" s="10"/>
      <c r="AJ590" s="20"/>
      <c r="AK590" s="20"/>
      <c r="AL590" s="10"/>
    </row>
    <row r="591" spans="1:38" ht="13.2">
      <c r="A591" s="1"/>
      <c r="B591" s="1"/>
      <c r="C591" s="67"/>
      <c r="D591" s="1"/>
      <c r="E591" s="1"/>
      <c r="F591" s="10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68"/>
      <c r="R591" s="10"/>
      <c r="S591" s="1"/>
      <c r="T591" s="1"/>
      <c r="U591" s="1"/>
      <c r="V591" s="2"/>
      <c r="W591" s="10"/>
      <c r="X591" s="10"/>
      <c r="Y591" s="10"/>
      <c r="Z591" s="10"/>
      <c r="AA591" s="10"/>
      <c r="AB591" s="10"/>
      <c r="AC591" s="20"/>
      <c r="AD591" s="20"/>
      <c r="AE591" s="10"/>
      <c r="AF591" s="10"/>
      <c r="AG591" s="10"/>
      <c r="AH591" s="10"/>
      <c r="AI591" s="10"/>
      <c r="AJ591" s="20"/>
      <c r="AK591" s="20"/>
      <c r="AL591" s="10"/>
    </row>
    <row r="592" spans="1:38" ht="13.2">
      <c r="A592" s="1"/>
      <c r="B592" s="1"/>
      <c r="C592" s="67"/>
      <c r="D592" s="1"/>
      <c r="E592" s="1"/>
      <c r="F592" s="10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68"/>
      <c r="R592" s="10"/>
      <c r="S592" s="1"/>
      <c r="T592" s="1"/>
      <c r="U592" s="1"/>
      <c r="V592" s="2"/>
      <c r="W592" s="10"/>
      <c r="X592" s="10"/>
      <c r="Y592" s="10"/>
      <c r="Z592" s="10"/>
      <c r="AA592" s="10"/>
      <c r="AB592" s="10"/>
      <c r="AC592" s="20"/>
      <c r="AD592" s="20"/>
      <c r="AE592" s="10"/>
      <c r="AF592" s="10"/>
      <c r="AG592" s="10"/>
      <c r="AH592" s="10"/>
      <c r="AI592" s="10"/>
      <c r="AJ592" s="20"/>
      <c r="AK592" s="20"/>
      <c r="AL592" s="10"/>
    </row>
    <row r="593" spans="1:38" ht="13.2">
      <c r="A593" s="1"/>
      <c r="B593" s="1"/>
      <c r="C593" s="67"/>
      <c r="D593" s="1"/>
      <c r="E593" s="1"/>
      <c r="F593" s="10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68"/>
      <c r="R593" s="10"/>
      <c r="S593" s="1"/>
      <c r="T593" s="1"/>
      <c r="U593" s="1"/>
      <c r="V593" s="2"/>
      <c r="W593" s="10"/>
      <c r="X593" s="10"/>
      <c r="Y593" s="10"/>
      <c r="Z593" s="10"/>
      <c r="AA593" s="10"/>
      <c r="AB593" s="10"/>
      <c r="AC593" s="20"/>
      <c r="AD593" s="20"/>
      <c r="AE593" s="10"/>
      <c r="AF593" s="10"/>
      <c r="AG593" s="10"/>
      <c r="AH593" s="10"/>
      <c r="AI593" s="10"/>
      <c r="AJ593" s="20"/>
      <c r="AK593" s="20"/>
      <c r="AL593" s="10"/>
    </row>
    <row r="594" spans="1:38" ht="13.2">
      <c r="A594" s="1"/>
      <c r="B594" s="1"/>
      <c r="C594" s="67"/>
      <c r="D594" s="1"/>
      <c r="E594" s="1"/>
      <c r="F594" s="10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68"/>
      <c r="R594" s="10"/>
      <c r="S594" s="1"/>
      <c r="T594" s="1"/>
      <c r="U594" s="1"/>
      <c r="V594" s="2"/>
      <c r="W594" s="10"/>
      <c r="X594" s="10"/>
      <c r="Y594" s="10"/>
      <c r="Z594" s="10"/>
      <c r="AA594" s="10"/>
      <c r="AB594" s="10"/>
      <c r="AC594" s="20"/>
      <c r="AD594" s="20"/>
      <c r="AE594" s="10"/>
      <c r="AF594" s="10"/>
      <c r="AG594" s="10"/>
      <c r="AH594" s="10"/>
      <c r="AI594" s="10"/>
      <c r="AJ594" s="20"/>
      <c r="AK594" s="20"/>
      <c r="AL594" s="10"/>
    </row>
    <row r="595" spans="1:38" ht="13.2">
      <c r="A595" s="1"/>
      <c r="B595" s="1"/>
      <c r="C595" s="67"/>
      <c r="D595" s="1"/>
      <c r="E595" s="1"/>
      <c r="F595" s="10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68"/>
      <c r="R595" s="10"/>
      <c r="S595" s="1"/>
      <c r="T595" s="1"/>
      <c r="U595" s="1"/>
      <c r="V595" s="2"/>
      <c r="W595" s="10"/>
      <c r="X595" s="10"/>
      <c r="Y595" s="10"/>
      <c r="Z595" s="10"/>
      <c r="AA595" s="10"/>
      <c r="AB595" s="10"/>
      <c r="AC595" s="20"/>
      <c r="AD595" s="20"/>
      <c r="AE595" s="10"/>
      <c r="AF595" s="10"/>
      <c r="AG595" s="10"/>
      <c r="AH595" s="10"/>
      <c r="AI595" s="10"/>
      <c r="AJ595" s="20"/>
      <c r="AK595" s="20"/>
      <c r="AL595" s="10"/>
    </row>
    <row r="596" spans="1:38" ht="13.2">
      <c r="A596" s="1"/>
      <c r="B596" s="1"/>
      <c r="C596" s="67"/>
      <c r="D596" s="1"/>
      <c r="E596" s="1"/>
      <c r="F596" s="10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68"/>
      <c r="R596" s="10"/>
      <c r="S596" s="1"/>
      <c r="T596" s="1"/>
      <c r="U596" s="1"/>
      <c r="V596" s="2"/>
      <c r="W596" s="10"/>
      <c r="X596" s="10"/>
      <c r="Y596" s="10"/>
      <c r="Z596" s="10"/>
      <c r="AA596" s="10"/>
      <c r="AB596" s="10"/>
      <c r="AC596" s="20"/>
      <c r="AD596" s="20"/>
      <c r="AE596" s="10"/>
      <c r="AF596" s="10"/>
      <c r="AG596" s="10"/>
      <c r="AH596" s="10"/>
      <c r="AI596" s="10"/>
      <c r="AJ596" s="20"/>
      <c r="AK596" s="20"/>
      <c r="AL596" s="10"/>
    </row>
    <row r="597" spans="1:38" ht="13.2">
      <c r="A597" s="1"/>
      <c r="B597" s="1"/>
      <c r="C597" s="67"/>
      <c r="D597" s="1"/>
      <c r="E597" s="1"/>
      <c r="F597" s="10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68"/>
      <c r="R597" s="10"/>
      <c r="S597" s="1"/>
      <c r="T597" s="1"/>
      <c r="U597" s="1"/>
      <c r="V597" s="2"/>
      <c r="W597" s="10"/>
      <c r="X597" s="10"/>
      <c r="Y597" s="10"/>
      <c r="Z597" s="10"/>
      <c r="AA597" s="10"/>
      <c r="AB597" s="10"/>
      <c r="AC597" s="20"/>
      <c r="AD597" s="20"/>
      <c r="AE597" s="10"/>
      <c r="AF597" s="10"/>
      <c r="AG597" s="10"/>
      <c r="AH597" s="10"/>
      <c r="AI597" s="10"/>
      <c r="AJ597" s="20"/>
      <c r="AK597" s="20"/>
      <c r="AL597" s="10"/>
    </row>
    <row r="598" spans="1:38" ht="13.2">
      <c r="A598" s="1"/>
      <c r="B598" s="1"/>
      <c r="C598" s="67"/>
      <c r="D598" s="1"/>
      <c r="E598" s="1"/>
      <c r="F598" s="10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68"/>
      <c r="R598" s="10"/>
      <c r="S598" s="1"/>
      <c r="T598" s="1"/>
      <c r="U598" s="1"/>
      <c r="V598" s="2"/>
      <c r="W598" s="10"/>
      <c r="X598" s="10"/>
      <c r="Y598" s="10"/>
      <c r="Z598" s="10"/>
      <c r="AA598" s="10"/>
      <c r="AB598" s="10"/>
      <c r="AC598" s="20"/>
      <c r="AD598" s="20"/>
      <c r="AE598" s="10"/>
      <c r="AF598" s="10"/>
      <c r="AG598" s="10"/>
      <c r="AH598" s="10"/>
      <c r="AI598" s="10"/>
      <c r="AJ598" s="20"/>
      <c r="AK598" s="20"/>
      <c r="AL598" s="10"/>
    </row>
    <row r="599" spans="1:38" ht="13.2">
      <c r="A599" s="1"/>
      <c r="B599" s="1"/>
      <c r="C599" s="67"/>
      <c r="D599" s="1"/>
      <c r="E599" s="1"/>
      <c r="F599" s="10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68"/>
      <c r="R599" s="10"/>
      <c r="S599" s="1"/>
      <c r="T599" s="1"/>
      <c r="U599" s="1"/>
      <c r="V599" s="2"/>
      <c r="W599" s="10"/>
      <c r="X599" s="10"/>
      <c r="Y599" s="10"/>
      <c r="Z599" s="10"/>
      <c r="AA599" s="10"/>
      <c r="AB599" s="10"/>
      <c r="AC599" s="20"/>
      <c r="AD599" s="20"/>
      <c r="AE599" s="10"/>
      <c r="AF599" s="10"/>
      <c r="AG599" s="10"/>
      <c r="AH599" s="10"/>
      <c r="AI599" s="10"/>
      <c r="AJ599" s="20"/>
      <c r="AK599" s="20"/>
      <c r="AL599" s="10"/>
    </row>
    <row r="600" spans="1:38" ht="13.2">
      <c r="A600" s="1"/>
      <c r="B600" s="1"/>
      <c r="C600" s="67"/>
      <c r="D600" s="1"/>
      <c r="E600" s="1"/>
      <c r="F600" s="10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68"/>
      <c r="R600" s="10"/>
      <c r="S600" s="1"/>
      <c r="T600" s="1"/>
      <c r="U600" s="1"/>
      <c r="V600" s="2"/>
      <c r="W600" s="10"/>
      <c r="X600" s="10"/>
      <c r="Y600" s="10"/>
      <c r="Z600" s="10"/>
      <c r="AA600" s="10"/>
      <c r="AB600" s="10"/>
      <c r="AC600" s="20"/>
      <c r="AD600" s="20"/>
      <c r="AE600" s="10"/>
      <c r="AF600" s="10"/>
      <c r="AG600" s="10"/>
      <c r="AH600" s="10"/>
      <c r="AI600" s="10"/>
      <c r="AJ600" s="20"/>
      <c r="AK600" s="20"/>
      <c r="AL600" s="10"/>
    </row>
    <row r="601" spans="1:38" ht="13.2">
      <c r="A601" s="1"/>
      <c r="B601" s="1"/>
      <c r="C601" s="67"/>
      <c r="D601" s="1"/>
      <c r="E601" s="1"/>
      <c r="F601" s="10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68"/>
      <c r="R601" s="10"/>
      <c r="S601" s="1"/>
      <c r="T601" s="1"/>
      <c r="U601" s="1"/>
      <c r="V601" s="2"/>
      <c r="W601" s="10"/>
      <c r="X601" s="10"/>
      <c r="Y601" s="10"/>
      <c r="Z601" s="10"/>
      <c r="AA601" s="10"/>
      <c r="AB601" s="10"/>
      <c r="AC601" s="20"/>
      <c r="AD601" s="20"/>
      <c r="AE601" s="10"/>
      <c r="AF601" s="10"/>
      <c r="AG601" s="10"/>
      <c r="AH601" s="10"/>
      <c r="AI601" s="10"/>
      <c r="AJ601" s="20"/>
      <c r="AK601" s="20"/>
      <c r="AL601" s="10"/>
    </row>
    <row r="602" spans="1:38" ht="13.2">
      <c r="A602" s="1"/>
      <c r="B602" s="1"/>
      <c r="C602" s="67"/>
      <c r="D602" s="1"/>
      <c r="E602" s="1"/>
      <c r="F602" s="10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68"/>
      <c r="R602" s="10"/>
      <c r="S602" s="1"/>
      <c r="T602" s="1"/>
      <c r="U602" s="1"/>
      <c r="V602" s="2"/>
      <c r="W602" s="10"/>
      <c r="X602" s="10"/>
      <c r="Y602" s="10"/>
      <c r="Z602" s="10"/>
      <c r="AA602" s="10"/>
      <c r="AB602" s="10"/>
      <c r="AC602" s="20"/>
      <c r="AD602" s="20"/>
      <c r="AE602" s="10"/>
      <c r="AF602" s="10"/>
      <c r="AG602" s="10"/>
      <c r="AH602" s="10"/>
      <c r="AI602" s="10"/>
      <c r="AJ602" s="20"/>
      <c r="AK602" s="20"/>
      <c r="AL602" s="10"/>
    </row>
    <row r="603" spans="1:38" ht="13.2">
      <c r="A603" s="1"/>
      <c r="B603" s="1"/>
      <c r="C603" s="67"/>
      <c r="D603" s="1"/>
      <c r="E603" s="1"/>
      <c r="F603" s="10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68"/>
      <c r="R603" s="10"/>
      <c r="S603" s="1"/>
      <c r="T603" s="1"/>
      <c r="U603" s="1"/>
      <c r="V603" s="2"/>
      <c r="W603" s="10"/>
      <c r="X603" s="10"/>
      <c r="Y603" s="10"/>
      <c r="Z603" s="10"/>
      <c r="AA603" s="10"/>
      <c r="AB603" s="10"/>
      <c r="AC603" s="20"/>
      <c r="AD603" s="20"/>
      <c r="AE603" s="10"/>
      <c r="AF603" s="10"/>
      <c r="AG603" s="10"/>
      <c r="AH603" s="10"/>
      <c r="AI603" s="10"/>
      <c r="AJ603" s="20"/>
      <c r="AK603" s="20"/>
      <c r="AL603" s="10"/>
    </row>
    <row r="604" spans="1:38" ht="13.2">
      <c r="A604" s="1"/>
      <c r="B604" s="1"/>
      <c r="C604" s="67"/>
      <c r="D604" s="1"/>
      <c r="E604" s="1"/>
      <c r="F604" s="10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68"/>
      <c r="R604" s="10"/>
      <c r="S604" s="1"/>
      <c r="T604" s="1"/>
      <c r="U604" s="1"/>
      <c r="V604" s="2"/>
      <c r="W604" s="10"/>
      <c r="X604" s="10"/>
      <c r="Y604" s="10"/>
      <c r="Z604" s="10"/>
      <c r="AA604" s="10"/>
      <c r="AB604" s="10"/>
      <c r="AC604" s="20"/>
      <c r="AD604" s="20"/>
      <c r="AE604" s="10"/>
      <c r="AF604" s="10"/>
      <c r="AG604" s="10"/>
      <c r="AH604" s="10"/>
      <c r="AI604" s="10"/>
      <c r="AJ604" s="20"/>
      <c r="AK604" s="20"/>
      <c r="AL604" s="10"/>
    </row>
    <row r="605" spans="1:38" ht="13.2">
      <c r="A605" s="1"/>
      <c r="B605" s="1"/>
      <c r="C605" s="67"/>
      <c r="D605" s="1"/>
      <c r="E605" s="1"/>
      <c r="F605" s="10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68"/>
      <c r="R605" s="10"/>
      <c r="S605" s="1"/>
      <c r="T605" s="1"/>
      <c r="U605" s="1"/>
      <c r="V605" s="2"/>
      <c r="W605" s="10"/>
      <c r="X605" s="10"/>
      <c r="Y605" s="10"/>
      <c r="Z605" s="10"/>
      <c r="AA605" s="10"/>
      <c r="AB605" s="10"/>
      <c r="AC605" s="20"/>
      <c r="AD605" s="20"/>
      <c r="AE605" s="10"/>
      <c r="AF605" s="10"/>
      <c r="AG605" s="10"/>
      <c r="AH605" s="10"/>
      <c r="AI605" s="10"/>
      <c r="AJ605" s="20"/>
      <c r="AK605" s="20"/>
      <c r="AL605" s="10"/>
    </row>
    <row r="606" spans="1:38" ht="13.2">
      <c r="A606" s="1"/>
      <c r="B606" s="1"/>
      <c r="C606" s="67"/>
      <c r="D606" s="1"/>
      <c r="E606" s="1"/>
      <c r="F606" s="10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68"/>
      <c r="R606" s="10"/>
      <c r="S606" s="1"/>
      <c r="T606" s="1"/>
      <c r="U606" s="1"/>
      <c r="V606" s="2"/>
      <c r="W606" s="10"/>
      <c r="X606" s="10"/>
      <c r="Y606" s="10"/>
      <c r="Z606" s="10"/>
      <c r="AA606" s="10"/>
      <c r="AB606" s="10"/>
      <c r="AC606" s="20"/>
      <c r="AD606" s="20"/>
      <c r="AE606" s="10"/>
      <c r="AF606" s="10"/>
      <c r="AG606" s="10"/>
      <c r="AH606" s="10"/>
      <c r="AI606" s="10"/>
      <c r="AJ606" s="20"/>
      <c r="AK606" s="20"/>
      <c r="AL606" s="10"/>
    </row>
    <row r="607" spans="1:38" ht="13.2">
      <c r="A607" s="1"/>
      <c r="B607" s="1"/>
      <c r="C607" s="67"/>
      <c r="D607" s="1"/>
      <c r="E607" s="1"/>
      <c r="F607" s="10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68"/>
      <c r="R607" s="10"/>
      <c r="S607" s="1"/>
      <c r="T607" s="1"/>
      <c r="U607" s="1"/>
      <c r="V607" s="2"/>
      <c r="W607" s="10"/>
      <c r="X607" s="10"/>
      <c r="Y607" s="10"/>
      <c r="Z607" s="10"/>
      <c r="AA607" s="10"/>
      <c r="AB607" s="10"/>
      <c r="AC607" s="20"/>
      <c r="AD607" s="20"/>
      <c r="AE607" s="10"/>
      <c r="AF607" s="10"/>
      <c r="AG607" s="10"/>
      <c r="AH607" s="10"/>
      <c r="AI607" s="10"/>
      <c r="AJ607" s="20"/>
      <c r="AK607" s="20"/>
      <c r="AL607" s="10"/>
    </row>
  </sheetData>
  <mergeCells count="768">
    <mergeCell ref="D500:E500"/>
    <mergeCell ref="D401:E401"/>
    <mergeCell ref="D402:E402"/>
    <mergeCell ref="D403:E403"/>
    <mergeCell ref="D404:E404"/>
    <mergeCell ref="D405:E405"/>
    <mergeCell ref="D406:E406"/>
    <mergeCell ref="D407:E407"/>
    <mergeCell ref="D408:E408"/>
    <mergeCell ref="D409:E409"/>
    <mergeCell ref="D410:E410"/>
    <mergeCell ref="D411:E411"/>
    <mergeCell ref="D412:E412"/>
    <mergeCell ref="D413:E413"/>
    <mergeCell ref="D414:E414"/>
    <mergeCell ref="D415:E415"/>
    <mergeCell ref="D416:E416"/>
    <mergeCell ref="D417:E417"/>
    <mergeCell ref="D418:E418"/>
    <mergeCell ref="D419:E419"/>
    <mergeCell ref="D420:E420"/>
    <mergeCell ref="D421:E421"/>
    <mergeCell ref="D422:E422"/>
    <mergeCell ref="D423:E423"/>
    <mergeCell ref="D424:E424"/>
    <mergeCell ref="D493:E493"/>
    <mergeCell ref="D494:E494"/>
    <mergeCell ref="D495:E495"/>
    <mergeCell ref="D496:E496"/>
    <mergeCell ref="D497:E497"/>
    <mergeCell ref="D498:E498"/>
    <mergeCell ref="D499:E499"/>
    <mergeCell ref="D476:E476"/>
    <mergeCell ref="D477:E477"/>
    <mergeCell ref="D478:E478"/>
    <mergeCell ref="D479:E479"/>
    <mergeCell ref="D480:E480"/>
    <mergeCell ref="D481:E481"/>
    <mergeCell ref="D482:E482"/>
    <mergeCell ref="D483:E483"/>
    <mergeCell ref="D484:E484"/>
    <mergeCell ref="D485:E485"/>
    <mergeCell ref="D486:E486"/>
    <mergeCell ref="D487:E487"/>
    <mergeCell ref="D488:E488"/>
    <mergeCell ref="D489:E489"/>
    <mergeCell ref="D490:E490"/>
    <mergeCell ref="D491:E491"/>
    <mergeCell ref="D492:E492"/>
    <mergeCell ref="D269:E269"/>
    <mergeCell ref="D270:E270"/>
    <mergeCell ref="D271:E271"/>
    <mergeCell ref="D272:E272"/>
    <mergeCell ref="D273:E273"/>
    <mergeCell ref="D274:E274"/>
    <mergeCell ref="E471:G471"/>
    <mergeCell ref="C474:D474"/>
    <mergeCell ref="E474:G474"/>
    <mergeCell ref="C475:D475"/>
    <mergeCell ref="E475:G475"/>
    <mergeCell ref="D425:E425"/>
    <mergeCell ref="D426:E426"/>
    <mergeCell ref="D243:E243"/>
    <mergeCell ref="D244:E244"/>
    <mergeCell ref="D245:E24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C228:D228"/>
    <mergeCell ref="E228:G228"/>
    <mergeCell ref="C229:D229"/>
    <mergeCell ref="E229:G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38:E238"/>
    <mergeCell ref="D239:E239"/>
    <mergeCell ref="D240:E240"/>
    <mergeCell ref="D241:E241"/>
    <mergeCell ref="D242:E242"/>
    <mergeCell ref="D199:E199"/>
    <mergeCell ref="D200:E200"/>
    <mergeCell ref="D201:E201"/>
    <mergeCell ref="D202:E202"/>
    <mergeCell ref="D203:E203"/>
    <mergeCell ref="D204:E204"/>
    <mergeCell ref="D205:E205"/>
    <mergeCell ref="D206:E206"/>
    <mergeCell ref="D207:E207"/>
    <mergeCell ref="D208:E208"/>
    <mergeCell ref="D209:E209"/>
    <mergeCell ref="D210:E210"/>
    <mergeCell ref="D211:E211"/>
    <mergeCell ref="D212:E212"/>
    <mergeCell ref="D213:E213"/>
    <mergeCell ref="D214:E214"/>
    <mergeCell ref="E225:G225"/>
    <mergeCell ref="D216:E216"/>
    <mergeCell ref="E173:G173"/>
    <mergeCell ref="C176:D176"/>
    <mergeCell ref="E176:G176"/>
    <mergeCell ref="C177:D177"/>
    <mergeCell ref="E177:G177"/>
    <mergeCell ref="D178:E178"/>
    <mergeCell ref="D179:E179"/>
    <mergeCell ref="D180:E180"/>
    <mergeCell ref="D181:E181"/>
    <mergeCell ref="D182:E182"/>
    <mergeCell ref="D183:E183"/>
    <mergeCell ref="D184:E184"/>
    <mergeCell ref="D185:E185"/>
    <mergeCell ref="D186:E186"/>
    <mergeCell ref="D187:E187"/>
    <mergeCell ref="D188:E188"/>
    <mergeCell ref="D189:E189"/>
    <mergeCell ref="D190:E190"/>
    <mergeCell ref="D191:E191"/>
    <mergeCell ref="D192:E192"/>
    <mergeCell ref="D193:E193"/>
    <mergeCell ref="D194:E194"/>
    <mergeCell ref="D195:E195"/>
    <mergeCell ref="D196:E196"/>
    <mergeCell ref="D197:E197"/>
    <mergeCell ref="D198:E198"/>
    <mergeCell ref="D140:E140"/>
    <mergeCell ref="D141:E141"/>
    <mergeCell ref="D142:E142"/>
    <mergeCell ref="D143:E143"/>
    <mergeCell ref="D144:E144"/>
    <mergeCell ref="D145:E145"/>
    <mergeCell ref="D146:E146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55:E155"/>
    <mergeCell ref="D156:E156"/>
    <mergeCell ref="D123:E123"/>
    <mergeCell ref="D124:E124"/>
    <mergeCell ref="D125:E125"/>
    <mergeCell ref="D126:E126"/>
    <mergeCell ref="D127:E127"/>
    <mergeCell ref="D128:E128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38:E138"/>
    <mergeCell ref="D139:E139"/>
    <mergeCell ref="D90:E90"/>
    <mergeCell ref="D91:E91"/>
    <mergeCell ref="D92:E92"/>
    <mergeCell ref="D93:E93"/>
    <mergeCell ref="D94:E94"/>
    <mergeCell ref="D95:E95"/>
    <mergeCell ref="D96:E96"/>
    <mergeCell ref="D97:E97"/>
    <mergeCell ref="E111:G111"/>
    <mergeCell ref="C114:D114"/>
    <mergeCell ref="E114:G114"/>
    <mergeCell ref="C115:D115"/>
    <mergeCell ref="E115:G115"/>
    <mergeCell ref="D116:E116"/>
    <mergeCell ref="D117:E117"/>
    <mergeCell ref="D118:E118"/>
    <mergeCell ref="D119:E119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E56:G56"/>
    <mergeCell ref="C59:D59"/>
    <mergeCell ref="E59:G59"/>
    <mergeCell ref="C60:D60"/>
    <mergeCell ref="E60:G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E394:G394"/>
    <mergeCell ref="C397:D397"/>
    <mergeCell ref="E397:G397"/>
    <mergeCell ref="C398:D398"/>
    <mergeCell ref="E398:G398"/>
    <mergeCell ref="D399:E399"/>
    <mergeCell ref="D400:E400"/>
    <mergeCell ref="D98:E98"/>
    <mergeCell ref="D99:E99"/>
    <mergeCell ref="D100:E100"/>
    <mergeCell ref="D101:E101"/>
    <mergeCell ref="D102:E102"/>
    <mergeCell ref="D120:E120"/>
    <mergeCell ref="D121:E121"/>
    <mergeCell ref="D122:E122"/>
    <mergeCell ref="D336:E336"/>
    <mergeCell ref="D337:E337"/>
    <mergeCell ref="D338:E338"/>
    <mergeCell ref="D339:E339"/>
    <mergeCell ref="D340:E340"/>
    <mergeCell ref="D341:E341"/>
    <mergeCell ref="D342:E342"/>
    <mergeCell ref="D343:E343"/>
    <mergeCell ref="D344:E344"/>
    <mergeCell ref="D345:E345"/>
    <mergeCell ref="D346:E346"/>
    <mergeCell ref="D347:E347"/>
    <mergeCell ref="D348:E348"/>
    <mergeCell ref="E319:G319"/>
    <mergeCell ref="C322:D322"/>
    <mergeCell ref="E322:G322"/>
    <mergeCell ref="C323:D323"/>
    <mergeCell ref="E323:G323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D333:E333"/>
    <mergeCell ref="D334:E334"/>
    <mergeCell ref="D335:E335"/>
    <mergeCell ref="P206:Q206"/>
    <mergeCell ref="P207:Q207"/>
    <mergeCell ref="P208:Q208"/>
    <mergeCell ref="P209:Q209"/>
    <mergeCell ref="P210:Q210"/>
    <mergeCell ref="P211:Q211"/>
    <mergeCell ref="P212:Q212"/>
    <mergeCell ref="P213:Q213"/>
    <mergeCell ref="P214:Q214"/>
    <mergeCell ref="P216:Q216"/>
    <mergeCell ref="C219:T222"/>
    <mergeCell ref="P215:Q215"/>
    <mergeCell ref="D215:E215"/>
    <mergeCell ref="P87:Q87"/>
    <mergeCell ref="P88:Q88"/>
    <mergeCell ref="P89:Q89"/>
    <mergeCell ref="P90:Q90"/>
    <mergeCell ref="P91:Q91"/>
    <mergeCell ref="P92:Q92"/>
    <mergeCell ref="P180:Q180"/>
    <mergeCell ref="P181:Q181"/>
    <mergeCell ref="P182:Q182"/>
    <mergeCell ref="P183:Q183"/>
    <mergeCell ref="P184:Q184"/>
    <mergeCell ref="P185:Q185"/>
    <mergeCell ref="P186:Q186"/>
    <mergeCell ref="P187:Q187"/>
    <mergeCell ref="P188:Q188"/>
    <mergeCell ref="P189:Q189"/>
    <mergeCell ref="P190:Q190"/>
    <mergeCell ref="P70:Q70"/>
    <mergeCell ref="P71:Q71"/>
    <mergeCell ref="P72:Q72"/>
    <mergeCell ref="P73:Q73"/>
    <mergeCell ref="P74:Q74"/>
    <mergeCell ref="P75:Q75"/>
    <mergeCell ref="P76:Q76"/>
    <mergeCell ref="P77:Q77"/>
    <mergeCell ref="P78:Q78"/>
    <mergeCell ref="P79:Q79"/>
    <mergeCell ref="P80:Q80"/>
    <mergeCell ref="P81:Q81"/>
    <mergeCell ref="P82:Q82"/>
    <mergeCell ref="P83:Q83"/>
    <mergeCell ref="P84:Q84"/>
    <mergeCell ref="P85:Q85"/>
    <mergeCell ref="P86:Q86"/>
    <mergeCell ref="Q56:R56"/>
    <mergeCell ref="Q57:T57"/>
    <mergeCell ref="O59:P59"/>
    <mergeCell ref="Q59:S59"/>
    <mergeCell ref="Z59:AA59"/>
    <mergeCell ref="O60:P60"/>
    <mergeCell ref="Q60:S60"/>
    <mergeCell ref="Z60:AA60"/>
    <mergeCell ref="P61:Q61"/>
    <mergeCell ref="P62:Q62"/>
    <mergeCell ref="P63:Q63"/>
    <mergeCell ref="P64:Q64"/>
    <mergeCell ref="P65:Q65"/>
    <mergeCell ref="P66:Q66"/>
    <mergeCell ref="P67:Q67"/>
    <mergeCell ref="P68:Q68"/>
    <mergeCell ref="P69:Q69"/>
    <mergeCell ref="D42:E42"/>
    <mergeCell ref="D43:E43"/>
    <mergeCell ref="D44:E44"/>
    <mergeCell ref="D45:E45"/>
    <mergeCell ref="D46:E46"/>
    <mergeCell ref="D47:E47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AE59:AF59"/>
    <mergeCell ref="AG59:AH59"/>
    <mergeCell ref="AE60:AF60"/>
    <mergeCell ref="AG60:AH60"/>
    <mergeCell ref="B9:C9"/>
    <mergeCell ref="D9:E9"/>
    <mergeCell ref="F9:H9"/>
    <mergeCell ref="I9:J9"/>
    <mergeCell ref="B10:C10"/>
    <mergeCell ref="D10:E10"/>
    <mergeCell ref="F10:H10"/>
    <mergeCell ref="I10:J10"/>
    <mergeCell ref="E11:G11"/>
    <mergeCell ref="C14:D14"/>
    <mergeCell ref="E14:G14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P33:Q33"/>
    <mergeCell ref="P34:Q34"/>
    <mergeCell ref="P35:Q35"/>
    <mergeCell ref="P36:Q36"/>
    <mergeCell ref="P37:Q37"/>
    <mergeCell ref="P38:Q38"/>
    <mergeCell ref="P39:Q39"/>
    <mergeCell ref="P40:Q40"/>
    <mergeCell ref="P41:Q41"/>
    <mergeCell ref="P42:Q42"/>
    <mergeCell ref="P43:Q43"/>
    <mergeCell ref="P44:Q44"/>
    <mergeCell ref="P45:Q45"/>
    <mergeCell ref="P46:Q46"/>
    <mergeCell ref="P47:Q47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P25:Q25"/>
    <mergeCell ref="P26:Q26"/>
    <mergeCell ref="P27:Q27"/>
    <mergeCell ref="P28:Q28"/>
    <mergeCell ref="P29:Q29"/>
    <mergeCell ref="P30:Q30"/>
    <mergeCell ref="P31:Q31"/>
    <mergeCell ref="P32:Q32"/>
    <mergeCell ref="C50:T53"/>
    <mergeCell ref="Z14:AA14"/>
    <mergeCell ref="AE14:AF14"/>
    <mergeCell ref="AG14:AH14"/>
    <mergeCell ref="Z15:AA15"/>
    <mergeCell ref="AE15:AF15"/>
    <mergeCell ref="AG15:AH15"/>
    <mergeCell ref="R7:T7"/>
    <mergeCell ref="R8:T8"/>
    <mergeCell ref="R9:T9"/>
    <mergeCell ref="R10:T10"/>
    <mergeCell ref="Q11:R11"/>
    <mergeCell ref="Q12:T12"/>
    <mergeCell ref="Q14:S14"/>
    <mergeCell ref="Q15:S15"/>
    <mergeCell ref="C15:D15"/>
    <mergeCell ref="E15:G15"/>
    <mergeCell ref="P6:Q6"/>
    <mergeCell ref="P7:Q7"/>
    <mergeCell ref="P8:Q8"/>
    <mergeCell ref="P9:Q9"/>
    <mergeCell ref="P10:Q10"/>
    <mergeCell ref="O14:P14"/>
    <mergeCell ref="O15:P15"/>
    <mergeCell ref="F1:U1"/>
    <mergeCell ref="B2:C2"/>
    <mergeCell ref="D2:E2"/>
    <mergeCell ref="F2:H2"/>
    <mergeCell ref="R2:T2"/>
    <mergeCell ref="B3:C3"/>
    <mergeCell ref="I3:J3"/>
    <mergeCell ref="R3:T3"/>
    <mergeCell ref="D3:E3"/>
    <mergeCell ref="F3:H3"/>
    <mergeCell ref="B4:C4"/>
    <mergeCell ref="D4:E4"/>
    <mergeCell ref="F4:H4"/>
    <mergeCell ref="I4:J4"/>
    <mergeCell ref="I5:J5"/>
    <mergeCell ref="P2:Q2"/>
    <mergeCell ref="P3:Q3"/>
    <mergeCell ref="P4:Q4"/>
    <mergeCell ref="R4:T4"/>
    <mergeCell ref="P5:Q5"/>
    <mergeCell ref="R5:T5"/>
    <mergeCell ref="C429:T432"/>
    <mergeCell ref="P478:Q478"/>
    <mergeCell ref="P479:Q479"/>
    <mergeCell ref="P480:Q480"/>
    <mergeCell ref="P481:Q481"/>
    <mergeCell ref="P482:Q482"/>
    <mergeCell ref="P483:Q483"/>
    <mergeCell ref="P484:Q484"/>
    <mergeCell ref="D5:E5"/>
    <mergeCell ref="F5:H5"/>
    <mergeCell ref="F6:H6"/>
    <mergeCell ref="I6:J6"/>
    <mergeCell ref="F7:H7"/>
    <mergeCell ref="I7:J7"/>
    <mergeCell ref="F8:H8"/>
    <mergeCell ref="I8:J8"/>
    <mergeCell ref="B5:C5"/>
    <mergeCell ref="B6:C6"/>
    <mergeCell ref="D6:E6"/>
    <mergeCell ref="B7:C7"/>
    <mergeCell ref="D7:E7"/>
    <mergeCell ref="B8:C8"/>
    <mergeCell ref="D8:E8"/>
    <mergeCell ref="R6:T6"/>
    <mergeCell ref="P425:Q425"/>
    <mergeCell ref="P426:Q426"/>
    <mergeCell ref="P408:Q408"/>
    <mergeCell ref="P409:Q409"/>
    <mergeCell ref="P410:Q410"/>
    <mergeCell ref="P411:Q411"/>
    <mergeCell ref="P412:Q412"/>
    <mergeCell ref="P413:Q413"/>
    <mergeCell ref="P414:Q414"/>
    <mergeCell ref="P415:Q415"/>
    <mergeCell ref="P416:Q416"/>
    <mergeCell ref="P417:Q417"/>
    <mergeCell ref="P418:Q418"/>
    <mergeCell ref="P419:Q419"/>
    <mergeCell ref="P420:Q420"/>
    <mergeCell ref="P421:Q421"/>
    <mergeCell ref="P422:Q422"/>
    <mergeCell ref="P423:Q423"/>
    <mergeCell ref="P424:Q424"/>
    <mergeCell ref="P500:Q500"/>
    <mergeCell ref="C503:T506"/>
    <mergeCell ref="P488:Q488"/>
    <mergeCell ref="P489:Q489"/>
    <mergeCell ref="P490:Q490"/>
    <mergeCell ref="P491:Q491"/>
    <mergeCell ref="P492:Q492"/>
    <mergeCell ref="P493:Q493"/>
    <mergeCell ref="P494:Q494"/>
    <mergeCell ref="P495:Q495"/>
    <mergeCell ref="P496:Q496"/>
    <mergeCell ref="P497:Q497"/>
    <mergeCell ref="P498:Q498"/>
    <mergeCell ref="P499:Q499"/>
    <mergeCell ref="Q471:R471"/>
    <mergeCell ref="Q472:T472"/>
    <mergeCell ref="O474:P474"/>
    <mergeCell ref="Q474:S474"/>
    <mergeCell ref="Z474:AA474"/>
    <mergeCell ref="AE474:AF474"/>
    <mergeCell ref="AG474:AH474"/>
    <mergeCell ref="O475:P475"/>
    <mergeCell ref="Q475:S475"/>
    <mergeCell ref="Z475:AA475"/>
    <mergeCell ref="AE475:AF475"/>
    <mergeCell ref="AG475:AH475"/>
    <mergeCell ref="P476:Q476"/>
    <mergeCell ref="P477:Q477"/>
    <mergeCell ref="P485:Q485"/>
    <mergeCell ref="P486:Q486"/>
    <mergeCell ref="P487:Q487"/>
    <mergeCell ref="Z397:AA397"/>
    <mergeCell ref="AE397:AF397"/>
    <mergeCell ref="AG397:AH397"/>
    <mergeCell ref="O398:P398"/>
    <mergeCell ref="Q398:S398"/>
    <mergeCell ref="Z398:AA398"/>
    <mergeCell ref="AE398:AF398"/>
    <mergeCell ref="AG398:AH398"/>
    <mergeCell ref="P399:Q399"/>
    <mergeCell ref="P400:Q400"/>
    <mergeCell ref="P401:Q401"/>
    <mergeCell ref="P402:Q402"/>
    <mergeCell ref="P403:Q403"/>
    <mergeCell ref="P404:Q404"/>
    <mergeCell ref="P405:Q405"/>
    <mergeCell ref="P406:Q406"/>
    <mergeCell ref="P407:Q407"/>
    <mergeCell ref="P349:Q349"/>
    <mergeCell ref="C352:T355"/>
    <mergeCell ref="Q394:R394"/>
    <mergeCell ref="Q395:T395"/>
    <mergeCell ref="O397:P397"/>
    <mergeCell ref="Q397:S397"/>
    <mergeCell ref="D349:E349"/>
    <mergeCell ref="P346:Q346"/>
    <mergeCell ref="P347:Q347"/>
    <mergeCell ref="P348:Q34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Q319:R319"/>
    <mergeCell ref="Q320:T320"/>
    <mergeCell ref="O322:P322"/>
    <mergeCell ref="Q322:S322"/>
    <mergeCell ref="Z322:AA322"/>
    <mergeCell ref="AE322:AF322"/>
    <mergeCell ref="AG322:AH322"/>
    <mergeCell ref="O323:P323"/>
    <mergeCell ref="Q323:S323"/>
    <mergeCell ref="Z323:AA323"/>
    <mergeCell ref="AE323:AF323"/>
    <mergeCell ref="AG323:AH323"/>
    <mergeCell ref="P324:Q324"/>
    <mergeCell ref="P325:Q325"/>
    <mergeCell ref="P326:Q326"/>
    <mergeCell ref="P327:Q327"/>
    <mergeCell ref="P328:Q328"/>
    <mergeCell ref="P259:Q259"/>
    <mergeCell ref="P260:Q260"/>
    <mergeCell ref="P261:Q261"/>
    <mergeCell ref="P262:Q262"/>
    <mergeCell ref="P263:Q263"/>
    <mergeCell ref="P264:Q264"/>
    <mergeCell ref="P265:Q265"/>
    <mergeCell ref="P266:Q266"/>
    <mergeCell ref="P274:Q274"/>
    <mergeCell ref="C277:T280"/>
    <mergeCell ref="P267:Q267"/>
    <mergeCell ref="P268:Q268"/>
    <mergeCell ref="P269:Q269"/>
    <mergeCell ref="P270:Q270"/>
    <mergeCell ref="P271:Q271"/>
    <mergeCell ref="P272:Q272"/>
    <mergeCell ref="P273:Q273"/>
    <mergeCell ref="D260:E260"/>
    <mergeCell ref="D261:E261"/>
    <mergeCell ref="D262:E262"/>
    <mergeCell ref="D263:E263"/>
    <mergeCell ref="D264:E264"/>
    <mergeCell ref="D265:E265"/>
    <mergeCell ref="D266:E266"/>
    <mergeCell ref="D267:E267"/>
    <mergeCell ref="D268:E268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50:Q250"/>
    <mergeCell ref="P251:Q251"/>
    <mergeCell ref="P252:Q252"/>
    <mergeCell ref="P253:Q253"/>
    <mergeCell ref="P254:Q254"/>
    <mergeCell ref="P255:Q255"/>
    <mergeCell ref="P256:Q256"/>
    <mergeCell ref="P257:Q257"/>
    <mergeCell ref="P258:Q258"/>
    <mergeCell ref="O229:P229"/>
    <mergeCell ref="Q229:S229"/>
    <mergeCell ref="Z229:AA229"/>
    <mergeCell ref="AE229:AF229"/>
    <mergeCell ref="AG229:AH229"/>
    <mergeCell ref="P230:Q230"/>
    <mergeCell ref="P231:Q231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241:Q241"/>
    <mergeCell ref="Z176:AA176"/>
    <mergeCell ref="AE176:AF176"/>
    <mergeCell ref="AG176:AH176"/>
    <mergeCell ref="O177:P177"/>
    <mergeCell ref="Q177:S177"/>
    <mergeCell ref="Z177:AA177"/>
    <mergeCell ref="AE177:AF177"/>
    <mergeCell ref="AG177:AH177"/>
    <mergeCell ref="P178:Q178"/>
    <mergeCell ref="P179:Q179"/>
    <mergeCell ref="Q225:R225"/>
    <mergeCell ref="Q226:T226"/>
    <mergeCell ref="O228:P228"/>
    <mergeCell ref="Q228:S228"/>
    <mergeCell ref="Z228:AA228"/>
    <mergeCell ref="AE228:AF228"/>
    <mergeCell ref="AG228:AH228"/>
    <mergeCell ref="P191:Q191"/>
    <mergeCell ref="P192:Q192"/>
    <mergeCell ref="P193:Q193"/>
    <mergeCell ref="P194:Q194"/>
    <mergeCell ref="P195:Q195"/>
    <mergeCell ref="P196:Q196"/>
    <mergeCell ref="P197:Q197"/>
    <mergeCell ref="P198:Q198"/>
    <mergeCell ref="P199:Q199"/>
    <mergeCell ref="P200:Q200"/>
    <mergeCell ref="P201:Q201"/>
    <mergeCell ref="P202:Q202"/>
    <mergeCell ref="P203:Q203"/>
    <mergeCell ref="P204:Q204"/>
    <mergeCell ref="P205:Q205"/>
    <mergeCell ref="P162:Q162"/>
    <mergeCell ref="P163:Q163"/>
    <mergeCell ref="C166:T169"/>
    <mergeCell ref="P153:Q153"/>
    <mergeCell ref="P154:Q154"/>
    <mergeCell ref="P155:Q155"/>
    <mergeCell ref="P156:Q156"/>
    <mergeCell ref="P157:Q157"/>
    <mergeCell ref="P158:Q158"/>
    <mergeCell ref="P159:Q159"/>
    <mergeCell ref="Q173:R173"/>
    <mergeCell ref="Q174:T174"/>
    <mergeCell ref="O176:P176"/>
    <mergeCell ref="Q176:S176"/>
    <mergeCell ref="D157:E157"/>
    <mergeCell ref="D158:E158"/>
    <mergeCell ref="D159:E159"/>
    <mergeCell ref="D160:E160"/>
    <mergeCell ref="D161:E161"/>
    <mergeCell ref="D162:E162"/>
    <mergeCell ref="D163:E163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46:Q146"/>
    <mergeCell ref="P147:Q147"/>
    <mergeCell ref="P148:Q148"/>
    <mergeCell ref="P149:Q149"/>
    <mergeCell ref="P150:Q150"/>
    <mergeCell ref="P151:Q151"/>
    <mergeCell ref="P152:Q152"/>
    <mergeCell ref="P160:Q160"/>
    <mergeCell ref="P161:Q161"/>
    <mergeCell ref="P121:Q121"/>
    <mergeCell ref="P122:Q122"/>
    <mergeCell ref="P123:Q123"/>
    <mergeCell ref="P124:Q124"/>
    <mergeCell ref="P125:Q125"/>
    <mergeCell ref="P126:Q126"/>
    <mergeCell ref="P127:Q127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P137:Q137"/>
    <mergeCell ref="Q111:R111"/>
    <mergeCell ref="Q112:T112"/>
    <mergeCell ref="O114:P114"/>
    <mergeCell ref="Q114:S114"/>
    <mergeCell ref="Z114:AA114"/>
    <mergeCell ref="AE114:AF114"/>
    <mergeCell ref="AG114:AH114"/>
    <mergeCell ref="O115:P115"/>
    <mergeCell ref="Q115:S115"/>
    <mergeCell ref="Z115:AA115"/>
    <mergeCell ref="AE115:AF115"/>
    <mergeCell ref="AG115:AH115"/>
    <mergeCell ref="P116:Q116"/>
    <mergeCell ref="P117:Q117"/>
    <mergeCell ref="P118:Q118"/>
    <mergeCell ref="P119:Q119"/>
    <mergeCell ref="P120:Q120"/>
    <mergeCell ref="P93:Q93"/>
    <mergeCell ref="P94:Q94"/>
    <mergeCell ref="P95:Q95"/>
    <mergeCell ref="P96:Q96"/>
    <mergeCell ref="P97:Q97"/>
    <mergeCell ref="P98:Q98"/>
    <mergeCell ref="P99:Q99"/>
    <mergeCell ref="P102:Q102"/>
    <mergeCell ref="C105:T108"/>
    <mergeCell ref="P100:Q100"/>
    <mergeCell ref="P101:Q10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outlinePr summaryBelow="0" summaryRight="0"/>
  </sheetPr>
  <dimension ref="A1:Y2957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defaultColWidth="14.44140625" defaultRowHeight="15.75" customHeight="1"/>
  <cols>
    <col min="2" max="2" width="17.5546875" customWidth="1"/>
    <col min="3" max="3" width="14.44140625" hidden="1"/>
    <col min="7" max="12" width="10.44140625" customWidth="1"/>
    <col min="13" max="13" width="2.5546875" customWidth="1"/>
    <col min="14" max="14" width="10.44140625" customWidth="1"/>
    <col min="15" max="15" width="2.5546875" customWidth="1"/>
    <col min="16" max="16" width="10.44140625" customWidth="1"/>
    <col min="17" max="17" width="2.5546875" customWidth="1"/>
    <col min="18" max="18" width="10.44140625" customWidth="1"/>
    <col min="19" max="19" width="2.5546875" customWidth="1"/>
    <col min="20" max="20" width="10.44140625" customWidth="1"/>
    <col min="21" max="21" width="3" customWidth="1"/>
    <col min="22" max="25" width="11.5546875" customWidth="1"/>
  </cols>
  <sheetData>
    <row r="1" spans="1:25" ht="15.75" customHeight="1">
      <c r="A1" s="71" t="str">
        <f ca="1">IFERROR(__xludf.DUMMYFUNCTION("importrange(vlookup(""DiverDB"",'Lookup-Generic'!$O:$P,2,0),""Lookup-Diver-Secure!$i:$aa"")"),"!2021
 DiverTeam: 
2334 Entries")</f>
        <v>!2021
 DiverTeam: 
2334 Entries</v>
      </c>
      <c r="B1" s="72" t="str">
        <f ca="1">IFERROR(__xludf.DUMMYFUNCTION("""COMPUTED_VALUE"""),"!2021
 DiverName: 
2334 Entries")</f>
        <v>!2021
 DiverName: 
2334 Entries</v>
      </c>
      <c r="C1" s="72" t="str">
        <f ca="1">IFERROR(__xludf.DUMMYFUNCTION("""COMPUTED_VALUE"""),"!2021
 DiverAgeOn61: 
2334 Entries")</f>
        <v>!2021
 DiverAgeOn61: 
2334 Entries</v>
      </c>
      <c r="D1" s="72" t="str">
        <f ca="1">IFERROR(__xludf.DUMMYFUNCTION("""COMPUTED_VALUE"""),"!2021
 DiverGender: 
2334 Entries
G:1288 B:1046")</f>
        <v>!2021
 DiverGender: 
2334 Entries
G:1288 B:1046</v>
      </c>
      <c r="E1" s="73" t="str">
        <f ca="1">IFERROR(__xludf.DUMMYFUNCTION("""COMPUTED_VALUE"""),"!Calculated DiverEvent
F:1214 J:500 I:346 S:274")</f>
        <v>!Calculated DiverEvent
F:1214 J:500 I:346 S:274</v>
      </c>
      <c r="F1" s="74" t="str">
        <f ca="1">IFERROR(__xludf.DUMMYFUNCTION("""COMPUTED_VALUE"""),"Calculated DiveUpEvent")</f>
        <v>Calculated DiveUpEvent</v>
      </c>
      <c r="G1" s="74" t="str">
        <f ca="1">IFERROR(__xludf.DUMMYFUNCTION("""COMPUTED_VALUE"""),"Division Lookup")</f>
        <v>Division Lookup</v>
      </c>
      <c r="H1" s="74" t="str">
        <f ca="1">IFERROR(__xludf.DUMMYFUNCTION("""COMPUTED_VALUE"""),"Club Lookup")</f>
        <v>Club Lookup</v>
      </c>
      <c r="I1" s="74" t="str">
        <f ca="1">IFERROR(__xludf.DUMMYFUNCTION("""COMPUTED_VALUE"""),"Event Sort Order")</f>
        <v>Event Sort Order</v>
      </c>
      <c r="J1" s="75" t="str">
        <f ca="1">IFERROR(__xludf.DUMMYFUNCTION("""COMPUTED_VALUE"""),"Dual Meets Diver Completed")</f>
        <v>Dual Meets Diver Completed</v>
      </c>
      <c r="K1" s="75" t="str">
        <f ca="1">IFERROR(__xludf.DUMMYFUNCTION("""COMPUTED_VALUE"""),"Diver Dual-Meet 1-4 High Score")</f>
        <v>Diver Dual-Meet 1-4 High Score</v>
      </c>
      <c r="L1" s="75" t="str">
        <f ca="1">IFERROR(__xludf.DUMMYFUNCTION("""COMPUTED_VALUE"""),"06/22/21 Dual Meet Results")</f>
        <v>06/22/21 Dual Meet Results</v>
      </c>
      <c r="M1" s="75"/>
      <c r="N1" s="75" t="str">
        <f ca="1">IFERROR(__xludf.DUMMYFUNCTION("""COMPUTED_VALUE"""),"06/29/21 Dual Meet Results")</f>
        <v>06/29/21 Dual Meet Results</v>
      </c>
      <c r="O1" s="75"/>
      <c r="P1" s="75" t="str">
        <f ca="1">IFERROR(__xludf.DUMMYFUNCTION("""COMPUTED_VALUE"""),"07/06/21 Dual Meet Results")</f>
        <v>07/06/21 Dual Meet Results</v>
      </c>
      <c r="Q1" s="75"/>
      <c r="R1" s="75" t="str">
        <f ca="1">IFERROR(__xludf.DUMMYFUNCTION("""COMPUTED_VALUE"""),"07/13/21 Dual Meet Results")</f>
        <v>07/13/21 Dual Meet Results</v>
      </c>
      <c r="S1" s="75"/>
      <c r="T1" s="75"/>
      <c r="U1" s="76"/>
      <c r="V1" s="76"/>
      <c r="W1" s="77"/>
      <c r="X1" s="77"/>
      <c r="Y1" s="77"/>
    </row>
    <row r="2" spans="1:25" ht="15.75" customHeight="1">
      <c r="A2" s="78"/>
      <c r="B2" s="79" t="str">
        <f ca="1">IFERROR(__xludf.DUMMYFUNCTION("""COMPUTED_VALUE"""),"")</f>
        <v/>
      </c>
      <c r="C2" s="78" t="str">
        <f ca="1">IFERROR(__xludf.DUMMYFUNCTION("""COMPUTED_VALUE"""),"")</f>
        <v/>
      </c>
      <c r="D2" s="78" t="str">
        <f ca="1">IFERROR(__xludf.DUMMYFUNCTION("""COMPUTED_VALUE"""),"")</f>
        <v/>
      </c>
      <c r="E2" s="80" t="str">
        <f ca="1">IFERROR(__xludf.DUMMYFUNCTION("""COMPUTED_VALUE"""),"")</f>
        <v/>
      </c>
      <c r="F2" s="80" t="str">
        <f ca="1">IFERROR(__xludf.DUMMYFUNCTION("""COMPUTED_VALUE"""),"")</f>
        <v/>
      </c>
      <c r="G2" s="80" t="str">
        <f ca="1">IFERROR(__xludf.DUMMYFUNCTION("""COMPUTED_VALUE"""),"")</f>
        <v/>
      </c>
      <c r="H2" s="80"/>
      <c r="I2" s="80" t="str">
        <f ca="1">IFERROR(__xludf.DUMMYFUNCTION("""COMPUTED_VALUE"""),"")</f>
        <v/>
      </c>
      <c r="J2" s="81">
        <f ca="1">IFERROR(__xludf.DUMMYFUNCTION("""COMPUTED_VALUE"""),0)</f>
        <v>0</v>
      </c>
      <c r="K2" s="81"/>
      <c r="L2" s="81" t="str">
        <f ca="1">IFERROR(__xludf.DUMMYFUNCTION("""COMPUTED_VALUE"""),"")</f>
        <v/>
      </c>
      <c r="M2" s="81"/>
      <c r="N2" s="81" t="str">
        <f ca="1">IFERROR(__xludf.DUMMYFUNCTION("""COMPUTED_VALUE"""),"")</f>
        <v/>
      </c>
      <c r="O2" s="81"/>
      <c r="P2" s="81" t="str">
        <f ca="1">IFERROR(__xludf.DUMMYFUNCTION("""COMPUTED_VALUE"""),"")</f>
        <v/>
      </c>
      <c r="Q2" s="81"/>
      <c r="R2" s="81" t="str">
        <f ca="1">IFERROR(__xludf.DUMMYFUNCTION("""COMPUTED_VALUE"""),"")</f>
        <v/>
      </c>
      <c r="S2" s="81"/>
      <c r="T2" s="81"/>
      <c r="U2" s="82"/>
      <c r="V2" s="82"/>
      <c r="W2" s="83"/>
      <c r="X2" s="83"/>
      <c r="Y2" s="83"/>
    </row>
    <row r="3" spans="1:25" ht="15.75" customHeight="1">
      <c r="A3" s="78" t="str">
        <f ca="1">IFERROR(__xludf.DUMMYFUNCTION("""COMPUTED_VALUE"""),"A")</f>
        <v>A</v>
      </c>
      <c r="B3" s="79" t="str">
        <f ca="1">IFERROR(__xludf.DUMMYFUNCTION("""COMPUTED_VALUE"""),"Ramona Kelshian")</f>
        <v>Ramona Kelshian</v>
      </c>
      <c r="C3" s="78">
        <f ca="1">IFERROR(__xludf.DUMMYFUNCTION("""COMPUTED_VALUE"""),8)</f>
        <v>8</v>
      </c>
      <c r="D3" s="78" t="str">
        <f ca="1">IFERROR(__xludf.DUMMYFUNCTION("""COMPUTED_VALUE"""),"G")</f>
        <v>G</v>
      </c>
      <c r="E3" s="80" t="str">
        <f ca="1">IFERROR(__xludf.DUMMYFUNCTION("""COMPUTED_VALUE"""),"F")</f>
        <v>F</v>
      </c>
      <c r="F3" s="80" t="str">
        <f ca="1">IFERROR(__xludf.DUMMYFUNCTION("""COMPUTED_VALUE"""),"J")</f>
        <v>J</v>
      </c>
      <c r="G3" s="80">
        <f ca="1">IFERROR(__xludf.DUMMYFUNCTION("""COMPUTED_VALUE"""),8)</f>
        <v>8</v>
      </c>
      <c r="H3" s="80" t="str">
        <f ca="1">IFERROR(__xludf.DUMMYFUNCTION("""COMPUTED_VALUE"""),"A")</f>
        <v>A</v>
      </c>
      <c r="I3" s="80">
        <f ca="1">IFERROR(__xludf.DUMMYFUNCTION("""COMPUTED_VALUE"""),2)</f>
        <v>2</v>
      </c>
      <c r="J3" s="81">
        <f ca="1">IFERROR(__xludf.DUMMYFUNCTION("""COMPUTED_VALUE"""),3)</f>
        <v>3</v>
      </c>
      <c r="K3" s="81">
        <f ca="1">IFERROR(__xludf.DUMMYFUNCTION("""COMPUTED_VALUE"""),72.6)</f>
        <v>72.599999999999994</v>
      </c>
      <c r="L3" s="81">
        <f ca="1">IFERROR(__xludf.DUMMYFUNCTION("""COMPUTED_VALUE"""),72.6)</f>
        <v>72.599999999999994</v>
      </c>
      <c r="M3" s="81"/>
      <c r="N3" s="81">
        <f ca="1">IFERROR(__xludf.DUMMYFUNCTION("""COMPUTED_VALUE"""),68.35)</f>
        <v>68.349999999999994</v>
      </c>
      <c r="O3" s="81"/>
      <c r="P3" s="81">
        <f ca="1">IFERROR(__xludf.DUMMYFUNCTION("""COMPUTED_VALUE"""),57.65)</f>
        <v>57.65</v>
      </c>
      <c r="Q3" s="81"/>
      <c r="R3" s="81">
        <f ca="1">IFERROR(__xludf.DUMMYFUNCTION("""COMPUTED_VALUE"""),0)</f>
        <v>0</v>
      </c>
      <c r="S3" s="81"/>
      <c r="T3" s="81"/>
      <c r="U3" s="82"/>
      <c r="V3" s="82"/>
      <c r="W3" s="83"/>
      <c r="X3" s="83"/>
      <c r="Y3" s="83"/>
    </row>
    <row r="4" spans="1:25" ht="15.75" customHeight="1">
      <c r="A4" s="78" t="str">
        <f ca="1">IFERROR(__xludf.DUMMYFUNCTION("""COMPUTED_VALUE"""),"A")</f>
        <v>A</v>
      </c>
      <c r="B4" s="79" t="str">
        <f ca="1">IFERROR(__xludf.DUMMYFUNCTION("""COMPUTED_VALUE"""),"Ben Tran")</f>
        <v>Ben Tran</v>
      </c>
      <c r="C4" s="78">
        <f ca="1">IFERROR(__xludf.DUMMYFUNCTION("""COMPUTED_VALUE"""),12)</f>
        <v>12</v>
      </c>
      <c r="D4" s="78" t="str">
        <f ca="1">IFERROR(__xludf.DUMMYFUNCTION("""COMPUTED_VALUE"""),"B")</f>
        <v>B</v>
      </c>
      <c r="E4" s="80" t="str">
        <f ca="1">IFERROR(__xludf.DUMMYFUNCTION("""COMPUTED_VALUE"""),"J")</f>
        <v>J</v>
      </c>
      <c r="F4" s="80" t="str">
        <f ca="1">IFERROR(__xludf.DUMMYFUNCTION("""COMPUTED_VALUE"""),"I")</f>
        <v>I</v>
      </c>
      <c r="G4" s="80">
        <f ca="1">IFERROR(__xludf.DUMMYFUNCTION("""COMPUTED_VALUE"""),8)</f>
        <v>8</v>
      </c>
      <c r="H4" s="80" t="str">
        <f ca="1">IFERROR(__xludf.DUMMYFUNCTION("""COMPUTED_VALUE"""),"A")</f>
        <v>A</v>
      </c>
      <c r="I4" s="80">
        <f ca="1">IFERROR(__xludf.DUMMYFUNCTION("""COMPUTED_VALUE"""),5)</f>
        <v>5</v>
      </c>
      <c r="J4" s="81">
        <f ca="1">IFERROR(__xludf.DUMMYFUNCTION("""COMPUTED_VALUE"""),4)</f>
        <v>4</v>
      </c>
      <c r="K4" s="81">
        <f ca="1">IFERROR(__xludf.DUMMYFUNCTION("""COMPUTED_VALUE"""),95.45)</f>
        <v>95.45</v>
      </c>
      <c r="L4" s="81">
        <f ca="1">IFERROR(__xludf.DUMMYFUNCTION("""COMPUTED_VALUE"""),0)</f>
        <v>0</v>
      </c>
      <c r="M4" s="81"/>
      <c r="N4" s="81">
        <f ca="1">IFERROR(__xludf.DUMMYFUNCTION("""COMPUTED_VALUE"""),63.45)</f>
        <v>63.45</v>
      </c>
      <c r="O4" s="81"/>
      <c r="P4" s="81">
        <f ca="1">IFERROR(__xludf.DUMMYFUNCTION("""COMPUTED_VALUE"""),53.35)</f>
        <v>53.35</v>
      </c>
      <c r="Q4" s="81"/>
      <c r="R4" s="81">
        <f ca="1">IFERROR(__xludf.DUMMYFUNCTION("""COMPUTED_VALUE"""),95.45)</f>
        <v>95.45</v>
      </c>
      <c r="S4" s="81"/>
      <c r="T4" s="81"/>
      <c r="U4" s="82"/>
      <c r="V4" s="82"/>
      <c r="W4" s="83"/>
      <c r="X4" s="83"/>
      <c r="Y4" s="83"/>
    </row>
    <row r="5" spans="1:25" ht="15.75" customHeight="1">
      <c r="A5" s="78" t="str">
        <f ca="1">IFERROR(__xludf.DUMMYFUNCTION("""COMPUTED_VALUE"""),"A")</f>
        <v>A</v>
      </c>
      <c r="B5" s="79" t="str">
        <f ca="1">IFERROR(__xludf.DUMMYFUNCTION("""COMPUTED_VALUE"""),"Ethan Garvin")</f>
        <v>Ethan Garvin</v>
      </c>
      <c r="C5" s="78">
        <f ca="1">IFERROR(__xludf.DUMMYFUNCTION("""COMPUTED_VALUE"""),13)</f>
        <v>13</v>
      </c>
      <c r="D5" s="78" t="str">
        <f ca="1">IFERROR(__xludf.DUMMYFUNCTION("""COMPUTED_VALUE"""),"B")</f>
        <v>B</v>
      </c>
      <c r="E5" s="80" t="str">
        <f ca="1">IFERROR(__xludf.DUMMYFUNCTION("""COMPUTED_VALUE"""),"I")</f>
        <v>I</v>
      </c>
      <c r="F5" s="80" t="str">
        <f ca="1">IFERROR(__xludf.DUMMYFUNCTION("""COMPUTED_VALUE"""),"S")</f>
        <v>S</v>
      </c>
      <c r="G5" s="80">
        <f ca="1">IFERROR(__xludf.DUMMYFUNCTION("""COMPUTED_VALUE"""),8)</f>
        <v>8</v>
      </c>
      <c r="H5" s="80" t="str">
        <f ca="1">IFERROR(__xludf.DUMMYFUNCTION("""COMPUTED_VALUE"""),"A")</f>
        <v>A</v>
      </c>
      <c r="I5" s="80">
        <f ca="1">IFERROR(__xludf.DUMMYFUNCTION("""COMPUTED_VALUE"""),7)</f>
        <v>7</v>
      </c>
      <c r="J5" s="81">
        <f ca="1">IFERROR(__xludf.DUMMYFUNCTION("""COMPUTED_VALUE"""),2)</f>
        <v>2</v>
      </c>
      <c r="K5" s="81">
        <f ca="1">IFERROR(__xludf.DUMMYFUNCTION("""COMPUTED_VALUE"""),76.75)</f>
        <v>76.75</v>
      </c>
      <c r="L5" s="81">
        <f ca="1">IFERROR(__xludf.DUMMYFUNCTION("""COMPUTED_VALUE"""),0)</f>
        <v>0</v>
      </c>
      <c r="M5" s="81"/>
      <c r="N5" s="81">
        <f ca="1">IFERROR(__xludf.DUMMYFUNCTION("""COMPUTED_VALUE"""),0)</f>
        <v>0</v>
      </c>
      <c r="O5" s="81"/>
      <c r="P5" s="81">
        <f ca="1">IFERROR(__xludf.DUMMYFUNCTION("""COMPUTED_VALUE"""),0)</f>
        <v>0</v>
      </c>
      <c r="Q5" s="81"/>
      <c r="R5" s="81">
        <f ca="1">IFERROR(__xludf.DUMMYFUNCTION("""COMPUTED_VALUE"""),76.75)</f>
        <v>76.75</v>
      </c>
      <c r="S5" s="81"/>
      <c r="T5" s="81"/>
      <c r="U5" s="82"/>
      <c r="V5" s="82"/>
      <c r="W5" s="83"/>
      <c r="X5" s="83"/>
      <c r="Y5" s="83"/>
    </row>
    <row r="6" spans="1:25" ht="15.75" customHeight="1">
      <c r="A6" s="78" t="str">
        <f ca="1">IFERROR(__xludf.DUMMYFUNCTION("""COMPUTED_VALUE"""),"A")</f>
        <v>A</v>
      </c>
      <c r="B6" s="79" t="str">
        <f ca="1">IFERROR(__xludf.DUMMYFUNCTION("""COMPUTED_VALUE"""),"Brian Tran")</f>
        <v>Brian Tran</v>
      </c>
      <c r="C6" s="78">
        <f ca="1">IFERROR(__xludf.DUMMYFUNCTION("""COMPUTED_VALUE"""),14)</f>
        <v>14</v>
      </c>
      <c r="D6" s="78" t="str">
        <f ca="1">IFERROR(__xludf.DUMMYFUNCTION("""COMPUTED_VALUE"""),"B")</f>
        <v>B</v>
      </c>
      <c r="E6" s="80" t="str">
        <f ca="1">IFERROR(__xludf.DUMMYFUNCTION("""COMPUTED_VALUE"""),"I")</f>
        <v>I</v>
      </c>
      <c r="F6" s="80" t="str">
        <f ca="1">IFERROR(__xludf.DUMMYFUNCTION("""COMPUTED_VALUE"""),"S")</f>
        <v>S</v>
      </c>
      <c r="G6" s="80">
        <f ca="1">IFERROR(__xludf.DUMMYFUNCTION("""COMPUTED_VALUE"""),8)</f>
        <v>8</v>
      </c>
      <c r="H6" s="80" t="str">
        <f ca="1">IFERROR(__xludf.DUMMYFUNCTION("""COMPUTED_VALUE"""),"A")</f>
        <v>A</v>
      </c>
      <c r="I6" s="80">
        <f ca="1">IFERROR(__xludf.DUMMYFUNCTION("""COMPUTED_VALUE"""),7)</f>
        <v>7</v>
      </c>
      <c r="J6" s="81">
        <f ca="1">IFERROR(__xludf.DUMMYFUNCTION("""COMPUTED_VALUE"""),4)</f>
        <v>4</v>
      </c>
      <c r="K6" s="81">
        <f ca="1">IFERROR(__xludf.DUMMYFUNCTION("""COMPUTED_VALUE"""),136.55)</f>
        <v>136.55000000000001</v>
      </c>
      <c r="L6" s="81">
        <f ca="1">IFERROR(__xludf.DUMMYFUNCTION("""COMPUTED_VALUE"""),0)</f>
        <v>0</v>
      </c>
      <c r="M6" s="81"/>
      <c r="N6" s="81">
        <f ca="1">IFERROR(__xludf.DUMMYFUNCTION("""COMPUTED_VALUE"""),127.05)</f>
        <v>127.05</v>
      </c>
      <c r="O6" s="81"/>
      <c r="P6" s="81">
        <f ca="1">IFERROR(__xludf.DUMMYFUNCTION("""COMPUTED_VALUE"""),100.8)</f>
        <v>100.8</v>
      </c>
      <c r="Q6" s="81"/>
      <c r="R6" s="81">
        <f ca="1">IFERROR(__xludf.DUMMYFUNCTION("""COMPUTED_VALUE"""),136.55)</f>
        <v>136.55000000000001</v>
      </c>
      <c r="S6" s="81"/>
      <c r="T6" s="81"/>
      <c r="U6" s="82"/>
      <c r="V6" s="82"/>
      <c r="W6" s="83"/>
      <c r="X6" s="83"/>
      <c r="Y6" s="83"/>
    </row>
    <row r="7" spans="1:25" ht="15.75" customHeight="1">
      <c r="A7" s="78" t="str">
        <f ca="1">IFERROR(__xludf.DUMMYFUNCTION("""COMPUTED_VALUE"""),"A")</f>
        <v>A</v>
      </c>
      <c r="B7" s="79" t="str">
        <f ca="1">IFERROR(__xludf.DUMMYFUNCTION("""COMPUTED_VALUE"""),"Mason Du")</f>
        <v>Mason Du</v>
      </c>
      <c r="C7" s="78">
        <f ca="1">IFERROR(__xludf.DUMMYFUNCTION("""COMPUTED_VALUE"""),16)</f>
        <v>16</v>
      </c>
      <c r="D7" s="78" t="str">
        <f ca="1">IFERROR(__xludf.DUMMYFUNCTION("""COMPUTED_VALUE"""),"B")</f>
        <v>B</v>
      </c>
      <c r="E7" s="80" t="str">
        <f ca="1">IFERROR(__xludf.DUMMYFUNCTION("""COMPUTED_VALUE"""),"S")</f>
        <v>S</v>
      </c>
      <c r="F7" s="80" t="str">
        <f ca="1">IFERROR(__xludf.DUMMYFUNCTION("""COMPUTED_VALUE"""),"S")</f>
        <v>S</v>
      </c>
      <c r="G7" s="80">
        <f ca="1">IFERROR(__xludf.DUMMYFUNCTION("""COMPUTED_VALUE"""),8)</f>
        <v>8</v>
      </c>
      <c r="H7" s="80" t="str">
        <f ca="1">IFERROR(__xludf.DUMMYFUNCTION("""COMPUTED_VALUE"""),"A")</f>
        <v>A</v>
      </c>
      <c r="I7" s="80">
        <f ca="1">IFERROR(__xludf.DUMMYFUNCTION("""COMPUTED_VALUE"""),9)</f>
        <v>9</v>
      </c>
      <c r="J7" s="81">
        <f ca="1">IFERROR(__xludf.DUMMYFUNCTION("""COMPUTED_VALUE"""),5)</f>
        <v>5</v>
      </c>
      <c r="K7" s="81">
        <f ca="1">IFERROR(__xludf.DUMMYFUNCTION("""COMPUTED_VALUE"""),199.45)</f>
        <v>199.45</v>
      </c>
      <c r="L7" s="81">
        <f ca="1">IFERROR(__xludf.DUMMYFUNCTION("""COMPUTED_VALUE"""),186.9)</f>
        <v>186.9</v>
      </c>
      <c r="M7" s="81"/>
      <c r="N7" s="81">
        <f ca="1">IFERROR(__xludf.DUMMYFUNCTION("""COMPUTED_VALUE"""),186.3)</f>
        <v>186.3</v>
      </c>
      <c r="O7" s="81"/>
      <c r="P7" s="81">
        <f ca="1">IFERROR(__xludf.DUMMYFUNCTION("""COMPUTED_VALUE"""),197.6)</f>
        <v>197.6</v>
      </c>
      <c r="Q7" s="81"/>
      <c r="R7" s="81">
        <f ca="1">IFERROR(__xludf.DUMMYFUNCTION("""COMPUTED_VALUE"""),199.45)</f>
        <v>199.45</v>
      </c>
      <c r="S7" s="81"/>
      <c r="T7" s="81"/>
      <c r="U7" s="82"/>
      <c r="V7" s="82"/>
      <c r="W7" s="83"/>
      <c r="X7" s="83"/>
      <c r="Y7" s="83"/>
    </row>
    <row r="8" spans="1:25" ht="15.75" customHeight="1">
      <c r="A8" s="78" t="str">
        <f ca="1">IFERROR(__xludf.DUMMYFUNCTION("""COMPUTED_VALUE"""),"A")</f>
        <v>A</v>
      </c>
      <c r="B8" s="79" t="str">
        <f ca="1">IFERROR(__xludf.DUMMYFUNCTION("""COMPUTED_VALUE"""),"Nathan Tran")</f>
        <v>Nathan Tran</v>
      </c>
      <c r="C8" s="78">
        <f ca="1">IFERROR(__xludf.DUMMYFUNCTION("""COMPUTED_VALUE"""),15)</f>
        <v>15</v>
      </c>
      <c r="D8" s="78" t="str">
        <f ca="1">IFERROR(__xludf.DUMMYFUNCTION("""COMPUTED_VALUE"""),"B")</f>
        <v>B</v>
      </c>
      <c r="E8" s="80" t="str">
        <f ca="1">IFERROR(__xludf.DUMMYFUNCTION("""COMPUTED_VALUE"""),"S")</f>
        <v>S</v>
      </c>
      <c r="F8" s="80" t="str">
        <f ca="1">IFERROR(__xludf.DUMMYFUNCTION("""COMPUTED_VALUE"""),"S")</f>
        <v>S</v>
      </c>
      <c r="G8" s="80">
        <f ca="1">IFERROR(__xludf.DUMMYFUNCTION("""COMPUTED_VALUE"""),8)</f>
        <v>8</v>
      </c>
      <c r="H8" s="80" t="str">
        <f ca="1">IFERROR(__xludf.DUMMYFUNCTION("""COMPUTED_VALUE"""),"A")</f>
        <v>A</v>
      </c>
      <c r="I8" s="80">
        <f ca="1">IFERROR(__xludf.DUMMYFUNCTION("""COMPUTED_VALUE"""),9)</f>
        <v>9</v>
      </c>
      <c r="J8" s="81">
        <f ca="1">IFERROR(__xludf.DUMMYFUNCTION("""COMPUTED_VALUE"""),5)</f>
        <v>5</v>
      </c>
      <c r="K8" s="81">
        <f ca="1">IFERROR(__xludf.DUMMYFUNCTION("""COMPUTED_VALUE"""),256.3)</f>
        <v>256.3</v>
      </c>
      <c r="L8" s="81">
        <f ca="1">IFERROR(__xludf.DUMMYFUNCTION("""COMPUTED_VALUE"""),252.6)</f>
        <v>252.6</v>
      </c>
      <c r="M8" s="81"/>
      <c r="N8" s="81">
        <f ca="1">IFERROR(__xludf.DUMMYFUNCTION("""COMPUTED_VALUE"""),256.3)</f>
        <v>256.3</v>
      </c>
      <c r="O8" s="81"/>
      <c r="P8" s="81">
        <f ca="1">IFERROR(__xludf.DUMMYFUNCTION("""COMPUTED_VALUE"""),208.65)</f>
        <v>208.65</v>
      </c>
      <c r="Q8" s="81"/>
      <c r="R8" s="81">
        <f ca="1">IFERROR(__xludf.DUMMYFUNCTION("""COMPUTED_VALUE"""),241.65)</f>
        <v>241.65</v>
      </c>
      <c r="S8" s="81"/>
      <c r="T8" s="81"/>
      <c r="U8" s="82"/>
      <c r="V8" s="82"/>
      <c r="W8" s="83"/>
      <c r="X8" s="83"/>
      <c r="Y8" s="83"/>
    </row>
    <row r="9" spans="1:25" ht="15.75" customHeight="1">
      <c r="A9" s="78" t="str">
        <f ca="1">IFERROR(__xludf.DUMMYFUNCTION("""COMPUTED_VALUE"""),"AF")</f>
        <v>AF</v>
      </c>
      <c r="B9" s="79" t="str">
        <f ca="1">IFERROR(__xludf.DUMMYFUNCTION("""COMPUTED_VALUE"""),"Bella Foshay")</f>
        <v>Bella Foshay</v>
      </c>
      <c r="C9" s="78">
        <f ca="1">IFERROR(__xludf.DUMMYFUNCTION("""COMPUTED_VALUE"""),10)</f>
        <v>10</v>
      </c>
      <c r="D9" s="78" t="str">
        <f ca="1">IFERROR(__xludf.DUMMYFUNCTION("""COMPUTED_VALUE"""),"G")</f>
        <v>G</v>
      </c>
      <c r="E9" s="80" t="str">
        <f ca="1">IFERROR(__xludf.DUMMYFUNCTION("""COMPUTED_VALUE"""),"F")</f>
        <v>F</v>
      </c>
      <c r="F9" s="80" t="str">
        <f ca="1">IFERROR(__xludf.DUMMYFUNCTION("""COMPUTED_VALUE"""),"J")</f>
        <v>J</v>
      </c>
      <c r="G9" s="80">
        <f ca="1">IFERROR(__xludf.DUMMYFUNCTION("""COMPUTED_VALUE"""),3)</f>
        <v>3</v>
      </c>
      <c r="H9" s="80" t="str">
        <f ca="1">IFERROR(__xludf.DUMMYFUNCTION("""COMPUTED_VALUE"""),"AF")</f>
        <v>AF</v>
      </c>
      <c r="I9" s="80">
        <f ca="1">IFERROR(__xludf.DUMMYFUNCTION("""COMPUTED_VALUE"""),2)</f>
        <v>2</v>
      </c>
      <c r="J9" s="81">
        <f ca="1">IFERROR(__xludf.DUMMYFUNCTION("""COMPUTED_VALUE"""),1)</f>
        <v>1</v>
      </c>
      <c r="K9" s="81">
        <f ca="1">IFERROR(__xludf.DUMMYFUNCTION("""COMPUTED_VALUE"""),0)</f>
        <v>0</v>
      </c>
      <c r="L9" s="81">
        <f ca="1">IFERROR(__xludf.DUMMYFUNCTION("""COMPUTED_VALUE"""),0)</f>
        <v>0</v>
      </c>
      <c r="M9" s="81"/>
      <c r="N9" s="81">
        <f ca="1">IFERROR(__xludf.DUMMYFUNCTION("""COMPUTED_VALUE"""),0)</f>
        <v>0</v>
      </c>
      <c r="O9" s="81"/>
      <c r="P9" s="81">
        <f ca="1">IFERROR(__xludf.DUMMYFUNCTION("""COMPUTED_VALUE"""),0)</f>
        <v>0</v>
      </c>
      <c r="Q9" s="81"/>
      <c r="R9" s="81">
        <f ca="1">IFERROR(__xludf.DUMMYFUNCTION("""COMPUTED_VALUE"""),0)</f>
        <v>0</v>
      </c>
      <c r="S9" s="81"/>
      <c r="T9" s="81"/>
      <c r="U9" s="82"/>
      <c r="V9" s="82"/>
      <c r="W9" s="83"/>
      <c r="X9" s="83"/>
      <c r="Y9" s="83"/>
    </row>
    <row r="10" spans="1:25" ht="15.75" customHeight="1">
      <c r="A10" s="78" t="str">
        <f ca="1">IFERROR(__xludf.DUMMYFUNCTION("""COMPUTED_VALUE"""),"AF")</f>
        <v>AF</v>
      </c>
      <c r="B10" s="79" t="str">
        <f ca="1">IFERROR(__xludf.DUMMYFUNCTION("""COMPUTED_VALUE"""),"Abby Galanes")</f>
        <v>Abby Galanes</v>
      </c>
      <c r="C10" s="78">
        <f ca="1">IFERROR(__xludf.DUMMYFUNCTION("""COMPUTED_VALUE"""),9)</f>
        <v>9</v>
      </c>
      <c r="D10" s="78" t="str">
        <f ca="1">IFERROR(__xludf.DUMMYFUNCTION("""COMPUTED_VALUE"""),"G")</f>
        <v>G</v>
      </c>
      <c r="E10" s="80" t="str">
        <f ca="1">IFERROR(__xludf.DUMMYFUNCTION("""COMPUTED_VALUE"""),"F")</f>
        <v>F</v>
      </c>
      <c r="F10" s="80" t="str">
        <f ca="1">IFERROR(__xludf.DUMMYFUNCTION("""COMPUTED_VALUE"""),"J")</f>
        <v>J</v>
      </c>
      <c r="G10" s="80">
        <f ca="1">IFERROR(__xludf.DUMMYFUNCTION("""COMPUTED_VALUE"""),3)</f>
        <v>3</v>
      </c>
      <c r="H10" s="80" t="str">
        <f ca="1">IFERROR(__xludf.DUMMYFUNCTION("""COMPUTED_VALUE"""),"AF")</f>
        <v>AF</v>
      </c>
      <c r="I10" s="80">
        <f ca="1">IFERROR(__xludf.DUMMYFUNCTION("""COMPUTED_VALUE"""),2)</f>
        <v>2</v>
      </c>
      <c r="J10" s="81">
        <f ca="1">IFERROR(__xludf.DUMMYFUNCTION("""COMPUTED_VALUE"""),2)</f>
        <v>2</v>
      </c>
      <c r="K10" s="81">
        <f ca="1">IFERROR(__xludf.DUMMYFUNCTION("""COMPUTED_VALUE"""),46.05)</f>
        <v>46.05</v>
      </c>
      <c r="L10" s="81">
        <f ca="1">IFERROR(__xludf.DUMMYFUNCTION("""COMPUTED_VALUE"""),0)</f>
        <v>0</v>
      </c>
      <c r="M10" s="81"/>
      <c r="N10" s="81">
        <f ca="1">IFERROR(__xludf.DUMMYFUNCTION("""COMPUTED_VALUE"""),0)</f>
        <v>0</v>
      </c>
      <c r="O10" s="81"/>
      <c r="P10" s="81">
        <f ca="1">IFERROR(__xludf.DUMMYFUNCTION("""COMPUTED_VALUE"""),46.05)</f>
        <v>46.05</v>
      </c>
      <c r="Q10" s="81"/>
      <c r="R10" s="81">
        <f ca="1">IFERROR(__xludf.DUMMYFUNCTION("""COMPUTED_VALUE"""),43.7)</f>
        <v>43.7</v>
      </c>
      <c r="S10" s="81"/>
      <c r="T10" s="81"/>
      <c r="U10" s="82"/>
      <c r="V10" s="82"/>
      <c r="W10" s="83"/>
      <c r="X10" s="83"/>
      <c r="Y10" s="83"/>
    </row>
    <row r="11" spans="1:25" ht="15.75" customHeight="1">
      <c r="A11" s="78" t="str">
        <f ca="1">IFERROR(__xludf.DUMMYFUNCTION("""COMPUTED_VALUE"""),"AF")</f>
        <v>AF</v>
      </c>
      <c r="B11" s="79" t="str">
        <f ca="1">IFERROR(__xludf.DUMMYFUNCTION("""COMPUTED_VALUE"""),"Claire Bella Polsinelli")</f>
        <v>Claire Bella Polsinelli</v>
      </c>
      <c r="C11" s="78">
        <f ca="1">IFERROR(__xludf.DUMMYFUNCTION("""COMPUTED_VALUE"""),10)</f>
        <v>10</v>
      </c>
      <c r="D11" s="78" t="str">
        <f ca="1">IFERROR(__xludf.DUMMYFUNCTION("""COMPUTED_VALUE"""),"G")</f>
        <v>G</v>
      </c>
      <c r="E11" s="80" t="str">
        <f ca="1">IFERROR(__xludf.DUMMYFUNCTION("""COMPUTED_VALUE"""),"F")</f>
        <v>F</v>
      </c>
      <c r="F11" s="80" t="str">
        <f ca="1">IFERROR(__xludf.DUMMYFUNCTION("""COMPUTED_VALUE"""),"J")</f>
        <v>J</v>
      </c>
      <c r="G11" s="80">
        <f ca="1">IFERROR(__xludf.DUMMYFUNCTION("""COMPUTED_VALUE"""),3)</f>
        <v>3</v>
      </c>
      <c r="H11" s="80" t="str">
        <f ca="1">IFERROR(__xludf.DUMMYFUNCTION("""COMPUTED_VALUE"""),"AF")</f>
        <v>AF</v>
      </c>
      <c r="I11" s="80">
        <f ca="1">IFERROR(__xludf.DUMMYFUNCTION("""COMPUTED_VALUE"""),2)</f>
        <v>2</v>
      </c>
      <c r="J11" s="81">
        <f ca="1">IFERROR(__xludf.DUMMYFUNCTION("""COMPUTED_VALUE"""),0)</f>
        <v>0</v>
      </c>
      <c r="K11" s="81">
        <f ca="1">IFERROR(__xludf.DUMMYFUNCTION("""COMPUTED_VALUE"""),0)</f>
        <v>0</v>
      </c>
      <c r="L11" s="81">
        <f ca="1">IFERROR(__xludf.DUMMYFUNCTION("""COMPUTED_VALUE"""),0)</f>
        <v>0</v>
      </c>
      <c r="M11" s="81"/>
      <c r="N11" s="81">
        <f ca="1">IFERROR(__xludf.DUMMYFUNCTION("""COMPUTED_VALUE"""),0)</f>
        <v>0</v>
      </c>
      <c r="O11" s="81"/>
      <c r="P11" s="81">
        <f ca="1">IFERROR(__xludf.DUMMYFUNCTION("""COMPUTED_VALUE"""),0)</f>
        <v>0</v>
      </c>
      <c r="Q11" s="81"/>
      <c r="R11" s="81">
        <f ca="1">IFERROR(__xludf.DUMMYFUNCTION("""COMPUTED_VALUE"""),0)</f>
        <v>0</v>
      </c>
      <c r="S11" s="81"/>
      <c r="T11" s="81"/>
      <c r="U11" s="82"/>
      <c r="V11" s="82"/>
      <c r="W11" s="83"/>
      <c r="X11" s="83"/>
      <c r="Y11" s="83"/>
    </row>
    <row r="12" spans="1:25" ht="15.75" customHeight="1">
      <c r="A12" s="78" t="str">
        <f ca="1">IFERROR(__xludf.DUMMYFUNCTION("""COMPUTED_VALUE"""),"AF")</f>
        <v>AF</v>
      </c>
      <c r="B12" s="79" t="str">
        <f ca="1">IFERROR(__xludf.DUMMYFUNCTION("""COMPUTED_VALUE"""),"Ella Turner")</f>
        <v>Ella Turner</v>
      </c>
      <c r="C12" s="78">
        <f ca="1">IFERROR(__xludf.DUMMYFUNCTION("""COMPUTED_VALUE"""),8)</f>
        <v>8</v>
      </c>
      <c r="D12" s="78" t="str">
        <f ca="1">IFERROR(__xludf.DUMMYFUNCTION("""COMPUTED_VALUE"""),"G")</f>
        <v>G</v>
      </c>
      <c r="E12" s="80" t="str">
        <f ca="1">IFERROR(__xludf.DUMMYFUNCTION("""COMPUTED_VALUE"""),"F")</f>
        <v>F</v>
      </c>
      <c r="F12" s="80" t="str">
        <f ca="1">IFERROR(__xludf.DUMMYFUNCTION("""COMPUTED_VALUE"""),"J")</f>
        <v>J</v>
      </c>
      <c r="G12" s="80">
        <f ca="1">IFERROR(__xludf.DUMMYFUNCTION("""COMPUTED_VALUE"""),3)</f>
        <v>3</v>
      </c>
      <c r="H12" s="80" t="str">
        <f ca="1">IFERROR(__xludf.DUMMYFUNCTION("""COMPUTED_VALUE"""),"AF")</f>
        <v>AF</v>
      </c>
      <c r="I12" s="80">
        <f ca="1">IFERROR(__xludf.DUMMYFUNCTION("""COMPUTED_VALUE"""),2)</f>
        <v>2</v>
      </c>
      <c r="J12" s="81">
        <f ca="1">IFERROR(__xludf.DUMMYFUNCTION("""COMPUTED_VALUE"""),5)</f>
        <v>5</v>
      </c>
      <c r="K12" s="81">
        <f ca="1">IFERROR(__xludf.DUMMYFUNCTION("""COMPUTED_VALUE"""),57.25)</f>
        <v>57.25</v>
      </c>
      <c r="L12" s="81">
        <f ca="1">IFERROR(__xludf.DUMMYFUNCTION("""COMPUTED_VALUE"""),40.75)</f>
        <v>40.75</v>
      </c>
      <c r="M12" s="81"/>
      <c r="N12" s="81">
        <f ca="1">IFERROR(__xludf.DUMMYFUNCTION("""COMPUTED_VALUE"""),57.25)</f>
        <v>57.25</v>
      </c>
      <c r="O12" s="81"/>
      <c r="P12" s="81">
        <f ca="1">IFERROR(__xludf.DUMMYFUNCTION("""COMPUTED_VALUE"""),54.25)</f>
        <v>54.25</v>
      </c>
      <c r="Q12" s="81"/>
      <c r="R12" s="81">
        <f ca="1">IFERROR(__xludf.DUMMYFUNCTION("""COMPUTED_VALUE"""),53.4)</f>
        <v>53.4</v>
      </c>
      <c r="S12" s="81"/>
      <c r="T12" s="81"/>
      <c r="U12" s="82"/>
      <c r="V12" s="82"/>
      <c r="W12" s="83"/>
      <c r="X12" s="83"/>
      <c r="Y12" s="83"/>
    </row>
    <row r="13" spans="1:25" ht="15.75" customHeight="1">
      <c r="A13" s="78" t="str">
        <f ca="1">IFERROR(__xludf.DUMMYFUNCTION("""COMPUTED_VALUE"""),"AF")</f>
        <v>AF</v>
      </c>
      <c r="B13" s="79" t="str">
        <f ca="1">IFERROR(__xludf.DUMMYFUNCTION("""COMPUTED_VALUE"""),"Olivia Turner")</f>
        <v>Olivia Turner</v>
      </c>
      <c r="C13" s="78">
        <f ca="1">IFERROR(__xludf.DUMMYFUNCTION("""COMPUTED_VALUE"""),10)</f>
        <v>10</v>
      </c>
      <c r="D13" s="78" t="str">
        <f ca="1">IFERROR(__xludf.DUMMYFUNCTION("""COMPUTED_VALUE"""),"G")</f>
        <v>G</v>
      </c>
      <c r="E13" s="80" t="str">
        <f ca="1">IFERROR(__xludf.DUMMYFUNCTION("""COMPUTED_VALUE"""),"F")</f>
        <v>F</v>
      </c>
      <c r="F13" s="80" t="str">
        <f ca="1">IFERROR(__xludf.DUMMYFUNCTION("""COMPUTED_VALUE"""),"J")</f>
        <v>J</v>
      </c>
      <c r="G13" s="80">
        <f ca="1">IFERROR(__xludf.DUMMYFUNCTION("""COMPUTED_VALUE"""),3)</f>
        <v>3</v>
      </c>
      <c r="H13" s="80" t="str">
        <f ca="1">IFERROR(__xludf.DUMMYFUNCTION("""COMPUTED_VALUE"""),"AF")</f>
        <v>AF</v>
      </c>
      <c r="I13" s="80">
        <f ca="1">IFERROR(__xludf.DUMMYFUNCTION("""COMPUTED_VALUE"""),2)</f>
        <v>2</v>
      </c>
      <c r="J13" s="81">
        <f ca="1">IFERROR(__xludf.DUMMYFUNCTION("""COMPUTED_VALUE"""),0)</f>
        <v>0</v>
      </c>
      <c r="K13" s="81">
        <f ca="1">IFERROR(__xludf.DUMMYFUNCTION("""COMPUTED_VALUE"""),0)</f>
        <v>0</v>
      </c>
      <c r="L13" s="81">
        <f ca="1">IFERROR(__xludf.DUMMYFUNCTION("""COMPUTED_VALUE"""),0)</f>
        <v>0</v>
      </c>
      <c r="M13" s="81"/>
      <c r="N13" s="81">
        <f ca="1">IFERROR(__xludf.DUMMYFUNCTION("""COMPUTED_VALUE"""),0)</f>
        <v>0</v>
      </c>
      <c r="O13" s="81"/>
      <c r="P13" s="81">
        <f ca="1">IFERROR(__xludf.DUMMYFUNCTION("""COMPUTED_VALUE"""),0)</f>
        <v>0</v>
      </c>
      <c r="Q13" s="81"/>
      <c r="R13" s="81">
        <f ca="1">IFERROR(__xludf.DUMMYFUNCTION("""COMPUTED_VALUE"""),0)</f>
        <v>0</v>
      </c>
      <c r="S13" s="81"/>
      <c r="T13" s="81"/>
      <c r="U13" s="82"/>
      <c r="V13" s="82"/>
      <c r="W13" s="83"/>
      <c r="X13" s="83"/>
      <c r="Y13" s="83"/>
    </row>
    <row r="14" spans="1:25" ht="15.75" customHeight="1">
      <c r="A14" s="78" t="str">
        <f ca="1">IFERROR(__xludf.DUMMYFUNCTION("""COMPUTED_VALUE"""),"AF")</f>
        <v>AF</v>
      </c>
      <c r="B14" s="79" t="str">
        <f ca="1">IFERROR(__xludf.DUMMYFUNCTION("""COMPUTED_VALUE"""),"Connor Bergen")</f>
        <v>Connor Bergen</v>
      </c>
      <c r="C14" s="78">
        <f ca="1">IFERROR(__xludf.DUMMYFUNCTION("""COMPUTED_VALUE"""),6)</f>
        <v>6</v>
      </c>
      <c r="D14" s="78" t="str">
        <f ca="1">IFERROR(__xludf.DUMMYFUNCTION("""COMPUTED_VALUE"""),"B")</f>
        <v>B</v>
      </c>
      <c r="E14" s="80" t="str">
        <f ca="1">IFERROR(__xludf.DUMMYFUNCTION("""COMPUTED_VALUE"""),"F")</f>
        <v>F</v>
      </c>
      <c r="F14" s="80" t="str">
        <f ca="1">IFERROR(__xludf.DUMMYFUNCTION("""COMPUTED_VALUE"""),"J")</f>
        <v>J</v>
      </c>
      <c r="G14" s="80">
        <f ca="1">IFERROR(__xludf.DUMMYFUNCTION("""COMPUTED_VALUE"""),3)</f>
        <v>3</v>
      </c>
      <c r="H14" s="80" t="str">
        <f ca="1">IFERROR(__xludf.DUMMYFUNCTION("""COMPUTED_VALUE"""),"AF")</f>
        <v>AF</v>
      </c>
      <c r="I14" s="80">
        <f ca="1">IFERROR(__xludf.DUMMYFUNCTION("""COMPUTED_VALUE"""),3)</f>
        <v>3</v>
      </c>
      <c r="J14" s="81">
        <f ca="1">IFERROR(__xludf.DUMMYFUNCTION("""COMPUTED_VALUE"""),0)</f>
        <v>0</v>
      </c>
      <c r="K14" s="81">
        <f ca="1">IFERROR(__xludf.DUMMYFUNCTION("""COMPUTED_VALUE"""),0)</f>
        <v>0</v>
      </c>
      <c r="L14" s="81">
        <f ca="1">IFERROR(__xludf.DUMMYFUNCTION("""COMPUTED_VALUE"""),0)</f>
        <v>0</v>
      </c>
      <c r="M14" s="81"/>
      <c r="N14" s="81">
        <f ca="1">IFERROR(__xludf.DUMMYFUNCTION("""COMPUTED_VALUE"""),0)</f>
        <v>0</v>
      </c>
      <c r="O14" s="81"/>
      <c r="P14" s="81">
        <f ca="1">IFERROR(__xludf.DUMMYFUNCTION("""COMPUTED_VALUE"""),0)</f>
        <v>0</v>
      </c>
      <c r="Q14" s="81"/>
      <c r="R14" s="81">
        <f ca="1">IFERROR(__xludf.DUMMYFUNCTION("""COMPUTED_VALUE"""),0)</f>
        <v>0</v>
      </c>
      <c r="S14" s="81"/>
      <c r="T14" s="81"/>
      <c r="U14" s="82"/>
      <c r="V14" s="82"/>
      <c r="W14" s="83"/>
      <c r="X14" s="83"/>
      <c r="Y14" s="83"/>
    </row>
    <row r="15" spans="1:25" ht="15.75" customHeight="1">
      <c r="A15" s="78" t="str">
        <f ca="1">IFERROR(__xludf.DUMMYFUNCTION("""COMPUTED_VALUE"""),"AF")</f>
        <v>AF</v>
      </c>
      <c r="B15" s="79" t="str">
        <f ca="1">IFERROR(__xludf.DUMMYFUNCTION("""COMPUTED_VALUE"""),"Banks Buergler")</f>
        <v>Banks Buergler</v>
      </c>
      <c r="C15" s="78">
        <f ca="1">IFERROR(__xludf.DUMMYFUNCTION("""COMPUTED_VALUE"""),10)</f>
        <v>10</v>
      </c>
      <c r="D15" s="78" t="str">
        <f ca="1">IFERROR(__xludf.DUMMYFUNCTION("""COMPUTED_VALUE"""),"B")</f>
        <v>B</v>
      </c>
      <c r="E15" s="80" t="str">
        <f ca="1">IFERROR(__xludf.DUMMYFUNCTION("""COMPUTED_VALUE"""),"F")</f>
        <v>F</v>
      </c>
      <c r="F15" s="80" t="str">
        <f ca="1">IFERROR(__xludf.DUMMYFUNCTION("""COMPUTED_VALUE"""),"J")</f>
        <v>J</v>
      </c>
      <c r="G15" s="80">
        <f ca="1">IFERROR(__xludf.DUMMYFUNCTION("""COMPUTED_VALUE"""),3)</f>
        <v>3</v>
      </c>
      <c r="H15" s="80" t="str">
        <f ca="1">IFERROR(__xludf.DUMMYFUNCTION("""COMPUTED_VALUE"""),"AF")</f>
        <v>AF</v>
      </c>
      <c r="I15" s="80">
        <f ca="1">IFERROR(__xludf.DUMMYFUNCTION("""COMPUTED_VALUE"""),3)</f>
        <v>3</v>
      </c>
      <c r="J15" s="81">
        <f ca="1">IFERROR(__xludf.DUMMYFUNCTION("""COMPUTED_VALUE"""),4)</f>
        <v>4</v>
      </c>
      <c r="K15" s="81">
        <f ca="1">IFERROR(__xludf.DUMMYFUNCTION("""COMPUTED_VALUE"""),66.65)</f>
        <v>66.650000000000006</v>
      </c>
      <c r="L15" s="81">
        <f ca="1">IFERROR(__xludf.DUMMYFUNCTION("""COMPUTED_VALUE"""),0)</f>
        <v>0</v>
      </c>
      <c r="M15" s="81"/>
      <c r="N15" s="81">
        <f ca="1">IFERROR(__xludf.DUMMYFUNCTION("""COMPUTED_VALUE"""),63.4)</f>
        <v>63.4</v>
      </c>
      <c r="O15" s="81"/>
      <c r="P15" s="81">
        <f ca="1">IFERROR(__xludf.DUMMYFUNCTION("""COMPUTED_VALUE"""),66.65)</f>
        <v>66.650000000000006</v>
      </c>
      <c r="Q15" s="81"/>
      <c r="R15" s="81">
        <f ca="1">IFERROR(__xludf.DUMMYFUNCTION("""COMPUTED_VALUE"""),59.15)</f>
        <v>59.15</v>
      </c>
      <c r="S15" s="81"/>
      <c r="T15" s="81"/>
      <c r="U15" s="82"/>
      <c r="V15" s="82"/>
      <c r="W15" s="83"/>
      <c r="X15" s="83"/>
      <c r="Y15" s="83"/>
    </row>
    <row r="16" spans="1:25" ht="15.75" customHeight="1">
      <c r="A16" s="78" t="str">
        <f ca="1">IFERROR(__xludf.DUMMYFUNCTION("""COMPUTED_VALUE"""),"AF")</f>
        <v>AF</v>
      </c>
      <c r="B16" s="79" t="str">
        <f ca="1">IFERROR(__xludf.DUMMYFUNCTION("""COMPUTED_VALUE"""),"Ryan Foshay")</f>
        <v>Ryan Foshay</v>
      </c>
      <c r="C16" s="78">
        <f ca="1">IFERROR(__xludf.DUMMYFUNCTION("""COMPUTED_VALUE"""),8)</f>
        <v>8</v>
      </c>
      <c r="D16" s="78" t="str">
        <f ca="1">IFERROR(__xludf.DUMMYFUNCTION("""COMPUTED_VALUE"""),"B")</f>
        <v>B</v>
      </c>
      <c r="E16" s="80" t="str">
        <f ca="1">IFERROR(__xludf.DUMMYFUNCTION("""COMPUTED_VALUE"""),"F")</f>
        <v>F</v>
      </c>
      <c r="F16" s="80" t="str">
        <f ca="1">IFERROR(__xludf.DUMMYFUNCTION("""COMPUTED_VALUE"""),"J")</f>
        <v>J</v>
      </c>
      <c r="G16" s="80">
        <f ca="1">IFERROR(__xludf.DUMMYFUNCTION("""COMPUTED_VALUE"""),3)</f>
        <v>3</v>
      </c>
      <c r="H16" s="80" t="str">
        <f ca="1">IFERROR(__xludf.DUMMYFUNCTION("""COMPUTED_VALUE"""),"AF")</f>
        <v>AF</v>
      </c>
      <c r="I16" s="80">
        <f ca="1">IFERROR(__xludf.DUMMYFUNCTION("""COMPUTED_VALUE"""),3)</f>
        <v>3</v>
      </c>
      <c r="J16" s="81">
        <f ca="1">IFERROR(__xludf.DUMMYFUNCTION("""COMPUTED_VALUE"""),0)</f>
        <v>0</v>
      </c>
      <c r="K16" s="81">
        <f ca="1">IFERROR(__xludf.DUMMYFUNCTION("""COMPUTED_VALUE"""),0)</f>
        <v>0</v>
      </c>
      <c r="L16" s="81">
        <f ca="1">IFERROR(__xludf.DUMMYFUNCTION("""COMPUTED_VALUE"""),0)</f>
        <v>0</v>
      </c>
      <c r="M16" s="81"/>
      <c r="N16" s="81">
        <f ca="1">IFERROR(__xludf.DUMMYFUNCTION("""COMPUTED_VALUE"""),0)</f>
        <v>0</v>
      </c>
      <c r="O16" s="81"/>
      <c r="P16" s="81">
        <f ca="1">IFERROR(__xludf.DUMMYFUNCTION("""COMPUTED_VALUE"""),0)</f>
        <v>0</v>
      </c>
      <c r="Q16" s="81"/>
      <c r="R16" s="81">
        <f ca="1">IFERROR(__xludf.DUMMYFUNCTION("""COMPUTED_VALUE"""),0)</f>
        <v>0</v>
      </c>
      <c r="S16" s="81"/>
      <c r="T16" s="81"/>
      <c r="U16" s="82"/>
      <c r="V16" s="82"/>
      <c r="W16" s="83"/>
      <c r="X16" s="83"/>
      <c r="Y16" s="83"/>
    </row>
    <row r="17" spans="1:25" ht="15.75" customHeight="1">
      <c r="A17" s="78" t="str">
        <f ca="1">IFERROR(__xludf.DUMMYFUNCTION("""COMPUTED_VALUE"""),"AF")</f>
        <v>AF</v>
      </c>
      <c r="B17" s="79" t="str">
        <f ca="1">IFERROR(__xludf.DUMMYFUNCTION("""COMPUTED_VALUE"""),"Tanner Green")</f>
        <v>Tanner Green</v>
      </c>
      <c r="C17" s="78">
        <f ca="1">IFERROR(__xludf.DUMMYFUNCTION("""COMPUTED_VALUE"""),9)</f>
        <v>9</v>
      </c>
      <c r="D17" s="78" t="str">
        <f ca="1">IFERROR(__xludf.DUMMYFUNCTION("""COMPUTED_VALUE"""),"B")</f>
        <v>B</v>
      </c>
      <c r="E17" s="80" t="str">
        <f ca="1">IFERROR(__xludf.DUMMYFUNCTION("""COMPUTED_VALUE"""),"F")</f>
        <v>F</v>
      </c>
      <c r="F17" s="80" t="str">
        <f ca="1">IFERROR(__xludf.DUMMYFUNCTION("""COMPUTED_VALUE"""),"J")</f>
        <v>J</v>
      </c>
      <c r="G17" s="80">
        <f ca="1">IFERROR(__xludf.DUMMYFUNCTION("""COMPUTED_VALUE"""),3)</f>
        <v>3</v>
      </c>
      <c r="H17" s="80" t="str">
        <f ca="1">IFERROR(__xludf.DUMMYFUNCTION("""COMPUTED_VALUE"""),"AF")</f>
        <v>AF</v>
      </c>
      <c r="I17" s="80">
        <f ca="1">IFERROR(__xludf.DUMMYFUNCTION("""COMPUTED_VALUE"""),3)</f>
        <v>3</v>
      </c>
      <c r="J17" s="81">
        <f ca="1">IFERROR(__xludf.DUMMYFUNCTION("""COMPUTED_VALUE"""),2)</f>
        <v>2</v>
      </c>
      <c r="K17" s="81">
        <f ca="1">IFERROR(__xludf.DUMMYFUNCTION("""COMPUTED_VALUE"""),55.1)</f>
        <v>55.1</v>
      </c>
      <c r="L17" s="81">
        <f ca="1">IFERROR(__xludf.DUMMYFUNCTION("""COMPUTED_VALUE"""),0)</f>
        <v>0</v>
      </c>
      <c r="M17" s="81"/>
      <c r="N17" s="81">
        <f ca="1">IFERROR(__xludf.DUMMYFUNCTION("""COMPUTED_VALUE"""),0)</f>
        <v>0</v>
      </c>
      <c r="O17" s="81"/>
      <c r="P17" s="81">
        <f ca="1">IFERROR(__xludf.DUMMYFUNCTION("""COMPUTED_VALUE"""),0)</f>
        <v>0</v>
      </c>
      <c r="Q17" s="81"/>
      <c r="R17" s="81">
        <f ca="1">IFERROR(__xludf.DUMMYFUNCTION("""COMPUTED_VALUE"""),55.1)</f>
        <v>55.1</v>
      </c>
      <c r="S17" s="81"/>
      <c r="T17" s="81"/>
      <c r="U17" s="82"/>
      <c r="V17" s="82"/>
      <c r="W17" s="83"/>
      <c r="X17" s="83"/>
      <c r="Y17" s="83"/>
    </row>
    <row r="18" spans="1:25" ht="15.75" customHeight="1">
      <c r="A18" s="78" t="str">
        <f ca="1">IFERROR(__xludf.DUMMYFUNCTION("""COMPUTED_VALUE"""),"AF")</f>
        <v>AF</v>
      </c>
      <c r="B18" s="79" t="str">
        <f ca="1">IFERROR(__xludf.DUMMYFUNCTION("""COMPUTED_VALUE"""),"Wesley Klapmust")</f>
        <v>Wesley Klapmust</v>
      </c>
      <c r="C18" s="78">
        <f ca="1">IFERROR(__xludf.DUMMYFUNCTION("""COMPUTED_VALUE"""),8)</f>
        <v>8</v>
      </c>
      <c r="D18" s="78" t="str">
        <f ca="1">IFERROR(__xludf.DUMMYFUNCTION("""COMPUTED_VALUE"""),"B")</f>
        <v>B</v>
      </c>
      <c r="E18" s="80" t="str">
        <f ca="1">IFERROR(__xludf.DUMMYFUNCTION("""COMPUTED_VALUE"""),"F")</f>
        <v>F</v>
      </c>
      <c r="F18" s="80" t="str">
        <f ca="1">IFERROR(__xludf.DUMMYFUNCTION("""COMPUTED_VALUE"""),"J")</f>
        <v>J</v>
      </c>
      <c r="G18" s="80">
        <f ca="1">IFERROR(__xludf.DUMMYFUNCTION("""COMPUTED_VALUE"""),3)</f>
        <v>3</v>
      </c>
      <c r="H18" s="80" t="str">
        <f ca="1">IFERROR(__xludf.DUMMYFUNCTION("""COMPUTED_VALUE"""),"AF")</f>
        <v>AF</v>
      </c>
      <c r="I18" s="80">
        <f ca="1">IFERROR(__xludf.DUMMYFUNCTION("""COMPUTED_VALUE"""),3)</f>
        <v>3</v>
      </c>
      <c r="J18" s="81">
        <f ca="1">IFERROR(__xludf.DUMMYFUNCTION("""COMPUTED_VALUE"""),0)</f>
        <v>0</v>
      </c>
      <c r="K18" s="81">
        <f ca="1">IFERROR(__xludf.DUMMYFUNCTION("""COMPUTED_VALUE"""),0)</f>
        <v>0</v>
      </c>
      <c r="L18" s="81">
        <f ca="1">IFERROR(__xludf.DUMMYFUNCTION("""COMPUTED_VALUE"""),0)</f>
        <v>0</v>
      </c>
      <c r="M18" s="81"/>
      <c r="N18" s="81">
        <f ca="1">IFERROR(__xludf.DUMMYFUNCTION("""COMPUTED_VALUE"""),0)</f>
        <v>0</v>
      </c>
      <c r="O18" s="81"/>
      <c r="P18" s="81">
        <f ca="1">IFERROR(__xludf.DUMMYFUNCTION("""COMPUTED_VALUE"""),0)</f>
        <v>0</v>
      </c>
      <c r="Q18" s="81"/>
      <c r="R18" s="81">
        <f ca="1">IFERROR(__xludf.DUMMYFUNCTION("""COMPUTED_VALUE"""),0)</f>
        <v>0</v>
      </c>
      <c r="S18" s="81"/>
      <c r="T18" s="81"/>
      <c r="U18" s="82"/>
      <c r="V18" s="82"/>
      <c r="W18" s="83"/>
      <c r="X18" s="83"/>
      <c r="Y18" s="83"/>
    </row>
    <row r="19" spans="1:25" ht="15.75" customHeight="1">
      <c r="A19" s="78" t="str">
        <f ca="1">IFERROR(__xludf.DUMMYFUNCTION("""COMPUTED_VALUE"""),"AF")</f>
        <v>AF</v>
      </c>
      <c r="B19" s="79" t="str">
        <f ca="1">IFERROR(__xludf.DUMMYFUNCTION("""COMPUTED_VALUE"""),"Aiden Kunkle")</f>
        <v>Aiden Kunkle</v>
      </c>
      <c r="C19" s="78">
        <f ca="1">IFERROR(__xludf.DUMMYFUNCTION("""COMPUTED_VALUE"""),8)</f>
        <v>8</v>
      </c>
      <c r="D19" s="78" t="str">
        <f ca="1">IFERROR(__xludf.DUMMYFUNCTION("""COMPUTED_VALUE"""),"B")</f>
        <v>B</v>
      </c>
      <c r="E19" s="80" t="str">
        <f ca="1">IFERROR(__xludf.DUMMYFUNCTION("""COMPUTED_VALUE"""),"F")</f>
        <v>F</v>
      </c>
      <c r="F19" s="80" t="str">
        <f ca="1">IFERROR(__xludf.DUMMYFUNCTION("""COMPUTED_VALUE"""),"J")</f>
        <v>J</v>
      </c>
      <c r="G19" s="80">
        <f ca="1">IFERROR(__xludf.DUMMYFUNCTION("""COMPUTED_VALUE"""),3)</f>
        <v>3</v>
      </c>
      <c r="H19" s="80" t="str">
        <f ca="1">IFERROR(__xludf.DUMMYFUNCTION("""COMPUTED_VALUE"""),"AF")</f>
        <v>AF</v>
      </c>
      <c r="I19" s="80">
        <f ca="1">IFERROR(__xludf.DUMMYFUNCTION("""COMPUTED_VALUE"""),3)</f>
        <v>3</v>
      </c>
      <c r="J19" s="81">
        <f ca="1">IFERROR(__xludf.DUMMYFUNCTION("""COMPUTED_VALUE"""),0)</f>
        <v>0</v>
      </c>
      <c r="K19" s="81">
        <f ca="1">IFERROR(__xludf.DUMMYFUNCTION("""COMPUTED_VALUE"""),0)</f>
        <v>0</v>
      </c>
      <c r="L19" s="81">
        <f ca="1">IFERROR(__xludf.DUMMYFUNCTION("""COMPUTED_VALUE"""),0)</f>
        <v>0</v>
      </c>
      <c r="M19" s="81"/>
      <c r="N19" s="81">
        <f ca="1">IFERROR(__xludf.DUMMYFUNCTION("""COMPUTED_VALUE"""),0)</f>
        <v>0</v>
      </c>
      <c r="O19" s="81"/>
      <c r="P19" s="81">
        <f ca="1">IFERROR(__xludf.DUMMYFUNCTION("""COMPUTED_VALUE"""),0)</f>
        <v>0</v>
      </c>
      <c r="Q19" s="81"/>
      <c r="R19" s="81">
        <f ca="1">IFERROR(__xludf.DUMMYFUNCTION("""COMPUTED_VALUE"""),0)</f>
        <v>0</v>
      </c>
      <c r="S19" s="81"/>
      <c r="T19" s="81"/>
      <c r="U19" s="82"/>
      <c r="V19" s="82"/>
      <c r="W19" s="83"/>
      <c r="X19" s="83"/>
      <c r="Y19" s="83"/>
    </row>
    <row r="20" spans="1:25" ht="15.75" customHeight="1">
      <c r="A20" s="78" t="str">
        <f ca="1">IFERROR(__xludf.DUMMYFUNCTION("""COMPUTED_VALUE"""),"AF")</f>
        <v>AF</v>
      </c>
      <c r="B20" s="79" t="str">
        <f ca="1">IFERROR(__xludf.DUMMYFUNCTION("""COMPUTED_VALUE"""),"Matthew Petrucelli")</f>
        <v>Matthew Petrucelli</v>
      </c>
      <c r="C20" s="78">
        <f ca="1">IFERROR(__xludf.DUMMYFUNCTION("""COMPUTED_VALUE"""),10)</f>
        <v>10</v>
      </c>
      <c r="D20" s="78" t="str">
        <f ca="1">IFERROR(__xludf.DUMMYFUNCTION("""COMPUTED_VALUE"""),"B")</f>
        <v>B</v>
      </c>
      <c r="E20" s="80" t="str">
        <f ca="1">IFERROR(__xludf.DUMMYFUNCTION("""COMPUTED_VALUE"""),"F")</f>
        <v>F</v>
      </c>
      <c r="F20" s="80" t="str">
        <f ca="1">IFERROR(__xludf.DUMMYFUNCTION("""COMPUTED_VALUE"""),"J")</f>
        <v>J</v>
      </c>
      <c r="G20" s="80">
        <f ca="1">IFERROR(__xludf.DUMMYFUNCTION("""COMPUTED_VALUE"""),3)</f>
        <v>3</v>
      </c>
      <c r="H20" s="80" t="str">
        <f ca="1">IFERROR(__xludf.DUMMYFUNCTION("""COMPUTED_VALUE"""),"AF")</f>
        <v>AF</v>
      </c>
      <c r="I20" s="80">
        <f ca="1">IFERROR(__xludf.DUMMYFUNCTION("""COMPUTED_VALUE"""),3)</f>
        <v>3</v>
      </c>
      <c r="J20" s="81">
        <f ca="1">IFERROR(__xludf.DUMMYFUNCTION("""COMPUTED_VALUE"""),3)</f>
        <v>3</v>
      </c>
      <c r="K20" s="81">
        <f ca="1">IFERROR(__xludf.DUMMYFUNCTION("""COMPUTED_VALUE"""),74)</f>
        <v>74</v>
      </c>
      <c r="L20" s="81">
        <f ca="1">IFERROR(__xludf.DUMMYFUNCTION("""COMPUTED_VALUE"""),68.05)</f>
        <v>68.05</v>
      </c>
      <c r="M20" s="81"/>
      <c r="N20" s="81">
        <f ca="1">IFERROR(__xludf.DUMMYFUNCTION("""COMPUTED_VALUE"""),0)</f>
        <v>0</v>
      </c>
      <c r="O20" s="81"/>
      <c r="P20" s="81">
        <f ca="1">IFERROR(__xludf.DUMMYFUNCTION("""COMPUTED_VALUE"""),0)</f>
        <v>0</v>
      </c>
      <c r="Q20" s="81"/>
      <c r="R20" s="81">
        <f ca="1">IFERROR(__xludf.DUMMYFUNCTION("""COMPUTED_VALUE"""),74)</f>
        <v>74</v>
      </c>
      <c r="S20" s="81"/>
      <c r="T20" s="81"/>
      <c r="U20" s="82"/>
      <c r="V20" s="82"/>
      <c r="W20" s="83"/>
      <c r="X20" s="83"/>
      <c r="Y20" s="83"/>
    </row>
    <row r="21" spans="1:25" ht="15.75" customHeight="1">
      <c r="A21" s="78" t="str">
        <f ca="1">IFERROR(__xludf.DUMMYFUNCTION("""COMPUTED_VALUE"""),"AF")</f>
        <v>AF</v>
      </c>
      <c r="B21" s="79" t="str">
        <f ca="1">IFERROR(__xludf.DUMMYFUNCTION("""COMPUTED_VALUE"""),"Nicholas Petrucelli")</f>
        <v>Nicholas Petrucelli</v>
      </c>
      <c r="C21" s="78">
        <f ca="1">IFERROR(__xludf.DUMMYFUNCTION("""COMPUTED_VALUE"""),8)</f>
        <v>8</v>
      </c>
      <c r="D21" s="78" t="str">
        <f ca="1">IFERROR(__xludf.DUMMYFUNCTION("""COMPUTED_VALUE"""),"B")</f>
        <v>B</v>
      </c>
      <c r="E21" s="80" t="str">
        <f ca="1">IFERROR(__xludf.DUMMYFUNCTION("""COMPUTED_VALUE"""),"F")</f>
        <v>F</v>
      </c>
      <c r="F21" s="80" t="str">
        <f ca="1">IFERROR(__xludf.DUMMYFUNCTION("""COMPUTED_VALUE"""),"J")</f>
        <v>J</v>
      </c>
      <c r="G21" s="80">
        <f ca="1">IFERROR(__xludf.DUMMYFUNCTION("""COMPUTED_VALUE"""),3)</f>
        <v>3</v>
      </c>
      <c r="H21" s="80" t="str">
        <f ca="1">IFERROR(__xludf.DUMMYFUNCTION("""COMPUTED_VALUE"""),"AF")</f>
        <v>AF</v>
      </c>
      <c r="I21" s="80">
        <f ca="1">IFERROR(__xludf.DUMMYFUNCTION("""COMPUTED_VALUE"""),3)</f>
        <v>3</v>
      </c>
      <c r="J21" s="81">
        <f ca="1">IFERROR(__xludf.DUMMYFUNCTION("""COMPUTED_VALUE"""),1)</f>
        <v>1</v>
      </c>
      <c r="K21" s="81">
        <f ca="1">IFERROR(__xludf.DUMMYFUNCTION("""COMPUTED_VALUE"""),0)</f>
        <v>0</v>
      </c>
      <c r="L21" s="81">
        <f ca="1">IFERROR(__xludf.DUMMYFUNCTION("""COMPUTED_VALUE"""),0)</f>
        <v>0</v>
      </c>
      <c r="M21" s="81"/>
      <c r="N21" s="81">
        <f ca="1">IFERROR(__xludf.DUMMYFUNCTION("""COMPUTED_VALUE"""),0)</f>
        <v>0</v>
      </c>
      <c r="O21" s="81"/>
      <c r="P21" s="81">
        <f ca="1">IFERROR(__xludf.DUMMYFUNCTION("""COMPUTED_VALUE"""),0)</f>
        <v>0</v>
      </c>
      <c r="Q21" s="81"/>
      <c r="R21" s="81">
        <f ca="1">IFERROR(__xludf.DUMMYFUNCTION("""COMPUTED_VALUE"""),0)</f>
        <v>0</v>
      </c>
      <c r="S21" s="81"/>
      <c r="T21" s="81"/>
      <c r="U21" s="82"/>
      <c r="V21" s="82"/>
      <c r="W21" s="83"/>
      <c r="X21" s="83"/>
      <c r="Y21" s="83"/>
    </row>
    <row r="22" spans="1:25" ht="15.75" customHeight="1">
      <c r="A22" s="78" t="str">
        <f ca="1">IFERROR(__xludf.DUMMYFUNCTION("""COMPUTED_VALUE"""),"AF")</f>
        <v>AF</v>
      </c>
      <c r="B22" s="79" t="str">
        <f ca="1">IFERROR(__xludf.DUMMYFUNCTION("""COMPUTED_VALUE"""),"Jackson Polsinelli")</f>
        <v>Jackson Polsinelli</v>
      </c>
      <c r="C22" s="78">
        <f ca="1">IFERROR(__xludf.DUMMYFUNCTION("""COMPUTED_VALUE"""),7)</f>
        <v>7</v>
      </c>
      <c r="D22" s="78" t="str">
        <f ca="1">IFERROR(__xludf.DUMMYFUNCTION("""COMPUTED_VALUE"""),"B")</f>
        <v>B</v>
      </c>
      <c r="E22" s="80" t="str">
        <f ca="1">IFERROR(__xludf.DUMMYFUNCTION("""COMPUTED_VALUE"""),"F")</f>
        <v>F</v>
      </c>
      <c r="F22" s="80" t="str">
        <f ca="1">IFERROR(__xludf.DUMMYFUNCTION("""COMPUTED_VALUE"""),"J")</f>
        <v>J</v>
      </c>
      <c r="G22" s="80">
        <f ca="1">IFERROR(__xludf.DUMMYFUNCTION("""COMPUTED_VALUE"""),3)</f>
        <v>3</v>
      </c>
      <c r="H22" s="80" t="str">
        <f ca="1">IFERROR(__xludf.DUMMYFUNCTION("""COMPUTED_VALUE"""),"AF")</f>
        <v>AF</v>
      </c>
      <c r="I22" s="80">
        <f ca="1">IFERROR(__xludf.DUMMYFUNCTION("""COMPUTED_VALUE"""),3)</f>
        <v>3</v>
      </c>
      <c r="J22" s="81">
        <f ca="1">IFERROR(__xludf.DUMMYFUNCTION("""COMPUTED_VALUE"""),0)</f>
        <v>0</v>
      </c>
      <c r="K22" s="81">
        <f ca="1">IFERROR(__xludf.DUMMYFUNCTION("""COMPUTED_VALUE"""),0)</f>
        <v>0</v>
      </c>
      <c r="L22" s="81">
        <f ca="1">IFERROR(__xludf.DUMMYFUNCTION("""COMPUTED_VALUE"""),0)</f>
        <v>0</v>
      </c>
      <c r="M22" s="81"/>
      <c r="N22" s="81">
        <f ca="1">IFERROR(__xludf.DUMMYFUNCTION("""COMPUTED_VALUE"""),0)</f>
        <v>0</v>
      </c>
      <c r="O22" s="81"/>
      <c r="P22" s="81">
        <f ca="1">IFERROR(__xludf.DUMMYFUNCTION("""COMPUTED_VALUE"""),0)</f>
        <v>0</v>
      </c>
      <c r="Q22" s="81"/>
      <c r="R22" s="81">
        <f ca="1">IFERROR(__xludf.DUMMYFUNCTION("""COMPUTED_VALUE"""),0)</f>
        <v>0</v>
      </c>
      <c r="S22" s="81"/>
      <c r="T22" s="81"/>
      <c r="U22" s="82"/>
      <c r="V22" s="82"/>
      <c r="W22" s="83"/>
      <c r="X22" s="83"/>
      <c r="Y22" s="83"/>
    </row>
    <row r="23" spans="1:25" ht="15.75" customHeight="1">
      <c r="A23" s="78" t="str">
        <f ca="1">IFERROR(__xludf.DUMMYFUNCTION("""COMPUTED_VALUE"""),"AF")</f>
        <v>AF</v>
      </c>
      <c r="B23" s="79" t="str">
        <f ca="1">IFERROR(__xludf.DUMMYFUNCTION("""COMPUTED_VALUE"""),"Alex Stewart")</f>
        <v>Alex Stewart</v>
      </c>
      <c r="C23" s="78">
        <f ca="1">IFERROR(__xludf.DUMMYFUNCTION("""COMPUTED_VALUE"""),9)</f>
        <v>9</v>
      </c>
      <c r="D23" s="78" t="str">
        <f ca="1">IFERROR(__xludf.DUMMYFUNCTION("""COMPUTED_VALUE"""),"B")</f>
        <v>B</v>
      </c>
      <c r="E23" s="80" t="str">
        <f ca="1">IFERROR(__xludf.DUMMYFUNCTION("""COMPUTED_VALUE"""),"F")</f>
        <v>F</v>
      </c>
      <c r="F23" s="80" t="str">
        <f ca="1">IFERROR(__xludf.DUMMYFUNCTION("""COMPUTED_VALUE"""),"J")</f>
        <v>J</v>
      </c>
      <c r="G23" s="80">
        <f ca="1">IFERROR(__xludf.DUMMYFUNCTION("""COMPUTED_VALUE"""),3)</f>
        <v>3</v>
      </c>
      <c r="H23" s="80" t="str">
        <f ca="1">IFERROR(__xludf.DUMMYFUNCTION("""COMPUTED_VALUE"""),"AF")</f>
        <v>AF</v>
      </c>
      <c r="I23" s="80">
        <f ca="1">IFERROR(__xludf.DUMMYFUNCTION("""COMPUTED_VALUE"""),3)</f>
        <v>3</v>
      </c>
      <c r="J23" s="81">
        <f ca="1">IFERROR(__xludf.DUMMYFUNCTION("""COMPUTED_VALUE"""),4)</f>
        <v>4</v>
      </c>
      <c r="K23" s="81">
        <f ca="1">IFERROR(__xludf.DUMMYFUNCTION("""COMPUTED_VALUE"""),63)</f>
        <v>63</v>
      </c>
      <c r="L23" s="81">
        <f ca="1">IFERROR(__xludf.DUMMYFUNCTION("""COMPUTED_VALUE"""),0)</f>
        <v>0</v>
      </c>
      <c r="M23" s="81"/>
      <c r="N23" s="81">
        <f ca="1">IFERROR(__xludf.DUMMYFUNCTION("""COMPUTED_VALUE"""),60.75)</f>
        <v>60.75</v>
      </c>
      <c r="O23" s="81"/>
      <c r="P23" s="81">
        <f ca="1">IFERROR(__xludf.DUMMYFUNCTION("""COMPUTED_VALUE"""),57.1)</f>
        <v>57.1</v>
      </c>
      <c r="Q23" s="81"/>
      <c r="R23" s="81">
        <f ca="1">IFERROR(__xludf.DUMMYFUNCTION("""COMPUTED_VALUE"""),63)</f>
        <v>63</v>
      </c>
      <c r="S23" s="81"/>
      <c r="T23" s="81"/>
      <c r="U23" s="82"/>
      <c r="V23" s="82"/>
      <c r="W23" s="83"/>
      <c r="X23" s="83"/>
      <c r="Y23" s="83"/>
    </row>
    <row r="24" spans="1:25" ht="15.75" customHeight="1">
      <c r="A24" s="78" t="str">
        <f ca="1">IFERROR(__xludf.DUMMYFUNCTION("""COMPUTED_VALUE"""),"AF")</f>
        <v>AF</v>
      </c>
      <c r="B24" s="79" t="str">
        <f ca="1">IFERROR(__xludf.DUMMYFUNCTION("""COMPUTED_VALUE"""),"Matthew Vogt")</f>
        <v>Matthew Vogt</v>
      </c>
      <c r="C24" s="78">
        <f ca="1">IFERROR(__xludf.DUMMYFUNCTION("""COMPUTED_VALUE"""),9)</f>
        <v>9</v>
      </c>
      <c r="D24" s="78" t="str">
        <f ca="1">IFERROR(__xludf.DUMMYFUNCTION("""COMPUTED_VALUE"""),"B")</f>
        <v>B</v>
      </c>
      <c r="E24" s="80" t="str">
        <f ca="1">IFERROR(__xludf.DUMMYFUNCTION("""COMPUTED_VALUE"""),"F")</f>
        <v>F</v>
      </c>
      <c r="F24" s="80" t="str">
        <f ca="1">IFERROR(__xludf.DUMMYFUNCTION("""COMPUTED_VALUE"""),"J")</f>
        <v>J</v>
      </c>
      <c r="G24" s="80">
        <f ca="1">IFERROR(__xludf.DUMMYFUNCTION("""COMPUTED_VALUE"""),3)</f>
        <v>3</v>
      </c>
      <c r="H24" s="80" t="str">
        <f ca="1">IFERROR(__xludf.DUMMYFUNCTION("""COMPUTED_VALUE"""),"AF")</f>
        <v>AF</v>
      </c>
      <c r="I24" s="80">
        <f ca="1">IFERROR(__xludf.DUMMYFUNCTION("""COMPUTED_VALUE"""),3)</f>
        <v>3</v>
      </c>
      <c r="J24" s="81">
        <f ca="1">IFERROR(__xludf.DUMMYFUNCTION("""COMPUTED_VALUE"""),5)</f>
        <v>5</v>
      </c>
      <c r="K24" s="81">
        <f ca="1">IFERROR(__xludf.DUMMYFUNCTION("""COMPUTED_VALUE"""),57.7)</f>
        <v>57.7</v>
      </c>
      <c r="L24" s="81">
        <f ca="1">IFERROR(__xludf.DUMMYFUNCTION("""COMPUTED_VALUE"""),51.9)</f>
        <v>51.9</v>
      </c>
      <c r="M24" s="81"/>
      <c r="N24" s="81">
        <f ca="1">IFERROR(__xludf.DUMMYFUNCTION("""COMPUTED_VALUE"""),55.15)</f>
        <v>55.15</v>
      </c>
      <c r="O24" s="81"/>
      <c r="P24" s="81">
        <f ca="1">IFERROR(__xludf.DUMMYFUNCTION("""COMPUTED_VALUE"""),31.45)</f>
        <v>31.45</v>
      </c>
      <c r="Q24" s="81"/>
      <c r="R24" s="81">
        <f ca="1">IFERROR(__xludf.DUMMYFUNCTION("""COMPUTED_VALUE"""),57.7)</f>
        <v>57.7</v>
      </c>
      <c r="S24" s="81"/>
      <c r="T24" s="81"/>
      <c r="U24" s="82"/>
      <c r="V24" s="82"/>
      <c r="W24" s="83"/>
      <c r="X24" s="83"/>
      <c r="Y24" s="83"/>
    </row>
    <row r="25" spans="1:25" ht="15.75" customHeight="1">
      <c r="A25" s="78" t="str">
        <f ca="1">IFERROR(__xludf.DUMMYFUNCTION("""COMPUTED_VALUE"""),"AF")</f>
        <v>AF</v>
      </c>
      <c r="B25" s="79" t="str">
        <f ca="1">IFERROR(__xludf.DUMMYFUNCTION("""COMPUTED_VALUE"""),"Connor Hogan")</f>
        <v>Connor Hogan</v>
      </c>
      <c r="C25" s="78">
        <f ca="1">IFERROR(__xludf.DUMMYFUNCTION("""COMPUTED_VALUE"""),12)</f>
        <v>12</v>
      </c>
      <c r="D25" s="78" t="str">
        <f ca="1">IFERROR(__xludf.DUMMYFUNCTION("""COMPUTED_VALUE"""),"B")</f>
        <v>B</v>
      </c>
      <c r="E25" s="80" t="str">
        <f ca="1">IFERROR(__xludf.DUMMYFUNCTION("""COMPUTED_VALUE"""),"J")</f>
        <v>J</v>
      </c>
      <c r="F25" s="80" t="str">
        <f ca="1">IFERROR(__xludf.DUMMYFUNCTION("""COMPUTED_VALUE"""),"I")</f>
        <v>I</v>
      </c>
      <c r="G25" s="80">
        <f ca="1">IFERROR(__xludf.DUMMYFUNCTION("""COMPUTED_VALUE"""),3)</f>
        <v>3</v>
      </c>
      <c r="H25" s="80" t="str">
        <f ca="1">IFERROR(__xludf.DUMMYFUNCTION("""COMPUTED_VALUE"""),"AF")</f>
        <v>AF</v>
      </c>
      <c r="I25" s="80">
        <f ca="1">IFERROR(__xludf.DUMMYFUNCTION("""COMPUTED_VALUE"""),5)</f>
        <v>5</v>
      </c>
      <c r="J25" s="81">
        <f ca="1">IFERROR(__xludf.DUMMYFUNCTION("""COMPUTED_VALUE"""),2)</f>
        <v>2</v>
      </c>
      <c r="K25" s="81">
        <f ca="1">IFERROR(__xludf.DUMMYFUNCTION("""COMPUTED_VALUE"""),64.5)</f>
        <v>64.5</v>
      </c>
      <c r="L25" s="81">
        <f ca="1">IFERROR(__xludf.DUMMYFUNCTION("""COMPUTED_VALUE"""),64.5)</f>
        <v>64.5</v>
      </c>
      <c r="M25" s="81"/>
      <c r="N25" s="81">
        <f ca="1">IFERROR(__xludf.DUMMYFUNCTION("""COMPUTED_VALUE"""),0)</f>
        <v>0</v>
      </c>
      <c r="O25" s="81"/>
      <c r="P25" s="81">
        <f ca="1">IFERROR(__xludf.DUMMYFUNCTION("""COMPUTED_VALUE"""),0)</f>
        <v>0</v>
      </c>
      <c r="Q25" s="81"/>
      <c r="R25" s="81">
        <f ca="1">IFERROR(__xludf.DUMMYFUNCTION("""COMPUTED_VALUE"""),0)</f>
        <v>0</v>
      </c>
      <c r="S25" s="81"/>
      <c r="T25" s="81"/>
      <c r="U25" s="82"/>
      <c r="V25" s="82"/>
      <c r="W25" s="83"/>
      <c r="X25" s="83"/>
      <c r="Y25" s="83"/>
    </row>
    <row r="26" spans="1:25" ht="15.75" customHeight="1">
      <c r="A26" s="78" t="str">
        <f ca="1">IFERROR(__xludf.DUMMYFUNCTION("""COMPUTED_VALUE"""),"AF")</f>
        <v>AF</v>
      </c>
      <c r="B26" s="79" t="str">
        <f ca="1">IFERROR(__xludf.DUMMYFUNCTION("""COMPUTED_VALUE"""),"Lincoln Koller")</f>
        <v>Lincoln Koller</v>
      </c>
      <c r="C26" s="78">
        <f ca="1">IFERROR(__xludf.DUMMYFUNCTION("""COMPUTED_VALUE"""),11)</f>
        <v>11</v>
      </c>
      <c r="D26" s="78" t="str">
        <f ca="1">IFERROR(__xludf.DUMMYFUNCTION("""COMPUTED_VALUE"""),"B")</f>
        <v>B</v>
      </c>
      <c r="E26" s="80" t="str">
        <f ca="1">IFERROR(__xludf.DUMMYFUNCTION("""COMPUTED_VALUE"""),"J")</f>
        <v>J</v>
      </c>
      <c r="F26" s="80" t="str">
        <f ca="1">IFERROR(__xludf.DUMMYFUNCTION("""COMPUTED_VALUE"""),"I")</f>
        <v>I</v>
      </c>
      <c r="G26" s="80">
        <f ca="1">IFERROR(__xludf.DUMMYFUNCTION("""COMPUTED_VALUE"""),3)</f>
        <v>3</v>
      </c>
      <c r="H26" s="80" t="str">
        <f ca="1">IFERROR(__xludf.DUMMYFUNCTION("""COMPUTED_VALUE"""),"AF")</f>
        <v>AF</v>
      </c>
      <c r="I26" s="80">
        <f ca="1">IFERROR(__xludf.DUMMYFUNCTION("""COMPUTED_VALUE"""),5)</f>
        <v>5</v>
      </c>
      <c r="J26" s="81">
        <f ca="1">IFERROR(__xludf.DUMMYFUNCTION("""COMPUTED_VALUE"""),0)</f>
        <v>0</v>
      </c>
      <c r="K26" s="81">
        <f ca="1">IFERROR(__xludf.DUMMYFUNCTION("""COMPUTED_VALUE"""),0)</f>
        <v>0</v>
      </c>
      <c r="L26" s="81">
        <f ca="1">IFERROR(__xludf.DUMMYFUNCTION("""COMPUTED_VALUE"""),0)</f>
        <v>0</v>
      </c>
      <c r="M26" s="81"/>
      <c r="N26" s="81">
        <f ca="1">IFERROR(__xludf.DUMMYFUNCTION("""COMPUTED_VALUE"""),0)</f>
        <v>0</v>
      </c>
      <c r="O26" s="81"/>
      <c r="P26" s="81">
        <f ca="1">IFERROR(__xludf.DUMMYFUNCTION("""COMPUTED_VALUE"""),0)</f>
        <v>0</v>
      </c>
      <c r="Q26" s="81"/>
      <c r="R26" s="81">
        <f ca="1">IFERROR(__xludf.DUMMYFUNCTION("""COMPUTED_VALUE"""),0)</f>
        <v>0</v>
      </c>
      <c r="S26" s="81"/>
      <c r="T26" s="81"/>
      <c r="U26" s="82"/>
      <c r="V26" s="82"/>
      <c r="W26" s="83"/>
      <c r="X26" s="83"/>
      <c r="Y26" s="83"/>
    </row>
    <row r="27" spans="1:25" ht="15.75" customHeight="1">
      <c r="A27" s="78" t="str">
        <f ca="1">IFERROR(__xludf.DUMMYFUNCTION("""COMPUTED_VALUE"""),"AF")</f>
        <v>AF</v>
      </c>
      <c r="B27" s="79" t="str">
        <f ca="1">IFERROR(__xludf.DUMMYFUNCTION("""COMPUTED_VALUE"""),"Daniel Vogt")</f>
        <v>Daniel Vogt</v>
      </c>
      <c r="C27" s="78">
        <f ca="1">IFERROR(__xludf.DUMMYFUNCTION("""COMPUTED_VALUE"""),11)</f>
        <v>11</v>
      </c>
      <c r="D27" s="78" t="str">
        <f ca="1">IFERROR(__xludf.DUMMYFUNCTION("""COMPUTED_VALUE"""),"B")</f>
        <v>B</v>
      </c>
      <c r="E27" s="80" t="str">
        <f ca="1">IFERROR(__xludf.DUMMYFUNCTION("""COMPUTED_VALUE"""),"J")</f>
        <v>J</v>
      </c>
      <c r="F27" s="80" t="str">
        <f ca="1">IFERROR(__xludf.DUMMYFUNCTION("""COMPUTED_VALUE"""),"I")</f>
        <v>I</v>
      </c>
      <c r="G27" s="80">
        <f ca="1">IFERROR(__xludf.DUMMYFUNCTION("""COMPUTED_VALUE"""),3)</f>
        <v>3</v>
      </c>
      <c r="H27" s="80" t="str">
        <f ca="1">IFERROR(__xludf.DUMMYFUNCTION("""COMPUTED_VALUE"""),"AF")</f>
        <v>AF</v>
      </c>
      <c r="I27" s="80">
        <f ca="1">IFERROR(__xludf.DUMMYFUNCTION("""COMPUTED_VALUE"""),5)</f>
        <v>5</v>
      </c>
      <c r="J27" s="81">
        <f ca="1">IFERROR(__xludf.DUMMYFUNCTION("""COMPUTED_VALUE"""),4)</f>
        <v>4</v>
      </c>
      <c r="K27" s="81">
        <f ca="1">IFERROR(__xludf.DUMMYFUNCTION("""COMPUTED_VALUE"""),88.95)</f>
        <v>88.95</v>
      </c>
      <c r="L27" s="81">
        <f ca="1">IFERROR(__xludf.DUMMYFUNCTION("""COMPUTED_VALUE"""),0)</f>
        <v>0</v>
      </c>
      <c r="M27" s="81"/>
      <c r="N27" s="81">
        <f ca="1">IFERROR(__xludf.DUMMYFUNCTION("""COMPUTED_VALUE"""),81.3)</f>
        <v>81.3</v>
      </c>
      <c r="O27" s="81"/>
      <c r="P27" s="81">
        <f ca="1">IFERROR(__xludf.DUMMYFUNCTION("""COMPUTED_VALUE"""),75.35)</f>
        <v>75.349999999999994</v>
      </c>
      <c r="Q27" s="81"/>
      <c r="R27" s="81">
        <f ca="1">IFERROR(__xludf.DUMMYFUNCTION("""COMPUTED_VALUE"""),88.95)</f>
        <v>88.95</v>
      </c>
      <c r="S27" s="81"/>
      <c r="T27" s="81"/>
      <c r="U27" s="82"/>
      <c r="V27" s="82"/>
      <c r="W27" s="83"/>
      <c r="X27" s="83"/>
      <c r="Y27" s="83"/>
    </row>
    <row r="28" spans="1:25" ht="15.75" customHeight="1">
      <c r="A28" s="78" t="str">
        <f ca="1">IFERROR(__xludf.DUMMYFUNCTION("""COMPUTED_VALUE"""),"AF")</f>
        <v>AF</v>
      </c>
      <c r="B28" s="79" t="str">
        <f ca="1">IFERROR(__xludf.DUMMYFUNCTION("""COMPUTED_VALUE"""),"Teagan Boone")</f>
        <v>Teagan Boone</v>
      </c>
      <c r="C28" s="78">
        <f ca="1">IFERROR(__xludf.DUMMYFUNCTION("""COMPUTED_VALUE"""),14)</f>
        <v>14</v>
      </c>
      <c r="D28" s="78" t="str">
        <f ca="1">IFERROR(__xludf.DUMMYFUNCTION("""COMPUTED_VALUE"""),"G")</f>
        <v>G</v>
      </c>
      <c r="E28" s="80" t="str">
        <f ca="1">IFERROR(__xludf.DUMMYFUNCTION("""COMPUTED_VALUE"""),"I")</f>
        <v>I</v>
      </c>
      <c r="F28" s="80" t="str">
        <f ca="1">IFERROR(__xludf.DUMMYFUNCTION("""COMPUTED_VALUE"""),"S")</f>
        <v>S</v>
      </c>
      <c r="G28" s="80">
        <f ca="1">IFERROR(__xludf.DUMMYFUNCTION("""COMPUTED_VALUE"""),3)</f>
        <v>3</v>
      </c>
      <c r="H28" s="80" t="str">
        <f ca="1">IFERROR(__xludf.DUMMYFUNCTION("""COMPUTED_VALUE"""),"AF")</f>
        <v>AF</v>
      </c>
      <c r="I28" s="80">
        <f ca="1">IFERROR(__xludf.DUMMYFUNCTION("""COMPUTED_VALUE"""),6)</f>
        <v>6</v>
      </c>
      <c r="J28" s="81">
        <f ca="1">IFERROR(__xludf.DUMMYFUNCTION("""COMPUTED_VALUE"""),4)</f>
        <v>4</v>
      </c>
      <c r="K28" s="81">
        <f ca="1">IFERROR(__xludf.DUMMYFUNCTION("""COMPUTED_VALUE"""),107.65)</f>
        <v>107.65</v>
      </c>
      <c r="L28" s="81">
        <f ca="1">IFERROR(__xludf.DUMMYFUNCTION("""COMPUTED_VALUE"""),0)</f>
        <v>0</v>
      </c>
      <c r="M28" s="81"/>
      <c r="N28" s="81">
        <f ca="1">IFERROR(__xludf.DUMMYFUNCTION("""COMPUTED_VALUE"""),99.35)</f>
        <v>99.35</v>
      </c>
      <c r="O28" s="81"/>
      <c r="P28" s="81">
        <f ca="1">IFERROR(__xludf.DUMMYFUNCTION("""COMPUTED_VALUE"""),86.15)</f>
        <v>86.15</v>
      </c>
      <c r="Q28" s="81"/>
      <c r="R28" s="81">
        <f ca="1">IFERROR(__xludf.DUMMYFUNCTION("""COMPUTED_VALUE"""),107.65)</f>
        <v>107.65</v>
      </c>
      <c r="S28" s="81"/>
      <c r="T28" s="81"/>
      <c r="U28" s="82"/>
      <c r="V28" s="82"/>
      <c r="W28" s="83"/>
      <c r="X28" s="83"/>
      <c r="Y28" s="83"/>
    </row>
    <row r="29" spans="1:25" ht="15.75" customHeight="1">
      <c r="A29" s="78" t="str">
        <f ca="1">IFERROR(__xludf.DUMMYFUNCTION("""COMPUTED_VALUE"""),"AF")</f>
        <v>AF</v>
      </c>
      <c r="B29" s="79" t="str">
        <f ca="1">IFERROR(__xludf.DUMMYFUNCTION("""COMPUTED_VALUE"""),"Allison Felluca")</f>
        <v>Allison Felluca</v>
      </c>
      <c r="C29" s="78">
        <f ca="1">IFERROR(__xludf.DUMMYFUNCTION("""COMPUTED_VALUE"""),13)</f>
        <v>13</v>
      </c>
      <c r="D29" s="78" t="str">
        <f ca="1">IFERROR(__xludf.DUMMYFUNCTION("""COMPUTED_VALUE"""),"G")</f>
        <v>G</v>
      </c>
      <c r="E29" s="80" t="str">
        <f ca="1">IFERROR(__xludf.DUMMYFUNCTION("""COMPUTED_VALUE"""),"I")</f>
        <v>I</v>
      </c>
      <c r="F29" s="80" t="str">
        <f ca="1">IFERROR(__xludf.DUMMYFUNCTION("""COMPUTED_VALUE"""),"S")</f>
        <v>S</v>
      </c>
      <c r="G29" s="80">
        <f ca="1">IFERROR(__xludf.DUMMYFUNCTION("""COMPUTED_VALUE"""),3)</f>
        <v>3</v>
      </c>
      <c r="H29" s="80" t="str">
        <f ca="1">IFERROR(__xludf.DUMMYFUNCTION("""COMPUTED_VALUE"""),"AF")</f>
        <v>AF</v>
      </c>
      <c r="I29" s="80">
        <f ca="1">IFERROR(__xludf.DUMMYFUNCTION("""COMPUTED_VALUE"""),6)</f>
        <v>6</v>
      </c>
      <c r="J29" s="81">
        <f ca="1">IFERROR(__xludf.DUMMYFUNCTION("""COMPUTED_VALUE"""),0)</f>
        <v>0</v>
      </c>
      <c r="K29" s="81">
        <f ca="1">IFERROR(__xludf.DUMMYFUNCTION("""COMPUTED_VALUE"""),0)</f>
        <v>0</v>
      </c>
      <c r="L29" s="81">
        <f ca="1">IFERROR(__xludf.DUMMYFUNCTION("""COMPUTED_VALUE"""),0)</f>
        <v>0</v>
      </c>
      <c r="M29" s="81"/>
      <c r="N29" s="81">
        <f ca="1">IFERROR(__xludf.DUMMYFUNCTION("""COMPUTED_VALUE"""),0)</f>
        <v>0</v>
      </c>
      <c r="O29" s="81"/>
      <c r="P29" s="81">
        <f ca="1">IFERROR(__xludf.DUMMYFUNCTION("""COMPUTED_VALUE"""),0)</f>
        <v>0</v>
      </c>
      <c r="Q29" s="81"/>
      <c r="R29" s="81">
        <f ca="1">IFERROR(__xludf.DUMMYFUNCTION("""COMPUTED_VALUE"""),0)</f>
        <v>0</v>
      </c>
      <c r="S29" s="81"/>
      <c r="T29" s="81"/>
      <c r="U29" s="82"/>
      <c r="V29" s="82"/>
      <c r="W29" s="83"/>
      <c r="X29" s="83"/>
      <c r="Y29" s="83"/>
    </row>
    <row r="30" spans="1:25" ht="13.8">
      <c r="A30" s="78" t="str">
        <f ca="1">IFERROR(__xludf.DUMMYFUNCTION("""COMPUTED_VALUE"""),"AF")</f>
        <v>AF</v>
      </c>
      <c r="B30" s="79" t="str">
        <f ca="1">IFERROR(__xludf.DUMMYFUNCTION("""COMPUTED_VALUE"""),"Ada Jordan")</f>
        <v>Ada Jordan</v>
      </c>
      <c r="C30" s="78">
        <f ca="1">IFERROR(__xludf.DUMMYFUNCTION("""COMPUTED_VALUE"""),13)</f>
        <v>13</v>
      </c>
      <c r="D30" s="78" t="str">
        <f ca="1">IFERROR(__xludf.DUMMYFUNCTION("""COMPUTED_VALUE"""),"G")</f>
        <v>G</v>
      </c>
      <c r="E30" s="80" t="str">
        <f ca="1">IFERROR(__xludf.DUMMYFUNCTION("""COMPUTED_VALUE"""),"I")</f>
        <v>I</v>
      </c>
      <c r="F30" s="80" t="str">
        <f ca="1">IFERROR(__xludf.DUMMYFUNCTION("""COMPUTED_VALUE"""),"S")</f>
        <v>S</v>
      </c>
      <c r="G30" s="80">
        <f ca="1">IFERROR(__xludf.DUMMYFUNCTION("""COMPUTED_VALUE"""),3)</f>
        <v>3</v>
      </c>
      <c r="H30" s="80" t="str">
        <f ca="1">IFERROR(__xludf.DUMMYFUNCTION("""COMPUTED_VALUE"""),"AF")</f>
        <v>AF</v>
      </c>
      <c r="I30" s="80">
        <f ca="1">IFERROR(__xludf.DUMMYFUNCTION("""COMPUTED_VALUE"""),6)</f>
        <v>6</v>
      </c>
      <c r="J30" s="81">
        <f ca="1">IFERROR(__xludf.DUMMYFUNCTION("""COMPUTED_VALUE"""),5)</f>
        <v>5</v>
      </c>
      <c r="K30" s="81">
        <f ca="1">IFERROR(__xludf.DUMMYFUNCTION("""COMPUTED_VALUE"""),123.7)</f>
        <v>123.7</v>
      </c>
      <c r="L30" s="81">
        <f ca="1">IFERROR(__xludf.DUMMYFUNCTION("""COMPUTED_VALUE"""),92.75)</f>
        <v>92.75</v>
      </c>
      <c r="M30" s="81"/>
      <c r="N30" s="81">
        <f ca="1">IFERROR(__xludf.DUMMYFUNCTION("""COMPUTED_VALUE"""),116.85)</f>
        <v>116.85</v>
      </c>
      <c r="O30" s="81"/>
      <c r="P30" s="81">
        <f ca="1">IFERROR(__xludf.DUMMYFUNCTION("""COMPUTED_VALUE"""),123.7)</f>
        <v>123.7</v>
      </c>
      <c r="Q30" s="81"/>
      <c r="R30" s="81">
        <f ca="1">IFERROR(__xludf.DUMMYFUNCTION("""COMPUTED_VALUE"""),122.6)</f>
        <v>122.6</v>
      </c>
      <c r="S30" s="81"/>
      <c r="T30" s="81"/>
      <c r="U30" s="82"/>
      <c r="V30" s="82"/>
      <c r="W30" s="83"/>
      <c r="X30" s="83"/>
      <c r="Y30" s="83"/>
    </row>
    <row r="31" spans="1:25" ht="13.8">
      <c r="A31" s="78" t="str">
        <f ca="1">IFERROR(__xludf.DUMMYFUNCTION("""COMPUTED_VALUE"""),"AF")</f>
        <v>AF</v>
      </c>
      <c r="B31" s="79" t="str">
        <f ca="1">IFERROR(__xludf.DUMMYFUNCTION("""COMPUTED_VALUE"""),"Greyson Schroeher")</f>
        <v>Greyson Schroeher</v>
      </c>
      <c r="C31" s="78">
        <f ca="1">IFERROR(__xludf.DUMMYFUNCTION("""COMPUTED_VALUE"""),13)</f>
        <v>13</v>
      </c>
      <c r="D31" s="78" t="str">
        <f ca="1">IFERROR(__xludf.DUMMYFUNCTION("""COMPUTED_VALUE"""),"B")</f>
        <v>B</v>
      </c>
      <c r="E31" s="80" t="str">
        <f ca="1">IFERROR(__xludf.DUMMYFUNCTION("""COMPUTED_VALUE"""),"I")</f>
        <v>I</v>
      </c>
      <c r="F31" s="80" t="str">
        <f ca="1">IFERROR(__xludf.DUMMYFUNCTION("""COMPUTED_VALUE"""),"S")</f>
        <v>S</v>
      </c>
      <c r="G31" s="80">
        <f ca="1">IFERROR(__xludf.DUMMYFUNCTION("""COMPUTED_VALUE"""),3)</f>
        <v>3</v>
      </c>
      <c r="H31" s="80" t="str">
        <f ca="1">IFERROR(__xludf.DUMMYFUNCTION("""COMPUTED_VALUE"""),"AF")</f>
        <v>AF</v>
      </c>
      <c r="I31" s="80">
        <f ca="1">IFERROR(__xludf.DUMMYFUNCTION("""COMPUTED_VALUE"""),7)</f>
        <v>7</v>
      </c>
      <c r="J31" s="81">
        <f ca="1">IFERROR(__xludf.DUMMYFUNCTION("""COMPUTED_VALUE"""),4)</f>
        <v>4</v>
      </c>
      <c r="K31" s="81">
        <f ca="1">IFERROR(__xludf.DUMMYFUNCTION("""COMPUTED_VALUE"""),126.45)</f>
        <v>126.45</v>
      </c>
      <c r="L31" s="81">
        <f ca="1">IFERROR(__xludf.DUMMYFUNCTION("""COMPUTED_VALUE"""),84.3)</f>
        <v>84.3</v>
      </c>
      <c r="M31" s="81"/>
      <c r="N31" s="81">
        <f ca="1">IFERROR(__xludf.DUMMYFUNCTION("""COMPUTED_VALUE"""),117.95)</f>
        <v>117.95</v>
      </c>
      <c r="O31" s="81"/>
      <c r="P31" s="81">
        <f ca="1">IFERROR(__xludf.DUMMYFUNCTION("""COMPUTED_VALUE"""),119.9)</f>
        <v>119.9</v>
      </c>
      <c r="Q31" s="81"/>
      <c r="R31" s="81">
        <f ca="1">IFERROR(__xludf.DUMMYFUNCTION("""COMPUTED_VALUE"""),126.45)</f>
        <v>126.45</v>
      </c>
      <c r="S31" s="81"/>
      <c r="T31" s="81"/>
      <c r="U31" s="82"/>
      <c r="V31" s="82"/>
      <c r="W31" s="83"/>
      <c r="X31" s="83"/>
      <c r="Y31" s="83"/>
    </row>
    <row r="32" spans="1:25" ht="13.8">
      <c r="A32" s="78" t="str">
        <f ca="1">IFERROR(__xludf.DUMMYFUNCTION("""COMPUTED_VALUE"""),"AF")</f>
        <v>AF</v>
      </c>
      <c r="B32" s="79" t="str">
        <f ca="1">IFERROR(__xludf.DUMMYFUNCTION("""COMPUTED_VALUE"""),"Benjamin Tahu ")</f>
        <v xml:space="preserve">Benjamin Tahu </v>
      </c>
      <c r="C32" s="78">
        <f ca="1">IFERROR(__xludf.DUMMYFUNCTION("""COMPUTED_VALUE"""),13)</f>
        <v>13</v>
      </c>
      <c r="D32" s="78" t="str">
        <f ca="1">IFERROR(__xludf.DUMMYFUNCTION("""COMPUTED_VALUE"""),"B")</f>
        <v>B</v>
      </c>
      <c r="E32" s="80" t="str">
        <f ca="1">IFERROR(__xludf.DUMMYFUNCTION("""COMPUTED_VALUE"""),"I")</f>
        <v>I</v>
      </c>
      <c r="F32" s="80" t="str">
        <f ca="1">IFERROR(__xludf.DUMMYFUNCTION("""COMPUTED_VALUE"""),"S")</f>
        <v>S</v>
      </c>
      <c r="G32" s="80">
        <f ca="1">IFERROR(__xludf.DUMMYFUNCTION("""COMPUTED_VALUE"""),3)</f>
        <v>3</v>
      </c>
      <c r="H32" s="80" t="str">
        <f ca="1">IFERROR(__xludf.DUMMYFUNCTION("""COMPUTED_VALUE"""),"AF")</f>
        <v>AF</v>
      </c>
      <c r="I32" s="80">
        <f ca="1">IFERROR(__xludf.DUMMYFUNCTION("""COMPUTED_VALUE"""),7)</f>
        <v>7</v>
      </c>
      <c r="J32" s="81">
        <f ca="1">IFERROR(__xludf.DUMMYFUNCTION("""COMPUTED_VALUE"""),3)</f>
        <v>3</v>
      </c>
      <c r="K32" s="81">
        <f ca="1">IFERROR(__xludf.DUMMYFUNCTION("""COMPUTED_VALUE"""),109.4)</f>
        <v>109.4</v>
      </c>
      <c r="L32" s="81">
        <f ca="1">IFERROR(__xludf.DUMMYFUNCTION("""COMPUTED_VALUE"""),0)</f>
        <v>0</v>
      </c>
      <c r="M32" s="81"/>
      <c r="N32" s="81">
        <f ca="1">IFERROR(__xludf.DUMMYFUNCTION("""COMPUTED_VALUE"""),0)</f>
        <v>0</v>
      </c>
      <c r="O32" s="81"/>
      <c r="P32" s="81">
        <f ca="1">IFERROR(__xludf.DUMMYFUNCTION("""COMPUTED_VALUE"""),98.5)</f>
        <v>98.5</v>
      </c>
      <c r="Q32" s="81"/>
      <c r="R32" s="81">
        <f ca="1">IFERROR(__xludf.DUMMYFUNCTION("""COMPUTED_VALUE"""),109.4)</f>
        <v>109.4</v>
      </c>
      <c r="S32" s="81"/>
      <c r="T32" s="81"/>
      <c r="U32" s="82"/>
      <c r="V32" s="82"/>
      <c r="W32" s="83"/>
      <c r="X32" s="83"/>
      <c r="Y32" s="83"/>
    </row>
    <row r="33" spans="1:25" ht="13.8">
      <c r="A33" s="78" t="str">
        <f ca="1">IFERROR(__xludf.DUMMYFUNCTION("""COMPUTED_VALUE"""),"AF")</f>
        <v>AF</v>
      </c>
      <c r="B33" s="79" t="str">
        <f ca="1">IFERROR(__xludf.DUMMYFUNCTION("""COMPUTED_VALUE"""),"Alexa Brooke")</f>
        <v>Alexa Brooke</v>
      </c>
      <c r="C33" s="78">
        <f ca="1">IFERROR(__xludf.DUMMYFUNCTION("""COMPUTED_VALUE"""),16)</f>
        <v>16</v>
      </c>
      <c r="D33" s="78" t="str">
        <f ca="1">IFERROR(__xludf.DUMMYFUNCTION("""COMPUTED_VALUE"""),"G")</f>
        <v>G</v>
      </c>
      <c r="E33" s="80" t="str">
        <f ca="1">IFERROR(__xludf.DUMMYFUNCTION("""COMPUTED_VALUE"""),"S")</f>
        <v>S</v>
      </c>
      <c r="F33" s="80" t="str">
        <f ca="1">IFERROR(__xludf.DUMMYFUNCTION("""COMPUTED_VALUE"""),"S")</f>
        <v>S</v>
      </c>
      <c r="G33" s="80">
        <f ca="1">IFERROR(__xludf.DUMMYFUNCTION("""COMPUTED_VALUE"""),3)</f>
        <v>3</v>
      </c>
      <c r="H33" s="80" t="str">
        <f ca="1">IFERROR(__xludf.DUMMYFUNCTION("""COMPUTED_VALUE"""),"AF")</f>
        <v>AF</v>
      </c>
      <c r="I33" s="80">
        <f ca="1">IFERROR(__xludf.DUMMYFUNCTION("""COMPUTED_VALUE"""),8)</f>
        <v>8</v>
      </c>
      <c r="J33" s="81">
        <f ca="1">IFERROR(__xludf.DUMMYFUNCTION("""COMPUTED_VALUE"""),2)</f>
        <v>2</v>
      </c>
      <c r="K33" s="81">
        <f ca="1">IFERROR(__xludf.DUMMYFUNCTION("""COMPUTED_VALUE"""),132.2)</f>
        <v>132.19999999999999</v>
      </c>
      <c r="L33" s="81">
        <f ca="1">IFERROR(__xludf.DUMMYFUNCTION("""COMPUTED_VALUE"""),132.2)</f>
        <v>132.19999999999999</v>
      </c>
      <c r="M33" s="81"/>
      <c r="N33" s="81">
        <f ca="1">IFERROR(__xludf.DUMMYFUNCTION("""COMPUTED_VALUE"""),0)</f>
        <v>0</v>
      </c>
      <c r="O33" s="81"/>
      <c r="P33" s="81">
        <f ca="1">IFERROR(__xludf.DUMMYFUNCTION("""COMPUTED_VALUE"""),0)</f>
        <v>0</v>
      </c>
      <c r="Q33" s="81"/>
      <c r="R33" s="81">
        <f ca="1">IFERROR(__xludf.DUMMYFUNCTION("""COMPUTED_VALUE"""),0)</f>
        <v>0</v>
      </c>
      <c r="S33" s="81"/>
      <c r="T33" s="81"/>
      <c r="U33" s="82"/>
      <c r="V33" s="82"/>
      <c r="W33" s="83"/>
      <c r="X33" s="83"/>
      <c r="Y33" s="83"/>
    </row>
    <row r="34" spans="1:25" ht="13.8">
      <c r="A34" s="78" t="str">
        <f ca="1">IFERROR(__xludf.DUMMYFUNCTION("""COMPUTED_VALUE"""),"AF")</f>
        <v>AF</v>
      </c>
      <c r="B34" s="79" t="str">
        <f ca="1">IFERROR(__xludf.DUMMYFUNCTION("""COMPUTED_VALUE"""),"Ava Smialowicz")</f>
        <v>Ava Smialowicz</v>
      </c>
      <c r="C34" s="78">
        <f ca="1">IFERROR(__xludf.DUMMYFUNCTION("""COMPUTED_VALUE"""),17)</f>
        <v>17</v>
      </c>
      <c r="D34" s="78" t="str">
        <f ca="1">IFERROR(__xludf.DUMMYFUNCTION("""COMPUTED_VALUE"""),"G")</f>
        <v>G</v>
      </c>
      <c r="E34" s="80" t="str">
        <f ca="1">IFERROR(__xludf.DUMMYFUNCTION("""COMPUTED_VALUE"""),"S")</f>
        <v>S</v>
      </c>
      <c r="F34" s="80" t="str">
        <f ca="1">IFERROR(__xludf.DUMMYFUNCTION("""COMPUTED_VALUE"""),"S")</f>
        <v>S</v>
      </c>
      <c r="G34" s="80">
        <f ca="1">IFERROR(__xludf.DUMMYFUNCTION("""COMPUTED_VALUE"""),3)</f>
        <v>3</v>
      </c>
      <c r="H34" s="80" t="str">
        <f ca="1">IFERROR(__xludf.DUMMYFUNCTION("""COMPUTED_VALUE"""),"AF")</f>
        <v>AF</v>
      </c>
      <c r="I34" s="80">
        <f ca="1">IFERROR(__xludf.DUMMYFUNCTION("""COMPUTED_VALUE"""),8)</f>
        <v>8</v>
      </c>
      <c r="J34" s="81">
        <f ca="1">IFERROR(__xludf.DUMMYFUNCTION("""COMPUTED_VALUE"""),0)</f>
        <v>0</v>
      </c>
      <c r="K34" s="81">
        <f ca="1">IFERROR(__xludf.DUMMYFUNCTION("""COMPUTED_VALUE"""),0)</f>
        <v>0</v>
      </c>
      <c r="L34" s="81">
        <f ca="1">IFERROR(__xludf.DUMMYFUNCTION("""COMPUTED_VALUE"""),0)</f>
        <v>0</v>
      </c>
      <c r="M34" s="81"/>
      <c r="N34" s="81">
        <f ca="1">IFERROR(__xludf.DUMMYFUNCTION("""COMPUTED_VALUE"""),0)</f>
        <v>0</v>
      </c>
      <c r="O34" s="81"/>
      <c r="P34" s="81">
        <f ca="1">IFERROR(__xludf.DUMMYFUNCTION("""COMPUTED_VALUE"""),0)</f>
        <v>0</v>
      </c>
      <c r="Q34" s="81"/>
      <c r="R34" s="81">
        <f ca="1">IFERROR(__xludf.DUMMYFUNCTION("""COMPUTED_VALUE"""),0)</f>
        <v>0</v>
      </c>
      <c r="S34" s="81"/>
      <c r="T34" s="81"/>
      <c r="U34" s="82"/>
      <c r="V34" s="82"/>
      <c r="W34" s="83"/>
      <c r="X34" s="83"/>
      <c r="Y34" s="83"/>
    </row>
    <row r="35" spans="1:25" ht="13.8">
      <c r="A35" s="78" t="str">
        <f ca="1">IFERROR(__xludf.DUMMYFUNCTION("""COMPUTED_VALUE"""),"AF")</f>
        <v>AF</v>
      </c>
      <c r="B35" s="79" t="str">
        <f ca="1">IFERROR(__xludf.DUMMYFUNCTION("""COMPUTED_VALUE"""),"Charlotte Weir")</f>
        <v>Charlotte Weir</v>
      </c>
      <c r="C35" s="78">
        <f ca="1">IFERROR(__xludf.DUMMYFUNCTION("""COMPUTED_VALUE"""),15)</f>
        <v>15</v>
      </c>
      <c r="D35" s="78" t="str">
        <f ca="1">IFERROR(__xludf.DUMMYFUNCTION("""COMPUTED_VALUE"""),"G")</f>
        <v>G</v>
      </c>
      <c r="E35" s="80" t="str">
        <f ca="1">IFERROR(__xludf.DUMMYFUNCTION("""COMPUTED_VALUE"""),"S")</f>
        <v>S</v>
      </c>
      <c r="F35" s="80" t="str">
        <f ca="1">IFERROR(__xludf.DUMMYFUNCTION("""COMPUTED_VALUE"""),"S")</f>
        <v>S</v>
      </c>
      <c r="G35" s="80">
        <f ca="1">IFERROR(__xludf.DUMMYFUNCTION("""COMPUTED_VALUE"""),3)</f>
        <v>3</v>
      </c>
      <c r="H35" s="80" t="str">
        <f ca="1">IFERROR(__xludf.DUMMYFUNCTION("""COMPUTED_VALUE"""),"AF")</f>
        <v>AF</v>
      </c>
      <c r="I35" s="80">
        <f ca="1">IFERROR(__xludf.DUMMYFUNCTION("""COMPUTED_VALUE"""),8)</f>
        <v>8</v>
      </c>
      <c r="J35" s="81">
        <f ca="1">IFERROR(__xludf.DUMMYFUNCTION("""COMPUTED_VALUE"""),4)</f>
        <v>4</v>
      </c>
      <c r="K35" s="81">
        <f ca="1">IFERROR(__xludf.DUMMYFUNCTION("""COMPUTED_VALUE"""),157.9)</f>
        <v>157.9</v>
      </c>
      <c r="L35" s="81">
        <f ca="1">IFERROR(__xludf.DUMMYFUNCTION("""COMPUTED_VALUE"""),0)</f>
        <v>0</v>
      </c>
      <c r="M35" s="81"/>
      <c r="N35" s="81">
        <f ca="1">IFERROR(__xludf.DUMMYFUNCTION("""COMPUTED_VALUE"""),157.9)</f>
        <v>157.9</v>
      </c>
      <c r="O35" s="81"/>
      <c r="P35" s="81">
        <f ca="1">IFERROR(__xludf.DUMMYFUNCTION("""COMPUTED_VALUE"""),139.55)</f>
        <v>139.55000000000001</v>
      </c>
      <c r="Q35" s="81"/>
      <c r="R35" s="81">
        <f ca="1">IFERROR(__xludf.DUMMYFUNCTION("""COMPUTED_VALUE"""),151.9)</f>
        <v>151.9</v>
      </c>
      <c r="S35" s="81"/>
      <c r="T35" s="81"/>
      <c r="U35" s="82"/>
      <c r="V35" s="82"/>
      <c r="W35" s="83"/>
      <c r="X35" s="83"/>
      <c r="Y35" s="83"/>
    </row>
    <row r="36" spans="1:25" ht="13.8">
      <c r="A36" s="78" t="str">
        <f ca="1">IFERROR(__xludf.DUMMYFUNCTION("""COMPUTED_VALUE"""),"AF")</f>
        <v>AF</v>
      </c>
      <c r="B36" s="79" t="str">
        <f ca="1">IFERROR(__xludf.DUMMYFUNCTION("""COMPUTED_VALUE"""),"Ella Wyman")</f>
        <v>Ella Wyman</v>
      </c>
      <c r="C36" s="78">
        <f ca="1">IFERROR(__xludf.DUMMYFUNCTION("""COMPUTED_VALUE"""),18)</f>
        <v>18</v>
      </c>
      <c r="D36" s="78" t="str">
        <f ca="1">IFERROR(__xludf.DUMMYFUNCTION("""COMPUTED_VALUE"""),"G")</f>
        <v>G</v>
      </c>
      <c r="E36" s="80" t="str">
        <f ca="1">IFERROR(__xludf.DUMMYFUNCTION("""COMPUTED_VALUE"""),"S")</f>
        <v>S</v>
      </c>
      <c r="F36" s="80" t="str">
        <f ca="1">IFERROR(__xludf.DUMMYFUNCTION("""COMPUTED_VALUE"""),"S")</f>
        <v>S</v>
      </c>
      <c r="G36" s="80">
        <f ca="1">IFERROR(__xludf.DUMMYFUNCTION("""COMPUTED_VALUE"""),3)</f>
        <v>3</v>
      </c>
      <c r="H36" s="80" t="str">
        <f ca="1">IFERROR(__xludf.DUMMYFUNCTION("""COMPUTED_VALUE"""),"AF")</f>
        <v>AF</v>
      </c>
      <c r="I36" s="80">
        <f ca="1">IFERROR(__xludf.DUMMYFUNCTION("""COMPUTED_VALUE"""),8)</f>
        <v>8</v>
      </c>
      <c r="J36" s="81">
        <f ca="1">IFERROR(__xludf.DUMMYFUNCTION("""COMPUTED_VALUE"""),2)</f>
        <v>2</v>
      </c>
      <c r="K36" s="81">
        <f ca="1">IFERROR(__xludf.DUMMYFUNCTION("""COMPUTED_VALUE"""),160)</f>
        <v>160</v>
      </c>
      <c r="L36" s="81">
        <f ca="1">IFERROR(__xludf.DUMMYFUNCTION("""COMPUTED_VALUE"""),0)</f>
        <v>0</v>
      </c>
      <c r="M36" s="81"/>
      <c r="N36" s="81">
        <f ca="1">IFERROR(__xludf.DUMMYFUNCTION("""COMPUTED_VALUE"""),160)</f>
        <v>160</v>
      </c>
      <c r="O36" s="81"/>
      <c r="P36" s="81">
        <f ca="1">IFERROR(__xludf.DUMMYFUNCTION("""COMPUTED_VALUE"""),0)</f>
        <v>0</v>
      </c>
      <c r="Q36" s="81"/>
      <c r="R36" s="81">
        <f ca="1">IFERROR(__xludf.DUMMYFUNCTION("""COMPUTED_VALUE"""),0)</f>
        <v>0</v>
      </c>
      <c r="S36" s="81"/>
      <c r="T36" s="81"/>
      <c r="U36" s="82"/>
      <c r="V36" s="82"/>
      <c r="W36" s="83"/>
      <c r="X36" s="83"/>
      <c r="Y36" s="83"/>
    </row>
    <row r="37" spans="1:25" ht="13.8">
      <c r="A37" s="78" t="str">
        <f ca="1">IFERROR(__xludf.DUMMYFUNCTION("""COMPUTED_VALUE"""),"AF")</f>
        <v>AF</v>
      </c>
      <c r="B37" s="79" t="str">
        <f ca="1">IFERROR(__xludf.DUMMYFUNCTION("""COMPUTED_VALUE"""),"David Alves")</f>
        <v>David Alves</v>
      </c>
      <c r="C37" s="78">
        <f ca="1">IFERROR(__xludf.DUMMYFUNCTION("""COMPUTED_VALUE"""),15)</f>
        <v>15</v>
      </c>
      <c r="D37" s="78" t="str">
        <f ca="1">IFERROR(__xludf.DUMMYFUNCTION("""COMPUTED_VALUE"""),"B")</f>
        <v>B</v>
      </c>
      <c r="E37" s="80" t="str">
        <f ca="1">IFERROR(__xludf.DUMMYFUNCTION("""COMPUTED_VALUE"""),"S")</f>
        <v>S</v>
      </c>
      <c r="F37" s="80" t="str">
        <f ca="1">IFERROR(__xludf.DUMMYFUNCTION("""COMPUTED_VALUE"""),"S")</f>
        <v>S</v>
      </c>
      <c r="G37" s="80">
        <f ca="1">IFERROR(__xludf.DUMMYFUNCTION("""COMPUTED_VALUE"""),3)</f>
        <v>3</v>
      </c>
      <c r="H37" s="80" t="str">
        <f ca="1">IFERROR(__xludf.DUMMYFUNCTION("""COMPUTED_VALUE"""),"AF")</f>
        <v>AF</v>
      </c>
      <c r="I37" s="80">
        <f ca="1">IFERROR(__xludf.DUMMYFUNCTION("""COMPUTED_VALUE"""),9)</f>
        <v>9</v>
      </c>
      <c r="J37" s="81">
        <f ca="1">IFERROR(__xludf.DUMMYFUNCTION("""COMPUTED_VALUE"""),4)</f>
        <v>4</v>
      </c>
      <c r="K37" s="81">
        <f ca="1">IFERROR(__xludf.DUMMYFUNCTION("""COMPUTED_VALUE"""),142.65)</f>
        <v>142.65</v>
      </c>
      <c r="L37" s="81">
        <f ca="1">IFERROR(__xludf.DUMMYFUNCTION("""COMPUTED_VALUE"""),113.8)</f>
        <v>113.8</v>
      </c>
      <c r="M37" s="81"/>
      <c r="N37" s="81">
        <f ca="1">IFERROR(__xludf.DUMMYFUNCTION("""COMPUTED_VALUE"""),142.65)</f>
        <v>142.65</v>
      </c>
      <c r="O37" s="81"/>
      <c r="P37" s="81">
        <f ca="1">IFERROR(__xludf.DUMMYFUNCTION("""COMPUTED_VALUE"""),131.3)</f>
        <v>131.30000000000001</v>
      </c>
      <c r="Q37" s="81"/>
      <c r="R37" s="81">
        <f ca="1">IFERROR(__xludf.DUMMYFUNCTION("""COMPUTED_VALUE"""),0)</f>
        <v>0</v>
      </c>
      <c r="S37" s="81"/>
      <c r="T37" s="81"/>
      <c r="U37" s="82"/>
      <c r="V37" s="82"/>
      <c r="W37" s="83"/>
      <c r="X37" s="83"/>
      <c r="Y37" s="83"/>
    </row>
    <row r="38" spans="1:25" ht="13.8">
      <c r="A38" s="78" t="str">
        <f ca="1">IFERROR(__xludf.DUMMYFUNCTION("""COMPUTED_VALUE"""),"AF")</f>
        <v>AF</v>
      </c>
      <c r="B38" s="79" t="str">
        <f ca="1">IFERROR(__xludf.DUMMYFUNCTION("""COMPUTED_VALUE"""),"Max Cassatt")</f>
        <v>Max Cassatt</v>
      </c>
      <c r="C38" s="78">
        <f ca="1">IFERROR(__xludf.DUMMYFUNCTION("""COMPUTED_VALUE"""),15)</f>
        <v>15</v>
      </c>
      <c r="D38" s="78" t="str">
        <f ca="1">IFERROR(__xludf.DUMMYFUNCTION("""COMPUTED_VALUE"""),"B")</f>
        <v>B</v>
      </c>
      <c r="E38" s="80" t="str">
        <f ca="1">IFERROR(__xludf.DUMMYFUNCTION("""COMPUTED_VALUE"""),"S")</f>
        <v>S</v>
      </c>
      <c r="F38" s="80" t="str">
        <f ca="1">IFERROR(__xludf.DUMMYFUNCTION("""COMPUTED_VALUE"""),"S")</f>
        <v>S</v>
      </c>
      <c r="G38" s="80">
        <f ca="1">IFERROR(__xludf.DUMMYFUNCTION("""COMPUTED_VALUE"""),3)</f>
        <v>3</v>
      </c>
      <c r="H38" s="80" t="str">
        <f ca="1">IFERROR(__xludf.DUMMYFUNCTION("""COMPUTED_VALUE"""),"AF")</f>
        <v>AF</v>
      </c>
      <c r="I38" s="80">
        <f ca="1">IFERROR(__xludf.DUMMYFUNCTION("""COMPUTED_VALUE"""),9)</f>
        <v>9</v>
      </c>
      <c r="J38" s="81">
        <f ca="1">IFERROR(__xludf.DUMMYFUNCTION("""COMPUTED_VALUE"""),4)</f>
        <v>4</v>
      </c>
      <c r="K38" s="81">
        <f ca="1">IFERROR(__xludf.DUMMYFUNCTION("""COMPUTED_VALUE"""),156.85)</f>
        <v>156.85</v>
      </c>
      <c r="L38" s="81">
        <f ca="1">IFERROR(__xludf.DUMMYFUNCTION("""COMPUTED_VALUE"""),0)</f>
        <v>0</v>
      </c>
      <c r="M38" s="81"/>
      <c r="N38" s="81">
        <f ca="1">IFERROR(__xludf.DUMMYFUNCTION("""COMPUTED_VALUE"""),156.85)</f>
        <v>156.85</v>
      </c>
      <c r="O38" s="81"/>
      <c r="P38" s="81">
        <f ca="1">IFERROR(__xludf.DUMMYFUNCTION("""COMPUTED_VALUE"""),148.35)</f>
        <v>148.35</v>
      </c>
      <c r="Q38" s="81"/>
      <c r="R38" s="81">
        <f ca="1">IFERROR(__xludf.DUMMYFUNCTION("""COMPUTED_VALUE"""),147.95)</f>
        <v>147.94999999999999</v>
      </c>
      <c r="S38" s="81"/>
      <c r="T38" s="81"/>
      <c r="U38" s="82"/>
      <c r="V38" s="82"/>
      <c r="W38" s="83"/>
      <c r="X38" s="83"/>
      <c r="Y38" s="83"/>
    </row>
    <row r="39" spans="1:25" ht="13.8">
      <c r="A39" s="78" t="str">
        <f ca="1">IFERROR(__xludf.DUMMYFUNCTION("""COMPUTED_VALUE"""),"AF")</f>
        <v>AF</v>
      </c>
      <c r="B39" s="79" t="str">
        <f ca="1">IFERROR(__xludf.DUMMYFUNCTION("""COMPUTED_VALUE"""),"Wyatt Hogan")</f>
        <v>Wyatt Hogan</v>
      </c>
      <c r="C39" s="78">
        <f ca="1">IFERROR(__xludf.DUMMYFUNCTION("""COMPUTED_VALUE"""),15)</f>
        <v>15</v>
      </c>
      <c r="D39" s="78" t="str">
        <f ca="1">IFERROR(__xludf.DUMMYFUNCTION("""COMPUTED_VALUE"""),"B")</f>
        <v>B</v>
      </c>
      <c r="E39" s="80" t="str">
        <f ca="1">IFERROR(__xludf.DUMMYFUNCTION("""COMPUTED_VALUE"""),"S")</f>
        <v>S</v>
      </c>
      <c r="F39" s="80" t="str">
        <f ca="1">IFERROR(__xludf.DUMMYFUNCTION("""COMPUTED_VALUE"""),"S")</f>
        <v>S</v>
      </c>
      <c r="G39" s="80">
        <f ca="1">IFERROR(__xludf.DUMMYFUNCTION("""COMPUTED_VALUE"""),3)</f>
        <v>3</v>
      </c>
      <c r="H39" s="80" t="str">
        <f ca="1">IFERROR(__xludf.DUMMYFUNCTION("""COMPUTED_VALUE"""),"AF")</f>
        <v>AF</v>
      </c>
      <c r="I39" s="80">
        <f ca="1">IFERROR(__xludf.DUMMYFUNCTION("""COMPUTED_VALUE"""),9)</f>
        <v>9</v>
      </c>
      <c r="J39" s="81">
        <f ca="1">IFERROR(__xludf.DUMMYFUNCTION("""COMPUTED_VALUE"""),1)</f>
        <v>1</v>
      </c>
      <c r="K39" s="81">
        <f ca="1">IFERROR(__xludf.DUMMYFUNCTION("""COMPUTED_VALUE"""),0)</f>
        <v>0</v>
      </c>
      <c r="L39" s="81">
        <f ca="1">IFERROR(__xludf.DUMMYFUNCTION("""COMPUTED_VALUE"""),0)</f>
        <v>0</v>
      </c>
      <c r="M39" s="81"/>
      <c r="N39" s="81">
        <f ca="1">IFERROR(__xludf.DUMMYFUNCTION("""COMPUTED_VALUE"""),0)</f>
        <v>0</v>
      </c>
      <c r="O39" s="81"/>
      <c r="P39" s="81">
        <f ca="1">IFERROR(__xludf.DUMMYFUNCTION("""COMPUTED_VALUE"""),0)</f>
        <v>0</v>
      </c>
      <c r="Q39" s="81"/>
      <c r="R39" s="81">
        <f ca="1">IFERROR(__xludf.DUMMYFUNCTION("""COMPUTED_VALUE"""),0)</f>
        <v>0</v>
      </c>
      <c r="S39" s="81"/>
      <c r="T39" s="81"/>
      <c r="U39" s="82"/>
      <c r="V39" s="82"/>
      <c r="W39" s="83"/>
      <c r="X39" s="83"/>
      <c r="Y39" s="83"/>
    </row>
    <row r="40" spans="1:25" ht="13.8">
      <c r="A40" s="78" t="str">
        <f ca="1">IFERROR(__xludf.DUMMYFUNCTION("""COMPUTED_VALUE"""),"CB")</f>
        <v>CB</v>
      </c>
      <c r="B40" s="79" t="str">
        <f ca="1">IFERROR(__xludf.DUMMYFUNCTION("""COMPUTED_VALUE"""),"Abby Babb")</f>
        <v>Abby Babb</v>
      </c>
      <c r="C40" s="78">
        <f ca="1">IFERROR(__xludf.DUMMYFUNCTION("""COMPUTED_VALUE"""),9)</f>
        <v>9</v>
      </c>
      <c r="D40" s="78" t="str">
        <f ca="1">IFERROR(__xludf.DUMMYFUNCTION("""COMPUTED_VALUE"""),"G")</f>
        <v>G</v>
      </c>
      <c r="E40" s="80" t="str">
        <f ca="1">IFERROR(__xludf.DUMMYFUNCTION("""COMPUTED_VALUE"""),"F")</f>
        <v>F</v>
      </c>
      <c r="F40" s="80" t="str">
        <f ca="1">IFERROR(__xludf.DUMMYFUNCTION("""COMPUTED_VALUE"""),"J")</f>
        <v>J</v>
      </c>
      <c r="G40" s="80">
        <f ca="1">IFERROR(__xludf.DUMMYFUNCTION("""COMPUTED_VALUE"""),4)</f>
        <v>4</v>
      </c>
      <c r="H40" s="80" t="str">
        <f ca="1">IFERROR(__xludf.DUMMYFUNCTION("""COMPUTED_VALUE"""),"CB")</f>
        <v>CB</v>
      </c>
      <c r="I40" s="80">
        <f ca="1">IFERROR(__xludf.DUMMYFUNCTION("""COMPUTED_VALUE"""),2)</f>
        <v>2</v>
      </c>
      <c r="J40" s="81">
        <f ca="1">IFERROR(__xludf.DUMMYFUNCTION("""COMPUTED_VALUE"""),2)</f>
        <v>2</v>
      </c>
      <c r="K40" s="81">
        <f ca="1">IFERROR(__xludf.DUMMYFUNCTION("""COMPUTED_VALUE"""),38.5)</f>
        <v>38.5</v>
      </c>
      <c r="L40" s="81">
        <f ca="1">IFERROR(__xludf.DUMMYFUNCTION("""COMPUTED_VALUE"""),23.05)</f>
        <v>23.05</v>
      </c>
      <c r="M40" s="81"/>
      <c r="N40" s="81">
        <f ca="1">IFERROR(__xludf.DUMMYFUNCTION("""COMPUTED_VALUE"""),38.5)</f>
        <v>38.5</v>
      </c>
      <c r="O40" s="81"/>
      <c r="P40" s="81">
        <f ca="1">IFERROR(__xludf.DUMMYFUNCTION("""COMPUTED_VALUE"""),0)</f>
        <v>0</v>
      </c>
      <c r="Q40" s="81"/>
      <c r="R40" s="81">
        <f ca="1">IFERROR(__xludf.DUMMYFUNCTION("""COMPUTED_VALUE"""),0)</f>
        <v>0</v>
      </c>
      <c r="S40" s="81"/>
      <c r="T40" s="81"/>
      <c r="U40" s="82"/>
      <c r="V40" s="82"/>
      <c r="W40" s="83"/>
      <c r="X40" s="83"/>
      <c r="Y40" s="83"/>
    </row>
    <row r="41" spans="1:25" ht="13.8">
      <c r="A41" s="78" t="str">
        <f ca="1">IFERROR(__xludf.DUMMYFUNCTION("""COMPUTED_VALUE"""),"CB")</f>
        <v>CB</v>
      </c>
      <c r="B41" s="79" t="str">
        <f ca="1">IFERROR(__xludf.DUMMYFUNCTION("""COMPUTED_VALUE"""),"Samhita Budharaju")</f>
        <v>Samhita Budharaju</v>
      </c>
      <c r="C41" s="78">
        <f ca="1">IFERROR(__xludf.DUMMYFUNCTION("""COMPUTED_VALUE"""),9)</f>
        <v>9</v>
      </c>
      <c r="D41" s="78" t="str">
        <f ca="1">IFERROR(__xludf.DUMMYFUNCTION("""COMPUTED_VALUE"""),"G")</f>
        <v>G</v>
      </c>
      <c r="E41" s="80" t="str">
        <f ca="1">IFERROR(__xludf.DUMMYFUNCTION("""COMPUTED_VALUE"""),"F")</f>
        <v>F</v>
      </c>
      <c r="F41" s="80" t="str">
        <f ca="1">IFERROR(__xludf.DUMMYFUNCTION("""COMPUTED_VALUE"""),"J")</f>
        <v>J</v>
      </c>
      <c r="G41" s="80">
        <f ca="1">IFERROR(__xludf.DUMMYFUNCTION("""COMPUTED_VALUE"""),4)</f>
        <v>4</v>
      </c>
      <c r="H41" s="80" t="str">
        <f ca="1">IFERROR(__xludf.DUMMYFUNCTION("""COMPUTED_VALUE"""),"CB")</f>
        <v>CB</v>
      </c>
      <c r="I41" s="80">
        <f ca="1">IFERROR(__xludf.DUMMYFUNCTION("""COMPUTED_VALUE"""),2)</f>
        <v>2</v>
      </c>
      <c r="J41" s="81">
        <f ca="1">IFERROR(__xludf.DUMMYFUNCTION("""COMPUTED_VALUE"""),0)</f>
        <v>0</v>
      </c>
      <c r="K41" s="81">
        <f ca="1">IFERROR(__xludf.DUMMYFUNCTION("""COMPUTED_VALUE"""),0)</f>
        <v>0</v>
      </c>
      <c r="L41" s="81">
        <f ca="1">IFERROR(__xludf.DUMMYFUNCTION("""COMPUTED_VALUE"""),0)</f>
        <v>0</v>
      </c>
      <c r="M41" s="81"/>
      <c r="N41" s="81">
        <f ca="1">IFERROR(__xludf.DUMMYFUNCTION("""COMPUTED_VALUE"""),0)</f>
        <v>0</v>
      </c>
      <c r="O41" s="81"/>
      <c r="P41" s="81">
        <f ca="1">IFERROR(__xludf.DUMMYFUNCTION("""COMPUTED_VALUE"""),0)</f>
        <v>0</v>
      </c>
      <c r="Q41" s="81"/>
      <c r="R41" s="81">
        <f ca="1">IFERROR(__xludf.DUMMYFUNCTION("""COMPUTED_VALUE"""),0)</f>
        <v>0</v>
      </c>
      <c r="S41" s="81"/>
      <c r="T41" s="81"/>
      <c r="U41" s="82"/>
      <c r="V41" s="82"/>
      <c r="W41" s="83"/>
      <c r="X41" s="83"/>
      <c r="Y41" s="83"/>
    </row>
    <row r="42" spans="1:25" ht="13.8">
      <c r="A42" s="78" t="str">
        <f ca="1">IFERROR(__xludf.DUMMYFUNCTION("""COMPUTED_VALUE"""),"CB")</f>
        <v>CB</v>
      </c>
      <c r="B42" s="79" t="str">
        <f ca="1">IFERROR(__xludf.DUMMYFUNCTION("""COMPUTED_VALUE"""),"Catherine Burnison")</f>
        <v>Catherine Burnison</v>
      </c>
      <c r="C42" s="78">
        <f ca="1">IFERROR(__xludf.DUMMYFUNCTION("""COMPUTED_VALUE"""),10)</f>
        <v>10</v>
      </c>
      <c r="D42" s="78" t="str">
        <f ca="1">IFERROR(__xludf.DUMMYFUNCTION("""COMPUTED_VALUE"""),"G")</f>
        <v>G</v>
      </c>
      <c r="E42" s="80" t="str">
        <f ca="1">IFERROR(__xludf.DUMMYFUNCTION("""COMPUTED_VALUE"""),"F")</f>
        <v>F</v>
      </c>
      <c r="F42" s="80" t="str">
        <f ca="1">IFERROR(__xludf.DUMMYFUNCTION("""COMPUTED_VALUE"""),"J")</f>
        <v>J</v>
      </c>
      <c r="G42" s="80">
        <f ca="1">IFERROR(__xludf.DUMMYFUNCTION("""COMPUTED_VALUE"""),4)</f>
        <v>4</v>
      </c>
      <c r="H42" s="80" t="str">
        <f ca="1">IFERROR(__xludf.DUMMYFUNCTION("""COMPUTED_VALUE"""),"CB")</f>
        <v>CB</v>
      </c>
      <c r="I42" s="80">
        <f ca="1">IFERROR(__xludf.DUMMYFUNCTION("""COMPUTED_VALUE"""),2)</f>
        <v>2</v>
      </c>
      <c r="J42" s="81">
        <f ca="1">IFERROR(__xludf.DUMMYFUNCTION("""COMPUTED_VALUE"""),0)</f>
        <v>0</v>
      </c>
      <c r="K42" s="81">
        <f ca="1">IFERROR(__xludf.DUMMYFUNCTION("""COMPUTED_VALUE"""),0)</f>
        <v>0</v>
      </c>
      <c r="L42" s="81">
        <f ca="1">IFERROR(__xludf.DUMMYFUNCTION("""COMPUTED_VALUE"""),0)</f>
        <v>0</v>
      </c>
      <c r="M42" s="81"/>
      <c r="N42" s="81">
        <f ca="1">IFERROR(__xludf.DUMMYFUNCTION("""COMPUTED_VALUE"""),0)</f>
        <v>0</v>
      </c>
      <c r="O42" s="81"/>
      <c r="P42" s="81">
        <f ca="1">IFERROR(__xludf.DUMMYFUNCTION("""COMPUTED_VALUE"""),0)</f>
        <v>0</v>
      </c>
      <c r="Q42" s="81"/>
      <c r="R42" s="81">
        <f ca="1">IFERROR(__xludf.DUMMYFUNCTION("""COMPUTED_VALUE"""),0)</f>
        <v>0</v>
      </c>
      <c r="S42" s="81"/>
      <c r="T42" s="81"/>
      <c r="U42" s="82"/>
      <c r="V42" s="82"/>
      <c r="W42" s="83"/>
      <c r="X42" s="83"/>
      <c r="Y42" s="83"/>
    </row>
    <row r="43" spans="1:25" ht="13.8">
      <c r="A43" s="78" t="str">
        <f ca="1">IFERROR(__xludf.DUMMYFUNCTION("""COMPUTED_VALUE"""),"CB")</f>
        <v>CB</v>
      </c>
      <c r="B43" s="79" t="str">
        <f ca="1">IFERROR(__xludf.DUMMYFUNCTION("""COMPUTED_VALUE"""),"Elizabeth Burnison")</f>
        <v>Elizabeth Burnison</v>
      </c>
      <c r="C43" s="78">
        <f ca="1">IFERROR(__xludf.DUMMYFUNCTION("""COMPUTED_VALUE"""),9)</f>
        <v>9</v>
      </c>
      <c r="D43" s="78" t="str">
        <f ca="1">IFERROR(__xludf.DUMMYFUNCTION("""COMPUTED_VALUE"""),"G")</f>
        <v>G</v>
      </c>
      <c r="E43" s="80" t="str">
        <f ca="1">IFERROR(__xludf.DUMMYFUNCTION("""COMPUTED_VALUE"""),"F")</f>
        <v>F</v>
      </c>
      <c r="F43" s="80" t="str">
        <f ca="1">IFERROR(__xludf.DUMMYFUNCTION("""COMPUTED_VALUE"""),"J")</f>
        <v>J</v>
      </c>
      <c r="G43" s="80">
        <f ca="1">IFERROR(__xludf.DUMMYFUNCTION("""COMPUTED_VALUE"""),4)</f>
        <v>4</v>
      </c>
      <c r="H43" s="80" t="str">
        <f ca="1">IFERROR(__xludf.DUMMYFUNCTION("""COMPUTED_VALUE"""),"CB")</f>
        <v>CB</v>
      </c>
      <c r="I43" s="80">
        <f ca="1">IFERROR(__xludf.DUMMYFUNCTION("""COMPUTED_VALUE"""),2)</f>
        <v>2</v>
      </c>
      <c r="J43" s="81">
        <f ca="1">IFERROR(__xludf.DUMMYFUNCTION("""COMPUTED_VALUE"""),0)</f>
        <v>0</v>
      </c>
      <c r="K43" s="81">
        <f ca="1">IFERROR(__xludf.DUMMYFUNCTION("""COMPUTED_VALUE"""),0)</f>
        <v>0</v>
      </c>
      <c r="L43" s="81">
        <f ca="1">IFERROR(__xludf.DUMMYFUNCTION("""COMPUTED_VALUE"""),0)</f>
        <v>0</v>
      </c>
      <c r="M43" s="81"/>
      <c r="N43" s="81">
        <f ca="1">IFERROR(__xludf.DUMMYFUNCTION("""COMPUTED_VALUE"""),0)</f>
        <v>0</v>
      </c>
      <c r="O43" s="81"/>
      <c r="P43" s="81">
        <f ca="1">IFERROR(__xludf.DUMMYFUNCTION("""COMPUTED_VALUE"""),0)</f>
        <v>0</v>
      </c>
      <c r="Q43" s="81"/>
      <c r="R43" s="81">
        <f ca="1">IFERROR(__xludf.DUMMYFUNCTION("""COMPUTED_VALUE"""),0)</f>
        <v>0</v>
      </c>
      <c r="S43" s="81"/>
      <c r="T43" s="81"/>
      <c r="U43" s="82"/>
      <c r="V43" s="82"/>
      <c r="W43" s="83"/>
      <c r="X43" s="83"/>
      <c r="Y43" s="83"/>
    </row>
    <row r="44" spans="1:25" ht="13.8">
      <c r="A44" s="78" t="str">
        <f ca="1">IFERROR(__xludf.DUMMYFUNCTION("""COMPUTED_VALUE"""),"CB")</f>
        <v>CB</v>
      </c>
      <c r="B44" s="79" t="str">
        <f ca="1">IFERROR(__xludf.DUMMYFUNCTION("""COMPUTED_VALUE"""),"Julianne Carle")</f>
        <v>Julianne Carle</v>
      </c>
      <c r="C44" s="78">
        <f ca="1">IFERROR(__xludf.DUMMYFUNCTION("""COMPUTED_VALUE"""),10)</f>
        <v>10</v>
      </c>
      <c r="D44" s="78" t="str">
        <f ca="1">IFERROR(__xludf.DUMMYFUNCTION("""COMPUTED_VALUE"""),"G")</f>
        <v>G</v>
      </c>
      <c r="E44" s="80" t="str">
        <f ca="1">IFERROR(__xludf.DUMMYFUNCTION("""COMPUTED_VALUE"""),"F")</f>
        <v>F</v>
      </c>
      <c r="F44" s="80" t="str">
        <f ca="1">IFERROR(__xludf.DUMMYFUNCTION("""COMPUTED_VALUE"""),"J")</f>
        <v>J</v>
      </c>
      <c r="G44" s="80">
        <f ca="1">IFERROR(__xludf.DUMMYFUNCTION("""COMPUTED_VALUE"""),4)</f>
        <v>4</v>
      </c>
      <c r="H44" s="80" t="str">
        <f ca="1">IFERROR(__xludf.DUMMYFUNCTION("""COMPUTED_VALUE"""),"CB")</f>
        <v>CB</v>
      </c>
      <c r="I44" s="80">
        <f ca="1">IFERROR(__xludf.DUMMYFUNCTION("""COMPUTED_VALUE"""),2)</f>
        <v>2</v>
      </c>
      <c r="J44" s="81">
        <f ca="1">IFERROR(__xludf.DUMMYFUNCTION("""COMPUTED_VALUE"""),5)</f>
        <v>5</v>
      </c>
      <c r="K44" s="81">
        <f ca="1">IFERROR(__xludf.DUMMYFUNCTION("""COMPUTED_VALUE"""),76.75)</f>
        <v>76.75</v>
      </c>
      <c r="L44" s="81">
        <f ca="1">IFERROR(__xludf.DUMMYFUNCTION("""COMPUTED_VALUE"""),58.25)</f>
        <v>58.25</v>
      </c>
      <c r="M44" s="81"/>
      <c r="N44" s="81">
        <f ca="1">IFERROR(__xludf.DUMMYFUNCTION("""COMPUTED_VALUE"""),75.45)</f>
        <v>75.45</v>
      </c>
      <c r="O44" s="81"/>
      <c r="P44" s="81">
        <f ca="1">IFERROR(__xludf.DUMMYFUNCTION("""COMPUTED_VALUE"""),76.75)</f>
        <v>76.75</v>
      </c>
      <c r="Q44" s="81"/>
      <c r="R44" s="81">
        <f ca="1">IFERROR(__xludf.DUMMYFUNCTION("""COMPUTED_VALUE"""),68.25)</f>
        <v>68.25</v>
      </c>
      <c r="S44" s="81"/>
      <c r="T44" s="81"/>
      <c r="U44" s="82"/>
      <c r="V44" s="82"/>
      <c r="W44" s="83"/>
      <c r="X44" s="83"/>
      <c r="Y44" s="83"/>
    </row>
    <row r="45" spans="1:25" ht="13.8">
      <c r="A45" s="78" t="str">
        <f ca="1">IFERROR(__xludf.DUMMYFUNCTION("""COMPUTED_VALUE"""),"CB")</f>
        <v>CB</v>
      </c>
      <c r="B45" s="79" t="str">
        <f ca="1">IFERROR(__xludf.DUMMYFUNCTION("""COMPUTED_VALUE"""),"Sloane Carle")</f>
        <v>Sloane Carle</v>
      </c>
      <c r="C45" s="78">
        <f ca="1">IFERROR(__xludf.DUMMYFUNCTION("""COMPUTED_VALUE"""),10)</f>
        <v>10</v>
      </c>
      <c r="D45" s="78" t="str">
        <f ca="1">IFERROR(__xludf.DUMMYFUNCTION("""COMPUTED_VALUE"""),"G")</f>
        <v>G</v>
      </c>
      <c r="E45" s="80" t="str">
        <f ca="1">IFERROR(__xludf.DUMMYFUNCTION("""COMPUTED_VALUE"""),"F")</f>
        <v>F</v>
      </c>
      <c r="F45" s="80" t="str">
        <f ca="1">IFERROR(__xludf.DUMMYFUNCTION("""COMPUTED_VALUE"""),"J")</f>
        <v>J</v>
      </c>
      <c r="G45" s="80">
        <f ca="1">IFERROR(__xludf.DUMMYFUNCTION("""COMPUTED_VALUE"""),4)</f>
        <v>4</v>
      </c>
      <c r="H45" s="80" t="str">
        <f ca="1">IFERROR(__xludf.DUMMYFUNCTION("""COMPUTED_VALUE"""),"CB")</f>
        <v>CB</v>
      </c>
      <c r="I45" s="80">
        <f ca="1">IFERROR(__xludf.DUMMYFUNCTION("""COMPUTED_VALUE"""),2)</f>
        <v>2</v>
      </c>
      <c r="J45" s="81">
        <f ca="1">IFERROR(__xludf.DUMMYFUNCTION("""COMPUTED_VALUE"""),4)</f>
        <v>4</v>
      </c>
      <c r="K45" s="81">
        <f ca="1">IFERROR(__xludf.DUMMYFUNCTION("""COMPUTED_VALUE"""),62.5)</f>
        <v>62.5</v>
      </c>
      <c r="L45" s="81">
        <f ca="1">IFERROR(__xludf.DUMMYFUNCTION("""COMPUTED_VALUE"""),0)</f>
        <v>0</v>
      </c>
      <c r="M45" s="81"/>
      <c r="N45" s="81">
        <f ca="1">IFERROR(__xludf.DUMMYFUNCTION("""COMPUTED_VALUE"""),50.9)</f>
        <v>50.9</v>
      </c>
      <c r="O45" s="81"/>
      <c r="P45" s="81">
        <f ca="1">IFERROR(__xludf.DUMMYFUNCTION("""COMPUTED_VALUE"""),62.5)</f>
        <v>62.5</v>
      </c>
      <c r="Q45" s="81"/>
      <c r="R45" s="81">
        <f ca="1">IFERROR(__xludf.DUMMYFUNCTION("""COMPUTED_VALUE"""),52.85)</f>
        <v>52.85</v>
      </c>
      <c r="S45" s="81"/>
      <c r="T45" s="81"/>
      <c r="U45" s="82"/>
      <c r="V45" s="82"/>
      <c r="W45" s="83"/>
      <c r="X45" s="83"/>
      <c r="Y45" s="83"/>
    </row>
    <row r="46" spans="1:25" ht="13.8">
      <c r="A46" s="78" t="str">
        <f ca="1">IFERROR(__xludf.DUMMYFUNCTION("""COMPUTED_VALUE"""),"CB")</f>
        <v>CB</v>
      </c>
      <c r="B46" s="79" t="str">
        <f ca="1">IFERROR(__xludf.DUMMYFUNCTION("""COMPUTED_VALUE"""),"Lyrics Chen")</f>
        <v>Lyrics Chen</v>
      </c>
      <c r="C46" s="78">
        <f ca="1">IFERROR(__xludf.DUMMYFUNCTION("""COMPUTED_VALUE"""),10)</f>
        <v>10</v>
      </c>
      <c r="D46" s="78" t="str">
        <f ca="1">IFERROR(__xludf.DUMMYFUNCTION("""COMPUTED_VALUE"""),"G")</f>
        <v>G</v>
      </c>
      <c r="E46" s="80" t="str">
        <f ca="1">IFERROR(__xludf.DUMMYFUNCTION("""COMPUTED_VALUE"""),"F")</f>
        <v>F</v>
      </c>
      <c r="F46" s="80" t="str">
        <f ca="1">IFERROR(__xludf.DUMMYFUNCTION("""COMPUTED_VALUE"""),"J")</f>
        <v>J</v>
      </c>
      <c r="G46" s="80">
        <f ca="1">IFERROR(__xludf.DUMMYFUNCTION("""COMPUTED_VALUE"""),4)</f>
        <v>4</v>
      </c>
      <c r="H46" s="80" t="str">
        <f ca="1">IFERROR(__xludf.DUMMYFUNCTION("""COMPUTED_VALUE"""),"CB")</f>
        <v>CB</v>
      </c>
      <c r="I46" s="80">
        <f ca="1">IFERROR(__xludf.DUMMYFUNCTION("""COMPUTED_VALUE"""),2)</f>
        <v>2</v>
      </c>
      <c r="J46" s="81">
        <f ca="1">IFERROR(__xludf.DUMMYFUNCTION("""COMPUTED_VALUE"""),0)</f>
        <v>0</v>
      </c>
      <c r="K46" s="81">
        <f ca="1">IFERROR(__xludf.DUMMYFUNCTION("""COMPUTED_VALUE"""),0)</f>
        <v>0</v>
      </c>
      <c r="L46" s="81">
        <f ca="1">IFERROR(__xludf.DUMMYFUNCTION("""COMPUTED_VALUE"""),0)</f>
        <v>0</v>
      </c>
      <c r="M46" s="81"/>
      <c r="N46" s="81">
        <f ca="1">IFERROR(__xludf.DUMMYFUNCTION("""COMPUTED_VALUE"""),0)</f>
        <v>0</v>
      </c>
      <c r="O46" s="81"/>
      <c r="P46" s="81">
        <f ca="1">IFERROR(__xludf.DUMMYFUNCTION("""COMPUTED_VALUE"""),0)</f>
        <v>0</v>
      </c>
      <c r="Q46" s="81"/>
      <c r="R46" s="81">
        <f ca="1">IFERROR(__xludf.DUMMYFUNCTION("""COMPUTED_VALUE"""),0)</f>
        <v>0</v>
      </c>
      <c r="S46" s="81"/>
      <c r="T46" s="81"/>
      <c r="U46" s="82"/>
      <c r="V46" s="82"/>
      <c r="W46" s="83"/>
      <c r="X46" s="83"/>
      <c r="Y46" s="83"/>
    </row>
    <row r="47" spans="1:25" ht="13.8">
      <c r="A47" s="78" t="str">
        <f ca="1">IFERROR(__xludf.DUMMYFUNCTION("""COMPUTED_VALUE"""),"CB")</f>
        <v>CB</v>
      </c>
      <c r="B47" s="79" t="str">
        <f ca="1">IFERROR(__xludf.DUMMYFUNCTION("""COMPUTED_VALUE"""),"Milin Doshi")</f>
        <v>Milin Doshi</v>
      </c>
      <c r="C47" s="78">
        <f ca="1">IFERROR(__xludf.DUMMYFUNCTION("""COMPUTED_VALUE"""),7)</f>
        <v>7</v>
      </c>
      <c r="D47" s="78" t="str">
        <f ca="1">IFERROR(__xludf.DUMMYFUNCTION("""COMPUTED_VALUE"""),"G")</f>
        <v>G</v>
      </c>
      <c r="E47" s="80" t="str">
        <f ca="1">IFERROR(__xludf.DUMMYFUNCTION("""COMPUTED_VALUE"""),"F")</f>
        <v>F</v>
      </c>
      <c r="F47" s="80" t="str">
        <f ca="1">IFERROR(__xludf.DUMMYFUNCTION("""COMPUTED_VALUE"""),"J")</f>
        <v>J</v>
      </c>
      <c r="G47" s="80">
        <f ca="1">IFERROR(__xludf.DUMMYFUNCTION("""COMPUTED_VALUE"""),4)</f>
        <v>4</v>
      </c>
      <c r="H47" s="80" t="str">
        <f ca="1">IFERROR(__xludf.DUMMYFUNCTION("""COMPUTED_VALUE"""),"CB")</f>
        <v>CB</v>
      </c>
      <c r="I47" s="80">
        <f ca="1">IFERROR(__xludf.DUMMYFUNCTION("""COMPUTED_VALUE"""),2)</f>
        <v>2</v>
      </c>
      <c r="J47" s="81">
        <f ca="1">IFERROR(__xludf.DUMMYFUNCTION("""COMPUTED_VALUE"""),0)</f>
        <v>0</v>
      </c>
      <c r="K47" s="81">
        <f ca="1">IFERROR(__xludf.DUMMYFUNCTION("""COMPUTED_VALUE"""),0)</f>
        <v>0</v>
      </c>
      <c r="L47" s="81">
        <f ca="1">IFERROR(__xludf.DUMMYFUNCTION("""COMPUTED_VALUE"""),0)</f>
        <v>0</v>
      </c>
      <c r="M47" s="81"/>
      <c r="N47" s="81">
        <f ca="1">IFERROR(__xludf.DUMMYFUNCTION("""COMPUTED_VALUE"""),0)</f>
        <v>0</v>
      </c>
      <c r="O47" s="81"/>
      <c r="P47" s="81">
        <f ca="1">IFERROR(__xludf.DUMMYFUNCTION("""COMPUTED_VALUE"""),0)</f>
        <v>0</v>
      </c>
      <c r="Q47" s="81"/>
      <c r="R47" s="81">
        <f ca="1">IFERROR(__xludf.DUMMYFUNCTION("""COMPUTED_VALUE"""),0)</f>
        <v>0</v>
      </c>
      <c r="S47" s="81"/>
      <c r="T47" s="81"/>
      <c r="U47" s="82"/>
      <c r="V47" s="82"/>
      <c r="W47" s="83"/>
      <c r="X47" s="83"/>
      <c r="Y47" s="83"/>
    </row>
    <row r="48" spans="1:25" ht="13.8">
      <c r="A48" s="78" t="str">
        <f ca="1">IFERROR(__xludf.DUMMYFUNCTION("""COMPUTED_VALUE"""),"CB")</f>
        <v>CB</v>
      </c>
      <c r="B48" s="79" t="str">
        <f ca="1">IFERROR(__xludf.DUMMYFUNCTION("""COMPUTED_VALUE"""),"Riya Doshi")</f>
        <v>Riya Doshi</v>
      </c>
      <c r="C48" s="78">
        <f ca="1">IFERROR(__xludf.DUMMYFUNCTION("""COMPUTED_VALUE"""),9)</f>
        <v>9</v>
      </c>
      <c r="D48" s="78" t="str">
        <f ca="1">IFERROR(__xludf.DUMMYFUNCTION("""COMPUTED_VALUE"""),"G")</f>
        <v>G</v>
      </c>
      <c r="E48" s="80" t="str">
        <f ca="1">IFERROR(__xludf.DUMMYFUNCTION("""COMPUTED_VALUE"""),"F")</f>
        <v>F</v>
      </c>
      <c r="F48" s="80" t="str">
        <f ca="1">IFERROR(__xludf.DUMMYFUNCTION("""COMPUTED_VALUE"""),"J")</f>
        <v>J</v>
      </c>
      <c r="G48" s="80">
        <f ca="1">IFERROR(__xludf.DUMMYFUNCTION("""COMPUTED_VALUE"""),4)</f>
        <v>4</v>
      </c>
      <c r="H48" s="80" t="str">
        <f ca="1">IFERROR(__xludf.DUMMYFUNCTION("""COMPUTED_VALUE"""),"CB")</f>
        <v>CB</v>
      </c>
      <c r="I48" s="80">
        <f ca="1">IFERROR(__xludf.DUMMYFUNCTION("""COMPUTED_VALUE"""),2)</f>
        <v>2</v>
      </c>
      <c r="J48" s="81">
        <f ca="1">IFERROR(__xludf.DUMMYFUNCTION("""COMPUTED_VALUE"""),0)</f>
        <v>0</v>
      </c>
      <c r="K48" s="81">
        <f ca="1">IFERROR(__xludf.DUMMYFUNCTION("""COMPUTED_VALUE"""),0)</f>
        <v>0</v>
      </c>
      <c r="L48" s="81">
        <f ca="1">IFERROR(__xludf.DUMMYFUNCTION("""COMPUTED_VALUE"""),0)</f>
        <v>0</v>
      </c>
      <c r="M48" s="81"/>
      <c r="N48" s="81">
        <f ca="1">IFERROR(__xludf.DUMMYFUNCTION("""COMPUTED_VALUE"""),0)</f>
        <v>0</v>
      </c>
      <c r="O48" s="81"/>
      <c r="P48" s="81">
        <f ca="1">IFERROR(__xludf.DUMMYFUNCTION("""COMPUTED_VALUE"""),0)</f>
        <v>0</v>
      </c>
      <c r="Q48" s="81"/>
      <c r="R48" s="81">
        <f ca="1">IFERROR(__xludf.DUMMYFUNCTION("""COMPUTED_VALUE"""),0)</f>
        <v>0</v>
      </c>
      <c r="S48" s="81"/>
      <c r="T48" s="81"/>
      <c r="U48" s="82"/>
      <c r="V48" s="82"/>
      <c r="W48" s="83"/>
      <c r="X48" s="83"/>
      <c r="Y48" s="83"/>
    </row>
    <row r="49" spans="1:25" ht="13.8">
      <c r="A49" s="78" t="str">
        <f ca="1">IFERROR(__xludf.DUMMYFUNCTION("""COMPUTED_VALUE"""),"CB")</f>
        <v>CB</v>
      </c>
      <c r="B49" s="79" t="str">
        <f ca="1">IFERROR(__xludf.DUMMYFUNCTION("""COMPUTED_VALUE"""),"Madeline Fatula")</f>
        <v>Madeline Fatula</v>
      </c>
      <c r="C49" s="78">
        <f ca="1">IFERROR(__xludf.DUMMYFUNCTION("""COMPUTED_VALUE"""),7)</f>
        <v>7</v>
      </c>
      <c r="D49" s="78" t="str">
        <f ca="1">IFERROR(__xludf.DUMMYFUNCTION("""COMPUTED_VALUE"""),"G")</f>
        <v>G</v>
      </c>
      <c r="E49" s="80" t="str">
        <f ca="1">IFERROR(__xludf.DUMMYFUNCTION("""COMPUTED_VALUE"""),"F")</f>
        <v>F</v>
      </c>
      <c r="F49" s="80" t="str">
        <f ca="1">IFERROR(__xludf.DUMMYFUNCTION("""COMPUTED_VALUE"""),"J")</f>
        <v>J</v>
      </c>
      <c r="G49" s="80">
        <f ca="1">IFERROR(__xludf.DUMMYFUNCTION("""COMPUTED_VALUE"""),4)</f>
        <v>4</v>
      </c>
      <c r="H49" s="80" t="str">
        <f ca="1">IFERROR(__xludf.DUMMYFUNCTION("""COMPUTED_VALUE"""),"CB")</f>
        <v>CB</v>
      </c>
      <c r="I49" s="80">
        <f ca="1">IFERROR(__xludf.DUMMYFUNCTION("""COMPUTED_VALUE"""),2)</f>
        <v>2</v>
      </c>
      <c r="J49" s="81">
        <f ca="1">IFERROR(__xludf.DUMMYFUNCTION("""COMPUTED_VALUE"""),0)</f>
        <v>0</v>
      </c>
      <c r="K49" s="81">
        <f ca="1">IFERROR(__xludf.DUMMYFUNCTION("""COMPUTED_VALUE"""),0)</f>
        <v>0</v>
      </c>
      <c r="L49" s="81">
        <f ca="1">IFERROR(__xludf.DUMMYFUNCTION("""COMPUTED_VALUE"""),0)</f>
        <v>0</v>
      </c>
      <c r="M49" s="81"/>
      <c r="N49" s="81">
        <f ca="1">IFERROR(__xludf.DUMMYFUNCTION("""COMPUTED_VALUE"""),0)</f>
        <v>0</v>
      </c>
      <c r="O49" s="81"/>
      <c r="P49" s="81">
        <f ca="1">IFERROR(__xludf.DUMMYFUNCTION("""COMPUTED_VALUE"""),0)</f>
        <v>0</v>
      </c>
      <c r="Q49" s="81"/>
      <c r="R49" s="81">
        <f ca="1">IFERROR(__xludf.DUMMYFUNCTION("""COMPUTED_VALUE"""),0)</f>
        <v>0</v>
      </c>
      <c r="S49" s="81"/>
      <c r="T49" s="81"/>
      <c r="U49" s="82"/>
      <c r="V49" s="82"/>
      <c r="W49" s="83"/>
      <c r="X49" s="83"/>
      <c r="Y49" s="83"/>
    </row>
    <row r="50" spans="1:25" ht="13.8">
      <c r="A50" s="78" t="str">
        <f ca="1">IFERROR(__xludf.DUMMYFUNCTION("""COMPUTED_VALUE"""),"CB")</f>
        <v>CB</v>
      </c>
      <c r="B50" s="79" t="str">
        <f ca="1">IFERROR(__xludf.DUMMYFUNCTION("""COMPUTED_VALUE"""),"Gabby Gallagher")</f>
        <v>Gabby Gallagher</v>
      </c>
      <c r="C50" s="78">
        <f ca="1">IFERROR(__xludf.DUMMYFUNCTION("""COMPUTED_VALUE"""),10)</f>
        <v>10</v>
      </c>
      <c r="D50" s="78" t="str">
        <f ca="1">IFERROR(__xludf.DUMMYFUNCTION("""COMPUTED_VALUE"""),"G")</f>
        <v>G</v>
      </c>
      <c r="E50" s="80" t="str">
        <f ca="1">IFERROR(__xludf.DUMMYFUNCTION("""COMPUTED_VALUE"""),"F")</f>
        <v>F</v>
      </c>
      <c r="F50" s="80" t="str">
        <f ca="1">IFERROR(__xludf.DUMMYFUNCTION("""COMPUTED_VALUE"""),"J")</f>
        <v>J</v>
      </c>
      <c r="G50" s="80">
        <f ca="1">IFERROR(__xludf.DUMMYFUNCTION("""COMPUTED_VALUE"""),4)</f>
        <v>4</v>
      </c>
      <c r="H50" s="80" t="str">
        <f ca="1">IFERROR(__xludf.DUMMYFUNCTION("""COMPUTED_VALUE"""),"CB")</f>
        <v>CB</v>
      </c>
      <c r="I50" s="80">
        <f ca="1">IFERROR(__xludf.DUMMYFUNCTION("""COMPUTED_VALUE"""),2)</f>
        <v>2</v>
      </c>
      <c r="J50" s="81">
        <f ca="1">IFERROR(__xludf.DUMMYFUNCTION("""COMPUTED_VALUE"""),1)</f>
        <v>1</v>
      </c>
      <c r="K50" s="81">
        <f ca="1">IFERROR(__xludf.DUMMYFUNCTION("""COMPUTED_VALUE"""),0)</f>
        <v>0</v>
      </c>
      <c r="L50" s="81">
        <f ca="1">IFERROR(__xludf.DUMMYFUNCTION("""COMPUTED_VALUE"""),0)</f>
        <v>0</v>
      </c>
      <c r="M50" s="81"/>
      <c r="N50" s="81">
        <f ca="1">IFERROR(__xludf.DUMMYFUNCTION("""COMPUTED_VALUE"""),0)</f>
        <v>0</v>
      </c>
      <c r="O50" s="81"/>
      <c r="P50" s="81">
        <f ca="1">IFERROR(__xludf.DUMMYFUNCTION("""COMPUTED_VALUE"""),0)</f>
        <v>0</v>
      </c>
      <c r="Q50" s="81"/>
      <c r="R50" s="81">
        <f ca="1">IFERROR(__xludf.DUMMYFUNCTION("""COMPUTED_VALUE"""),0)</f>
        <v>0</v>
      </c>
      <c r="S50" s="81"/>
      <c r="T50" s="81"/>
      <c r="U50" s="82"/>
      <c r="V50" s="82"/>
      <c r="W50" s="83"/>
      <c r="X50" s="83"/>
      <c r="Y50" s="83"/>
    </row>
    <row r="51" spans="1:25" ht="13.8">
      <c r="A51" s="78" t="str">
        <f ca="1">IFERROR(__xludf.DUMMYFUNCTION("""COMPUTED_VALUE"""),"CB")</f>
        <v>CB</v>
      </c>
      <c r="B51" s="79" t="str">
        <f ca="1">IFERROR(__xludf.DUMMYFUNCTION("""COMPUTED_VALUE"""),"Lilah Gallagher")</f>
        <v>Lilah Gallagher</v>
      </c>
      <c r="C51" s="78">
        <f ca="1">IFERROR(__xludf.DUMMYFUNCTION("""COMPUTED_VALUE"""),10)</f>
        <v>10</v>
      </c>
      <c r="D51" s="78" t="str">
        <f ca="1">IFERROR(__xludf.DUMMYFUNCTION("""COMPUTED_VALUE"""),"G")</f>
        <v>G</v>
      </c>
      <c r="E51" s="80" t="str">
        <f ca="1">IFERROR(__xludf.DUMMYFUNCTION("""COMPUTED_VALUE"""),"F")</f>
        <v>F</v>
      </c>
      <c r="F51" s="80" t="str">
        <f ca="1">IFERROR(__xludf.DUMMYFUNCTION("""COMPUTED_VALUE"""),"J")</f>
        <v>J</v>
      </c>
      <c r="G51" s="80">
        <f ca="1">IFERROR(__xludf.DUMMYFUNCTION("""COMPUTED_VALUE"""),4)</f>
        <v>4</v>
      </c>
      <c r="H51" s="80" t="str">
        <f ca="1">IFERROR(__xludf.DUMMYFUNCTION("""COMPUTED_VALUE"""),"CB")</f>
        <v>CB</v>
      </c>
      <c r="I51" s="80">
        <f ca="1">IFERROR(__xludf.DUMMYFUNCTION("""COMPUTED_VALUE"""),2)</f>
        <v>2</v>
      </c>
      <c r="J51" s="81">
        <f ca="1">IFERROR(__xludf.DUMMYFUNCTION("""COMPUTED_VALUE"""),1)</f>
        <v>1</v>
      </c>
      <c r="K51" s="81">
        <f ca="1">IFERROR(__xludf.DUMMYFUNCTION("""COMPUTED_VALUE"""),0)</f>
        <v>0</v>
      </c>
      <c r="L51" s="81">
        <f ca="1">IFERROR(__xludf.DUMMYFUNCTION("""COMPUTED_VALUE"""),0)</f>
        <v>0</v>
      </c>
      <c r="M51" s="81"/>
      <c r="N51" s="81">
        <f ca="1">IFERROR(__xludf.DUMMYFUNCTION("""COMPUTED_VALUE"""),0)</f>
        <v>0</v>
      </c>
      <c r="O51" s="81"/>
      <c r="P51" s="81">
        <f ca="1">IFERROR(__xludf.DUMMYFUNCTION("""COMPUTED_VALUE"""),0)</f>
        <v>0</v>
      </c>
      <c r="Q51" s="81"/>
      <c r="R51" s="81">
        <f ca="1">IFERROR(__xludf.DUMMYFUNCTION("""COMPUTED_VALUE"""),0)</f>
        <v>0</v>
      </c>
      <c r="S51" s="81"/>
      <c r="T51" s="81"/>
      <c r="U51" s="82"/>
      <c r="V51" s="82"/>
      <c r="W51" s="83"/>
      <c r="X51" s="83"/>
      <c r="Y51" s="83"/>
    </row>
    <row r="52" spans="1:25" ht="13.8">
      <c r="A52" s="78" t="str">
        <f ca="1">IFERROR(__xludf.DUMMYFUNCTION("""COMPUTED_VALUE"""),"CB")</f>
        <v>CB</v>
      </c>
      <c r="B52" s="79" t="str">
        <f ca="1">IFERROR(__xludf.DUMMYFUNCTION("""COMPUTED_VALUE"""),"Eliza Harvey")</f>
        <v>Eliza Harvey</v>
      </c>
      <c r="C52" s="78">
        <f ca="1">IFERROR(__xludf.DUMMYFUNCTION("""COMPUTED_VALUE"""),9)</f>
        <v>9</v>
      </c>
      <c r="D52" s="78" t="str">
        <f ca="1">IFERROR(__xludf.DUMMYFUNCTION("""COMPUTED_VALUE"""),"G")</f>
        <v>G</v>
      </c>
      <c r="E52" s="80" t="str">
        <f ca="1">IFERROR(__xludf.DUMMYFUNCTION("""COMPUTED_VALUE"""),"F")</f>
        <v>F</v>
      </c>
      <c r="F52" s="80" t="str">
        <f ca="1">IFERROR(__xludf.DUMMYFUNCTION("""COMPUTED_VALUE"""),"J")</f>
        <v>J</v>
      </c>
      <c r="G52" s="80">
        <f ca="1">IFERROR(__xludf.DUMMYFUNCTION("""COMPUTED_VALUE"""),4)</f>
        <v>4</v>
      </c>
      <c r="H52" s="80" t="str">
        <f ca="1">IFERROR(__xludf.DUMMYFUNCTION("""COMPUTED_VALUE"""),"CB")</f>
        <v>CB</v>
      </c>
      <c r="I52" s="80">
        <f ca="1">IFERROR(__xludf.DUMMYFUNCTION("""COMPUTED_VALUE"""),2)</f>
        <v>2</v>
      </c>
      <c r="J52" s="81">
        <f ca="1">IFERROR(__xludf.DUMMYFUNCTION("""COMPUTED_VALUE"""),0)</f>
        <v>0</v>
      </c>
      <c r="K52" s="81">
        <f ca="1">IFERROR(__xludf.DUMMYFUNCTION("""COMPUTED_VALUE"""),0)</f>
        <v>0</v>
      </c>
      <c r="L52" s="81">
        <f ca="1">IFERROR(__xludf.DUMMYFUNCTION("""COMPUTED_VALUE"""),0)</f>
        <v>0</v>
      </c>
      <c r="M52" s="81"/>
      <c r="N52" s="81">
        <f ca="1">IFERROR(__xludf.DUMMYFUNCTION("""COMPUTED_VALUE"""),0)</f>
        <v>0</v>
      </c>
      <c r="O52" s="81"/>
      <c r="P52" s="81">
        <f ca="1">IFERROR(__xludf.DUMMYFUNCTION("""COMPUTED_VALUE"""),0)</f>
        <v>0</v>
      </c>
      <c r="Q52" s="81"/>
      <c r="R52" s="81">
        <f ca="1">IFERROR(__xludf.DUMMYFUNCTION("""COMPUTED_VALUE"""),0)</f>
        <v>0</v>
      </c>
      <c r="S52" s="81"/>
      <c r="T52" s="81"/>
      <c r="U52" s="82"/>
      <c r="V52" s="82"/>
      <c r="W52" s="83"/>
      <c r="X52" s="83"/>
      <c r="Y52" s="83"/>
    </row>
    <row r="53" spans="1:25" ht="13.8">
      <c r="A53" s="78" t="str">
        <f ca="1">IFERROR(__xludf.DUMMYFUNCTION("""COMPUTED_VALUE"""),"CB")</f>
        <v>CB</v>
      </c>
      <c r="B53" s="79" t="str">
        <f ca="1">IFERROR(__xludf.DUMMYFUNCTION("""COMPUTED_VALUE"""),"Ellie Hook")</f>
        <v>Ellie Hook</v>
      </c>
      <c r="C53" s="78">
        <f ca="1">IFERROR(__xludf.DUMMYFUNCTION("""COMPUTED_VALUE"""),8)</f>
        <v>8</v>
      </c>
      <c r="D53" s="78" t="str">
        <f ca="1">IFERROR(__xludf.DUMMYFUNCTION("""COMPUTED_VALUE"""),"G")</f>
        <v>G</v>
      </c>
      <c r="E53" s="80" t="str">
        <f ca="1">IFERROR(__xludf.DUMMYFUNCTION("""COMPUTED_VALUE"""),"F")</f>
        <v>F</v>
      </c>
      <c r="F53" s="80" t="str">
        <f ca="1">IFERROR(__xludf.DUMMYFUNCTION("""COMPUTED_VALUE"""),"J")</f>
        <v>J</v>
      </c>
      <c r="G53" s="80">
        <f ca="1">IFERROR(__xludf.DUMMYFUNCTION("""COMPUTED_VALUE"""),4)</f>
        <v>4</v>
      </c>
      <c r="H53" s="80" t="str">
        <f ca="1">IFERROR(__xludf.DUMMYFUNCTION("""COMPUTED_VALUE"""),"CB")</f>
        <v>CB</v>
      </c>
      <c r="I53" s="80">
        <f ca="1">IFERROR(__xludf.DUMMYFUNCTION("""COMPUTED_VALUE"""),2)</f>
        <v>2</v>
      </c>
      <c r="J53" s="81">
        <f ca="1">IFERROR(__xludf.DUMMYFUNCTION("""COMPUTED_VALUE"""),0)</f>
        <v>0</v>
      </c>
      <c r="K53" s="81">
        <f ca="1">IFERROR(__xludf.DUMMYFUNCTION("""COMPUTED_VALUE"""),0)</f>
        <v>0</v>
      </c>
      <c r="L53" s="81">
        <f ca="1">IFERROR(__xludf.DUMMYFUNCTION("""COMPUTED_VALUE"""),0)</f>
        <v>0</v>
      </c>
      <c r="M53" s="81"/>
      <c r="N53" s="81">
        <f ca="1">IFERROR(__xludf.DUMMYFUNCTION("""COMPUTED_VALUE"""),0)</f>
        <v>0</v>
      </c>
      <c r="O53" s="81"/>
      <c r="P53" s="81">
        <f ca="1">IFERROR(__xludf.DUMMYFUNCTION("""COMPUTED_VALUE"""),0)</f>
        <v>0</v>
      </c>
      <c r="Q53" s="81"/>
      <c r="R53" s="81">
        <f ca="1">IFERROR(__xludf.DUMMYFUNCTION("""COMPUTED_VALUE"""),0)</f>
        <v>0</v>
      </c>
      <c r="S53" s="81"/>
      <c r="T53" s="81"/>
      <c r="U53" s="82"/>
      <c r="V53" s="82"/>
      <c r="W53" s="83"/>
      <c r="X53" s="83"/>
      <c r="Y53" s="83"/>
    </row>
    <row r="54" spans="1:25" ht="13.8">
      <c r="A54" s="78" t="str">
        <f ca="1">IFERROR(__xludf.DUMMYFUNCTION("""COMPUTED_VALUE"""),"CB")</f>
        <v>CB</v>
      </c>
      <c r="B54" s="79" t="str">
        <f ca="1">IFERROR(__xludf.DUMMYFUNCTION("""COMPUTED_VALUE"""),"Elaine Jensen")</f>
        <v>Elaine Jensen</v>
      </c>
      <c r="C54" s="78">
        <f ca="1">IFERROR(__xludf.DUMMYFUNCTION("""COMPUTED_VALUE"""),6)</f>
        <v>6</v>
      </c>
      <c r="D54" s="78" t="str">
        <f ca="1">IFERROR(__xludf.DUMMYFUNCTION("""COMPUTED_VALUE"""),"G")</f>
        <v>G</v>
      </c>
      <c r="E54" s="80" t="str">
        <f ca="1">IFERROR(__xludf.DUMMYFUNCTION("""COMPUTED_VALUE"""),"F")</f>
        <v>F</v>
      </c>
      <c r="F54" s="80" t="str">
        <f ca="1">IFERROR(__xludf.DUMMYFUNCTION("""COMPUTED_VALUE"""),"J")</f>
        <v>J</v>
      </c>
      <c r="G54" s="80">
        <f ca="1">IFERROR(__xludf.DUMMYFUNCTION("""COMPUTED_VALUE"""),4)</f>
        <v>4</v>
      </c>
      <c r="H54" s="80" t="str">
        <f ca="1">IFERROR(__xludf.DUMMYFUNCTION("""COMPUTED_VALUE"""),"CB")</f>
        <v>CB</v>
      </c>
      <c r="I54" s="80">
        <f ca="1">IFERROR(__xludf.DUMMYFUNCTION("""COMPUTED_VALUE"""),2)</f>
        <v>2</v>
      </c>
      <c r="J54" s="81">
        <f ca="1">IFERROR(__xludf.DUMMYFUNCTION("""COMPUTED_VALUE"""),0)</f>
        <v>0</v>
      </c>
      <c r="K54" s="81">
        <f ca="1">IFERROR(__xludf.DUMMYFUNCTION("""COMPUTED_VALUE"""),0)</f>
        <v>0</v>
      </c>
      <c r="L54" s="81">
        <f ca="1">IFERROR(__xludf.DUMMYFUNCTION("""COMPUTED_VALUE"""),0)</f>
        <v>0</v>
      </c>
      <c r="M54" s="81"/>
      <c r="N54" s="81">
        <f ca="1">IFERROR(__xludf.DUMMYFUNCTION("""COMPUTED_VALUE"""),0)</f>
        <v>0</v>
      </c>
      <c r="O54" s="81"/>
      <c r="P54" s="81">
        <f ca="1">IFERROR(__xludf.DUMMYFUNCTION("""COMPUTED_VALUE"""),0)</f>
        <v>0</v>
      </c>
      <c r="Q54" s="81"/>
      <c r="R54" s="81">
        <f ca="1">IFERROR(__xludf.DUMMYFUNCTION("""COMPUTED_VALUE"""),0)</f>
        <v>0</v>
      </c>
      <c r="S54" s="81"/>
      <c r="T54" s="81"/>
      <c r="U54" s="82"/>
      <c r="V54" s="82"/>
      <c r="W54" s="83"/>
      <c r="X54" s="83"/>
      <c r="Y54" s="83"/>
    </row>
    <row r="55" spans="1:25" ht="13.8">
      <c r="A55" s="78" t="str">
        <f ca="1">IFERROR(__xludf.DUMMYFUNCTION("""COMPUTED_VALUE"""),"CB")</f>
        <v>CB</v>
      </c>
      <c r="B55" s="79" t="str">
        <f ca="1">IFERROR(__xludf.DUMMYFUNCTION("""COMPUTED_VALUE"""),"Ava Kulkin")</f>
        <v>Ava Kulkin</v>
      </c>
      <c r="C55" s="78">
        <f ca="1">IFERROR(__xludf.DUMMYFUNCTION("""COMPUTED_VALUE"""),9)</f>
        <v>9</v>
      </c>
      <c r="D55" s="78" t="str">
        <f ca="1">IFERROR(__xludf.DUMMYFUNCTION("""COMPUTED_VALUE"""),"G")</f>
        <v>G</v>
      </c>
      <c r="E55" s="80" t="str">
        <f ca="1">IFERROR(__xludf.DUMMYFUNCTION("""COMPUTED_VALUE"""),"F")</f>
        <v>F</v>
      </c>
      <c r="F55" s="80" t="str">
        <f ca="1">IFERROR(__xludf.DUMMYFUNCTION("""COMPUTED_VALUE"""),"J")</f>
        <v>J</v>
      </c>
      <c r="G55" s="80">
        <f ca="1">IFERROR(__xludf.DUMMYFUNCTION("""COMPUTED_VALUE"""),4)</f>
        <v>4</v>
      </c>
      <c r="H55" s="80" t="str">
        <f ca="1">IFERROR(__xludf.DUMMYFUNCTION("""COMPUTED_VALUE"""),"CB")</f>
        <v>CB</v>
      </c>
      <c r="I55" s="80">
        <f ca="1">IFERROR(__xludf.DUMMYFUNCTION("""COMPUTED_VALUE"""),2)</f>
        <v>2</v>
      </c>
      <c r="J55" s="81">
        <f ca="1">IFERROR(__xludf.DUMMYFUNCTION("""COMPUTED_VALUE"""),0)</f>
        <v>0</v>
      </c>
      <c r="K55" s="81">
        <f ca="1">IFERROR(__xludf.DUMMYFUNCTION("""COMPUTED_VALUE"""),0)</f>
        <v>0</v>
      </c>
      <c r="L55" s="81">
        <f ca="1">IFERROR(__xludf.DUMMYFUNCTION("""COMPUTED_VALUE"""),0)</f>
        <v>0</v>
      </c>
      <c r="M55" s="81"/>
      <c r="N55" s="81">
        <f ca="1">IFERROR(__xludf.DUMMYFUNCTION("""COMPUTED_VALUE"""),0)</f>
        <v>0</v>
      </c>
      <c r="O55" s="81"/>
      <c r="P55" s="81">
        <f ca="1">IFERROR(__xludf.DUMMYFUNCTION("""COMPUTED_VALUE"""),0)</f>
        <v>0</v>
      </c>
      <c r="Q55" s="81"/>
      <c r="R55" s="81">
        <f ca="1">IFERROR(__xludf.DUMMYFUNCTION("""COMPUTED_VALUE"""),0)</f>
        <v>0</v>
      </c>
      <c r="S55" s="81"/>
      <c r="T55" s="81"/>
      <c r="U55" s="82"/>
      <c r="V55" s="82"/>
      <c r="W55" s="83"/>
      <c r="X55" s="83"/>
      <c r="Y55" s="83"/>
    </row>
    <row r="56" spans="1:25" ht="13.8">
      <c r="A56" s="78" t="str">
        <f ca="1">IFERROR(__xludf.DUMMYFUNCTION("""COMPUTED_VALUE"""),"CB")</f>
        <v>CB</v>
      </c>
      <c r="B56" s="79" t="str">
        <f ca="1">IFERROR(__xludf.DUMMYFUNCTION("""COMPUTED_VALUE"""),"Johanna Moss")</f>
        <v>Johanna Moss</v>
      </c>
      <c r="C56" s="78">
        <f ca="1">IFERROR(__xludf.DUMMYFUNCTION("""COMPUTED_VALUE"""),6)</f>
        <v>6</v>
      </c>
      <c r="D56" s="78" t="str">
        <f ca="1">IFERROR(__xludf.DUMMYFUNCTION("""COMPUTED_VALUE"""),"G")</f>
        <v>G</v>
      </c>
      <c r="E56" s="80" t="str">
        <f ca="1">IFERROR(__xludf.DUMMYFUNCTION("""COMPUTED_VALUE"""),"F")</f>
        <v>F</v>
      </c>
      <c r="F56" s="80" t="str">
        <f ca="1">IFERROR(__xludf.DUMMYFUNCTION("""COMPUTED_VALUE"""),"J")</f>
        <v>J</v>
      </c>
      <c r="G56" s="80">
        <f ca="1">IFERROR(__xludf.DUMMYFUNCTION("""COMPUTED_VALUE"""),4)</f>
        <v>4</v>
      </c>
      <c r="H56" s="80" t="str">
        <f ca="1">IFERROR(__xludf.DUMMYFUNCTION("""COMPUTED_VALUE"""),"CB")</f>
        <v>CB</v>
      </c>
      <c r="I56" s="80">
        <f ca="1">IFERROR(__xludf.DUMMYFUNCTION("""COMPUTED_VALUE"""),2)</f>
        <v>2</v>
      </c>
      <c r="J56" s="81">
        <f ca="1">IFERROR(__xludf.DUMMYFUNCTION("""COMPUTED_VALUE"""),0)</f>
        <v>0</v>
      </c>
      <c r="K56" s="81">
        <f ca="1">IFERROR(__xludf.DUMMYFUNCTION("""COMPUTED_VALUE"""),0)</f>
        <v>0</v>
      </c>
      <c r="L56" s="81">
        <f ca="1">IFERROR(__xludf.DUMMYFUNCTION("""COMPUTED_VALUE"""),0)</f>
        <v>0</v>
      </c>
      <c r="M56" s="81"/>
      <c r="N56" s="81">
        <f ca="1">IFERROR(__xludf.DUMMYFUNCTION("""COMPUTED_VALUE"""),0)</f>
        <v>0</v>
      </c>
      <c r="O56" s="81"/>
      <c r="P56" s="81">
        <f ca="1">IFERROR(__xludf.DUMMYFUNCTION("""COMPUTED_VALUE"""),0)</f>
        <v>0</v>
      </c>
      <c r="Q56" s="81"/>
      <c r="R56" s="81">
        <f ca="1">IFERROR(__xludf.DUMMYFUNCTION("""COMPUTED_VALUE"""),0)</f>
        <v>0</v>
      </c>
      <c r="S56" s="81"/>
      <c r="T56" s="81"/>
      <c r="U56" s="82"/>
      <c r="V56" s="82"/>
      <c r="W56" s="83"/>
      <c r="X56" s="83"/>
      <c r="Y56" s="83"/>
    </row>
    <row r="57" spans="1:25" ht="13.8">
      <c r="A57" s="78" t="str">
        <f ca="1">IFERROR(__xludf.DUMMYFUNCTION("""COMPUTED_VALUE"""),"CB")</f>
        <v>CB</v>
      </c>
      <c r="B57" s="79" t="str">
        <f ca="1">IFERROR(__xludf.DUMMYFUNCTION("""COMPUTED_VALUE"""),"Kaitlin Moss")</f>
        <v>Kaitlin Moss</v>
      </c>
      <c r="C57" s="78">
        <f ca="1">IFERROR(__xludf.DUMMYFUNCTION("""COMPUTED_VALUE"""),10)</f>
        <v>10</v>
      </c>
      <c r="D57" s="78" t="str">
        <f ca="1">IFERROR(__xludf.DUMMYFUNCTION("""COMPUTED_VALUE"""),"G")</f>
        <v>G</v>
      </c>
      <c r="E57" s="80" t="str">
        <f ca="1">IFERROR(__xludf.DUMMYFUNCTION("""COMPUTED_VALUE"""),"F")</f>
        <v>F</v>
      </c>
      <c r="F57" s="80" t="str">
        <f ca="1">IFERROR(__xludf.DUMMYFUNCTION("""COMPUTED_VALUE"""),"J")</f>
        <v>J</v>
      </c>
      <c r="G57" s="80">
        <f ca="1">IFERROR(__xludf.DUMMYFUNCTION("""COMPUTED_VALUE"""),4)</f>
        <v>4</v>
      </c>
      <c r="H57" s="80" t="str">
        <f ca="1">IFERROR(__xludf.DUMMYFUNCTION("""COMPUTED_VALUE"""),"CB")</f>
        <v>CB</v>
      </c>
      <c r="I57" s="80">
        <f ca="1">IFERROR(__xludf.DUMMYFUNCTION("""COMPUTED_VALUE"""),2)</f>
        <v>2</v>
      </c>
      <c r="J57" s="81">
        <f ca="1">IFERROR(__xludf.DUMMYFUNCTION("""COMPUTED_VALUE"""),0)</f>
        <v>0</v>
      </c>
      <c r="K57" s="81">
        <f ca="1">IFERROR(__xludf.DUMMYFUNCTION("""COMPUTED_VALUE"""),0)</f>
        <v>0</v>
      </c>
      <c r="L57" s="81">
        <f ca="1">IFERROR(__xludf.DUMMYFUNCTION("""COMPUTED_VALUE"""),0)</f>
        <v>0</v>
      </c>
      <c r="M57" s="81"/>
      <c r="N57" s="81">
        <f ca="1">IFERROR(__xludf.DUMMYFUNCTION("""COMPUTED_VALUE"""),0)</f>
        <v>0</v>
      </c>
      <c r="O57" s="81"/>
      <c r="P57" s="81">
        <f ca="1">IFERROR(__xludf.DUMMYFUNCTION("""COMPUTED_VALUE"""),0)</f>
        <v>0</v>
      </c>
      <c r="Q57" s="81"/>
      <c r="R57" s="81">
        <f ca="1">IFERROR(__xludf.DUMMYFUNCTION("""COMPUTED_VALUE"""),0)</f>
        <v>0</v>
      </c>
      <c r="S57" s="81"/>
      <c r="T57" s="81"/>
      <c r="U57" s="82"/>
      <c r="V57" s="82"/>
      <c r="W57" s="83"/>
      <c r="X57" s="83"/>
      <c r="Y57" s="83"/>
    </row>
    <row r="58" spans="1:25" ht="13.8">
      <c r="A58" s="78" t="str">
        <f ca="1">IFERROR(__xludf.DUMMYFUNCTION("""COMPUTED_VALUE"""),"CB")</f>
        <v>CB</v>
      </c>
      <c r="B58" s="79" t="str">
        <f ca="1">IFERROR(__xludf.DUMMYFUNCTION("""COMPUTED_VALUE"""),"Mary Moss")</f>
        <v>Mary Moss</v>
      </c>
      <c r="C58" s="78">
        <f ca="1">IFERROR(__xludf.DUMMYFUNCTION("""COMPUTED_VALUE"""),10)</f>
        <v>10</v>
      </c>
      <c r="D58" s="78" t="str">
        <f ca="1">IFERROR(__xludf.DUMMYFUNCTION("""COMPUTED_VALUE"""),"G")</f>
        <v>G</v>
      </c>
      <c r="E58" s="80" t="str">
        <f ca="1">IFERROR(__xludf.DUMMYFUNCTION("""COMPUTED_VALUE"""),"F")</f>
        <v>F</v>
      </c>
      <c r="F58" s="80" t="str">
        <f ca="1">IFERROR(__xludf.DUMMYFUNCTION("""COMPUTED_VALUE"""),"J")</f>
        <v>J</v>
      </c>
      <c r="G58" s="80">
        <f ca="1">IFERROR(__xludf.DUMMYFUNCTION("""COMPUTED_VALUE"""),4)</f>
        <v>4</v>
      </c>
      <c r="H58" s="80" t="str">
        <f ca="1">IFERROR(__xludf.DUMMYFUNCTION("""COMPUTED_VALUE"""),"CB")</f>
        <v>CB</v>
      </c>
      <c r="I58" s="80">
        <f ca="1">IFERROR(__xludf.DUMMYFUNCTION("""COMPUTED_VALUE"""),2)</f>
        <v>2</v>
      </c>
      <c r="J58" s="81">
        <f ca="1">IFERROR(__xludf.DUMMYFUNCTION("""COMPUTED_VALUE"""),3)</f>
        <v>3</v>
      </c>
      <c r="K58" s="81">
        <f ca="1">IFERROR(__xludf.DUMMYFUNCTION("""COMPUTED_VALUE"""),52.05)</f>
        <v>52.05</v>
      </c>
      <c r="L58" s="81">
        <f ca="1">IFERROR(__xludf.DUMMYFUNCTION("""COMPUTED_VALUE"""),0)</f>
        <v>0</v>
      </c>
      <c r="M58" s="81"/>
      <c r="N58" s="81">
        <f ca="1">IFERROR(__xludf.DUMMYFUNCTION("""COMPUTED_VALUE"""),0)</f>
        <v>0</v>
      </c>
      <c r="O58" s="81"/>
      <c r="P58" s="81">
        <f ca="1">IFERROR(__xludf.DUMMYFUNCTION("""COMPUTED_VALUE"""),45.6)</f>
        <v>45.6</v>
      </c>
      <c r="Q58" s="81"/>
      <c r="R58" s="81">
        <f ca="1">IFERROR(__xludf.DUMMYFUNCTION("""COMPUTED_VALUE"""),52.05)</f>
        <v>52.05</v>
      </c>
      <c r="S58" s="81"/>
      <c r="T58" s="81"/>
      <c r="U58" s="82"/>
      <c r="V58" s="82"/>
      <c r="W58" s="83"/>
      <c r="X58" s="83"/>
      <c r="Y58" s="83"/>
    </row>
    <row r="59" spans="1:25" ht="13.8">
      <c r="A59" s="78" t="str">
        <f ca="1">IFERROR(__xludf.DUMMYFUNCTION("""COMPUTED_VALUE"""),"CB")</f>
        <v>CB</v>
      </c>
      <c r="B59" s="79" t="str">
        <f ca="1">IFERROR(__xludf.DUMMYFUNCTION("""COMPUTED_VALUE"""),"Madeleine Philbin")</f>
        <v>Madeleine Philbin</v>
      </c>
      <c r="C59" s="78">
        <f ca="1">IFERROR(__xludf.DUMMYFUNCTION("""COMPUTED_VALUE"""),8)</f>
        <v>8</v>
      </c>
      <c r="D59" s="78" t="str">
        <f ca="1">IFERROR(__xludf.DUMMYFUNCTION("""COMPUTED_VALUE"""),"G")</f>
        <v>G</v>
      </c>
      <c r="E59" s="80" t="str">
        <f ca="1">IFERROR(__xludf.DUMMYFUNCTION("""COMPUTED_VALUE"""),"F")</f>
        <v>F</v>
      </c>
      <c r="F59" s="80" t="str">
        <f ca="1">IFERROR(__xludf.DUMMYFUNCTION("""COMPUTED_VALUE"""),"J")</f>
        <v>J</v>
      </c>
      <c r="G59" s="80">
        <f ca="1">IFERROR(__xludf.DUMMYFUNCTION("""COMPUTED_VALUE"""),4)</f>
        <v>4</v>
      </c>
      <c r="H59" s="80" t="str">
        <f ca="1">IFERROR(__xludf.DUMMYFUNCTION("""COMPUTED_VALUE"""),"CB")</f>
        <v>CB</v>
      </c>
      <c r="I59" s="80">
        <f ca="1">IFERROR(__xludf.DUMMYFUNCTION("""COMPUTED_VALUE"""),2)</f>
        <v>2</v>
      </c>
      <c r="J59" s="81">
        <f ca="1">IFERROR(__xludf.DUMMYFUNCTION("""COMPUTED_VALUE"""),3)</f>
        <v>3</v>
      </c>
      <c r="K59" s="81">
        <f ca="1">IFERROR(__xludf.DUMMYFUNCTION("""COMPUTED_VALUE"""),57.25)</f>
        <v>57.25</v>
      </c>
      <c r="L59" s="81">
        <f ca="1">IFERROR(__xludf.DUMMYFUNCTION("""COMPUTED_VALUE"""),0)</f>
        <v>0</v>
      </c>
      <c r="M59" s="81"/>
      <c r="N59" s="81">
        <f ca="1">IFERROR(__xludf.DUMMYFUNCTION("""COMPUTED_VALUE"""),0)</f>
        <v>0</v>
      </c>
      <c r="O59" s="81"/>
      <c r="P59" s="81">
        <f ca="1">IFERROR(__xludf.DUMMYFUNCTION("""COMPUTED_VALUE"""),54.5)</f>
        <v>54.5</v>
      </c>
      <c r="Q59" s="81"/>
      <c r="R59" s="81">
        <f ca="1">IFERROR(__xludf.DUMMYFUNCTION("""COMPUTED_VALUE"""),57.25)</f>
        <v>57.25</v>
      </c>
      <c r="S59" s="81"/>
      <c r="T59" s="81"/>
      <c r="U59" s="82"/>
      <c r="V59" s="82"/>
      <c r="W59" s="83"/>
      <c r="X59" s="83"/>
      <c r="Y59" s="83"/>
    </row>
    <row r="60" spans="1:25" ht="13.8">
      <c r="A60" s="78" t="str">
        <f ca="1">IFERROR(__xludf.DUMMYFUNCTION("""COMPUTED_VALUE"""),"CB")</f>
        <v>CB</v>
      </c>
      <c r="B60" s="79" t="str">
        <f ca="1">IFERROR(__xludf.DUMMYFUNCTION("""COMPUTED_VALUE"""),"Evah Pho")</f>
        <v>Evah Pho</v>
      </c>
      <c r="C60" s="78">
        <f ca="1">IFERROR(__xludf.DUMMYFUNCTION("""COMPUTED_VALUE"""),9)</f>
        <v>9</v>
      </c>
      <c r="D60" s="78" t="str">
        <f ca="1">IFERROR(__xludf.DUMMYFUNCTION("""COMPUTED_VALUE"""),"G")</f>
        <v>G</v>
      </c>
      <c r="E60" s="80" t="str">
        <f ca="1">IFERROR(__xludf.DUMMYFUNCTION("""COMPUTED_VALUE"""),"F")</f>
        <v>F</v>
      </c>
      <c r="F60" s="80" t="str">
        <f ca="1">IFERROR(__xludf.DUMMYFUNCTION("""COMPUTED_VALUE"""),"J")</f>
        <v>J</v>
      </c>
      <c r="G60" s="80">
        <f ca="1">IFERROR(__xludf.DUMMYFUNCTION("""COMPUTED_VALUE"""),4)</f>
        <v>4</v>
      </c>
      <c r="H60" s="80" t="str">
        <f ca="1">IFERROR(__xludf.DUMMYFUNCTION("""COMPUTED_VALUE"""),"CB")</f>
        <v>CB</v>
      </c>
      <c r="I60" s="80">
        <f ca="1">IFERROR(__xludf.DUMMYFUNCTION("""COMPUTED_VALUE"""),2)</f>
        <v>2</v>
      </c>
      <c r="J60" s="81">
        <f ca="1">IFERROR(__xludf.DUMMYFUNCTION("""COMPUTED_VALUE"""),5)</f>
        <v>5</v>
      </c>
      <c r="K60" s="81">
        <f ca="1">IFERROR(__xludf.DUMMYFUNCTION("""COMPUTED_VALUE"""),68.6)</f>
        <v>68.599999999999994</v>
      </c>
      <c r="L60" s="81">
        <f ca="1">IFERROR(__xludf.DUMMYFUNCTION("""COMPUTED_VALUE"""),68.6)</f>
        <v>68.599999999999994</v>
      </c>
      <c r="M60" s="81"/>
      <c r="N60" s="81">
        <f ca="1">IFERROR(__xludf.DUMMYFUNCTION("""COMPUTED_VALUE"""),63.05)</f>
        <v>63.05</v>
      </c>
      <c r="O60" s="81"/>
      <c r="P60" s="81">
        <f ca="1">IFERROR(__xludf.DUMMYFUNCTION("""COMPUTED_VALUE"""),55.8)</f>
        <v>55.8</v>
      </c>
      <c r="Q60" s="81"/>
      <c r="R60" s="81">
        <f ca="1">IFERROR(__xludf.DUMMYFUNCTION("""COMPUTED_VALUE"""),60.8)</f>
        <v>60.8</v>
      </c>
      <c r="S60" s="81"/>
      <c r="T60" s="81"/>
      <c r="U60" s="82"/>
      <c r="V60" s="82"/>
      <c r="W60" s="83"/>
      <c r="X60" s="83"/>
      <c r="Y60" s="83"/>
    </row>
    <row r="61" spans="1:25" ht="13.8">
      <c r="A61" s="78" t="str">
        <f ca="1">IFERROR(__xludf.DUMMYFUNCTION("""COMPUTED_VALUE"""),"CB")</f>
        <v>CB</v>
      </c>
      <c r="B61" s="79" t="str">
        <f ca="1">IFERROR(__xludf.DUMMYFUNCTION("""COMPUTED_VALUE"""),"Emma Roques")</f>
        <v>Emma Roques</v>
      </c>
      <c r="C61" s="78">
        <f ca="1">IFERROR(__xludf.DUMMYFUNCTION("""COMPUTED_VALUE"""),8)</f>
        <v>8</v>
      </c>
      <c r="D61" s="78" t="str">
        <f ca="1">IFERROR(__xludf.DUMMYFUNCTION("""COMPUTED_VALUE"""),"G")</f>
        <v>G</v>
      </c>
      <c r="E61" s="80" t="str">
        <f ca="1">IFERROR(__xludf.DUMMYFUNCTION("""COMPUTED_VALUE"""),"F")</f>
        <v>F</v>
      </c>
      <c r="F61" s="80" t="str">
        <f ca="1">IFERROR(__xludf.DUMMYFUNCTION("""COMPUTED_VALUE"""),"J")</f>
        <v>J</v>
      </c>
      <c r="G61" s="80">
        <f ca="1">IFERROR(__xludf.DUMMYFUNCTION("""COMPUTED_VALUE"""),4)</f>
        <v>4</v>
      </c>
      <c r="H61" s="80" t="str">
        <f ca="1">IFERROR(__xludf.DUMMYFUNCTION("""COMPUTED_VALUE"""),"CB")</f>
        <v>CB</v>
      </c>
      <c r="I61" s="80">
        <f ca="1">IFERROR(__xludf.DUMMYFUNCTION("""COMPUTED_VALUE"""),2)</f>
        <v>2</v>
      </c>
      <c r="J61" s="81">
        <f ca="1">IFERROR(__xludf.DUMMYFUNCTION("""COMPUTED_VALUE"""),0)</f>
        <v>0</v>
      </c>
      <c r="K61" s="81">
        <f ca="1">IFERROR(__xludf.DUMMYFUNCTION("""COMPUTED_VALUE"""),0)</f>
        <v>0</v>
      </c>
      <c r="L61" s="81">
        <f ca="1">IFERROR(__xludf.DUMMYFUNCTION("""COMPUTED_VALUE"""),0)</f>
        <v>0</v>
      </c>
      <c r="M61" s="81"/>
      <c r="N61" s="81">
        <f ca="1">IFERROR(__xludf.DUMMYFUNCTION("""COMPUTED_VALUE"""),0)</f>
        <v>0</v>
      </c>
      <c r="O61" s="81"/>
      <c r="P61" s="81">
        <f ca="1">IFERROR(__xludf.DUMMYFUNCTION("""COMPUTED_VALUE"""),0)</f>
        <v>0</v>
      </c>
      <c r="Q61" s="81"/>
      <c r="R61" s="81">
        <f ca="1">IFERROR(__xludf.DUMMYFUNCTION("""COMPUTED_VALUE"""),0)</f>
        <v>0</v>
      </c>
      <c r="S61" s="81"/>
      <c r="T61" s="81"/>
      <c r="U61" s="82"/>
      <c r="V61" s="82"/>
      <c r="W61" s="83"/>
      <c r="X61" s="83"/>
      <c r="Y61" s="83"/>
    </row>
    <row r="62" spans="1:25" ht="13.8">
      <c r="A62" s="78" t="str">
        <f ca="1">IFERROR(__xludf.DUMMYFUNCTION("""COMPUTED_VALUE"""),"CB")</f>
        <v>CB</v>
      </c>
      <c r="B62" s="79" t="str">
        <f ca="1">IFERROR(__xludf.DUMMYFUNCTION("""COMPUTED_VALUE"""),"Ashley Shen")</f>
        <v>Ashley Shen</v>
      </c>
      <c r="C62" s="78">
        <f ca="1">IFERROR(__xludf.DUMMYFUNCTION("""COMPUTED_VALUE"""),9)</f>
        <v>9</v>
      </c>
      <c r="D62" s="78" t="str">
        <f ca="1">IFERROR(__xludf.DUMMYFUNCTION("""COMPUTED_VALUE"""),"G")</f>
        <v>G</v>
      </c>
      <c r="E62" s="80" t="str">
        <f ca="1">IFERROR(__xludf.DUMMYFUNCTION("""COMPUTED_VALUE"""),"F")</f>
        <v>F</v>
      </c>
      <c r="F62" s="80" t="str">
        <f ca="1">IFERROR(__xludf.DUMMYFUNCTION("""COMPUTED_VALUE"""),"J")</f>
        <v>J</v>
      </c>
      <c r="G62" s="80">
        <f ca="1">IFERROR(__xludf.DUMMYFUNCTION("""COMPUTED_VALUE"""),4)</f>
        <v>4</v>
      </c>
      <c r="H62" s="80" t="str">
        <f ca="1">IFERROR(__xludf.DUMMYFUNCTION("""COMPUTED_VALUE"""),"CB")</f>
        <v>CB</v>
      </c>
      <c r="I62" s="80">
        <f ca="1">IFERROR(__xludf.DUMMYFUNCTION("""COMPUTED_VALUE"""),2)</f>
        <v>2</v>
      </c>
      <c r="J62" s="81">
        <f ca="1">IFERROR(__xludf.DUMMYFUNCTION("""COMPUTED_VALUE"""),4)</f>
        <v>4</v>
      </c>
      <c r="K62" s="81">
        <f ca="1">IFERROR(__xludf.DUMMYFUNCTION("""COMPUTED_VALUE"""),59.25)</f>
        <v>59.25</v>
      </c>
      <c r="L62" s="81">
        <f ca="1">IFERROR(__xludf.DUMMYFUNCTION("""COMPUTED_VALUE"""),59.25)</f>
        <v>59.25</v>
      </c>
      <c r="M62" s="81"/>
      <c r="N62" s="81">
        <f ca="1">IFERROR(__xludf.DUMMYFUNCTION("""COMPUTED_VALUE"""),52.75)</f>
        <v>52.75</v>
      </c>
      <c r="O62" s="81"/>
      <c r="P62" s="81">
        <f ca="1">IFERROR(__xludf.DUMMYFUNCTION("""COMPUTED_VALUE"""),0)</f>
        <v>0</v>
      </c>
      <c r="Q62" s="81"/>
      <c r="R62" s="81">
        <f ca="1">IFERROR(__xludf.DUMMYFUNCTION("""COMPUTED_VALUE"""),46.4)</f>
        <v>46.4</v>
      </c>
      <c r="S62" s="81"/>
      <c r="T62" s="81"/>
      <c r="U62" s="82"/>
      <c r="V62" s="82"/>
      <c r="W62" s="83"/>
      <c r="X62" s="83"/>
      <c r="Y62" s="83"/>
    </row>
    <row r="63" spans="1:25" ht="13.8">
      <c r="A63" s="78" t="str">
        <f ca="1">IFERROR(__xludf.DUMMYFUNCTION("""COMPUTED_VALUE"""),"CB")</f>
        <v>CB</v>
      </c>
      <c r="B63" s="79" t="str">
        <f ca="1">IFERROR(__xludf.DUMMYFUNCTION("""COMPUTED_VALUE"""),"McKenzie Spencer")</f>
        <v>McKenzie Spencer</v>
      </c>
      <c r="C63" s="78">
        <f ca="1">IFERROR(__xludf.DUMMYFUNCTION("""COMPUTED_VALUE"""),9)</f>
        <v>9</v>
      </c>
      <c r="D63" s="78" t="str">
        <f ca="1">IFERROR(__xludf.DUMMYFUNCTION("""COMPUTED_VALUE"""),"G")</f>
        <v>G</v>
      </c>
      <c r="E63" s="80" t="str">
        <f ca="1">IFERROR(__xludf.DUMMYFUNCTION("""COMPUTED_VALUE"""),"F")</f>
        <v>F</v>
      </c>
      <c r="F63" s="80" t="str">
        <f ca="1">IFERROR(__xludf.DUMMYFUNCTION("""COMPUTED_VALUE"""),"J")</f>
        <v>J</v>
      </c>
      <c r="G63" s="80">
        <f ca="1">IFERROR(__xludf.DUMMYFUNCTION("""COMPUTED_VALUE"""),4)</f>
        <v>4</v>
      </c>
      <c r="H63" s="80" t="str">
        <f ca="1">IFERROR(__xludf.DUMMYFUNCTION("""COMPUTED_VALUE"""),"CB")</f>
        <v>CB</v>
      </c>
      <c r="I63" s="80">
        <f ca="1">IFERROR(__xludf.DUMMYFUNCTION("""COMPUTED_VALUE"""),2)</f>
        <v>2</v>
      </c>
      <c r="J63" s="81">
        <f ca="1">IFERROR(__xludf.DUMMYFUNCTION("""COMPUTED_VALUE"""),0)</f>
        <v>0</v>
      </c>
      <c r="K63" s="81">
        <f ca="1">IFERROR(__xludf.DUMMYFUNCTION("""COMPUTED_VALUE"""),0)</f>
        <v>0</v>
      </c>
      <c r="L63" s="81">
        <f ca="1">IFERROR(__xludf.DUMMYFUNCTION("""COMPUTED_VALUE"""),0)</f>
        <v>0</v>
      </c>
      <c r="M63" s="81"/>
      <c r="N63" s="81">
        <f ca="1">IFERROR(__xludf.DUMMYFUNCTION("""COMPUTED_VALUE"""),0)</f>
        <v>0</v>
      </c>
      <c r="O63" s="81"/>
      <c r="P63" s="81">
        <f ca="1">IFERROR(__xludf.DUMMYFUNCTION("""COMPUTED_VALUE"""),0)</f>
        <v>0</v>
      </c>
      <c r="Q63" s="81"/>
      <c r="R63" s="81">
        <f ca="1">IFERROR(__xludf.DUMMYFUNCTION("""COMPUTED_VALUE"""),0)</f>
        <v>0</v>
      </c>
      <c r="S63" s="81"/>
      <c r="T63" s="81"/>
      <c r="U63" s="82"/>
      <c r="V63" s="82"/>
      <c r="W63" s="83"/>
      <c r="X63" s="83"/>
      <c r="Y63" s="83"/>
    </row>
    <row r="64" spans="1:25" ht="13.8">
      <c r="A64" s="78" t="str">
        <f ca="1">IFERROR(__xludf.DUMMYFUNCTION("""COMPUTED_VALUE"""),"CB")</f>
        <v>CB</v>
      </c>
      <c r="B64" s="79" t="str">
        <f ca="1">IFERROR(__xludf.DUMMYFUNCTION("""COMPUTED_VALUE"""),"Ava Tan")</f>
        <v>Ava Tan</v>
      </c>
      <c r="C64" s="78">
        <f ca="1">IFERROR(__xludf.DUMMYFUNCTION("""COMPUTED_VALUE"""),10)</f>
        <v>10</v>
      </c>
      <c r="D64" s="78" t="str">
        <f ca="1">IFERROR(__xludf.DUMMYFUNCTION("""COMPUTED_VALUE"""),"G")</f>
        <v>G</v>
      </c>
      <c r="E64" s="80" t="str">
        <f ca="1">IFERROR(__xludf.DUMMYFUNCTION("""COMPUTED_VALUE"""),"F")</f>
        <v>F</v>
      </c>
      <c r="F64" s="80" t="str">
        <f ca="1">IFERROR(__xludf.DUMMYFUNCTION("""COMPUTED_VALUE"""),"J")</f>
        <v>J</v>
      </c>
      <c r="G64" s="80">
        <f ca="1">IFERROR(__xludf.DUMMYFUNCTION("""COMPUTED_VALUE"""),4)</f>
        <v>4</v>
      </c>
      <c r="H64" s="80" t="str">
        <f ca="1">IFERROR(__xludf.DUMMYFUNCTION("""COMPUTED_VALUE"""),"CB")</f>
        <v>CB</v>
      </c>
      <c r="I64" s="80">
        <f ca="1">IFERROR(__xludf.DUMMYFUNCTION("""COMPUTED_VALUE"""),2)</f>
        <v>2</v>
      </c>
      <c r="J64" s="81">
        <f ca="1">IFERROR(__xludf.DUMMYFUNCTION("""COMPUTED_VALUE"""),4)</f>
        <v>4</v>
      </c>
      <c r="K64" s="81">
        <f ca="1">IFERROR(__xludf.DUMMYFUNCTION("""COMPUTED_VALUE"""),74.1)</f>
        <v>74.099999999999994</v>
      </c>
      <c r="L64" s="81">
        <f ca="1">IFERROR(__xludf.DUMMYFUNCTION("""COMPUTED_VALUE"""),71.45)</f>
        <v>71.45</v>
      </c>
      <c r="M64" s="81"/>
      <c r="N64" s="81">
        <f ca="1">IFERROR(__xludf.DUMMYFUNCTION("""COMPUTED_VALUE"""),74.1)</f>
        <v>74.099999999999994</v>
      </c>
      <c r="O64" s="81"/>
      <c r="P64" s="81">
        <f ca="1">IFERROR(__xludf.DUMMYFUNCTION("""COMPUTED_VALUE"""),0)</f>
        <v>0</v>
      </c>
      <c r="Q64" s="81"/>
      <c r="R64" s="81">
        <f ca="1">IFERROR(__xludf.DUMMYFUNCTION("""COMPUTED_VALUE"""),55.9)</f>
        <v>55.9</v>
      </c>
      <c r="S64" s="81"/>
      <c r="T64" s="81"/>
      <c r="U64" s="82"/>
      <c r="V64" s="82"/>
      <c r="W64" s="83"/>
      <c r="X64" s="83"/>
      <c r="Y64" s="83"/>
    </row>
    <row r="65" spans="1:25" ht="13.8">
      <c r="A65" s="78" t="str">
        <f ca="1">IFERROR(__xludf.DUMMYFUNCTION("""COMPUTED_VALUE"""),"CB")</f>
        <v>CB</v>
      </c>
      <c r="B65" s="79" t="str">
        <f ca="1">IFERROR(__xludf.DUMMYFUNCTION("""COMPUTED_VALUE"""),"Elle Whitney")</f>
        <v>Elle Whitney</v>
      </c>
      <c r="C65" s="78">
        <f ca="1">IFERROR(__xludf.DUMMYFUNCTION("""COMPUTED_VALUE"""),10)</f>
        <v>10</v>
      </c>
      <c r="D65" s="78" t="str">
        <f ca="1">IFERROR(__xludf.DUMMYFUNCTION("""COMPUTED_VALUE"""),"G")</f>
        <v>G</v>
      </c>
      <c r="E65" s="80" t="str">
        <f ca="1">IFERROR(__xludf.DUMMYFUNCTION("""COMPUTED_VALUE"""),"F")</f>
        <v>F</v>
      </c>
      <c r="F65" s="80" t="str">
        <f ca="1">IFERROR(__xludf.DUMMYFUNCTION("""COMPUTED_VALUE"""),"J")</f>
        <v>J</v>
      </c>
      <c r="G65" s="80">
        <f ca="1">IFERROR(__xludf.DUMMYFUNCTION("""COMPUTED_VALUE"""),4)</f>
        <v>4</v>
      </c>
      <c r="H65" s="80" t="str">
        <f ca="1">IFERROR(__xludf.DUMMYFUNCTION("""COMPUTED_VALUE"""),"CB")</f>
        <v>CB</v>
      </c>
      <c r="I65" s="80">
        <f ca="1">IFERROR(__xludf.DUMMYFUNCTION("""COMPUTED_VALUE"""),2)</f>
        <v>2</v>
      </c>
      <c r="J65" s="81">
        <f ca="1">IFERROR(__xludf.DUMMYFUNCTION("""COMPUTED_VALUE"""),0)</f>
        <v>0</v>
      </c>
      <c r="K65" s="81">
        <f ca="1">IFERROR(__xludf.DUMMYFUNCTION("""COMPUTED_VALUE"""),0)</f>
        <v>0</v>
      </c>
      <c r="L65" s="81">
        <f ca="1">IFERROR(__xludf.DUMMYFUNCTION("""COMPUTED_VALUE"""),0)</f>
        <v>0</v>
      </c>
      <c r="M65" s="81"/>
      <c r="N65" s="81">
        <f ca="1">IFERROR(__xludf.DUMMYFUNCTION("""COMPUTED_VALUE"""),0)</f>
        <v>0</v>
      </c>
      <c r="O65" s="81"/>
      <c r="P65" s="81">
        <f ca="1">IFERROR(__xludf.DUMMYFUNCTION("""COMPUTED_VALUE"""),0)</f>
        <v>0</v>
      </c>
      <c r="Q65" s="81"/>
      <c r="R65" s="81">
        <f ca="1">IFERROR(__xludf.DUMMYFUNCTION("""COMPUTED_VALUE"""),0)</f>
        <v>0</v>
      </c>
      <c r="S65" s="81"/>
      <c r="T65" s="81"/>
      <c r="U65" s="82"/>
      <c r="V65" s="82"/>
      <c r="W65" s="83"/>
      <c r="X65" s="83"/>
      <c r="Y65" s="83"/>
    </row>
    <row r="66" spans="1:25" ht="13.8">
      <c r="A66" s="78" t="str">
        <f ca="1">IFERROR(__xludf.DUMMYFUNCTION("""COMPUTED_VALUE"""),"CB")</f>
        <v>CB</v>
      </c>
      <c r="B66" s="79" t="str">
        <f ca="1">IFERROR(__xludf.DUMMYFUNCTION("""COMPUTED_VALUE"""),"Sierra Willmore")</f>
        <v>Sierra Willmore</v>
      </c>
      <c r="C66" s="78">
        <f ca="1">IFERROR(__xludf.DUMMYFUNCTION("""COMPUTED_VALUE"""),9)</f>
        <v>9</v>
      </c>
      <c r="D66" s="78" t="str">
        <f ca="1">IFERROR(__xludf.DUMMYFUNCTION("""COMPUTED_VALUE"""),"G")</f>
        <v>G</v>
      </c>
      <c r="E66" s="80" t="str">
        <f ca="1">IFERROR(__xludf.DUMMYFUNCTION("""COMPUTED_VALUE"""),"F")</f>
        <v>F</v>
      </c>
      <c r="F66" s="80" t="str">
        <f ca="1">IFERROR(__xludf.DUMMYFUNCTION("""COMPUTED_VALUE"""),"J")</f>
        <v>J</v>
      </c>
      <c r="G66" s="80">
        <f ca="1">IFERROR(__xludf.DUMMYFUNCTION("""COMPUTED_VALUE"""),4)</f>
        <v>4</v>
      </c>
      <c r="H66" s="80" t="str">
        <f ca="1">IFERROR(__xludf.DUMMYFUNCTION("""COMPUTED_VALUE"""),"CB")</f>
        <v>CB</v>
      </c>
      <c r="I66" s="80">
        <f ca="1">IFERROR(__xludf.DUMMYFUNCTION("""COMPUTED_VALUE"""),2)</f>
        <v>2</v>
      </c>
      <c r="J66" s="81">
        <f ca="1">IFERROR(__xludf.DUMMYFUNCTION("""COMPUTED_VALUE"""),0)</f>
        <v>0</v>
      </c>
      <c r="K66" s="81">
        <f ca="1">IFERROR(__xludf.DUMMYFUNCTION("""COMPUTED_VALUE"""),0)</f>
        <v>0</v>
      </c>
      <c r="L66" s="81">
        <f ca="1">IFERROR(__xludf.DUMMYFUNCTION("""COMPUTED_VALUE"""),0)</f>
        <v>0</v>
      </c>
      <c r="M66" s="81"/>
      <c r="N66" s="81">
        <f ca="1">IFERROR(__xludf.DUMMYFUNCTION("""COMPUTED_VALUE"""),0)</f>
        <v>0</v>
      </c>
      <c r="O66" s="81"/>
      <c r="P66" s="81">
        <f ca="1">IFERROR(__xludf.DUMMYFUNCTION("""COMPUTED_VALUE"""),0)</f>
        <v>0</v>
      </c>
      <c r="Q66" s="81"/>
      <c r="R66" s="81">
        <f ca="1">IFERROR(__xludf.DUMMYFUNCTION("""COMPUTED_VALUE"""),0)</f>
        <v>0</v>
      </c>
      <c r="S66" s="81"/>
      <c r="T66" s="81"/>
      <c r="U66" s="82"/>
      <c r="V66" s="82"/>
      <c r="W66" s="83"/>
      <c r="X66" s="83"/>
      <c r="Y66" s="83"/>
    </row>
    <row r="67" spans="1:25" ht="13.8">
      <c r="A67" s="78" t="str">
        <f ca="1">IFERROR(__xludf.DUMMYFUNCTION("""COMPUTED_VALUE"""),"CB")</f>
        <v>CB</v>
      </c>
      <c r="B67" s="79" t="str">
        <f ca="1">IFERROR(__xludf.DUMMYFUNCTION("""COMPUTED_VALUE"""),"Lily Wilson")</f>
        <v>Lily Wilson</v>
      </c>
      <c r="C67" s="78">
        <f ca="1">IFERROR(__xludf.DUMMYFUNCTION("""COMPUTED_VALUE"""),7)</f>
        <v>7</v>
      </c>
      <c r="D67" s="78" t="str">
        <f ca="1">IFERROR(__xludf.DUMMYFUNCTION("""COMPUTED_VALUE"""),"G")</f>
        <v>G</v>
      </c>
      <c r="E67" s="80" t="str">
        <f ca="1">IFERROR(__xludf.DUMMYFUNCTION("""COMPUTED_VALUE"""),"F")</f>
        <v>F</v>
      </c>
      <c r="F67" s="80" t="str">
        <f ca="1">IFERROR(__xludf.DUMMYFUNCTION("""COMPUTED_VALUE"""),"J")</f>
        <v>J</v>
      </c>
      <c r="G67" s="80">
        <f ca="1">IFERROR(__xludf.DUMMYFUNCTION("""COMPUTED_VALUE"""),4)</f>
        <v>4</v>
      </c>
      <c r="H67" s="80" t="str">
        <f ca="1">IFERROR(__xludf.DUMMYFUNCTION("""COMPUTED_VALUE"""),"CB")</f>
        <v>CB</v>
      </c>
      <c r="I67" s="80">
        <f ca="1">IFERROR(__xludf.DUMMYFUNCTION("""COMPUTED_VALUE"""),2)</f>
        <v>2</v>
      </c>
      <c r="J67" s="81">
        <f ca="1">IFERROR(__xludf.DUMMYFUNCTION("""COMPUTED_VALUE"""),0)</f>
        <v>0</v>
      </c>
      <c r="K67" s="81">
        <f ca="1">IFERROR(__xludf.DUMMYFUNCTION("""COMPUTED_VALUE"""),0)</f>
        <v>0</v>
      </c>
      <c r="L67" s="81">
        <f ca="1">IFERROR(__xludf.DUMMYFUNCTION("""COMPUTED_VALUE"""),0)</f>
        <v>0</v>
      </c>
      <c r="M67" s="81"/>
      <c r="N67" s="81">
        <f ca="1">IFERROR(__xludf.DUMMYFUNCTION("""COMPUTED_VALUE"""),0)</f>
        <v>0</v>
      </c>
      <c r="O67" s="81"/>
      <c r="P67" s="81">
        <f ca="1">IFERROR(__xludf.DUMMYFUNCTION("""COMPUTED_VALUE"""),0)</f>
        <v>0</v>
      </c>
      <c r="Q67" s="81"/>
      <c r="R67" s="81">
        <f ca="1">IFERROR(__xludf.DUMMYFUNCTION("""COMPUTED_VALUE"""),0)</f>
        <v>0</v>
      </c>
      <c r="S67" s="81"/>
      <c r="T67" s="81"/>
      <c r="U67" s="82"/>
      <c r="V67" s="82"/>
      <c r="W67" s="83"/>
      <c r="X67" s="83"/>
      <c r="Y67" s="83"/>
    </row>
    <row r="68" spans="1:25" ht="13.8">
      <c r="A68" s="78" t="str">
        <f ca="1">IFERROR(__xludf.DUMMYFUNCTION("""COMPUTED_VALUE"""),"CB")</f>
        <v>CB</v>
      </c>
      <c r="B68" s="79" t="str">
        <f ca="1">IFERROR(__xludf.DUMMYFUNCTION("""COMPUTED_VALUE"""),"Margot Zecher")</f>
        <v>Margot Zecher</v>
      </c>
      <c r="C68" s="78">
        <f ca="1">IFERROR(__xludf.DUMMYFUNCTION("""COMPUTED_VALUE"""),9)</f>
        <v>9</v>
      </c>
      <c r="D68" s="78" t="str">
        <f ca="1">IFERROR(__xludf.DUMMYFUNCTION("""COMPUTED_VALUE"""),"G")</f>
        <v>G</v>
      </c>
      <c r="E68" s="80" t="str">
        <f ca="1">IFERROR(__xludf.DUMMYFUNCTION("""COMPUTED_VALUE"""),"F")</f>
        <v>F</v>
      </c>
      <c r="F68" s="80" t="str">
        <f ca="1">IFERROR(__xludf.DUMMYFUNCTION("""COMPUTED_VALUE"""),"J")</f>
        <v>J</v>
      </c>
      <c r="G68" s="80">
        <f ca="1">IFERROR(__xludf.DUMMYFUNCTION("""COMPUTED_VALUE"""),4)</f>
        <v>4</v>
      </c>
      <c r="H68" s="80" t="str">
        <f ca="1">IFERROR(__xludf.DUMMYFUNCTION("""COMPUTED_VALUE"""),"CB")</f>
        <v>CB</v>
      </c>
      <c r="I68" s="80">
        <f ca="1">IFERROR(__xludf.DUMMYFUNCTION("""COMPUTED_VALUE"""),2)</f>
        <v>2</v>
      </c>
      <c r="J68" s="81">
        <f ca="1">IFERROR(__xludf.DUMMYFUNCTION("""COMPUTED_VALUE"""),0)</f>
        <v>0</v>
      </c>
      <c r="K68" s="81">
        <f ca="1">IFERROR(__xludf.DUMMYFUNCTION("""COMPUTED_VALUE"""),0)</f>
        <v>0</v>
      </c>
      <c r="L68" s="81">
        <f ca="1">IFERROR(__xludf.DUMMYFUNCTION("""COMPUTED_VALUE"""),0)</f>
        <v>0</v>
      </c>
      <c r="M68" s="81"/>
      <c r="N68" s="81">
        <f ca="1">IFERROR(__xludf.DUMMYFUNCTION("""COMPUTED_VALUE"""),0)</f>
        <v>0</v>
      </c>
      <c r="O68" s="81"/>
      <c r="P68" s="81">
        <f ca="1">IFERROR(__xludf.DUMMYFUNCTION("""COMPUTED_VALUE"""),0)</f>
        <v>0</v>
      </c>
      <c r="Q68" s="81"/>
      <c r="R68" s="81">
        <f ca="1">IFERROR(__xludf.DUMMYFUNCTION("""COMPUTED_VALUE"""),0)</f>
        <v>0</v>
      </c>
      <c r="S68" s="81"/>
      <c r="T68" s="81"/>
      <c r="U68" s="82"/>
      <c r="V68" s="82"/>
      <c r="W68" s="83"/>
      <c r="X68" s="83"/>
      <c r="Y68" s="83"/>
    </row>
    <row r="69" spans="1:25" ht="13.8">
      <c r="A69" s="78" t="str">
        <f ca="1">IFERROR(__xludf.DUMMYFUNCTION("""COMPUTED_VALUE"""),"CB")</f>
        <v>CB</v>
      </c>
      <c r="B69" s="79" t="str">
        <f ca="1">IFERROR(__xludf.DUMMYFUNCTION("""COMPUTED_VALUE"""),"Gunnar Anderson")</f>
        <v>Gunnar Anderson</v>
      </c>
      <c r="C69" s="78">
        <f ca="1">IFERROR(__xludf.DUMMYFUNCTION("""COMPUTED_VALUE"""),8)</f>
        <v>8</v>
      </c>
      <c r="D69" s="78" t="str">
        <f ca="1">IFERROR(__xludf.DUMMYFUNCTION("""COMPUTED_VALUE"""),"B")</f>
        <v>B</v>
      </c>
      <c r="E69" s="80" t="str">
        <f ca="1">IFERROR(__xludf.DUMMYFUNCTION("""COMPUTED_VALUE"""),"F")</f>
        <v>F</v>
      </c>
      <c r="F69" s="80" t="str">
        <f ca="1">IFERROR(__xludf.DUMMYFUNCTION("""COMPUTED_VALUE"""),"J")</f>
        <v>J</v>
      </c>
      <c r="G69" s="80">
        <f ca="1">IFERROR(__xludf.DUMMYFUNCTION("""COMPUTED_VALUE"""),4)</f>
        <v>4</v>
      </c>
      <c r="H69" s="80" t="str">
        <f ca="1">IFERROR(__xludf.DUMMYFUNCTION("""COMPUTED_VALUE"""),"CB")</f>
        <v>CB</v>
      </c>
      <c r="I69" s="80">
        <f ca="1">IFERROR(__xludf.DUMMYFUNCTION("""COMPUTED_VALUE"""),3)</f>
        <v>3</v>
      </c>
      <c r="J69" s="81">
        <f ca="1">IFERROR(__xludf.DUMMYFUNCTION("""COMPUTED_VALUE"""),0)</f>
        <v>0</v>
      </c>
      <c r="K69" s="81">
        <f ca="1">IFERROR(__xludf.DUMMYFUNCTION("""COMPUTED_VALUE"""),0)</f>
        <v>0</v>
      </c>
      <c r="L69" s="81">
        <f ca="1">IFERROR(__xludf.DUMMYFUNCTION("""COMPUTED_VALUE"""),0)</f>
        <v>0</v>
      </c>
      <c r="M69" s="81"/>
      <c r="N69" s="81">
        <f ca="1">IFERROR(__xludf.DUMMYFUNCTION("""COMPUTED_VALUE"""),0)</f>
        <v>0</v>
      </c>
      <c r="O69" s="81"/>
      <c r="P69" s="81">
        <f ca="1">IFERROR(__xludf.DUMMYFUNCTION("""COMPUTED_VALUE"""),0)</f>
        <v>0</v>
      </c>
      <c r="Q69" s="81"/>
      <c r="R69" s="81">
        <f ca="1">IFERROR(__xludf.DUMMYFUNCTION("""COMPUTED_VALUE"""),0)</f>
        <v>0</v>
      </c>
      <c r="S69" s="81"/>
      <c r="T69" s="81"/>
      <c r="U69" s="82"/>
      <c r="V69" s="82"/>
      <c r="W69" s="83"/>
      <c r="X69" s="83"/>
      <c r="Y69" s="83"/>
    </row>
    <row r="70" spans="1:25" ht="13.8">
      <c r="A70" s="78" t="str">
        <f ca="1">IFERROR(__xludf.DUMMYFUNCTION("""COMPUTED_VALUE"""),"CB")</f>
        <v>CB</v>
      </c>
      <c r="B70" s="79" t="str">
        <f ca="1">IFERROR(__xludf.DUMMYFUNCTION("""COMPUTED_VALUE"""),"Gudrun Burnison")</f>
        <v>Gudrun Burnison</v>
      </c>
      <c r="C70" s="78">
        <f ca="1">IFERROR(__xludf.DUMMYFUNCTION("""COMPUTED_VALUE"""),10)</f>
        <v>10</v>
      </c>
      <c r="D70" s="78" t="str">
        <f ca="1">IFERROR(__xludf.DUMMYFUNCTION("""COMPUTED_VALUE"""),"B")</f>
        <v>B</v>
      </c>
      <c r="E70" s="80" t="str">
        <f ca="1">IFERROR(__xludf.DUMMYFUNCTION("""COMPUTED_VALUE"""),"F")</f>
        <v>F</v>
      </c>
      <c r="F70" s="80" t="str">
        <f ca="1">IFERROR(__xludf.DUMMYFUNCTION("""COMPUTED_VALUE"""),"J")</f>
        <v>J</v>
      </c>
      <c r="G70" s="80">
        <f ca="1">IFERROR(__xludf.DUMMYFUNCTION("""COMPUTED_VALUE"""),4)</f>
        <v>4</v>
      </c>
      <c r="H70" s="80" t="str">
        <f ca="1">IFERROR(__xludf.DUMMYFUNCTION("""COMPUTED_VALUE"""),"CB")</f>
        <v>CB</v>
      </c>
      <c r="I70" s="80">
        <f ca="1">IFERROR(__xludf.DUMMYFUNCTION("""COMPUTED_VALUE"""),3)</f>
        <v>3</v>
      </c>
      <c r="J70" s="81">
        <f ca="1">IFERROR(__xludf.DUMMYFUNCTION("""COMPUTED_VALUE"""),0)</f>
        <v>0</v>
      </c>
      <c r="K70" s="81">
        <f ca="1">IFERROR(__xludf.DUMMYFUNCTION("""COMPUTED_VALUE"""),0)</f>
        <v>0</v>
      </c>
      <c r="L70" s="81">
        <f ca="1">IFERROR(__xludf.DUMMYFUNCTION("""COMPUTED_VALUE"""),0)</f>
        <v>0</v>
      </c>
      <c r="M70" s="81"/>
      <c r="N70" s="81">
        <f ca="1">IFERROR(__xludf.DUMMYFUNCTION("""COMPUTED_VALUE"""),0)</f>
        <v>0</v>
      </c>
      <c r="O70" s="81"/>
      <c r="P70" s="81">
        <f ca="1">IFERROR(__xludf.DUMMYFUNCTION("""COMPUTED_VALUE"""),0)</f>
        <v>0</v>
      </c>
      <c r="Q70" s="81"/>
      <c r="R70" s="81">
        <f ca="1">IFERROR(__xludf.DUMMYFUNCTION("""COMPUTED_VALUE"""),0)</f>
        <v>0</v>
      </c>
      <c r="S70" s="81"/>
      <c r="T70" s="81"/>
      <c r="U70" s="82"/>
      <c r="V70" s="82"/>
      <c r="W70" s="83"/>
      <c r="X70" s="83"/>
      <c r="Y70" s="83"/>
    </row>
    <row r="71" spans="1:25" ht="13.8">
      <c r="A71" s="78" t="str">
        <f ca="1">IFERROR(__xludf.DUMMYFUNCTION("""COMPUTED_VALUE"""),"CB")</f>
        <v>CB</v>
      </c>
      <c r="B71" s="79" t="str">
        <f ca="1">IFERROR(__xludf.DUMMYFUNCTION("""COMPUTED_VALUE"""),"William Duffy")</f>
        <v>William Duffy</v>
      </c>
      <c r="C71" s="78">
        <f ca="1">IFERROR(__xludf.DUMMYFUNCTION("""COMPUTED_VALUE"""),7)</f>
        <v>7</v>
      </c>
      <c r="D71" s="78" t="str">
        <f ca="1">IFERROR(__xludf.DUMMYFUNCTION("""COMPUTED_VALUE"""),"B")</f>
        <v>B</v>
      </c>
      <c r="E71" s="80" t="str">
        <f ca="1">IFERROR(__xludf.DUMMYFUNCTION("""COMPUTED_VALUE"""),"F")</f>
        <v>F</v>
      </c>
      <c r="F71" s="80" t="str">
        <f ca="1">IFERROR(__xludf.DUMMYFUNCTION("""COMPUTED_VALUE"""),"J")</f>
        <v>J</v>
      </c>
      <c r="G71" s="80">
        <f ca="1">IFERROR(__xludf.DUMMYFUNCTION("""COMPUTED_VALUE"""),4)</f>
        <v>4</v>
      </c>
      <c r="H71" s="80" t="str">
        <f ca="1">IFERROR(__xludf.DUMMYFUNCTION("""COMPUTED_VALUE"""),"CB")</f>
        <v>CB</v>
      </c>
      <c r="I71" s="80">
        <f ca="1">IFERROR(__xludf.DUMMYFUNCTION("""COMPUTED_VALUE"""),3)</f>
        <v>3</v>
      </c>
      <c r="J71" s="81">
        <f ca="1">IFERROR(__xludf.DUMMYFUNCTION("""COMPUTED_VALUE"""),0)</f>
        <v>0</v>
      </c>
      <c r="K71" s="81">
        <f ca="1">IFERROR(__xludf.DUMMYFUNCTION("""COMPUTED_VALUE"""),0)</f>
        <v>0</v>
      </c>
      <c r="L71" s="81">
        <f ca="1">IFERROR(__xludf.DUMMYFUNCTION("""COMPUTED_VALUE"""),0)</f>
        <v>0</v>
      </c>
      <c r="M71" s="81"/>
      <c r="N71" s="81">
        <f ca="1">IFERROR(__xludf.DUMMYFUNCTION("""COMPUTED_VALUE"""),0)</f>
        <v>0</v>
      </c>
      <c r="O71" s="81"/>
      <c r="P71" s="81">
        <f ca="1">IFERROR(__xludf.DUMMYFUNCTION("""COMPUTED_VALUE"""),0)</f>
        <v>0</v>
      </c>
      <c r="Q71" s="81"/>
      <c r="R71" s="81">
        <f ca="1">IFERROR(__xludf.DUMMYFUNCTION("""COMPUTED_VALUE"""),0)</f>
        <v>0</v>
      </c>
      <c r="S71" s="81"/>
      <c r="T71" s="81"/>
      <c r="U71" s="82"/>
      <c r="V71" s="82"/>
      <c r="W71" s="83"/>
      <c r="X71" s="83"/>
      <c r="Y71" s="83"/>
    </row>
    <row r="72" spans="1:25" ht="13.8">
      <c r="A72" s="78" t="str">
        <f ca="1">IFERROR(__xludf.DUMMYFUNCTION("""COMPUTED_VALUE"""),"CB")</f>
        <v>CB</v>
      </c>
      <c r="B72" s="79" t="str">
        <f ca="1">IFERROR(__xludf.DUMMYFUNCTION("""COMPUTED_VALUE"""),"Grayson Grass")</f>
        <v>Grayson Grass</v>
      </c>
      <c r="C72" s="78">
        <f ca="1">IFERROR(__xludf.DUMMYFUNCTION("""COMPUTED_VALUE"""),9)</f>
        <v>9</v>
      </c>
      <c r="D72" s="78" t="str">
        <f ca="1">IFERROR(__xludf.DUMMYFUNCTION("""COMPUTED_VALUE"""),"B")</f>
        <v>B</v>
      </c>
      <c r="E72" s="80" t="str">
        <f ca="1">IFERROR(__xludf.DUMMYFUNCTION("""COMPUTED_VALUE"""),"F")</f>
        <v>F</v>
      </c>
      <c r="F72" s="80" t="str">
        <f ca="1">IFERROR(__xludf.DUMMYFUNCTION("""COMPUTED_VALUE"""),"J")</f>
        <v>J</v>
      </c>
      <c r="G72" s="80">
        <f ca="1">IFERROR(__xludf.DUMMYFUNCTION("""COMPUTED_VALUE"""),4)</f>
        <v>4</v>
      </c>
      <c r="H72" s="80" t="str">
        <f ca="1">IFERROR(__xludf.DUMMYFUNCTION("""COMPUTED_VALUE"""),"CB")</f>
        <v>CB</v>
      </c>
      <c r="I72" s="80">
        <f ca="1">IFERROR(__xludf.DUMMYFUNCTION("""COMPUTED_VALUE"""),3)</f>
        <v>3</v>
      </c>
      <c r="J72" s="81">
        <f ca="1">IFERROR(__xludf.DUMMYFUNCTION("""COMPUTED_VALUE"""),0)</f>
        <v>0</v>
      </c>
      <c r="K72" s="81">
        <f ca="1">IFERROR(__xludf.DUMMYFUNCTION("""COMPUTED_VALUE"""),0)</f>
        <v>0</v>
      </c>
      <c r="L72" s="81">
        <f ca="1">IFERROR(__xludf.DUMMYFUNCTION("""COMPUTED_VALUE"""),0)</f>
        <v>0</v>
      </c>
      <c r="M72" s="81"/>
      <c r="N72" s="81">
        <f ca="1">IFERROR(__xludf.DUMMYFUNCTION("""COMPUTED_VALUE"""),0)</f>
        <v>0</v>
      </c>
      <c r="O72" s="81"/>
      <c r="P72" s="81">
        <f ca="1">IFERROR(__xludf.DUMMYFUNCTION("""COMPUTED_VALUE"""),0)</f>
        <v>0</v>
      </c>
      <c r="Q72" s="81"/>
      <c r="R72" s="81">
        <f ca="1">IFERROR(__xludf.DUMMYFUNCTION("""COMPUTED_VALUE"""),0)</f>
        <v>0</v>
      </c>
      <c r="S72" s="81"/>
      <c r="T72" s="81"/>
      <c r="U72" s="82"/>
      <c r="V72" s="82"/>
      <c r="W72" s="83"/>
      <c r="X72" s="83"/>
      <c r="Y72" s="83"/>
    </row>
    <row r="73" spans="1:25" ht="13.8">
      <c r="A73" s="78" t="str">
        <f ca="1">IFERROR(__xludf.DUMMYFUNCTION("""COMPUTED_VALUE"""),"CB")</f>
        <v>CB</v>
      </c>
      <c r="B73" s="79" t="str">
        <f ca="1">IFERROR(__xludf.DUMMYFUNCTION("""COMPUTED_VALUE"""),"Nicholas Harvey")</f>
        <v>Nicholas Harvey</v>
      </c>
      <c r="C73" s="78">
        <f ca="1">IFERROR(__xludf.DUMMYFUNCTION("""COMPUTED_VALUE"""),6)</f>
        <v>6</v>
      </c>
      <c r="D73" s="78" t="str">
        <f ca="1">IFERROR(__xludf.DUMMYFUNCTION("""COMPUTED_VALUE"""),"B")</f>
        <v>B</v>
      </c>
      <c r="E73" s="80" t="str">
        <f ca="1">IFERROR(__xludf.DUMMYFUNCTION("""COMPUTED_VALUE"""),"F")</f>
        <v>F</v>
      </c>
      <c r="F73" s="80" t="str">
        <f ca="1">IFERROR(__xludf.DUMMYFUNCTION("""COMPUTED_VALUE"""),"J")</f>
        <v>J</v>
      </c>
      <c r="G73" s="80">
        <f ca="1">IFERROR(__xludf.DUMMYFUNCTION("""COMPUTED_VALUE"""),4)</f>
        <v>4</v>
      </c>
      <c r="H73" s="80" t="str">
        <f ca="1">IFERROR(__xludf.DUMMYFUNCTION("""COMPUTED_VALUE"""),"CB")</f>
        <v>CB</v>
      </c>
      <c r="I73" s="80">
        <f ca="1">IFERROR(__xludf.DUMMYFUNCTION("""COMPUTED_VALUE"""),3)</f>
        <v>3</v>
      </c>
      <c r="J73" s="81">
        <f ca="1">IFERROR(__xludf.DUMMYFUNCTION("""COMPUTED_VALUE"""),0)</f>
        <v>0</v>
      </c>
      <c r="K73" s="81">
        <f ca="1">IFERROR(__xludf.DUMMYFUNCTION("""COMPUTED_VALUE"""),0)</f>
        <v>0</v>
      </c>
      <c r="L73" s="81">
        <f ca="1">IFERROR(__xludf.DUMMYFUNCTION("""COMPUTED_VALUE"""),0)</f>
        <v>0</v>
      </c>
      <c r="M73" s="81"/>
      <c r="N73" s="81">
        <f ca="1">IFERROR(__xludf.DUMMYFUNCTION("""COMPUTED_VALUE"""),0)</f>
        <v>0</v>
      </c>
      <c r="O73" s="81"/>
      <c r="P73" s="81">
        <f ca="1">IFERROR(__xludf.DUMMYFUNCTION("""COMPUTED_VALUE"""),0)</f>
        <v>0</v>
      </c>
      <c r="Q73" s="81"/>
      <c r="R73" s="81">
        <f ca="1">IFERROR(__xludf.DUMMYFUNCTION("""COMPUTED_VALUE"""),0)</f>
        <v>0</v>
      </c>
      <c r="S73" s="81"/>
      <c r="T73" s="81"/>
      <c r="U73" s="82"/>
      <c r="V73" s="82"/>
      <c r="W73" s="83"/>
      <c r="X73" s="83"/>
      <c r="Y73" s="83"/>
    </row>
    <row r="74" spans="1:25" ht="13.8">
      <c r="A74" s="78" t="str">
        <f ca="1">IFERROR(__xludf.DUMMYFUNCTION("""COMPUTED_VALUE"""),"CB")</f>
        <v>CB</v>
      </c>
      <c r="B74" s="79" t="str">
        <f ca="1">IFERROR(__xludf.DUMMYFUNCTION("""COMPUTED_VALUE"""),"Jack Miller")</f>
        <v>Jack Miller</v>
      </c>
      <c r="C74" s="78">
        <f ca="1">IFERROR(__xludf.DUMMYFUNCTION("""COMPUTED_VALUE"""),7)</f>
        <v>7</v>
      </c>
      <c r="D74" s="78" t="str">
        <f ca="1">IFERROR(__xludf.DUMMYFUNCTION("""COMPUTED_VALUE"""),"B")</f>
        <v>B</v>
      </c>
      <c r="E74" s="80" t="str">
        <f ca="1">IFERROR(__xludf.DUMMYFUNCTION("""COMPUTED_VALUE"""),"F")</f>
        <v>F</v>
      </c>
      <c r="F74" s="80" t="str">
        <f ca="1">IFERROR(__xludf.DUMMYFUNCTION("""COMPUTED_VALUE"""),"J")</f>
        <v>J</v>
      </c>
      <c r="G74" s="80">
        <f ca="1">IFERROR(__xludf.DUMMYFUNCTION("""COMPUTED_VALUE"""),4)</f>
        <v>4</v>
      </c>
      <c r="H74" s="80" t="str">
        <f ca="1">IFERROR(__xludf.DUMMYFUNCTION("""COMPUTED_VALUE"""),"CB")</f>
        <v>CB</v>
      </c>
      <c r="I74" s="80">
        <f ca="1">IFERROR(__xludf.DUMMYFUNCTION("""COMPUTED_VALUE"""),3)</f>
        <v>3</v>
      </c>
      <c r="J74" s="81">
        <f ca="1">IFERROR(__xludf.DUMMYFUNCTION("""COMPUTED_VALUE"""),0)</f>
        <v>0</v>
      </c>
      <c r="K74" s="81">
        <f ca="1">IFERROR(__xludf.DUMMYFUNCTION("""COMPUTED_VALUE"""),0)</f>
        <v>0</v>
      </c>
      <c r="L74" s="81">
        <f ca="1">IFERROR(__xludf.DUMMYFUNCTION("""COMPUTED_VALUE"""),0)</f>
        <v>0</v>
      </c>
      <c r="M74" s="81"/>
      <c r="N74" s="81">
        <f ca="1">IFERROR(__xludf.DUMMYFUNCTION("""COMPUTED_VALUE"""),0)</f>
        <v>0</v>
      </c>
      <c r="O74" s="81"/>
      <c r="P74" s="81">
        <f ca="1">IFERROR(__xludf.DUMMYFUNCTION("""COMPUTED_VALUE"""),0)</f>
        <v>0</v>
      </c>
      <c r="Q74" s="81"/>
      <c r="R74" s="81">
        <f ca="1">IFERROR(__xludf.DUMMYFUNCTION("""COMPUTED_VALUE"""),0)</f>
        <v>0</v>
      </c>
      <c r="S74" s="81"/>
      <c r="T74" s="81"/>
      <c r="U74" s="82"/>
      <c r="V74" s="82"/>
      <c r="W74" s="83"/>
      <c r="X74" s="83"/>
      <c r="Y74" s="83"/>
    </row>
    <row r="75" spans="1:25" ht="13.8">
      <c r="A75" s="78" t="str">
        <f ca="1">IFERROR(__xludf.DUMMYFUNCTION("""COMPUTED_VALUE"""),"CB")</f>
        <v>CB</v>
      </c>
      <c r="B75" s="79" t="str">
        <f ca="1">IFERROR(__xludf.DUMMYFUNCTION("""COMPUTED_VALUE"""),"Michael Moss")</f>
        <v>Michael Moss</v>
      </c>
      <c r="C75" s="78">
        <f ca="1">IFERROR(__xludf.DUMMYFUNCTION("""COMPUTED_VALUE"""),6)</f>
        <v>6</v>
      </c>
      <c r="D75" s="78" t="str">
        <f ca="1">IFERROR(__xludf.DUMMYFUNCTION("""COMPUTED_VALUE"""),"B")</f>
        <v>B</v>
      </c>
      <c r="E75" s="80" t="str">
        <f ca="1">IFERROR(__xludf.DUMMYFUNCTION("""COMPUTED_VALUE"""),"F")</f>
        <v>F</v>
      </c>
      <c r="F75" s="80" t="str">
        <f ca="1">IFERROR(__xludf.DUMMYFUNCTION("""COMPUTED_VALUE"""),"J")</f>
        <v>J</v>
      </c>
      <c r="G75" s="80">
        <f ca="1">IFERROR(__xludf.DUMMYFUNCTION("""COMPUTED_VALUE"""),4)</f>
        <v>4</v>
      </c>
      <c r="H75" s="80" t="str">
        <f ca="1">IFERROR(__xludf.DUMMYFUNCTION("""COMPUTED_VALUE"""),"CB")</f>
        <v>CB</v>
      </c>
      <c r="I75" s="80">
        <f ca="1">IFERROR(__xludf.DUMMYFUNCTION("""COMPUTED_VALUE"""),3)</f>
        <v>3</v>
      </c>
      <c r="J75" s="81">
        <f ca="1">IFERROR(__xludf.DUMMYFUNCTION("""COMPUTED_VALUE"""),2)</f>
        <v>2</v>
      </c>
      <c r="K75" s="81">
        <f ca="1">IFERROR(__xludf.DUMMYFUNCTION("""COMPUTED_VALUE"""),18.4)</f>
        <v>18.399999999999999</v>
      </c>
      <c r="L75" s="81">
        <f ca="1">IFERROR(__xludf.DUMMYFUNCTION("""COMPUTED_VALUE"""),0)</f>
        <v>0</v>
      </c>
      <c r="M75" s="81"/>
      <c r="N75" s="81">
        <f ca="1">IFERROR(__xludf.DUMMYFUNCTION("""COMPUTED_VALUE"""),0)</f>
        <v>0</v>
      </c>
      <c r="O75" s="81"/>
      <c r="P75" s="81">
        <f ca="1">IFERROR(__xludf.DUMMYFUNCTION("""COMPUTED_VALUE"""),0)</f>
        <v>0</v>
      </c>
      <c r="Q75" s="81"/>
      <c r="R75" s="81">
        <f ca="1">IFERROR(__xludf.DUMMYFUNCTION("""COMPUTED_VALUE"""),18.4)</f>
        <v>18.399999999999999</v>
      </c>
      <c r="S75" s="81"/>
      <c r="T75" s="81"/>
      <c r="U75" s="82"/>
      <c r="V75" s="82"/>
      <c r="W75" s="83"/>
      <c r="X75" s="83"/>
      <c r="Y75" s="83"/>
    </row>
    <row r="76" spans="1:25" ht="13.8">
      <c r="A76" s="78" t="str">
        <f ca="1">IFERROR(__xludf.DUMMYFUNCTION("""COMPUTED_VALUE"""),"CB")</f>
        <v>CB</v>
      </c>
      <c r="B76" s="79" t="str">
        <f ca="1">IFERROR(__xludf.DUMMYFUNCTION("""COMPUTED_VALUE"""),"Jacob Pacific")</f>
        <v>Jacob Pacific</v>
      </c>
      <c r="C76" s="78">
        <f ca="1">IFERROR(__xludf.DUMMYFUNCTION("""COMPUTED_VALUE"""),10)</f>
        <v>10</v>
      </c>
      <c r="D76" s="78" t="str">
        <f ca="1">IFERROR(__xludf.DUMMYFUNCTION("""COMPUTED_VALUE"""),"b")</f>
        <v>b</v>
      </c>
      <c r="E76" s="80" t="str">
        <f ca="1">IFERROR(__xludf.DUMMYFUNCTION("""COMPUTED_VALUE"""),"F")</f>
        <v>F</v>
      </c>
      <c r="F76" s="80" t="str">
        <f ca="1">IFERROR(__xludf.DUMMYFUNCTION("""COMPUTED_VALUE"""),"J")</f>
        <v>J</v>
      </c>
      <c r="G76" s="80">
        <f ca="1">IFERROR(__xludf.DUMMYFUNCTION("""COMPUTED_VALUE"""),4)</f>
        <v>4</v>
      </c>
      <c r="H76" s="80" t="str">
        <f ca="1">IFERROR(__xludf.DUMMYFUNCTION("""COMPUTED_VALUE"""),"CB")</f>
        <v>CB</v>
      </c>
      <c r="I76" s="80">
        <f ca="1">IFERROR(__xludf.DUMMYFUNCTION("""COMPUTED_VALUE"""),3)</f>
        <v>3</v>
      </c>
      <c r="J76" s="81">
        <f ca="1">IFERROR(__xludf.DUMMYFUNCTION("""COMPUTED_VALUE"""),0)</f>
        <v>0</v>
      </c>
      <c r="K76" s="81">
        <f ca="1">IFERROR(__xludf.DUMMYFUNCTION("""COMPUTED_VALUE"""),0)</f>
        <v>0</v>
      </c>
      <c r="L76" s="81">
        <f ca="1">IFERROR(__xludf.DUMMYFUNCTION("""COMPUTED_VALUE"""),0)</f>
        <v>0</v>
      </c>
      <c r="M76" s="81"/>
      <c r="N76" s="81">
        <f ca="1">IFERROR(__xludf.DUMMYFUNCTION("""COMPUTED_VALUE"""),0)</f>
        <v>0</v>
      </c>
      <c r="O76" s="81"/>
      <c r="P76" s="81">
        <f ca="1">IFERROR(__xludf.DUMMYFUNCTION("""COMPUTED_VALUE"""),0)</f>
        <v>0</v>
      </c>
      <c r="Q76" s="81"/>
      <c r="R76" s="81">
        <f ca="1">IFERROR(__xludf.DUMMYFUNCTION("""COMPUTED_VALUE"""),0)</f>
        <v>0</v>
      </c>
      <c r="S76" s="81"/>
      <c r="T76" s="81"/>
      <c r="U76" s="82"/>
      <c r="V76" s="82"/>
      <c r="W76" s="83"/>
      <c r="X76" s="83"/>
      <c r="Y76" s="83"/>
    </row>
    <row r="77" spans="1:25" ht="13.8">
      <c r="A77" s="78" t="str">
        <f ca="1">IFERROR(__xludf.DUMMYFUNCTION("""COMPUTED_VALUE"""),"CB")</f>
        <v>CB</v>
      </c>
      <c r="B77" s="79" t="str">
        <f ca="1">IFERROR(__xludf.DUMMYFUNCTION("""COMPUTED_VALUE"""),"Nicholas Pacific")</f>
        <v>Nicholas Pacific</v>
      </c>
      <c r="C77" s="78">
        <f ca="1">IFERROR(__xludf.DUMMYFUNCTION("""COMPUTED_VALUE"""),6)</f>
        <v>6</v>
      </c>
      <c r="D77" s="78" t="str">
        <f ca="1">IFERROR(__xludf.DUMMYFUNCTION("""COMPUTED_VALUE"""),"b")</f>
        <v>b</v>
      </c>
      <c r="E77" s="80" t="str">
        <f ca="1">IFERROR(__xludf.DUMMYFUNCTION("""COMPUTED_VALUE"""),"F")</f>
        <v>F</v>
      </c>
      <c r="F77" s="80" t="str">
        <f ca="1">IFERROR(__xludf.DUMMYFUNCTION("""COMPUTED_VALUE"""),"J")</f>
        <v>J</v>
      </c>
      <c r="G77" s="80">
        <f ca="1">IFERROR(__xludf.DUMMYFUNCTION("""COMPUTED_VALUE"""),4)</f>
        <v>4</v>
      </c>
      <c r="H77" s="80" t="str">
        <f ca="1">IFERROR(__xludf.DUMMYFUNCTION("""COMPUTED_VALUE"""),"CB")</f>
        <v>CB</v>
      </c>
      <c r="I77" s="80">
        <f ca="1">IFERROR(__xludf.DUMMYFUNCTION("""COMPUTED_VALUE"""),3)</f>
        <v>3</v>
      </c>
      <c r="J77" s="81">
        <f ca="1">IFERROR(__xludf.DUMMYFUNCTION("""COMPUTED_VALUE"""),1)</f>
        <v>1</v>
      </c>
      <c r="K77" s="81">
        <f ca="1">IFERROR(__xludf.DUMMYFUNCTION("""COMPUTED_VALUE"""),41.9)</f>
        <v>41.9</v>
      </c>
      <c r="L77" s="81">
        <f ca="1">IFERROR(__xludf.DUMMYFUNCTION("""COMPUTED_VALUE"""),0)</f>
        <v>0</v>
      </c>
      <c r="M77" s="81"/>
      <c r="N77" s="81">
        <f ca="1">IFERROR(__xludf.DUMMYFUNCTION("""COMPUTED_VALUE"""),0)</f>
        <v>0</v>
      </c>
      <c r="O77" s="81"/>
      <c r="P77" s="81">
        <f ca="1">IFERROR(__xludf.DUMMYFUNCTION("""COMPUTED_VALUE"""),0)</f>
        <v>0</v>
      </c>
      <c r="Q77" s="81"/>
      <c r="R77" s="81">
        <f ca="1">IFERROR(__xludf.DUMMYFUNCTION("""COMPUTED_VALUE"""),41.9)</f>
        <v>41.9</v>
      </c>
      <c r="S77" s="81"/>
      <c r="T77" s="81"/>
      <c r="U77" s="82"/>
      <c r="V77" s="82"/>
      <c r="W77" s="83"/>
      <c r="X77" s="83"/>
      <c r="Y77" s="83"/>
    </row>
    <row r="78" spans="1:25" ht="13.8">
      <c r="A78" s="78" t="str">
        <f ca="1">IFERROR(__xludf.DUMMYFUNCTION("""COMPUTED_VALUE"""),"CB")</f>
        <v>CB</v>
      </c>
      <c r="B78" s="79" t="str">
        <f ca="1">IFERROR(__xludf.DUMMYFUNCTION("""COMPUTED_VALUE"""),"Charles Rogers")</f>
        <v>Charles Rogers</v>
      </c>
      <c r="C78" s="78">
        <f ca="1">IFERROR(__xludf.DUMMYFUNCTION("""COMPUTED_VALUE"""),8)</f>
        <v>8</v>
      </c>
      <c r="D78" s="78" t="str">
        <f ca="1">IFERROR(__xludf.DUMMYFUNCTION("""COMPUTED_VALUE"""),"B")</f>
        <v>B</v>
      </c>
      <c r="E78" s="80" t="str">
        <f ca="1">IFERROR(__xludf.DUMMYFUNCTION("""COMPUTED_VALUE"""),"F")</f>
        <v>F</v>
      </c>
      <c r="F78" s="80" t="str">
        <f ca="1">IFERROR(__xludf.DUMMYFUNCTION("""COMPUTED_VALUE"""),"J")</f>
        <v>J</v>
      </c>
      <c r="G78" s="80">
        <f ca="1">IFERROR(__xludf.DUMMYFUNCTION("""COMPUTED_VALUE"""),4)</f>
        <v>4</v>
      </c>
      <c r="H78" s="80" t="str">
        <f ca="1">IFERROR(__xludf.DUMMYFUNCTION("""COMPUTED_VALUE"""),"CB")</f>
        <v>CB</v>
      </c>
      <c r="I78" s="80">
        <f ca="1">IFERROR(__xludf.DUMMYFUNCTION("""COMPUTED_VALUE"""),3)</f>
        <v>3</v>
      </c>
      <c r="J78" s="81">
        <f ca="1">IFERROR(__xludf.DUMMYFUNCTION("""COMPUTED_VALUE"""),4)</f>
        <v>4</v>
      </c>
      <c r="K78" s="81">
        <f ca="1">IFERROR(__xludf.DUMMYFUNCTION("""COMPUTED_VALUE"""),66.95)</f>
        <v>66.95</v>
      </c>
      <c r="L78" s="81">
        <f ca="1">IFERROR(__xludf.DUMMYFUNCTION("""COMPUTED_VALUE"""),66.95)</f>
        <v>66.95</v>
      </c>
      <c r="M78" s="81"/>
      <c r="N78" s="81">
        <f ca="1">IFERROR(__xludf.DUMMYFUNCTION("""COMPUTED_VALUE"""),56.95)</f>
        <v>56.95</v>
      </c>
      <c r="O78" s="81"/>
      <c r="P78" s="81">
        <f ca="1">IFERROR(__xludf.DUMMYFUNCTION("""COMPUTED_VALUE"""),0)</f>
        <v>0</v>
      </c>
      <c r="Q78" s="81"/>
      <c r="R78" s="81">
        <f ca="1">IFERROR(__xludf.DUMMYFUNCTION("""COMPUTED_VALUE"""),45.7)</f>
        <v>45.7</v>
      </c>
      <c r="S78" s="81"/>
      <c r="T78" s="81"/>
      <c r="U78" s="82"/>
      <c r="V78" s="82"/>
      <c r="W78" s="83"/>
      <c r="X78" s="83"/>
      <c r="Y78" s="83"/>
    </row>
    <row r="79" spans="1:25" ht="13.8">
      <c r="A79" s="78" t="str">
        <f ca="1">IFERROR(__xludf.DUMMYFUNCTION("""COMPUTED_VALUE"""),"CB")</f>
        <v>CB</v>
      </c>
      <c r="B79" s="79" t="str">
        <f ca="1">IFERROR(__xludf.DUMMYFUNCTION("""COMPUTED_VALUE"""),"Edison Tan")</f>
        <v>Edison Tan</v>
      </c>
      <c r="C79" s="78">
        <f ca="1">IFERROR(__xludf.DUMMYFUNCTION("""COMPUTED_VALUE"""),9)</f>
        <v>9</v>
      </c>
      <c r="D79" s="78" t="str">
        <f ca="1">IFERROR(__xludf.DUMMYFUNCTION("""COMPUTED_VALUE"""),"B")</f>
        <v>B</v>
      </c>
      <c r="E79" s="80" t="str">
        <f ca="1">IFERROR(__xludf.DUMMYFUNCTION("""COMPUTED_VALUE"""),"F")</f>
        <v>F</v>
      </c>
      <c r="F79" s="80" t="str">
        <f ca="1">IFERROR(__xludf.DUMMYFUNCTION("""COMPUTED_VALUE"""),"J")</f>
        <v>J</v>
      </c>
      <c r="G79" s="80">
        <f ca="1">IFERROR(__xludf.DUMMYFUNCTION("""COMPUTED_VALUE"""),4)</f>
        <v>4</v>
      </c>
      <c r="H79" s="80" t="str">
        <f ca="1">IFERROR(__xludf.DUMMYFUNCTION("""COMPUTED_VALUE"""),"CB")</f>
        <v>CB</v>
      </c>
      <c r="I79" s="80">
        <f ca="1">IFERROR(__xludf.DUMMYFUNCTION("""COMPUTED_VALUE"""),3)</f>
        <v>3</v>
      </c>
      <c r="J79" s="81">
        <f ca="1">IFERROR(__xludf.DUMMYFUNCTION("""COMPUTED_VALUE"""),3)</f>
        <v>3</v>
      </c>
      <c r="K79" s="81">
        <f ca="1">IFERROR(__xludf.DUMMYFUNCTION("""COMPUTED_VALUE"""),71)</f>
        <v>71</v>
      </c>
      <c r="L79" s="81">
        <f ca="1">IFERROR(__xludf.DUMMYFUNCTION("""COMPUTED_VALUE"""),0)</f>
        <v>0</v>
      </c>
      <c r="M79" s="81"/>
      <c r="N79" s="81">
        <f ca="1">IFERROR(__xludf.DUMMYFUNCTION("""COMPUTED_VALUE"""),71)</f>
        <v>71</v>
      </c>
      <c r="O79" s="81"/>
      <c r="P79" s="81">
        <f ca="1">IFERROR(__xludf.DUMMYFUNCTION("""COMPUTED_VALUE"""),0)</f>
        <v>0</v>
      </c>
      <c r="Q79" s="81"/>
      <c r="R79" s="81">
        <f ca="1">IFERROR(__xludf.DUMMYFUNCTION("""COMPUTED_VALUE"""),58.95)</f>
        <v>58.95</v>
      </c>
      <c r="S79" s="81"/>
      <c r="T79" s="81"/>
      <c r="U79" s="82"/>
      <c r="V79" s="82"/>
      <c r="W79" s="83"/>
      <c r="X79" s="83"/>
      <c r="Y79" s="83"/>
    </row>
    <row r="80" spans="1:25" ht="13.8">
      <c r="A80" s="78" t="str">
        <f ca="1">IFERROR(__xludf.DUMMYFUNCTION("""COMPUTED_VALUE"""),"CB")</f>
        <v>CB</v>
      </c>
      <c r="B80" s="79" t="str">
        <f ca="1">IFERROR(__xludf.DUMMYFUNCTION("""COMPUTED_VALUE"""),"Evan Tan")</f>
        <v>Evan Tan</v>
      </c>
      <c r="C80" s="78">
        <f ca="1">IFERROR(__xludf.DUMMYFUNCTION("""COMPUTED_VALUE"""),6)</f>
        <v>6</v>
      </c>
      <c r="D80" s="78" t="str">
        <f ca="1">IFERROR(__xludf.DUMMYFUNCTION("""COMPUTED_VALUE"""),"B")</f>
        <v>B</v>
      </c>
      <c r="E80" s="80" t="str">
        <f ca="1">IFERROR(__xludf.DUMMYFUNCTION("""COMPUTED_VALUE"""),"F")</f>
        <v>F</v>
      </c>
      <c r="F80" s="80" t="str">
        <f ca="1">IFERROR(__xludf.DUMMYFUNCTION("""COMPUTED_VALUE"""),"J")</f>
        <v>J</v>
      </c>
      <c r="G80" s="80">
        <f ca="1">IFERROR(__xludf.DUMMYFUNCTION("""COMPUTED_VALUE"""),4)</f>
        <v>4</v>
      </c>
      <c r="H80" s="80" t="str">
        <f ca="1">IFERROR(__xludf.DUMMYFUNCTION("""COMPUTED_VALUE"""),"CB")</f>
        <v>CB</v>
      </c>
      <c r="I80" s="80">
        <f ca="1">IFERROR(__xludf.DUMMYFUNCTION("""COMPUTED_VALUE"""),3)</f>
        <v>3</v>
      </c>
      <c r="J80" s="81">
        <f ca="1">IFERROR(__xludf.DUMMYFUNCTION("""COMPUTED_VALUE"""),0)</f>
        <v>0</v>
      </c>
      <c r="K80" s="81">
        <f ca="1">IFERROR(__xludf.DUMMYFUNCTION("""COMPUTED_VALUE"""),0)</f>
        <v>0</v>
      </c>
      <c r="L80" s="81">
        <f ca="1">IFERROR(__xludf.DUMMYFUNCTION("""COMPUTED_VALUE"""),0)</f>
        <v>0</v>
      </c>
      <c r="M80" s="81"/>
      <c r="N80" s="81">
        <f ca="1">IFERROR(__xludf.DUMMYFUNCTION("""COMPUTED_VALUE"""),0)</f>
        <v>0</v>
      </c>
      <c r="O80" s="81"/>
      <c r="P80" s="81">
        <f ca="1">IFERROR(__xludf.DUMMYFUNCTION("""COMPUTED_VALUE"""),0)</f>
        <v>0</v>
      </c>
      <c r="Q80" s="81"/>
      <c r="R80" s="81">
        <f ca="1">IFERROR(__xludf.DUMMYFUNCTION("""COMPUTED_VALUE"""),0)</f>
        <v>0</v>
      </c>
      <c r="S80" s="81"/>
      <c r="T80" s="81"/>
      <c r="U80" s="82"/>
      <c r="V80" s="82"/>
      <c r="W80" s="83"/>
      <c r="X80" s="83"/>
      <c r="Y80" s="83"/>
    </row>
    <row r="81" spans="1:25" ht="13.8">
      <c r="A81" s="78" t="str">
        <f ca="1">IFERROR(__xludf.DUMMYFUNCTION("""COMPUTED_VALUE"""),"CB")</f>
        <v>CB</v>
      </c>
      <c r="B81" s="79" t="str">
        <f ca="1">IFERROR(__xludf.DUMMYFUNCTION("""COMPUTED_VALUE"""),"Jack Zecher")</f>
        <v>Jack Zecher</v>
      </c>
      <c r="C81" s="78">
        <f ca="1">IFERROR(__xludf.DUMMYFUNCTION("""COMPUTED_VALUE"""),7)</f>
        <v>7</v>
      </c>
      <c r="D81" s="78" t="str">
        <f ca="1">IFERROR(__xludf.DUMMYFUNCTION("""COMPUTED_VALUE"""),"b")</f>
        <v>b</v>
      </c>
      <c r="E81" s="80" t="str">
        <f ca="1">IFERROR(__xludf.DUMMYFUNCTION("""COMPUTED_VALUE"""),"F")</f>
        <v>F</v>
      </c>
      <c r="F81" s="80" t="str">
        <f ca="1">IFERROR(__xludf.DUMMYFUNCTION("""COMPUTED_VALUE"""),"J")</f>
        <v>J</v>
      </c>
      <c r="G81" s="80">
        <f ca="1">IFERROR(__xludf.DUMMYFUNCTION("""COMPUTED_VALUE"""),4)</f>
        <v>4</v>
      </c>
      <c r="H81" s="80" t="str">
        <f ca="1">IFERROR(__xludf.DUMMYFUNCTION("""COMPUTED_VALUE"""),"CB")</f>
        <v>CB</v>
      </c>
      <c r="I81" s="80">
        <f ca="1">IFERROR(__xludf.DUMMYFUNCTION("""COMPUTED_VALUE"""),3)</f>
        <v>3</v>
      </c>
      <c r="J81" s="81">
        <f ca="1">IFERROR(__xludf.DUMMYFUNCTION("""COMPUTED_VALUE"""),2)</f>
        <v>2</v>
      </c>
      <c r="K81" s="81">
        <f ca="1">IFERROR(__xludf.DUMMYFUNCTION("""COMPUTED_VALUE"""),51.1)</f>
        <v>51.1</v>
      </c>
      <c r="L81" s="81">
        <f ca="1">IFERROR(__xludf.DUMMYFUNCTION("""COMPUTED_VALUE"""),0)</f>
        <v>0</v>
      </c>
      <c r="M81" s="81"/>
      <c r="N81" s="81">
        <f ca="1">IFERROR(__xludf.DUMMYFUNCTION("""COMPUTED_VALUE"""),0)</f>
        <v>0</v>
      </c>
      <c r="O81" s="81"/>
      <c r="P81" s="81">
        <f ca="1">IFERROR(__xludf.DUMMYFUNCTION("""COMPUTED_VALUE"""),51.1)</f>
        <v>51.1</v>
      </c>
      <c r="Q81" s="81"/>
      <c r="R81" s="81">
        <f ca="1">IFERROR(__xludf.DUMMYFUNCTION("""COMPUTED_VALUE"""),44.55)</f>
        <v>44.55</v>
      </c>
      <c r="S81" s="81"/>
      <c r="T81" s="81"/>
      <c r="U81" s="82"/>
      <c r="V81" s="82"/>
      <c r="W81" s="83"/>
      <c r="X81" s="83"/>
      <c r="Y81" s="83"/>
    </row>
    <row r="82" spans="1:25" ht="13.8">
      <c r="A82" s="78" t="str">
        <f ca="1">IFERROR(__xludf.DUMMYFUNCTION("""COMPUTED_VALUE"""),"CB")</f>
        <v>CB</v>
      </c>
      <c r="B82" s="79" t="str">
        <f ca="1">IFERROR(__xludf.DUMMYFUNCTION("""COMPUTED_VALUE"""),"Charlotte Gaskins")</f>
        <v>Charlotte Gaskins</v>
      </c>
      <c r="C82" s="78">
        <f ca="1">IFERROR(__xludf.DUMMYFUNCTION("""COMPUTED_VALUE"""),11)</f>
        <v>11</v>
      </c>
      <c r="D82" s="78" t="str">
        <f ca="1">IFERROR(__xludf.DUMMYFUNCTION("""COMPUTED_VALUE"""),"G")</f>
        <v>G</v>
      </c>
      <c r="E82" s="80" t="str">
        <f ca="1">IFERROR(__xludf.DUMMYFUNCTION("""COMPUTED_VALUE"""),"J")</f>
        <v>J</v>
      </c>
      <c r="F82" s="80" t="str">
        <f ca="1">IFERROR(__xludf.DUMMYFUNCTION("""COMPUTED_VALUE"""),"I")</f>
        <v>I</v>
      </c>
      <c r="G82" s="80">
        <f ca="1">IFERROR(__xludf.DUMMYFUNCTION("""COMPUTED_VALUE"""),4)</f>
        <v>4</v>
      </c>
      <c r="H82" s="80" t="str">
        <f ca="1">IFERROR(__xludf.DUMMYFUNCTION("""COMPUTED_VALUE"""),"CB")</f>
        <v>CB</v>
      </c>
      <c r="I82" s="80">
        <f ca="1">IFERROR(__xludf.DUMMYFUNCTION("""COMPUTED_VALUE"""),4)</f>
        <v>4</v>
      </c>
      <c r="J82" s="81">
        <f ca="1">IFERROR(__xludf.DUMMYFUNCTION("""COMPUTED_VALUE"""),0)</f>
        <v>0</v>
      </c>
      <c r="K82" s="81">
        <f ca="1">IFERROR(__xludf.DUMMYFUNCTION("""COMPUTED_VALUE"""),0)</f>
        <v>0</v>
      </c>
      <c r="L82" s="81">
        <f ca="1">IFERROR(__xludf.DUMMYFUNCTION("""COMPUTED_VALUE"""),0)</f>
        <v>0</v>
      </c>
      <c r="M82" s="81"/>
      <c r="N82" s="81">
        <f ca="1">IFERROR(__xludf.DUMMYFUNCTION("""COMPUTED_VALUE"""),0)</f>
        <v>0</v>
      </c>
      <c r="O82" s="81"/>
      <c r="P82" s="81">
        <f ca="1">IFERROR(__xludf.DUMMYFUNCTION("""COMPUTED_VALUE"""),0)</f>
        <v>0</v>
      </c>
      <c r="Q82" s="81"/>
      <c r="R82" s="81">
        <f ca="1">IFERROR(__xludf.DUMMYFUNCTION("""COMPUTED_VALUE"""),0)</f>
        <v>0</v>
      </c>
      <c r="S82" s="81"/>
      <c r="T82" s="81"/>
      <c r="U82" s="82"/>
      <c r="V82" s="82"/>
      <c r="W82" s="83"/>
      <c r="X82" s="83"/>
      <c r="Y82" s="83"/>
    </row>
    <row r="83" spans="1:25" ht="13.8">
      <c r="A83" s="78" t="str">
        <f ca="1">IFERROR(__xludf.DUMMYFUNCTION("""COMPUTED_VALUE"""),"CB")</f>
        <v>CB</v>
      </c>
      <c r="B83" s="79" t="str">
        <f ca="1">IFERROR(__xludf.DUMMYFUNCTION("""COMPUTED_VALUE"""),"Julia Hassi")</f>
        <v>Julia Hassi</v>
      </c>
      <c r="C83" s="78">
        <f ca="1">IFERROR(__xludf.DUMMYFUNCTION("""COMPUTED_VALUE"""),11)</f>
        <v>11</v>
      </c>
      <c r="D83" s="78" t="str">
        <f ca="1">IFERROR(__xludf.DUMMYFUNCTION("""COMPUTED_VALUE"""),"G")</f>
        <v>G</v>
      </c>
      <c r="E83" s="80" t="str">
        <f ca="1">IFERROR(__xludf.DUMMYFUNCTION("""COMPUTED_VALUE"""),"J")</f>
        <v>J</v>
      </c>
      <c r="F83" s="80" t="str">
        <f ca="1">IFERROR(__xludf.DUMMYFUNCTION("""COMPUTED_VALUE"""),"I")</f>
        <v>I</v>
      </c>
      <c r="G83" s="80">
        <f ca="1">IFERROR(__xludf.DUMMYFUNCTION("""COMPUTED_VALUE"""),4)</f>
        <v>4</v>
      </c>
      <c r="H83" s="80" t="str">
        <f ca="1">IFERROR(__xludf.DUMMYFUNCTION("""COMPUTED_VALUE"""),"CB")</f>
        <v>CB</v>
      </c>
      <c r="I83" s="80">
        <f ca="1">IFERROR(__xludf.DUMMYFUNCTION("""COMPUTED_VALUE"""),4)</f>
        <v>4</v>
      </c>
      <c r="J83" s="81">
        <f ca="1">IFERROR(__xludf.DUMMYFUNCTION("""COMPUTED_VALUE"""),0)</f>
        <v>0</v>
      </c>
      <c r="K83" s="81">
        <f ca="1">IFERROR(__xludf.DUMMYFUNCTION("""COMPUTED_VALUE"""),0)</f>
        <v>0</v>
      </c>
      <c r="L83" s="81">
        <f ca="1">IFERROR(__xludf.DUMMYFUNCTION("""COMPUTED_VALUE"""),0)</f>
        <v>0</v>
      </c>
      <c r="M83" s="81"/>
      <c r="N83" s="81">
        <f ca="1">IFERROR(__xludf.DUMMYFUNCTION("""COMPUTED_VALUE"""),0)</f>
        <v>0</v>
      </c>
      <c r="O83" s="81"/>
      <c r="P83" s="81">
        <f ca="1">IFERROR(__xludf.DUMMYFUNCTION("""COMPUTED_VALUE"""),0)</f>
        <v>0</v>
      </c>
      <c r="Q83" s="81"/>
      <c r="R83" s="81">
        <f ca="1">IFERROR(__xludf.DUMMYFUNCTION("""COMPUTED_VALUE"""),0)</f>
        <v>0</v>
      </c>
      <c r="S83" s="81"/>
      <c r="T83" s="81"/>
      <c r="U83" s="82"/>
      <c r="V83" s="82"/>
      <c r="W83" s="83"/>
      <c r="X83" s="83"/>
      <c r="Y83" s="83"/>
    </row>
    <row r="84" spans="1:25" ht="13.8">
      <c r="A84" s="78" t="str">
        <f ca="1">IFERROR(__xludf.DUMMYFUNCTION("""COMPUTED_VALUE"""),"CB")</f>
        <v>CB</v>
      </c>
      <c r="B84" s="79" t="str">
        <f ca="1">IFERROR(__xludf.DUMMYFUNCTION("""COMPUTED_VALUE"""),"Susannah Holt")</f>
        <v>Susannah Holt</v>
      </c>
      <c r="C84" s="78">
        <f ca="1">IFERROR(__xludf.DUMMYFUNCTION("""COMPUTED_VALUE"""),11)</f>
        <v>11</v>
      </c>
      <c r="D84" s="78" t="str">
        <f ca="1">IFERROR(__xludf.DUMMYFUNCTION("""COMPUTED_VALUE"""),"G")</f>
        <v>G</v>
      </c>
      <c r="E84" s="80" t="str">
        <f ca="1">IFERROR(__xludf.DUMMYFUNCTION("""COMPUTED_VALUE"""),"J")</f>
        <v>J</v>
      </c>
      <c r="F84" s="80" t="str">
        <f ca="1">IFERROR(__xludf.DUMMYFUNCTION("""COMPUTED_VALUE"""),"I")</f>
        <v>I</v>
      </c>
      <c r="G84" s="80">
        <f ca="1">IFERROR(__xludf.DUMMYFUNCTION("""COMPUTED_VALUE"""),4)</f>
        <v>4</v>
      </c>
      <c r="H84" s="80" t="str">
        <f ca="1">IFERROR(__xludf.DUMMYFUNCTION("""COMPUTED_VALUE"""),"CB")</f>
        <v>CB</v>
      </c>
      <c r="I84" s="80">
        <f ca="1">IFERROR(__xludf.DUMMYFUNCTION("""COMPUTED_VALUE"""),4)</f>
        <v>4</v>
      </c>
      <c r="J84" s="81">
        <f ca="1">IFERROR(__xludf.DUMMYFUNCTION("""COMPUTED_VALUE"""),0)</f>
        <v>0</v>
      </c>
      <c r="K84" s="81">
        <f ca="1">IFERROR(__xludf.DUMMYFUNCTION("""COMPUTED_VALUE"""),0)</f>
        <v>0</v>
      </c>
      <c r="L84" s="81">
        <f ca="1">IFERROR(__xludf.DUMMYFUNCTION("""COMPUTED_VALUE"""),0)</f>
        <v>0</v>
      </c>
      <c r="M84" s="81"/>
      <c r="N84" s="81">
        <f ca="1">IFERROR(__xludf.DUMMYFUNCTION("""COMPUTED_VALUE"""),0)</f>
        <v>0</v>
      </c>
      <c r="O84" s="81"/>
      <c r="P84" s="81">
        <f ca="1">IFERROR(__xludf.DUMMYFUNCTION("""COMPUTED_VALUE"""),0)</f>
        <v>0</v>
      </c>
      <c r="Q84" s="81"/>
      <c r="R84" s="81">
        <f ca="1">IFERROR(__xludf.DUMMYFUNCTION("""COMPUTED_VALUE"""),0)</f>
        <v>0</v>
      </c>
      <c r="S84" s="81"/>
      <c r="T84" s="81"/>
      <c r="U84" s="82"/>
      <c r="V84" s="82"/>
      <c r="W84" s="83"/>
      <c r="X84" s="83"/>
      <c r="Y84" s="83"/>
    </row>
    <row r="85" spans="1:25" ht="13.8">
      <c r="A85" s="78" t="str">
        <f ca="1">IFERROR(__xludf.DUMMYFUNCTION("""COMPUTED_VALUE"""),"CB")</f>
        <v>CB</v>
      </c>
      <c r="B85" s="79" t="str">
        <f ca="1">IFERROR(__xludf.DUMMYFUNCTION("""COMPUTED_VALUE"""),"Elise Lucien")</f>
        <v>Elise Lucien</v>
      </c>
      <c r="C85" s="78">
        <f ca="1">IFERROR(__xludf.DUMMYFUNCTION("""COMPUTED_VALUE"""),12)</f>
        <v>12</v>
      </c>
      <c r="D85" s="78" t="str">
        <f ca="1">IFERROR(__xludf.DUMMYFUNCTION("""COMPUTED_VALUE"""),"G")</f>
        <v>G</v>
      </c>
      <c r="E85" s="80" t="str">
        <f ca="1">IFERROR(__xludf.DUMMYFUNCTION("""COMPUTED_VALUE"""),"J")</f>
        <v>J</v>
      </c>
      <c r="F85" s="80" t="str">
        <f ca="1">IFERROR(__xludf.DUMMYFUNCTION("""COMPUTED_VALUE"""),"I")</f>
        <v>I</v>
      </c>
      <c r="G85" s="80">
        <f ca="1">IFERROR(__xludf.DUMMYFUNCTION("""COMPUTED_VALUE"""),4)</f>
        <v>4</v>
      </c>
      <c r="H85" s="80" t="str">
        <f ca="1">IFERROR(__xludf.DUMMYFUNCTION("""COMPUTED_VALUE"""),"CB")</f>
        <v>CB</v>
      </c>
      <c r="I85" s="80">
        <f ca="1">IFERROR(__xludf.DUMMYFUNCTION("""COMPUTED_VALUE"""),4)</f>
        <v>4</v>
      </c>
      <c r="J85" s="81">
        <f ca="1">IFERROR(__xludf.DUMMYFUNCTION("""COMPUTED_VALUE"""),2)</f>
        <v>2</v>
      </c>
      <c r="K85" s="81">
        <f ca="1">IFERROR(__xludf.DUMMYFUNCTION("""COMPUTED_VALUE"""),121.15)</f>
        <v>121.15</v>
      </c>
      <c r="L85" s="81">
        <f ca="1">IFERROR(__xludf.DUMMYFUNCTION("""COMPUTED_VALUE"""),98.85)</f>
        <v>98.85</v>
      </c>
      <c r="M85" s="81"/>
      <c r="N85" s="81">
        <f ca="1">IFERROR(__xludf.DUMMYFUNCTION("""COMPUTED_VALUE"""),0)</f>
        <v>0</v>
      </c>
      <c r="O85" s="81"/>
      <c r="P85" s="81">
        <f ca="1">IFERROR(__xludf.DUMMYFUNCTION("""COMPUTED_VALUE"""),121.15)</f>
        <v>121.15</v>
      </c>
      <c r="Q85" s="81"/>
      <c r="R85" s="81">
        <f ca="1">IFERROR(__xludf.DUMMYFUNCTION("""COMPUTED_VALUE"""),0)</f>
        <v>0</v>
      </c>
      <c r="S85" s="81"/>
      <c r="T85" s="81"/>
      <c r="U85" s="82"/>
      <c r="V85" s="82"/>
      <c r="W85" s="83"/>
      <c r="X85" s="83"/>
      <c r="Y85" s="83"/>
    </row>
    <row r="86" spans="1:25" ht="13.8">
      <c r="A86" s="78" t="str">
        <f ca="1">IFERROR(__xludf.DUMMYFUNCTION("""COMPUTED_VALUE"""),"CB")</f>
        <v>CB</v>
      </c>
      <c r="B86" s="79" t="str">
        <f ca="1">IFERROR(__xludf.DUMMYFUNCTION("""COMPUTED_VALUE"""),"Alexa Noreika")</f>
        <v>Alexa Noreika</v>
      </c>
      <c r="C86" s="78">
        <f ca="1">IFERROR(__xludf.DUMMYFUNCTION("""COMPUTED_VALUE"""),11)</f>
        <v>11</v>
      </c>
      <c r="D86" s="78" t="str">
        <f ca="1">IFERROR(__xludf.DUMMYFUNCTION("""COMPUTED_VALUE"""),"G")</f>
        <v>G</v>
      </c>
      <c r="E86" s="80" t="str">
        <f ca="1">IFERROR(__xludf.DUMMYFUNCTION("""COMPUTED_VALUE"""),"J")</f>
        <v>J</v>
      </c>
      <c r="F86" s="80" t="str">
        <f ca="1">IFERROR(__xludf.DUMMYFUNCTION("""COMPUTED_VALUE"""),"I")</f>
        <v>I</v>
      </c>
      <c r="G86" s="80">
        <f ca="1">IFERROR(__xludf.DUMMYFUNCTION("""COMPUTED_VALUE"""),4)</f>
        <v>4</v>
      </c>
      <c r="H86" s="80" t="str">
        <f ca="1">IFERROR(__xludf.DUMMYFUNCTION("""COMPUTED_VALUE"""),"CB")</f>
        <v>CB</v>
      </c>
      <c r="I86" s="80">
        <f ca="1">IFERROR(__xludf.DUMMYFUNCTION("""COMPUTED_VALUE"""),4)</f>
        <v>4</v>
      </c>
      <c r="J86" s="81">
        <f ca="1">IFERROR(__xludf.DUMMYFUNCTION("""COMPUTED_VALUE"""),0)</f>
        <v>0</v>
      </c>
      <c r="K86" s="81">
        <f ca="1">IFERROR(__xludf.DUMMYFUNCTION("""COMPUTED_VALUE"""),0)</f>
        <v>0</v>
      </c>
      <c r="L86" s="81">
        <f ca="1">IFERROR(__xludf.DUMMYFUNCTION("""COMPUTED_VALUE"""),0)</f>
        <v>0</v>
      </c>
      <c r="M86" s="81"/>
      <c r="N86" s="81">
        <f ca="1">IFERROR(__xludf.DUMMYFUNCTION("""COMPUTED_VALUE"""),0)</f>
        <v>0</v>
      </c>
      <c r="O86" s="81"/>
      <c r="P86" s="81">
        <f ca="1">IFERROR(__xludf.DUMMYFUNCTION("""COMPUTED_VALUE"""),0)</f>
        <v>0</v>
      </c>
      <c r="Q86" s="81"/>
      <c r="R86" s="81">
        <f ca="1">IFERROR(__xludf.DUMMYFUNCTION("""COMPUTED_VALUE"""),0)</f>
        <v>0</v>
      </c>
      <c r="S86" s="81"/>
      <c r="T86" s="81"/>
      <c r="U86" s="82"/>
      <c r="V86" s="82"/>
      <c r="W86" s="83"/>
      <c r="X86" s="83"/>
      <c r="Y86" s="83"/>
    </row>
    <row r="87" spans="1:25" ht="13.8">
      <c r="A87" s="78" t="str">
        <f ca="1">IFERROR(__xludf.DUMMYFUNCTION("""COMPUTED_VALUE"""),"CB")</f>
        <v>CB</v>
      </c>
      <c r="B87" s="79" t="str">
        <f ca="1">IFERROR(__xludf.DUMMYFUNCTION("""COMPUTED_VALUE"""),"Erika Noreika")</f>
        <v>Erika Noreika</v>
      </c>
      <c r="C87" s="78">
        <f ca="1">IFERROR(__xludf.DUMMYFUNCTION("""COMPUTED_VALUE"""),11)</f>
        <v>11</v>
      </c>
      <c r="D87" s="78" t="str">
        <f ca="1">IFERROR(__xludf.DUMMYFUNCTION("""COMPUTED_VALUE"""),"G")</f>
        <v>G</v>
      </c>
      <c r="E87" s="80" t="str">
        <f ca="1">IFERROR(__xludf.DUMMYFUNCTION("""COMPUTED_VALUE"""),"J")</f>
        <v>J</v>
      </c>
      <c r="F87" s="80" t="str">
        <f ca="1">IFERROR(__xludf.DUMMYFUNCTION("""COMPUTED_VALUE"""),"I")</f>
        <v>I</v>
      </c>
      <c r="G87" s="80">
        <f ca="1">IFERROR(__xludf.DUMMYFUNCTION("""COMPUTED_VALUE"""),4)</f>
        <v>4</v>
      </c>
      <c r="H87" s="80" t="str">
        <f ca="1">IFERROR(__xludf.DUMMYFUNCTION("""COMPUTED_VALUE"""),"CB")</f>
        <v>CB</v>
      </c>
      <c r="I87" s="80">
        <f ca="1">IFERROR(__xludf.DUMMYFUNCTION("""COMPUTED_VALUE"""),4)</f>
        <v>4</v>
      </c>
      <c r="J87" s="81">
        <f ca="1">IFERROR(__xludf.DUMMYFUNCTION("""COMPUTED_VALUE"""),3)</f>
        <v>3</v>
      </c>
      <c r="K87" s="81">
        <f ca="1">IFERROR(__xludf.DUMMYFUNCTION("""COMPUTED_VALUE"""),89.15)</f>
        <v>89.15</v>
      </c>
      <c r="L87" s="81">
        <f ca="1">IFERROR(__xludf.DUMMYFUNCTION("""COMPUTED_VALUE"""),0)</f>
        <v>0</v>
      </c>
      <c r="M87" s="81"/>
      <c r="N87" s="81">
        <f ca="1">IFERROR(__xludf.DUMMYFUNCTION("""COMPUTED_VALUE"""),0)</f>
        <v>0</v>
      </c>
      <c r="O87" s="81"/>
      <c r="P87" s="81">
        <f ca="1">IFERROR(__xludf.DUMMYFUNCTION("""COMPUTED_VALUE"""),89.15)</f>
        <v>89.15</v>
      </c>
      <c r="Q87" s="81"/>
      <c r="R87" s="81">
        <f ca="1">IFERROR(__xludf.DUMMYFUNCTION("""COMPUTED_VALUE"""),76.4)</f>
        <v>76.400000000000006</v>
      </c>
      <c r="S87" s="81"/>
      <c r="T87" s="81"/>
      <c r="U87" s="82"/>
      <c r="V87" s="82"/>
      <c r="W87" s="83"/>
      <c r="X87" s="83"/>
      <c r="Y87" s="83"/>
    </row>
    <row r="88" spans="1:25" ht="13.8">
      <c r="A88" s="78" t="str">
        <f ca="1">IFERROR(__xludf.DUMMYFUNCTION("""COMPUTED_VALUE"""),"CB")</f>
        <v>CB</v>
      </c>
      <c r="B88" s="79" t="str">
        <f ca="1">IFERROR(__xludf.DUMMYFUNCTION("""COMPUTED_VALUE"""),"Sophie Noreika")</f>
        <v>Sophie Noreika</v>
      </c>
      <c r="C88" s="78">
        <f ca="1">IFERROR(__xludf.DUMMYFUNCTION("""COMPUTED_VALUE"""),11)</f>
        <v>11</v>
      </c>
      <c r="D88" s="78" t="str">
        <f ca="1">IFERROR(__xludf.DUMMYFUNCTION("""COMPUTED_VALUE"""),"G")</f>
        <v>G</v>
      </c>
      <c r="E88" s="80" t="str">
        <f ca="1">IFERROR(__xludf.DUMMYFUNCTION("""COMPUTED_VALUE"""),"J")</f>
        <v>J</v>
      </c>
      <c r="F88" s="80" t="str">
        <f ca="1">IFERROR(__xludf.DUMMYFUNCTION("""COMPUTED_VALUE"""),"I")</f>
        <v>I</v>
      </c>
      <c r="G88" s="80">
        <f ca="1">IFERROR(__xludf.DUMMYFUNCTION("""COMPUTED_VALUE"""),4)</f>
        <v>4</v>
      </c>
      <c r="H88" s="80" t="str">
        <f ca="1">IFERROR(__xludf.DUMMYFUNCTION("""COMPUTED_VALUE"""),"CB")</f>
        <v>CB</v>
      </c>
      <c r="I88" s="80">
        <f ca="1">IFERROR(__xludf.DUMMYFUNCTION("""COMPUTED_VALUE"""),4)</f>
        <v>4</v>
      </c>
      <c r="J88" s="81">
        <f ca="1">IFERROR(__xludf.DUMMYFUNCTION("""COMPUTED_VALUE"""),0)</f>
        <v>0</v>
      </c>
      <c r="K88" s="81">
        <f ca="1">IFERROR(__xludf.DUMMYFUNCTION("""COMPUTED_VALUE"""),0)</f>
        <v>0</v>
      </c>
      <c r="L88" s="81">
        <f ca="1">IFERROR(__xludf.DUMMYFUNCTION("""COMPUTED_VALUE"""),0)</f>
        <v>0</v>
      </c>
      <c r="M88" s="81"/>
      <c r="N88" s="81">
        <f ca="1">IFERROR(__xludf.DUMMYFUNCTION("""COMPUTED_VALUE"""),0)</f>
        <v>0</v>
      </c>
      <c r="O88" s="81"/>
      <c r="P88" s="81">
        <f ca="1">IFERROR(__xludf.DUMMYFUNCTION("""COMPUTED_VALUE"""),0)</f>
        <v>0</v>
      </c>
      <c r="Q88" s="81"/>
      <c r="R88" s="81">
        <f ca="1">IFERROR(__xludf.DUMMYFUNCTION("""COMPUTED_VALUE"""),0)</f>
        <v>0</v>
      </c>
      <c r="S88" s="81"/>
      <c r="T88" s="81"/>
      <c r="U88" s="82"/>
      <c r="V88" s="82"/>
      <c r="W88" s="83"/>
      <c r="X88" s="83"/>
      <c r="Y88" s="83"/>
    </row>
    <row r="89" spans="1:25" ht="13.8">
      <c r="A89" s="78" t="str">
        <f ca="1">IFERROR(__xludf.DUMMYFUNCTION("""COMPUTED_VALUE"""),"CB")</f>
        <v>CB</v>
      </c>
      <c r="B89" s="79" t="str">
        <f ca="1">IFERROR(__xludf.DUMMYFUNCTION("""COMPUTED_VALUE"""),"Anah Pho")</f>
        <v>Anah Pho</v>
      </c>
      <c r="C89" s="78">
        <f ca="1">IFERROR(__xludf.DUMMYFUNCTION("""COMPUTED_VALUE"""),12)</f>
        <v>12</v>
      </c>
      <c r="D89" s="78" t="str">
        <f ca="1">IFERROR(__xludf.DUMMYFUNCTION("""COMPUTED_VALUE"""),"G")</f>
        <v>G</v>
      </c>
      <c r="E89" s="80" t="str">
        <f ca="1">IFERROR(__xludf.DUMMYFUNCTION("""COMPUTED_VALUE"""),"J")</f>
        <v>J</v>
      </c>
      <c r="F89" s="80" t="str">
        <f ca="1">IFERROR(__xludf.DUMMYFUNCTION("""COMPUTED_VALUE"""),"I")</f>
        <v>I</v>
      </c>
      <c r="G89" s="80">
        <f ca="1">IFERROR(__xludf.DUMMYFUNCTION("""COMPUTED_VALUE"""),4)</f>
        <v>4</v>
      </c>
      <c r="H89" s="80" t="str">
        <f ca="1">IFERROR(__xludf.DUMMYFUNCTION("""COMPUTED_VALUE"""),"CB")</f>
        <v>CB</v>
      </c>
      <c r="I89" s="80">
        <f ca="1">IFERROR(__xludf.DUMMYFUNCTION("""COMPUTED_VALUE"""),4)</f>
        <v>4</v>
      </c>
      <c r="J89" s="81">
        <f ca="1">IFERROR(__xludf.DUMMYFUNCTION("""COMPUTED_VALUE"""),0)</f>
        <v>0</v>
      </c>
      <c r="K89" s="81">
        <f ca="1">IFERROR(__xludf.DUMMYFUNCTION("""COMPUTED_VALUE"""),0)</f>
        <v>0</v>
      </c>
      <c r="L89" s="81">
        <f ca="1">IFERROR(__xludf.DUMMYFUNCTION("""COMPUTED_VALUE"""),0)</f>
        <v>0</v>
      </c>
      <c r="M89" s="81"/>
      <c r="N89" s="81">
        <f ca="1">IFERROR(__xludf.DUMMYFUNCTION("""COMPUTED_VALUE"""),0)</f>
        <v>0</v>
      </c>
      <c r="O89" s="81"/>
      <c r="P89" s="81">
        <f ca="1">IFERROR(__xludf.DUMMYFUNCTION("""COMPUTED_VALUE"""),0)</f>
        <v>0</v>
      </c>
      <c r="Q89" s="81"/>
      <c r="R89" s="81">
        <f ca="1">IFERROR(__xludf.DUMMYFUNCTION("""COMPUTED_VALUE"""),0)</f>
        <v>0</v>
      </c>
      <c r="S89" s="81"/>
      <c r="T89" s="81"/>
      <c r="U89" s="82"/>
      <c r="V89" s="82"/>
      <c r="W89" s="83"/>
      <c r="X89" s="83"/>
      <c r="Y89" s="83"/>
    </row>
    <row r="90" spans="1:25" ht="13.8">
      <c r="A90" s="78" t="str">
        <f ca="1">IFERROR(__xludf.DUMMYFUNCTION("""COMPUTED_VALUE"""),"CB")</f>
        <v>CB</v>
      </c>
      <c r="B90" s="79" t="str">
        <f ca="1">IFERROR(__xludf.DUMMYFUNCTION("""COMPUTED_VALUE"""),"Abigail Sweeney")</f>
        <v>Abigail Sweeney</v>
      </c>
      <c r="C90" s="78">
        <f ca="1">IFERROR(__xludf.DUMMYFUNCTION("""COMPUTED_VALUE"""),11)</f>
        <v>11</v>
      </c>
      <c r="D90" s="78" t="str">
        <f ca="1">IFERROR(__xludf.DUMMYFUNCTION("""COMPUTED_VALUE"""),"G")</f>
        <v>G</v>
      </c>
      <c r="E90" s="80" t="str">
        <f ca="1">IFERROR(__xludf.DUMMYFUNCTION("""COMPUTED_VALUE"""),"J")</f>
        <v>J</v>
      </c>
      <c r="F90" s="80" t="str">
        <f ca="1">IFERROR(__xludf.DUMMYFUNCTION("""COMPUTED_VALUE"""),"I")</f>
        <v>I</v>
      </c>
      <c r="G90" s="80">
        <f ca="1">IFERROR(__xludf.DUMMYFUNCTION("""COMPUTED_VALUE"""),4)</f>
        <v>4</v>
      </c>
      <c r="H90" s="80" t="str">
        <f ca="1">IFERROR(__xludf.DUMMYFUNCTION("""COMPUTED_VALUE"""),"CB")</f>
        <v>CB</v>
      </c>
      <c r="I90" s="80">
        <f ca="1">IFERROR(__xludf.DUMMYFUNCTION("""COMPUTED_VALUE"""),4)</f>
        <v>4</v>
      </c>
      <c r="J90" s="81">
        <f ca="1">IFERROR(__xludf.DUMMYFUNCTION("""COMPUTED_VALUE"""),0)</f>
        <v>0</v>
      </c>
      <c r="K90" s="81">
        <f ca="1">IFERROR(__xludf.DUMMYFUNCTION("""COMPUTED_VALUE"""),0)</f>
        <v>0</v>
      </c>
      <c r="L90" s="81">
        <f ca="1">IFERROR(__xludf.DUMMYFUNCTION("""COMPUTED_VALUE"""),0)</f>
        <v>0</v>
      </c>
      <c r="M90" s="81"/>
      <c r="N90" s="81">
        <f ca="1">IFERROR(__xludf.DUMMYFUNCTION("""COMPUTED_VALUE"""),0)</f>
        <v>0</v>
      </c>
      <c r="O90" s="81"/>
      <c r="P90" s="81">
        <f ca="1">IFERROR(__xludf.DUMMYFUNCTION("""COMPUTED_VALUE"""),0)</f>
        <v>0</v>
      </c>
      <c r="Q90" s="81"/>
      <c r="R90" s="81">
        <f ca="1">IFERROR(__xludf.DUMMYFUNCTION("""COMPUTED_VALUE"""),0)</f>
        <v>0</v>
      </c>
      <c r="S90" s="81"/>
      <c r="T90" s="81"/>
      <c r="U90" s="82"/>
      <c r="V90" s="82"/>
      <c r="W90" s="83"/>
      <c r="X90" s="83"/>
      <c r="Y90" s="83"/>
    </row>
    <row r="91" spans="1:25" ht="13.8">
      <c r="A91" s="78" t="str">
        <f ca="1">IFERROR(__xludf.DUMMYFUNCTION("""COMPUTED_VALUE"""),"CB")</f>
        <v>CB</v>
      </c>
      <c r="B91" s="79" t="str">
        <f ca="1">IFERROR(__xludf.DUMMYFUNCTION("""COMPUTED_VALUE"""),"Jordan Willmore")</f>
        <v>Jordan Willmore</v>
      </c>
      <c r="C91" s="78">
        <f ca="1">IFERROR(__xludf.DUMMYFUNCTION("""COMPUTED_VALUE"""),11)</f>
        <v>11</v>
      </c>
      <c r="D91" s="78" t="str">
        <f ca="1">IFERROR(__xludf.DUMMYFUNCTION("""COMPUTED_VALUE"""),"G")</f>
        <v>G</v>
      </c>
      <c r="E91" s="80" t="str">
        <f ca="1">IFERROR(__xludf.DUMMYFUNCTION("""COMPUTED_VALUE"""),"J")</f>
        <v>J</v>
      </c>
      <c r="F91" s="80" t="str">
        <f ca="1">IFERROR(__xludf.DUMMYFUNCTION("""COMPUTED_VALUE"""),"I")</f>
        <v>I</v>
      </c>
      <c r="G91" s="80">
        <f ca="1">IFERROR(__xludf.DUMMYFUNCTION("""COMPUTED_VALUE"""),4)</f>
        <v>4</v>
      </c>
      <c r="H91" s="80" t="str">
        <f ca="1">IFERROR(__xludf.DUMMYFUNCTION("""COMPUTED_VALUE"""),"CB")</f>
        <v>CB</v>
      </c>
      <c r="I91" s="80">
        <f ca="1">IFERROR(__xludf.DUMMYFUNCTION("""COMPUTED_VALUE"""),4)</f>
        <v>4</v>
      </c>
      <c r="J91" s="81">
        <f ca="1">IFERROR(__xludf.DUMMYFUNCTION("""COMPUTED_VALUE"""),0)</f>
        <v>0</v>
      </c>
      <c r="K91" s="81">
        <f ca="1">IFERROR(__xludf.DUMMYFUNCTION("""COMPUTED_VALUE"""),0)</f>
        <v>0</v>
      </c>
      <c r="L91" s="81">
        <f ca="1">IFERROR(__xludf.DUMMYFUNCTION("""COMPUTED_VALUE"""),0)</f>
        <v>0</v>
      </c>
      <c r="M91" s="81"/>
      <c r="N91" s="81">
        <f ca="1">IFERROR(__xludf.DUMMYFUNCTION("""COMPUTED_VALUE"""),0)</f>
        <v>0</v>
      </c>
      <c r="O91" s="81"/>
      <c r="P91" s="81">
        <f ca="1">IFERROR(__xludf.DUMMYFUNCTION("""COMPUTED_VALUE"""),0)</f>
        <v>0</v>
      </c>
      <c r="Q91" s="81"/>
      <c r="R91" s="81">
        <f ca="1">IFERROR(__xludf.DUMMYFUNCTION("""COMPUTED_VALUE"""),0)</f>
        <v>0</v>
      </c>
      <c r="S91" s="81"/>
      <c r="T91" s="81"/>
      <c r="U91" s="82"/>
      <c r="V91" s="82"/>
      <c r="W91" s="83"/>
      <c r="X91" s="83"/>
      <c r="Y91" s="83"/>
    </row>
    <row r="92" spans="1:25" ht="13.8">
      <c r="A92" s="78" t="str">
        <f ca="1">IFERROR(__xludf.DUMMYFUNCTION("""COMPUTED_VALUE"""),"CB")</f>
        <v>CB</v>
      </c>
      <c r="B92" s="79" t="str">
        <f ca="1">IFERROR(__xludf.DUMMYFUNCTION("""COMPUTED_VALUE"""),"Gordon Anderson")</f>
        <v>Gordon Anderson</v>
      </c>
      <c r="C92" s="78">
        <f ca="1">IFERROR(__xludf.DUMMYFUNCTION("""COMPUTED_VALUE"""),11)</f>
        <v>11</v>
      </c>
      <c r="D92" s="78" t="str">
        <f ca="1">IFERROR(__xludf.DUMMYFUNCTION("""COMPUTED_VALUE"""),"B")</f>
        <v>B</v>
      </c>
      <c r="E92" s="80" t="str">
        <f ca="1">IFERROR(__xludf.DUMMYFUNCTION("""COMPUTED_VALUE"""),"J")</f>
        <v>J</v>
      </c>
      <c r="F92" s="80" t="str">
        <f ca="1">IFERROR(__xludf.DUMMYFUNCTION("""COMPUTED_VALUE"""),"I")</f>
        <v>I</v>
      </c>
      <c r="G92" s="80">
        <f ca="1">IFERROR(__xludf.DUMMYFUNCTION("""COMPUTED_VALUE"""),4)</f>
        <v>4</v>
      </c>
      <c r="H92" s="80" t="str">
        <f ca="1">IFERROR(__xludf.DUMMYFUNCTION("""COMPUTED_VALUE"""),"CB")</f>
        <v>CB</v>
      </c>
      <c r="I92" s="80">
        <f ca="1">IFERROR(__xludf.DUMMYFUNCTION("""COMPUTED_VALUE"""),5)</f>
        <v>5</v>
      </c>
      <c r="J92" s="81">
        <f ca="1">IFERROR(__xludf.DUMMYFUNCTION("""COMPUTED_VALUE"""),5)</f>
        <v>5</v>
      </c>
      <c r="K92" s="81">
        <f ca="1">IFERROR(__xludf.DUMMYFUNCTION("""COMPUTED_VALUE"""),102.5)</f>
        <v>102.5</v>
      </c>
      <c r="L92" s="81">
        <f ca="1">IFERROR(__xludf.DUMMYFUNCTION("""COMPUTED_VALUE"""),82.15)</f>
        <v>82.15</v>
      </c>
      <c r="M92" s="81"/>
      <c r="N92" s="81">
        <f ca="1">IFERROR(__xludf.DUMMYFUNCTION("""COMPUTED_VALUE"""),83.8)</f>
        <v>83.8</v>
      </c>
      <c r="O92" s="81"/>
      <c r="P92" s="81">
        <f ca="1">IFERROR(__xludf.DUMMYFUNCTION("""COMPUTED_VALUE"""),102.5)</f>
        <v>102.5</v>
      </c>
      <c r="Q92" s="81"/>
      <c r="R92" s="81">
        <f ca="1">IFERROR(__xludf.DUMMYFUNCTION("""COMPUTED_VALUE"""),65.4)</f>
        <v>65.400000000000006</v>
      </c>
      <c r="S92" s="81"/>
      <c r="T92" s="81"/>
      <c r="U92" s="82"/>
      <c r="V92" s="82"/>
      <c r="W92" s="83"/>
      <c r="X92" s="83"/>
      <c r="Y92" s="83"/>
    </row>
    <row r="93" spans="1:25" ht="13.8">
      <c r="A93" s="78" t="str">
        <f ca="1">IFERROR(__xludf.DUMMYFUNCTION("""COMPUTED_VALUE"""),"CB")</f>
        <v>CB</v>
      </c>
      <c r="B93" s="79" t="str">
        <f ca="1">IFERROR(__xludf.DUMMYFUNCTION("""COMPUTED_VALUE"""),"Daniel Roques")</f>
        <v>Daniel Roques</v>
      </c>
      <c r="C93" s="78">
        <f ca="1">IFERROR(__xludf.DUMMYFUNCTION("""COMPUTED_VALUE"""),12)</f>
        <v>12</v>
      </c>
      <c r="D93" s="78" t="str">
        <f ca="1">IFERROR(__xludf.DUMMYFUNCTION("""COMPUTED_VALUE"""),"B")</f>
        <v>B</v>
      </c>
      <c r="E93" s="80" t="str">
        <f ca="1">IFERROR(__xludf.DUMMYFUNCTION("""COMPUTED_VALUE"""),"J")</f>
        <v>J</v>
      </c>
      <c r="F93" s="80" t="str">
        <f ca="1">IFERROR(__xludf.DUMMYFUNCTION("""COMPUTED_VALUE"""),"I")</f>
        <v>I</v>
      </c>
      <c r="G93" s="80">
        <f ca="1">IFERROR(__xludf.DUMMYFUNCTION("""COMPUTED_VALUE"""),4)</f>
        <v>4</v>
      </c>
      <c r="H93" s="80" t="str">
        <f ca="1">IFERROR(__xludf.DUMMYFUNCTION("""COMPUTED_VALUE"""),"CB")</f>
        <v>CB</v>
      </c>
      <c r="I93" s="80">
        <f ca="1">IFERROR(__xludf.DUMMYFUNCTION("""COMPUTED_VALUE"""),5)</f>
        <v>5</v>
      </c>
      <c r="J93" s="81">
        <f ca="1">IFERROR(__xludf.DUMMYFUNCTION("""COMPUTED_VALUE"""),0)</f>
        <v>0</v>
      </c>
      <c r="K93" s="81">
        <f ca="1">IFERROR(__xludf.DUMMYFUNCTION("""COMPUTED_VALUE"""),0)</f>
        <v>0</v>
      </c>
      <c r="L93" s="81">
        <f ca="1">IFERROR(__xludf.DUMMYFUNCTION("""COMPUTED_VALUE"""),0)</f>
        <v>0</v>
      </c>
      <c r="M93" s="81"/>
      <c r="N93" s="81">
        <f ca="1">IFERROR(__xludf.DUMMYFUNCTION("""COMPUTED_VALUE"""),0)</f>
        <v>0</v>
      </c>
      <c r="O93" s="81"/>
      <c r="P93" s="81">
        <f ca="1">IFERROR(__xludf.DUMMYFUNCTION("""COMPUTED_VALUE"""),0)</f>
        <v>0</v>
      </c>
      <c r="Q93" s="81"/>
      <c r="R93" s="81">
        <f ca="1">IFERROR(__xludf.DUMMYFUNCTION("""COMPUTED_VALUE"""),0)</f>
        <v>0</v>
      </c>
      <c r="S93" s="81"/>
      <c r="T93" s="81"/>
      <c r="U93" s="82"/>
      <c r="V93" s="82"/>
      <c r="W93" s="83"/>
      <c r="X93" s="83"/>
      <c r="Y93" s="83"/>
    </row>
    <row r="94" spans="1:25" ht="13.8">
      <c r="A94" s="78" t="str">
        <f ca="1">IFERROR(__xludf.DUMMYFUNCTION("""COMPUTED_VALUE"""),"CB")</f>
        <v>CB</v>
      </c>
      <c r="B94" s="79" t="str">
        <f ca="1">IFERROR(__xludf.DUMMYFUNCTION("""COMPUTED_VALUE"""),"Alex Valencic")</f>
        <v>Alex Valencic</v>
      </c>
      <c r="C94" s="78">
        <f ca="1">IFERROR(__xludf.DUMMYFUNCTION("""COMPUTED_VALUE"""),12)</f>
        <v>12</v>
      </c>
      <c r="D94" s="78" t="str">
        <f ca="1">IFERROR(__xludf.DUMMYFUNCTION("""COMPUTED_VALUE"""),"B")</f>
        <v>B</v>
      </c>
      <c r="E94" s="80" t="str">
        <f ca="1">IFERROR(__xludf.DUMMYFUNCTION("""COMPUTED_VALUE"""),"J")</f>
        <v>J</v>
      </c>
      <c r="F94" s="80" t="str">
        <f ca="1">IFERROR(__xludf.DUMMYFUNCTION("""COMPUTED_VALUE"""),"I")</f>
        <v>I</v>
      </c>
      <c r="G94" s="80">
        <f ca="1">IFERROR(__xludf.DUMMYFUNCTION("""COMPUTED_VALUE"""),4)</f>
        <v>4</v>
      </c>
      <c r="H94" s="80" t="str">
        <f ca="1">IFERROR(__xludf.DUMMYFUNCTION("""COMPUTED_VALUE"""),"CB")</f>
        <v>CB</v>
      </c>
      <c r="I94" s="80">
        <f ca="1">IFERROR(__xludf.DUMMYFUNCTION("""COMPUTED_VALUE"""),5)</f>
        <v>5</v>
      </c>
      <c r="J94" s="81">
        <f ca="1">IFERROR(__xludf.DUMMYFUNCTION("""COMPUTED_VALUE"""),4)</f>
        <v>4</v>
      </c>
      <c r="K94" s="81">
        <f ca="1">IFERROR(__xludf.DUMMYFUNCTION("""COMPUTED_VALUE"""),141)</f>
        <v>141</v>
      </c>
      <c r="L94" s="81">
        <f ca="1">IFERROR(__xludf.DUMMYFUNCTION("""COMPUTED_VALUE"""),141)</f>
        <v>141</v>
      </c>
      <c r="M94" s="81"/>
      <c r="N94" s="81">
        <f ca="1">IFERROR(__xludf.DUMMYFUNCTION("""COMPUTED_VALUE"""),-170.25)</f>
        <v>-170.25</v>
      </c>
      <c r="O94" s="81"/>
      <c r="P94" s="81">
        <f ca="1">IFERROR(__xludf.DUMMYFUNCTION("""COMPUTED_VALUE"""),0)</f>
        <v>0</v>
      </c>
      <c r="Q94" s="81"/>
      <c r="R94" s="81">
        <f ca="1">IFERROR(__xludf.DUMMYFUNCTION("""COMPUTED_VALUE"""),-151.25)</f>
        <v>-151.25</v>
      </c>
      <c r="S94" s="81"/>
      <c r="T94" s="81"/>
      <c r="U94" s="82"/>
      <c r="V94" s="82"/>
      <c r="W94" s="83"/>
      <c r="X94" s="83"/>
      <c r="Y94" s="83"/>
    </row>
    <row r="95" spans="1:25" ht="13.8">
      <c r="A95" s="78" t="str">
        <f ca="1">IFERROR(__xludf.DUMMYFUNCTION("""COMPUTED_VALUE"""),"CB")</f>
        <v>CB</v>
      </c>
      <c r="B95" s="79" t="str">
        <f ca="1">IFERROR(__xludf.DUMMYFUNCTION("""COMPUTED_VALUE"""),"Elisabeth Beach")</f>
        <v>Elisabeth Beach</v>
      </c>
      <c r="C95" s="78">
        <f ca="1">IFERROR(__xludf.DUMMYFUNCTION("""COMPUTED_VALUE"""),13)</f>
        <v>13</v>
      </c>
      <c r="D95" s="78" t="str">
        <f ca="1">IFERROR(__xludf.DUMMYFUNCTION("""COMPUTED_VALUE"""),"G")</f>
        <v>G</v>
      </c>
      <c r="E95" s="80" t="str">
        <f ca="1">IFERROR(__xludf.DUMMYFUNCTION("""COMPUTED_VALUE"""),"I")</f>
        <v>I</v>
      </c>
      <c r="F95" s="80" t="str">
        <f ca="1">IFERROR(__xludf.DUMMYFUNCTION("""COMPUTED_VALUE"""),"S")</f>
        <v>S</v>
      </c>
      <c r="G95" s="80">
        <f ca="1">IFERROR(__xludf.DUMMYFUNCTION("""COMPUTED_VALUE"""),4)</f>
        <v>4</v>
      </c>
      <c r="H95" s="80" t="str">
        <f ca="1">IFERROR(__xludf.DUMMYFUNCTION("""COMPUTED_VALUE"""),"CB")</f>
        <v>CB</v>
      </c>
      <c r="I95" s="80">
        <f ca="1">IFERROR(__xludf.DUMMYFUNCTION("""COMPUTED_VALUE"""),6)</f>
        <v>6</v>
      </c>
      <c r="J95" s="81">
        <f ca="1">IFERROR(__xludf.DUMMYFUNCTION("""COMPUTED_VALUE"""),0)</f>
        <v>0</v>
      </c>
      <c r="K95" s="81">
        <f ca="1">IFERROR(__xludf.DUMMYFUNCTION("""COMPUTED_VALUE"""),0)</f>
        <v>0</v>
      </c>
      <c r="L95" s="81">
        <f ca="1">IFERROR(__xludf.DUMMYFUNCTION("""COMPUTED_VALUE"""),0)</f>
        <v>0</v>
      </c>
      <c r="M95" s="81"/>
      <c r="N95" s="81">
        <f ca="1">IFERROR(__xludf.DUMMYFUNCTION("""COMPUTED_VALUE"""),0)</f>
        <v>0</v>
      </c>
      <c r="O95" s="81"/>
      <c r="P95" s="81">
        <f ca="1">IFERROR(__xludf.DUMMYFUNCTION("""COMPUTED_VALUE"""),0)</f>
        <v>0</v>
      </c>
      <c r="Q95" s="81"/>
      <c r="R95" s="81">
        <f ca="1">IFERROR(__xludf.DUMMYFUNCTION("""COMPUTED_VALUE"""),0)</f>
        <v>0</v>
      </c>
      <c r="S95" s="81"/>
      <c r="T95" s="81"/>
      <c r="U95" s="82"/>
      <c r="V95" s="82"/>
      <c r="W95" s="83"/>
      <c r="X95" s="83"/>
      <c r="Y95" s="83"/>
    </row>
    <row r="96" spans="1:25" ht="13.8">
      <c r="A96" s="78" t="str">
        <f ca="1">IFERROR(__xludf.DUMMYFUNCTION("""COMPUTED_VALUE"""),"CB")</f>
        <v>CB</v>
      </c>
      <c r="B96" s="79" t="str">
        <f ca="1">IFERROR(__xludf.DUMMYFUNCTION("""COMPUTED_VALUE"""),"Sarah Beach")</f>
        <v>Sarah Beach</v>
      </c>
      <c r="C96" s="78">
        <f ca="1">IFERROR(__xludf.DUMMYFUNCTION("""COMPUTED_VALUE"""),14)</f>
        <v>14</v>
      </c>
      <c r="D96" s="78" t="str">
        <f ca="1">IFERROR(__xludf.DUMMYFUNCTION("""COMPUTED_VALUE"""),"G")</f>
        <v>G</v>
      </c>
      <c r="E96" s="80" t="str">
        <f ca="1">IFERROR(__xludf.DUMMYFUNCTION("""COMPUTED_VALUE"""),"I")</f>
        <v>I</v>
      </c>
      <c r="F96" s="80" t="str">
        <f ca="1">IFERROR(__xludf.DUMMYFUNCTION("""COMPUTED_VALUE"""),"S")</f>
        <v>S</v>
      </c>
      <c r="G96" s="80">
        <f ca="1">IFERROR(__xludf.DUMMYFUNCTION("""COMPUTED_VALUE"""),4)</f>
        <v>4</v>
      </c>
      <c r="H96" s="80" t="str">
        <f ca="1">IFERROR(__xludf.DUMMYFUNCTION("""COMPUTED_VALUE"""),"CB")</f>
        <v>CB</v>
      </c>
      <c r="I96" s="80">
        <f ca="1">IFERROR(__xludf.DUMMYFUNCTION("""COMPUTED_VALUE"""),6)</f>
        <v>6</v>
      </c>
      <c r="J96" s="81">
        <f ca="1">IFERROR(__xludf.DUMMYFUNCTION("""COMPUTED_VALUE"""),4)</f>
        <v>4</v>
      </c>
      <c r="K96" s="81">
        <f ca="1">IFERROR(__xludf.DUMMYFUNCTION("""COMPUTED_VALUE"""),145.05)</f>
        <v>145.05000000000001</v>
      </c>
      <c r="L96" s="81">
        <f ca="1">IFERROR(__xludf.DUMMYFUNCTION("""COMPUTED_VALUE"""),144.65)</f>
        <v>144.65</v>
      </c>
      <c r="M96" s="81"/>
      <c r="N96" s="81">
        <f ca="1">IFERROR(__xludf.DUMMYFUNCTION("""COMPUTED_VALUE"""),139.8)</f>
        <v>139.80000000000001</v>
      </c>
      <c r="O96" s="81"/>
      <c r="P96" s="81">
        <f ca="1">IFERROR(__xludf.DUMMYFUNCTION("""COMPUTED_VALUE"""),145.05)</f>
        <v>145.05000000000001</v>
      </c>
      <c r="Q96" s="81"/>
      <c r="R96" s="81">
        <f ca="1">IFERROR(__xludf.DUMMYFUNCTION("""COMPUTED_VALUE"""),123.45)</f>
        <v>123.45</v>
      </c>
      <c r="S96" s="81"/>
      <c r="T96" s="81"/>
      <c r="U96" s="82"/>
      <c r="V96" s="82"/>
      <c r="W96" s="83"/>
      <c r="X96" s="83"/>
      <c r="Y96" s="83"/>
    </row>
    <row r="97" spans="1:25" ht="13.8">
      <c r="A97" s="78" t="str">
        <f ca="1">IFERROR(__xludf.DUMMYFUNCTION("""COMPUTED_VALUE"""),"CB")</f>
        <v>CB</v>
      </c>
      <c r="B97" s="79" t="str">
        <f ca="1">IFERROR(__xludf.DUMMYFUNCTION("""COMPUTED_VALUE"""),"Emma Duffy")</f>
        <v>Emma Duffy</v>
      </c>
      <c r="C97" s="78">
        <f ca="1">IFERROR(__xludf.DUMMYFUNCTION("""COMPUTED_VALUE"""),13)</f>
        <v>13</v>
      </c>
      <c r="D97" s="78" t="str">
        <f ca="1">IFERROR(__xludf.DUMMYFUNCTION("""COMPUTED_VALUE"""),"G")</f>
        <v>G</v>
      </c>
      <c r="E97" s="80" t="str">
        <f ca="1">IFERROR(__xludf.DUMMYFUNCTION("""COMPUTED_VALUE"""),"I")</f>
        <v>I</v>
      </c>
      <c r="F97" s="80" t="str">
        <f ca="1">IFERROR(__xludf.DUMMYFUNCTION("""COMPUTED_VALUE"""),"S")</f>
        <v>S</v>
      </c>
      <c r="G97" s="80">
        <f ca="1">IFERROR(__xludf.DUMMYFUNCTION("""COMPUTED_VALUE"""),4)</f>
        <v>4</v>
      </c>
      <c r="H97" s="80" t="str">
        <f ca="1">IFERROR(__xludf.DUMMYFUNCTION("""COMPUTED_VALUE"""),"CB")</f>
        <v>CB</v>
      </c>
      <c r="I97" s="80">
        <f ca="1">IFERROR(__xludf.DUMMYFUNCTION("""COMPUTED_VALUE"""),6)</f>
        <v>6</v>
      </c>
      <c r="J97" s="81">
        <f ca="1">IFERROR(__xludf.DUMMYFUNCTION("""COMPUTED_VALUE"""),0)</f>
        <v>0</v>
      </c>
      <c r="K97" s="81">
        <f ca="1">IFERROR(__xludf.DUMMYFUNCTION("""COMPUTED_VALUE"""),0)</f>
        <v>0</v>
      </c>
      <c r="L97" s="81">
        <f ca="1">IFERROR(__xludf.DUMMYFUNCTION("""COMPUTED_VALUE"""),0)</f>
        <v>0</v>
      </c>
      <c r="M97" s="81"/>
      <c r="N97" s="81">
        <f ca="1">IFERROR(__xludf.DUMMYFUNCTION("""COMPUTED_VALUE"""),0)</f>
        <v>0</v>
      </c>
      <c r="O97" s="81"/>
      <c r="P97" s="81">
        <f ca="1">IFERROR(__xludf.DUMMYFUNCTION("""COMPUTED_VALUE"""),0)</f>
        <v>0</v>
      </c>
      <c r="Q97" s="81"/>
      <c r="R97" s="81">
        <f ca="1">IFERROR(__xludf.DUMMYFUNCTION("""COMPUTED_VALUE"""),0)</f>
        <v>0</v>
      </c>
      <c r="S97" s="81"/>
      <c r="T97" s="81"/>
      <c r="U97" s="82"/>
      <c r="V97" s="82"/>
      <c r="W97" s="83"/>
      <c r="X97" s="83"/>
      <c r="Y97" s="83"/>
    </row>
    <row r="98" spans="1:25" ht="13.8">
      <c r="A98" s="78" t="str">
        <f ca="1">IFERROR(__xludf.DUMMYFUNCTION("""COMPUTED_VALUE"""),"CB")</f>
        <v>CB</v>
      </c>
      <c r="B98" s="79" t="str">
        <f ca="1">IFERROR(__xludf.DUMMYFUNCTION("""COMPUTED_VALUE"""),"Islay Hamilton")</f>
        <v>Islay Hamilton</v>
      </c>
      <c r="C98" s="78">
        <f ca="1">IFERROR(__xludf.DUMMYFUNCTION("""COMPUTED_VALUE"""),13)</f>
        <v>13</v>
      </c>
      <c r="D98" s="78" t="str">
        <f ca="1">IFERROR(__xludf.DUMMYFUNCTION("""COMPUTED_VALUE"""),"G")</f>
        <v>G</v>
      </c>
      <c r="E98" s="80" t="str">
        <f ca="1">IFERROR(__xludf.DUMMYFUNCTION("""COMPUTED_VALUE"""),"I")</f>
        <v>I</v>
      </c>
      <c r="F98" s="80" t="str">
        <f ca="1">IFERROR(__xludf.DUMMYFUNCTION("""COMPUTED_VALUE"""),"S")</f>
        <v>S</v>
      </c>
      <c r="G98" s="80">
        <f ca="1">IFERROR(__xludf.DUMMYFUNCTION("""COMPUTED_VALUE"""),4)</f>
        <v>4</v>
      </c>
      <c r="H98" s="80" t="str">
        <f ca="1">IFERROR(__xludf.DUMMYFUNCTION("""COMPUTED_VALUE"""),"CB")</f>
        <v>CB</v>
      </c>
      <c r="I98" s="80">
        <f ca="1">IFERROR(__xludf.DUMMYFUNCTION("""COMPUTED_VALUE"""),6)</f>
        <v>6</v>
      </c>
      <c r="J98" s="81">
        <f ca="1">IFERROR(__xludf.DUMMYFUNCTION("""COMPUTED_VALUE"""),0)</f>
        <v>0</v>
      </c>
      <c r="K98" s="81">
        <f ca="1">IFERROR(__xludf.DUMMYFUNCTION("""COMPUTED_VALUE"""),0)</f>
        <v>0</v>
      </c>
      <c r="L98" s="81">
        <f ca="1">IFERROR(__xludf.DUMMYFUNCTION("""COMPUTED_VALUE"""),0)</f>
        <v>0</v>
      </c>
      <c r="M98" s="81"/>
      <c r="N98" s="81">
        <f ca="1">IFERROR(__xludf.DUMMYFUNCTION("""COMPUTED_VALUE"""),0)</f>
        <v>0</v>
      </c>
      <c r="O98" s="81"/>
      <c r="P98" s="81">
        <f ca="1">IFERROR(__xludf.DUMMYFUNCTION("""COMPUTED_VALUE"""),0)</f>
        <v>0</v>
      </c>
      <c r="Q98" s="81"/>
      <c r="R98" s="81">
        <f ca="1">IFERROR(__xludf.DUMMYFUNCTION("""COMPUTED_VALUE"""),0)</f>
        <v>0</v>
      </c>
      <c r="S98" s="81"/>
      <c r="T98" s="81"/>
      <c r="U98" s="82"/>
      <c r="V98" s="82"/>
      <c r="W98" s="83"/>
      <c r="X98" s="83"/>
      <c r="Y98" s="83"/>
    </row>
    <row r="99" spans="1:25" ht="13.8">
      <c r="A99" s="78" t="str">
        <f ca="1">IFERROR(__xludf.DUMMYFUNCTION("""COMPUTED_VALUE"""),"CB")</f>
        <v>CB</v>
      </c>
      <c r="B99" s="79" t="str">
        <f ca="1">IFERROR(__xludf.DUMMYFUNCTION("""COMPUTED_VALUE"""),"Kelly Keough")</f>
        <v>Kelly Keough</v>
      </c>
      <c r="C99" s="78">
        <f ca="1">IFERROR(__xludf.DUMMYFUNCTION("""COMPUTED_VALUE"""),13)</f>
        <v>13</v>
      </c>
      <c r="D99" s="78" t="str">
        <f ca="1">IFERROR(__xludf.DUMMYFUNCTION("""COMPUTED_VALUE"""),"G")</f>
        <v>G</v>
      </c>
      <c r="E99" s="80" t="str">
        <f ca="1">IFERROR(__xludf.DUMMYFUNCTION("""COMPUTED_VALUE"""),"I")</f>
        <v>I</v>
      </c>
      <c r="F99" s="80" t="str">
        <f ca="1">IFERROR(__xludf.DUMMYFUNCTION("""COMPUTED_VALUE"""),"S")</f>
        <v>S</v>
      </c>
      <c r="G99" s="80">
        <f ca="1">IFERROR(__xludf.DUMMYFUNCTION("""COMPUTED_VALUE"""),4)</f>
        <v>4</v>
      </c>
      <c r="H99" s="80" t="str">
        <f ca="1">IFERROR(__xludf.DUMMYFUNCTION("""COMPUTED_VALUE"""),"CB")</f>
        <v>CB</v>
      </c>
      <c r="I99" s="80">
        <f ca="1">IFERROR(__xludf.DUMMYFUNCTION("""COMPUTED_VALUE"""),6)</f>
        <v>6</v>
      </c>
      <c r="J99" s="81">
        <f ca="1">IFERROR(__xludf.DUMMYFUNCTION("""COMPUTED_VALUE"""),4)</f>
        <v>4</v>
      </c>
      <c r="K99" s="81">
        <f ca="1">IFERROR(__xludf.DUMMYFUNCTION("""COMPUTED_VALUE"""),128.25)</f>
        <v>128.25</v>
      </c>
      <c r="L99" s="81">
        <f ca="1">IFERROR(__xludf.DUMMYFUNCTION("""COMPUTED_VALUE"""),111.9)</f>
        <v>111.9</v>
      </c>
      <c r="M99" s="81"/>
      <c r="N99" s="81">
        <f ca="1">IFERROR(__xludf.DUMMYFUNCTION("""COMPUTED_VALUE"""),128.25)</f>
        <v>128.25</v>
      </c>
      <c r="O99" s="81"/>
      <c r="P99" s="81">
        <f ca="1">IFERROR(__xludf.DUMMYFUNCTION("""COMPUTED_VALUE"""),0)</f>
        <v>0</v>
      </c>
      <c r="Q99" s="81"/>
      <c r="R99" s="81">
        <f ca="1">IFERROR(__xludf.DUMMYFUNCTION("""COMPUTED_VALUE"""),117.1)</f>
        <v>117.1</v>
      </c>
      <c r="S99" s="81"/>
      <c r="T99" s="81"/>
      <c r="U99" s="82"/>
      <c r="V99" s="82"/>
      <c r="W99" s="83"/>
      <c r="X99" s="83"/>
      <c r="Y99" s="83"/>
    </row>
    <row r="100" spans="1:25" ht="13.8">
      <c r="A100" s="78" t="str">
        <f ca="1">IFERROR(__xludf.DUMMYFUNCTION("""COMPUTED_VALUE"""),"CB")</f>
        <v>CB</v>
      </c>
      <c r="B100" s="79" t="str">
        <f ca="1">IFERROR(__xludf.DUMMYFUNCTION("""COMPUTED_VALUE"""),"Ellie Mallard")</f>
        <v>Ellie Mallard</v>
      </c>
      <c r="C100" s="78">
        <f ca="1">IFERROR(__xludf.DUMMYFUNCTION("""COMPUTED_VALUE"""),13)</f>
        <v>13</v>
      </c>
      <c r="D100" s="78" t="str">
        <f ca="1">IFERROR(__xludf.DUMMYFUNCTION("""COMPUTED_VALUE"""),"G")</f>
        <v>G</v>
      </c>
      <c r="E100" s="80" t="str">
        <f ca="1">IFERROR(__xludf.DUMMYFUNCTION("""COMPUTED_VALUE"""),"I")</f>
        <v>I</v>
      </c>
      <c r="F100" s="80" t="str">
        <f ca="1">IFERROR(__xludf.DUMMYFUNCTION("""COMPUTED_VALUE"""),"S")</f>
        <v>S</v>
      </c>
      <c r="G100" s="80">
        <f ca="1">IFERROR(__xludf.DUMMYFUNCTION("""COMPUTED_VALUE"""),4)</f>
        <v>4</v>
      </c>
      <c r="H100" s="80" t="str">
        <f ca="1">IFERROR(__xludf.DUMMYFUNCTION("""COMPUTED_VALUE"""),"CB")</f>
        <v>CB</v>
      </c>
      <c r="I100" s="80">
        <f ca="1">IFERROR(__xludf.DUMMYFUNCTION("""COMPUTED_VALUE"""),6)</f>
        <v>6</v>
      </c>
      <c r="J100" s="81">
        <f ca="1">IFERROR(__xludf.DUMMYFUNCTION("""COMPUTED_VALUE"""),4)</f>
        <v>4</v>
      </c>
      <c r="K100" s="81">
        <f ca="1">IFERROR(__xludf.DUMMYFUNCTION("""COMPUTED_VALUE"""),119.75)</f>
        <v>119.75</v>
      </c>
      <c r="L100" s="81">
        <f ca="1">IFERROR(__xludf.DUMMYFUNCTION("""COMPUTED_VALUE"""),97.8)</f>
        <v>97.8</v>
      </c>
      <c r="M100" s="81"/>
      <c r="N100" s="81">
        <f ca="1">IFERROR(__xludf.DUMMYFUNCTION("""COMPUTED_VALUE"""),115.85)</f>
        <v>115.85</v>
      </c>
      <c r="O100" s="81"/>
      <c r="P100" s="81">
        <f ca="1">IFERROR(__xludf.DUMMYFUNCTION("""COMPUTED_VALUE"""),119.75)</f>
        <v>119.75</v>
      </c>
      <c r="Q100" s="81"/>
      <c r="R100" s="81">
        <f ca="1">IFERROR(__xludf.DUMMYFUNCTION("""COMPUTED_VALUE"""),0)</f>
        <v>0</v>
      </c>
      <c r="S100" s="81"/>
      <c r="T100" s="81"/>
      <c r="U100" s="82"/>
      <c r="V100" s="82"/>
      <c r="W100" s="83"/>
      <c r="X100" s="83"/>
      <c r="Y100" s="83"/>
    </row>
    <row r="101" spans="1:25" ht="13.8">
      <c r="A101" s="78" t="str">
        <f ca="1">IFERROR(__xludf.DUMMYFUNCTION("""COMPUTED_VALUE"""),"CB")</f>
        <v>CB</v>
      </c>
      <c r="B101" s="79" t="str">
        <f ca="1">IFERROR(__xludf.DUMMYFUNCTION("""COMPUTED_VALUE"""),"Jesse Holt")</f>
        <v>Jesse Holt</v>
      </c>
      <c r="C101" s="78">
        <f ca="1">IFERROR(__xludf.DUMMYFUNCTION("""COMPUTED_VALUE"""),13)</f>
        <v>13</v>
      </c>
      <c r="D101" s="78" t="str">
        <f ca="1">IFERROR(__xludf.DUMMYFUNCTION("""COMPUTED_VALUE"""),"B")</f>
        <v>B</v>
      </c>
      <c r="E101" s="80" t="str">
        <f ca="1">IFERROR(__xludf.DUMMYFUNCTION("""COMPUTED_VALUE"""),"I")</f>
        <v>I</v>
      </c>
      <c r="F101" s="80" t="str">
        <f ca="1">IFERROR(__xludf.DUMMYFUNCTION("""COMPUTED_VALUE"""),"S")</f>
        <v>S</v>
      </c>
      <c r="G101" s="80">
        <f ca="1">IFERROR(__xludf.DUMMYFUNCTION("""COMPUTED_VALUE"""),4)</f>
        <v>4</v>
      </c>
      <c r="H101" s="80" t="str">
        <f ca="1">IFERROR(__xludf.DUMMYFUNCTION("""COMPUTED_VALUE"""),"CB")</f>
        <v>CB</v>
      </c>
      <c r="I101" s="80">
        <f ca="1">IFERROR(__xludf.DUMMYFUNCTION("""COMPUTED_VALUE"""),7)</f>
        <v>7</v>
      </c>
      <c r="J101" s="81">
        <f ca="1">IFERROR(__xludf.DUMMYFUNCTION("""COMPUTED_VALUE"""),0)</f>
        <v>0</v>
      </c>
      <c r="K101" s="81">
        <f ca="1">IFERROR(__xludf.DUMMYFUNCTION("""COMPUTED_VALUE"""),0)</f>
        <v>0</v>
      </c>
      <c r="L101" s="81">
        <f ca="1">IFERROR(__xludf.DUMMYFUNCTION("""COMPUTED_VALUE"""),0)</f>
        <v>0</v>
      </c>
      <c r="M101" s="81"/>
      <c r="N101" s="81">
        <f ca="1">IFERROR(__xludf.DUMMYFUNCTION("""COMPUTED_VALUE"""),0)</f>
        <v>0</v>
      </c>
      <c r="O101" s="81"/>
      <c r="P101" s="81">
        <f ca="1">IFERROR(__xludf.DUMMYFUNCTION("""COMPUTED_VALUE"""),0)</f>
        <v>0</v>
      </c>
      <c r="Q101" s="81"/>
      <c r="R101" s="81">
        <f ca="1">IFERROR(__xludf.DUMMYFUNCTION("""COMPUTED_VALUE"""),0)</f>
        <v>0</v>
      </c>
      <c r="S101" s="81"/>
      <c r="T101" s="81"/>
      <c r="U101" s="82"/>
      <c r="V101" s="82"/>
      <c r="W101" s="83"/>
      <c r="X101" s="83"/>
      <c r="Y101" s="83"/>
    </row>
    <row r="102" spans="1:25" ht="13.8">
      <c r="A102" s="78" t="str">
        <f ca="1">IFERROR(__xludf.DUMMYFUNCTION("""COMPUTED_VALUE"""),"CB")</f>
        <v>CB</v>
      </c>
      <c r="B102" s="79" t="str">
        <f ca="1">IFERROR(__xludf.DUMMYFUNCTION("""COMPUTED_VALUE"""),"Katie Keough")</f>
        <v>Katie Keough</v>
      </c>
      <c r="C102" s="78">
        <f ca="1">IFERROR(__xludf.DUMMYFUNCTION("""COMPUTED_VALUE"""),15)</f>
        <v>15</v>
      </c>
      <c r="D102" s="78" t="str">
        <f ca="1">IFERROR(__xludf.DUMMYFUNCTION("""COMPUTED_VALUE"""),"G")</f>
        <v>G</v>
      </c>
      <c r="E102" s="80" t="str">
        <f ca="1">IFERROR(__xludf.DUMMYFUNCTION("""COMPUTED_VALUE"""),"S")</f>
        <v>S</v>
      </c>
      <c r="F102" s="80" t="str">
        <f ca="1">IFERROR(__xludf.DUMMYFUNCTION("""COMPUTED_VALUE"""),"S")</f>
        <v>S</v>
      </c>
      <c r="G102" s="80">
        <f ca="1">IFERROR(__xludf.DUMMYFUNCTION("""COMPUTED_VALUE"""),4)</f>
        <v>4</v>
      </c>
      <c r="H102" s="80" t="str">
        <f ca="1">IFERROR(__xludf.DUMMYFUNCTION("""COMPUTED_VALUE"""),"CB")</f>
        <v>CB</v>
      </c>
      <c r="I102" s="80">
        <f ca="1">IFERROR(__xludf.DUMMYFUNCTION("""COMPUTED_VALUE"""),8)</f>
        <v>8</v>
      </c>
      <c r="J102" s="81">
        <f ca="1">IFERROR(__xludf.DUMMYFUNCTION("""COMPUTED_VALUE"""),0)</f>
        <v>0</v>
      </c>
      <c r="K102" s="81">
        <f ca="1">IFERROR(__xludf.DUMMYFUNCTION("""COMPUTED_VALUE"""),0)</f>
        <v>0</v>
      </c>
      <c r="L102" s="81">
        <f ca="1">IFERROR(__xludf.DUMMYFUNCTION("""COMPUTED_VALUE"""),0)</f>
        <v>0</v>
      </c>
      <c r="M102" s="81"/>
      <c r="N102" s="81">
        <f ca="1">IFERROR(__xludf.DUMMYFUNCTION("""COMPUTED_VALUE"""),0)</f>
        <v>0</v>
      </c>
      <c r="O102" s="81"/>
      <c r="P102" s="81">
        <f ca="1">IFERROR(__xludf.DUMMYFUNCTION("""COMPUTED_VALUE"""),0)</f>
        <v>0</v>
      </c>
      <c r="Q102" s="81"/>
      <c r="R102" s="81">
        <f ca="1">IFERROR(__xludf.DUMMYFUNCTION("""COMPUTED_VALUE"""),0)</f>
        <v>0</v>
      </c>
      <c r="S102" s="81"/>
      <c r="T102" s="81"/>
      <c r="U102" s="82"/>
      <c r="V102" s="82"/>
      <c r="W102" s="83"/>
      <c r="X102" s="83"/>
      <c r="Y102" s="83"/>
    </row>
    <row r="103" spans="1:25" ht="13.8">
      <c r="A103" s="78" t="str">
        <f ca="1">IFERROR(__xludf.DUMMYFUNCTION("""COMPUTED_VALUE"""),"CB")</f>
        <v>CB</v>
      </c>
      <c r="B103" s="79" t="str">
        <f ca="1">IFERROR(__xludf.DUMMYFUNCTION("""COMPUTED_VALUE"""),"Amelia Lucien")</f>
        <v>Amelia Lucien</v>
      </c>
      <c r="C103" s="78">
        <f ca="1">IFERROR(__xludf.DUMMYFUNCTION("""COMPUTED_VALUE"""),15)</f>
        <v>15</v>
      </c>
      <c r="D103" s="78" t="str">
        <f ca="1">IFERROR(__xludf.DUMMYFUNCTION("""COMPUTED_VALUE"""),"G")</f>
        <v>G</v>
      </c>
      <c r="E103" s="80" t="str">
        <f ca="1">IFERROR(__xludf.DUMMYFUNCTION("""COMPUTED_VALUE"""),"S")</f>
        <v>S</v>
      </c>
      <c r="F103" s="80" t="str">
        <f ca="1">IFERROR(__xludf.DUMMYFUNCTION("""COMPUTED_VALUE"""),"S")</f>
        <v>S</v>
      </c>
      <c r="G103" s="80">
        <f ca="1">IFERROR(__xludf.DUMMYFUNCTION("""COMPUTED_VALUE"""),4)</f>
        <v>4</v>
      </c>
      <c r="H103" s="80" t="str">
        <f ca="1">IFERROR(__xludf.DUMMYFUNCTION("""COMPUTED_VALUE"""),"CB")</f>
        <v>CB</v>
      </c>
      <c r="I103" s="80">
        <f ca="1">IFERROR(__xludf.DUMMYFUNCTION("""COMPUTED_VALUE"""),8)</f>
        <v>8</v>
      </c>
      <c r="J103" s="81">
        <f ca="1">IFERROR(__xludf.DUMMYFUNCTION("""COMPUTED_VALUE"""),0)</f>
        <v>0</v>
      </c>
      <c r="K103" s="81">
        <f ca="1">IFERROR(__xludf.DUMMYFUNCTION("""COMPUTED_VALUE"""),0)</f>
        <v>0</v>
      </c>
      <c r="L103" s="81">
        <f ca="1">IFERROR(__xludf.DUMMYFUNCTION("""COMPUTED_VALUE"""),0)</f>
        <v>0</v>
      </c>
      <c r="M103" s="81"/>
      <c r="N103" s="81">
        <f ca="1">IFERROR(__xludf.DUMMYFUNCTION("""COMPUTED_VALUE"""),0)</f>
        <v>0</v>
      </c>
      <c r="O103" s="81"/>
      <c r="P103" s="81">
        <f ca="1">IFERROR(__xludf.DUMMYFUNCTION("""COMPUTED_VALUE"""),0)</f>
        <v>0</v>
      </c>
      <c r="Q103" s="81"/>
      <c r="R103" s="81">
        <f ca="1">IFERROR(__xludf.DUMMYFUNCTION("""COMPUTED_VALUE"""),0)</f>
        <v>0</v>
      </c>
      <c r="S103" s="81"/>
      <c r="T103" s="81"/>
      <c r="U103" s="82"/>
      <c r="V103" s="82"/>
      <c r="W103" s="83"/>
      <c r="X103" s="83"/>
      <c r="Y103" s="83"/>
    </row>
    <row r="104" spans="1:25" ht="13.8">
      <c r="A104" s="78" t="str">
        <f ca="1">IFERROR(__xludf.DUMMYFUNCTION("""COMPUTED_VALUE"""),"CB")</f>
        <v>CB</v>
      </c>
      <c r="B104" s="79" t="str">
        <f ca="1">IFERROR(__xludf.DUMMYFUNCTION("""COMPUTED_VALUE"""),"Christopher Barnes")</f>
        <v>Christopher Barnes</v>
      </c>
      <c r="C104" s="78">
        <f ca="1">IFERROR(__xludf.DUMMYFUNCTION("""COMPUTED_VALUE"""),16)</f>
        <v>16</v>
      </c>
      <c r="D104" s="78" t="str">
        <f ca="1">IFERROR(__xludf.DUMMYFUNCTION("""COMPUTED_VALUE"""),"B")</f>
        <v>B</v>
      </c>
      <c r="E104" s="80" t="str">
        <f ca="1">IFERROR(__xludf.DUMMYFUNCTION("""COMPUTED_VALUE"""),"S")</f>
        <v>S</v>
      </c>
      <c r="F104" s="80" t="str">
        <f ca="1">IFERROR(__xludf.DUMMYFUNCTION("""COMPUTED_VALUE"""),"S")</f>
        <v>S</v>
      </c>
      <c r="G104" s="80">
        <f ca="1">IFERROR(__xludf.DUMMYFUNCTION("""COMPUTED_VALUE"""),4)</f>
        <v>4</v>
      </c>
      <c r="H104" s="80" t="str">
        <f ca="1">IFERROR(__xludf.DUMMYFUNCTION("""COMPUTED_VALUE"""),"CB")</f>
        <v>CB</v>
      </c>
      <c r="I104" s="80">
        <f ca="1">IFERROR(__xludf.DUMMYFUNCTION("""COMPUTED_VALUE"""),9)</f>
        <v>9</v>
      </c>
      <c r="J104" s="81">
        <f ca="1">IFERROR(__xludf.DUMMYFUNCTION("""COMPUTED_VALUE"""),2)</f>
        <v>2</v>
      </c>
      <c r="K104" s="81">
        <f ca="1">IFERROR(__xludf.DUMMYFUNCTION("""COMPUTED_VALUE"""),177.15)</f>
        <v>177.15</v>
      </c>
      <c r="L104" s="81">
        <f ca="1">IFERROR(__xludf.DUMMYFUNCTION("""COMPUTED_VALUE"""),0)</f>
        <v>0</v>
      </c>
      <c r="M104" s="81"/>
      <c r="N104" s="81">
        <f ca="1">IFERROR(__xludf.DUMMYFUNCTION("""COMPUTED_VALUE"""),0)</f>
        <v>0</v>
      </c>
      <c r="O104" s="81"/>
      <c r="P104" s="81">
        <f ca="1">IFERROR(__xludf.DUMMYFUNCTION("""COMPUTED_VALUE"""),177.15)</f>
        <v>177.15</v>
      </c>
      <c r="Q104" s="81"/>
      <c r="R104" s="81">
        <f ca="1">IFERROR(__xludf.DUMMYFUNCTION("""COMPUTED_VALUE"""),0)</f>
        <v>0</v>
      </c>
      <c r="S104" s="81"/>
      <c r="T104" s="81"/>
      <c r="U104" s="82"/>
      <c r="V104" s="82"/>
      <c r="W104" s="83"/>
      <c r="X104" s="83"/>
      <c r="Y104" s="83"/>
    </row>
    <row r="105" spans="1:25" ht="13.8">
      <c r="A105" s="78" t="str">
        <f ca="1">IFERROR(__xludf.DUMMYFUNCTION("""COMPUTED_VALUE"""),"CB")</f>
        <v>CB</v>
      </c>
      <c r="B105" s="79" t="str">
        <f ca="1">IFERROR(__xludf.DUMMYFUNCTION("""COMPUTED_VALUE"""),"Thomas Gillen")</f>
        <v>Thomas Gillen</v>
      </c>
      <c r="C105" s="78">
        <f ca="1">IFERROR(__xludf.DUMMYFUNCTION("""COMPUTED_VALUE"""),16)</f>
        <v>16</v>
      </c>
      <c r="D105" s="78" t="str">
        <f ca="1">IFERROR(__xludf.DUMMYFUNCTION("""COMPUTED_VALUE"""),"B")</f>
        <v>B</v>
      </c>
      <c r="E105" s="80" t="str">
        <f ca="1">IFERROR(__xludf.DUMMYFUNCTION("""COMPUTED_VALUE"""),"S")</f>
        <v>S</v>
      </c>
      <c r="F105" s="80" t="str">
        <f ca="1">IFERROR(__xludf.DUMMYFUNCTION("""COMPUTED_VALUE"""),"S")</f>
        <v>S</v>
      </c>
      <c r="G105" s="80">
        <f ca="1">IFERROR(__xludf.DUMMYFUNCTION("""COMPUTED_VALUE"""),4)</f>
        <v>4</v>
      </c>
      <c r="H105" s="80" t="str">
        <f ca="1">IFERROR(__xludf.DUMMYFUNCTION("""COMPUTED_VALUE"""),"CB")</f>
        <v>CB</v>
      </c>
      <c r="I105" s="80">
        <f ca="1">IFERROR(__xludf.DUMMYFUNCTION("""COMPUTED_VALUE"""),9)</f>
        <v>9</v>
      </c>
      <c r="J105" s="81">
        <f ca="1">IFERROR(__xludf.DUMMYFUNCTION("""COMPUTED_VALUE"""),2)</f>
        <v>2</v>
      </c>
      <c r="K105" s="81">
        <f ca="1">IFERROR(__xludf.DUMMYFUNCTION("""COMPUTED_VALUE"""),135.3)</f>
        <v>135.30000000000001</v>
      </c>
      <c r="L105" s="81">
        <f ca="1">IFERROR(__xludf.DUMMYFUNCTION("""COMPUTED_VALUE"""),0)</f>
        <v>0</v>
      </c>
      <c r="M105" s="81"/>
      <c r="N105" s="81">
        <f ca="1">IFERROR(__xludf.DUMMYFUNCTION("""COMPUTED_VALUE"""),0)</f>
        <v>0</v>
      </c>
      <c r="O105" s="81"/>
      <c r="P105" s="81">
        <f ca="1">IFERROR(__xludf.DUMMYFUNCTION("""COMPUTED_VALUE"""),0)</f>
        <v>0</v>
      </c>
      <c r="Q105" s="81"/>
      <c r="R105" s="81">
        <f ca="1">IFERROR(__xludf.DUMMYFUNCTION("""COMPUTED_VALUE"""),135.3)</f>
        <v>135.30000000000001</v>
      </c>
      <c r="S105" s="81"/>
      <c r="T105" s="81"/>
      <c r="U105" s="82"/>
      <c r="V105" s="82"/>
      <c r="W105" s="83"/>
      <c r="X105" s="83"/>
      <c r="Y105" s="83"/>
    </row>
    <row r="106" spans="1:25" ht="13.8">
      <c r="A106" s="78" t="str">
        <f ca="1">IFERROR(__xludf.DUMMYFUNCTION("""COMPUTED_VALUE"""),"CB")</f>
        <v>CB</v>
      </c>
      <c r="B106" s="79" t="str">
        <f ca="1">IFERROR(__xludf.DUMMYFUNCTION("""COMPUTED_VALUE"""),"Evan Holt")</f>
        <v>Evan Holt</v>
      </c>
      <c r="C106" s="78">
        <f ca="1">IFERROR(__xludf.DUMMYFUNCTION("""COMPUTED_VALUE"""),15)</f>
        <v>15</v>
      </c>
      <c r="D106" s="78" t="str">
        <f ca="1">IFERROR(__xludf.DUMMYFUNCTION("""COMPUTED_VALUE"""),"B")</f>
        <v>B</v>
      </c>
      <c r="E106" s="80" t="str">
        <f ca="1">IFERROR(__xludf.DUMMYFUNCTION("""COMPUTED_VALUE"""),"S")</f>
        <v>S</v>
      </c>
      <c r="F106" s="80" t="str">
        <f ca="1">IFERROR(__xludf.DUMMYFUNCTION("""COMPUTED_VALUE"""),"S")</f>
        <v>S</v>
      </c>
      <c r="G106" s="80">
        <f ca="1">IFERROR(__xludf.DUMMYFUNCTION("""COMPUTED_VALUE"""),4)</f>
        <v>4</v>
      </c>
      <c r="H106" s="80" t="str">
        <f ca="1">IFERROR(__xludf.DUMMYFUNCTION("""COMPUTED_VALUE"""),"CB")</f>
        <v>CB</v>
      </c>
      <c r="I106" s="80">
        <f ca="1">IFERROR(__xludf.DUMMYFUNCTION("""COMPUTED_VALUE"""),9)</f>
        <v>9</v>
      </c>
      <c r="J106" s="81">
        <f ca="1">IFERROR(__xludf.DUMMYFUNCTION("""COMPUTED_VALUE"""),0)</f>
        <v>0</v>
      </c>
      <c r="K106" s="81">
        <f ca="1">IFERROR(__xludf.DUMMYFUNCTION("""COMPUTED_VALUE"""),0)</f>
        <v>0</v>
      </c>
      <c r="L106" s="81">
        <f ca="1">IFERROR(__xludf.DUMMYFUNCTION("""COMPUTED_VALUE"""),0)</f>
        <v>0</v>
      </c>
      <c r="M106" s="81"/>
      <c r="N106" s="81">
        <f ca="1">IFERROR(__xludf.DUMMYFUNCTION("""COMPUTED_VALUE"""),0)</f>
        <v>0</v>
      </c>
      <c r="O106" s="81"/>
      <c r="P106" s="81">
        <f ca="1">IFERROR(__xludf.DUMMYFUNCTION("""COMPUTED_VALUE"""),0)</f>
        <v>0</v>
      </c>
      <c r="Q106" s="81"/>
      <c r="R106" s="81">
        <f ca="1">IFERROR(__xludf.DUMMYFUNCTION("""COMPUTED_VALUE"""),0)</f>
        <v>0</v>
      </c>
      <c r="S106" s="81"/>
      <c r="T106" s="81"/>
      <c r="U106" s="82"/>
      <c r="V106" s="82"/>
      <c r="W106" s="83"/>
      <c r="X106" s="83"/>
      <c r="Y106" s="83"/>
    </row>
    <row r="107" spans="1:25" ht="13.8">
      <c r="A107" s="78" t="str">
        <f ca="1">IFERROR(__xludf.DUMMYFUNCTION("""COMPUTED_VALUE"""),"CB")</f>
        <v>CB</v>
      </c>
      <c r="B107" s="79" t="str">
        <f ca="1">IFERROR(__xludf.DUMMYFUNCTION("""COMPUTED_VALUE"""),"Will Zimmerman")</f>
        <v>Will Zimmerman</v>
      </c>
      <c r="C107" s="78">
        <f ca="1">IFERROR(__xludf.DUMMYFUNCTION("""COMPUTED_VALUE"""),17)</f>
        <v>17</v>
      </c>
      <c r="D107" s="78" t="str">
        <f ca="1">IFERROR(__xludf.DUMMYFUNCTION("""COMPUTED_VALUE"""),"B")</f>
        <v>B</v>
      </c>
      <c r="E107" s="80" t="str">
        <f ca="1">IFERROR(__xludf.DUMMYFUNCTION("""COMPUTED_VALUE"""),"S")</f>
        <v>S</v>
      </c>
      <c r="F107" s="80" t="str">
        <f ca="1">IFERROR(__xludf.DUMMYFUNCTION("""COMPUTED_VALUE"""),"S")</f>
        <v>S</v>
      </c>
      <c r="G107" s="80">
        <f ca="1">IFERROR(__xludf.DUMMYFUNCTION("""COMPUTED_VALUE"""),4)</f>
        <v>4</v>
      </c>
      <c r="H107" s="80" t="str">
        <f ca="1">IFERROR(__xludf.DUMMYFUNCTION("""COMPUTED_VALUE"""),"CB")</f>
        <v>CB</v>
      </c>
      <c r="I107" s="80">
        <f ca="1">IFERROR(__xludf.DUMMYFUNCTION("""COMPUTED_VALUE"""),9)</f>
        <v>9</v>
      </c>
      <c r="J107" s="81">
        <f ca="1">IFERROR(__xludf.DUMMYFUNCTION("""COMPUTED_VALUE"""),4)</f>
        <v>4</v>
      </c>
      <c r="K107" s="81">
        <f ca="1">IFERROR(__xludf.DUMMYFUNCTION("""COMPUTED_VALUE"""),150.45)</f>
        <v>150.44999999999999</v>
      </c>
      <c r="L107" s="81">
        <f ca="1">IFERROR(__xludf.DUMMYFUNCTION("""COMPUTED_VALUE"""),149.85)</f>
        <v>149.85</v>
      </c>
      <c r="M107" s="81"/>
      <c r="N107" s="81">
        <f ca="1">IFERROR(__xludf.DUMMYFUNCTION("""COMPUTED_VALUE"""),0)</f>
        <v>0</v>
      </c>
      <c r="O107" s="81"/>
      <c r="P107" s="81">
        <f ca="1">IFERROR(__xludf.DUMMYFUNCTION("""COMPUTED_VALUE"""),150.45)</f>
        <v>150.44999999999999</v>
      </c>
      <c r="Q107" s="81"/>
      <c r="R107" s="81">
        <f ca="1">IFERROR(__xludf.DUMMYFUNCTION("""COMPUTED_VALUE"""),123.9)</f>
        <v>123.9</v>
      </c>
      <c r="S107" s="81"/>
      <c r="T107" s="81"/>
      <c r="U107" s="82"/>
      <c r="V107" s="82"/>
      <c r="W107" s="83"/>
      <c r="X107" s="83"/>
      <c r="Y107" s="83"/>
    </row>
    <row r="108" spans="1:25" ht="13.8">
      <c r="A108" s="78" t="str">
        <f ca="1">IFERROR(__xludf.DUMMYFUNCTION("""COMPUTED_VALUE"""),"CCC")</f>
        <v>CCC</v>
      </c>
      <c r="B108" s="79" t="str">
        <f ca="1">IFERROR(__xludf.DUMMYFUNCTION("""COMPUTED_VALUE"""),"Ella Allen")</f>
        <v>Ella Allen</v>
      </c>
      <c r="C108" s="78">
        <f ca="1">IFERROR(__xludf.DUMMYFUNCTION("""COMPUTED_VALUE"""),7)</f>
        <v>7</v>
      </c>
      <c r="D108" s="78" t="str">
        <f ca="1">IFERROR(__xludf.DUMMYFUNCTION("""COMPUTED_VALUE"""),"G")</f>
        <v>G</v>
      </c>
      <c r="E108" s="80" t="str">
        <f ca="1">IFERROR(__xludf.DUMMYFUNCTION("""COMPUTED_VALUE"""),"F")</f>
        <v>F</v>
      </c>
      <c r="F108" s="80" t="str">
        <f ca="1">IFERROR(__xludf.DUMMYFUNCTION("""COMPUTED_VALUE"""),"J")</f>
        <v>J</v>
      </c>
      <c r="G108" s="80">
        <f ca="1">IFERROR(__xludf.DUMMYFUNCTION("""COMPUTED_VALUE"""),5)</f>
        <v>5</v>
      </c>
      <c r="H108" s="80" t="str">
        <f ca="1">IFERROR(__xludf.DUMMYFUNCTION("""COMPUTED_VALUE"""),"CCC")</f>
        <v>CCC</v>
      </c>
      <c r="I108" s="80">
        <f ca="1">IFERROR(__xludf.DUMMYFUNCTION("""COMPUTED_VALUE"""),2)</f>
        <v>2</v>
      </c>
      <c r="J108" s="81">
        <f ca="1">IFERROR(__xludf.DUMMYFUNCTION("""COMPUTED_VALUE"""),3)</f>
        <v>3</v>
      </c>
      <c r="K108" s="81">
        <f ca="1">IFERROR(__xludf.DUMMYFUNCTION("""COMPUTED_VALUE"""),31.5)</f>
        <v>31.5</v>
      </c>
      <c r="L108" s="81">
        <f ca="1">IFERROR(__xludf.DUMMYFUNCTION("""COMPUTED_VALUE"""),0)</f>
        <v>0</v>
      </c>
      <c r="M108" s="81"/>
      <c r="N108" s="81">
        <f ca="1">IFERROR(__xludf.DUMMYFUNCTION("""COMPUTED_VALUE"""),13.75)</f>
        <v>13.75</v>
      </c>
      <c r="O108" s="81"/>
      <c r="P108" s="81">
        <f ca="1">IFERROR(__xludf.DUMMYFUNCTION("""COMPUTED_VALUE"""),31.5)</f>
        <v>31.5</v>
      </c>
      <c r="Q108" s="81"/>
      <c r="R108" s="81">
        <f ca="1">IFERROR(__xludf.DUMMYFUNCTION("""COMPUTED_VALUE"""),28.25)</f>
        <v>28.25</v>
      </c>
      <c r="S108" s="81"/>
      <c r="T108" s="81"/>
      <c r="U108" s="82"/>
      <c r="V108" s="82"/>
      <c r="W108" s="83"/>
      <c r="X108" s="83"/>
      <c r="Y108" s="83"/>
    </row>
    <row r="109" spans="1:25" ht="13.8">
      <c r="A109" s="78" t="str">
        <f ca="1">IFERROR(__xludf.DUMMYFUNCTION("""COMPUTED_VALUE"""),"CCC")</f>
        <v>CCC</v>
      </c>
      <c r="B109" s="79" t="str">
        <f ca="1">IFERROR(__xludf.DUMMYFUNCTION("""COMPUTED_VALUE"""),"Sara Curry-Briggs")</f>
        <v>Sara Curry-Briggs</v>
      </c>
      <c r="C109" s="78">
        <f ca="1">IFERROR(__xludf.DUMMYFUNCTION("""COMPUTED_VALUE"""),7)</f>
        <v>7</v>
      </c>
      <c r="D109" s="78" t="str">
        <f ca="1">IFERROR(__xludf.DUMMYFUNCTION("""COMPUTED_VALUE"""),"G")</f>
        <v>G</v>
      </c>
      <c r="E109" s="80" t="str">
        <f ca="1">IFERROR(__xludf.DUMMYFUNCTION("""COMPUTED_VALUE"""),"F")</f>
        <v>F</v>
      </c>
      <c r="F109" s="80" t="str">
        <f ca="1">IFERROR(__xludf.DUMMYFUNCTION("""COMPUTED_VALUE"""),"J")</f>
        <v>J</v>
      </c>
      <c r="G109" s="80">
        <f ca="1">IFERROR(__xludf.DUMMYFUNCTION("""COMPUTED_VALUE"""),5)</f>
        <v>5</v>
      </c>
      <c r="H109" s="80" t="str">
        <f ca="1">IFERROR(__xludf.DUMMYFUNCTION("""COMPUTED_VALUE"""),"CCC")</f>
        <v>CCC</v>
      </c>
      <c r="I109" s="80">
        <f ca="1">IFERROR(__xludf.DUMMYFUNCTION("""COMPUTED_VALUE"""),2)</f>
        <v>2</v>
      </c>
      <c r="J109" s="81">
        <f ca="1">IFERROR(__xludf.DUMMYFUNCTION("""COMPUTED_VALUE"""),4)</f>
        <v>4</v>
      </c>
      <c r="K109" s="81">
        <f ca="1">IFERROR(__xludf.DUMMYFUNCTION("""COMPUTED_VALUE"""),45.9)</f>
        <v>45.9</v>
      </c>
      <c r="L109" s="81">
        <f ca="1">IFERROR(__xludf.DUMMYFUNCTION("""COMPUTED_VALUE"""),0)</f>
        <v>0</v>
      </c>
      <c r="M109" s="81"/>
      <c r="N109" s="81">
        <f ca="1">IFERROR(__xludf.DUMMYFUNCTION("""COMPUTED_VALUE"""),14.75)</f>
        <v>14.75</v>
      </c>
      <c r="O109" s="81"/>
      <c r="P109" s="81">
        <f ca="1">IFERROR(__xludf.DUMMYFUNCTION("""COMPUTED_VALUE"""),25.25)</f>
        <v>25.25</v>
      </c>
      <c r="Q109" s="81"/>
      <c r="R109" s="81">
        <f ca="1">IFERROR(__xludf.DUMMYFUNCTION("""COMPUTED_VALUE"""),45.9)</f>
        <v>45.9</v>
      </c>
      <c r="S109" s="81"/>
      <c r="T109" s="81"/>
      <c r="U109" s="82"/>
      <c r="V109" s="82"/>
      <c r="W109" s="83"/>
      <c r="X109" s="83"/>
      <c r="Y109" s="83"/>
    </row>
    <row r="110" spans="1:25" ht="13.8">
      <c r="A110" s="78" t="str">
        <f ca="1">IFERROR(__xludf.DUMMYFUNCTION("""COMPUTED_VALUE"""),"CCC")</f>
        <v>CCC</v>
      </c>
      <c r="B110" s="79" t="str">
        <f ca="1">IFERROR(__xludf.DUMMYFUNCTION("""COMPUTED_VALUE"""),"Alexa Hill")</f>
        <v>Alexa Hill</v>
      </c>
      <c r="C110" s="78">
        <f ca="1">IFERROR(__xludf.DUMMYFUNCTION("""COMPUTED_VALUE"""),8)</f>
        <v>8</v>
      </c>
      <c r="D110" s="78" t="str">
        <f ca="1">IFERROR(__xludf.DUMMYFUNCTION("""COMPUTED_VALUE"""),"G")</f>
        <v>G</v>
      </c>
      <c r="E110" s="80" t="str">
        <f ca="1">IFERROR(__xludf.DUMMYFUNCTION("""COMPUTED_VALUE"""),"F")</f>
        <v>F</v>
      </c>
      <c r="F110" s="80" t="str">
        <f ca="1">IFERROR(__xludf.DUMMYFUNCTION("""COMPUTED_VALUE"""),"J")</f>
        <v>J</v>
      </c>
      <c r="G110" s="80">
        <f ca="1">IFERROR(__xludf.DUMMYFUNCTION("""COMPUTED_VALUE"""),5)</f>
        <v>5</v>
      </c>
      <c r="H110" s="80" t="str">
        <f ca="1">IFERROR(__xludf.DUMMYFUNCTION("""COMPUTED_VALUE"""),"CCC")</f>
        <v>CCC</v>
      </c>
      <c r="I110" s="80">
        <f ca="1">IFERROR(__xludf.DUMMYFUNCTION("""COMPUTED_VALUE"""),2)</f>
        <v>2</v>
      </c>
      <c r="J110" s="81">
        <f ca="1">IFERROR(__xludf.DUMMYFUNCTION("""COMPUTED_VALUE"""),4)</f>
        <v>4</v>
      </c>
      <c r="K110" s="81">
        <f ca="1">IFERROR(__xludf.DUMMYFUNCTION("""COMPUTED_VALUE"""),16.5)</f>
        <v>16.5</v>
      </c>
      <c r="L110" s="81">
        <f ca="1">IFERROR(__xludf.DUMMYFUNCTION("""COMPUTED_VALUE"""),12.5)</f>
        <v>12.5</v>
      </c>
      <c r="M110" s="81"/>
      <c r="N110" s="81">
        <f ca="1">IFERROR(__xludf.DUMMYFUNCTION("""COMPUTED_VALUE"""),0)</f>
        <v>0</v>
      </c>
      <c r="O110" s="81"/>
      <c r="P110" s="81">
        <f ca="1">IFERROR(__xludf.DUMMYFUNCTION("""COMPUTED_VALUE"""),16.5)</f>
        <v>16.5</v>
      </c>
      <c r="Q110" s="81"/>
      <c r="R110" s="81">
        <f ca="1">IFERROR(__xludf.DUMMYFUNCTION("""COMPUTED_VALUE"""),14)</f>
        <v>14</v>
      </c>
      <c r="S110" s="81"/>
      <c r="T110" s="81"/>
      <c r="U110" s="82"/>
      <c r="V110" s="82"/>
      <c r="W110" s="83"/>
      <c r="X110" s="83"/>
      <c r="Y110" s="83"/>
    </row>
    <row r="111" spans="1:25" ht="13.8">
      <c r="A111" s="78" t="str">
        <f ca="1">IFERROR(__xludf.DUMMYFUNCTION("""COMPUTED_VALUE"""),"CCC")</f>
        <v>CCC</v>
      </c>
      <c r="B111" s="79" t="str">
        <f ca="1">IFERROR(__xludf.DUMMYFUNCTION("""COMPUTED_VALUE"""),"Lily Huie")</f>
        <v>Lily Huie</v>
      </c>
      <c r="C111" s="78">
        <f ca="1">IFERROR(__xludf.DUMMYFUNCTION("""COMPUTED_VALUE"""),7)</f>
        <v>7</v>
      </c>
      <c r="D111" s="78" t="str">
        <f ca="1">IFERROR(__xludf.DUMMYFUNCTION("""COMPUTED_VALUE"""),"G")</f>
        <v>G</v>
      </c>
      <c r="E111" s="80" t="str">
        <f ca="1">IFERROR(__xludf.DUMMYFUNCTION("""COMPUTED_VALUE"""),"F")</f>
        <v>F</v>
      </c>
      <c r="F111" s="80" t="str">
        <f ca="1">IFERROR(__xludf.DUMMYFUNCTION("""COMPUTED_VALUE"""),"J")</f>
        <v>J</v>
      </c>
      <c r="G111" s="80">
        <f ca="1">IFERROR(__xludf.DUMMYFUNCTION("""COMPUTED_VALUE"""),5)</f>
        <v>5</v>
      </c>
      <c r="H111" s="80" t="str">
        <f ca="1">IFERROR(__xludf.DUMMYFUNCTION("""COMPUTED_VALUE"""),"CCC")</f>
        <v>CCC</v>
      </c>
      <c r="I111" s="80">
        <f ca="1">IFERROR(__xludf.DUMMYFUNCTION("""COMPUTED_VALUE"""),2)</f>
        <v>2</v>
      </c>
      <c r="J111" s="81">
        <f ca="1">IFERROR(__xludf.DUMMYFUNCTION("""COMPUTED_VALUE"""),5)</f>
        <v>5</v>
      </c>
      <c r="K111" s="81">
        <f ca="1">IFERROR(__xludf.DUMMYFUNCTION("""COMPUTED_VALUE"""),44.4)</f>
        <v>44.4</v>
      </c>
      <c r="L111" s="81">
        <f ca="1">IFERROR(__xludf.DUMMYFUNCTION("""COMPUTED_VALUE"""),41.3)</f>
        <v>41.3</v>
      </c>
      <c r="M111" s="81"/>
      <c r="N111" s="81">
        <f ca="1">IFERROR(__xludf.DUMMYFUNCTION("""COMPUTED_VALUE"""),36.9)</f>
        <v>36.9</v>
      </c>
      <c r="O111" s="81"/>
      <c r="P111" s="81">
        <f ca="1">IFERROR(__xludf.DUMMYFUNCTION("""COMPUTED_VALUE"""),44.4)</f>
        <v>44.4</v>
      </c>
      <c r="Q111" s="81"/>
      <c r="R111" s="81">
        <f ca="1">IFERROR(__xludf.DUMMYFUNCTION("""COMPUTED_VALUE"""),40.2)</f>
        <v>40.200000000000003</v>
      </c>
      <c r="S111" s="81"/>
      <c r="T111" s="81"/>
      <c r="U111" s="82"/>
      <c r="V111" s="82"/>
      <c r="W111" s="83"/>
      <c r="X111" s="83"/>
      <c r="Y111" s="83"/>
    </row>
    <row r="112" spans="1:25" ht="13.8">
      <c r="A112" s="78" t="str">
        <f ca="1">IFERROR(__xludf.DUMMYFUNCTION("""COMPUTED_VALUE"""),"CCC")</f>
        <v>CCC</v>
      </c>
      <c r="B112" s="79" t="str">
        <f ca="1">IFERROR(__xludf.DUMMYFUNCTION("""COMPUTED_VALUE"""),"Eliza McIlvaine")</f>
        <v>Eliza McIlvaine</v>
      </c>
      <c r="C112" s="78">
        <f ca="1">IFERROR(__xludf.DUMMYFUNCTION("""COMPUTED_VALUE"""),9)</f>
        <v>9</v>
      </c>
      <c r="D112" s="78" t="str">
        <f ca="1">IFERROR(__xludf.DUMMYFUNCTION("""COMPUTED_VALUE"""),"G")</f>
        <v>G</v>
      </c>
      <c r="E112" s="80" t="str">
        <f ca="1">IFERROR(__xludf.DUMMYFUNCTION("""COMPUTED_VALUE"""),"F")</f>
        <v>F</v>
      </c>
      <c r="F112" s="80" t="str">
        <f ca="1">IFERROR(__xludf.DUMMYFUNCTION("""COMPUTED_VALUE"""),"J")</f>
        <v>J</v>
      </c>
      <c r="G112" s="80">
        <f ca="1">IFERROR(__xludf.DUMMYFUNCTION("""COMPUTED_VALUE"""),5)</f>
        <v>5</v>
      </c>
      <c r="H112" s="80" t="str">
        <f ca="1">IFERROR(__xludf.DUMMYFUNCTION("""COMPUTED_VALUE"""),"CCC")</f>
        <v>CCC</v>
      </c>
      <c r="I112" s="80">
        <f ca="1">IFERROR(__xludf.DUMMYFUNCTION("""COMPUTED_VALUE"""),2)</f>
        <v>2</v>
      </c>
      <c r="J112" s="81">
        <f ca="1">IFERROR(__xludf.DUMMYFUNCTION("""COMPUTED_VALUE"""),5)</f>
        <v>5</v>
      </c>
      <c r="K112" s="81">
        <f ca="1">IFERROR(__xludf.DUMMYFUNCTION("""COMPUTED_VALUE"""),44.8)</f>
        <v>44.8</v>
      </c>
      <c r="L112" s="81">
        <f ca="1">IFERROR(__xludf.DUMMYFUNCTION("""COMPUTED_VALUE"""),11.5)</f>
        <v>11.5</v>
      </c>
      <c r="M112" s="81"/>
      <c r="N112" s="81">
        <f ca="1">IFERROR(__xludf.DUMMYFUNCTION("""COMPUTED_VALUE"""),22.85)</f>
        <v>22.85</v>
      </c>
      <c r="O112" s="81"/>
      <c r="P112" s="81">
        <f ca="1">IFERROR(__xludf.DUMMYFUNCTION("""COMPUTED_VALUE"""),39.1)</f>
        <v>39.1</v>
      </c>
      <c r="Q112" s="81"/>
      <c r="R112" s="81">
        <f ca="1">IFERROR(__xludf.DUMMYFUNCTION("""COMPUTED_VALUE"""),44.8)</f>
        <v>44.8</v>
      </c>
      <c r="S112" s="81"/>
      <c r="T112" s="81"/>
      <c r="U112" s="82"/>
      <c r="V112" s="82"/>
      <c r="W112" s="83"/>
      <c r="X112" s="83"/>
      <c r="Y112" s="83"/>
    </row>
    <row r="113" spans="1:25" ht="13.8">
      <c r="A113" s="78" t="str">
        <f ca="1">IFERROR(__xludf.DUMMYFUNCTION("""COMPUTED_VALUE"""),"CCC")</f>
        <v>CCC</v>
      </c>
      <c r="B113" s="79" t="str">
        <f ca="1">IFERROR(__xludf.DUMMYFUNCTION("""COMPUTED_VALUE"""),"Abby Southworth")</f>
        <v>Abby Southworth</v>
      </c>
      <c r="C113" s="78">
        <f ca="1">IFERROR(__xludf.DUMMYFUNCTION("""COMPUTED_VALUE"""),7)</f>
        <v>7</v>
      </c>
      <c r="D113" s="78" t="str">
        <f ca="1">IFERROR(__xludf.DUMMYFUNCTION("""COMPUTED_VALUE"""),"G")</f>
        <v>G</v>
      </c>
      <c r="E113" s="80" t="str">
        <f ca="1">IFERROR(__xludf.DUMMYFUNCTION("""COMPUTED_VALUE"""),"F")</f>
        <v>F</v>
      </c>
      <c r="F113" s="80" t="str">
        <f ca="1">IFERROR(__xludf.DUMMYFUNCTION("""COMPUTED_VALUE"""),"J")</f>
        <v>J</v>
      </c>
      <c r="G113" s="80">
        <f ca="1">IFERROR(__xludf.DUMMYFUNCTION("""COMPUTED_VALUE"""),5)</f>
        <v>5</v>
      </c>
      <c r="H113" s="80" t="str">
        <f ca="1">IFERROR(__xludf.DUMMYFUNCTION("""COMPUTED_VALUE"""),"CCC")</f>
        <v>CCC</v>
      </c>
      <c r="I113" s="80">
        <f ca="1">IFERROR(__xludf.DUMMYFUNCTION("""COMPUTED_VALUE"""),2)</f>
        <v>2</v>
      </c>
      <c r="J113" s="81">
        <f ca="1">IFERROR(__xludf.DUMMYFUNCTION("""COMPUTED_VALUE"""),4)</f>
        <v>4</v>
      </c>
      <c r="K113" s="81">
        <f ca="1">IFERROR(__xludf.DUMMYFUNCTION("""COMPUTED_VALUE"""),26.5)</f>
        <v>26.5</v>
      </c>
      <c r="L113" s="81">
        <f ca="1">IFERROR(__xludf.DUMMYFUNCTION("""COMPUTED_VALUE"""),0)</f>
        <v>0</v>
      </c>
      <c r="M113" s="81"/>
      <c r="N113" s="81">
        <f ca="1">IFERROR(__xludf.DUMMYFUNCTION("""COMPUTED_VALUE"""),13.75)</f>
        <v>13.75</v>
      </c>
      <c r="O113" s="81"/>
      <c r="P113" s="81">
        <f ca="1">IFERROR(__xludf.DUMMYFUNCTION("""COMPUTED_VALUE"""),26.5)</f>
        <v>26.5</v>
      </c>
      <c r="Q113" s="81"/>
      <c r="R113" s="81">
        <f ca="1">IFERROR(__xludf.DUMMYFUNCTION("""COMPUTED_VALUE"""),16.15)</f>
        <v>16.149999999999999</v>
      </c>
      <c r="S113" s="81"/>
      <c r="T113" s="81"/>
      <c r="U113" s="82"/>
      <c r="V113" s="82"/>
      <c r="W113" s="83"/>
      <c r="X113" s="83"/>
      <c r="Y113" s="83"/>
    </row>
    <row r="114" spans="1:25" ht="13.8">
      <c r="A114" s="78" t="str">
        <f ca="1">IFERROR(__xludf.DUMMYFUNCTION("""COMPUTED_VALUE"""),"CCC")</f>
        <v>CCC</v>
      </c>
      <c r="B114" s="79" t="str">
        <f ca="1">IFERROR(__xludf.DUMMYFUNCTION("""COMPUTED_VALUE"""),"Emma Thomas")</f>
        <v>Emma Thomas</v>
      </c>
      <c r="C114" s="78">
        <f ca="1">IFERROR(__xludf.DUMMYFUNCTION("""COMPUTED_VALUE"""),10)</f>
        <v>10</v>
      </c>
      <c r="D114" s="78" t="str">
        <f ca="1">IFERROR(__xludf.DUMMYFUNCTION("""COMPUTED_VALUE"""),"G")</f>
        <v>G</v>
      </c>
      <c r="E114" s="80" t="str">
        <f ca="1">IFERROR(__xludf.DUMMYFUNCTION("""COMPUTED_VALUE"""),"F")</f>
        <v>F</v>
      </c>
      <c r="F114" s="80" t="str">
        <f ca="1">IFERROR(__xludf.DUMMYFUNCTION("""COMPUTED_VALUE"""),"J")</f>
        <v>J</v>
      </c>
      <c r="G114" s="80">
        <f ca="1">IFERROR(__xludf.DUMMYFUNCTION("""COMPUTED_VALUE"""),5)</f>
        <v>5</v>
      </c>
      <c r="H114" s="80" t="str">
        <f ca="1">IFERROR(__xludf.DUMMYFUNCTION("""COMPUTED_VALUE"""),"CCC")</f>
        <v>CCC</v>
      </c>
      <c r="I114" s="80">
        <f ca="1">IFERROR(__xludf.DUMMYFUNCTION("""COMPUTED_VALUE"""),2)</f>
        <v>2</v>
      </c>
      <c r="J114" s="81">
        <f ca="1">IFERROR(__xludf.DUMMYFUNCTION("""COMPUTED_VALUE"""),3)</f>
        <v>3</v>
      </c>
      <c r="K114" s="81">
        <f ca="1">IFERROR(__xludf.DUMMYFUNCTION("""COMPUTED_VALUE"""),33.7)</f>
        <v>33.700000000000003</v>
      </c>
      <c r="L114" s="81">
        <f ca="1">IFERROR(__xludf.DUMMYFUNCTION("""COMPUTED_VALUE"""),0)</f>
        <v>0</v>
      </c>
      <c r="M114" s="81"/>
      <c r="N114" s="81">
        <f ca="1">IFERROR(__xludf.DUMMYFUNCTION("""COMPUTED_VALUE"""),33.7)</f>
        <v>33.700000000000003</v>
      </c>
      <c r="O114" s="81"/>
      <c r="P114" s="81">
        <f ca="1">IFERROR(__xludf.DUMMYFUNCTION("""COMPUTED_VALUE"""),0)</f>
        <v>0</v>
      </c>
      <c r="Q114" s="81"/>
      <c r="R114" s="81">
        <f ca="1">IFERROR(__xludf.DUMMYFUNCTION("""COMPUTED_VALUE"""),27.7)</f>
        <v>27.7</v>
      </c>
      <c r="S114" s="81"/>
      <c r="T114" s="81"/>
      <c r="U114" s="82"/>
      <c r="V114" s="82"/>
      <c r="W114" s="83"/>
      <c r="X114" s="83"/>
      <c r="Y114" s="83"/>
    </row>
    <row r="115" spans="1:25" ht="13.8">
      <c r="A115" s="78" t="str">
        <f ca="1">IFERROR(__xludf.DUMMYFUNCTION("""COMPUTED_VALUE"""),"CCC")</f>
        <v>CCC</v>
      </c>
      <c r="B115" s="79" t="str">
        <f ca="1">IFERROR(__xludf.DUMMYFUNCTION("""COMPUTED_VALUE"""),"Lillie Thomas")</f>
        <v>Lillie Thomas</v>
      </c>
      <c r="C115" s="78">
        <f ca="1">IFERROR(__xludf.DUMMYFUNCTION("""COMPUTED_VALUE"""),8)</f>
        <v>8</v>
      </c>
      <c r="D115" s="78" t="str">
        <f ca="1">IFERROR(__xludf.DUMMYFUNCTION("""COMPUTED_VALUE"""),"G")</f>
        <v>G</v>
      </c>
      <c r="E115" s="80" t="str">
        <f ca="1">IFERROR(__xludf.DUMMYFUNCTION("""COMPUTED_VALUE"""),"F")</f>
        <v>F</v>
      </c>
      <c r="F115" s="80" t="str">
        <f ca="1">IFERROR(__xludf.DUMMYFUNCTION("""COMPUTED_VALUE"""),"J")</f>
        <v>J</v>
      </c>
      <c r="G115" s="80">
        <f ca="1">IFERROR(__xludf.DUMMYFUNCTION("""COMPUTED_VALUE"""),5)</f>
        <v>5</v>
      </c>
      <c r="H115" s="80" t="str">
        <f ca="1">IFERROR(__xludf.DUMMYFUNCTION("""COMPUTED_VALUE"""),"CCC")</f>
        <v>CCC</v>
      </c>
      <c r="I115" s="80">
        <f ca="1">IFERROR(__xludf.DUMMYFUNCTION("""COMPUTED_VALUE"""),2)</f>
        <v>2</v>
      </c>
      <c r="J115" s="81">
        <f ca="1">IFERROR(__xludf.DUMMYFUNCTION("""COMPUTED_VALUE"""),3)</f>
        <v>3</v>
      </c>
      <c r="K115" s="81">
        <f ca="1">IFERROR(__xludf.DUMMYFUNCTION("""COMPUTED_VALUE"""),22.35)</f>
        <v>22.35</v>
      </c>
      <c r="L115" s="81">
        <f ca="1">IFERROR(__xludf.DUMMYFUNCTION("""COMPUTED_VALUE"""),0)</f>
        <v>0</v>
      </c>
      <c r="M115" s="81"/>
      <c r="N115" s="81">
        <f ca="1">IFERROR(__xludf.DUMMYFUNCTION("""COMPUTED_VALUE"""),14.25)</f>
        <v>14.25</v>
      </c>
      <c r="O115" s="81"/>
      <c r="P115" s="81">
        <f ca="1">IFERROR(__xludf.DUMMYFUNCTION("""COMPUTED_VALUE"""),0)</f>
        <v>0</v>
      </c>
      <c r="Q115" s="81"/>
      <c r="R115" s="81">
        <f ca="1">IFERROR(__xludf.DUMMYFUNCTION("""COMPUTED_VALUE"""),22.35)</f>
        <v>22.35</v>
      </c>
      <c r="S115" s="81"/>
      <c r="T115" s="81"/>
      <c r="U115" s="82"/>
      <c r="V115" s="82"/>
      <c r="W115" s="83"/>
      <c r="X115" s="83"/>
      <c r="Y115" s="83"/>
    </row>
    <row r="116" spans="1:25" ht="13.8">
      <c r="A116" s="78" t="str">
        <f ca="1">IFERROR(__xludf.DUMMYFUNCTION("""COMPUTED_VALUE"""),"CCC")</f>
        <v>CCC</v>
      </c>
      <c r="B116" s="79" t="str">
        <f ca="1">IFERROR(__xludf.DUMMYFUNCTION("""COMPUTED_VALUE"""),"Emerson Allen")</f>
        <v>Emerson Allen</v>
      </c>
      <c r="C116" s="78">
        <f ca="1">IFERROR(__xludf.DUMMYFUNCTION("""COMPUTED_VALUE"""),7)</f>
        <v>7</v>
      </c>
      <c r="D116" s="78" t="str">
        <f ca="1">IFERROR(__xludf.DUMMYFUNCTION("""COMPUTED_VALUE"""),"B")</f>
        <v>B</v>
      </c>
      <c r="E116" s="80" t="str">
        <f ca="1">IFERROR(__xludf.DUMMYFUNCTION("""COMPUTED_VALUE"""),"F")</f>
        <v>F</v>
      </c>
      <c r="F116" s="80" t="str">
        <f ca="1">IFERROR(__xludf.DUMMYFUNCTION("""COMPUTED_VALUE"""),"J")</f>
        <v>J</v>
      </c>
      <c r="G116" s="80">
        <f ca="1">IFERROR(__xludf.DUMMYFUNCTION("""COMPUTED_VALUE"""),5)</f>
        <v>5</v>
      </c>
      <c r="H116" s="80" t="str">
        <f ca="1">IFERROR(__xludf.DUMMYFUNCTION("""COMPUTED_VALUE"""),"CCC")</f>
        <v>CCC</v>
      </c>
      <c r="I116" s="80">
        <f ca="1">IFERROR(__xludf.DUMMYFUNCTION("""COMPUTED_VALUE"""),3)</f>
        <v>3</v>
      </c>
      <c r="J116" s="81">
        <f ca="1">IFERROR(__xludf.DUMMYFUNCTION("""COMPUTED_VALUE"""),3)</f>
        <v>3</v>
      </c>
      <c r="K116" s="81">
        <f ca="1">IFERROR(__xludf.DUMMYFUNCTION("""COMPUTED_VALUE"""),38.7)</f>
        <v>38.700000000000003</v>
      </c>
      <c r="L116" s="81">
        <f ca="1">IFERROR(__xludf.DUMMYFUNCTION("""COMPUTED_VALUE"""),0)</f>
        <v>0</v>
      </c>
      <c r="M116" s="81"/>
      <c r="N116" s="81">
        <f ca="1">IFERROR(__xludf.DUMMYFUNCTION("""COMPUTED_VALUE"""),14.5)</f>
        <v>14.5</v>
      </c>
      <c r="O116" s="81"/>
      <c r="P116" s="81">
        <f ca="1">IFERROR(__xludf.DUMMYFUNCTION("""COMPUTED_VALUE"""),38.7)</f>
        <v>38.700000000000003</v>
      </c>
      <c r="Q116" s="81"/>
      <c r="R116" s="81">
        <f ca="1">IFERROR(__xludf.DUMMYFUNCTION("""COMPUTED_VALUE"""),33.25)</f>
        <v>33.25</v>
      </c>
      <c r="S116" s="81"/>
      <c r="T116" s="81"/>
      <c r="U116" s="82"/>
      <c r="V116" s="82"/>
      <c r="W116" s="83"/>
      <c r="X116" s="83"/>
      <c r="Y116" s="83"/>
    </row>
    <row r="117" spans="1:25" ht="13.8">
      <c r="A117" s="78" t="str">
        <f ca="1">IFERROR(__xludf.DUMMYFUNCTION("""COMPUTED_VALUE"""),"CCC")</f>
        <v>CCC</v>
      </c>
      <c r="B117" s="79" t="str">
        <f ca="1">IFERROR(__xludf.DUMMYFUNCTION("""COMPUTED_VALUE"""),"Will Allen")</f>
        <v>Will Allen</v>
      </c>
      <c r="C117" s="78">
        <f ca="1">IFERROR(__xludf.DUMMYFUNCTION("""COMPUTED_VALUE"""),10)</f>
        <v>10</v>
      </c>
      <c r="D117" s="78" t="str">
        <f ca="1">IFERROR(__xludf.DUMMYFUNCTION("""COMPUTED_VALUE"""),"B")</f>
        <v>B</v>
      </c>
      <c r="E117" s="80" t="str">
        <f ca="1">IFERROR(__xludf.DUMMYFUNCTION("""COMPUTED_VALUE"""),"F")</f>
        <v>F</v>
      </c>
      <c r="F117" s="80" t="str">
        <f ca="1">IFERROR(__xludf.DUMMYFUNCTION("""COMPUTED_VALUE"""),"J")</f>
        <v>J</v>
      </c>
      <c r="G117" s="80">
        <f ca="1">IFERROR(__xludf.DUMMYFUNCTION("""COMPUTED_VALUE"""),5)</f>
        <v>5</v>
      </c>
      <c r="H117" s="80" t="str">
        <f ca="1">IFERROR(__xludf.DUMMYFUNCTION("""COMPUTED_VALUE"""),"CCC")</f>
        <v>CCC</v>
      </c>
      <c r="I117" s="80">
        <f ca="1">IFERROR(__xludf.DUMMYFUNCTION("""COMPUTED_VALUE"""),3)</f>
        <v>3</v>
      </c>
      <c r="J117" s="81">
        <f ca="1">IFERROR(__xludf.DUMMYFUNCTION("""COMPUTED_VALUE"""),1)</f>
        <v>1</v>
      </c>
      <c r="K117" s="81">
        <f ca="1">IFERROR(__xludf.DUMMYFUNCTION("""COMPUTED_VALUE"""),54.3)</f>
        <v>54.3</v>
      </c>
      <c r="L117" s="81">
        <f ca="1">IFERROR(__xludf.DUMMYFUNCTION("""COMPUTED_VALUE"""),0)</f>
        <v>0</v>
      </c>
      <c r="M117" s="81"/>
      <c r="N117" s="81">
        <f ca="1">IFERROR(__xludf.DUMMYFUNCTION("""COMPUTED_VALUE"""),0)</f>
        <v>0</v>
      </c>
      <c r="O117" s="81"/>
      <c r="P117" s="81">
        <f ca="1">IFERROR(__xludf.DUMMYFUNCTION("""COMPUTED_VALUE"""),0)</f>
        <v>0</v>
      </c>
      <c r="Q117" s="81"/>
      <c r="R117" s="81">
        <f ca="1">IFERROR(__xludf.DUMMYFUNCTION("""COMPUTED_VALUE"""),54.3)</f>
        <v>54.3</v>
      </c>
      <c r="S117" s="81"/>
      <c r="T117" s="81"/>
      <c r="U117" s="82"/>
      <c r="V117" s="82"/>
      <c r="W117" s="83"/>
      <c r="X117" s="83"/>
      <c r="Y117" s="83"/>
    </row>
    <row r="118" spans="1:25" ht="13.8">
      <c r="A118" s="78" t="str">
        <f ca="1">IFERROR(__xludf.DUMMYFUNCTION("""COMPUTED_VALUE"""),"CCC")</f>
        <v>CCC</v>
      </c>
      <c r="B118" s="79" t="str">
        <f ca="1">IFERROR(__xludf.DUMMYFUNCTION("""COMPUTED_VALUE"""),"Corey Berkenbilt")</f>
        <v>Corey Berkenbilt</v>
      </c>
      <c r="C118" s="78">
        <f ca="1">IFERROR(__xludf.DUMMYFUNCTION("""COMPUTED_VALUE"""),10)</f>
        <v>10</v>
      </c>
      <c r="D118" s="78" t="str">
        <f ca="1">IFERROR(__xludf.DUMMYFUNCTION("""COMPUTED_VALUE"""),"B")</f>
        <v>B</v>
      </c>
      <c r="E118" s="80" t="str">
        <f ca="1">IFERROR(__xludf.DUMMYFUNCTION("""COMPUTED_VALUE"""),"F")</f>
        <v>F</v>
      </c>
      <c r="F118" s="80" t="str">
        <f ca="1">IFERROR(__xludf.DUMMYFUNCTION("""COMPUTED_VALUE"""),"J")</f>
        <v>J</v>
      </c>
      <c r="G118" s="80">
        <f ca="1">IFERROR(__xludf.DUMMYFUNCTION("""COMPUTED_VALUE"""),5)</f>
        <v>5</v>
      </c>
      <c r="H118" s="80" t="str">
        <f ca="1">IFERROR(__xludf.DUMMYFUNCTION("""COMPUTED_VALUE"""),"CCC")</f>
        <v>CCC</v>
      </c>
      <c r="I118" s="80">
        <f ca="1">IFERROR(__xludf.DUMMYFUNCTION("""COMPUTED_VALUE"""),3)</f>
        <v>3</v>
      </c>
      <c r="J118" s="81">
        <f ca="1">IFERROR(__xludf.DUMMYFUNCTION("""COMPUTED_VALUE"""),0)</f>
        <v>0</v>
      </c>
      <c r="K118" s="81">
        <f ca="1">IFERROR(__xludf.DUMMYFUNCTION("""COMPUTED_VALUE"""),0)</f>
        <v>0</v>
      </c>
      <c r="L118" s="81">
        <f ca="1">IFERROR(__xludf.DUMMYFUNCTION("""COMPUTED_VALUE"""),0)</f>
        <v>0</v>
      </c>
      <c r="M118" s="81"/>
      <c r="N118" s="81">
        <f ca="1">IFERROR(__xludf.DUMMYFUNCTION("""COMPUTED_VALUE"""),0)</f>
        <v>0</v>
      </c>
      <c r="O118" s="81"/>
      <c r="P118" s="81">
        <f ca="1">IFERROR(__xludf.DUMMYFUNCTION("""COMPUTED_VALUE"""),0)</f>
        <v>0</v>
      </c>
      <c r="Q118" s="81"/>
      <c r="R118" s="81">
        <f ca="1">IFERROR(__xludf.DUMMYFUNCTION("""COMPUTED_VALUE"""),0)</f>
        <v>0</v>
      </c>
      <c r="S118" s="81"/>
      <c r="T118" s="81"/>
      <c r="U118" s="82"/>
      <c r="V118" s="82"/>
      <c r="W118" s="83"/>
      <c r="X118" s="83"/>
      <c r="Y118" s="83"/>
    </row>
    <row r="119" spans="1:25" ht="13.8">
      <c r="A119" s="78" t="str">
        <f ca="1">IFERROR(__xludf.DUMMYFUNCTION("""COMPUTED_VALUE"""),"CCC")</f>
        <v>CCC</v>
      </c>
      <c r="B119" s="79" t="str">
        <f ca="1">IFERROR(__xludf.DUMMYFUNCTION("""COMPUTED_VALUE"""),"Kyle Borgia")</f>
        <v>Kyle Borgia</v>
      </c>
      <c r="C119" s="78">
        <f ca="1">IFERROR(__xludf.DUMMYFUNCTION("""COMPUTED_VALUE"""),10)</f>
        <v>10</v>
      </c>
      <c r="D119" s="78" t="str">
        <f ca="1">IFERROR(__xludf.DUMMYFUNCTION("""COMPUTED_VALUE"""),"B")</f>
        <v>B</v>
      </c>
      <c r="E119" s="80" t="str">
        <f ca="1">IFERROR(__xludf.DUMMYFUNCTION("""COMPUTED_VALUE"""),"F")</f>
        <v>F</v>
      </c>
      <c r="F119" s="80" t="str">
        <f ca="1">IFERROR(__xludf.DUMMYFUNCTION("""COMPUTED_VALUE"""),"J")</f>
        <v>J</v>
      </c>
      <c r="G119" s="80">
        <f ca="1">IFERROR(__xludf.DUMMYFUNCTION("""COMPUTED_VALUE"""),5)</f>
        <v>5</v>
      </c>
      <c r="H119" s="80" t="str">
        <f ca="1">IFERROR(__xludf.DUMMYFUNCTION("""COMPUTED_VALUE"""),"CCC")</f>
        <v>CCC</v>
      </c>
      <c r="I119" s="80">
        <f ca="1">IFERROR(__xludf.DUMMYFUNCTION("""COMPUTED_VALUE"""),3)</f>
        <v>3</v>
      </c>
      <c r="J119" s="81">
        <f ca="1">IFERROR(__xludf.DUMMYFUNCTION("""COMPUTED_VALUE"""),3)</f>
        <v>3</v>
      </c>
      <c r="K119" s="81">
        <f ca="1">IFERROR(__xludf.DUMMYFUNCTION("""COMPUTED_VALUE"""),57.5)</f>
        <v>57.5</v>
      </c>
      <c r="L119" s="81">
        <f ca="1">IFERROR(__xludf.DUMMYFUNCTION("""COMPUTED_VALUE"""),57.5)</f>
        <v>57.5</v>
      </c>
      <c r="M119" s="81"/>
      <c r="N119" s="81">
        <f ca="1">IFERROR(__xludf.DUMMYFUNCTION("""COMPUTED_VALUE"""),49.45)</f>
        <v>49.45</v>
      </c>
      <c r="O119" s="81"/>
      <c r="P119" s="81">
        <f ca="1">IFERROR(__xludf.DUMMYFUNCTION("""COMPUTED_VALUE"""),0)</f>
        <v>0</v>
      </c>
      <c r="Q119" s="81"/>
      <c r="R119" s="81">
        <f ca="1">IFERROR(__xludf.DUMMYFUNCTION("""COMPUTED_VALUE"""),45.5)</f>
        <v>45.5</v>
      </c>
      <c r="S119" s="81"/>
      <c r="T119" s="81"/>
      <c r="U119" s="82"/>
      <c r="V119" s="82"/>
      <c r="W119" s="83"/>
      <c r="X119" s="83"/>
      <c r="Y119" s="83"/>
    </row>
    <row r="120" spans="1:25" ht="13.8">
      <c r="A120" s="78" t="str">
        <f ca="1">IFERROR(__xludf.DUMMYFUNCTION("""COMPUTED_VALUE"""),"CCC")</f>
        <v>CCC</v>
      </c>
      <c r="B120" s="79" t="str">
        <f ca="1">IFERROR(__xludf.DUMMYFUNCTION("""COMPUTED_VALUE"""),"Theo Edgerton")</f>
        <v>Theo Edgerton</v>
      </c>
      <c r="C120" s="78">
        <f ca="1">IFERROR(__xludf.DUMMYFUNCTION("""COMPUTED_VALUE"""),9)</f>
        <v>9</v>
      </c>
      <c r="D120" s="78" t="str">
        <f ca="1">IFERROR(__xludf.DUMMYFUNCTION("""COMPUTED_VALUE"""),"B")</f>
        <v>B</v>
      </c>
      <c r="E120" s="80" t="str">
        <f ca="1">IFERROR(__xludf.DUMMYFUNCTION("""COMPUTED_VALUE"""),"F")</f>
        <v>F</v>
      </c>
      <c r="F120" s="80" t="str">
        <f ca="1">IFERROR(__xludf.DUMMYFUNCTION("""COMPUTED_VALUE"""),"J")</f>
        <v>J</v>
      </c>
      <c r="G120" s="80">
        <f ca="1">IFERROR(__xludf.DUMMYFUNCTION("""COMPUTED_VALUE"""),5)</f>
        <v>5</v>
      </c>
      <c r="H120" s="80" t="str">
        <f ca="1">IFERROR(__xludf.DUMMYFUNCTION("""COMPUTED_VALUE"""),"CCC")</f>
        <v>CCC</v>
      </c>
      <c r="I120" s="80">
        <f ca="1">IFERROR(__xludf.DUMMYFUNCTION("""COMPUTED_VALUE"""),3)</f>
        <v>3</v>
      </c>
      <c r="J120" s="81">
        <f ca="1">IFERROR(__xludf.DUMMYFUNCTION("""COMPUTED_VALUE"""),0)</f>
        <v>0</v>
      </c>
      <c r="K120" s="81">
        <f ca="1">IFERROR(__xludf.DUMMYFUNCTION("""COMPUTED_VALUE"""),0)</f>
        <v>0</v>
      </c>
      <c r="L120" s="81">
        <f ca="1">IFERROR(__xludf.DUMMYFUNCTION("""COMPUTED_VALUE"""),0)</f>
        <v>0</v>
      </c>
      <c r="M120" s="81"/>
      <c r="N120" s="81">
        <f ca="1">IFERROR(__xludf.DUMMYFUNCTION("""COMPUTED_VALUE"""),0)</f>
        <v>0</v>
      </c>
      <c r="O120" s="81"/>
      <c r="P120" s="81">
        <f ca="1">IFERROR(__xludf.DUMMYFUNCTION("""COMPUTED_VALUE"""),0)</f>
        <v>0</v>
      </c>
      <c r="Q120" s="81"/>
      <c r="R120" s="81">
        <f ca="1">IFERROR(__xludf.DUMMYFUNCTION("""COMPUTED_VALUE"""),0)</f>
        <v>0</v>
      </c>
      <c r="S120" s="81"/>
      <c r="T120" s="81"/>
      <c r="U120" s="82"/>
      <c r="V120" s="82"/>
      <c r="W120" s="83"/>
      <c r="X120" s="83"/>
      <c r="Y120" s="83"/>
    </row>
    <row r="121" spans="1:25" ht="13.8">
      <c r="A121" s="78" t="str">
        <f ca="1">IFERROR(__xludf.DUMMYFUNCTION("""COMPUTED_VALUE"""),"CCC")</f>
        <v>CCC</v>
      </c>
      <c r="B121" s="79" t="str">
        <f ca="1">IFERROR(__xludf.DUMMYFUNCTION("""COMPUTED_VALUE"""),"Andrew Marks")</f>
        <v>Andrew Marks</v>
      </c>
      <c r="C121" s="78">
        <f ca="1">IFERROR(__xludf.DUMMYFUNCTION("""COMPUTED_VALUE"""),9)</f>
        <v>9</v>
      </c>
      <c r="D121" s="78" t="str">
        <f ca="1">IFERROR(__xludf.DUMMYFUNCTION("""COMPUTED_VALUE"""),"B")</f>
        <v>B</v>
      </c>
      <c r="E121" s="80" t="str">
        <f ca="1">IFERROR(__xludf.DUMMYFUNCTION("""COMPUTED_VALUE"""),"F")</f>
        <v>F</v>
      </c>
      <c r="F121" s="80" t="str">
        <f ca="1">IFERROR(__xludf.DUMMYFUNCTION("""COMPUTED_VALUE"""),"J")</f>
        <v>J</v>
      </c>
      <c r="G121" s="80">
        <f ca="1">IFERROR(__xludf.DUMMYFUNCTION("""COMPUTED_VALUE"""),5)</f>
        <v>5</v>
      </c>
      <c r="H121" s="80" t="str">
        <f ca="1">IFERROR(__xludf.DUMMYFUNCTION("""COMPUTED_VALUE"""),"CCC")</f>
        <v>CCC</v>
      </c>
      <c r="I121" s="80">
        <f ca="1">IFERROR(__xludf.DUMMYFUNCTION("""COMPUTED_VALUE"""),3)</f>
        <v>3</v>
      </c>
      <c r="J121" s="81">
        <f ca="1">IFERROR(__xludf.DUMMYFUNCTION("""COMPUTED_VALUE"""),0)</f>
        <v>0</v>
      </c>
      <c r="K121" s="81">
        <f ca="1">IFERROR(__xludf.DUMMYFUNCTION("""COMPUTED_VALUE"""),0)</f>
        <v>0</v>
      </c>
      <c r="L121" s="81">
        <f ca="1">IFERROR(__xludf.DUMMYFUNCTION("""COMPUTED_VALUE"""),0)</f>
        <v>0</v>
      </c>
      <c r="M121" s="81"/>
      <c r="N121" s="81">
        <f ca="1">IFERROR(__xludf.DUMMYFUNCTION("""COMPUTED_VALUE"""),0)</f>
        <v>0</v>
      </c>
      <c r="O121" s="81"/>
      <c r="P121" s="81">
        <f ca="1">IFERROR(__xludf.DUMMYFUNCTION("""COMPUTED_VALUE"""),0)</f>
        <v>0</v>
      </c>
      <c r="Q121" s="81"/>
      <c r="R121" s="81">
        <f ca="1">IFERROR(__xludf.DUMMYFUNCTION("""COMPUTED_VALUE"""),0)</f>
        <v>0</v>
      </c>
      <c r="S121" s="81"/>
      <c r="T121" s="81"/>
      <c r="U121" s="82"/>
      <c r="V121" s="82"/>
      <c r="W121" s="83"/>
      <c r="X121" s="83"/>
      <c r="Y121" s="83"/>
    </row>
    <row r="122" spans="1:25" ht="13.8">
      <c r="A122" s="78" t="str">
        <f ca="1">IFERROR(__xludf.DUMMYFUNCTION("""COMPUTED_VALUE"""),"CCC")</f>
        <v>CCC</v>
      </c>
      <c r="B122" s="79" t="str">
        <f ca="1">IFERROR(__xludf.DUMMYFUNCTION("""COMPUTED_VALUE"""),"Grayson Matlis")</f>
        <v>Grayson Matlis</v>
      </c>
      <c r="C122" s="78">
        <f ca="1">IFERROR(__xludf.DUMMYFUNCTION("""COMPUTED_VALUE"""),9)</f>
        <v>9</v>
      </c>
      <c r="D122" s="78" t="str">
        <f ca="1">IFERROR(__xludf.DUMMYFUNCTION("""COMPUTED_VALUE"""),"B")</f>
        <v>B</v>
      </c>
      <c r="E122" s="80" t="str">
        <f ca="1">IFERROR(__xludf.DUMMYFUNCTION("""COMPUTED_VALUE"""),"F")</f>
        <v>F</v>
      </c>
      <c r="F122" s="80" t="str">
        <f ca="1">IFERROR(__xludf.DUMMYFUNCTION("""COMPUTED_VALUE"""),"J")</f>
        <v>J</v>
      </c>
      <c r="G122" s="80">
        <f ca="1">IFERROR(__xludf.DUMMYFUNCTION("""COMPUTED_VALUE"""),5)</f>
        <v>5</v>
      </c>
      <c r="H122" s="80" t="str">
        <f ca="1">IFERROR(__xludf.DUMMYFUNCTION("""COMPUTED_VALUE"""),"CCC")</f>
        <v>CCC</v>
      </c>
      <c r="I122" s="80">
        <f ca="1">IFERROR(__xludf.DUMMYFUNCTION("""COMPUTED_VALUE"""),3)</f>
        <v>3</v>
      </c>
      <c r="J122" s="81">
        <f ca="1">IFERROR(__xludf.DUMMYFUNCTION("""COMPUTED_VALUE"""),3)</f>
        <v>3</v>
      </c>
      <c r="K122" s="81">
        <f ca="1">IFERROR(__xludf.DUMMYFUNCTION("""COMPUTED_VALUE"""),0)</f>
        <v>0</v>
      </c>
      <c r="L122" s="81">
        <f ca="1">IFERROR(__xludf.DUMMYFUNCTION("""COMPUTED_VALUE"""),0)</f>
        <v>0</v>
      </c>
      <c r="M122" s="81"/>
      <c r="N122" s="81">
        <f ca="1">IFERROR(__xludf.DUMMYFUNCTION("""COMPUTED_VALUE"""),-80.65)</f>
        <v>-80.650000000000006</v>
      </c>
      <c r="O122" s="81"/>
      <c r="P122" s="81">
        <f ca="1">IFERROR(__xludf.DUMMYFUNCTION("""COMPUTED_VALUE"""),0)</f>
        <v>0</v>
      </c>
      <c r="Q122" s="81"/>
      <c r="R122" s="81">
        <f ca="1">IFERROR(__xludf.DUMMYFUNCTION("""COMPUTED_VALUE"""),-84.3)</f>
        <v>-84.3</v>
      </c>
      <c r="S122" s="81"/>
      <c r="T122" s="81"/>
      <c r="U122" s="82"/>
      <c r="V122" s="82"/>
      <c r="W122" s="83"/>
      <c r="X122" s="83"/>
      <c r="Y122" s="83"/>
    </row>
    <row r="123" spans="1:25" ht="13.8">
      <c r="A123" s="78" t="str">
        <f ca="1">IFERROR(__xludf.DUMMYFUNCTION("""COMPUTED_VALUE"""),"CCC")</f>
        <v>CCC</v>
      </c>
      <c r="B123" s="79" t="str">
        <f ca="1">IFERROR(__xludf.DUMMYFUNCTION("""COMPUTED_VALUE"""),"Jack McIntosh")</f>
        <v>Jack McIntosh</v>
      </c>
      <c r="C123" s="78">
        <f ca="1">IFERROR(__xludf.DUMMYFUNCTION("""COMPUTED_VALUE"""),7)</f>
        <v>7</v>
      </c>
      <c r="D123" s="78" t="str">
        <f ca="1">IFERROR(__xludf.DUMMYFUNCTION("""COMPUTED_VALUE"""),"B")</f>
        <v>B</v>
      </c>
      <c r="E123" s="80" t="str">
        <f ca="1">IFERROR(__xludf.DUMMYFUNCTION("""COMPUTED_VALUE"""),"F")</f>
        <v>F</v>
      </c>
      <c r="F123" s="80" t="str">
        <f ca="1">IFERROR(__xludf.DUMMYFUNCTION("""COMPUTED_VALUE"""),"J")</f>
        <v>J</v>
      </c>
      <c r="G123" s="80">
        <f ca="1">IFERROR(__xludf.DUMMYFUNCTION("""COMPUTED_VALUE"""),5)</f>
        <v>5</v>
      </c>
      <c r="H123" s="80" t="str">
        <f ca="1">IFERROR(__xludf.DUMMYFUNCTION("""COMPUTED_VALUE"""),"CCC")</f>
        <v>CCC</v>
      </c>
      <c r="I123" s="80">
        <f ca="1">IFERROR(__xludf.DUMMYFUNCTION("""COMPUTED_VALUE"""),3)</f>
        <v>3</v>
      </c>
      <c r="J123" s="81">
        <f ca="1">IFERROR(__xludf.DUMMYFUNCTION("""COMPUTED_VALUE"""),4)</f>
        <v>4</v>
      </c>
      <c r="K123" s="81">
        <f ca="1">IFERROR(__xludf.DUMMYFUNCTION("""COMPUTED_VALUE"""),7.5)</f>
        <v>7.5</v>
      </c>
      <c r="L123" s="81">
        <f ca="1">IFERROR(__xludf.DUMMYFUNCTION("""COMPUTED_VALUE"""),7.5)</f>
        <v>7.5</v>
      </c>
      <c r="M123" s="81"/>
      <c r="N123" s="81" t="str">
        <f ca="1">IFERROR(__xludf.DUMMYFUNCTION("""COMPUTED_VALUE""")," DQ")</f>
        <v xml:space="preserve"> DQ</v>
      </c>
      <c r="O123" s="81"/>
      <c r="P123" s="81" t="str">
        <f ca="1">IFERROR(__xludf.DUMMYFUNCTION("""COMPUTED_VALUE""")," DQ")</f>
        <v xml:space="preserve"> DQ</v>
      </c>
      <c r="Q123" s="81"/>
      <c r="R123" s="81">
        <f ca="1">IFERROR(__xludf.DUMMYFUNCTION("""COMPUTED_VALUE"""),0)</f>
        <v>0</v>
      </c>
      <c r="S123" s="81"/>
      <c r="T123" s="81"/>
      <c r="U123" s="82"/>
      <c r="V123" s="82"/>
      <c r="W123" s="83"/>
      <c r="X123" s="83"/>
      <c r="Y123" s="83"/>
    </row>
    <row r="124" spans="1:25" ht="13.8">
      <c r="A124" s="78" t="str">
        <f ca="1">IFERROR(__xludf.DUMMYFUNCTION("""COMPUTED_VALUE"""),"CCC")</f>
        <v>CCC</v>
      </c>
      <c r="B124" s="79" t="str">
        <f ca="1">IFERROR(__xludf.DUMMYFUNCTION("""COMPUTED_VALUE"""),"Emilio Padilla")</f>
        <v>Emilio Padilla</v>
      </c>
      <c r="C124" s="78">
        <f ca="1">IFERROR(__xludf.DUMMYFUNCTION("""COMPUTED_VALUE"""),8)</f>
        <v>8</v>
      </c>
      <c r="D124" s="78" t="str">
        <f ca="1">IFERROR(__xludf.DUMMYFUNCTION("""COMPUTED_VALUE"""),"B")</f>
        <v>B</v>
      </c>
      <c r="E124" s="80" t="str">
        <f ca="1">IFERROR(__xludf.DUMMYFUNCTION("""COMPUTED_VALUE"""),"F")</f>
        <v>F</v>
      </c>
      <c r="F124" s="80" t="str">
        <f ca="1">IFERROR(__xludf.DUMMYFUNCTION("""COMPUTED_VALUE"""),"J")</f>
        <v>J</v>
      </c>
      <c r="G124" s="80">
        <f ca="1">IFERROR(__xludf.DUMMYFUNCTION("""COMPUTED_VALUE"""),5)</f>
        <v>5</v>
      </c>
      <c r="H124" s="80" t="str">
        <f ca="1">IFERROR(__xludf.DUMMYFUNCTION("""COMPUTED_VALUE"""),"CCC")</f>
        <v>CCC</v>
      </c>
      <c r="I124" s="80">
        <f ca="1">IFERROR(__xludf.DUMMYFUNCTION("""COMPUTED_VALUE"""),3)</f>
        <v>3</v>
      </c>
      <c r="J124" s="81">
        <f ca="1">IFERROR(__xludf.DUMMYFUNCTION("""COMPUTED_VALUE"""),3)</f>
        <v>3</v>
      </c>
      <c r="K124" s="81">
        <f ca="1">IFERROR(__xludf.DUMMYFUNCTION("""COMPUTED_VALUE"""),26.8)</f>
        <v>26.8</v>
      </c>
      <c r="L124" s="81">
        <f ca="1">IFERROR(__xludf.DUMMYFUNCTION("""COMPUTED_VALUE"""),0)</f>
        <v>0</v>
      </c>
      <c r="M124" s="81"/>
      <c r="N124" s="81">
        <f ca="1">IFERROR(__xludf.DUMMYFUNCTION("""COMPUTED_VALUE"""),0)</f>
        <v>0</v>
      </c>
      <c r="O124" s="81"/>
      <c r="P124" s="81">
        <f ca="1">IFERROR(__xludf.DUMMYFUNCTION("""COMPUTED_VALUE"""),25.75)</f>
        <v>25.75</v>
      </c>
      <c r="Q124" s="81"/>
      <c r="R124" s="81">
        <f ca="1">IFERROR(__xludf.DUMMYFUNCTION("""COMPUTED_VALUE"""),26.8)</f>
        <v>26.8</v>
      </c>
      <c r="S124" s="81"/>
      <c r="T124" s="81"/>
      <c r="U124" s="82"/>
      <c r="V124" s="82"/>
      <c r="W124" s="83"/>
      <c r="X124" s="83"/>
      <c r="Y124" s="83"/>
    </row>
    <row r="125" spans="1:25" ht="13.8">
      <c r="A125" s="78" t="str">
        <f ca="1">IFERROR(__xludf.DUMMYFUNCTION("""COMPUTED_VALUE"""),"CCC")</f>
        <v>CCC</v>
      </c>
      <c r="B125" s="79" t="str">
        <f ca="1">IFERROR(__xludf.DUMMYFUNCTION("""COMPUTED_VALUE"""),"Easton Snyder")</f>
        <v>Easton Snyder</v>
      </c>
      <c r="C125" s="78">
        <f ca="1">IFERROR(__xludf.DUMMYFUNCTION("""COMPUTED_VALUE"""),6)</f>
        <v>6</v>
      </c>
      <c r="D125" s="78" t="str">
        <f ca="1">IFERROR(__xludf.DUMMYFUNCTION("""COMPUTED_VALUE"""),"B")</f>
        <v>B</v>
      </c>
      <c r="E125" s="80" t="str">
        <f ca="1">IFERROR(__xludf.DUMMYFUNCTION("""COMPUTED_VALUE"""),"F")</f>
        <v>F</v>
      </c>
      <c r="F125" s="80" t="str">
        <f ca="1">IFERROR(__xludf.DUMMYFUNCTION("""COMPUTED_VALUE"""),"J")</f>
        <v>J</v>
      </c>
      <c r="G125" s="80">
        <f ca="1">IFERROR(__xludf.DUMMYFUNCTION("""COMPUTED_VALUE"""),5)</f>
        <v>5</v>
      </c>
      <c r="H125" s="80" t="str">
        <f ca="1">IFERROR(__xludf.DUMMYFUNCTION("""COMPUTED_VALUE"""),"CCC")</f>
        <v>CCC</v>
      </c>
      <c r="I125" s="80">
        <f ca="1">IFERROR(__xludf.DUMMYFUNCTION("""COMPUTED_VALUE"""),3)</f>
        <v>3</v>
      </c>
      <c r="J125" s="81">
        <f ca="1">IFERROR(__xludf.DUMMYFUNCTION("""COMPUTED_VALUE"""),1)</f>
        <v>1</v>
      </c>
      <c r="K125" s="81">
        <f ca="1">IFERROR(__xludf.DUMMYFUNCTION("""COMPUTED_VALUE"""),12.25)</f>
        <v>12.25</v>
      </c>
      <c r="L125" s="81">
        <f ca="1">IFERROR(__xludf.DUMMYFUNCTION("""COMPUTED_VALUE"""),0)</f>
        <v>0</v>
      </c>
      <c r="M125" s="81"/>
      <c r="N125" s="81">
        <f ca="1">IFERROR(__xludf.DUMMYFUNCTION("""COMPUTED_VALUE"""),0)</f>
        <v>0</v>
      </c>
      <c r="O125" s="81"/>
      <c r="P125" s="81">
        <f ca="1">IFERROR(__xludf.DUMMYFUNCTION("""COMPUTED_VALUE"""),0)</f>
        <v>0</v>
      </c>
      <c r="Q125" s="81"/>
      <c r="R125" s="81">
        <f ca="1">IFERROR(__xludf.DUMMYFUNCTION("""COMPUTED_VALUE"""),12.25)</f>
        <v>12.25</v>
      </c>
      <c r="S125" s="81"/>
      <c r="T125" s="81"/>
      <c r="U125" s="82"/>
      <c r="V125" s="82"/>
      <c r="W125" s="83"/>
      <c r="X125" s="83"/>
      <c r="Y125" s="83"/>
    </row>
    <row r="126" spans="1:25" ht="13.8">
      <c r="A126" s="78" t="str">
        <f ca="1">IFERROR(__xludf.DUMMYFUNCTION("""COMPUTED_VALUE"""),"CCC")</f>
        <v>CCC</v>
      </c>
      <c r="B126" s="79" t="str">
        <f ca="1">IFERROR(__xludf.DUMMYFUNCTION("""COMPUTED_VALUE"""),"Owen Snyder")</f>
        <v>Owen Snyder</v>
      </c>
      <c r="C126" s="78">
        <f ca="1">IFERROR(__xludf.DUMMYFUNCTION("""COMPUTED_VALUE"""),9)</f>
        <v>9</v>
      </c>
      <c r="D126" s="78" t="str">
        <f ca="1">IFERROR(__xludf.DUMMYFUNCTION("""COMPUTED_VALUE"""),"B")</f>
        <v>B</v>
      </c>
      <c r="E126" s="80" t="str">
        <f ca="1">IFERROR(__xludf.DUMMYFUNCTION("""COMPUTED_VALUE"""),"F")</f>
        <v>F</v>
      </c>
      <c r="F126" s="80" t="str">
        <f ca="1">IFERROR(__xludf.DUMMYFUNCTION("""COMPUTED_VALUE"""),"J")</f>
        <v>J</v>
      </c>
      <c r="G126" s="80">
        <f ca="1">IFERROR(__xludf.DUMMYFUNCTION("""COMPUTED_VALUE"""),5)</f>
        <v>5</v>
      </c>
      <c r="H126" s="80" t="str">
        <f ca="1">IFERROR(__xludf.DUMMYFUNCTION("""COMPUTED_VALUE"""),"CCC")</f>
        <v>CCC</v>
      </c>
      <c r="I126" s="80">
        <f ca="1">IFERROR(__xludf.DUMMYFUNCTION("""COMPUTED_VALUE"""),3)</f>
        <v>3</v>
      </c>
      <c r="J126" s="81">
        <f ca="1">IFERROR(__xludf.DUMMYFUNCTION("""COMPUTED_VALUE"""),4)</f>
        <v>4</v>
      </c>
      <c r="K126" s="81">
        <f ca="1">IFERROR(__xludf.DUMMYFUNCTION("""COMPUTED_VALUE"""),43.45)</f>
        <v>43.45</v>
      </c>
      <c r="L126" s="81">
        <f ca="1">IFERROR(__xludf.DUMMYFUNCTION("""COMPUTED_VALUE"""),32.25)</f>
        <v>32.25</v>
      </c>
      <c r="M126" s="81"/>
      <c r="N126" s="81">
        <f ca="1">IFERROR(__xludf.DUMMYFUNCTION("""COMPUTED_VALUE"""),43.45)</f>
        <v>43.45</v>
      </c>
      <c r="O126" s="81"/>
      <c r="P126" s="81">
        <f ca="1">IFERROR(__xludf.DUMMYFUNCTION("""COMPUTED_VALUE"""),41.7)</f>
        <v>41.7</v>
      </c>
      <c r="Q126" s="81"/>
      <c r="R126" s="81">
        <f ca="1">IFERROR(__xludf.DUMMYFUNCTION("""COMPUTED_VALUE"""),37.6)</f>
        <v>37.6</v>
      </c>
      <c r="S126" s="81"/>
      <c r="T126" s="81"/>
      <c r="U126" s="82"/>
      <c r="V126" s="82"/>
      <c r="W126" s="83"/>
      <c r="X126" s="83"/>
      <c r="Y126" s="83"/>
    </row>
    <row r="127" spans="1:25" ht="13.8">
      <c r="A127" s="78" t="str">
        <f ca="1">IFERROR(__xludf.DUMMYFUNCTION("""COMPUTED_VALUE"""),"CCC")</f>
        <v>CCC</v>
      </c>
      <c r="B127" s="79" t="str">
        <f ca="1">IFERROR(__xludf.DUMMYFUNCTION("""COMPUTED_VALUE"""),"Drew Southworth")</f>
        <v>Drew Southworth</v>
      </c>
      <c r="C127" s="78">
        <f ca="1">IFERROR(__xludf.DUMMYFUNCTION("""COMPUTED_VALUE"""),9)</f>
        <v>9</v>
      </c>
      <c r="D127" s="78" t="str">
        <f ca="1">IFERROR(__xludf.DUMMYFUNCTION("""COMPUTED_VALUE"""),"B")</f>
        <v>B</v>
      </c>
      <c r="E127" s="80" t="str">
        <f ca="1">IFERROR(__xludf.DUMMYFUNCTION("""COMPUTED_VALUE"""),"F")</f>
        <v>F</v>
      </c>
      <c r="F127" s="80" t="str">
        <f ca="1">IFERROR(__xludf.DUMMYFUNCTION("""COMPUTED_VALUE"""),"J")</f>
        <v>J</v>
      </c>
      <c r="G127" s="80">
        <f ca="1">IFERROR(__xludf.DUMMYFUNCTION("""COMPUTED_VALUE"""),5)</f>
        <v>5</v>
      </c>
      <c r="H127" s="80" t="str">
        <f ca="1">IFERROR(__xludf.DUMMYFUNCTION("""COMPUTED_VALUE"""),"CCC")</f>
        <v>CCC</v>
      </c>
      <c r="I127" s="80">
        <f ca="1">IFERROR(__xludf.DUMMYFUNCTION("""COMPUTED_VALUE"""),3)</f>
        <v>3</v>
      </c>
      <c r="J127" s="81">
        <f ca="1">IFERROR(__xludf.DUMMYFUNCTION("""COMPUTED_VALUE"""),0)</f>
        <v>0</v>
      </c>
      <c r="K127" s="81">
        <f ca="1">IFERROR(__xludf.DUMMYFUNCTION("""COMPUTED_VALUE"""),0)</f>
        <v>0</v>
      </c>
      <c r="L127" s="81">
        <f ca="1">IFERROR(__xludf.DUMMYFUNCTION("""COMPUTED_VALUE"""),0)</f>
        <v>0</v>
      </c>
      <c r="M127" s="81"/>
      <c r="N127" s="81">
        <f ca="1">IFERROR(__xludf.DUMMYFUNCTION("""COMPUTED_VALUE"""),0)</f>
        <v>0</v>
      </c>
      <c r="O127" s="81"/>
      <c r="P127" s="81">
        <f ca="1">IFERROR(__xludf.DUMMYFUNCTION("""COMPUTED_VALUE"""),0)</f>
        <v>0</v>
      </c>
      <c r="Q127" s="81"/>
      <c r="R127" s="81">
        <f ca="1">IFERROR(__xludf.DUMMYFUNCTION("""COMPUTED_VALUE"""),0)</f>
        <v>0</v>
      </c>
      <c r="S127" s="81"/>
      <c r="T127" s="81"/>
      <c r="U127" s="82"/>
      <c r="V127" s="82"/>
      <c r="W127" s="83"/>
      <c r="X127" s="83"/>
      <c r="Y127" s="83"/>
    </row>
    <row r="128" spans="1:25" ht="13.8">
      <c r="A128" s="78" t="str">
        <f ca="1">IFERROR(__xludf.DUMMYFUNCTION("""COMPUTED_VALUE"""),"CCC")</f>
        <v>CCC</v>
      </c>
      <c r="B128" s="79" t="str">
        <f ca="1">IFERROR(__xludf.DUMMYFUNCTION("""COMPUTED_VALUE"""),"Josh Themely")</f>
        <v>Josh Themely</v>
      </c>
      <c r="C128" s="78">
        <f ca="1">IFERROR(__xludf.DUMMYFUNCTION("""COMPUTED_VALUE"""),9)</f>
        <v>9</v>
      </c>
      <c r="D128" s="78" t="str">
        <f ca="1">IFERROR(__xludf.DUMMYFUNCTION("""COMPUTED_VALUE"""),"B")</f>
        <v>B</v>
      </c>
      <c r="E128" s="80" t="str">
        <f ca="1">IFERROR(__xludf.DUMMYFUNCTION("""COMPUTED_VALUE"""),"F")</f>
        <v>F</v>
      </c>
      <c r="F128" s="80" t="str">
        <f ca="1">IFERROR(__xludf.DUMMYFUNCTION("""COMPUTED_VALUE"""),"J")</f>
        <v>J</v>
      </c>
      <c r="G128" s="80">
        <f ca="1">IFERROR(__xludf.DUMMYFUNCTION("""COMPUTED_VALUE"""),5)</f>
        <v>5</v>
      </c>
      <c r="H128" s="80" t="str">
        <f ca="1">IFERROR(__xludf.DUMMYFUNCTION("""COMPUTED_VALUE"""),"CCC")</f>
        <v>CCC</v>
      </c>
      <c r="I128" s="80">
        <f ca="1">IFERROR(__xludf.DUMMYFUNCTION("""COMPUTED_VALUE"""),3)</f>
        <v>3</v>
      </c>
      <c r="J128" s="81">
        <f ca="1">IFERROR(__xludf.DUMMYFUNCTION("""COMPUTED_VALUE"""),1)</f>
        <v>1</v>
      </c>
      <c r="K128" s="81">
        <f ca="1">IFERROR(__xludf.DUMMYFUNCTION("""COMPUTED_VALUE"""),64.95)</f>
        <v>64.95</v>
      </c>
      <c r="L128" s="81">
        <f ca="1">IFERROR(__xludf.DUMMYFUNCTION("""COMPUTED_VALUE"""),64.95)</f>
        <v>64.95</v>
      </c>
      <c r="M128" s="81"/>
      <c r="N128" s="81">
        <f ca="1">IFERROR(__xludf.DUMMYFUNCTION("""COMPUTED_VALUE"""),0)</f>
        <v>0</v>
      </c>
      <c r="O128" s="81"/>
      <c r="P128" s="81">
        <f ca="1">IFERROR(__xludf.DUMMYFUNCTION("""COMPUTED_VALUE"""),0)</f>
        <v>0</v>
      </c>
      <c r="Q128" s="81"/>
      <c r="R128" s="81">
        <f ca="1">IFERROR(__xludf.DUMMYFUNCTION("""COMPUTED_VALUE"""),0)</f>
        <v>0</v>
      </c>
      <c r="S128" s="81"/>
      <c r="T128" s="81"/>
      <c r="U128" s="82"/>
      <c r="V128" s="82"/>
      <c r="W128" s="83"/>
      <c r="X128" s="83"/>
      <c r="Y128" s="83"/>
    </row>
    <row r="129" spans="1:25" ht="13.8">
      <c r="A129" s="78" t="str">
        <f ca="1">IFERROR(__xludf.DUMMYFUNCTION("""COMPUTED_VALUE"""),"CCC")</f>
        <v>CCC</v>
      </c>
      <c r="B129" s="79" t="str">
        <f ca="1">IFERROR(__xludf.DUMMYFUNCTION("""COMPUTED_VALUE"""),"Damian Wertz")</f>
        <v>Damian Wertz</v>
      </c>
      <c r="C129" s="78">
        <f ca="1">IFERROR(__xludf.DUMMYFUNCTION("""COMPUTED_VALUE"""),9)</f>
        <v>9</v>
      </c>
      <c r="D129" s="78" t="str">
        <f ca="1">IFERROR(__xludf.DUMMYFUNCTION("""COMPUTED_VALUE"""),"B")</f>
        <v>B</v>
      </c>
      <c r="E129" s="80" t="str">
        <f ca="1">IFERROR(__xludf.DUMMYFUNCTION("""COMPUTED_VALUE"""),"F")</f>
        <v>F</v>
      </c>
      <c r="F129" s="80" t="str">
        <f ca="1">IFERROR(__xludf.DUMMYFUNCTION("""COMPUTED_VALUE"""),"J")</f>
        <v>J</v>
      </c>
      <c r="G129" s="80">
        <f ca="1">IFERROR(__xludf.DUMMYFUNCTION("""COMPUTED_VALUE"""),5)</f>
        <v>5</v>
      </c>
      <c r="H129" s="80" t="str">
        <f ca="1">IFERROR(__xludf.DUMMYFUNCTION("""COMPUTED_VALUE"""),"CCC")</f>
        <v>CCC</v>
      </c>
      <c r="I129" s="80">
        <f ca="1">IFERROR(__xludf.DUMMYFUNCTION("""COMPUTED_VALUE"""),3)</f>
        <v>3</v>
      </c>
      <c r="J129" s="81">
        <f ca="1">IFERROR(__xludf.DUMMYFUNCTION("""COMPUTED_VALUE"""),3)</f>
        <v>3</v>
      </c>
      <c r="K129" s="81">
        <f ca="1">IFERROR(__xludf.DUMMYFUNCTION("""COMPUTED_VALUE"""),36.2)</f>
        <v>36.200000000000003</v>
      </c>
      <c r="L129" s="81">
        <f ca="1">IFERROR(__xludf.DUMMYFUNCTION("""COMPUTED_VALUE"""),36.2)</f>
        <v>36.200000000000003</v>
      </c>
      <c r="M129" s="81"/>
      <c r="N129" s="81">
        <f ca="1">IFERROR(__xludf.DUMMYFUNCTION("""COMPUTED_VALUE"""),33.6)</f>
        <v>33.6</v>
      </c>
      <c r="O129" s="81"/>
      <c r="P129" s="81">
        <f ca="1">IFERROR(__xludf.DUMMYFUNCTION("""COMPUTED_VALUE"""),0)</f>
        <v>0</v>
      </c>
      <c r="Q129" s="81"/>
      <c r="R129" s="81">
        <f ca="1">IFERROR(__xludf.DUMMYFUNCTION("""COMPUTED_VALUE"""),0)</f>
        <v>0</v>
      </c>
      <c r="S129" s="81"/>
      <c r="T129" s="81"/>
      <c r="U129" s="82"/>
      <c r="V129" s="82"/>
      <c r="W129" s="83"/>
      <c r="X129" s="83"/>
      <c r="Y129" s="83"/>
    </row>
    <row r="130" spans="1:25" ht="13.8">
      <c r="A130" s="78" t="str">
        <f ca="1">IFERROR(__xludf.DUMMYFUNCTION("""COMPUTED_VALUE"""),"CCC")</f>
        <v>CCC</v>
      </c>
      <c r="B130" s="79" t="str">
        <f ca="1">IFERROR(__xludf.DUMMYFUNCTION("""COMPUTED_VALUE"""),"Colin Wilson")</f>
        <v>Colin Wilson</v>
      </c>
      <c r="C130" s="78">
        <f ca="1">IFERROR(__xludf.DUMMYFUNCTION("""COMPUTED_VALUE"""),8)</f>
        <v>8</v>
      </c>
      <c r="D130" s="78" t="str">
        <f ca="1">IFERROR(__xludf.DUMMYFUNCTION("""COMPUTED_VALUE"""),"B")</f>
        <v>B</v>
      </c>
      <c r="E130" s="80" t="str">
        <f ca="1">IFERROR(__xludf.DUMMYFUNCTION("""COMPUTED_VALUE"""),"F")</f>
        <v>F</v>
      </c>
      <c r="F130" s="80" t="str">
        <f ca="1">IFERROR(__xludf.DUMMYFUNCTION("""COMPUTED_VALUE"""),"J")</f>
        <v>J</v>
      </c>
      <c r="G130" s="80">
        <f ca="1">IFERROR(__xludf.DUMMYFUNCTION("""COMPUTED_VALUE"""),5)</f>
        <v>5</v>
      </c>
      <c r="H130" s="80" t="str">
        <f ca="1">IFERROR(__xludf.DUMMYFUNCTION("""COMPUTED_VALUE"""),"CCC")</f>
        <v>CCC</v>
      </c>
      <c r="I130" s="80">
        <f ca="1">IFERROR(__xludf.DUMMYFUNCTION("""COMPUTED_VALUE"""),3)</f>
        <v>3</v>
      </c>
      <c r="J130" s="81">
        <f ca="1">IFERROR(__xludf.DUMMYFUNCTION("""COMPUTED_VALUE"""),4)</f>
        <v>4</v>
      </c>
      <c r="K130" s="81">
        <f ca="1">IFERROR(__xludf.DUMMYFUNCTION("""COMPUTED_VALUE"""),37.3)</f>
        <v>37.299999999999997</v>
      </c>
      <c r="L130" s="81">
        <f ca="1">IFERROR(__xludf.DUMMYFUNCTION("""COMPUTED_VALUE"""),19.3)</f>
        <v>19.3</v>
      </c>
      <c r="M130" s="81"/>
      <c r="N130" s="81">
        <f ca="1">IFERROR(__xludf.DUMMYFUNCTION("""COMPUTED_VALUE"""),31.4)</f>
        <v>31.4</v>
      </c>
      <c r="O130" s="81"/>
      <c r="P130" s="81">
        <f ca="1">IFERROR(__xludf.DUMMYFUNCTION("""COMPUTED_VALUE"""),0)</f>
        <v>0</v>
      </c>
      <c r="Q130" s="81"/>
      <c r="R130" s="81">
        <f ca="1">IFERROR(__xludf.DUMMYFUNCTION("""COMPUTED_VALUE"""),37.3)</f>
        <v>37.299999999999997</v>
      </c>
      <c r="S130" s="81"/>
      <c r="T130" s="81"/>
      <c r="U130" s="82"/>
      <c r="V130" s="82"/>
      <c r="W130" s="83"/>
      <c r="X130" s="83"/>
      <c r="Y130" s="83"/>
    </row>
    <row r="131" spans="1:25" ht="13.8">
      <c r="A131" s="78" t="str">
        <f ca="1">IFERROR(__xludf.DUMMYFUNCTION("""COMPUTED_VALUE"""),"CCC")</f>
        <v>CCC</v>
      </c>
      <c r="B131" s="79" t="str">
        <f ca="1">IFERROR(__xludf.DUMMYFUNCTION("""COMPUTED_VALUE"""),"Charlotte Knighton")</f>
        <v>Charlotte Knighton</v>
      </c>
      <c r="C131" s="78">
        <f ca="1">IFERROR(__xludf.DUMMYFUNCTION("""COMPUTED_VALUE"""),11)</f>
        <v>11</v>
      </c>
      <c r="D131" s="78" t="str">
        <f ca="1">IFERROR(__xludf.DUMMYFUNCTION("""COMPUTED_VALUE"""),"G")</f>
        <v>G</v>
      </c>
      <c r="E131" s="80" t="str">
        <f ca="1">IFERROR(__xludf.DUMMYFUNCTION("""COMPUTED_VALUE"""),"J")</f>
        <v>J</v>
      </c>
      <c r="F131" s="80" t="str">
        <f ca="1">IFERROR(__xludf.DUMMYFUNCTION("""COMPUTED_VALUE"""),"I")</f>
        <v>I</v>
      </c>
      <c r="G131" s="80">
        <f ca="1">IFERROR(__xludf.DUMMYFUNCTION("""COMPUTED_VALUE"""),5)</f>
        <v>5</v>
      </c>
      <c r="H131" s="80" t="str">
        <f ca="1">IFERROR(__xludf.DUMMYFUNCTION("""COMPUTED_VALUE"""),"CCC")</f>
        <v>CCC</v>
      </c>
      <c r="I131" s="80">
        <f ca="1">IFERROR(__xludf.DUMMYFUNCTION("""COMPUTED_VALUE"""),4)</f>
        <v>4</v>
      </c>
      <c r="J131" s="81">
        <f ca="1">IFERROR(__xludf.DUMMYFUNCTION("""COMPUTED_VALUE"""),4)</f>
        <v>4</v>
      </c>
      <c r="K131" s="81">
        <f ca="1">IFERROR(__xludf.DUMMYFUNCTION("""COMPUTED_VALUE"""),49.9)</f>
        <v>49.9</v>
      </c>
      <c r="L131" s="81">
        <f ca="1">IFERROR(__xludf.DUMMYFUNCTION("""COMPUTED_VALUE"""),47.95)</f>
        <v>47.95</v>
      </c>
      <c r="M131" s="81"/>
      <c r="N131" s="81">
        <f ca="1">IFERROR(__xludf.DUMMYFUNCTION("""COMPUTED_VALUE"""),49.9)</f>
        <v>49.9</v>
      </c>
      <c r="O131" s="81"/>
      <c r="P131" s="81">
        <f ca="1">IFERROR(__xludf.DUMMYFUNCTION("""COMPUTED_VALUE"""),0)</f>
        <v>0</v>
      </c>
      <c r="Q131" s="81"/>
      <c r="R131" s="81">
        <f ca="1">IFERROR(__xludf.DUMMYFUNCTION("""COMPUTED_VALUE"""),44.7)</f>
        <v>44.7</v>
      </c>
      <c r="S131" s="81"/>
      <c r="T131" s="81"/>
      <c r="U131" s="82"/>
      <c r="V131" s="82"/>
      <c r="W131" s="83"/>
      <c r="X131" s="83"/>
      <c r="Y131" s="83"/>
    </row>
    <row r="132" spans="1:25" ht="13.8">
      <c r="A132" s="78" t="str">
        <f ca="1">IFERROR(__xludf.DUMMYFUNCTION("""COMPUTED_VALUE"""),"CCC")</f>
        <v>CCC</v>
      </c>
      <c r="B132" s="79" t="str">
        <f ca="1">IFERROR(__xludf.DUMMYFUNCTION("""COMPUTED_VALUE"""),"Kennedy McIntosh")</f>
        <v>Kennedy McIntosh</v>
      </c>
      <c r="C132" s="78">
        <f ca="1">IFERROR(__xludf.DUMMYFUNCTION("""COMPUTED_VALUE"""),11)</f>
        <v>11</v>
      </c>
      <c r="D132" s="78" t="str">
        <f ca="1">IFERROR(__xludf.DUMMYFUNCTION("""COMPUTED_VALUE"""),"G")</f>
        <v>G</v>
      </c>
      <c r="E132" s="80" t="str">
        <f ca="1">IFERROR(__xludf.DUMMYFUNCTION("""COMPUTED_VALUE"""),"J")</f>
        <v>J</v>
      </c>
      <c r="F132" s="80" t="str">
        <f ca="1">IFERROR(__xludf.DUMMYFUNCTION("""COMPUTED_VALUE"""),"I")</f>
        <v>I</v>
      </c>
      <c r="G132" s="80">
        <f ca="1">IFERROR(__xludf.DUMMYFUNCTION("""COMPUTED_VALUE"""),5)</f>
        <v>5</v>
      </c>
      <c r="H132" s="80" t="str">
        <f ca="1">IFERROR(__xludf.DUMMYFUNCTION("""COMPUTED_VALUE"""),"CCC")</f>
        <v>CCC</v>
      </c>
      <c r="I132" s="80">
        <f ca="1">IFERROR(__xludf.DUMMYFUNCTION("""COMPUTED_VALUE"""),4)</f>
        <v>4</v>
      </c>
      <c r="J132" s="81">
        <f ca="1">IFERROR(__xludf.DUMMYFUNCTION("""COMPUTED_VALUE"""),2)</f>
        <v>2</v>
      </c>
      <c r="K132" s="81">
        <f ca="1">IFERROR(__xludf.DUMMYFUNCTION("""COMPUTED_VALUE"""),51.15)</f>
        <v>51.15</v>
      </c>
      <c r="L132" s="81">
        <f ca="1">IFERROR(__xludf.DUMMYFUNCTION("""COMPUTED_VALUE"""),0)</f>
        <v>0</v>
      </c>
      <c r="M132" s="81"/>
      <c r="N132" s="81">
        <f ca="1">IFERROR(__xludf.DUMMYFUNCTION("""COMPUTED_VALUE"""),0)</f>
        <v>0</v>
      </c>
      <c r="O132" s="81"/>
      <c r="P132" s="81">
        <f ca="1">IFERROR(__xludf.DUMMYFUNCTION("""COMPUTED_VALUE"""),48.5)</f>
        <v>48.5</v>
      </c>
      <c r="Q132" s="81"/>
      <c r="R132" s="81">
        <f ca="1">IFERROR(__xludf.DUMMYFUNCTION("""COMPUTED_VALUE"""),51.15)</f>
        <v>51.15</v>
      </c>
      <c r="S132" s="81"/>
      <c r="T132" s="81"/>
      <c r="U132" s="82"/>
      <c r="V132" s="82"/>
      <c r="W132" s="83"/>
      <c r="X132" s="83"/>
      <c r="Y132" s="83"/>
    </row>
    <row r="133" spans="1:25" ht="13.8">
      <c r="A133" s="78" t="str">
        <f ca="1">IFERROR(__xludf.DUMMYFUNCTION("""COMPUTED_VALUE"""),"CCC")</f>
        <v>CCC</v>
      </c>
      <c r="B133" s="79" t="str">
        <f ca="1">IFERROR(__xludf.DUMMYFUNCTION("""COMPUTED_VALUE"""),"Cecilia Wilson")</f>
        <v>Cecilia Wilson</v>
      </c>
      <c r="C133" s="78">
        <f ca="1">IFERROR(__xludf.DUMMYFUNCTION("""COMPUTED_VALUE"""),11)</f>
        <v>11</v>
      </c>
      <c r="D133" s="78" t="str">
        <f ca="1">IFERROR(__xludf.DUMMYFUNCTION("""COMPUTED_VALUE"""),"G")</f>
        <v>G</v>
      </c>
      <c r="E133" s="80" t="str">
        <f ca="1">IFERROR(__xludf.DUMMYFUNCTION("""COMPUTED_VALUE"""),"J")</f>
        <v>J</v>
      </c>
      <c r="F133" s="80" t="str">
        <f ca="1">IFERROR(__xludf.DUMMYFUNCTION("""COMPUTED_VALUE"""),"I")</f>
        <v>I</v>
      </c>
      <c r="G133" s="80">
        <f ca="1">IFERROR(__xludf.DUMMYFUNCTION("""COMPUTED_VALUE"""),5)</f>
        <v>5</v>
      </c>
      <c r="H133" s="80" t="str">
        <f ca="1">IFERROR(__xludf.DUMMYFUNCTION("""COMPUTED_VALUE"""),"CCC")</f>
        <v>CCC</v>
      </c>
      <c r="I133" s="80">
        <f ca="1">IFERROR(__xludf.DUMMYFUNCTION("""COMPUTED_VALUE"""),4)</f>
        <v>4</v>
      </c>
      <c r="J133" s="81">
        <f ca="1">IFERROR(__xludf.DUMMYFUNCTION("""COMPUTED_VALUE"""),4)</f>
        <v>4</v>
      </c>
      <c r="K133" s="81">
        <f ca="1">IFERROR(__xludf.DUMMYFUNCTION("""COMPUTED_VALUE"""),81.65)</f>
        <v>81.650000000000006</v>
      </c>
      <c r="L133" s="81">
        <f ca="1">IFERROR(__xludf.DUMMYFUNCTION("""COMPUTED_VALUE"""),56.85)</f>
        <v>56.85</v>
      </c>
      <c r="M133" s="81"/>
      <c r="N133" s="81">
        <f ca="1">IFERROR(__xludf.DUMMYFUNCTION("""COMPUTED_VALUE"""),81.65)</f>
        <v>81.650000000000006</v>
      </c>
      <c r="O133" s="81"/>
      <c r="P133" s="81">
        <f ca="1">IFERROR(__xludf.DUMMYFUNCTION("""COMPUTED_VALUE"""),0)</f>
        <v>0</v>
      </c>
      <c r="Q133" s="81"/>
      <c r="R133" s="81">
        <f ca="1">IFERROR(__xludf.DUMMYFUNCTION("""COMPUTED_VALUE"""),69.8)</f>
        <v>69.8</v>
      </c>
      <c r="S133" s="81"/>
      <c r="T133" s="81"/>
      <c r="U133" s="82"/>
      <c r="V133" s="82"/>
      <c r="W133" s="83"/>
      <c r="X133" s="83"/>
      <c r="Y133" s="83"/>
    </row>
    <row r="134" spans="1:25" ht="13.8">
      <c r="A134" s="78" t="str">
        <f ca="1">IFERROR(__xludf.DUMMYFUNCTION("""COMPUTED_VALUE"""),"CCC")</f>
        <v>CCC</v>
      </c>
      <c r="B134" s="79" t="str">
        <f ca="1">IFERROR(__xludf.DUMMYFUNCTION("""COMPUTED_VALUE"""),"Max Edgerton")</f>
        <v>Max Edgerton</v>
      </c>
      <c r="C134" s="78">
        <f ca="1">IFERROR(__xludf.DUMMYFUNCTION("""COMPUTED_VALUE"""),11)</f>
        <v>11</v>
      </c>
      <c r="D134" s="78" t="str">
        <f ca="1">IFERROR(__xludf.DUMMYFUNCTION("""COMPUTED_VALUE"""),"B")</f>
        <v>B</v>
      </c>
      <c r="E134" s="80" t="str">
        <f ca="1">IFERROR(__xludf.DUMMYFUNCTION("""COMPUTED_VALUE"""),"J")</f>
        <v>J</v>
      </c>
      <c r="F134" s="80" t="str">
        <f ca="1">IFERROR(__xludf.DUMMYFUNCTION("""COMPUTED_VALUE"""),"I")</f>
        <v>I</v>
      </c>
      <c r="G134" s="80">
        <f ca="1">IFERROR(__xludf.DUMMYFUNCTION("""COMPUTED_VALUE"""),5)</f>
        <v>5</v>
      </c>
      <c r="H134" s="80" t="str">
        <f ca="1">IFERROR(__xludf.DUMMYFUNCTION("""COMPUTED_VALUE"""),"CCC")</f>
        <v>CCC</v>
      </c>
      <c r="I134" s="80">
        <f ca="1">IFERROR(__xludf.DUMMYFUNCTION("""COMPUTED_VALUE"""),5)</f>
        <v>5</v>
      </c>
      <c r="J134" s="81">
        <f ca="1">IFERROR(__xludf.DUMMYFUNCTION("""COMPUTED_VALUE"""),1)</f>
        <v>1</v>
      </c>
      <c r="K134" s="81">
        <f ca="1">IFERROR(__xludf.DUMMYFUNCTION("""COMPUTED_VALUE"""),0)</f>
        <v>0</v>
      </c>
      <c r="L134" s="81">
        <f ca="1">IFERROR(__xludf.DUMMYFUNCTION("""COMPUTED_VALUE"""),0)</f>
        <v>0</v>
      </c>
      <c r="M134" s="81"/>
      <c r="N134" s="81">
        <f ca="1">IFERROR(__xludf.DUMMYFUNCTION("""COMPUTED_VALUE"""),0)</f>
        <v>0</v>
      </c>
      <c r="O134" s="81"/>
      <c r="P134" s="81">
        <f ca="1">IFERROR(__xludf.DUMMYFUNCTION("""COMPUTED_VALUE"""),0)</f>
        <v>0</v>
      </c>
      <c r="Q134" s="81"/>
      <c r="R134" s="81">
        <f ca="1">IFERROR(__xludf.DUMMYFUNCTION("""COMPUTED_VALUE"""),0)</f>
        <v>0</v>
      </c>
      <c r="S134" s="81"/>
      <c r="T134" s="81"/>
      <c r="U134" s="82"/>
      <c r="V134" s="82"/>
      <c r="W134" s="83"/>
      <c r="X134" s="83"/>
      <c r="Y134" s="83"/>
    </row>
    <row r="135" spans="1:25" ht="13.8">
      <c r="A135" s="78" t="str">
        <f ca="1">IFERROR(__xludf.DUMMYFUNCTION("""COMPUTED_VALUE"""),"CCC")</f>
        <v>CCC</v>
      </c>
      <c r="B135" s="79" t="str">
        <f ca="1">IFERROR(__xludf.DUMMYFUNCTION("""COMPUTED_VALUE"""),"Nate Southworth")</f>
        <v>Nate Southworth</v>
      </c>
      <c r="C135" s="78">
        <f ca="1">IFERROR(__xludf.DUMMYFUNCTION("""COMPUTED_VALUE"""),11)</f>
        <v>11</v>
      </c>
      <c r="D135" s="78" t="str">
        <f ca="1">IFERROR(__xludf.DUMMYFUNCTION("""COMPUTED_VALUE"""),"B")</f>
        <v>B</v>
      </c>
      <c r="E135" s="80" t="str">
        <f ca="1">IFERROR(__xludf.DUMMYFUNCTION("""COMPUTED_VALUE"""),"J")</f>
        <v>J</v>
      </c>
      <c r="F135" s="80" t="str">
        <f ca="1">IFERROR(__xludf.DUMMYFUNCTION("""COMPUTED_VALUE"""),"I")</f>
        <v>I</v>
      </c>
      <c r="G135" s="80">
        <f ca="1">IFERROR(__xludf.DUMMYFUNCTION("""COMPUTED_VALUE"""),5)</f>
        <v>5</v>
      </c>
      <c r="H135" s="80" t="str">
        <f ca="1">IFERROR(__xludf.DUMMYFUNCTION("""COMPUTED_VALUE"""),"CCC")</f>
        <v>CCC</v>
      </c>
      <c r="I135" s="80">
        <f ca="1">IFERROR(__xludf.DUMMYFUNCTION("""COMPUTED_VALUE"""),5)</f>
        <v>5</v>
      </c>
      <c r="J135" s="81">
        <f ca="1">IFERROR(__xludf.DUMMYFUNCTION("""COMPUTED_VALUE"""),4)</f>
        <v>4</v>
      </c>
      <c r="K135" s="81">
        <f ca="1">IFERROR(__xludf.DUMMYFUNCTION("""COMPUTED_VALUE"""),89.45)</f>
        <v>89.45</v>
      </c>
      <c r="L135" s="81">
        <f ca="1">IFERROR(__xludf.DUMMYFUNCTION("""COMPUTED_VALUE"""),89.45)</f>
        <v>89.45</v>
      </c>
      <c r="M135" s="81"/>
      <c r="N135" s="81">
        <f ca="1">IFERROR(__xludf.DUMMYFUNCTION("""COMPUTED_VALUE"""),83.05)</f>
        <v>83.05</v>
      </c>
      <c r="O135" s="81"/>
      <c r="P135" s="81">
        <f ca="1">IFERROR(__xludf.DUMMYFUNCTION("""COMPUTED_VALUE"""),0)</f>
        <v>0</v>
      </c>
      <c r="Q135" s="81"/>
      <c r="R135" s="81">
        <f ca="1">IFERROR(__xludf.DUMMYFUNCTION("""COMPUTED_VALUE"""),81.8)</f>
        <v>81.8</v>
      </c>
      <c r="S135" s="81"/>
      <c r="T135" s="81"/>
      <c r="U135" s="82"/>
      <c r="V135" s="82"/>
      <c r="W135" s="83"/>
      <c r="X135" s="83"/>
      <c r="Y135" s="83"/>
    </row>
    <row r="136" spans="1:25" ht="13.8">
      <c r="A136" s="78" t="str">
        <f ca="1">IFERROR(__xludf.DUMMYFUNCTION("""COMPUTED_VALUE"""),"CCC")</f>
        <v>CCC</v>
      </c>
      <c r="B136" s="79" t="str">
        <f ca="1">IFERROR(__xludf.DUMMYFUNCTION("""COMPUTED_VALUE"""),"Jake Themely")</f>
        <v>Jake Themely</v>
      </c>
      <c r="C136" s="78">
        <f ca="1">IFERROR(__xludf.DUMMYFUNCTION("""COMPUTED_VALUE"""),12)</f>
        <v>12</v>
      </c>
      <c r="D136" s="78" t="str">
        <f ca="1">IFERROR(__xludf.DUMMYFUNCTION("""COMPUTED_VALUE"""),"B")</f>
        <v>B</v>
      </c>
      <c r="E136" s="80" t="str">
        <f ca="1">IFERROR(__xludf.DUMMYFUNCTION("""COMPUTED_VALUE"""),"J")</f>
        <v>J</v>
      </c>
      <c r="F136" s="80" t="str">
        <f ca="1">IFERROR(__xludf.DUMMYFUNCTION("""COMPUTED_VALUE"""),"I")</f>
        <v>I</v>
      </c>
      <c r="G136" s="80">
        <f ca="1">IFERROR(__xludf.DUMMYFUNCTION("""COMPUTED_VALUE"""),5)</f>
        <v>5</v>
      </c>
      <c r="H136" s="80" t="str">
        <f ca="1">IFERROR(__xludf.DUMMYFUNCTION("""COMPUTED_VALUE"""),"CCC")</f>
        <v>CCC</v>
      </c>
      <c r="I136" s="80">
        <f ca="1">IFERROR(__xludf.DUMMYFUNCTION("""COMPUTED_VALUE"""),5)</f>
        <v>5</v>
      </c>
      <c r="J136" s="81">
        <f ca="1">IFERROR(__xludf.DUMMYFUNCTION("""COMPUTED_VALUE"""),1)</f>
        <v>1</v>
      </c>
      <c r="K136" s="81">
        <f ca="1">IFERROR(__xludf.DUMMYFUNCTION("""COMPUTED_VALUE"""),111.6)</f>
        <v>111.6</v>
      </c>
      <c r="L136" s="81">
        <f ca="1">IFERROR(__xludf.DUMMYFUNCTION("""COMPUTED_VALUE"""),111.6)</f>
        <v>111.6</v>
      </c>
      <c r="M136" s="81"/>
      <c r="N136" s="81">
        <f ca="1">IFERROR(__xludf.DUMMYFUNCTION("""COMPUTED_VALUE"""),0)</f>
        <v>0</v>
      </c>
      <c r="O136" s="81"/>
      <c r="P136" s="81">
        <f ca="1">IFERROR(__xludf.DUMMYFUNCTION("""COMPUTED_VALUE"""),0)</f>
        <v>0</v>
      </c>
      <c r="Q136" s="81"/>
      <c r="R136" s="81">
        <f ca="1">IFERROR(__xludf.DUMMYFUNCTION("""COMPUTED_VALUE"""),0)</f>
        <v>0</v>
      </c>
      <c r="S136" s="81"/>
      <c r="T136" s="81"/>
      <c r="U136" s="82"/>
      <c r="V136" s="82"/>
      <c r="W136" s="83"/>
      <c r="X136" s="83"/>
      <c r="Y136" s="83"/>
    </row>
    <row r="137" spans="1:25" ht="13.8">
      <c r="A137" s="78" t="str">
        <f ca="1">IFERROR(__xludf.DUMMYFUNCTION("""COMPUTED_VALUE"""),"CCC")</f>
        <v>CCC</v>
      </c>
      <c r="B137" s="79" t="str">
        <f ca="1">IFERROR(__xludf.DUMMYFUNCTION("""COMPUTED_VALUE"""),"Lia Gauthier")</f>
        <v>Lia Gauthier</v>
      </c>
      <c r="C137" s="78">
        <f ca="1">IFERROR(__xludf.DUMMYFUNCTION("""COMPUTED_VALUE"""),13)</f>
        <v>13</v>
      </c>
      <c r="D137" s="78" t="str">
        <f ca="1">IFERROR(__xludf.DUMMYFUNCTION("""COMPUTED_VALUE"""),"G")</f>
        <v>G</v>
      </c>
      <c r="E137" s="80" t="str">
        <f ca="1">IFERROR(__xludf.DUMMYFUNCTION("""COMPUTED_VALUE"""),"I")</f>
        <v>I</v>
      </c>
      <c r="F137" s="80" t="str">
        <f ca="1">IFERROR(__xludf.DUMMYFUNCTION("""COMPUTED_VALUE"""),"S")</f>
        <v>S</v>
      </c>
      <c r="G137" s="80">
        <f ca="1">IFERROR(__xludf.DUMMYFUNCTION("""COMPUTED_VALUE"""),5)</f>
        <v>5</v>
      </c>
      <c r="H137" s="80" t="str">
        <f ca="1">IFERROR(__xludf.DUMMYFUNCTION("""COMPUTED_VALUE"""),"CCC")</f>
        <v>CCC</v>
      </c>
      <c r="I137" s="80">
        <f ca="1">IFERROR(__xludf.DUMMYFUNCTION("""COMPUTED_VALUE"""),6)</f>
        <v>6</v>
      </c>
      <c r="J137" s="81">
        <f ca="1">IFERROR(__xludf.DUMMYFUNCTION("""COMPUTED_VALUE"""),3)</f>
        <v>3</v>
      </c>
      <c r="K137" s="81">
        <f ca="1">IFERROR(__xludf.DUMMYFUNCTION("""COMPUTED_VALUE"""),85.75)</f>
        <v>85.75</v>
      </c>
      <c r="L137" s="81">
        <f ca="1">IFERROR(__xludf.DUMMYFUNCTION("""COMPUTED_VALUE"""),0)</f>
        <v>0</v>
      </c>
      <c r="M137" s="81"/>
      <c r="N137" s="81">
        <f ca="1">IFERROR(__xludf.DUMMYFUNCTION("""COMPUTED_VALUE"""),0)</f>
        <v>0</v>
      </c>
      <c r="O137" s="81"/>
      <c r="P137" s="81">
        <f ca="1">IFERROR(__xludf.DUMMYFUNCTION("""COMPUTED_VALUE"""),85.75)</f>
        <v>85.75</v>
      </c>
      <c r="Q137" s="81"/>
      <c r="R137" s="81">
        <f ca="1">IFERROR(__xludf.DUMMYFUNCTION("""COMPUTED_VALUE"""),84.1)</f>
        <v>84.1</v>
      </c>
      <c r="S137" s="81"/>
      <c r="T137" s="81"/>
      <c r="U137" s="82"/>
      <c r="V137" s="82"/>
      <c r="W137" s="83"/>
      <c r="X137" s="83"/>
      <c r="Y137" s="83"/>
    </row>
    <row r="138" spans="1:25" ht="13.8">
      <c r="A138" s="78" t="str">
        <f ca="1">IFERROR(__xludf.DUMMYFUNCTION("""COMPUTED_VALUE"""),"CCC")</f>
        <v>CCC</v>
      </c>
      <c r="B138" s="79" t="str">
        <f ca="1">IFERROR(__xludf.DUMMYFUNCTION("""COMPUTED_VALUE"""),"Maia McAllister")</f>
        <v>Maia McAllister</v>
      </c>
      <c r="C138" s="78">
        <f ca="1">IFERROR(__xludf.DUMMYFUNCTION("""COMPUTED_VALUE"""),13)</f>
        <v>13</v>
      </c>
      <c r="D138" s="78" t="str">
        <f ca="1">IFERROR(__xludf.DUMMYFUNCTION("""COMPUTED_VALUE"""),"G")</f>
        <v>G</v>
      </c>
      <c r="E138" s="80" t="str">
        <f ca="1">IFERROR(__xludf.DUMMYFUNCTION("""COMPUTED_VALUE"""),"I")</f>
        <v>I</v>
      </c>
      <c r="F138" s="80" t="str">
        <f ca="1">IFERROR(__xludf.DUMMYFUNCTION("""COMPUTED_VALUE"""),"S")</f>
        <v>S</v>
      </c>
      <c r="G138" s="80">
        <f ca="1">IFERROR(__xludf.DUMMYFUNCTION("""COMPUTED_VALUE"""),5)</f>
        <v>5</v>
      </c>
      <c r="H138" s="80" t="str">
        <f ca="1">IFERROR(__xludf.DUMMYFUNCTION("""COMPUTED_VALUE"""),"CCC")</f>
        <v>CCC</v>
      </c>
      <c r="I138" s="80">
        <f ca="1">IFERROR(__xludf.DUMMYFUNCTION("""COMPUTED_VALUE"""),6)</f>
        <v>6</v>
      </c>
      <c r="J138" s="81">
        <f ca="1">IFERROR(__xludf.DUMMYFUNCTION("""COMPUTED_VALUE"""),5)</f>
        <v>5</v>
      </c>
      <c r="K138" s="81">
        <f ca="1">IFERROR(__xludf.DUMMYFUNCTION("""COMPUTED_VALUE"""),119.25)</f>
        <v>119.25</v>
      </c>
      <c r="L138" s="81">
        <f ca="1">IFERROR(__xludf.DUMMYFUNCTION("""COMPUTED_VALUE"""),114.7)</f>
        <v>114.7</v>
      </c>
      <c r="M138" s="81"/>
      <c r="N138" s="81">
        <f ca="1">IFERROR(__xludf.DUMMYFUNCTION("""COMPUTED_VALUE"""),100.8)</f>
        <v>100.8</v>
      </c>
      <c r="O138" s="81"/>
      <c r="P138" s="81">
        <f ca="1">IFERROR(__xludf.DUMMYFUNCTION("""COMPUTED_VALUE"""),119.25)</f>
        <v>119.25</v>
      </c>
      <c r="Q138" s="81"/>
      <c r="R138" s="81">
        <f ca="1">IFERROR(__xludf.DUMMYFUNCTION("""COMPUTED_VALUE"""),102.95)</f>
        <v>102.95</v>
      </c>
      <c r="S138" s="81"/>
      <c r="T138" s="81"/>
      <c r="U138" s="82"/>
      <c r="V138" s="82"/>
      <c r="W138" s="83"/>
      <c r="X138" s="83"/>
      <c r="Y138" s="83"/>
    </row>
    <row r="139" spans="1:25" ht="13.8">
      <c r="A139" s="78" t="str">
        <f ca="1">IFERROR(__xludf.DUMMYFUNCTION("""COMPUTED_VALUE"""),"CCC")</f>
        <v>CCC</v>
      </c>
      <c r="B139" s="79" t="str">
        <f ca="1">IFERROR(__xludf.DUMMYFUNCTION("""COMPUTED_VALUE"""),"Adele Riedel")</f>
        <v>Adele Riedel</v>
      </c>
      <c r="C139" s="78">
        <f ca="1">IFERROR(__xludf.DUMMYFUNCTION("""COMPUTED_VALUE"""),14)</f>
        <v>14</v>
      </c>
      <c r="D139" s="78" t="str">
        <f ca="1">IFERROR(__xludf.DUMMYFUNCTION("""COMPUTED_VALUE"""),"G")</f>
        <v>G</v>
      </c>
      <c r="E139" s="80" t="str">
        <f ca="1">IFERROR(__xludf.DUMMYFUNCTION("""COMPUTED_VALUE"""),"I")</f>
        <v>I</v>
      </c>
      <c r="F139" s="80" t="str">
        <f ca="1">IFERROR(__xludf.DUMMYFUNCTION("""COMPUTED_VALUE"""),"S")</f>
        <v>S</v>
      </c>
      <c r="G139" s="80">
        <f ca="1">IFERROR(__xludf.DUMMYFUNCTION("""COMPUTED_VALUE"""),5)</f>
        <v>5</v>
      </c>
      <c r="H139" s="80" t="str">
        <f ca="1">IFERROR(__xludf.DUMMYFUNCTION("""COMPUTED_VALUE"""),"CCC")</f>
        <v>CCC</v>
      </c>
      <c r="I139" s="80">
        <f ca="1">IFERROR(__xludf.DUMMYFUNCTION("""COMPUTED_VALUE"""),6)</f>
        <v>6</v>
      </c>
      <c r="J139" s="81">
        <f ca="1">IFERROR(__xludf.DUMMYFUNCTION("""COMPUTED_VALUE"""),0)</f>
        <v>0</v>
      </c>
      <c r="K139" s="81">
        <f ca="1">IFERROR(__xludf.DUMMYFUNCTION("""COMPUTED_VALUE"""),0)</f>
        <v>0</v>
      </c>
      <c r="L139" s="81">
        <f ca="1">IFERROR(__xludf.DUMMYFUNCTION("""COMPUTED_VALUE"""),0)</f>
        <v>0</v>
      </c>
      <c r="M139" s="81"/>
      <c r="N139" s="81">
        <f ca="1">IFERROR(__xludf.DUMMYFUNCTION("""COMPUTED_VALUE"""),0)</f>
        <v>0</v>
      </c>
      <c r="O139" s="81"/>
      <c r="P139" s="81">
        <f ca="1">IFERROR(__xludf.DUMMYFUNCTION("""COMPUTED_VALUE"""),0)</f>
        <v>0</v>
      </c>
      <c r="Q139" s="81"/>
      <c r="R139" s="81">
        <f ca="1">IFERROR(__xludf.DUMMYFUNCTION("""COMPUTED_VALUE"""),0)</f>
        <v>0</v>
      </c>
      <c r="S139" s="81"/>
      <c r="T139" s="81"/>
      <c r="U139" s="82"/>
      <c r="V139" s="82"/>
      <c r="W139" s="83"/>
      <c r="X139" s="83"/>
      <c r="Y139" s="83"/>
    </row>
    <row r="140" spans="1:25" ht="13.8">
      <c r="A140" s="78" t="str">
        <f ca="1">IFERROR(__xludf.DUMMYFUNCTION("""COMPUTED_VALUE"""),"CCC")</f>
        <v>CCC</v>
      </c>
      <c r="B140" s="79" t="str">
        <f ca="1">IFERROR(__xludf.DUMMYFUNCTION("""COMPUTED_VALUE"""),"Trey Gagermeier")</f>
        <v>Trey Gagermeier</v>
      </c>
      <c r="C140" s="78">
        <f ca="1">IFERROR(__xludf.DUMMYFUNCTION("""COMPUTED_VALUE"""),14)</f>
        <v>14</v>
      </c>
      <c r="D140" s="78" t="str">
        <f ca="1">IFERROR(__xludf.DUMMYFUNCTION("""COMPUTED_VALUE"""),"B")</f>
        <v>B</v>
      </c>
      <c r="E140" s="80" t="str">
        <f ca="1">IFERROR(__xludf.DUMMYFUNCTION("""COMPUTED_VALUE"""),"I")</f>
        <v>I</v>
      </c>
      <c r="F140" s="80" t="str">
        <f ca="1">IFERROR(__xludf.DUMMYFUNCTION("""COMPUTED_VALUE"""),"S")</f>
        <v>S</v>
      </c>
      <c r="G140" s="80">
        <f ca="1">IFERROR(__xludf.DUMMYFUNCTION("""COMPUTED_VALUE"""),5)</f>
        <v>5</v>
      </c>
      <c r="H140" s="80" t="str">
        <f ca="1">IFERROR(__xludf.DUMMYFUNCTION("""COMPUTED_VALUE"""),"CCC")</f>
        <v>CCC</v>
      </c>
      <c r="I140" s="80">
        <f ca="1">IFERROR(__xludf.DUMMYFUNCTION("""COMPUTED_VALUE"""),7)</f>
        <v>7</v>
      </c>
      <c r="J140" s="81">
        <f ca="1">IFERROR(__xludf.DUMMYFUNCTION("""COMPUTED_VALUE"""),3)</f>
        <v>3</v>
      </c>
      <c r="K140" s="81">
        <f ca="1">IFERROR(__xludf.DUMMYFUNCTION("""COMPUTED_VALUE"""),94.75)</f>
        <v>94.75</v>
      </c>
      <c r="L140" s="81">
        <f ca="1">IFERROR(__xludf.DUMMYFUNCTION("""COMPUTED_VALUE"""),0)</f>
        <v>0</v>
      </c>
      <c r="M140" s="81"/>
      <c r="N140" s="81">
        <f ca="1">IFERROR(__xludf.DUMMYFUNCTION("""COMPUTED_VALUE"""),86.25)</f>
        <v>86.25</v>
      </c>
      <c r="O140" s="81"/>
      <c r="P140" s="81">
        <f ca="1">IFERROR(__xludf.DUMMYFUNCTION("""COMPUTED_VALUE"""),0)</f>
        <v>0</v>
      </c>
      <c r="Q140" s="81"/>
      <c r="R140" s="81">
        <f ca="1">IFERROR(__xludf.DUMMYFUNCTION("""COMPUTED_VALUE"""),94.75)</f>
        <v>94.75</v>
      </c>
      <c r="S140" s="81"/>
      <c r="T140" s="81"/>
      <c r="U140" s="82"/>
      <c r="V140" s="82"/>
      <c r="W140" s="83"/>
      <c r="X140" s="83"/>
      <c r="Y140" s="83"/>
    </row>
    <row r="141" spans="1:25" ht="13.8">
      <c r="A141" s="78" t="str">
        <f ca="1">IFERROR(__xludf.DUMMYFUNCTION("""COMPUTED_VALUE"""),"CCC")</f>
        <v>CCC</v>
      </c>
      <c r="B141" s="79" t="str">
        <f ca="1">IFERROR(__xludf.DUMMYFUNCTION("""COMPUTED_VALUE"""),"Ryan Wells")</f>
        <v>Ryan Wells</v>
      </c>
      <c r="C141" s="78">
        <f ca="1">IFERROR(__xludf.DUMMYFUNCTION("""COMPUTED_VALUE"""),13)</f>
        <v>13</v>
      </c>
      <c r="D141" s="78" t="str">
        <f ca="1">IFERROR(__xludf.DUMMYFUNCTION("""COMPUTED_VALUE"""),"B")</f>
        <v>B</v>
      </c>
      <c r="E141" s="80" t="str">
        <f ca="1">IFERROR(__xludf.DUMMYFUNCTION("""COMPUTED_VALUE"""),"I")</f>
        <v>I</v>
      </c>
      <c r="F141" s="80" t="str">
        <f ca="1">IFERROR(__xludf.DUMMYFUNCTION("""COMPUTED_VALUE"""),"S")</f>
        <v>S</v>
      </c>
      <c r="G141" s="80">
        <f ca="1">IFERROR(__xludf.DUMMYFUNCTION("""COMPUTED_VALUE"""),5)</f>
        <v>5</v>
      </c>
      <c r="H141" s="80" t="str">
        <f ca="1">IFERROR(__xludf.DUMMYFUNCTION("""COMPUTED_VALUE"""),"CCC")</f>
        <v>CCC</v>
      </c>
      <c r="I141" s="80">
        <f ca="1">IFERROR(__xludf.DUMMYFUNCTION("""COMPUTED_VALUE"""),7)</f>
        <v>7</v>
      </c>
      <c r="J141" s="81">
        <f ca="1">IFERROR(__xludf.DUMMYFUNCTION("""COMPUTED_VALUE"""),4)</f>
        <v>4</v>
      </c>
      <c r="K141" s="81">
        <f ca="1">IFERROR(__xludf.DUMMYFUNCTION("""COMPUTED_VALUE"""),134.55)</f>
        <v>134.55000000000001</v>
      </c>
      <c r="L141" s="81">
        <f ca="1">IFERROR(__xludf.DUMMYFUNCTION("""COMPUTED_VALUE"""),133.15)</f>
        <v>133.15</v>
      </c>
      <c r="M141" s="81"/>
      <c r="N141" s="81">
        <f ca="1">IFERROR(__xludf.DUMMYFUNCTION("""COMPUTED_VALUE"""),134.55)</f>
        <v>134.55000000000001</v>
      </c>
      <c r="O141" s="81"/>
      <c r="P141" s="81">
        <f ca="1">IFERROR(__xludf.DUMMYFUNCTION("""COMPUTED_VALUE"""),0)</f>
        <v>0</v>
      </c>
      <c r="Q141" s="81"/>
      <c r="R141" s="81">
        <f ca="1">IFERROR(__xludf.DUMMYFUNCTION("""COMPUTED_VALUE"""),117.35)</f>
        <v>117.35</v>
      </c>
      <c r="S141" s="81"/>
      <c r="T141" s="81"/>
      <c r="U141" s="82"/>
      <c r="V141" s="82"/>
      <c r="W141" s="83"/>
      <c r="X141" s="83"/>
      <c r="Y141" s="83"/>
    </row>
    <row r="142" spans="1:25" ht="13.8">
      <c r="A142" s="78" t="str">
        <f ca="1">IFERROR(__xludf.DUMMYFUNCTION("""COMPUTED_VALUE"""),"CCC")</f>
        <v>CCC</v>
      </c>
      <c r="B142" s="79" t="str">
        <f ca="1">IFERROR(__xludf.DUMMYFUNCTION("""COMPUTED_VALUE"""),"Claire Conley")</f>
        <v>Claire Conley</v>
      </c>
      <c r="C142" s="78">
        <f ca="1">IFERROR(__xludf.DUMMYFUNCTION("""COMPUTED_VALUE"""),17)</f>
        <v>17</v>
      </c>
      <c r="D142" s="78" t="str">
        <f ca="1">IFERROR(__xludf.DUMMYFUNCTION("""COMPUTED_VALUE"""),"G")</f>
        <v>G</v>
      </c>
      <c r="E142" s="80" t="str">
        <f ca="1">IFERROR(__xludf.DUMMYFUNCTION("""COMPUTED_VALUE"""),"S")</f>
        <v>S</v>
      </c>
      <c r="F142" s="80" t="str">
        <f ca="1">IFERROR(__xludf.DUMMYFUNCTION("""COMPUTED_VALUE"""),"S")</f>
        <v>S</v>
      </c>
      <c r="G142" s="80">
        <f ca="1">IFERROR(__xludf.DUMMYFUNCTION("""COMPUTED_VALUE"""),5)</f>
        <v>5</v>
      </c>
      <c r="H142" s="80" t="str">
        <f ca="1">IFERROR(__xludf.DUMMYFUNCTION("""COMPUTED_VALUE"""),"CCC")</f>
        <v>CCC</v>
      </c>
      <c r="I142" s="80">
        <f ca="1">IFERROR(__xludf.DUMMYFUNCTION("""COMPUTED_VALUE"""),8)</f>
        <v>8</v>
      </c>
      <c r="J142" s="81">
        <f ca="1">IFERROR(__xludf.DUMMYFUNCTION("""COMPUTED_VALUE"""),1)</f>
        <v>1</v>
      </c>
      <c r="K142" s="81">
        <f ca="1">IFERROR(__xludf.DUMMYFUNCTION("""COMPUTED_VALUE"""),144.3)</f>
        <v>144.30000000000001</v>
      </c>
      <c r="L142" s="81">
        <f ca="1">IFERROR(__xludf.DUMMYFUNCTION("""COMPUTED_VALUE"""),0)</f>
        <v>0</v>
      </c>
      <c r="M142" s="81"/>
      <c r="N142" s="81">
        <f ca="1">IFERROR(__xludf.DUMMYFUNCTION("""COMPUTED_VALUE"""),0)</f>
        <v>0</v>
      </c>
      <c r="O142" s="81"/>
      <c r="P142" s="81">
        <f ca="1">IFERROR(__xludf.DUMMYFUNCTION("""COMPUTED_VALUE"""),144.3)</f>
        <v>144.30000000000001</v>
      </c>
      <c r="Q142" s="81"/>
      <c r="R142" s="81">
        <f ca="1">IFERROR(__xludf.DUMMYFUNCTION("""COMPUTED_VALUE"""),0)</f>
        <v>0</v>
      </c>
      <c r="S142" s="81"/>
      <c r="T142" s="81"/>
      <c r="U142" s="82"/>
      <c r="V142" s="82"/>
      <c r="W142" s="83"/>
      <c r="X142" s="83"/>
      <c r="Y142" s="83"/>
    </row>
    <row r="143" spans="1:25" ht="13.8">
      <c r="A143" s="78" t="str">
        <f ca="1">IFERROR(__xludf.DUMMYFUNCTION("""COMPUTED_VALUE"""),"CCC")</f>
        <v>CCC</v>
      </c>
      <c r="B143" s="79" t="str">
        <f ca="1">IFERROR(__xludf.DUMMYFUNCTION("""COMPUTED_VALUE"""),"Lauren Gagermeier")</f>
        <v>Lauren Gagermeier</v>
      </c>
      <c r="C143" s="78">
        <f ca="1">IFERROR(__xludf.DUMMYFUNCTION("""COMPUTED_VALUE"""),17)</f>
        <v>17</v>
      </c>
      <c r="D143" s="78" t="str">
        <f ca="1">IFERROR(__xludf.DUMMYFUNCTION("""COMPUTED_VALUE"""),"G")</f>
        <v>G</v>
      </c>
      <c r="E143" s="80" t="str">
        <f ca="1">IFERROR(__xludf.DUMMYFUNCTION("""COMPUTED_VALUE"""),"S")</f>
        <v>S</v>
      </c>
      <c r="F143" s="80" t="str">
        <f ca="1">IFERROR(__xludf.DUMMYFUNCTION("""COMPUTED_VALUE"""),"S")</f>
        <v>S</v>
      </c>
      <c r="G143" s="80">
        <f ca="1">IFERROR(__xludf.DUMMYFUNCTION("""COMPUTED_VALUE"""),5)</f>
        <v>5</v>
      </c>
      <c r="H143" s="80" t="str">
        <f ca="1">IFERROR(__xludf.DUMMYFUNCTION("""COMPUTED_VALUE"""),"CCC")</f>
        <v>CCC</v>
      </c>
      <c r="I143" s="80">
        <f ca="1">IFERROR(__xludf.DUMMYFUNCTION("""COMPUTED_VALUE"""),8)</f>
        <v>8</v>
      </c>
      <c r="J143" s="81">
        <f ca="1">IFERROR(__xludf.DUMMYFUNCTION("""COMPUTED_VALUE"""),5)</f>
        <v>5</v>
      </c>
      <c r="K143" s="81">
        <f ca="1">IFERROR(__xludf.DUMMYFUNCTION("""COMPUTED_VALUE"""),152.85)</f>
        <v>152.85</v>
      </c>
      <c r="L143" s="81">
        <f ca="1">IFERROR(__xludf.DUMMYFUNCTION("""COMPUTED_VALUE"""),142.3)</f>
        <v>142.30000000000001</v>
      </c>
      <c r="M143" s="81"/>
      <c r="N143" s="81">
        <f ca="1">IFERROR(__xludf.DUMMYFUNCTION("""COMPUTED_VALUE"""),152.85)</f>
        <v>152.85</v>
      </c>
      <c r="O143" s="81"/>
      <c r="P143" s="81">
        <f ca="1">IFERROR(__xludf.DUMMYFUNCTION("""COMPUTED_VALUE"""),146.45)</f>
        <v>146.44999999999999</v>
      </c>
      <c r="Q143" s="81"/>
      <c r="R143" s="81">
        <f ca="1">IFERROR(__xludf.DUMMYFUNCTION("""COMPUTED_VALUE"""),133.3)</f>
        <v>133.30000000000001</v>
      </c>
      <c r="S143" s="81"/>
      <c r="T143" s="81"/>
      <c r="U143" s="82"/>
      <c r="V143" s="82"/>
      <c r="W143" s="83"/>
      <c r="X143" s="83"/>
      <c r="Y143" s="83"/>
    </row>
    <row r="144" spans="1:25" ht="13.8">
      <c r="A144" s="78" t="str">
        <f ca="1">IFERROR(__xludf.DUMMYFUNCTION("""COMPUTED_VALUE"""),"CCC")</f>
        <v>CCC</v>
      </c>
      <c r="B144" s="79" t="str">
        <f ca="1">IFERROR(__xludf.DUMMYFUNCTION("""COMPUTED_VALUE"""),"Clara McAllister")</f>
        <v>Clara McAllister</v>
      </c>
      <c r="C144" s="78">
        <f ca="1">IFERROR(__xludf.DUMMYFUNCTION("""COMPUTED_VALUE"""),16)</f>
        <v>16</v>
      </c>
      <c r="D144" s="78" t="str">
        <f ca="1">IFERROR(__xludf.DUMMYFUNCTION("""COMPUTED_VALUE"""),"G")</f>
        <v>G</v>
      </c>
      <c r="E144" s="80" t="str">
        <f ca="1">IFERROR(__xludf.DUMMYFUNCTION("""COMPUTED_VALUE"""),"S")</f>
        <v>S</v>
      </c>
      <c r="F144" s="80" t="str">
        <f ca="1">IFERROR(__xludf.DUMMYFUNCTION("""COMPUTED_VALUE"""),"S")</f>
        <v>S</v>
      </c>
      <c r="G144" s="80">
        <f ca="1">IFERROR(__xludf.DUMMYFUNCTION("""COMPUTED_VALUE"""),5)</f>
        <v>5</v>
      </c>
      <c r="H144" s="80" t="str">
        <f ca="1">IFERROR(__xludf.DUMMYFUNCTION("""COMPUTED_VALUE"""),"CCC")</f>
        <v>CCC</v>
      </c>
      <c r="I144" s="80">
        <f ca="1">IFERROR(__xludf.DUMMYFUNCTION("""COMPUTED_VALUE"""),8)</f>
        <v>8</v>
      </c>
      <c r="J144" s="81">
        <f ca="1">IFERROR(__xludf.DUMMYFUNCTION("""COMPUTED_VALUE"""),1)</f>
        <v>1</v>
      </c>
      <c r="K144" s="81">
        <f ca="1">IFERROR(__xludf.DUMMYFUNCTION("""COMPUTED_VALUE"""),133.05)</f>
        <v>133.05000000000001</v>
      </c>
      <c r="L144" s="81">
        <f ca="1">IFERROR(__xludf.DUMMYFUNCTION("""COMPUTED_VALUE"""),133.05)</f>
        <v>133.05000000000001</v>
      </c>
      <c r="M144" s="81"/>
      <c r="N144" s="81">
        <f ca="1">IFERROR(__xludf.DUMMYFUNCTION("""COMPUTED_VALUE"""),0)</f>
        <v>0</v>
      </c>
      <c r="O144" s="81"/>
      <c r="P144" s="81">
        <f ca="1">IFERROR(__xludf.DUMMYFUNCTION("""COMPUTED_VALUE"""),0)</f>
        <v>0</v>
      </c>
      <c r="Q144" s="81"/>
      <c r="R144" s="81">
        <f ca="1">IFERROR(__xludf.DUMMYFUNCTION("""COMPUTED_VALUE"""),0)</f>
        <v>0</v>
      </c>
      <c r="S144" s="81"/>
      <c r="T144" s="81"/>
      <c r="U144" s="82"/>
      <c r="V144" s="82"/>
      <c r="W144" s="83"/>
      <c r="X144" s="83"/>
      <c r="Y144" s="83"/>
    </row>
    <row r="145" spans="1:25" ht="13.8">
      <c r="A145" s="78" t="str">
        <f ca="1">IFERROR(__xludf.DUMMYFUNCTION("""COMPUTED_VALUE"""),"CCC")</f>
        <v>CCC</v>
      </c>
      <c r="B145" s="79" t="str">
        <f ca="1">IFERROR(__xludf.DUMMYFUNCTION("""COMPUTED_VALUE"""),"Micaela Wells")</f>
        <v>Micaela Wells</v>
      </c>
      <c r="C145" s="78">
        <f ca="1">IFERROR(__xludf.DUMMYFUNCTION("""COMPUTED_VALUE"""),16)</f>
        <v>16</v>
      </c>
      <c r="D145" s="78" t="str">
        <f ca="1">IFERROR(__xludf.DUMMYFUNCTION("""COMPUTED_VALUE"""),"G")</f>
        <v>G</v>
      </c>
      <c r="E145" s="80" t="str">
        <f ca="1">IFERROR(__xludf.DUMMYFUNCTION("""COMPUTED_VALUE"""),"S")</f>
        <v>S</v>
      </c>
      <c r="F145" s="80" t="str">
        <f ca="1">IFERROR(__xludf.DUMMYFUNCTION("""COMPUTED_VALUE"""),"S")</f>
        <v>S</v>
      </c>
      <c r="G145" s="80">
        <f ca="1">IFERROR(__xludf.DUMMYFUNCTION("""COMPUTED_VALUE"""),5)</f>
        <v>5</v>
      </c>
      <c r="H145" s="80" t="str">
        <f ca="1">IFERROR(__xludf.DUMMYFUNCTION("""COMPUTED_VALUE"""),"CCC")</f>
        <v>CCC</v>
      </c>
      <c r="I145" s="80">
        <f ca="1">IFERROR(__xludf.DUMMYFUNCTION("""COMPUTED_VALUE"""),8)</f>
        <v>8</v>
      </c>
      <c r="J145" s="81">
        <f ca="1">IFERROR(__xludf.DUMMYFUNCTION("""COMPUTED_VALUE"""),5)</f>
        <v>5</v>
      </c>
      <c r="K145" s="81">
        <f ca="1">IFERROR(__xludf.DUMMYFUNCTION("""COMPUTED_VALUE"""),199.45)</f>
        <v>199.45</v>
      </c>
      <c r="L145" s="81">
        <f ca="1">IFERROR(__xludf.DUMMYFUNCTION("""COMPUTED_VALUE"""),189.65)</f>
        <v>189.65</v>
      </c>
      <c r="M145" s="81"/>
      <c r="N145" s="81">
        <f ca="1">IFERROR(__xludf.DUMMYFUNCTION("""COMPUTED_VALUE"""),191.8)</f>
        <v>191.8</v>
      </c>
      <c r="O145" s="81"/>
      <c r="P145" s="81">
        <f ca="1">IFERROR(__xludf.DUMMYFUNCTION("""COMPUTED_VALUE"""),199.45)</f>
        <v>199.45</v>
      </c>
      <c r="Q145" s="81"/>
      <c r="R145" s="81">
        <f ca="1">IFERROR(__xludf.DUMMYFUNCTION("""COMPUTED_VALUE"""),183.05)</f>
        <v>183.05</v>
      </c>
      <c r="S145" s="81"/>
      <c r="T145" s="81"/>
      <c r="U145" s="82"/>
      <c r="V145" s="82"/>
      <c r="W145" s="83"/>
      <c r="X145" s="83"/>
      <c r="Y145" s="83"/>
    </row>
    <row r="146" spans="1:25" ht="13.8">
      <c r="A146" s="78" t="str">
        <f ca="1">IFERROR(__xludf.DUMMYFUNCTION("""COMPUTED_VALUE"""),"CCC")</f>
        <v>CCC</v>
      </c>
      <c r="B146" s="79" t="str">
        <f ca="1">IFERROR(__xludf.DUMMYFUNCTION("""COMPUTED_VALUE"""),"Colin Greene")</f>
        <v>Colin Greene</v>
      </c>
      <c r="C146" s="78">
        <f ca="1">IFERROR(__xludf.DUMMYFUNCTION("""COMPUTED_VALUE"""),17)</f>
        <v>17</v>
      </c>
      <c r="D146" s="78" t="str">
        <f ca="1">IFERROR(__xludf.DUMMYFUNCTION("""COMPUTED_VALUE"""),"B")</f>
        <v>B</v>
      </c>
      <c r="E146" s="80" t="str">
        <f ca="1">IFERROR(__xludf.DUMMYFUNCTION("""COMPUTED_VALUE"""),"S")</f>
        <v>S</v>
      </c>
      <c r="F146" s="80" t="str">
        <f ca="1">IFERROR(__xludf.DUMMYFUNCTION("""COMPUTED_VALUE"""),"S")</f>
        <v>S</v>
      </c>
      <c r="G146" s="80">
        <f ca="1">IFERROR(__xludf.DUMMYFUNCTION("""COMPUTED_VALUE"""),5)</f>
        <v>5</v>
      </c>
      <c r="H146" s="80" t="str">
        <f ca="1">IFERROR(__xludf.DUMMYFUNCTION("""COMPUTED_VALUE"""),"CCC")</f>
        <v>CCC</v>
      </c>
      <c r="I146" s="80">
        <f ca="1">IFERROR(__xludf.DUMMYFUNCTION("""COMPUTED_VALUE"""),9)</f>
        <v>9</v>
      </c>
      <c r="J146" s="81">
        <f ca="1">IFERROR(__xludf.DUMMYFUNCTION("""COMPUTED_VALUE"""),5)</f>
        <v>5</v>
      </c>
      <c r="K146" s="81">
        <f ca="1">IFERROR(__xludf.DUMMYFUNCTION("""COMPUTED_VALUE"""),191.75)</f>
        <v>191.75</v>
      </c>
      <c r="L146" s="81">
        <f ca="1">IFERROR(__xludf.DUMMYFUNCTION("""COMPUTED_VALUE"""),186.8)</f>
        <v>186.8</v>
      </c>
      <c r="M146" s="81"/>
      <c r="N146" s="81">
        <f ca="1">IFERROR(__xludf.DUMMYFUNCTION("""COMPUTED_VALUE"""),165.65)</f>
        <v>165.65</v>
      </c>
      <c r="O146" s="81"/>
      <c r="P146" s="81">
        <f ca="1">IFERROR(__xludf.DUMMYFUNCTION("""COMPUTED_VALUE"""),191.75)</f>
        <v>191.75</v>
      </c>
      <c r="Q146" s="81"/>
      <c r="R146" s="81">
        <f ca="1">IFERROR(__xludf.DUMMYFUNCTION("""COMPUTED_VALUE"""),188.95)</f>
        <v>188.95</v>
      </c>
      <c r="S146" s="81"/>
      <c r="T146" s="81"/>
      <c r="U146" s="82"/>
      <c r="V146" s="82"/>
      <c r="W146" s="83"/>
      <c r="X146" s="83"/>
      <c r="Y146" s="83"/>
    </row>
    <row r="147" spans="1:25" ht="13.8">
      <c r="A147" s="78" t="str">
        <f ca="1">IFERROR(__xludf.DUMMYFUNCTION("""COMPUTED_VALUE"""),"CH")</f>
        <v>CH</v>
      </c>
      <c r="B147" s="79" t="str">
        <f ca="1">IFERROR(__xludf.DUMMYFUNCTION("""COMPUTED_VALUE"""),"Lily Apgar")</f>
        <v>Lily Apgar</v>
      </c>
      <c r="C147" s="78">
        <f ca="1">IFERROR(__xludf.DUMMYFUNCTION("""COMPUTED_VALUE"""),7)</f>
        <v>7</v>
      </c>
      <c r="D147" s="78" t="str">
        <f ca="1">IFERROR(__xludf.DUMMYFUNCTION("""COMPUTED_VALUE"""),"G")</f>
        <v>G</v>
      </c>
      <c r="E147" s="80" t="str">
        <f ca="1">IFERROR(__xludf.DUMMYFUNCTION("""COMPUTED_VALUE"""),"F")</f>
        <v>F</v>
      </c>
      <c r="F147" s="80" t="str">
        <f ca="1">IFERROR(__xludf.DUMMYFUNCTION("""COMPUTED_VALUE"""),"J")</f>
        <v>J</v>
      </c>
      <c r="G147" s="80">
        <f ca="1">IFERROR(__xludf.DUMMYFUNCTION("""COMPUTED_VALUE"""),6)</f>
        <v>6</v>
      </c>
      <c r="H147" s="80" t="str">
        <f ca="1">IFERROR(__xludf.DUMMYFUNCTION("""COMPUTED_VALUE"""),"CH")</f>
        <v>CH</v>
      </c>
      <c r="I147" s="80">
        <f ca="1">IFERROR(__xludf.DUMMYFUNCTION("""COMPUTED_VALUE"""),2)</f>
        <v>2</v>
      </c>
      <c r="J147" s="81">
        <f ca="1">IFERROR(__xludf.DUMMYFUNCTION("""COMPUTED_VALUE"""),1)</f>
        <v>1</v>
      </c>
      <c r="K147" s="81">
        <f ca="1">IFERROR(__xludf.DUMMYFUNCTION("""COMPUTED_VALUE"""),38.65)</f>
        <v>38.65</v>
      </c>
      <c r="L147" s="81">
        <f ca="1">IFERROR(__xludf.DUMMYFUNCTION("""COMPUTED_VALUE"""),0)</f>
        <v>0</v>
      </c>
      <c r="M147" s="81"/>
      <c r="N147" s="81">
        <f ca="1">IFERROR(__xludf.DUMMYFUNCTION("""COMPUTED_VALUE"""),0)</f>
        <v>0</v>
      </c>
      <c r="O147" s="81"/>
      <c r="P147" s="81">
        <f ca="1">IFERROR(__xludf.DUMMYFUNCTION("""COMPUTED_VALUE"""),0)</f>
        <v>0</v>
      </c>
      <c r="Q147" s="81"/>
      <c r="R147" s="81">
        <f ca="1">IFERROR(__xludf.DUMMYFUNCTION("""COMPUTED_VALUE"""),38.65)</f>
        <v>38.65</v>
      </c>
      <c r="S147" s="81"/>
      <c r="T147" s="81"/>
      <c r="U147" s="82"/>
      <c r="V147" s="82"/>
      <c r="W147" s="83"/>
      <c r="X147" s="83"/>
      <c r="Y147" s="83"/>
    </row>
    <row r="148" spans="1:25" ht="13.8">
      <c r="A148" s="78" t="str">
        <f ca="1">IFERROR(__xludf.DUMMYFUNCTION("""COMPUTED_VALUE"""),"CH")</f>
        <v>CH</v>
      </c>
      <c r="B148" s="79" t="str">
        <f ca="1">IFERROR(__xludf.DUMMYFUNCTION("""COMPUTED_VALUE"""),"Abigail Cassell")</f>
        <v>Abigail Cassell</v>
      </c>
      <c r="C148" s="78">
        <f ca="1">IFERROR(__xludf.DUMMYFUNCTION("""COMPUTED_VALUE"""),8)</f>
        <v>8</v>
      </c>
      <c r="D148" s="78" t="str">
        <f ca="1">IFERROR(__xludf.DUMMYFUNCTION("""COMPUTED_VALUE"""),"G")</f>
        <v>G</v>
      </c>
      <c r="E148" s="80" t="str">
        <f ca="1">IFERROR(__xludf.DUMMYFUNCTION("""COMPUTED_VALUE"""),"F")</f>
        <v>F</v>
      </c>
      <c r="F148" s="80" t="str">
        <f ca="1">IFERROR(__xludf.DUMMYFUNCTION("""COMPUTED_VALUE"""),"J")</f>
        <v>J</v>
      </c>
      <c r="G148" s="80">
        <f ca="1">IFERROR(__xludf.DUMMYFUNCTION("""COMPUTED_VALUE"""),6)</f>
        <v>6</v>
      </c>
      <c r="H148" s="80" t="str">
        <f ca="1">IFERROR(__xludf.DUMMYFUNCTION("""COMPUTED_VALUE"""),"CH")</f>
        <v>CH</v>
      </c>
      <c r="I148" s="80">
        <f ca="1">IFERROR(__xludf.DUMMYFUNCTION("""COMPUTED_VALUE"""),2)</f>
        <v>2</v>
      </c>
      <c r="J148" s="81">
        <f ca="1">IFERROR(__xludf.DUMMYFUNCTION("""COMPUTED_VALUE"""),0)</f>
        <v>0</v>
      </c>
      <c r="K148" s="81">
        <f ca="1">IFERROR(__xludf.DUMMYFUNCTION("""COMPUTED_VALUE"""),0)</f>
        <v>0</v>
      </c>
      <c r="L148" s="81">
        <f ca="1">IFERROR(__xludf.DUMMYFUNCTION("""COMPUTED_VALUE"""),0)</f>
        <v>0</v>
      </c>
      <c r="M148" s="81"/>
      <c r="N148" s="81">
        <f ca="1">IFERROR(__xludf.DUMMYFUNCTION("""COMPUTED_VALUE"""),0)</f>
        <v>0</v>
      </c>
      <c r="O148" s="81"/>
      <c r="P148" s="81">
        <f ca="1">IFERROR(__xludf.DUMMYFUNCTION("""COMPUTED_VALUE"""),0)</f>
        <v>0</v>
      </c>
      <c r="Q148" s="81"/>
      <c r="R148" s="81">
        <f ca="1">IFERROR(__xludf.DUMMYFUNCTION("""COMPUTED_VALUE"""),0)</f>
        <v>0</v>
      </c>
      <c r="S148" s="81"/>
      <c r="T148" s="81"/>
      <c r="U148" s="82"/>
      <c r="V148" s="82"/>
      <c r="W148" s="83"/>
      <c r="X148" s="83"/>
      <c r="Y148" s="83"/>
    </row>
    <row r="149" spans="1:25" ht="13.8">
      <c r="A149" s="78" t="str">
        <f ca="1">IFERROR(__xludf.DUMMYFUNCTION("""COMPUTED_VALUE"""),"CH")</f>
        <v>CH</v>
      </c>
      <c r="B149" s="79" t="str">
        <f ca="1">IFERROR(__xludf.DUMMYFUNCTION("""COMPUTED_VALUE"""),"Katie Clague")</f>
        <v>Katie Clague</v>
      </c>
      <c r="C149" s="78">
        <f ca="1">IFERROR(__xludf.DUMMYFUNCTION("""COMPUTED_VALUE"""),10)</f>
        <v>10</v>
      </c>
      <c r="D149" s="78" t="str">
        <f ca="1">IFERROR(__xludf.DUMMYFUNCTION("""COMPUTED_VALUE"""),"G")</f>
        <v>G</v>
      </c>
      <c r="E149" s="80" t="str">
        <f ca="1">IFERROR(__xludf.DUMMYFUNCTION("""COMPUTED_VALUE"""),"F")</f>
        <v>F</v>
      </c>
      <c r="F149" s="80" t="str">
        <f ca="1">IFERROR(__xludf.DUMMYFUNCTION("""COMPUTED_VALUE"""),"J")</f>
        <v>J</v>
      </c>
      <c r="G149" s="80">
        <f ca="1">IFERROR(__xludf.DUMMYFUNCTION("""COMPUTED_VALUE"""),6)</f>
        <v>6</v>
      </c>
      <c r="H149" s="80" t="str">
        <f ca="1">IFERROR(__xludf.DUMMYFUNCTION("""COMPUTED_VALUE"""),"CH")</f>
        <v>CH</v>
      </c>
      <c r="I149" s="80">
        <f ca="1">IFERROR(__xludf.DUMMYFUNCTION("""COMPUTED_VALUE"""),2)</f>
        <v>2</v>
      </c>
      <c r="J149" s="81">
        <f ca="1">IFERROR(__xludf.DUMMYFUNCTION("""COMPUTED_VALUE"""),5)</f>
        <v>5</v>
      </c>
      <c r="K149" s="81">
        <f ca="1">IFERROR(__xludf.DUMMYFUNCTION("""COMPUTED_VALUE"""),66.55)</f>
        <v>66.55</v>
      </c>
      <c r="L149" s="81">
        <f ca="1">IFERROR(__xludf.DUMMYFUNCTION("""COMPUTED_VALUE"""),60.95)</f>
        <v>60.95</v>
      </c>
      <c r="M149" s="81"/>
      <c r="N149" s="81">
        <f ca="1">IFERROR(__xludf.DUMMYFUNCTION("""COMPUTED_VALUE"""),65.65)</f>
        <v>65.650000000000006</v>
      </c>
      <c r="O149" s="81"/>
      <c r="P149" s="81">
        <f ca="1">IFERROR(__xludf.DUMMYFUNCTION("""COMPUTED_VALUE"""),61.55)</f>
        <v>61.55</v>
      </c>
      <c r="Q149" s="81"/>
      <c r="R149" s="81">
        <f ca="1">IFERROR(__xludf.DUMMYFUNCTION("""COMPUTED_VALUE"""),66.55)</f>
        <v>66.55</v>
      </c>
      <c r="S149" s="81"/>
      <c r="T149" s="81"/>
      <c r="U149" s="82"/>
      <c r="V149" s="82"/>
      <c r="W149" s="83"/>
      <c r="X149" s="83"/>
      <c r="Y149" s="83"/>
    </row>
    <row r="150" spans="1:25" ht="13.8">
      <c r="A150" s="78" t="str">
        <f ca="1">IFERROR(__xludf.DUMMYFUNCTION("""COMPUTED_VALUE"""),"CH")</f>
        <v>CH</v>
      </c>
      <c r="B150" s="79" t="str">
        <f ca="1">IFERROR(__xludf.DUMMYFUNCTION("""COMPUTED_VALUE"""),"Gwyneth Clifton")</f>
        <v>Gwyneth Clifton</v>
      </c>
      <c r="C150" s="78">
        <f ca="1">IFERROR(__xludf.DUMMYFUNCTION("""COMPUTED_VALUE"""),10)</f>
        <v>10</v>
      </c>
      <c r="D150" s="78" t="str">
        <f ca="1">IFERROR(__xludf.DUMMYFUNCTION("""COMPUTED_VALUE"""),"G")</f>
        <v>G</v>
      </c>
      <c r="E150" s="80" t="str">
        <f ca="1">IFERROR(__xludf.DUMMYFUNCTION("""COMPUTED_VALUE"""),"F")</f>
        <v>F</v>
      </c>
      <c r="F150" s="80" t="str">
        <f ca="1">IFERROR(__xludf.DUMMYFUNCTION("""COMPUTED_VALUE"""),"J")</f>
        <v>J</v>
      </c>
      <c r="G150" s="80">
        <f ca="1">IFERROR(__xludf.DUMMYFUNCTION("""COMPUTED_VALUE"""),6)</f>
        <v>6</v>
      </c>
      <c r="H150" s="80" t="str">
        <f ca="1">IFERROR(__xludf.DUMMYFUNCTION("""COMPUTED_VALUE"""),"CH")</f>
        <v>CH</v>
      </c>
      <c r="I150" s="80">
        <f ca="1">IFERROR(__xludf.DUMMYFUNCTION("""COMPUTED_VALUE"""),2)</f>
        <v>2</v>
      </c>
      <c r="J150" s="81">
        <f ca="1">IFERROR(__xludf.DUMMYFUNCTION("""COMPUTED_VALUE"""),2)</f>
        <v>2</v>
      </c>
      <c r="K150" s="81">
        <f ca="1">IFERROR(__xludf.DUMMYFUNCTION("""COMPUTED_VALUE"""),47.05)</f>
        <v>47.05</v>
      </c>
      <c r="L150" s="81">
        <f ca="1">IFERROR(__xludf.DUMMYFUNCTION("""COMPUTED_VALUE"""),47.05)</f>
        <v>47.05</v>
      </c>
      <c r="M150" s="81"/>
      <c r="N150" s="81">
        <f ca="1">IFERROR(__xludf.DUMMYFUNCTION("""COMPUTED_VALUE"""),0)</f>
        <v>0</v>
      </c>
      <c r="O150" s="81"/>
      <c r="P150" s="81">
        <f ca="1">IFERROR(__xludf.DUMMYFUNCTION("""COMPUTED_VALUE"""),0)</f>
        <v>0</v>
      </c>
      <c r="Q150" s="81"/>
      <c r="R150" s="81">
        <f ca="1">IFERROR(__xludf.DUMMYFUNCTION("""COMPUTED_VALUE"""),41.75)</f>
        <v>41.75</v>
      </c>
      <c r="S150" s="81"/>
      <c r="T150" s="81"/>
      <c r="U150" s="82"/>
      <c r="V150" s="82"/>
      <c r="W150" s="83"/>
      <c r="X150" s="83"/>
      <c r="Y150" s="83"/>
    </row>
    <row r="151" spans="1:25" ht="13.8">
      <c r="A151" s="78" t="str">
        <f ca="1">IFERROR(__xludf.DUMMYFUNCTION("""COMPUTED_VALUE"""),"CH")</f>
        <v>CH</v>
      </c>
      <c r="B151" s="79" t="str">
        <f ca="1">IFERROR(__xludf.DUMMYFUNCTION("""COMPUTED_VALUE"""),"Megan Dean")</f>
        <v>Megan Dean</v>
      </c>
      <c r="C151" s="78">
        <f ca="1">IFERROR(__xludf.DUMMYFUNCTION("""COMPUTED_VALUE"""),10)</f>
        <v>10</v>
      </c>
      <c r="D151" s="78" t="str">
        <f ca="1">IFERROR(__xludf.DUMMYFUNCTION("""COMPUTED_VALUE"""),"G")</f>
        <v>G</v>
      </c>
      <c r="E151" s="80" t="str">
        <f ca="1">IFERROR(__xludf.DUMMYFUNCTION("""COMPUTED_VALUE"""),"F")</f>
        <v>F</v>
      </c>
      <c r="F151" s="80" t="str">
        <f ca="1">IFERROR(__xludf.DUMMYFUNCTION("""COMPUTED_VALUE"""),"J")</f>
        <v>J</v>
      </c>
      <c r="G151" s="80">
        <f ca="1">IFERROR(__xludf.DUMMYFUNCTION("""COMPUTED_VALUE"""),6)</f>
        <v>6</v>
      </c>
      <c r="H151" s="80" t="str">
        <f ca="1">IFERROR(__xludf.DUMMYFUNCTION("""COMPUTED_VALUE"""),"CH")</f>
        <v>CH</v>
      </c>
      <c r="I151" s="80">
        <f ca="1">IFERROR(__xludf.DUMMYFUNCTION("""COMPUTED_VALUE"""),2)</f>
        <v>2</v>
      </c>
      <c r="J151" s="81">
        <f ca="1">IFERROR(__xludf.DUMMYFUNCTION("""COMPUTED_VALUE"""),0)</f>
        <v>0</v>
      </c>
      <c r="K151" s="81">
        <f ca="1">IFERROR(__xludf.DUMMYFUNCTION("""COMPUTED_VALUE"""),0)</f>
        <v>0</v>
      </c>
      <c r="L151" s="81">
        <f ca="1">IFERROR(__xludf.DUMMYFUNCTION("""COMPUTED_VALUE"""),0)</f>
        <v>0</v>
      </c>
      <c r="M151" s="81"/>
      <c r="N151" s="81">
        <f ca="1">IFERROR(__xludf.DUMMYFUNCTION("""COMPUTED_VALUE"""),0)</f>
        <v>0</v>
      </c>
      <c r="O151" s="81"/>
      <c r="P151" s="81">
        <f ca="1">IFERROR(__xludf.DUMMYFUNCTION("""COMPUTED_VALUE"""),0)</f>
        <v>0</v>
      </c>
      <c r="Q151" s="81"/>
      <c r="R151" s="81">
        <f ca="1">IFERROR(__xludf.DUMMYFUNCTION("""COMPUTED_VALUE"""),0)</f>
        <v>0</v>
      </c>
      <c r="S151" s="81"/>
      <c r="T151" s="81"/>
      <c r="U151" s="82"/>
      <c r="V151" s="82"/>
      <c r="W151" s="83"/>
      <c r="X151" s="83"/>
      <c r="Y151" s="83"/>
    </row>
    <row r="152" spans="1:25" ht="13.8">
      <c r="A152" s="78" t="str">
        <f ca="1">IFERROR(__xludf.DUMMYFUNCTION("""COMPUTED_VALUE"""),"CH")</f>
        <v>CH</v>
      </c>
      <c r="B152" s="79" t="str">
        <f ca="1">IFERROR(__xludf.DUMMYFUNCTION("""COMPUTED_VALUE"""),"Olivia Engelhardt")</f>
        <v>Olivia Engelhardt</v>
      </c>
      <c r="C152" s="78">
        <f ca="1">IFERROR(__xludf.DUMMYFUNCTION("""COMPUTED_VALUE"""),8)</f>
        <v>8</v>
      </c>
      <c r="D152" s="78" t="str">
        <f ca="1">IFERROR(__xludf.DUMMYFUNCTION("""COMPUTED_VALUE"""),"G")</f>
        <v>G</v>
      </c>
      <c r="E152" s="80" t="str">
        <f ca="1">IFERROR(__xludf.DUMMYFUNCTION("""COMPUTED_VALUE"""),"F")</f>
        <v>F</v>
      </c>
      <c r="F152" s="80" t="str">
        <f ca="1">IFERROR(__xludf.DUMMYFUNCTION("""COMPUTED_VALUE"""),"J")</f>
        <v>J</v>
      </c>
      <c r="G152" s="80">
        <f ca="1">IFERROR(__xludf.DUMMYFUNCTION("""COMPUTED_VALUE"""),6)</f>
        <v>6</v>
      </c>
      <c r="H152" s="80" t="str">
        <f ca="1">IFERROR(__xludf.DUMMYFUNCTION("""COMPUTED_VALUE"""),"CH")</f>
        <v>CH</v>
      </c>
      <c r="I152" s="80">
        <f ca="1">IFERROR(__xludf.DUMMYFUNCTION("""COMPUTED_VALUE"""),2)</f>
        <v>2</v>
      </c>
      <c r="J152" s="81">
        <f ca="1">IFERROR(__xludf.DUMMYFUNCTION("""COMPUTED_VALUE"""),0)</f>
        <v>0</v>
      </c>
      <c r="K152" s="81">
        <f ca="1">IFERROR(__xludf.DUMMYFUNCTION("""COMPUTED_VALUE"""),0)</f>
        <v>0</v>
      </c>
      <c r="L152" s="81">
        <f ca="1">IFERROR(__xludf.DUMMYFUNCTION("""COMPUTED_VALUE"""),0)</f>
        <v>0</v>
      </c>
      <c r="M152" s="81"/>
      <c r="N152" s="81">
        <f ca="1">IFERROR(__xludf.DUMMYFUNCTION("""COMPUTED_VALUE"""),0)</f>
        <v>0</v>
      </c>
      <c r="O152" s="81"/>
      <c r="P152" s="81">
        <f ca="1">IFERROR(__xludf.DUMMYFUNCTION("""COMPUTED_VALUE"""),0)</f>
        <v>0</v>
      </c>
      <c r="Q152" s="81"/>
      <c r="R152" s="81">
        <f ca="1">IFERROR(__xludf.DUMMYFUNCTION("""COMPUTED_VALUE"""),0)</f>
        <v>0</v>
      </c>
      <c r="S152" s="81"/>
      <c r="T152" s="81"/>
      <c r="U152" s="82"/>
      <c r="V152" s="82"/>
      <c r="W152" s="83"/>
      <c r="X152" s="83"/>
      <c r="Y152" s="83"/>
    </row>
    <row r="153" spans="1:25" ht="13.8">
      <c r="A153" s="78" t="str">
        <f ca="1">IFERROR(__xludf.DUMMYFUNCTION("""COMPUTED_VALUE"""),"CH")</f>
        <v>CH</v>
      </c>
      <c r="B153" s="79" t="str">
        <f ca="1">IFERROR(__xludf.DUMMYFUNCTION("""COMPUTED_VALUE"""),"Ellison Gilman")</f>
        <v>Ellison Gilman</v>
      </c>
      <c r="C153" s="78">
        <f ca="1">IFERROR(__xludf.DUMMYFUNCTION("""COMPUTED_VALUE"""),9)</f>
        <v>9</v>
      </c>
      <c r="D153" s="78" t="str">
        <f ca="1">IFERROR(__xludf.DUMMYFUNCTION("""COMPUTED_VALUE"""),"G")</f>
        <v>G</v>
      </c>
      <c r="E153" s="80" t="str">
        <f ca="1">IFERROR(__xludf.DUMMYFUNCTION("""COMPUTED_VALUE"""),"F")</f>
        <v>F</v>
      </c>
      <c r="F153" s="80" t="str">
        <f ca="1">IFERROR(__xludf.DUMMYFUNCTION("""COMPUTED_VALUE"""),"J")</f>
        <v>J</v>
      </c>
      <c r="G153" s="80">
        <f ca="1">IFERROR(__xludf.DUMMYFUNCTION("""COMPUTED_VALUE"""),6)</f>
        <v>6</v>
      </c>
      <c r="H153" s="80" t="str">
        <f ca="1">IFERROR(__xludf.DUMMYFUNCTION("""COMPUTED_VALUE"""),"CH")</f>
        <v>CH</v>
      </c>
      <c r="I153" s="80">
        <f ca="1">IFERROR(__xludf.DUMMYFUNCTION("""COMPUTED_VALUE"""),2)</f>
        <v>2</v>
      </c>
      <c r="J153" s="81">
        <f ca="1">IFERROR(__xludf.DUMMYFUNCTION("""COMPUTED_VALUE"""),2)</f>
        <v>2</v>
      </c>
      <c r="K153" s="81">
        <f ca="1">IFERROR(__xludf.DUMMYFUNCTION("""COMPUTED_VALUE"""),43.25)</f>
        <v>43.25</v>
      </c>
      <c r="L153" s="81">
        <f ca="1">IFERROR(__xludf.DUMMYFUNCTION("""COMPUTED_VALUE"""),0)</f>
        <v>0</v>
      </c>
      <c r="M153" s="81"/>
      <c r="N153" s="81">
        <f ca="1">IFERROR(__xludf.DUMMYFUNCTION("""COMPUTED_VALUE"""),0)</f>
        <v>0</v>
      </c>
      <c r="O153" s="81"/>
      <c r="P153" s="81">
        <f ca="1">IFERROR(__xludf.DUMMYFUNCTION("""COMPUTED_VALUE"""),0)</f>
        <v>0</v>
      </c>
      <c r="Q153" s="81"/>
      <c r="R153" s="81">
        <f ca="1">IFERROR(__xludf.DUMMYFUNCTION("""COMPUTED_VALUE"""),43.25)</f>
        <v>43.25</v>
      </c>
      <c r="S153" s="81"/>
      <c r="T153" s="81"/>
      <c r="U153" s="82"/>
      <c r="V153" s="82"/>
      <c r="W153" s="83"/>
      <c r="X153" s="83"/>
      <c r="Y153" s="83"/>
    </row>
    <row r="154" spans="1:25" ht="13.8">
      <c r="A154" s="78" t="str">
        <f ca="1">IFERROR(__xludf.DUMMYFUNCTION("""COMPUTED_VALUE"""),"CH")</f>
        <v>CH</v>
      </c>
      <c r="B154" s="79" t="str">
        <f ca="1">IFERROR(__xludf.DUMMYFUNCTION("""COMPUTED_VALUE"""),"Joanna Jue")</f>
        <v>Joanna Jue</v>
      </c>
      <c r="C154" s="78">
        <f ca="1">IFERROR(__xludf.DUMMYFUNCTION("""COMPUTED_VALUE"""),10)</f>
        <v>10</v>
      </c>
      <c r="D154" s="78" t="str">
        <f ca="1">IFERROR(__xludf.DUMMYFUNCTION("""COMPUTED_VALUE"""),"G")</f>
        <v>G</v>
      </c>
      <c r="E154" s="80" t="str">
        <f ca="1">IFERROR(__xludf.DUMMYFUNCTION("""COMPUTED_VALUE"""),"F")</f>
        <v>F</v>
      </c>
      <c r="F154" s="80" t="str">
        <f ca="1">IFERROR(__xludf.DUMMYFUNCTION("""COMPUTED_VALUE"""),"J")</f>
        <v>J</v>
      </c>
      <c r="G154" s="80">
        <f ca="1">IFERROR(__xludf.DUMMYFUNCTION("""COMPUTED_VALUE"""),6)</f>
        <v>6</v>
      </c>
      <c r="H154" s="80" t="str">
        <f ca="1">IFERROR(__xludf.DUMMYFUNCTION("""COMPUTED_VALUE"""),"CH")</f>
        <v>CH</v>
      </c>
      <c r="I154" s="80">
        <f ca="1">IFERROR(__xludf.DUMMYFUNCTION("""COMPUTED_VALUE"""),2)</f>
        <v>2</v>
      </c>
      <c r="J154" s="81">
        <f ca="1">IFERROR(__xludf.DUMMYFUNCTION("""COMPUTED_VALUE"""),1)</f>
        <v>1</v>
      </c>
      <c r="K154" s="81">
        <f ca="1">IFERROR(__xludf.DUMMYFUNCTION("""COMPUTED_VALUE"""),49.45)</f>
        <v>49.45</v>
      </c>
      <c r="L154" s="81">
        <f ca="1">IFERROR(__xludf.DUMMYFUNCTION("""COMPUTED_VALUE"""),0)</f>
        <v>0</v>
      </c>
      <c r="M154" s="81"/>
      <c r="N154" s="81">
        <f ca="1">IFERROR(__xludf.DUMMYFUNCTION("""COMPUTED_VALUE"""),0)</f>
        <v>0</v>
      </c>
      <c r="O154" s="81"/>
      <c r="P154" s="81">
        <f ca="1">IFERROR(__xludf.DUMMYFUNCTION("""COMPUTED_VALUE"""),0)</f>
        <v>0</v>
      </c>
      <c r="Q154" s="81"/>
      <c r="R154" s="81">
        <f ca="1">IFERROR(__xludf.DUMMYFUNCTION("""COMPUTED_VALUE"""),49.45)</f>
        <v>49.45</v>
      </c>
      <c r="S154" s="81"/>
      <c r="T154" s="81"/>
      <c r="U154" s="82"/>
      <c r="V154" s="82"/>
      <c r="W154" s="83"/>
      <c r="X154" s="83"/>
      <c r="Y154" s="83"/>
    </row>
    <row r="155" spans="1:25" ht="13.8">
      <c r="A155" s="78" t="str">
        <f ca="1">IFERROR(__xludf.DUMMYFUNCTION("""COMPUTED_VALUE"""),"CH")</f>
        <v>CH</v>
      </c>
      <c r="B155" s="79" t="str">
        <f ca="1">IFERROR(__xludf.DUMMYFUNCTION("""COMPUTED_VALUE"""),"Margot Jue")</f>
        <v>Margot Jue</v>
      </c>
      <c r="C155" s="78">
        <f ca="1">IFERROR(__xludf.DUMMYFUNCTION("""COMPUTED_VALUE"""),8)</f>
        <v>8</v>
      </c>
      <c r="D155" s="78" t="str">
        <f ca="1">IFERROR(__xludf.DUMMYFUNCTION("""COMPUTED_VALUE"""),"G")</f>
        <v>G</v>
      </c>
      <c r="E155" s="80" t="str">
        <f ca="1">IFERROR(__xludf.DUMMYFUNCTION("""COMPUTED_VALUE"""),"F")</f>
        <v>F</v>
      </c>
      <c r="F155" s="80" t="str">
        <f ca="1">IFERROR(__xludf.DUMMYFUNCTION("""COMPUTED_VALUE"""),"J")</f>
        <v>J</v>
      </c>
      <c r="G155" s="80">
        <f ca="1">IFERROR(__xludf.DUMMYFUNCTION("""COMPUTED_VALUE"""),6)</f>
        <v>6</v>
      </c>
      <c r="H155" s="80" t="str">
        <f ca="1">IFERROR(__xludf.DUMMYFUNCTION("""COMPUTED_VALUE"""),"CH")</f>
        <v>CH</v>
      </c>
      <c r="I155" s="80">
        <f ca="1">IFERROR(__xludf.DUMMYFUNCTION("""COMPUTED_VALUE"""),2)</f>
        <v>2</v>
      </c>
      <c r="J155" s="81">
        <f ca="1">IFERROR(__xludf.DUMMYFUNCTION("""COMPUTED_VALUE"""),0)</f>
        <v>0</v>
      </c>
      <c r="K155" s="81">
        <f ca="1">IFERROR(__xludf.DUMMYFUNCTION("""COMPUTED_VALUE"""),0)</f>
        <v>0</v>
      </c>
      <c r="L155" s="81">
        <f ca="1">IFERROR(__xludf.DUMMYFUNCTION("""COMPUTED_VALUE"""),0)</f>
        <v>0</v>
      </c>
      <c r="M155" s="81"/>
      <c r="N155" s="81">
        <f ca="1">IFERROR(__xludf.DUMMYFUNCTION("""COMPUTED_VALUE"""),0)</f>
        <v>0</v>
      </c>
      <c r="O155" s="81"/>
      <c r="P155" s="81">
        <f ca="1">IFERROR(__xludf.DUMMYFUNCTION("""COMPUTED_VALUE"""),0)</f>
        <v>0</v>
      </c>
      <c r="Q155" s="81"/>
      <c r="R155" s="81">
        <f ca="1">IFERROR(__xludf.DUMMYFUNCTION("""COMPUTED_VALUE"""),0)</f>
        <v>0</v>
      </c>
      <c r="S155" s="81"/>
      <c r="T155" s="81"/>
      <c r="U155" s="82"/>
      <c r="V155" s="82"/>
      <c r="W155" s="83"/>
      <c r="X155" s="83"/>
      <c r="Y155" s="83"/>
    </row>
    <row r="156" spans="1:25" ht="13.8">
      <c r="A156" s="78" t="str">
        <f ca="1">IFERROR(__xludf.DUMMYFUNCTION("""COMPUTED_VALUE"""),"CH")</f>
        <v>CH</v>
      </c>
      <c r="B156" s="79" t="str">
        <f ca="1">IFERROR(__xludf.DUMMYFUNCTION("""COMPUTED_VALUE"""),"Lucy Kesler")</f>
        <v>Lucy Kesler</v>
      </c>
      <c r="C156" s="78">
        <f ca="1">IFERROR(__xludf.DUMMYFUNCTION("""COMPUTED_VALUE"""),10)</f>
        <v>10</v>
      </c>
      <c r="D156" s="78" t="str">
        <f ca="1">IFERROR(__xludf.DUMMYFUNCTION("""COMPUTED_VALUE"""),"G")</f>
        <v>G</v>
      </c>
      <c r="E156" s="80" t="str">
        <f ca="1">IFERROR(__xludf.DUMMYFUNCTION("""COMPUTED_VALUE"""),"F")</f>
        <v>F</v>
      </c>
      <c r="F156" s="80" t="str">
        <f ca="1">IFERROR(__xludf.DUMMYFUNCTION("""COMPUTED_VALUE"""),"J")</f>
        <v>J</v>
      </c>
      <c r="G156" s="80">
        <f ca="1">IFERROR(__xludf.DUMMYFUNCTION("""COMPUTED_VALUE"""),6)</f>
        <v>6</v>
      </c>
      <c r="H156" s="80" t="str">
        <f ca="1">IFERROR(__xludf.DUMMYFUNCTION("""COMPUTED_VALUE"""),"CH")</f>
        <v>CH</v>
      </c>
      <c r="I156" s="80">
        <f ca="1">IFERROR(__xludf.DUMMYFUNCTION("""COMPUTED_VALUE"""),2)</f>
        <v>2</v>
      </c>
      <c r="J156" s="81">
        <f ca="1">IFERROR(__xludf.DUMMYFUNCTION("""COMPUTED_VALUE"""),0)</f>
        <v>0</v>
      </c>
      <c r="K156" s="81">
        <f ca="1">IFERROR(__xludf.DUMMYFUNCTION("""COMPUTED_VALUE"""),0)</f>
        <v>0</v>
      </c>
      <c r="L156" s="81">
        <f ca="1">IFERROR(__xludf.DUMMYFUNCTION("""COMPUTED_VALUE"""),0)</f>
        <v>0</v>
      </c>
      <c r="M156" s="81"/>
      <c r="N156" s="81">
        <f ca="1">IFERROR(__xludf.DUMMYFUNCTION("""COMPUTED_VALUE"""),0)</f>
        <v>0</v>
      </c>
      <c r="O156" s="81"/>
      <c r="P156" s="81">
        <f ca="1">IFERROR(__xludf.DUMMYFUNCTION("""COMPUTED_VALUE"""),0)</f>
        <v>0</v>
      </c>
      <c r="Q156" s="81"/>
      <c r="R156" s="81">
        <f ca="1">IFERROR(__xludf.DUMMYFUNCTION("""COMPUTED_VALUE"""),0)</f>
        <v>0</v>
      </c>
      <c r="S156" s="81"/>
      <c r="T156" s="81"/>
      <c r="U156" s="82"/>
      <c r="V156" s="82"/>
      <c r="W156" s="83"/>
      <c r="X156" s="83"/>
      <c r="Y156" s="83"/>
    </row>
    <row r="157" spans="1:25" ht="13.8">
      <c r="A157" s="78" t="str">
        <f ca="1">IFERROR(__xludf.DUMMYFUNCTION("""COMPUTED_VALUE"""),"CH")</f>
        <v>CH</v>
      </c>
      <c r="B157" s="79" t="str">
        <f ca="1">IFERROR(__xludf.DUMMYFUNCTION("""COMPUTED_VALUE"""),"Izzy Kreps")</f>
        <v>Izzy Kreps</v>
      </c>
      <c r="C157" s="78">
        <f ca="1">IFERROR(__xludf.DUMMYFUNCTION("""COMPUTED_VALUE"""),8)</f>
        <v>8</v>
      </c>
      <c r="D157" s="78" t="str">
        <f ca="1">IFERROR(__xludf.DUMMYFUNCTION("""COMPUTED_VALUE"""),"G")</f>
        <v>G</v>
      </c>
      <c r="E157" s="80" t="str">
        <f ca="1">IFERROR(__xludf.DUMMYFUNCTION("""COMPUTED_VALUE"""),"F")</f>
        <v>F</v>
      </c>
      <c r="F157" s="80" t="str">
        <f ca="1">IFERROR(__xludf.DUMMYFUNCTION("""COMPUTED_VALUE"""),"J")</f>
        <v>J</v>
      </c>
      <c r="G157" s="80">
        <f ca="1">IFERROR(__xludf.DUMMYFUNCTION("""COMPUTED_VALUE"""),6)</f>
        <v>6</v>
      </c>
      <c r="H157" s="80" t="str">
        <f ca="1">IFERROR(__xludf.DUMMYFUNCTION("""COMPUTED_VALUE"""),"CH")</f>
        <v>CH</v>
      </c>
      <c r="I157" s="80">
        <f ca="1">IFERROR(__xludf.DUMMYFUNCTION("""COMPUTED_VALUE"""),2)</f>
        <v>2</v>
      </c>
      <c r="J157" s="81">
        <f ca="1">IFERROR(__xludf.DUMMYFUNCTION("""COMPUTED_VALUE"""),0)</f>
        <v>0</v>
      </c>
      <c r="K157" s="81">
        <f ca="1">IFERROR(__xludf.DUMMYFUNCTION("""COMPUTED_VALUE"""),0)</f>
        <v>0</v>
      </c>
      <c r="L157" s="81">
        <f ca="1">IFERROR(__xludf.DUMMYFUNCTION("""COMPUTED_VALUE"""),0)</f>
        <v>0</v>
      </c>
      <c r="M157" s="81"/>
      <c r="N157" s="81">
        <f ca="1">IFERROR(__xludf.DUMMYFUNCTION("""COMPUTED_VALUE"""),0)</f>
        <v>0</v>
      </c>
      <c r="O157" s="81"/>
      <c r="P157" s="81">
        <f ca="1">IFERROR(__xludf.DUMMYFUNCTION("""COMPUTED_VALUE"""),0)</f>
        <v>0</v>
      </c>
      <c r="Q157" s="81"/>
      <c r="R157" s="81">
        <f ca="1">IFERROR(__xludf.DUMMYFUNCTION("""COMPUTED_VALUE"""),0)</f>
        <v>0</v>
      </c>
      <c r="S157" s="81"/>
      <c r="T157" s="81"/>
      <c r="U157" s="82"/>
      <c r="V157" s="82"/>
      <c r="W157" s="83"/>
      <c r="X157" s="83"/>
      <c r="Y157" s="83"/>
    </row>
    <row r="158" spans="1:25" ht="13.8">
      <c r="A158" s="78" t="str">
        <f ca="1">IFERROR(__xludf.DUMMYFUNCTION("""COMPUTED_VALUE"""),"CH")</f>
        <v>CH</v>
      </c>
      <c r="B158" s="79" t="str">
        <f ca="1">IFERROR(__xludf.DUMMYFUNCTION("""COMPUTED_VALUE"""),"Marianna McKinnon")</f>
        <v>Marianna McKinnon</v>
      </c>
      <c r="C158" s="78">
        <f ca="1">IFERROR(__xludf.DUMMYFUNCTION("""COMPUTED_VALUE"""),9)</f>
        <v>9</v>
      </c>
      <c r="D158" s="78" t="str">
        <f ca="1">IFERROR(__xludf.DUMMYFUNCTION("""COMPUTED_VALUE"""),"G")</f>
        <v>G</v>
      </c>
      <c r="E158" s="80" t="str">
        <f ca="1">IFERROR(__xludf.DUMMYFUNCTION("""COMPUTED_VALUE"""),"F")</f>
        <v>F</v>
      </c>
      <c r="F158" s="80" t="str">
        <f ca="1">IFERROR(__xludf.DUMMYFUNCTION("""COMPUTED_VALUE"""),"J")</f>
        <v>J</v>
      </c>
      <c r="G158" s="80">
        <f ca="1">IFERROR(__xludf.DUMMYFUNCTION("""COMPUTED_VALUE"""),6)</f>
        <v>6</v>
      </c>
      <c r="H158" s="80" t="str">
        <f ca="1">IFERROR(__xludf.DUMMYFUNCTION("""COMPUTED_VALUE"""),"CH")</f>
        <v>CH</v>
      </c>
      <c r="I158" s="80">
        <f ca="1">IFERROR(__xludf.DUMMYFUNCTION("""COMPUTED_VALUE"""),2)</f>
        <v>2</v>
      </c>
      <c r="J158" s="81">
        <f ca="1">IFERROR(__xludf.DUMMYFUNCTION("""COMPUTED_VALUE"""),5)</f>
        <v>5</v>
      </c>
      <c r="K158" s="81">
        <f ca="1">IFERROR(__xludf.DUMMYFUNCTION("""COMPUTED_VALUE"""),65.75)</f>
        <v>65.75</v>
      </c>
      <c r="L158" s="81">
        <f ca="1">IFERROR(__xludf.DUMMYFUNCTION("""COMPUTED_VALUE"""),40.45)</f>
        <v>40.450000000000003</v>
      </c>
      <c r="M158" s="81"/>
      <c r="N158" s="81">
        <f ca="1">IFERROR(__xludf.DUMMYFUNCTION("""COMPUTED_VALUE"""),34.9)</f>
        <v>34.9</v>
      </c>
      <c r="O158" s="81"/>
      <c r="P158" s="81">
        <f ca="1">IFERROR(__xludf.DUMMYFUNCTION("""COMPUTED_VALUE"""),52.4)</f>
        <v>52.4</v>
      </c>
      <c r="Q158" s="81"/>
      <c r="R158" s="81">
        <f ca="1">IFERROR(__xludf.DUMMYFUNCTION("""COMPUTED_VALUE"""),65.75)</f>
        <v>65.75</v>
      </c>
      <c r="S158" s="81"/>
      <c r="T158" s="81"/>
      <c r="U158" s="82"/>
      <c r="V158" s="82"/>
      <c r="W158" s="83"/>
      <c r="X158" s="83"/>
      <c r="Y158" s="83"/>
    </row>
    <row r="159" spans="1:25" ht="13.8">
      <c r="A159" s="78" t="str">
        <f ca="1">IFERROR(__xludf.DUMMYFUNCTION("""COMPUTED_VALUE"""),"CH")</f>
        <v>CH</v>
      </c>
      <c r="B159" s="79" t="str">
        <f ca="1">IFERROR(__xludf.DUMMYFUNCTION("""COMPUTED_VALUE"""),"Fiona St.GermIn")</f>
        <v>Fiona St.GermIn</v>
      </c>
      <c r="C159" s="78">
        <f ca="1">IFERROR(__xludf.DUMMYFUNCTION("""COMPUTED_VALUE"""),7)</f>
        <v>7</v>
      </c>
      <c r="D159" s="78" t="str">
        <f ca="1">IFERROR(__xludf.DUMMYFUNCTION("""COMPUTED_VALUE"""),"G")</f>
        <v>G</v>
      </c>
      <c r="E159" s="80" t="str">
        <f ca="1">IFERROR(__xludf.DUMMYFUNCTION("""COMPUTED_VALUE"""),"F")</f>
        <v>F</v>
      </c>
      <c r="F159" s="80" t="str">
        <f ca="1">IFERROR(__xludf.DUMMYFUNCTION("""COMPUTED_VALUE"""),"J")</f>
        <v>J</v>
      </c>
      <c r="G159" s="80">
        <f ca="1">IFERROR(__xludf.DUMMYFUNCTION("""COMPUTED_VALUE"""),6)</f>
        <v>6</v>
      </c>
      <c r="H159" s="80" t="str">
        <f ca="1">IFERROR(__xludf.DUMMYFUNCTION("""COMPUTED_VALUE"""),"CH")</f>
        <v>CH</v>
      </c>
      <c r="I159" s="80">
        <f ca="1">IFERROR(__xludf.DUMMYFUNCTION("""COMPUTED_VALUE"""),2)</f>
        <v>2</v>
      </c>
      <c r="J159" s="81">
        <f ca="1">IFERROR(__xludf.DUMMYFUNCTION("""COMPUTED_VALUE"""),0)</f>
        <v>0</v>
      </c>
      <c r="K159" s="81">
        <f ca="1">IFERROR(__xludf.DUMMYFUNCTION("""COMPUTED_VALUE"""),0)</f>
        <v>0</v>
      </c>
      <c r="L159" s="81">
        <f ca="1">IFERROR(__xludf.DUMMYFUNCTION("""COMPUTED_VALUE"""),0)</f>
        <v>0</v>
      </c>
      <c r="M159" s="81"/>
      <c r="N159" s="81">
        <f ca="1">IFERROR(__xludf.DUMMYFUNCTION("""COMPUTED_VALUE"""),0)</f>
        <v>0</v>
      </c>
      <c r="O159" s="81"/>
      <c r="P159" s="81">
        <f ca="1">IFERROR(__xludf.DUMMYFUNCTION("""COMPUTED_VALUE"""),0)</f>
        <v>0</v>
      </c>
      <c r="Q159" s="81"/>
      <c r="R159" s="81">
        <f ca="1">IFERROR(__xludf.DUMMYFUNCTION("""COMPUTED_VALUE"""),0)</f>
        <v>0</v>
      </c>
      <c r="S159" s="81"/>
      <c r="T159" s="81"/>
      <c r="U159" s="82"/>
      <c r="V159" s="82"/>
      <c r="W159" s="83"/>
      <c r="X159" s="83"/>
      <c r="Y159" s="83"/>
    </row>
    <row r="160" spans="1:25" ht="13.8">
      <c r="A160" s="78" t="str">
        <f ca="1">IFERROR(__xludf.DUMMYFUNCTION("""COMPUTED_VALUE"""),"CH")</f>
        <v>CH</v>
      </c>
      <c r="B160" s="79" t="str">
        <f ca="1">IFERROR(__xludf.DUMMYFUNCTION("""COMPUTED_VALUE"""),"Claire Verderese")</f>
        <v>Claire Verderese</v>
      </c>
      <c r="C160" s="78">
        <f ca="1">IFERROR(__xludf.DUMMYFUNCTION("""COMPUTED_VALUE"""),8)</f>
        <v>8</v>
      </c>
      <c r="D160" s="78" t="str">
        <f ca="1">IFERROR(__xludf.DUMMYFUNCTION("""COMPUTED_VALUE"""),"G")</f>
        <v>G</v>
      </c>
      <c r="E160" s="80" t="str">
        <f ca="1">IFERROR(__xludf.DUMMYFUNCTION("""COMPUTED_VALUE"""),"F")</f>
        <v>F</v>
      </c>
      <c r="F160" s="80" t="str">
        <f ca="1">IFERROR(__xludf.DUMMYFUNCTION("""COMPUTED_VALUE"""),"J")</f>
        <v>J</v>
      </c>
      <c r="G160" s="80">
        <f ca="1">IFERROR(__xludf.DUMMYFUNCTION("""COMPUTED_VALUE"""),6)</f>
        <v>6</v>
      </c>
      <c r="H160" s="80" t="str">
        <f ca="1">IFERROR(__xludf.DUMMYFUNCTION("""COMPUTED_VALUE"""),"CH")</f>
        <v>CH</v>
      </c>
      <c r="I160" s="80">
        <f ca="1">IFERROR(__xludf.DUMMYFUNCTION("""COMPUTED_VALUE"""),2)</f>
        <v>2</v>
      </c>
      <c r="J160" s="81">
        <f ca="1">IFERROR(__xludf.DUMMYFUNCTION("""COMPUTED_VALUE"""),0)</f>
        <v>0</v>
      </c>
      <c r="K160" s="81">
        <f ca="1">IFERROR(__xludf.DUMMYFUNCTION("""COMPUTED_VALUE"""),0)</f>
        <v>0</v>
      </c>
      <c r="L160" s="81">
        <f ca="1">IFERROR(__xludf.DUMMYFUNCTION("""COMPUTED_VALUE"""),0)</f>
        <v>0</v>
      </c>
      <c r="M160" s="81"/>
      <c r="N160" s="81">
        <f ca="1">IFERROR(__xludf.DUMMYFUNCTION("""COMPUTED_VALUE"""),0)</f>
        <v>0</v>
      </c>
      <c r="O160" s="81"/>
      <c r="P160" s="81">
        <f ca="1">IFERROR(__xludf.DUMMYFUNCTION("""COMPUTED_VALUE"""),0)</f>
        <v>0</v>
      </c>
      <c r="Q160" s="81"/>
      <c r="R160" s="81">
        <f ca="1">IFERROR(__xludf.DUMMYFUNCTION("""COMPUTED_VALUE"""),0)</f>
        <v>0</v>
      </c>
      <c r="S160" s="81"/>
      <c r="T160" s="81"/>
      <c r="U160" s="82"/>
      <c r="V160" s="82"/>
      <c r="W160" s="83"/>
      <c r="X160" s="83"/>
      <c r="Y160" s="83"/>
    </row>
    <row r="161" spans="1:25" ht="13.8">
      <c r="A161" s="78" t="str">
        <f ca="1">IFERROR(__xludf.DUMMYFUNCTION("""COMPUTED_VALUE"""),"CH")</f>
        <v>CH</v>
      </c>
      <c r="B161" s="79" t="str">
        <f ca="1">IFERROR(__xludf.DUMMYFUNCTION("""COMPUTED_VALUE"""),"Andrew Beck")</f>
        <v>Andrew Beck</v>
      </c>
      <c r="C161" s="78">
        <f ca="1">IFERROR(__xludf.DUMMYFUNCTION("""COMPUTED_VALUE"""),5)</f>
        <v>5</v>
      </c>
      <c r="D161" s="78" t="str">
        <f ca="1">IFERROR(__xludf.DUMMYFUNCTION("""COMPUTED_VALUE"""),"B")</f>
        <v>B</v>
      </c>
      <c r="E161" s="80" t="str">
        <f ca="1">IFERROR(__xludf.DUMMYFUNCTION("""COMPUTED_VALUE"""),"F")</f>
        <v>F</v>
      </c>
      <c r="F161" s="80" t="str">
        <f ca="1">IFERROR(__xludf.DUMMYFUNCTION("""COMPUTED_VALUE"""),"J")</f>
        <v>J</v>
      </c>
      <c r="G161" s="80">
        <f ca="1">IFERROR(__xludf.DUMMYFUNCTION("""COMPUTED_VALUE"""),6)</f>
        <v>6</v>
      </c>
      <c r="H161" s="80" t="str">
        <f ca="1">IFERROR(__xludf.DUMMYFUNCTION("""COMPUTED_VALUE"""),"CH")</f>
        <v>CH</v>
      </c>
      <c r="I161" s="80">
        <f ca="1">IFERROR(__xludf.DUMMYFUNCTION("""COMPUTED_VALUE"""),3)</f>
        <v>3</v>
      </c>
      <c r="J161" s="81">
        <f ca="1">IFERROR(__xludf.DUMMYFUNCTION("""COMPUTED_VALUE"""),0)</f>
        <v>0</v>
      </c>
      <c r="K161" s="81">
        <f ca="1">IFERROR(__xludf.DUMMYFUNCTION("""COMPUTED_VALUE"""),0)</f>
        <v>0</v>
      </c>
      <c r="L161" s="81">
        <f ca="1">IFERROR(__xludf.DUMMYFUNCTION("""COMPUTED_VALUE"""),0)</f>
        <v>0</v>
      </c>
      <c r="M161" s="81"/>
      <c r="N161" s="81">
        <f ca="1">IFERROR(__xludf.DUMMYFUNCTION("""COMPUTED_VALUE"""),0)</f>
        <v>0</v>
      </c>
      <c r="O161" s="81"/>
      <c r="P161" s="81">
        <f ca="1">IFERROR(__xludf.DUMMYFUNCTION("""COMPUTED_VALUE"""),0)</f>
        <v>0</v>
      </c>
      <c r="Q161" s="81"/>
      <c r="R161" s="81">
        <f ca="1">IFERROR(__xludf.DUMMYFUNCTION("""COMPUTED_VALUE"""),0)</f>
        <v>0</v>
      </c>
      <c r="S161" s="81"/>
      <c r="T161" s="81"/>
      <c r="U161" s="82"/>
      <c r="V161" s="82"/>
      <c r="W161" s="83"/>
      <c r="X161" s="83"/>
      <c r="Y161" s="83"/>
    </row>
    <row r="162" spans="1:25" ht="13.8">
      <c r="A162" s="78" t="str">
        <f ca="1">IFERROR(__xludf.DUMMYFUNCTION("""COMPUTED_VALUE"""),"CH")</f>
        <v>CH</v>
      </c>
      <c r="B162" s="79" t="str">
        <f ca="1">IFERROR(__xludf.DUMMYFUNCTION("""COMPUTED_VALUE"""),"William Beck")</f>
        <v>William Beck</v>
      </c>
      <c r="C162" s="78">
        <f ca="1">IFERROR(__xludf.DUMMYFUNCTION("""COMPUTED_VALUE"""),9)</f>
        <v>9</v>
      </c>
      <c r="D162" s="78" t="str">
        <f ca="1">IFERROR(__xludf.DUMMYFUNCTION("""COMPUTED_VALUE"""),"B")</f>
        <v>B</v>
      </c>
      <c r="E162" s="80" t="str">
        <f ca="1">IFERROR(__xludf.DUMMYFUNCTION("""COMPUTED_VALUE"""),"F")</f>
        <v>F</v>
      </c>
      <c r="F162" s="80" t="str">
        <f ca="1">IFERROR(__xludf.DUMMYFUNCTION("""COMPUTED_VALUE"""),"J")</f>
        <v>J</v>
      </c>
      <c r="G162" s="80">
        <f ca="1">IFERROR(__xludf.DUMMYFUNCTION("""COMPUTED_VALUE"""),6)</f>
        <v>6</v>
      </c>
      <c r="H162" s="80" t="str">
        <f ca="1">IFERROR(__xludf.DUMMYFUNCTION("""COMPUTED_VALUE"""),"CH")</f>
        <v>CH</v>
      </c>
      <c r="I162" s="80">
        <f ca="1">IFERROR(__xludf.DUMMYFUNCTION("""COMPUTED_VALUE"""),3)</f>
        <v>3</v>
      </c>
      <c r="J162" s="81">
        <f ca="1">IFERROR(__xludf.DUMMYFUNCTION("""COMPUTED_VALUE"""),2)</f>
        <v>2</v>
      </c>
      <c r="K162" s="81">
        <f ca="1">IFERROR(__xludf.DUMMYFUNCTION("""COMPUTED_VALUE"""),38.75)</f>
        <v>38.75</v>
      </c>
      <c r="L162" s="81">
        <f ca="1">IFERROR(__xludf.DUMMYFUNCTION("""COMPUTED_VALUE"""),0)</f>
        <v>0</v>
      </c>
      <c r="M162" s="81"/>
      <c r="N162" s="81">
        <f ca="1">IFERROR(__xludf.DUMMYFUNCTION("""COMPUTED_VALUE"""),0)</f>
        <v>0</v>
      </c>
      <c r="O162" s="81"/>
      <c r="P162" s="81">
        <f ca="1">IFERROR(__xludf.DUMMYFUNCTION("""COMPUTED_VALUE"""),0)</f>
        <v>0</v>
      </c>
      <c r="Q162" s="81"/>
      <c r="R162" s="81">
        <f ca="1">IFERROR(__xludf.DUMMYFUNCTION("""COMPUTED_VALUE"""),38.75)</f>
        <v>38.75</v>
      </c>
      <c r="S162" s="81"/>
      <c r="T162" s="81"/>
      <c r="U162" s="82"/>
      <c r="V162" s="82"/>
      <c r="W162" s="83"/>
      <c r="X162" s="83"/>
      <c r="Y162" s="83"/>
    </row>
    <row r="163" spans="1:25" ht="13.8">
      <c r="A163" s="78" t="str">
        <f ca="1">IFERROR(__xludf.DUMMYFUNCTION("""COMPUTED_VALUE"""),"CH")</f>
        <v>CH</v>
      </c>
      <c r="B163" s="79" t="str">
        <f ca="1">IFERROR(__xludf.DUMMYFUNCTION("""COMPUTED_VALUE"""),"Calvin Butler")</f>
        <v>Calvin Butler</v>
      </c>
      <c r="C163" s="78">
        <f ca="1">IFERROR(__xludf.DUMMYFUNCTION("""COMPUTED_VALUE"""),8)</f>
        <v>8</v>
      </c>
      <c r="D163" s="78" t="str">
        <f ca="1">IFERROR(__xludf.DUMMYFUNCTION("""COMPUTED_VALUE"""),"B")</f>
        <v>B</v>
      </c>
      <c r="E163" s="80" t="str">
        <f ca="1">IFERROR(__xludf.DUMMYFUNCTION("""COMPUTED_VALUE"""),"F")</f>
        <v>F</v>
      </c>
      <c r="F163" s="80" t="str">
        <f ca="1">IFERROR(__xludf.DUMMYFUNCTION("""COMPUTED_VALUE"""),"J")</f>
        <v>J</v>
      </c>
      <c r="G163" s="80">
        <f ca="1">IFERROR(__xludf.DUMMYFUNCTION("""COMPUTED_VALUE"""),6)</f>
        <v>6</v>
      </c>
      <c r="H163" s="80" t="str">
        <f ca="1">IFERROR(__xludf.DUMMYFUNCTION("""COMPUTED_VALUE"""),"CH")</f>
        <v>CH</v>
      </c>
      <c r="I163" s="80">
        <f ca="1">IFERROR(__xludf.DUMMYFUNCTION("""COMPUTED_VALUE"""),3)</f>
        <v>3</v>
      </c>
      <c r="J163" s="81">
        <f ca="1">IFERROR(__xludf.DUMMYFUNCTION("""COMPUTED_VALUE"""),5)</f>
        <v>5</v>
      </c>
      <c r="K163" s="81">
        <f ca="1">IFERROR(__xludf.DUMMYFUNCTION("""COMPUTED_VALUE"""),59.2)</f>
        <v>59.2</v>
      </c>
      <c r="L163" s="81">
        <f ca="1">IFERROR(__xludf.DUMMYFUNCTION("""COMPUTED_VALUE"""),49.1)</f>
        <v>49.1</v>
      </c>
      <c r="M163" s="81"/>
      <c r="N163" s="81">
        <f ca="1">IFERROR(__xludf.DUMMYFUNCTION("""COMPUTED_VALUE"""),56.05)</f>
        <v>56.05</v>
      </c>
      <c r="O163" s="81"/>
      <c r="P163" s="81">
        <f ca="1">IFERROR(__xludf.DUMMYFUNCTION("""COMPUTED_VALUE"""),59.2)</f>
        <v>59.2</v>
      </c>
      <c r="Q163" s="81"/>
      <c r="R163" s="81">
        <f ca="1">IFERROR(__xludf.DUMMYFUNCTION("""COMPUTED_VALUE"""),55.5)</f>
        <v>55.5</v>
      </c>
      <c r="S163" s="81"/>
      <c r="T163" s="81"/>
      <c r="U163" s="82"/>
      <c r="V163" s="82"/>
      <c r="W163" s="83"/>
      <c r="X163" s="83"/>
      <c r="Y163" s="83"/>
    </row>
    <row r="164" spans="1:25" ht="13.8">
      <c r="A164" s="78" t="str">
        <f ca="1">IFERROR(__xludf.DUMMYFUNCTION("""COMPUTED_VALUE"""),"CH")</f>
        <v>CH</v>
      </c>
      <c r="B164" s="79" t="str">
        <f ca="1">IFERROR(__xludf.DUMMYFUNCTION("""COMPUTED_VALUE"""),"Aiden Cox")</f>
        <v>Aiden Cox</v>
      </c>
      <c r="C164" s="78">
        <f ca="1">IFERROR(__xludf.DUMMYFUNCTION("""COMPUTED_VALUE"""),7)</f>
        <v>7</v>
      </c>
      <c r="D164" s="78" t="str">
        <f ca="1">IFERROR(__xludf.DUMMYFUNCTION("""COMPUTED_VALUE"""),"B")</f>
        <v>B</v>
      </c>
      <c r="E164" s="80" t="str">
        <f ca="1">IFERROR(__xludf.DUMMYFUNCTION("""COMPUTED_VALUE"""),"F")</f>
        <v>F</v>
      </c>
      <c r="F164" s="80" t="str">
        <f ca="1">IFERROR(__xludf.DUMMYFUNCTION("""COMPUTED_VALUE"""),"J")</f>
        <v>J</v>
      </c>
      <c r="G164" s="80">
        <f ca="1">IFERROR(__xludf.DUMMYFUNCTION("""COMPUTED_VALUE"""),6)</f>
        <v>6</v>
      </c>
      <c r="H164" s="80" t="str">
        <f ca="1">IFERROR(__xludf.DUMMYFUNCTION("""COMPUTED_VALUE"""),"CH")</f>
        <v>CH</v>
      </c>
      <c r="I164" s="80">
        <f ca="1">IFERROR(__xludf.DUMMYFUNCTION("""COMPUTED_VALUE"""),3)</f>
        <v>3</v>
      </c>
      <c r="J164" s="81">
        <f ca="1">IFERROR(__xludf.DUMMYFUNCTION("""COMPUTED_VALUE"""),0)</f>
        <v>0</v>
      </c>
      <c r="K164" s="81">
        <f ca="1">IFERROR(__xludf.DUMMYFUNCTION("""COMPUTED_VALUE"""),0)</f>
        <v>0</v>
      </c>
      <c r="L164" s="81">
        <f ca="1">IFERROR(__xludf.DUMMYFUNCTION("""COMPUTED_VALUE"""),0)</f>
        <v>0</v>
      </c>
      <c r="M164" s="81"/>
      <c r="N164" s="81">
        <f ca="1">IFERROR(__xludf.DUMMYFUNCTION("""COMPUTED_VALUE"""),0)</f>
        <v>0</v>
      </c>
      <c r="O164" s="81"/>
      <c r="P164" s="81">
        <f ca="1">IFERROR(__xludf.DUMMYFUNCTION("""COMPUTED_VALUE"""),0)</f>
        <v>0</v>
      </c>
      <c r="Q164" s="81"/>
      <c r="R164" s="81">
        <f ca="1">IFERROR(__xludf.DUMMYFUNCTION("""COMPUTED_VALUE"""),0)</f>
        <v>0</v>
      </c>
      <c r="S164" s="81"/>
      <c r="T164" s="81"/>
      <c r="U164" s="82"/>
      <c r="V164" s="82"/>
      <c r="W164" s="83"/>
      <c r="X164" s="83"/>
      <c r="Y164" s="83"/>
    </row>
    <row r="165" spans="1:25" ht="13.8">
      <c r="A165" s="78" t="str">
        <f ca="1">IFERROR(__xludf.DUMMYFUNCTION("""COMPUTED_VALUE"""),"CH")</f>
        <v>CH</v>
      </c>
      <c r="B165" s="79" t="str">
        <f ca="1">IFERROR(__xludf.DUMMYFUNCTION("""COMPUTED_VALUE"""),"Will Daman")</f>
        <v>Will Daman</v>
      </c>
      <c r="C165" s="78">
        <f ca="1">IFERROR(__xludf.DUMMYFUNCTION("""COMPUTED_VALUE"""),9)</f>
        <v>9</v>
      </c>
      <c r="D165" s="78" t="str">
        <f ca="1">IFERROR(__xludf.DUMMYFUNCTION("""COMPUTED_VALUE"""),"B")</f>
        <v>B</v>
      </c>
      <c r="E165" s="80" t="str">
        <f ca="1">IFERROR(__xludf.DUMMYFUNCTION("""COMPUTED_VALUE"""),"F")</f>
        <v>F</v>
      </c>
      <c r="F165" s="80" t="str">
        <f ca="1">IFERROR(__xludf.DUMMYFUNCTION("""COMPUTED_VALUE"""),"J")</f>
        <v>J</v>
      </c>
      <c r="G165" s="80">
        <f ca="1">IFERROR(__xludf.DUMMYFUNCTION("""COMPUTED_VALUE"""),6)</f>
        <v>6</v>
      </c>
      <c r="H165" s="80" t="str">
        <f ca="1">IFERROR(__xludf.DUMMYFUNCTION("""COMPUTED_VALUE"""),"CH")</f>
        <v>CH</v>
      </c>
      <c r="I165" s="80">
        <f ca="1">IFERROR(__xludf.DUMMYFUNCTION("""COMPUTED_VALUE"""),3)</f>
        <v>3</v>
      </c>
      <c r="J165" s="81">
        <f ca="1">IFERROR(__xludf.DUMMYFUNCTION("""COMPUTED_VALUE"""),3)</f>
        <v>3</v>
      </c>
      <c r="K165" s="81">
        <f ca="1">IFERROR(__xludf.DUMMYFUNCTION("""COMPUTED_VALUE"""),52.25)</f>
        <v>52.25</v>
      </c>
      <c r="L165" s="81">
        <f ca="1">IFERROR(__xludf.DUMMYFUNCTION("""COMPUTED_VALUE"""),0)</f>
        <v>0</v>
      </c>
      <c r="M165" s="81"/>
      <c r="N165" s="81">
        <f ca="1">IFERROR(__xludf.DUMMYFUNCTION("""COMPUTED_VALUE"""),44)</f>
        <v>44</v>
      </c>
      <c r="O165" s="81"/>
      <c r="P165" s="81">
        <f ca="1">IFERROR(__xludf.DUMMYFUNCTION("""COMPUTED_VALUE"""),52.25)</f>
        <v>52.25</v>
      </c>
      <c r="Q165" s="81"/>
      <c r="R165" s="81">
        <f ca="1">IFERROR(__xludf.DUMMYFUNCTION("""COMPUTED_VALUE"""),28.75)</f>
        <v>28.75</v>
      </c>
      <c r="S165" s="81"/>
      <c r="T165" s="81"/>
      <c r="U165" s="82"/>
      <c r="V165" s="82"/>
      <c r="W165" s="83"/>
      <c r="X165" s="83"/>
      <c r="Y165" s="83"/>
    </row>
    <row r="166" spans="1:25" ht="13.8">
      <c r="A166" s="78" t="str">
        <f ca="1">IFERROR(__xludf.DUMMYFUNCTION("""COMPUTED_VALUE"""),"CH")</f>
        <v>CH</v>
      </c>
      <c r="B166" s="79" t="str">
        <f ca="1">IFERROR(__xludf.DUMMYFUNCTION("""COMPUTED_VALUE"""),"Camden Dean")</f>
        <v>Camden Dean</v>
      </c>
      <c r="C166" s="78">
        <f ca="1">IFERROR(__xludf.DUMMYFUNCTION("""COMPUTED_VALUE"""),8)</f>
        <v>8</v>
      </c>
      <c r="D166" s="78" t="str">
        <f ca="1">IFERROR(__xludf.DUMMYFUNCTION("""COMPUTED_VALUE"""),"B")</f>
        <v>B</v>
      </c>
      <c r="E166" s="80" t="str">
        <f ca="1">IFERROR(__xludf.DUMMYFUNCTION("""COMPUTED_VALUE"""),"F")</f>
        <v>F</v>
      </c>
      <c r="F166" s="80" t="str">
        <f ca="1">IFERROR(__xludf.DUMMYFUNCTION("""COMPUTED_VALUE"""),"J")</f>
        <v>J</v>
      </c>
      <c r="G166" s="80">
        <f ca="1">IFERROR(__xludf.DUMMYFUNCTION("""COMPUTED_VALUE"""),6)</f>
        <v>6</v>
      </c>
      <c r="H166" s="80" t="str">
        <f ca="1">IFERROR(__xludf.DUMMYFUNCTION("""COMPUTED_VALUE"""),"CH")</f>
        <v>CH</v>
      </c>
      <c r="I166" s="80">
        <f ca="1">IFERROR(__xludf.DUMMYFUNCTION("""COMPUTED_VALUE"""),3)</f>
        <v>3</v>
      </c>
      <c r="J166" s="81">
        <f ca="1">IFERROR(__xludf.DUMMYFUNCTION("""COMPUTED_VALUE"""),1)</f>
        <v>1</v>
      </c>
      <c r="K166" s="81">
        <f ca="1">IFERROR(__xludf.DUMMYFUNCTION("""COMPUTED_VALUE"""),29.15)</f>
        <v>29.15</v>
      </c>
      <c r="L166" s="81">
        <f ca="1">IFERROR(__xludf.DUMMYFUNCTION("""COMPUTED_VALUE"""),0)</f>
        <v>0</v>
      </c>
      <c r="M166" s="81"/>
      <c r="N166" s="81">
        <f ca="1">IFERROR(__xludf.DUMMYFUNCTION("""COMPUTED_VALUE"""),0)</f>
        <v>0</v>
      </c>
      <c r="O166" s="81"/>
      <c r="P166" s="81">
        <f ca="1">IFERROR(__xludf.DUMMYFUNCTION("""COMPUTED_VALUE"""),0)</f>
        <v>0</v>
      </c>
      <c r="Q166" s="81"/>
      <c r="R166" s="81">
        <f ca="1">IFERROR(__xludf.DUMMYFUNCTION("""COMPUTED_VALUE"""),29.15)</f>
        <v>29.15</v>
      </c>
      <c r="S166" s="81"/>
      <c r="T166" s="81"/>
      <c r="U166" s="82"/>
      <c r="V166" s="82"/>
      <c r="W166" s="83"/>
      <c r="X166" s="83"/>
      <c r="Y166" s="83"/>
    </row>
    <row r="167" spans="1:25" ht="13.8">
      <c r="A167" s="78" t="str">
        <f ca="1">IFERROR(__xludf.DUMMYFUNCTION("""COMPUTED_VALUE"""),"CH")</f>
        <v>CH</v>
      </c>
      <c r="B167" s="79" t="str">
        <f ca="1">IFERROR(__xludf.DUMMYFUNCTION("""COMPUTED_VALUE"""),"Luca Helou")</f>
        <v>Luca Helou</v>
      </c>
      <c r="C167" s="78">
        <f ca="1">IFERROR(__xludf.DUMMYFUNCTION("""COMPUTED_VALUE"""),10)</f>
        <v>10</v>
      </c>
      <c r="D167" s="78" t="str">
        <f ca="1">IFERROR(__xludf.DUMMYFUNCTION("""COMPUTED_VALUE"""),"B")</f>
        <v>B</v>
      </c>
      <c r="E167" s="80" t="str">
        <f ca="1">IFERROR(__xludf.DUMMYFUNCTION("""COMPUTED_VALUE"""),"F")</f>
        <v>F</v>
      </c>
      <c r="F167" s="80" t="str">
        <f ca="1">IFERROR(__xludf.DUMMYFUNCTION("""COMPUTED_VALUE"""),"J")</f>
        <v>J</v>
      </c>
      <c r="G167" s="80">
        <f ca="1">IFERROR(__xludf.DUMMYFUNCTION("""COMPUTED_VALUE"""),6)</f>
        <v>6</v>
      </c>
      <c r="H167" s="80" t="str">
        <f ca="1">IFERROR(__xludf.DUMMYFUNCTION("""COMPUTED_VALUE"""),"CH")</f>
        <v>CH</v>
      </c>
      <c r="I167" s="80">
        <f ca="1">IFERROR(__xludf.DUMMYFUNCTION("""COMPUTED_VALUE"""),3)</f>
        <v>3</v>
      </c>
      <c r="J167" s="81">
        <f ca="1">IFERROR(__xludf.DUMMYFUNCTION("""COMPUTED_VALUE"""),0)</f>
        <v>0</v>
      </c>
      <c r="K167" s="81">
        <f ca="1">IFERROR(__xludf.DUMMYFUNCTION("""COMPUTED_VALUE"""),0)</f>
        <v>0</v>
      </c>
      <c r="L167" s="81">
        <f ca="1">IFERROR(__xludf.DUMMYFUNCTION("""COMPUTED_VALUE"""),0)</f>
        <v>0</v>
      </c>
      <c r="M167" s="81"/>
      <c r="N167" s="81">
        <f ca="1">IFERROR(__xludf.DUMMYFUNCTION("""COMPUTED_VALUE"""),0)</f>
        <v>0</v>
      </c>
      <c r="O167" s="81"/>
      <c r="P167" s="81">
        <f ca="1">IFERROR(__xludf.DUMMYFUNCTION("""COMPUTED_VALUE"""),0)</f>
        <v>0</v>
      </c>
      <c r="Q167" s="81"/>
      <c r="R167" s="81">
        <f ca="1">IFERROR(__xludf.DUMMYFUNCTION("""COMPUTED_VALUE"""),0)</f>
        <v>0</v>
      </c>
      <c r="S167" s="81"/>
      <c r="T167" s="81"/>
      <c r="U167" s="82"/>
      <c r="V167" s="82"/>
      <c r="W167" s="83"/>
      <c r="X167" s="83"/>
      <c r="Y167" s="83"/>
    </row>
    <row r="168" spans="1:25" ht="13.8">
      <c r="A168" s="78" t="str">
        <f ca="1">IFERROR(__xludf.DUMMYFUNCTION("""COMPUTED_VALUE"""),"CH")</f>
        <v>CH</v>
      </c>
      <c r="B168" s="79" t="str">
        <f ca="1">IFERROR(__xludf.DUMMYFUNCTION("""COMPUTED_VALUE"""),"Ryan Helou")</f>
        <v>Ryan Helou</v>
      </c>
      <c r="C168" s="78">
        <f ca="1">IFERROR(__xludf.DUMMYFUNCTION("""COMPUTED_VALUE"""),8)</f>
        <v>8</v>
      </c>
      <c r="D168" s="78" t="str">
        <f ca="1">IFERROR(__xludf.DUMMYFUNCTION("""COMPUTED_VALUE"""),"B")</f>
        <v>B</v>
      </c>
      <c r="E168" s="80" t="str">
        <f ca="1">IFERROR(__xludf.DUMMYFUNCTION("""COMPUTED_VALUE"""),"F")</f>
        <v>F</v>
      </c>
      <c r="F168" s="80" t="str">
        <f ca="1">IFERROR(__xludf.DUMMYFUNCTION("""COMPUTED_VALUE"""),"J")</f>
        <v>J</v>
      </c>
      <c r="G168" s="80">
        <f ca="1">IFERROR(__xludf.DUMMYFUNCTION("""COMPUTED_VALUE"""),6)</f>
        <v>6</v>
      </c>
      <c r="H168" s="80" t="str">
        <f ca="1">IFERROR(__xludf.DUMMYFUNCTION("""COMPUTED_VALUE"""),"CH")</f>
        <v>CH</v>
      </c>
      <c r="I168" s="80">
        <f ca="1">IFERROR(__xludf.DUMMYFUNCTION("""COMPUTED_VALUE"""),3)</f>
        <v>3</v>
      </c>
      <c r="J168" s="81">
        <f ca="1">IFERROR(__xludf.DUMMYFUNCTION("""COMPUTED_VALUE"""),0)</f>
        <v>0</v>
      </c>
      <c r="K168" s="81">
        <f ca="1">IFERROR(__xludf.DUMMYFUNCTION("""COMPUTED_VALUE"""),0)</f>
        <v>0</v>
      </c>
      <c r="L168" s="81">
        <f ca="1">IFERROR(__xludf.DUMMYFUNCTION("""COMPUTED_VALUE"""),0)</f>
        <v>0</v>
      </c>
      <c r="M168" s="81"/>
      <c r="N168" s="81">
        <f ca="1">IFERROR(__xludf.DUMMYFUNCTION("""COMPUTED_VALUE"""),0)</f>
        <v>0</v>
      </c>
      <c r="O168" s="81"/>
      <c r="P168" s="81">
        <f ca="1">IFERROR(__xludf.DUMMYFUNCTION("""COMPUTED_VALUE"""),0)</f>
        <v>0</v>
      </c>
      <c r="Q168" s="81"/>
      <c r="R168" s="81">
        <f ca="1">IFERROR(__xludf.DUMMYFUNCTION("""COMPUTED_VALUE"""),0)</f>
        <v>0</v>
      </c>
      <c r="S168" s="81"/>
      <c r="T168" s="81"/>
      <c r="U168" s="82"/>
      <c r="V168" s="82"/>
      <c r="W168" s="83"/>
      <c r="X168" s="83"/>
      <c r="Y168" s="83"/>
    </row>
    <row r="169" spans="1:25" ht="13.8">
      <c r="A169" s="78" t="str">
        <f ca="1">IFERROR(__xludf.DUMMYFUNCTION("""COMPUTED_VALUE"""),"CH")</f>
        <v>CH</v>
      </c>
      <c r="B169" s="79" t="str">
        <f ca="1">IFERROR(__xludf.DUMMYFUNCTION("""COMPUTED_VALUE"""),"Kian Kazemi")</f>
        <v>Kian Kazemi</v>
      </c>
      <c r="C169" s="78">
        <f ca="1">IFERROR(__xludf.DUMMYFUNCTION("""COMPUTED_VALUE"""),7)</f>
        <v>7</v>
      </c>
      <c r="D169" s="78" t="str">
        <f ca="1">IFERROR(__xludf.DUMMYFUNCTION("""COMPUTED_VALUE"""),"B")</f>
        <v>B</v>
      </c>
      <c r="E169" s="80" t="str">
        <f ca="1">IFERROR(__xludf.DUMMYFUNCTION("""COMPUTED_VALUE"""),"F")</f>
        <v>F</v>
      </c>
      <c r="F169" s="80" t="str">
        <f ca="1">IFERROR(__xludf.DUMMYFUNCTION("""COMPUTED_VALUE"""),"J")</f>
        <v>J</v>
      </c>
      <c r="G169" s="80">
        <f ca="1">IFERROR(__xludf.DUMMYFUNCTION("""COMPUTED_VALUE"""),6)</f>
        <v>6</v>
      </c>
      <c r="H169" s="80" t="str">
        <f ca="1">IFERROR(__xludf.DUMMYFUNCTION("""COMPUTED_VALUE"""),"CH")</f>
        <v>CH</v>
      </c>
      <c r="I169" s="80">
        <f ca="1">IFERROR(__xludf.DUMMYFUNCTION("""COMPUTED_VALUE"""),3)</f>
        <v>3</v>
      </c>
      <c r="J169" s="81">
        <f ca="1">IFERROR(__xludf.DUMMYFUNCTION("""COMPUTED_VALUE"""),0)</f>
        <v>0</v>
      </c>
      <c r="K169" s="81">
        <f ca="1">IFERROR(__xludf.DUMMYFUNCTION("""COMPUTED_VALUE"""),0)</f>
        <v>0</v>
      </c>
      <c r="L169" s="81">
        <f ca="1">IFERROR(__xludf.DUMMYFUNCTION("""COMPUTED_VALUE"""),0)</f>
        <v>0</v>
      </c>
      <c r="M169" s="81"/>
      <c r="N169" s="81">
        <f ca="1">IFERROR(__xludf.DUMMYFUNCTION("""COMPUTED_VALUE"""),0)</f>
        <v>0</v>
      </c>
      <c r="O169" s="81"/>
      <c r="P169" s="81">
        <f ca="1">IFERROR(__xludf.DUMMYFUNCTION("""COMPUTED_VALUE"""),0)</f>
        <v>0</v>
      </c>
      <c r="Q169" s="81"/>
      <c r="R169" s="81">
        <f ca="1">IFERROR(__xludf.DUMMYFUNCTION("""COMPUTED_VALUE"""),0)</f>
        <v>0</v>
      </c>
      <c r="S169" s="81"/>
      <c r="T169" s="81"/>
      <c r="U169" s="82"/>
      <c r="V169" s="82"/>
      <c r="W169" s="83"/>
      <c r="X169" s="83"/>
      <c r="Y169" s="83"/>
    </row>
    <row r="170" spans="1:25" ht="13.8">
      <c r="A170" s="78" t="str">
        <f ca="1">IFERROR(__xludf.DUMMYFUNCTION("""COMPUTED_VALUE"""),"CH")</f>
        <v>CH</v>
      </c>
      <c r="B170" s="79" t="str">
        <f ca="1">IFERROR(__xludf.DUMMYFUNCTION("""COMPUTED_VALUE"""),"Grant Kesler")</f>
        <v>Grant Kesler</v>
      </c>
      <c r="C170" s="78">
        <f ca="1">IFERROR(__xludf.DUMMYFUNCTION("""COMPUTED_VALUE"""),8)</f>
        <v>8</v>
      </c>
      <c r="D170" s="78" t="str">
        <f ca="1">IFERROR(__xludf.DUMMYFUNCTION("""COMPUTED_VALUE"""),"B")</f>
        <v>B</v>
      </c>
      <c r="E170" s="80" t="str">
        <f ca="1">IFERROR(__xludf.DUMMYFUNCTION("""COMPUTED_VALUE"""),"F")</f>
        <v>F</v>
      </c>
      <c r="F170" s="80" t="str">
        <f ca="1">IFERROR(__xludf.DUMMYFUNCTION("""COMPUTED_VALUE"""),"J")</f>
        <v>J</v>
      </c>
      <c r="G170" s="80">
        <f ca="1">IFERROR(__xludf.DUMMYFUNCTION("""COMPUTED_VALUE"""),6)</f>
        <v>6</v>
      </c>
      <c r="H170" s="80" t="str">
        <f ca="1">IFERROR(__xludf.DUMMYFUNCTION("""COMPUTED_VALUE"""),"CH")</f>
        <v>CH</v>
      </c>
      <c r="I170" s="80">
        <f ca="1">IFERROR(__xludf.DUMMYFUNCTION("""COMPUTED_VALUE"""),3)</f>
        <v>3</v>
      </c>
      <c r="J170" s="81">
        <f ca="1">IFERROR(__xludf.DUMMYFUNCTION("""COMPUTED_VALUE"""),0)</f>
        <v>0</v>
      </c>
      <c r="K170" s="81">
        <f ca="1">IFERROR(__xludf.DUMMYFUNCTION("""COMPUTED_VALUE"""),0)</f>
        <v>0</v>
      </c>
      <c r="L170" s="81">
        <f ca="1">IFERROR(__xludf.DUMMYFUNCTION("""COMPUTED_VALUE"""),0)</f>
        <v>0</v>
      </c>
      <c r="M170" s="81"/>
      <c r="N170" s="81">
        <f ca="1">IFERROR(__xludf.DUMMYFUNCTION("""COMPUTED_VALUE"""),0)</f>
        <v>0</v>
      </c>
      <c r="O170" s="81"/>
      <c r="P170" s="81">
        <f ca="1">IFERROR(__xludf.DUMMYFUNCTION("""COMPUTED_VALUE"""),0)</f>
        <v>0</v>
      </c>
      <c r="Q170" s="81"/>
      <c r="R170" s="81">
        <f ca="1">IFERROR(__xludf.DUMMYFUNCTION("""COMPUTED_VALUE"""),0)</f>
        <v>0</v>
      </c>
      <c r="S170" s="81"/>
      <c r="T170" s="81"/>
      <c r="U170" s="82"/>
      <c r="V170" s="82"/>
      <c r="W170" s="83"/>
      <c r="X170" s="83"/>
      <c r="Y170" s="83"/>
    </row>
    <row r="171" spans="1:25" ht="13.8">
      <c r="A171" s="78" t="str">
        <f ca="1">IFERROR(__xludf.DUMMYFUNCTION("""COMPUTED_VALUE"""),"CH")</f>
        <v>CH</v>
      </c>
      <c r="B171" s="79" t="str">
        <f ca="1">IFERROR(__xludf.DUMMYFUNCTION("""COMPUTED_VALUE"""),"Holden Losick")</f>
        <v>Holden Losick</v>
      </c>
      <c r="C171" s="78">
        <f ca="1">IFERROR(__xludf.DUMMYFUNCTION("""COMPUTED_VALUE"""),8)</f>
        <v>8</v>
      </c>
      <c r="D171" s="78" t="str">
        <f ca="1">IFERROR(__xludf.DUMMYFUNCTION("""COMPUTED_VALUE"""),"B")</f>
        <v>B</v>
      </c>
      <c r="E171" s="80" t="str">
        <f ca="1">IFERROR(__xludf.DUMMYFUNCTION("""COMPUTED_VALUE"""),"F")</f>
        <v>F</v>
      </c>
      <c r="F171" s="80" t="str">
        <f ca="1">IFERROR(__xludf.DUMMYFUNCTION("""COMPUTED_VALUE"""),"J")</f>
        <v>J</v>
      </c>
      <c r="G171" s="80">
        <f ca="1">IFERROR(__xludf.DUMMYFUNCTION("""COMPUTED_VALUE"""),6)</f>
        <v>6</v>
      </c>
      <c r="H171" s="80" t="str">
        <f ca="1">IFERROR(__xludf.DUMMYFUNCTION("""COMPUTED_VALUE"""),"CH")</f>
        <v>CH</v>
      </c>
      <c r="I171" s="80">
        <f ca="1">IFERROR(__xludf.DUMMYFUNCTION("""COMPUTED_VALUE"""),3)</f>
        <v>3</v>
      </c>
      <c r="J171" s="81">
        <f ca="1">IFERROR(__xludf.DUMMYFUNCTION("""COMPUTED_VALUE"""),2)</f>
        <v>2</v>
      </c>
      <c r="K171" s="81">
        <f ca="1">IFERROR(__xludf.DUMMYFUNCTION("""COMPUTED_VALUE"""),43.35)</f>
        <v>43.35</v>
      </c>
      <c r="L171" s="81">
        <f ca="1">IFERROR(__xludf.DUMMYFUNCTION("""COMPUTED_VALUE"""),0)</f>
        <v>0</v>
      </c>
      <c r="M171" s="81"/>
      <c r="N171" s="81">
        <f ca="1">IFERROR(__xludf.DUMMYFUNCTION("""COMPUTED_VALUE"""),41.25)</f>
        <v>41.25</v>
      </c>
      <c r="O171" s="81"/>
      <c r="P171" s="81">
        <f ca="1">IFERROR(__xludf.DUMMYFUNCTION("""COMPUTED_VALUE"""),0)</f>
        <v>0</v>
      </c>
      <c r="Q171" s="81"/>
      <c r="R171" s="81">
        <f ca="1">IFERROR(__xludf.DUMMYFUNCTION("""COMPUTED_VALUE"""),43.35)</f>
        <v>43.35</v>
      </c>
      <c r="S171" s="81"/>
      <c r="T171" s="81"/>
      <c r="U171" s="82"/>
      <c r="V171" s="82"/>
      <c r="W171" s="83"/>
      <c r="X171" s="83"/>
      <c r="Y171" s="83"/>
    </row>
    <row r="172" spans="1:25" ht="13.8">
      <c r="A172" s="78" t="str">
        <f ca="1">IFERROR(__xludf.DUMMYFUNCTION("""COMPUTED_VALUE"""),"CH")</f>
        <v>CH</v>
      </c>
      <c r="B172" s="79" t="str">
        <f ca="1">IFERROR(__xludf.DUMMYFUNCTION("""COMPUTED_VALUE"""),"Connell O'Rourke")</f>
        <v>Connell O'Rourke</v>
      </c>
      <c r="C172" s="78">
        <f ca="1">IFERROR(__xludf.DUMMYFUNCTION("""COMPUTED_VALUE"""),9)</f>
        <v>9</v>
      </c>
      <c r="D172" s="78" t="str">
        <f ca="1">IFERROR(__xludf.DUMMYFUNCTION("""COMPUTED_VALUE"""),"B")</f>
        <v>B</v>
      </c>
      <c r="E172" s="80" t="str">
        <f ca="1">IFERROR(__xludf.DUMMYFUNCTION("""COMPUTED_VALUE"""),"F")</f>
        <v>F</v>
      </c>
      <c r="F172" s="80" t="str">
        <f ca="1">IFERROR(__xludf.DUMMYFUNCTION("""COMPUTED_VALUE"""),"J")</f>
        <v>J</v>
      </c>
      <c r="G172" s="80">
        <f ca="1">IFERROR(__xludf.DUMMYFUNCTION("""COMPUTED_VALUE"""),6)</f>
        <v>6</v>
      </c>
      <c r="H172" s="80" t="str">
        <f ca="1">IFERROR(__xludf.DUMMYFUNCTION("""COMPUTED_VALUE"""),"CH")</f>
        <v>CH</v>
      </c>
      <c r="I172" s="80">
        <f ca="1">IFERROR(__xludf.DUMMYFUNCTION("""COMPUTED_VALUE"""),3)</f>
        <v>3</v>
      </c>
      <c r="J172" s="81">
        <f ca="1">IFERROR(__xludf.DUMMYFUNCTION("""COMPUTED_VALUE"""),0)</f>
        <v>0</v>
      </c>
      <c r="K172" s="81">
        <f ca="1">IFERROR(__xludf.DUMMYFUNCTION("""COMPUTED_VALUE"""),0)</f>
        <v>0</v>
      </c>
      <c r="L172" s="81">
        <f ca="1">IFERROR(__xludf.DUMMYFUNCTION("""COMPUTED_VALUE"""),0)</f>
        <v>0</v>
      </c>
      <c r="M172" s="81"/>
      <c r="N172" s="81">
        <f ca="1">IFERROR(__xludf.DUMMYFUNCTION("""COMPUTED_VALUE"""),0)</f>
        <v>0</v>
      </c>
      <c r="O172" s="81"/>
      <c r="P172" s="81">
        <f ca="1">IFERROR(__xludf.DUMMYFUNCTION("""COMPUTED_VALUE"""),0)</f>
        <v>0</v>
      </c>
      <c r="Q172" s="81"/>
      <c r="R172" s="81">
        <f ca="1">IFERROR(__xludf.DUMMYFUNCTION("""COMPUTED_VALUE"""),0)</f>
        <v>0</v>
      </c>
      <c r="S172" s="81"/>
      <c r="T172" s="81"/>
      <c r="U172" s="82"/>
      <c r="V172" s="82"/>
      <c r="W172" s="83"/>
      <c r="X172" s="83"/>
      <c r="Y172" s="83"/>
    </row>
    <row r="173" spans="1:25" ht="13.8">
      <c r="A173" s="78" t="str">
        <f ca="1">IFERROR(__xludf.DUMMYFUNCTION("""COMPUTED_VALUE"""),"CH")</f>
        <v>CH</v>
      </c>
      <c r="B173" s="79" t="str">
        <f ca="1">IFERROR(__xludf.DUMMYFUNCTION("""COMPUTED_VALUE"""),"Kiki O'Rourke")</f>
        <v>Kiki O'Rourke</v>
      </c>
      <c r="C173" s="78">
        <f ca="1">IFERROR(__xludf.DUMMYFUNCTION("""COMPUTED_VALUE"""),7)</f>
        <v>7</v>
      </c>
      <c r="D173" s="78" t="str">
        <f ca="1">IFERROR(__xludf.DUMMYFUNCTION("""COMPUTED_VALUE"""),"B")</f>
        <v>B</v>
      </c>
      <c r="E173" s="80" t="str">
        <f ca="1">IFERROR(__xludf.DUMMYFUNCTION("""COMPUTED_VALUE"""),"F")</f>
        <v>F</v>
      </c>
      <c r="F173" s="80" t="str">
        <f ca="1">IFERROR(__xludf.DUMMYFUNCTION("""COMPUTED_VALUE"""),"J")</f>
        <v>J</v>
      </c>
      <c r="G173" s="80">
        <f ca="1">IFERROR(__xludf.DUMMYFUNCTION("""COMPUTED_VALUE"""),6)</f>
        <v>6</v>
      </c>
      <c r="H173" s="80" t="str">
        <f ca="1">IFERROR(__xludf.DUMMYFUNCTION("""COMPUTED_VALUE"""),"CH")</f>
        <v>CH</v>
      </c>
      <c r="I173" s="80">
        <f ca="1">IFERROR(__xludf.DUMMYFUNCTION("""COMPUTED_VALUE"""),3)</f>
        <v>3</v>
      </c>
      <c r="J173" s="81">
        <f ca="1">IFERROR(__xludf.DUMMYFUNCTION("""COMPUTED_VALUE"""),0)</f>
        <v>0</v>
      </c>
      <c r="K173" s="81">
        <f ca="1">IFERROR(__xludf.DUMMYFUNCTION("""COMPUTED_VALUE"""),0)</f>
        <v>0</v>
      </c>
      <c r="L173" s="81">
        <f ca="1">IFERROR(__xludf.DUMMYFUNCTION("""COMPUTED_VALUE"""),0)</f>
        <v>0</v>
      </c>
      <c r="M173" s="81"/>
      <c r="N173" s="81">
        <f ca="1">IFERROR(__xludf.DUMMYFUNCTION("""COMPUTED_VALUE"""),0)</f>
        <v>0</v>
      </c>
      <c r="O173" s="81"/>
      <c r="P173" s="81">
        <f ca="1">IFERROR(__xludf.DUMMYFUNCTION("""COMPUTED_VALUE"""),0)</f>
        <v>0</v>
      </c>
      <c r="Q173" s="81"/>
      <c r="R173" s="81">
        <f ca="1">IFERROR(__xludf.DUMMYFUNCTION("""COMPUTED_VALUE"""),0)</f>
        <v>0</v>
      </c>
      <c r="S173" s="81"/>
      <c r="T173" s="81"/>
      <c r="U173" s="82"/>
      <c r="V173" s="82"/>
      <c r="W173" s="83"/>
      <c r="X173" s="83"/>
      <c r="Y173" s="83"/>
    </row>
    <row r="174" spans="1:25" ht="13.8">
      <c r="A174" s="78" t="str">
        <f ca="1">IFERROR(__xludf.DUMMYFUNCTION("""COMPUTED_VALUE"""),"CH")</f>
        <v>CH</v>
      </c>
      <c r="B174" s="79" t="str">
        <f ca="1">IFERROR(__xludf.DUMMYFUNCTION("""COMPUTED_VALUE"""),"Bode Pierce")</f>
        <v>Bode Pierce</v>
      </c>
      <c r="C174" s="78">
        <f ca="1">IFERROR(__xludf.DUMMYFUNCTION("""COMPUTED_VALUE"""),9)</f>
        <v>9</v>
      </c>
      <c r="D174" s="78" t="str">
        <f ca="1">IFERROR(__xludf.DUMMYFUNCTION("""COMPUTED_VALUE"""),"B")</f>
        <v>B</v>
      </c>
      <c r="E174" s="80" t="str">
        <f ca="1">IFERROR(__xludf.DUMMYFUNCTION("""COMPUTED_VALUE"""),"F")</f>
        <v>F</v>
      </c>
      <c r="F174" s="80" t="str">
        <f ca="1">IFERROR(__xludf.DUMMYFUNCTION("""COMPUTED_VALUE"""),"J")</f>
        <v>J</v>
      </c>
      <c r="G174" s="80">
        <f ca="1">IFERROR(__xludf.DUMMYFUNCTION("""COMPUTED_VALUE"""),6)</f>
        <v>6</v>
      </c>
      <c r="H174" s="80" t="str">
        <f ca="1">IFERROR(__xludf.DUMMYFUNCTION("""COMPUTED_VALUE"""),"CH")</f>
        <v>CH</v>
      </c>
      <c r="I174" s="80">
        <f ca="1">IFERROR(__xludf.DUMMYFUNCTION("""COMPUTED_VALUE"""),3)</f>
        <v>3</v>
      </c>
      <c r="J174" s="81">
        <f ca="1">IFERROR(__xludf.DUMMYFUNCTION("""COMPUTED_VALUE"""),4)</f>
        <v>4</v>
      </c>
      <c r="K174" s="81">
        <f ca="1">IFERROR(__xludf.DUMMYFUNCTION("""COMPUTED_VALUE"""),60.5)</f>
        <v>60.5</v>
      </c>
      <c r="L174" s="81">
        <f ca="1">IFERROR(__xludf.DUMMYFUNCTION("""COMPUTED_VALUE"""),54.1)</f>
        <v>54.1</v>
      </c>
      <c r="M174" s="81"/>
      <c r="N174" s="81">
        <f ca="1">IFERROR(__xludf.DUMMYFUNCTION("""COMPUTED_VALUE"""),60.5)</f>
        <v>60.5</v>
      </c>
      <c r="O174" s="81"/>
      <c r="P174" s="81">
        <f ca="1">IFERROR(__xludf.DUMMYFUNCTION("""COMPUTED_VALUE"""),0)</f>
        <v>0</v>
      </c>
      <c r="Q174" s="81"/>
      <c r="R174" s="81">
        <f ca="1">IFERROR(__xludf.DUMMYFUNCTION("""COMPUTED_VALUE"""),57.75)</f>
        <v>57.75</v>
      </c>
      <c r="S174" s="81"/>
      <c r="T174" s="81"/>
      <c r="U174" s="82"/>
      <c r="V174" s="82"/>
      <c r="W174" s="83"/>
      <c r="X174" s="83"/>
      <c r="Y174" s="83"/>
    </row>
    <row r="175" spans="1:25" ht="13.8">
      <c r="A175" s="78" t="str">
        <f ca="1">IFERROR(__xludf.DUMMYFUNCTION("""COMPUTED_VALUE"""),"CH")</f>
        <v>CH</v>
      </c>
      <c r="B175" s="79" t="str">
        <f ca="1">IFERROR(__xludf.DUMMYFUNCTION("""COMPUTED_VALUE"""),"Cole Pointkowski")</f>
        <v>Cole Pointkowski</v>
      </c>
      <c r="C175" s="78">
        <f ca="1">IFERROR(__xludf.DUMMYFUNCTION("""COMPUTED_VALUE"""),10)</f>
        <v>10</v>
      </c>
      <c r="D175" s="78" t="str">
        <f ca="1">IFERROR(__xludf.DUMMYFUNCTION("""COMPUTED_VALUE"""),"B")</f>
        <v>B</v>
      </c>
      <c r="E175" s="80" t="str">
        <f ca="1">IFERROR(__xludf.DUMMYFUNCTION("""COMPUTED_VALUE"""),"F")</f>
        <v>F</v>
      </c>
      <c r="F175" s="80" t="str">
        <f ca="1">IFERROR(__xludf.DUMMYFUNCTION("""COMPUTED_VALUE"""),"J")</f>
        <v>J</v>
      </c>
      <c r="G175" s="80">
        <f ca="1">IFERROR(__xludf.DUMMYFUNCTION("""COMPUTED_VALUE"""),6)</f>
        <v>6</v>
      </c>
      <c r="H175" s="80" t="str">
        <f ca="1">IFERROR(__xludf.DUMMYFUNCTION("""COMPUTED_VALUE"""),"CH")</f>
        <v>CH</v>
      </c>
      <c r="I175" s="80">
        <f ca="1">IFERROR(__xludf.DUMMYFUNCTION("""COMPUTED_VALUE"""),3)</f>
        <v>3</v>
      </c>
      <c r="J175" s="81">
        <f ca="1">IFERROR(__xludf.DUMMYFUNCTION("""COMPUTED_VALUE"""),5)</f>
        <v>5</v>
      </c>
      <c r="K175" s="81">
        <f ca="1">IFERROR(__xludf.DUMMYFUNCTION("""COMPUTED_VALUE"""),64.4)</f>
        <v>64.400000000000006</v>
      </c>
      <c r="L175" s="81">
        <f ca="1">IFERROR(__xludf.DUMMYFUNCTION("""COMPUTED_VALUE"""),54.6)</f>
        <v>54.6</v>
      </c>
      <c r="M175" s="81"/>
      <c r="N175" s="81">
        <f ca="1">IFERROR(__xludf.DUMMYFUNCTION("""COMPUTED_VALUE"""),64.4)</f>
        <v>64.400000000000006</v>
      </c>
      <c r="O175" s="81"/>
      <c r="P175" s="81">
        <f ca="1">IFERROR(__xludf.DUMMYFUNCTION("""COMPUTED_VALUE"""),51.6)</f>
        <v>51.6</v>
      </c>
      <c r="Q175" s="81"/>
      <c r="R175" s="81">
        <f ca="1">IFERROR(__xludf.DUMMYFUNCTION("""COMPUTED_VALUE"""),59.3)</f>
        <v>59.3</v>
      </c>
      <c r="S175" s="81"/>
      <c r="T175" s="81"/>
      <c r="U175" s="82"/>
      <c r="V175" s="82"/>
      <c r="W175" s="83"/>
      <c r="X175" s="83"/>
      <c r="Y175" s="83"/>
    </row>
    <row r="176" spans="1:25" ht="13.8">
      <c r="A176" s="78" t="str">
        <f ca="1">IFERROR(__xludf.DUMMYFUNCTION("""COMPUTED_VALUE"""),"CH")</f>
        <v>CH</v>
      </c>
      <c r="B176" s="79" t="str">
        <f ca="1">IFERROR(__xludf.DUMMYFUNCTION("""COMPUTED_VALUE"""),"Jack Sumner")</f>
        <v>Jack Sumner</v>
      </c>
      <c r="C176" s="78">
        <f ca="1">IFERROR(__xludf.DUMMYFUNCTION("""COMPUTED_VALUE"""),9)</f>
        <v>9</v>
      </c>
      <c r="D176" s="78" t="str">
        <f ca="1">IFERROR(__xludf.DUMMYFUNCTION("""COMPUTED_VALUE"""),"B")</f>
        <v>B</v>
      </c>
      <c r="E176" s="80" t="str">
        <f ca="1">IFERROR(__xludf.DUMMYFUNCTION("""COMPUTED_VALUE"""),"F")</f>
        <v>F</v>
      </c>
      <c r="F176" s="80" t="str">
        <f ca="1">IFERROR(__xludf.DUMMYFUNCTION("""COMPUTED_VALUE"""),"J")</f>
        <v>J</v>
      </c>
      <c r="G176" s="80">
        <f ca="1">IFERROR(__xludf.DUMMYFUNCTION("""COMPUTED_VALUE"""),6)</f>
        <v>6</v>
      </c>
      <c r="H176" s="80" t="str">
        <f ca="1">IFERROR(__xludf.DUMMYFUNCTION("""COMPUTED_VALUE"""),"CH")</f>
        <v>CH</v>
      </c>
      <c r="I176" s="80">
        <f ca="1">IFERROR(__xludf.DUMMYFUNCTION("""COMPUTED_VALUE"""),3)</f>
        <v>3</v>
      </c>
      <c r="J176" s="81">
        <f ca="1">IFERROR(__xludf.DUMMYFUNCTION("""COMPUTED_VALUE"""),0)</f>
        <v>0</v>
      </c>
      <c r="K176" s="81">
        <f ca="1">IFERROR(__xludf.DUMMYFUNCTION("""COMPUTED_VALUE"""),0)</f>
        <v>0</v>
      </c>
      <c r="L176" s="81">
        <f ca="1">IFERROR(__xludf.DUMMYFUNCTION("""COMPUTED_VALUE"""),0)</f>
        <v>0</v>
      </c>
      <c r="M176" s="81"/>
      <c r="N176" s="81">
        <f ca="1">IFERROR(__xludf.DUMMYFUNCTION("""COMPUTED_VALUE"""),0)</f>
        <v>0</v>
      </c>
      <c r="O176" s="81"/>
      <c r="P176" s="81">
        <f ca="1">IFERROR(__xludf.DUMMYFUNCTION("""COMPUTED_VALUE"""),0)</f>
        <v>0</v>
      </c>
      <c r="Q176" s="81"/>
      <c r="R176" s="81">
        <f ca="1">IFERROR(__xludf.DUMMYFUNCTION("""COMPUTED_VALUE"""),0)</f>
        <v>0</v>
      </c>
      <c r="S176" s="81"/>
      <c r="T176" s="81"/>
      <c r="U176" s="82"/>
      <c r="V176" s="82"/>
      <c r="W176" s="83"/>
      <c r="X176" s="83"/>
      <c r="Y176" s="83"/>
    </row>
    <row r="177" spans="1:25" ht="13.8">
      <c r="A177" s="78" t="str">
        <f ca="1">IFERROR(__xludf.DUMMYFUNCTION("""COMPUTED_VALUE"""),"CH")</f>
        <v>CH</v>
      </c>
      <c r="B177" s="79" t="str">
        <f ca="1">IFERROR(__xludf.DUMMYFUNCTION("""COMPUTED_VALUE"""),"Dylan Ulmer")</f>
        <v>Dylan Ulmer</v>
      </c>
      <c r="C177" s="78">
        <f ca="1">IFERROR(__xludf.DUMMYFUNCTION("""COMPUTED_VALUE"""),10)</f>
        <v>10</v>
      </c>
      <c r="D177" s="78" t="str">
        <f ca="1">IFERROR(__xludf.DUMMYFUNCTION("""COMPUTED_VALUE"""),"B")</f>
        <v>B</v>
      </c>
      <c r="E177" s="80" t="str">
        <f ca="1">IFERROR(__xludf.DUMMYFUNCTION("""COMPUTED_VALUE"""),"F")</f>
        <v>F</v>
      </c>
      <c r="F177" s="80" t="str">
        <f ca="1">IFERROR(__xludf.DUMMYFUNCTION("""COMPUTED_VALUE"""),"J")</f>
        <v>J</v>
      </c>
      <c r="G177" s="80">
        <f ca="1">IFERROR(__xludf.DUMMYFUNCTION("""COMPUTED_VALUE"""),6)</f>
        <v>6</v>
      </c>
      <c r="H177" s="80" t="str">
        <f ca="1">IFERROR(__xludf.DUMMYFUNCTION("""COMPUTED_VALUE"""),"CH")</f>
        <v>CH</v>
      </c>
      <c r="I177" s="80">
        <f ca="1">IFERROR(__xludf.DUMMYFUNCTION("""COMPUTED_VALUE"""),3)</f>
        <v>3</v>
      </c>
      <c r="J177" s="81">
        <f ca="1">IFERROR(__xludf.DUMMYFUNCTION("""COMPUTED_VALUE"""),1)</f>
        <v>1</v>
      </c>
      <c r="K177" s="81">
        <f ca="1">IFERROR(__xludf.DUMMYFUNCTION("""COMPUTED_VALUE"""),0)</f>
        <v>0</v>
      </c>
      <c r="L177" s="81">
        <f ca="1">IFERROR(__xludf.DUMMYFUNCTION("""COMPUTED_VALUE"""),0)</f>
        <v>0</v>
      </c>
      <c r="M177" s="81"/>
      <c r="N177" s="81">
        <f ca="1">IFERROR(__xludf.DUMMYFUNCTION("""COMPUTED_VALUE"""),0)</f>
        <v>0</v>
      </c>
      <c r="O177" s="81"/>
      <c r="P177" s="81">
        <f ca="1">IFERROR(__xludf.DUMMYFUNCTION("""COMPUTED_VALUE"""),0)</f>
        <v>0</v>
      </c>
      <c r="Q177" s="81"/>
      <c r="R177" s="81">
        <f ca="1">IFERROR(__xludf.DUMMYFUNCTION("""COMPUTED_VALUE"""),0)</f>
        <v>0</v>
      </c>
      <c r="S177" s="81"/>
      <c r="T177" s="81"/>
      <c r="U177" s="82"/>
      <c r="V177" s="82"/>
      <c r="W177" s="83"/>
      <c r="X177" s="83"/>
      <c r="Y177" s="83"/>
    </row>
    <row r="178" spans="1:25" ht="13.8">
      <c r="A178" s="78" t="str">
        <f ca="1">IFERROR(__xludf.DUMMYFUNCTION("""COMPUTED_VALUE"""),"CH")</f>
        <v>CH</v>
      </c>
      <c r="B178" s="79" t="str">
        <f ca="1">IFERROR(__xludf.DUMMYFUNCTION("""COMPUTED_VALUE"""),"Michael Verderese")</f>
        <v>Michael Verderese</v>
      </c>
      <c r="C178" s="78">
        <f ca="1">IFERROR(__xludf.DUMMYFUNCTION("""COMPUTED_VALUE"""),7)</f>
        <v>7</v>
      </c>
      <c r="D178" s="78" t="str">
        <f ca="1">IFERROR(__xludf.DUMMYFUNCTION("""COMPUTED_VALUE"""),"B")</f>
        <v>B</v>
      </c>
      <c r="E178" s="80" t="str">
        <f ca="1">IFERROR(__xludf.DUMMYFUNCTION("""COMPUTED_VALUE"""),"F")</f>
        <v>F</v>
      </c>
      <c r="F178" s="80" t="str">
        <f ca="1">IFERROR(__xludf.DUMMYFUNCTION("""COMPUTED_VALUE"""),"J")</f>
        <v>J</v>
      </c>
      <c r="G178" s="80">
        <f ca="1">IFERROR(__xludf.DUMMYFUNCTION("""COMPUTED_VALUE"""),6)</f>
        <v>6</v>
      </c>
      <c r="H178" s="80" t="str">
        <f ca="1">IFERROR(__xludf.DUMMYFUNCTION("""COMPUTED_VALUE"""),"CH")</f>
        <v>CH</v>
      </c>
      <c r="I178" s="80">
        <f ca="1">IFERROR(__xludf.DUMMYFUNCTION("""COMPUTED_VALUE"""),3)</f>
        <v>3</v>
      </c>
      <c r="J178" s="81">
        <f ca="1">IFERROR(__xludf.DUMMYFUNCTION("""COMPUTED_VALUE"""),0)</f>
        <v>0</v>
      </c>
      <c r="K178" s="81">
        <f ca="1">IFERROR(__xludf.DUMMYFUNCTION("""COMPUTED_VALUE"""),0)</f>
        <v>0</v>
      </c>
      <c r="L178" s="81">
        <f ca="1">IFERROR(__xludf.DUMMYFUNCTION("""COMPUTED_VALUE"""),0)</f>
        <v>0</v>
      </c>
      <c r="M178" s="81"/>
      <c r="N178" s="81">
        <f ca="1">IFERROR(__xludf.DUMMYFUNCTION("""COMPUTED_VALUE"""),0)</f>
        <v>0</v>
      </c>
      <c r="O178" s="81"/>
      <c r="P178" s="81">
        <f ca="1">IFERROR(__xludf.DUMMYFUNCTION("""COMPUTED_VALUE"""),0)</f>
        <v>0</v>
      </c>
      <c r="Q178" s="81"/>
      <c r="R178" s="81">
        <f ca="1">IFERROR(__xludf.DUMMYFUNCTION("""COMPUTED_VALUE"""),0)</f>
        <v>0</v>
      </c>
      <c r="S178" s="81"/>
      <c r="T178" s="81"/>
      <c r="U178" s="82"/>
      <c r="V178" s="82"/>
      <c r="W178" s="83"/>
      <c r="X178" s="83"/>
      <c r="Y178" s="83"/>
    </row>
    <row r="179" spans="1:25" ht="13.8">
      <c r="A179" s="78" t="str">
        <f ca="1">IFERROR(__xludf.DUMMYFUNCTION("""COMPUTED_VALUE"""),"CH")</f>
        <v>CH</v>
      </c>
      <c r="B179" s="79" t="str">
        <f ca="1">IFERROR(__xludf.DUMMYFUNCTION("""COMPUTED_VALUE"""),"Samantha Apgar")</f>
        <v>Samantha Apgar</v>
      </c>
      <c r="C179" s="78">
        <f ca="1">IFERROR(__xludf.DUMMYFUNCTION("""COMPUTED_VALUE"""),11)</f>
        <v>11</v>
      </c>
      <c r="D179" s="78" t="str">
        <f ca="1">IFERROR(__xludf.DUMMYFUNCTION("""COMPUTED_VALUE"""),"G")</f>
        <v>G</v>
      </c>
      <c r="E179" s="80" t="str">
        <f ca="1">IFERROR(__xludf.DUMMYFUNCTION("""COMPUTED_VALUE"""),"J")</f>
        <v>J</v>
      </c>
      <c r="F179" s="80" t="str">
        <f ca="1">IFERROR(__xludf.DUMMYFUNCTION("""COMPUTED_VALUE"""),"I")</f>
        <v>I</v>
      </c>
      <c r="G179" s="80">
        <f ca="1">IFERROR(__xludf.DUMMYFUNCTION("""COMPUTED_VALUE"""),6)</f>
        <v>6</v>
      </c>
      <c r="H179" s="80" t="str">
        <f ca="1">IFERROR(__xludf.DUMMYFUNCTION("""COMPUTED_VALUE"""),"CH")</f>
        <v>CH</v>
      </c>
      <c r="I179" s="80">
        <f ca="1">IFERROR(__xludf.DUMMYFUNCTION("""COMPUTED_VALUE"""),4)</f>
        <v>4</v>
      </c>
      <c r="J179" s="81">
        <f ca="1">IFERROR(__xludf.DUMMYFUNCTION("""COMPUTED_VALUE"""),4)</f>
        <v>4</v>
      </c>
      <c r="K179" s="81">
        <f ca="1">IFERROR(__xludf.DUMMYFUNCTION("""COMPUTED_VALUE"""),81)</f>
        <v>81</v>
      </c>
      <c r="L179" s="81">
        <f ca="1">IFERROR(__xludf.DUMMYFUNCTION("""COMPUTED_VALUE"""),63.9)</f>
        <v>63.9</v>
      </c>
      <c r="M179" s="81"/>
      <c r="N179" s="81">
        <f ca="1">IFERROR(__xludf.DUMMYFUNCTION("""COMPUTED_VALUE"""),0)</f>
        <v>0</v>
      </c>
      <c r="O179" s="81"/>
      <c r="P179" s="81">
        <f ca="1">IFERROR(__xludf.DUMMYFUNCTION("""COMPUTED_VALUE"""),76.7)</f>
        <v>76.7</v>
      </c>
      <c r="Q179" s="81"/>
      <c r="R179" s="81">
        <f ca="1">IFERROR(__xludf.DUMMYFUNCTION("""COMPUTED_VALUE"""),81)</f>
        <v>81</v>
      </c>
      <c r="S179" s="81"/>
      <c r="T179" s="81"/>
      <c r="U179" s="82"/>
      <c r="V179" s="82"/>
      <c r="W179" s="83"/>
      <c r="X179" s="83"/>
      <c r="Y179" s="83"/>
    </row>
    <row r="180" spans="1:25" ht="13.8">
      <c r="A180" s="78" t="str">
        <f ca="1">IFERROR(__xludf.DUMMYFUNCTION("""COMPUTED_VALUE"""),"CH")</f>
        <v>CH</v>
      </c>
      <c r="B180" s="79" t="str">
        <f ca="1">IFERROR(__xludf.DUMMYFUNCTION("""COMPUTED_VALUE"""),"Audrey Conner")</f>
        <v>Audrey Conner</v>
      </c>
      <c r="C180" s="78">
        <f ca="1">IFERROR(__xludf.DUMMYFUNCTION("""COMPUTED_VALUE"""),12)</f>
        <v>12</v>
      </c>
      <c r="D180" s="78" t="str">
        <f ca="1">IFERROR(__xludf.DUMMYFUNCTION("""COMPUTED_VALUE"""),"G")</f>
        <v>G</v>
      </c>
      <c r="E180" s="80" t="str">
        <f ca="1">IFERROR(__xludf.DUMMYFUNCTION("""COMPUTED_VALUE"""),"J")</f>
        <v>J</v>
      </c>
      <c r="F180" s="80" t="str">
        <f ca="1">IFERROR(__xludf.DUMMYFUNCTION("""COMPUTED_VALUE"""),"I")</f>
        <v>I</v>
      </c>
      <c r="G180" s="80">
        <f ca="1">IFERROR(__xludf.DUMMYFUNCTION("""COMPUTED_VALUE"""),6)</f>
        <v>6</v>
      </c>
      <c r="H180" s="80" t="str">
        <f ca="1">IFERROR(__xludf.DUMMYFUNCTION("""COMPUTED_VALUE"""),"CH")</f>
        <v>CH</v>
      </c>
      <c r="I180" s="80">
        <f ca="1">IFERROR(__xludf.DUMMYFUNCTION("""COMPUTED_VALUE"""),4)</f>
        <v>4</v>
      </c>
      <c r="J180" s="81">
        <f ca="1">IFERROR(__xludf.DUMMYFUNCTION("""COMPUTED_VALUE"""),1)</f>
        <v>1</v>
      </c>
      <c r="K180" s="81">
        <f ca="1">IFERROR(__xludf.DUMMYFUNCTION("""COMPUTED_VALUE"""),52.4)</f>
        <v>52.4</v>
      </c>
      <c r="L180" s="81">
        <f ca="1">IFERROR(__xludf.DUMMYFUNCTION("""COMPUTED_VALUE"""),0)</f>
        <v>0</v>
      </c>
      <c r="M180" s="81"/>
      <c r="N180" s="81">
        <f ca="1">IFERROR(__xludf.DUMMYFUNCTION("""COMPUTED_VALUE"""),52.4)</f>
        <v>52.4</v>
      </c>
      <c r="O180" s="81"/>
      <c r="P180" s="81">
        <f ca="1">IFERROR(__xludf.DUMMYFUNCTION("""COMPUTED_VALUE"""),0)</f>
        <v>0</v>
      </c>
      <c r="Q180" s="81"/>
      <c r="R180" s="81">
        <f ca="1">IFERROR(__xludf.DUMMYFUNCTION("""COMPUTED_VALUE"""),0)</f>
        <v>0</v>
      </c>
      <c r="S180" s="81"/>
      <c r="T180" s="81"/>
      <c r="U180" s="82"/>
      <c r="V180" s="82"/>
      <c r="W180" s="83"/>
      <c r="X180" s="83"/>
      <c r="Y180" s="83"/>
    </row>
    <row r="181" spans="1:25" ht="13.8">
      <c r="A181" s="78" t="str">
        <f ca="1">IFERROR(__xludf.DUMMYFUNCTION("""COMPUTED_VALUE"""),"CH")</f>
        <v>CH</v>
      </c>
      <c r="B181" s="79" t="str">
        <f ca="1">IFERROR(__xludf.DUMMYFUNCTION("""COMPUTED_VALUE"""),"Cait Engelhardt")</f>
        <v>Cait Engelhardt</v>
      </c>
      <c r="C181" s="78">
        <f ca="1">IFERROR(__xludf.DUMMYFUNCTION("""COMPUTED_VALUE"""),11)</f>
        <v>11</v>
      </c>
      <c r="D181" s="78" t="str">
        <f ca="1">IFERROR(__xludf.DUMMYFUNCTION("""COMPUTED_VALUE"""),"G")</f>
        <v>G</v>
      </c>
      <c r="E181" s="80" t="str">
        <f ca="1">IFERROR(__xludf.DUMMYFUNCTION("""COMPUTED_VALUE"""),"J")</f>
        <v>J</v>
      </c>
      <c r="F181" s="80" t="str">
        <f ca="1">IFERROR(__xludf.DUMMYFUNCTION("""COMPUTED_VALUE"""),"I")</f>
        <v>I</v>
      </c>
      <c r="G181" s="80">
        <f ca="1">IFERROR(__xludf.DUMMYFUNCTION("""COMPUTED_VALUE"""),6)</f>
        <v>6</v>
      </c>
      <c r="H181" s="80" t="str">
        <f ca="1">IFERROR(__xludf.DUMMYFUNCTION("""COMPUTED_VALUE"""),"CH")</f>
        <v>CH</v>
      </c>
      <c r="I181" s="80">
        <f ca="1">IFERROR(__xludf.DUMMYFUNCTION("""COMPUTED_VALUE"""),4)</f>
        <v>4</v>
      </c>
      <c r="J181" s="81">
        <f ca="1">IFERROR(__xludf.DUMMYFUNCTION("""COMPUTED_VALUE"""),0)</f>
        <v>0</v>
      </c>
      <c r="K181" s="81">
        <f ca="1">IFERROR(__xludf.DUMMYFUNCTION("""COMPUTED_VALUE"""),0)</f>
        <v>0</v>
      </c>
      <c r="L181" s="81">
        <f ca="1">IFERROR(__xludf.DUMMYFUNCTION("""COMPUTED_VALUE"""),0)</f>
        <v>0</v>
      </c>
      <c r="M181" s="81"/>
      <c r="N181" s="81">
        <f ca="1">IFERROR(__xludf.DUMMYFUNCTION("""COMPUTED_VALUE"""),0)</f>
        <v>0</v>
      </c>
      <c r="O181" s="81"/>
      <c r="P181" s="81">
        <f ca="1">IFERROR(__xludf.DUMMYFUNCTION("""COMPUTED_VALUE"""),0)</f>
        <v>0</v>
      </c>
      <c r="Q181" s="81"/>
      <c r="R181" s="81">
        <f ca="1">IFERROR(__xludf.DUMMYFUNCTION("""COMPUTED_VALUE"""),0)</f>
        <v>0</v>
      </c>
      <c r="S181" s="81"/>
      <c r="T181" s="81"/>
      <c r="U181" s="82"/>
      <c r="V181" s="82"/>
      <c r="W181" s="83"/>
      <c r="X181" s="83"/>
      <c r="Y181" s="83"/>
    </row>
    <row r="182" spans="1:25" ht="13.8">
      <c r="A182" s="78" t="str">
        <f ca="1">IFERROR(__xludf.DUMMYFUNCTION("""COMPUTED_VALUE"""),"CH")</f>
        <v>CH</v>
      </c>
      <c r="B182" s="79" t="str">
        <f ca="1">IFERROR(__xludf.DUMMYFUNCTION("""COMPUTED_VALUE"""),"Annaliese Golley")</f>
        <v>Annaliese Golley</v>
      </c>
      <c r="C182" s="78">
        <f ca="1">IFERROR(__xludf.DUMMYFUNCTION("""COMPUTED_VALUE"""),11)</f>
        <v>11</v>
      </c>
      <c r="D182" s="78" t="str">
        <f ca="1">IFERROR(__xludf.DUMMYFUNCTION("""COMPUTED_VALUE"""),"G")</f>
        <v>G</v>
      </c>
      <c r="E182" s="80" t="str">
        <f ca="1">IFERROR(__xludf.DUMMYFUNCTION("""COMPUTED_VALUE"""),"J")</f>
        <v>J</v>
      </c>
      <c r="F182" s="80" t="str">
        <f ca="1">IFERROR(__xludf.DUMMYFUNCTION("""COMPUTED_VALUE"""),"I")</f>
        <v>I</v>
      </c>
      <c r="G182" s="80">
        <f ca="1">IFERROR(__xludf.DUMMYFUNCTION("""COMPUTED_VALUE"""),6)</f>
        <v>6</v>
      </c>
      <c r="H182" s="80" t="str">
        <f ca="1">IFERROR(__xludf.DUMMYFUNCTION("""COMPUTED_VALUE"""),"CH")</f>
        <v>CH</v>
      </c>
      <c r="I182" s="80">
        <f ca="1">IFERROR(__xludf.DUMMYFUNCTION("""COMPUTED_VALUE"""),4)</f>
        <v>4</v>
      </c>
      <c r="J182" s="81">
        <f ca="1">IFERROR(__xludf.DUMMYFUNCTION("""COMPUTED_VALUE"""),0)</f>
        <v>0</v>
      </c>
      <c r="K182" s="81">
        <f ca="1">IFERROR(__xludf.DUMMYFUNCTION("""COMPUTED_VALUE"""),0)</f>
        <v>0</v>
      </c>
      <c r="L182" s="81">
        <f ca="1">IFERROR(__xludf.DUMMYFUNCTION("""COMPUTED_VALUE"""),0)</f>
        <v>0</v>
      </c>
      <c r="M182" s="81"/>
      <c r="N182" s="81">
        <f ca="1">IFERROR(__xludf.DUMMYFUNCTION("""COMPUTED_VALUE"""),0)</f>
        <v>0</v>
      </c>
      <c r="O182" s="81"/>
      <c r="P182" s="81">
        <f ca="1">IFERROR(__xludf.DUMMYFUNCTION("""COMPUTED_VALUE"""),0)</f>
        <v>0</v>
      </c>
      <c r="Q182" s="81"/>
      <c r="R182" s="81">
        <f ca="1">IFERROR(__xludf.DUMMYFUNCTION("""COMPUTED_VALUE"""),0)</f>
        <v>0</v>
      </c>
      <c r="S182" s="81"/>
      <c r="T182" s="81"/>
      <c r="U182" s="82"/>
      <c r="V182" s="82"/>
      <c r="W182" s="83"/>
      <c r="X182" s="83"/>
      <c r="Y182" s="83"/>
    </row>
    <row r="183" spans="1:25" ht="13.8">
      <c r="A183" s="78" t="str">
        <f ca="1">IFERROR(__xludf.DUMMYFUNCTION("""COMPUTED_VALUE"""),"CH")</f>
        <v>CH</v>
      </c>
      <c r="B183" s="79" t="str">
        <f ca="1">IFERROR(__xludf.DUMMYFUNCTION("""COMPUTED_VALUE"""),"Laurel Groves")</f>
        <v>Laurel Groves</v>
      </c>
      <c r="C183" s="78">
        <f ca="1">IFERROR(__xludf.DUMMYFUNCTION("""COMPUTED_VALUE"""),11)</f>
        <v>11</v>
      </c>
      <c r="D183" s="78" t="str">
        <f ca="1">IFERROR(__xludf.DUMMYFUNCTION("""COMPUTED_VALUE"""),"G")</f>
        <v>G</v>
      </c>
      <c r="E183" s="80" t="str">
        <f ca="1">IFERROR(__xludf.DUMMYFUNCTION("""COMPUTED_VALUE"""),"J")</f>
        <v>J</v>
      </c>
      <c r="F183" s="80" t="str">
        <f ca="1">IFERROR(__xludf.DUMMYFUNCTION("""COMPUTED_VALUE"""),"I")</f>
        <v>I</v>
      </c>
      <c r="G183" s="80">
        <f ca="1">IFERROR(__xludf.DUMMYFUNCTION("""COMPUTED_VALUE"""),6)</f>
        <v>6</v>
      </c>
      <c r="H183" s="80" t="str">
        <f ca="1">IFERROR(__xludf.DUMMYFUNCTION("""COMPUTED_VALUE"""),"CH")</f>
        <v>CH</v>
      </c>
      <c r="I183" s="80">
        <f ca="1">IFERROR(__xludf.DUMMYFUNCTION("""COMPUTED_VALUE"""),4)</f>
        <v>4</v>
      </c>
      <c r="J183" s="81">
        <f ca="1">IFERROR(__xludf.DUMMYFUNCTION("""COMPUTED_VALUE"""),1)</f>
        <v>1</v>
      </c>
      <c r="K183" s="81">
        <f ca="1">IFERROR(__xludf.DUMMYFUNCTION("""COMPUTED_VALUE"""),72.1)</f>
        <v>72.099999999999994</v>
      </c>
      <c r="L183" s="81">
        <f ca="1">IFERROR(__xludf.DUMMYFUNCTION("""COMPUTED_VALUE"""),72.1)</f>
        <v>72.099999999999994</v>
      </c>
      <c r="M183" s="81"/>
      <c r="N183" s="81">
        <f ca="1">IFERROR(__xludf.DUMMYFUNCTION("""COMPUTED_VALUE"""),0)</f>
        <v>0</v>
      </c>
      <c r="O183" s="81"/>
      <c r="P183" s="81">
        <f ca="1">IFERROR(__xludf.DUMMYFUNCTION("""COMPUTED_VALUE"""),0)</f>
        <v>0</v>
      </c>
      <c r="Q183" s="81"/>
      <c r="R183" s="81">
        <f ca="1">IFERROR(__xludf.DUMMYFUNCTION("""COMPUTED_VALUE"""),0)</f>
        <v>0</v>
      </c>
      <c r="S183" s="81"/>
      <c r="T183" s="81"/>
      <c r="U183" s="82"/>
      <c r="V183" s="82"/>
      <c r="W183" s="83"/>
      <c r="X183" s="83"/>
      <c r="Y183" s="83"/>
    </row>
    <row r="184" spans="1:25" ht="13.8">
      <c r="A184" s="78" t="str">
        <f ca="1">IFERROR(__xludf.DUMMYFUNCTION("""COMPUTED_VALUE"""),"CH")</f>
        <v>CH</v>
      </c>
      <c r="B184" s="79" t="str">
        <f ca="1">IFERROR(__xludf.DUMMYFUNCTION("""COMPUTED_VALUE"""),"Alison Gurganus")</f>
        <v>Alison Gurganus</v>
      </c>
      <c r="C184" s="78">
        <f ca="1">IFERROR(__xludf.DUMMYFUNCTION("""COMPUTED_VALUE"""),12)</f>
        <v>12</v>
      </c>
      <c r="D184" s="78" t="str">
        <f ca="1">IFERROR(__xludf.DUMMYFUNCTION("""COMPUTED_VALUE"""),"G")</f>
        <v>G</v>
      </c>
      <c r="E184" s="80" t="str">
        <f ca="1">IFERROR(__xludf.DUMMYFUNCTION("""COMPUTED_VALUE"""),"J")</f>
        <v>J</v>
      </c>
      <c r="F184" s="80" t="str">
        <f ca="1">IFERROR(__xludf.DUMMYFUNCTION("""COMPUTED_VALUE"""),"I")</f>
        <v>I</v>
      </c>
      <c r="G184" s="80">
        <f ca="1">IFERROR(__xludf.DUMMYFUNCTION("""COMPUTED_VALUE"""),6)</f>
        <v>6</v>
      </c>
      <c r="H184" s="80" t="str">
        <f ca="1">IFERROR(__xludf.DUMMYFUNCTION("""COMPUTED_VALUE"""),"CH")</f>
        <v>CH</v>
      </c>
      <c r="I184" s="80">
        <f ca="1">IFERROR(__xludf.DUMMYFUNCTION("""COMPUTED_VALUE"""),4)</f>
        <v>4</v>
      </c>
      <c r="J184" s="81">
        <f ca="1">IFERROR(__xludf.DUMMYFUNCTION("""COMPUTED_VALUE"""),3)</f>
        <v>3</v>
      </c>
      <c r="K184" s="81">
        <f ca="1">IFERROR(__xludf.DUMMYFUNCTION("""COMPUTED_VALUE"""),83.15)</f>
        <v>83.15</v>
      </c>
      <c r="L184" s="81">
        <f ca="1">IFERROR(__xludf.DUMMYFUNCTION("""COMPUTED_VALUE"""),75.65)</f>
        <v>75.650000000000006</v>
      </c>
      <c r="M184" s="81"/>
      <c r="N184" s="81">
        <f ca="1">IFERROR(__xludf.DUMMYFUNCTION("""COMPUTED_VALUE"""),0)</f>
        <v>0</v>
      </c>
      <c r="O184" s="81"/>
      <c r="P184" s="81">
        <f ca="1">IFERROR(__xludf.DUMMYFUNCTION("""COMPUTED_VALUE"""),83.15)</f>
        <v>83.15</v>
      </c>
      <c r="Q184" s="81"/>
      <c r="R184" s="81">
        <f ca="1">IFERROR(__xludf.DUMMYFUNCTION("""COMPUTED_VALUE"""),0)</f>
        <v>0</v>
      </c>
      <c r="S184" s="81"/>
      <c r="T184" s="81"/>
      <c r="U184" s="82"/>
      <c r="V184" s="82"/>
      <c r="W184" s="83"/>
      <c r="X184" s="83"/>
      <c r="Y184" s="83"/>
    </row>
    <row r="185" spans="1:25" ht="13.8">
      <c r="A185" s="78" t="str">
        <f ca="1">IFERROR(__xludf.DUMMYFUNCTION("""COMPUTED_VALUE"""),"CH")</f>
        <v>CH</v>
      </c>
      <c r="B185" s="79" t="str">
        <f ca="1">IFERROR(__xludf.DUMMYFUNCTION("""COMPUTED_VALUE"""),"Caitlin Holtaway")</f>
        <v>Caitlin Holtaway</v>
      </c>
      <c r="C185" s="78">
        <f ca="1">IFERROR(__xludf.DUMMYFUNCTION("""COMPUTED_VALUE"""),12)</f>
        <v>12</v>
      </c>
      <c r="D185" s="78" t="str">
        <f ca="1">IFERROR(__xludf.DUMMYFUNCTION("""COMPUTED_VALUE"""),"G")</f>
        <v>G</v>
      </c>
      <c r="E185" s="80" t="str">
        <f ca="1">IFERROR(__xludf.DUMMYFUNCTION("""COMPUTED_VALUE"""),"J")</f>
        <v>J</v>
      </c>
      <c r="F185" s="80" t="str">
        <f ca="1">IFERROR(__xludf.DUMMYFUNCTION("""COMPUTED_VALUE"""),"I")</f>
        <v>I</v>
      </c>
      <c r="G185" s="80">
        <f ca="1">IFERROR(__xludf.DUMMYFUNCTION("""COMPUTED_VALUE"""),6)</f>
        <v>6</v>
      </c>
      <c r="H185" s="80" t="str">
        <f ca="1">IFERROR(__xludf.DUMMYFUNCTION("""COMPUTED_VALUE"""),"CH")</f>
        <v>CH</v>
      </c>
      <c r="I185" s="80">
        <f ca="1">IFERROR(__xludf.DUMMYFUNCTION("""COMPUTED_VALUE"""),4)</f>
        <v>4</v>
      </c>
      <c r="J185" s="81">
        <f ca="1">IFERROR(__xludf.DUMMYFUNCTION("""COMPUTED_VALUE"""),3)</f>
        <v>3</v>
      </c>
      <c r="K185" s="81">
        <f ca="1">IFERROR(__xludf.DUMMYFUNCTION("""COMPUTED_VALUE"""),76.2)</f>
        <v>76.2</v>
      </c>
      <c r="L185" s="81">
        <f ca="1">IFERROR(__xludf.DUMMYFUNCTION("""COMPUTED_VALUE"""),72.8)</f>
        <v>72.8</v>
      </c>
      <c r="M185" s="81"/>
      <c r="N185" s="81">
        <f ca="1">IFERROR(__xludf.DUMMYFUNCTION("""COMPUTED_VALUE"""),76.2)</f>
        <v>76.2</v>
      </c>
      <c r="O185" s="81"/>
      <c r="P185" s="81">
        <f ca="1">IFERROR(__xludf.DUMMYFUNCTION("""COMPUTED_VALUE"""),62.5)</f>
        <v>62.5</v>
      </c>
      <c r="Q185" s="81"/>
      <c r="R185" s="81">
        <f ca="1">IFERROR(__xludf.DUMMYFUNCTION("""COMPUTED_VALUE"""),0)</f>
        <v>0</v>
      </c>
      <c r="S185" s="81"/>
      <c r="T185" s="81"/>
      <c r="U185" s="82"/>
      <c r="V185" s="82"/>
      <c r="W185" s="83"/>
      <c r="X185" s="83"/>
      <c r="Y185" s="83"/>
    </row>
    <row r="186" spans="1:25" ht="13.8">
      <c r="A186" s="78" t="str">
        <f ca="1">IFERROR(__xludf.DUMMYFUNCTION("""COMPUTED_VALUE"""),"CH")</f>
        <v>CH</v>
      </c>
      <c r="B186" s="79" t="str">
        <f ca="1">IFERROR(__xludf.DUMMYFUNCTION("""COMPUTED_VALUE"""),"Ella Jaskot")</f>
        <v>Ella Jaskot</v>
      </c>
      <c r="C186" s="78">
        <f ca="1">IFERROR(__xludf.DUMMYFUNCTION("""COMPUTED_VALUE"""),12)</f>
        <v>12</v>
      </c>
      <c r="D186" s="78" t="str">
        <f ca="1">IFERROR(__xludf.DUMMYFUNCTION("""COMPUTED_VALUE"""),"G")</f>
        <v>G</v>
      </c>
      <c r="E186" s="80" t="str">
        <f ca="1">IFERROR(__xludf.DUMMYFUNCTION("""COMPUTED_VALUE"""),"J")</f>
        <v>J</v>
      </c>
      <c r="F186" s="80" t="str">
        <f ca="1">IFERROR(__xludf.DUMMYFUNCTION("""COMPUTED_VALUE"""),"I")</f>
        <v>I</v>
      </c>
      <c r="G186" s="80">
        <f ca="1">IFERROR(__xludf.DUMMYFUNCTION("""COMPUTED_VALUE"""),6)</f>
        <v>6</v>
      </c>
      <c r="H186" s="80" t="str">
        <f ca="1">IFERROR(__xludf.DUMMYFUNCTION("""COMPUTED_VALUE"""),"CH")</f>
        <v>CH</v>
      </c>
      <c r="I186" s="80">
        <f ca="1">IFERROR(__xludf.DUMMYFUNCTION("""COMPUTED_VALUE"""),4)</f>
        <v>4</v>
      </c>
      <c r="J186" s="81">
        <f ca="1">IFERROR(__xludf.DUMMYFUNCTION("""COMPUTED_VALUE"""),0)</f>
        <v>0</v>
      </c>
      <c r="K186" s="81">
        <f ca="1">IFERROR(__xludf.DUMMYFUNCTION("""COMPUTED_VALUE"""),0)</f>
        <v>0</v>
      </c>
      <c r="L186" s="81">
        <f ca="1">IFERROR(__xludf.DUMMYFUNCTION("""COMPUTED_VALUE"""),0)</f>
        <v>0</v>
      </c>
      <c r="M186" s="81"/>
      <c r="N186" s="81">
        <f ca="1">IFERROR(__xludf.DUMMYFUNCTION("""COMPUTED_VALUE"""),0)</f>
        <v>0</v>
      </c>
      <c r="O186" s="81"/>
      <c r="P186" s="81">
        <f ca="1">IFERROR(__xludf.DUMMYFUNCTION("""COMPUTED_VALUE"""),0)</f>
        <v>0</v>
      </c>
      <c r="Q186" s="81"/>
      <c r="R186" s="81">
        <f ca="1">IFERROR(__xludf.DUMMYFUNCTION("""COMPUTED_VALUE"""),0)</f>
        <v>0</v>
      </c>
      <c r="S186" s="81"/>
      <c r="T186" s="81"/>
      <c r="U186" s="82"/>
      <c r="V186" s="82"/>
      <c r="W186" s="83"/>
      <c r="X186" s="83"/>
      <c r="Y186" s="83"/>
    </row>
    <row r="187" spans="1:25" ht="13.8">
      <c r="A187" s="78" t="str">
        <f ca="1">IFERROR(__xludf.DUMMYFUNCTION("""COMPUTED_VALUE"""),"CH")</f>
        <v>CH</v>
      </c>
      <c r="B187" s="79" t="str">
        <f ca="1">IFERROR(__xludf.DUMMYFUNCTION("""COMPUTED_VALUE"""),"Bethany Kraft")</f>
        <v>Bethany Kraft</v>
      </c>
      <c r="C187" s="78">
        <f ca="1">IFERROR(__xludf.DUMMYFUNCTION("""COMPUTED_VALUE"""),11)</f>
        <v>11</v>
      </c>
      <c r="D187" s="78" t="str">
        <f ca="1">IFERROR(__xludf.DUMMYFUNCTION("""COMPUTED_VALUE"""),"G")</f>
        <v>G</v>
      </c>
      <c r="E187" s="80" t="str">
        <f ca="1">IFERROR(__xludf.DUMMYFUNCTION("""COMPUTED_VALUE"""),"J")</f>
        <v>J</v>
      </c>
      <c r="F187" s="80" t="str">
        <f ca="1">IFERROR(__xludf.DUMMYFUNCTION("""COMPUTED_VALUE"""),"I")</f>
        <v>I</v>
      </c>
      <c r="G187" s="80">
        <f ca="1">IFERROR(__xludf.DUMMYFUNCTION("""COMPUTED_VALUE"""),6)</f>
        <v>6</v>
      </c>
      <c r="H187" s="80" t="str">
        <f ca="1">IFERROR(__xludf.DUMMYFUNCTION("""COMPUTED_VALUE"""),"CH")</f>
        <v>CH</v>
      </c>
      <c r="I187" s="80">
        <f ca="1">IFERROR(__xludf.DUMMYFUNCTION("""COMPUTED_VALUE"""),4)</f>
        <v>4</v>
      </c>
      <c r="J187" s="81">
        <f ca="1">IFERROR(__xludf.DUMMYFUNCTION("""COMPUTED_VALUE"""),0)</f>
        <v>0</v>
      </c>
      <c r="K187" s="81">
        <f ca="1">IFERROR(__xludf.DUMMYFUNCTION("""COMPUTED_VALUE"""),0)</f>
        <v>0</v>
      </c>
      <c r="L187" s="81">
        <f ca="1">IFERROR(__xludf.DUMMYFUNCTION("""COMPUTED_VALUE"""),0)</f>
        <v>0</v>
      </c>
      <c r="M187" s="81"/>
      <c r="N187" s="81">
        <f ca="1">IFERROR(__xludf.DUMMYFUNCTION("""COMPUTED_VALUE"""),0)</f>
        <v>0</v>
      </c>
      <c r="O187" s="81"/>
      <c r="P187" s="81">
        <f ca="1">IFERROR(__xludf.DUMMYFUNCTION("""COMPUTED_VALUE"""),0)</f>
        <v>0</v>
      </c>
      <c r="Q187" s="81"/>
      <c r="R187" s="81">
        <f ca="1">IFERROR(__xludf.DUMMYFUNCTION("""COMPUTED_VALUE"""),0)</f>
        <v>0</v>
      </c>
      <c r="S187" s="81"/>
      <c r="T187" s="81"/>
      <c r="U187" s="82"/>
      <c r="V187" s="82"/>
      <c r="W187" s="83"/>
      <c r="X187" s="83"/>
      <c r="Y187" s="83"/>
    </row>
    <row r="188" spans="1:25" ht="13.8">
      <c r="A188" s="78" t="str">
        <f ca="1">IFERROR(__xludf.DUMMYFUNCTION("""COMPUTED_VALUE"""),"CH")</f>
        <v>CH</v>
      </c>
      <c r="B188" s="79" t="str">
        <f ca="1">IFERROR(__xludf.DUMMYFUNCTION("""COMPUTED_VALUE"""),"Riley Losick")</f>
        <v>Riley Losick</v>
      </c>
      <c r="C188" s="78">
        <f ca="1">IFERROR(__xludf.DUMMYFUNCTION("""COMPUTED_VALUE"""),12)</f>
        <v>12</v>
      </c>
      <c r="D188" s="78" t="str">
        <f ca="1">IFERROR(__xludf.DUMMYFUNCTION("""COMPUTED_VALUE"""),"G")</f>
        <v>G</v>
      </c>
      <c r="E188" s="80" t="str">
        <f ca="1">IFERROR(__xludf.DUMMYFUNCTION("""COMPUTED_VALUE"""),"J")</f>
        <v>J</v>
      </c>
      <c r="F188" s="80" t="str">
        <f ca="1">IFERROR(__xludf.DUMMYFUNCTION("""COMPUTED_VALUE"""),"I")</f>
        <v>I</v>
      </c>
      <c r="G188" s="80">
        <f ca="1">IFERROR(__xludf.DUMMYFUNCTION("""COMPUTED_VALUE"""),6)</f>
        <v>6</v>
      </c>
      <c r="H188" s="80" t="str">
        <f ca="1">IFERROR(__xludf.DUMMYFUNCTION("""COMPUTED_VALUE"""),"CH")</f>
        <v>CH</v>
      </c>
      <c r="I188" s="80">
        <f ca="1">IFERROR(__xludf.DUMMYFUNCTION("""COMPUTED_VALUE"""),4)</f>
        <v>4</v>
      </c>
      <c r="J188" s="81">
        <f ca="1">IFERROR(__xludf.DUMMYFUNCTION("""COMPUTED_VALUE"""),1)</f>
        <v>1</v>
      </c>
      <c r="K188" s="81">
        <f ca="1">IFERROR(__xludf.DUMMYFUNCTION("""COMPUTED_VALUE"""),66.7)</f>
        <v>66.7</v>
      </c>
      <c r="L188" s="81">
        <f ca="1">IFERROR(__xludf.DUMMYFUNCTION("""COMPUTED_VALUE"""),0)</f>
        <v>0</v>
      </c>
      <c r="M188" s="81"/>
      <c r="N188" s="81">
        <f ca="1">IFERROR(__xludf.DUMMYFUNCTION("""COMPUTED_VALUE"""),0)</f>
        <v>0</v>
      </c>
      <c r="O188" s="81"/>
      <c r="P188" s="81">
        <f ca="1">IFERROR(__xludf.DUMMYFUNCTION("""COMPUTED_VALUE"""),0)</f>
        <v>0</v>
      </c>
      <c r="Q188" s="81"/>
      <c r="R188" s="81">
        <f ca="1">IFERROR(__xludf.DUMMYFUNCTION("""COMPUTED_VALUE"""),66.7)</f>
        <v>66.7</v>
      </c>
      <c r="S188" s="81"/>
      <c r="T188" s="81"/>
      <c r="U188" s="82"/>
      <c r="V188" s="82"/>
      <c r="W188" s="83"/>
      <c r="X188" s="83"/>
      <c r="Y188" s="83"/>
    </row>
    <row r="189" spans="1:25" ht="13.8">
      <c r="A189" s="78" t="str">
        <f ca="1">IFERROR(__xludf.DUMMYFUNCTION("""COMPUTED_VALUE"""),"CH")</f>
        <v>CH</v>
      </c>
      <c r="B189" s="79" t="str">
        <f ca="1">IFERROR(__xludf.DUMMYFUNCTION("""COMPUTED_VALUE"""),"Dani Rothman")</f>
        <v>Dani Rothman</v>
      </c>
      <c r="C189" s="78">
        <f ca="1">IFERROR(__xludf.DUMMYFUNCTION("""COMPUTED_VALUE"""),12)</f>
        <v>12</v>
      </c>
      <c r="D189" s="78" t="str">
        <f ca="1">IFERROR(__xludf.DUMMYFUNCTION("""COMPUTED_VALUE"""),"G")</f>
        <v>G</v>
      </c>
      <c r="E189" s="80" t="str">
        <f ca="1">IFERROR(__xludf.DUMMYFUNCTION("""COMPUTED_VALUE"""),"J")</f>
        <v>J</v>
      </c>
      <c r="F189" s="80" t="str">
        <f ca="1">IFERROR(__xludf.DUMMYFUNCTION("""COMPUTED_VALUE"""),"I")</f>
        <v>I</v>
      </c>
      <c r="G189" s="80">
        <f ca="1">IFERROR(__xludf.DUMMYFUNCTION("""COMPUTED_VALUE"""),6)</f>
        <v>6</v>
      </c>
      <c r="H189" s="80" t="str">
        <f ca="1">IFERROR(__xludf.DUMMYFUNCTION("""COMPUTED_VALUE"""),"CH")</f>
        <v>CH</v>
      </c>
      <c r="I189" s="80">
        <f ca="1">IFERROR(__xludf.DUMMYFUNCTION("""COMPUTED_VALUE"""),4)</f>
        <v>4</v>
      </c>
      <c r="J189" s="81">
        <f ca="1">IFERROR(__xludf.DUMMYFUNCTION("""COMPUTED_VALUE"""),5)</f>
        <v>5</v>
      </c>
      <c r="K189" s="81">
        <f ca="1">IFERROR(__xludf.DUMMYFUNCTION("""COMPUTED_VALUE"""),108.85)</f>
        <v>108.85</v>
      </c>
      <c r="L189" s="81">
        <f ca="1">IFERROR(__xludf.DUMMYFUNCTION("""COMPUTED_VALUE"""),98.55)</f>
        <v>98.55</v>
      </c>
      <c r="M189" s="81"/>
      <c r="N189" s="81">
        <f ca="1">IFERROR(__xludf.DUMMYFUNCTION("""COMPUTED_VALUE"""),105.65)</f>
        <v>105.65</v>
      </c>
      <c r="O189" s="81"/>
      <c r="P189" s="81">
        <f ca="1">IFERROR(__xludf.DUMMYFUNCTION("""COMPUTED_VALUE"""),108.65)</f>
        <v>108.65</v>
      </c>
      <c r="Q189" s="81"/>
      <c r="R189" s="81">
        <f ca="1">IFERROR(__xludf.DUMMYFUNCTION("""COMPUTED_VALUE"""),108.85)</f>
        <v>108.85</v>
      </c>
      <c r="S189" s="81"/>
      <c r="T189" s="81"/>
      <c r="U189" s="82"/>
      <c r="V189" s="82"/>
      <c r="W189" s="83"/>
      <c r="X189" s="83"/>
      <c r="Y189" s="83"/>
    </row>
    <row r="190" spans="1:25" ht="13.8">
      <c r="A190" s="78" t="str">
        <f ca="1">IFERROR(__xludf.DUMMYFUNCTION("""COMPUTED_VALUE"""),"CH")</f>
        <v>CH</v>
      </c>
      <c r="B190" s="79" t="str">
        <f ca="1">IFERROR(__xludf.DUMMYFUNCTION("""COMPUTED_VALUE"""),"Rebecca Rothman")</f>
        <v>Rebecca Rothman</v>
      </c>
      <c r="C190" s="78">
        <f ca="1">IFERROR(__xludf.DUMMYFUNCTION("""COMPUTED_VALUE"""),12)</f>
        <v>12</v>
      </c>
      <c r="D190" s="78" t="str">
        <f ca="1">IFERROR(__xludf.DUMMYFUNCTION("""COMPUTED_VALUE"""),"G")</f>
        <v>G</v>
      </c>
      <c r="E190" s="80" t="str">
        <f ca="1">IFERROR(__xludf.DUMMYFUNCTION("""COMPUTED_VALUE"""),"J")</f>
        <v>J</v>
      </c>
      <c r="F190" s="80" t="str">
        <f ca="1">IFERROR(__xludf.DUMMYFUNCTION("""COMPUTED_VALUE"""),"I")</f>
        <v>I</v>
      </c>
      <c r="G190" s="80">
        <f ca="1">IFERROR(__xludf.DUMMYFUNCTION("""COMPUTED_VALUE"""),6)</f>
        <v>6</v>
      </c>
      <c r="H190" s="80" t="str">
        <f ca="1">IFERROR(__xludf.DUMMYFUNCTION("""COMPUTED_VALUE"""),"CH")</f>
        <v>CH</v>
      </c>
      <c r="I190" s="80">
        <f ca="1">IFERROR(__xludf.DUMMYFUNCTION("""COMPUTED_VALUE"""),4)</f>
        <v>4</v>
      </c>
      <c r="J190" s="81">
        <f ca="1">IFERROR(__xludf.DUMMYFUNCTION("""COMPUTED_VALUE"""),5)</f>
        <v>5</v>
      </c>
      <c r="K190" s="81">
        <f ca="1">IFERROR(__xludf.DUMMYFUNCTION("""COMPUTED_VALUE"""),86.95)</f>
        <v>86.95</v>
      </c>
      <c r="L190" s="81">
        <f ca="1">IFERROR(__xludf.DUMMYFUNCTION("""COMPUTED_VALUE"""),84.15)</f>
        <v>84.15</v>
      </c>
      <c r="M190" s="81"/>
      <c r="N190" s="81">
        <f ca="1">IFERROR(__xludf.DUMMYFUNCTION("""COMPUTED_VALUE"""),86.95)</f>
        <v>86.95</v>
      </c>
      <c r="O190" s="81"/>
      <c r="P190" s="81">
        <f ca="1">IFERROR(__xludf.DUMMYFUNCTION("""COMPUTED_VALUE"""),82.8)</f>
        <v>82.8</v>
      </c>
      <c r="Q190" s="81"/>
      <c r="R190" s="81">
        <f ca="1">IFERROR(__xludf.DUMMYFUNCTION("""COMPUTED_VALUE"""),78)</f>
        <v>78</v>
      </c>
      <c r="S190" s="81"/>
      <c r="T190" s="81"/>
      <c r="U190" s="82"/>
      <c r="V190" s="82"/>
      <c r="W190" s="83"/>
      <c r="X190" s="83"/>
      <c r="Y190" s="83"/>
    </row>
    <row r="191" spans="1:25" ht="13.8">
      <c r="A191" s="78" t="str">
        <f ca="1">IFERROR(__xludf.DUMMYFUNCTION("""COMPUTED_VALUE"""),"CH")</f>
        <v>CH</v>
      </c>
      <c r="B191" s="79" t="str">
        <f ca="1">IFERROR(__xludf.DUMMYFUNCTION("""COMPUTED_VALUE"""),"Eva Ulmer")</f>
        <v>Eva Ulmer</v>
      </c>
      <c r="C191" s="78">
        <f ca="1">IFERROR(__xludf.DUMMYFUNCTION("""COMPUTED_VALUE"""),12)</f>
        <v>12</v>
      </c>
      <c r="D191" s="78" t="str">
        <f ca="1">IFERROR(__xludf.DUMMYFUNCTION("""COMPUTED_VALUE"""),"G")</f>
        <v>G</v>
      </c>
      <c r="E191" s="80" t="str">
        <f ca="1">IFERROR(__xludf.DUMMYFUNCTION("""COMPUTED_VALUE"""),"J")</f>
        <v>J</v>
      </c>
      <c r="F191" s="80" t="str">
        <f ca="1">IFERROR(__xludf.DUMMYFUNCTION("""COMPUTED_VALUE"""),"I")</f>
        <v>I</v>
      </c>
      <c r="G191" s="80">
        <f ca="1">IFERROR(__xludf.DUMMYFUNCTION("""COMPUTED_VALUE"""),6)</f>
        <v>6</v>
      </c>
      <c r="H191" s="80" t="str">
        <f ca="1">IFERROR(__xludf.DUMMYFUNCTION("""COMPUTED_VALUE"""),"CH")</f>
        <v>CH</v>
      </c>
      <c r="I191" s="80">
        <f ca="1">IFERROR(__xludf.DUMMYFUNCTION("""COMPUTED_VALUE"""),4)</f>
        <v>4</v>
      </c>
      <c r="J191" s="81">
        <f ca="1">IFERROR(__xludf.DUMMYFUNCTION("""COMPUTED_VALUE"""),0)</f>
        <v>0</v>
      </c>
      <c r="K191" s="81">
        <f ca="1">IFERROR(__xludf.DUMMYFUNCTION("""COMPUTED_VALUE"""),0)</f>
        <v>0</v>
      </c>
      <c r="L191" s="81">
        <f ca="1">IFERROR(__xludf.DUMMYFUNCTION("""COMPUTED_VALUE"""),0)</f>
        <v>0</v>
      </c>
      <c r="M191" s="81"/>
      <c r="N191" s="81">
        <f ca="1">IFERROR(__xludf.DUMMYFUNCTION("""COMPUTED_VALUE"""),0)</f>
        <v>0</v>
      </c>
      <c r="O191" s="81"/>
      <c r="P191" s="81">
        <f ca="1">IFERROR(__xludf.DUMMYFUNCTION("""COMPUTED_VALUE"""),0)</f>
        <v>0</v>
      </c>
      <c r="Q191" s="81"/>
      <c r="R191" s="81">
        <f ca="1">IFERROR(__xludf.DUMMYFUNCTION("""COMPUTED_VALUE"""),0)</f>
        <v>0</v>
      </c>
      <c r="S191" s="81"/>
      <c r="T191" s="81"/>
      <c r="U191" s="82"/>
      <c r="V191" s="82"/>
      <c r="W191" s="83"/>
      <c r="X191" s="83"/>
      <c r="Y191" s="83"/>
    </row>
    <row r="192" spans="1:25" ht="13.8">
      <c r="A192" s="78" t="str">
        <f ca="1">IFERROR(__xludf.DUMMYFUNCTION("""COMPUTED_VALUE"""),"CH")</f>
        <v>CH</v>
      </c>
      <c r="B192" s="79" t="str">
        <f ca="1">IFERROR(__xludf.DUMMYFUNCTION("""COMPUTED_VALUE"""),"Wesley Apgar")</f>
        <v>Wesley Apgar</v>
      </c>
      <c r="C192" s="78">
        <f ca="1">IFERROR(__xludf.DUMMYFUNCTION("""COMPUTED_VALUE"""),11)</f>
        <v>11</v>
      </c>
      <c r="D192" s="78" t="str">
        <f ca="1">IFERROR(__xludf.DUMMYFUNCTION("""COMPUTED_VALUE"""),"B")</f>
        <v>B</v>
      </c>
      <c r="E192" s="80" t="str">
        <f ca="1">IFERROR(__xludf.DUMMYFUNCTION("""COMPUTED_VALUE"""),"J")</f>
        <v>J</v>
      </c>
      <c r="F192" s="80" t="str">
        <f ca="1">IFERROR(__xludf.DUMMYFUNCTION("""COMPUTED_VALUE"""),"I")</f>
        <v>I</v>
      </c>
      <c r="G192" s="80">
        <f ca="1">IFERROR(__xludf.DUMMYFUNCTION("""COMPUTED_VALUE"""),6)</f>
        <v>6</v>
      </c>
      <c r="H192" s="80" t="str">
        <f ca="1">IFERROR(__xludf.DUMMYFUNCTION("""COMPUTED_VALUE"""),"CH")</f>
        <v>CH</v>
      </c>
      <c r="I192" s="80">
        <f ca="1">IFERROR(__xludf.DUMMYFUNCTION("""COMPUTED_VALUE"""),5)</f>
        <v>5</v>
      </c>
      <c r="J192" s="81">
        <f ca="1">IFERROR(__xludf.DUMMYFUNCTION("""COMPUTED_VALUE"""),0)</f>
        <v>0</v>
      </c>
      <c r="K192" s="81">
        <f ca="1">IFERROR(__xludf.DUMMYFUNCTION("""COMPUTED_VALUE"""),0)</f>
        <v>0</v>
      </c>
      <c r="L192" s="81">
        <f ca="1">IFERROR(__xludf.DUMMYFUNCTION("""COMPUTED_VALUE"""),0)</f>
        <v>0</v>
      </c>
      <c r="M192" s="81"/>
      <c r="N192" s="81">
        <f ca="1">IFERROR(__xludf.DUMMYFUNCTION("""COMPUTED_VALUE"""),0)</f>
        <v>0</v>
      </c>
      <c r="O192" s="81"/>
      <c r="P192" s="81">
        <f ca="1">IFERROR(__xludf.DUMMYFUNCTION("""COMPUTED_VALUE"""),0)</f>
        <v>0</v>
      </c>
      <c r="Q192" s="81"/>
      <c r="R192" s="81">
        <f ca="1">IFERROR(__xludf.DUMMYFUNCTION("""COMPUTED_VALUE"""),0)</f>
        <v>0</v>
      </c>
      <c r="S192" s="81"/>
      <c r="T192" s="81"/>
      <c r="U192" s="82"/>
      <c r="V192" s="82"/>
      <c r="W192" s="83"/>
      <c r="X192" s="83"/>
      <c r="Y192" s="83"/>
    </row>
    <row r="193" spans="1:25" ht="13.8">
      <c r="A193" s="78" t="str">
        <f ca="1">IFERROR(__xludf.DUMMYFUNCTION("""COMPUTED_VALUE"""),"CH")</f>
        <v>CH</v>
      </c>
      <c r="B193" s="79" t="str">
        <f ca="1">IFERROR(__xludf.DUMMYFUNCTION("""COMPUTED_VALUE"""),"Nate Beck")</f>
        <v>Nate Beck</v>
      </c>
      <c r="C193" s="78">
        <f ca="1">IFERROR(__xludf.DUMMYFUNCTION("""COMPUTED_VALUE"""),12)</f>
        <v>12</v>
      </c>
      <c r="D193" s="78" t="str">
        <f ca="1">IFERROR(__xludf.DUMMYFUNCTION("""COMPUTED_VALUE"""),"B")</f>
        <v>B</v>
      </c>
      <c r="E193" s="80" t="str">
        <f ca="1">IFERROR(__xludf.DUMMYFUNCTION("""COMPUTED_VALUE"""),"J")</f>
        <v>J</v>
      </c>
      <c r="F193" s="80" t="str">
        <f ca="1">IFERROR(__xludf.DUMMYFUNCTION("""COMPUTED_VALUE"""),"I")</f>
        <v>I</v>
      </c>
      <c r="G193" s="80">
        <f ca="1">IFERROR(__xludf.DUMMYFUNCTION("""COMPUTED_VALUE"""),6)</f>
        <v>6</v>
      </c>
      <c r="H193" s="80" t="str">
        <f ca="1">IFERROR(__xludf.DUMMYFUNCTION("""COMPUTED_VALUE"""),"CH")</f>
        <v>CH</v>
      </c>
      <c r="I193" s="80">
        <f ca="1">IFERROR(__xludf.DUMMYFUNCTION("""COMPUTED_VALUE"""),5)</f>
        <v>5</v>
      </c>
      <c r="J193" s="81">
        <f ca="1">IFERROR(__xludf.DUMMYFUNCTION("""COMPUTED_VALUE"""),4)</f>
        <v>4</v>
      </c>
      <c r="K193" s="81">
        <f ca="1">IFERROR(__xludf.DUMMYFUNCTION("""COMPUTED_VALUE"""),94.9)</f>
        <v>94.9</v>
      </c>
      <c r="L193" s="81">
        <f ca="1">IFERROR(__xludf.DUMMYFUNCTION("""COMPUTED_VALUE"""),0)</f>
        <v>0</v>
      </c>
      <c r="M193" s="81"/>
      <c r="N193" s="81">
        <f ca="1">IFERROR(__xludf.DUMMYFUNCTION("""COMPUTED_VALUE"""),94.9)</f>
        <v>94.9</v>
      </c>
      <c r="O193" s="81"/>
      <c r="P193" s="81">
        <f ca="1">IFERROR(__xludf.DUMMYFUNCTION("""COMPUTED_VALUE"""),78.4)</f>
        <v>78.400000000000006</v>
      </c>
      <c r="Q193" s="81"/>
      <c r="R193" s="81">
        <f ca="1">IFERROR(__xludf.DUMMYFUNCTION("""COMPUTED_VALUE"""),85.65)</f>
        <v>85.65</v>
      </c>
      <c r="S193" s="81"/>
      <c r="T193" s="81"/>
      <c r="U193" s="82"/>
      <c r="V193" s="82"/>
      <c r="W193" s="83"/>
      <c r="X193" s="83"/>
      <c r="Y193" s="83"/>
    </row>
    <row r="194" spans="1:25" ht="13.8">
      <c r="A194" s="78" t="str">
        <f ca="1">IFERROR(__xludf.DUMMYFUNCTION("""COMPUTED_VALUE"""),"CH")</f>
        <v>CH</v>
      </c>
      <c r="B194" s="79" t="str">
        <f ca="1">IFERROR(__xludf.DUMMYFUNCTION("""COMPUTED_VALUE"""),"Jackson Brabender")</f>
        <v>Jackson Brabender</v>
      </c>
      <c r="C194" s="78">
        <f ca="1">IFERROR(__xludf.DUMMYFUNCTION("""COMPUTED_VALUE"""),11)</f>
        <v>11</v>
      </c>
      <c r="D194" s="78" t="str">
        <f ca="1">IFERROR(__xludf.DUMMYFUNCTION("""COMPUTED_VALUE"""),"B")</f>
        <v>B</v>
      </c>
      <c r="E194" s="80" t="str">
        <f ca="1">IFERROR(__xludf.DUMMYFUNCTION("""COMPUTED_VALUE"""),"J")</f>
        <v>J</v>
      </c>
      <c r="F194" s="80" t="str">
        <f ca="1">IFERROR(__xludf.DUMMYFUNCTION("""COMPUTED_VALUE"""),"I")</f>
        <v>I</v>
      </c>
      <c r="G194" s="80">
        <f ca="1">IFERROR(__xludf.DUMMYFUNCTION("""COMPUTED_VALUE"""),6)</f>
        <v>6</v>
      </c>
      <c r="H194" s="80" t="str">
        <f ca="1">IFERROR(__xludf.DUMMYFUNCTION("""COMPUTED_VALUE"""),"CH")</f>
        <v>CH</v>
      </c>
      <c r="I194" s="80">
        <f ca="1">IFERROR(__xludf.DUMMYFUNCTION("""COMPUTED_VALUE"""),5)</f>
        <v>5</v>
      </c>
      <c r="J194" s="81">
        <f ca="1">IFERROR(__xludf.DUMMYFUNCTION("""COMPUTED_VALUE"""),4)</f>
        <v>4</v>
      </c>
      <c r="K194" s="81">
        <f ca="1">IFERROR(__xludf.DUMMYFUNCTION("""COMPUTED_VALUE"""),78.1)</f>
        <v>78.099999999999994</v>
      </c>
      <c r="L194" s="81">
        <f ca="1">IFERROR(__xludf.DUMMYFUNCTION("""COMPUTED_VALUE"""),74.85)</f>
        <v>74.849999999999994</v>
      </c>
      <c r="M194" s="81"/>
      <c r="N194" s="81">
        <f ca="1">IFERROR(__xludf.DUMMYFUNCTION("""COMPUTED_VALUE"""),78.1)</f>
        <v>78.099999999999994</v>
      </c>
      <c r="O194" s="81"/>
      <c r="P194" s="81">
        <f ca="1">IFERROR(__xludf.DUMMYFUNCTION("""COMPUTED_VALUE"""),0)</f>
        <v>0</v>
      </c>
      <c r="Q194" s="81"/>
      <c r="R194" s="81">
        <f ca="1">IFERROR(__xludf.DUMMYFUNCTION("""COMPUTED_VALUE"""),76.6)</f>
        <v>76.599999999999994</v>
      </c>
      <c r="S194" s="81"/>
      <c r="T194" s="81"/>
      <c r="U194" s="82"/>
      <c r="V194" s="82"/>
      <c r="W194" s="83"/>
      <c r="X194" s="83"/>
      <c r="Y194" s="83"/>
    </row>
    <row r="195" spans="1:25" ht="13.8">
      <c r="A195" s="78" t="str">
        <f ca="1">IFERROR(__xludf.DUMMYFUNCTION("""COMPUTED_VALUE"""),"CH")</f>
        <v>CH</v>
      </c>
      <c r="B195" s="79" t="str">
        <f ca="1">IFERROR(__xludf.DUMMYFUNCTION("""COMPUTED_VALUE"""),"Nate Butler")</f>
        <v>Nate Butler</v>
      </c>
      <c r="C195" s="78">
        <f ca="1">IFERROR(__xludf.DUMMYFUNCTION("""COMPUTED_VALUE"""),11)</f>
        <v>11</v>
      </c>
      <c r="D195" s="78" t="str">
        <f ca="1">IFERROR(__xludf.DUMMYFUNCTION("""COMPUTED_VALUE"""),"B")</f>
        <v>B</v>
      </c>
      <c r="E195" s="80" t="str">
        <f ca="1">IFERROR(__xludf.DUMMYFUNCTION("""COMPUTED_VALUE"""),"J")</f>
        <v>J</v>
      </c>
      <c r="F195" s="80" t="str">
        <f ca="1">IFERROR(__xludf.DUMMYFUNCTION("""COMPUTED_VALUE"""),"I")</f>
        <v>I</v>
      </c>
      <c r="G195" s="80">
        <f ca="1">IFERROR(__xludf.DUMMYFUNCTION("""COMPUTED_VALUE"""),6)</f>
        <v>6</v>
      </c>
      <c r="H195" s="80" t="str">
        <f ca="1">IFERROR(__xludf.DUMMYFUNCTION("""COMPUTED_VALUE"""),"CH")</f>
        <v>CH</v>
      </c>
      <c r="I195" s="80">
        <f ca="1">IFERROR(__xludf.DUMMYFUNCTION("""COMPUTED_VALUE"""),5)</f>
        <v>5</v>
      </c>
      <c r="J195" s="81">
        <f ca="1">IFERROR(__xludf.DUMMYFUNCTION("""COMPUTED_VALUE"""),4)</f>
        <v>4</v>
      </c>
      <c r="K195" s="81">
        <f ca="1">IFERROR(__xludf.DUMMYFUNCTION("""COMPUTED_VALUE"""),84.2)</f>
        <v>84.2</v>
      </c>
      <c r="L195" s="81">
        <f ca="1">IFERROR(__xludf.DUMMYFUNCTION("""COMPUTED_VALUE"""),74.05)</f>
        <v>74.05</v>
      </c>
      <c r="M195" s="81"/>
      <c r="N195" s="81">
        <f ca="1">IFERROR(__xludf.DUMMYFUNCTION("""COMPUTED_VALUE"""),0)</f>
        <v>0</v>
      </c>
      <c r="O195" s="81"/>
      <c r="P195" s="81">
        <f ca="1">IFERROR(__xludf.DUMMYFUNCTION("""COMPUTED_VALUE"""),84.2)</f>
        <v>84.2</v>
      </c>
      <c r="Q195" s="81"/>
      <c r="R195" s="81">
        <f ca="1">IFERROR(__xludf.DUMMYFUNCTION("""COMPUTED_VALUE"""),75)</f>
        <v>75</v>
      </c>
      <c r="S195" s="81"/>
      <c r="T195" s="81"/>
      <c r="U195" s="82"/>
      <c r="V195" s="82"/>
      <c r="W195" s="83"/>
      <c r="X195" s="83"/>
      <c r="Y195" s="83"/>
    </row>
    <row r="196" spans="1:25" ht="13.8">
      <c r="A196" s="78" t="str">
        <f ca="1">IFERROR(__xludf.DUMMYFUNCTION("""COMPUTED_VALUE"""),"CH")</f>
        <v>CH</v>
      </c>
      <c r="B196" s="79" t="str">
        <f ca="1">IFERROR(__xludf.DUMMYFUNCTION("""COMPUTED_VALUE"""),"Raja Helou")</f>
        <v>Raja Helou</v>
      </c>
      <c r="C196" s="78">
        <f ca="1">IFERROR(__xludf.DUMMYFUNCTION("""COMPUTED_VALUE"""),12)</f>
        <v>12</v>
      </c>
      <c r="D196" s="78" t="str">
        <f ca="1">IFERROR(__xludf.DUMMYFUNCTION("""COMPUTED_VALUE"""),"B")</f>
        <v>B</v>
      </c>
      <c r="E196" s="80" t="str">
        <f ca="1">IFERROR(__xludf.DUMMYFUNCTION("""COMPUTED_VALUE"""),"J")</f>
        <v>J</v>
      </c>
      <c r="F196" s="80" t="str">
        <f ca="1">IFERROR(__xludf.DUMMYFUNCTION("""COMPUTED_VALUE"""),"I")</f>
        <v>I</v>
      </c>
      <c r="G196" s="80">
        <f ca="1">IFERROR(__xludf.DUMMYFUNCTION("""COMPUTED_VALUE"""),6)</f>
        <v>6</v>
      </c>
      <c r="H196" s="80" t="str">
        <f ca="1">IFERROR(__xludf.DUMMYFUNCTION("""COMPUTED_VALUE"""),"CH")</f>
        <v>CH</v>
      </c>
      <c r="I196" s="80">
        <f ca="1">IFERROR(__xludf.DUMMYFUNCTION("""COMPUTED_VALUE"""),5)</f>
        <v>5</v>
      </c>
      <c r="J196" s="81">
        <f ca="1">IFERROR(__xludf.DUMMYFUNCTION("""COMPUTED_VALUE"""),0)</f>
        <v>0</v>
      </c>
      <c r="K196" s="81">
        <f ca="1">IFERROR(__xludf.DUMMYFUNCTION("""COMPUTED_VALUE"""),0)</f>
        <v>0</v>
      </c>
      <c r="L196" s="81">
        <f ca="1">IFERROR(__xludf.DUMMYFUNCTION("""COMPUTED_VALUE"""),0)</f>
        <v>0</v>
      </c>
      <c r="M196" s="81"/>
      <c r="N196" s="81">
        <f ca="1">IFERROR(__xludf.DUMMYFUNCTION("""COMPUTED_VALUE"""),0)</f>
        <v>0</v>
      </c>
      <c r="O196" s="81"/>
      <c r="P196" s="81">
        <f ca="1">IFERROR(__xludf.DUMMYFUNCTION("""COMPUTED_VALUE"""),0)</f>
        <v>0</v>
      </c>
      <c r="Q196" s="81"/>
      <c r="R196" s="81">
        <f ca="1">IFERROR(__xludf.DUMMYFUNCTION("""COMPUTED_VALUE"""),0)</f>
        <v>0</v>
      </c>
      <c r="S196" s="81"/>
      <c r="T196" s="81"/>
      <c r="U196" s="82"/>
      <c r="V196" s="82"/>
      <c r="W196" s="83"/>
      <c r="X196" s="83"/>
      <c r="Y196" s="83"/>
    </row>
    <row r="197" spans="1:25" ht="13.8">
      <c r="A197" s="78" t="str">
        <f ca="1">IFERROR(__xludf.DUMMYFUNCTION("""COMPUTED_VALUE"""),"CH")</f>
        <v>CH</v>
      </c>
      <c r="B197" s="79" t="str">
        <f ca="1">IFERROR(__xludf.DUMMYFUNCTION("""COMPUTED_VALUE"""),"Zach Herr")</f>
        <v>Zach Herr</v>
      </c>
      <c r="C197" s="78">
        <f ca="1">IFERROR(__xludf.DUMMYFUNCTION("""COMPUTED_VALUE"""),12)</f>
        <v>12</v>
      </c>
      <c r="D197" s="78" t="str">
        <f ca="1">IFERROR(__xludf.DUMMYFUNCTION("""COMPUTED_VALUE"""),"B")</f>
        <v>B</v>
      </c>
      <c r="E197" s="80" t="str">
        <f ca="1">IFERROR(__xludf.DUMMYFUNCTION("""COMPUTED_VALUE"""),"J")</f>
        <v>J</v>
      </c>
      <c r="F197" s="80" t="str">
        <f ca="1">IFERROR(__xludf.DUMMYFUNCTION("""COMPUTED_VALUE"""),"I")</f>
        <v>I</v>
      </c>
      <c r="G197" s="80">
        <f ca="1">IFERROR(__xludf.DUMMYFUNCTION("""COMPUTED_VALUE"""),6)</f>
        <v>6</v>
      </c>
      <c r="H197" s="80" t="str">
        <f ca="1">IFERROR(__xludf.DUMMYFUNCTION("""COMPUTED_VALUE"""),"CH")</f>
        <v>CH</v>
      </c>
      <c r="I197" s="80">
        <f ca="1">IFERROR(__xludf.DUMMYFUNCTION("""COMPUTED_VALUE"""),5)</f>
        <v>5</v>
      </c>
      <c r="J197" s="81">
        <f ca="1">IFERROR(__xludf.DUMMYFUNCTION("""COMPUTED_VALUE"""),0)</f>
        <v>0</v>
      </c>
      <c r="K197" s="81">
        <f ca="1">IFERROR(__xludf.DUMMYFUNCTION("""COMPUTED_VALUE"""),0)</f>
        <v>0</v>
      </c>
      <c r="L197" s="81">
        <f ca="1">IFERROR(__xludf.DUMMYFUNCTION("""COMPUTED_VALUE"""),0)</f>
        <v>0</v>
      </c>
      <c r="M197" s="81"/>
      <c r="N197" s="81">
        <f ca="1">IFERROR(__xludf.DUMMYFUNCTION("""COMPUTED_VALUE"""),0)</f>
        <v>0</v>
      </c>
      <c r="O197" s="81"/>
      <c r="P197" s="81">
        <f ca="1">IFERROR(__xludf.DUMMYFUNCTION("""COMPUTED_VALUE"""),0)</f>
        <v>0</v>
      </c>
      <c r="Q197" s="81"/>
      <c r="R197" s="81">
        <f ca="1">IFERROR(__xludf.DUMMYFUNCTION("""COMPUTED_VALUE"""),0)</f>
        <v>0</v>
      </c>
      <c r="S197" s="81"/>
      <c r="T197" s="81"/>
      <c r="U197" s="82"/>
      <c r="V197" s="82"/>
      <c r="W197" s="83"/>
      <c r="X197" s="83"/>
      <c r="Y197" s="83"/>
    </row>
    <row r="198" spans="1:25" ht="13.8">
      <c r="A198" s="78" t="str">
        <f ca="1">IFERROR(__xludf.DUMMYFUNCTION("""COMPUTED_VALUE"""),"CH")</f>
        <v>CH</v>
      </c>
      <c r="B198" s="79" t="str">
        <f ca="1">IFERROR(__xludf.DUMMYFUNCTION("""COMPUTED_VALUE"""),"Jayden Naughton")</f>
        <v>Jayden Naughton</v>
      </c>
      <c r="C198" s="78">
        <f ca="1">IFERROR(__xludf.DUMMYFUNCTION("""COMPUTED_VALUE"""),11)</f>
        <v>11</v>
      </c>
      <c r="D198" s="78" t="str">
        <f ca="1">IFERROR(__xludf.DUMMYFUNCTION("""COMPUTED_VALUE"""),"B")</f>
        <v>B</v>
      </c>
      <c r="E198" s="80" t="str">
        <f ca="1">IFERROR(__xludf.DUMMYFUNCTION("""COMPUTED_VALUE"""),"J")</f>
        <v>J</v>
      </c>
      <c r="F198" s="80" t="str">
        <f ca="1">IFERROR(__xludf.DUMMYFUNCTION("""COMPUTED_VALUE"""),"I")</f>
        <v>I</v>
      </c>
      <c r="G198" s="80">
        <f ca="1">IFERROR(__xludf.DUMMYFUNCTION("""COMPUTED_VALUE"""),6)</f>
        <v>6</v>
      </c>
      <c r="H198" s="80" t="str">
        <f ca="1">IFERROR(__xludf.DUMMYFUNCTION("""COMPUTED_VALUE"""),"CH")</f>
        <v>CH</v>
      </c>
      <c r="I198" s="80">
        <f ca="1">IFERROR(__xludf.DUMMYFUNCTION("""COMPUTED_VALUE"""),5)</f>
        <v>5</v>
      </c>
      <c r="J198" s="81">
        <f ca="1">IFERROR(__xludf.DUMMYFUNCTION("""COMPUTED_VALUE"""),0)</f>
        <v>0</v>
      </c>
      <c r="K198" s="81">
        <f ca="1">IFERROR(__xludf.DUMMYFUNCTION("""COMPUTED_VALUE"""),0)</f>
        <v>0</v>
      </c>
      <c r="L198" s="81">
        <f ca="1">IFERROR(__xludf.DUMMYFUNCTION("""COMPUTED_VALUE"""),0)</f>
        <v>0</v>
      </c>
      <c r="M198" s="81"/>
      <c r="N198" s="81">
        <f ca="1">IFERROR(__xludf.DUMMYFUNCTION("""COMPUTED_VALUE"""),0)</f>
        <v>0</v>
      </c>
      <c r="O198" s="81"/>
      <c r="P198" s="81">
        <f ca="1">IFERROR(__xludf.DUMMYFUNCTION("""COMPUTED_VALUE"""),0)</f>
        <v>0</v>
      </c>
      <c r="Q198" s="81"/>
      <c r="R198" s="81">
        <f ca="1">IFERROR(__xludf.DUMMYFUNCTION("""COMPUTED_VALUE"""),0)</f>
        <v>0</v>
      </c>
      <c r="S198" s="81"/>
      <c r="T198" s="81"/>
      <c r="U198" s="82"/>
      <c r="V198" s="82"/>
      <c r="W198" s="83"/>
      <c r="X198" s="83"/>
      <c r="Y198" s="83"/>
    </row>
    <row r="199" spans="1:25" ht="13.8">
      <c r="A199" s="78" t="str">
        <f ca="1">IFERROR(__xludf.DUMMYFUNCTION("""COMPUTED_VALUE"""),"CH")</f>
        <v>CH</v>
      </c>
      <c r="B199" s="79" t="str">
        <f ca="1">IFERROR(__xludf.DUMMYFUNCTION("""COMPUTED_VALUE"""),"Josh Nguyen")</f>
        <v>Josh Nguyen</v>
      </c>
      <c r="C199" s="78">
        <f ca="1">IFERROR(__xludf.DUMMYFUNCTION("""COMPUTED_VALUE"""),11)</f>
        <v>11</v>
      </c>
      <c r="D199" s="78" t="str">
        <f ca="1">IFERROR(__xludf.DUMMYFUNCTION("""COMPUTED_VALUE"""),"B")</f>
        <v>B</v>
      </c>
      <c r="E199" s="80" t="str">
        <f ca="1">IFERROR(__xludf.DUMMYFUNCTION("""COMPUTED_VALUE"""),"J")</f>
        <v>J</v>
      </c>
      <c r="F199" s="80" t="str">
        <f ca="1">IFERROR(__xludf.DUMMYFUNCTION("""COMPUTED_VALUE"""),"I")</f>
        <v>I</v>
      </c>
      <c r="G199" s="80">
        <f ca="1">IFERROR(__xludf.DUMMYFUNCTION("""COMPUTED_VALUE"""),6)</f>
        <v>6</v>
      </c>
      <c r="H199" s="80" t="str">
        <f ca="1">IFERROR(__xludf.DUMMYFUNCTION("""COMPUTED_VALUE"""),"CH")</f>
        <v>CH</v>
      </c>
      <c r="I199" s="80">
        <f ca="1">IFERROR(__xludf.DUMMYFUNCTION("""COMPUTED_VALUE"""),5)</f>
        <v>5</v>
      </c>
      <c r="J199" s="81">
        <f ca="1">IFERROR(__xludf.DUMMYFUNCTION("""COMPUTED_VALUE"""),0)</f>
        <v>0</v>
      </c>
      <c r="K199" s="81">
        <f ca="1">IFERROR(__xludf.DUMMYFUNCTION("""COMPUTED_VALUE"""),0)</f>
        <v>0</v>
      </c>
      <c r="L199" s="81">
        <f ca="1">IFERROR(__xludf.DUMMYFUNCTION("""COMPUTED_VALUE"""),0)</f>
        <v>0</v>
      </c>
      <c r="M199" s="81"/>
      <c r="N199" s="81">
        <f ca="1">IFERROR(__xludf.DUMMYFUNCTION("""COMPUTED_VALUE"""),0)</f>
        <v>0</v>
      </c>
      <c r="O199" s="81"/>
      <c r="P199" s="81">
        <f ca="1">IFERROR(__xludf.DUMMYFUNCTION("""COMPUTED_VALUE"""),0)</f>
        <v>0</v>
      </c>
      <c r="Q199" s="81"/>
      <c r="R199" s="81">
        <f ca="1">IFERROR(__xludf.DUMMYFUNCTION("""COMPUTED_VALUE"""),0)</f>
        <v>0</v>
      </c>
      <c r="S199" s="81"/>
      <c r="T199" s="81"/>
      <c r="U199" s="82"/>
      <c r="V199" s="82"/>
      <c r="W199" s="83"/>
      <c r="X199" s="83"/>
      <c r="Y199" s="83"/>
    </row>
    <row r="200" spans="1:25" ht="13.8">
      <c r="A200" s="78" t="str">
        <f ca="1">IFERROR(__xludf.DUMMYFUNCTION("""COMPUTED_VALUE"""),"CH")</f>
        <v>CH</v>
      </c>
      <c r="B200" s="79" t="str">
        <f ca="1">IFERROR(__xludf.DUMMYFUNCTION("""COMPUTED_VALUE"""),"Chase Pointkowski")</f>
        <v>Chase Pointkowski</v>
      </c>
      <c r="C200" s="78">
        <f ca="1">IFERROR(__xludf.DUMMYFUNCTION("""COMPUTED_VALUE"""),12)</f>
        <v>12</v>
      </c>
      <c r="D200" s="78" t="str">
        <f ca="1">IFERROR(__xludf.DUMMYFUNCTION("""COMPUTED_VALUE"""),"B")</f>
        <v>B</v>
      </c>
      <c r="E200" s="80" t="str">
        <f ca="1">IFERROR(__xludf.DUMMYFUNCTION("""COMPUTED_VALUE"""),"J")</f>
        <v>J</v>
      </c>
      <c r="F200" s="80" t="str">
        <f ca="1">IFERROR(__xludf.DUMMYFUNCTION("""COMPUTED_VALUE"""),"I")</f>
        <v>I</v>
      </c>
      <c r="G200" s="80">
        <f ca="1">IFERROR(__xludf.DUMMYFUNCTION("""COMPUTED_VALUE"""),6)</f>
        <v>6</v>
      </c>
      <c r="H200" s="80" t="str">
        <f ca="1">IFERROR(__xludf.DUMMYFUNCTION("""COMPUTED_VALUE"""),"CH")</f>
        <v>CH</v>
      </c>
      <c r="I200" s="80">
        <f ca="1">IFERROR(__xludf.DUMMYFUNCTION("""COMPUTED_VALUE"""),5)</f>
        <v>5</v>
      </c>
      <c r="J200" s="81">
        <f ca="1">IFERROR(__xludf.DUMMYFUNCTION("""COMPUTED_VALUE"""),5)</f>
        <v>5</v>
      </c>
      <c r="K200" s="81">
        <f ca="1">IFERROR(__xludf.DUMMYFUNCTION("""COMPUTED_VALUE"""),91.1)</f>
        <v>91.1</v>
      </c>
      <c r="L200" s="81">
        <f ca="1">IFERROR(__xludf.DUMMYFUNCTION("""COMPUTED_VALUE"""),79.85)</f>
        <v>79.849999999999994</v>
      </c>
      <c r="M200" s="81"/>
      <c r="N200" s="81">
        <f ca="1">IFERROR(__xludf.DUMMYFUNCTION("""COMPUTED_VALUE"""),91.1)</f>
        <v>91.1</v>
      </c>
      <c r="O200" s="81"/>
      <c r="P200" s="81">
        <f ca="1">IFERROR(__xludf.DUMMYFUNCTION("""COMPUTED_VALUE"""),85.15)</f>
        <v>85.15</v>
      </c>
      <c r="Q200" s="81"/>
      <c r="R200" s="81">
        <f ca="1">IFERROR(__xludf.DUMMYFUNCTION("""COMPUTED_VALUE"""),75.3)</f>
        <v>75.3</v>
      </c>
      <c r="S200" s="81"/>
      <c r="T200" s="81"/>
      <c r="U200" s="82"/>
      <c r="V200" s="82"/>
      <c r="W200" s="83"/>
      <c r="X200" s="83"/>
      <c r="Y200" s="83"/>
    </row>
    <row r="201" spans="1:25" ht="13.8">
      <c r="A201" s="78" t="str">
        <f ca="1">IFERROR(__xludf.DUMMYFUNCTION("""COMPUTED_VALUE"""),"CH")</f>
        <v>CH</v>
      </c>
      <c r="B201" s="79" t="str">
        <f ca="1">IFERROR(__xludf.DUMMYFUNCTION("""COMPUTED_VALUE"""),"Emmy Butler")</f>
        <v>Emmy Butler</v>
      </c>
      <c r="C201" s="78">
        <f ca="1">IFERROR(__xludf.DUMMYFUNCTION("""COMPUTED_VALUE"""),14)</f>
        <v>14</v>
      </c>
      <c r="D201" s="78" t="str">
        <f ca="1">IFERROR(__xludf.DUMMYFUNCTION("""COMPUTED_VALUE"""),"G")</f>
        <v>G</v>
      </c>
      <c r="E201" s="80" t="str">
        <f ca="1">IFERROR(__xludf.DUMMYFUNCTION("""COMPUTED_VALUE"""),"I")</f>
        <v>I</v>
      </c>
      <c r="F201" s="80" t="str">
        <f ca="1">IFERROR(__xludf.DUMMYFUNCTION("""COMPUTED_VALUE"""),"S")</f>
        <v>S</v>
      </c>
      <c r="G201" s="80">
        <f ca="1">IFERROR(__xludf.DUMMYFUNCTION("""COMPUTED_VALUE"""),6)</f>
        <v>6</v>
      </c>
      <c r="H201" s="80" t="str">
        <f ca="1">IFERROR(__xludf.DUMMYFUNCTION("""COMPUTED_VALUE"""),"CH")</f>
        <v>CH</v>
      </c>
      <c r="I201" s="80">
        <f ca="1">IFERROR(__xludf.DUMMYFUNCTION("""COMPUTED_VALUE"""),6)</f>
        <v>6</v>
      </c>
      <c r="J201" s="81">
        <f ca="1">IFERROR(__xludf.DUMMYFUNCTION("""COMPUTED_VALUE"""),0)</f>
        <v>0</v>
      </c>
      <c r="K201" s="81">
        <f ca="1">IFERROR(__xludf.DUMMYFUNCTION("""COMPUTED_VALUE"""),0)</f>
        <v>0</v>
      </c>
      <c r="L201" s="81">
        <f ca="1">IFERROR(__xludf.DUMMYFUNCTION("""COMPUTED_VALUE"""),0)</f>
        <v>0</v>
      </c>
      <c r="M201" s="81"/>
      <c r="N201" s="81">
        <f ca="1">IFERROR(__xludf.DUMMYFUNCTION("""COMPUTED_VALUE"""),0)</f>
        <v>0</v>
      </c>
      <c r="O201" s="81"/>
      <c r="P201" s="81">
        <f ca="1">IFERROR(__xludf.DUMMYFUNCTION("""COMPUTED_VALUE"""),0)</f>
        <v>0</v>
      </c>
      <c r="Q201" s="81"/>
      <c r="R201" s="81">
        <f ca="1">IFERROR(__xludf.DUMMYFUNCTION("""COMPUTED_VALUE"""),0)</f>
        <v>0</v>
      </c>
      <c r="S201" s="81"/>
      <c r="T201" s="81"/>
      <c r="U201" s="82"/>
      <c r="V201" s="82"/>
      <c r="W201" s="83"/>
      <c r="X201" s="83"/>
      <c r="Y201" s="83"/>
    </row>
    <row r="202" spans="1:25" ht="13.8">
      <c r="A202" s="78" t="str">
        <f ca="1">IFERROR(__xludf.DUMMYFUNCTION("""COMPUTED_VALUE"""),"CH")</f>
        <v>CH</v>
      </c>
      <c r="B202" s="79" t="str">
        <f ca="1">IFERROR(__xludf.DUMMYFUNCTION("""COMPUTED_VALUE"""),"Claire Casto")</f>
        <v>Claire Casto</v>
      </c>
      <c r="C202" s="78">
        <f ca="1">IFERROR(__xludf.DUMMYFUNCTION("""COMPUTED_VALUE"""),13)</f>
        <v>13</v>
      </c>
      <c r="D202" s="78" t="str">
        <f ca="1">IFERROR(__xludf.DUMMYFUNCTION("""COMPUTED_VALUE"""),"G")</f>
        <v>G</v>
      </c>
      <c r="E202" s="80" t="str">
        <f ca="1">IFERROR(__xludf.DUMMYFUNCTION("""COMPUTED_VALUE"""),"I")</f>
        <v>I</v>
      </c>
      <c r="F202" s="80" t="str">
        <f ca="1">IFERROR(__xludf.DUMMYFUNCTION("""COMPUTED_VALUE"""),"S")</f>
        <v>S</v>
      </c>
      <c r="G202" s="80">
        <f ca="1">IFERROR(__xludf.DUMMYFUNCTION("""COMPUTED_VALUE"""),6)</f>
        <v>6</v>
      </c>
      <c r="H202" s="80" t="str">
        <f ca="1">IFERROR(__xludf.DUMMYFUNCTION("""COMPUTED_VALUE"""),"CH")</f>
        <v>CH</v>
      </c>
      <c r="I202" s="80">
        <f ca="1">IFERROR(__xludf.DUMMYFUNCTION("""COMPUTED_VALUE"""),6)</f>
        <v>6</v>
      </c>
      <c r="J202" s="81">
        <f ca="1">IFERROR(__xludf.DUMMYFUNCTION("""COMPUTED_VALUE"""),0)</f>
        <v>0</v>
      </c>
      <c r="K202" s="81">
        <f ca="1">IFERROR(__xludf.DUMMYFUNCTION("""COMPUTED_VALUE"""),0)</f>
        <v>0</v>
      </c>
      <c r="L202" s="81">
        <f ca="1">IFERROR(__xludf.DUMMYFUNCTION("""COMPUTED_VALUE"""),0)</f>
        <v>0</v>
      </c>
      <c r="M202" s="81"/>
      <c r="N202" s="81">
        <f ca="1">IFERROR(__xludf.DUMMYFUNCTION("""COMPUTED_VALUE"""),0)</f>
        <v>0</v>
      </c>
      <c r="O202" s="81"/>
      <c r="P202" s="81">
        <f ca="1">IFERROR(__xludf.DUMMYFUNCTION("""COMPUTED_VALUE"""),0)</f>
        <v>0</v>
      </c>
      <c r="Q202" s="81"/>
      <c r="R202" s="81">
        <f ca="1">IFERROR(__xludf.DUMMYFUNCTION("""COMPUTED_VALUE"""),0)</f>
        <v>0</v>
      </c>
      <c r="S202" s="81"/>
      <c r="T202" s="81"/>
      <c r="U202" s="82"/>
      <c r="V202" s="82"/>
      <c r="W202" s="83"/>
      <c r="X202" s="83"/>
      <c r="Y202" s="83"/>
    </row>
    <row r="203" spans="1:25" ht="13.8">
      <c r="A203" s="78" t="str">
        <f ca="1">IFERROR(__xludf.DUMMYFUNCTION("""COMPUTED_VALUE"""),"CH")</f>
        <v>CH</v>
      </c>
      <c r="B203" s="79" t="str">
        <f ca="1">IFERROR(__xludf.DUMMYFUNCTION("""COMPUTED_VALUE"""),"Isabel Elliot Ortega")</f>
        <v>Isabel Elliot Ortega</v>
      </c>
      <c r="C203" s="78">
        <f ca="1">IFERROR(__xludf.DUMMYFUNCTION("""COMPUTED_VALUE"""),14)</f>
        <v>14</v>
      </c>
      <c r="D203" s="78" t="str">
        <f ca="1">IFERROR(__xludf.DUMMYFUNCTION("""COMPUTED_VALUE"""),"G")</f>
        <v>G</v>
      </c>
      <c r="E203" s="80" t="str">
        <f ca="1">IFERROR(__xludf.DUMMYFUNCTION("""COMPUTED_VALUE"""),"I")</f>
        <v>I</v>
      </c>
      <c r="F203" s="80" t="str">
        <f ca="1">IFERROR(__xludf.DUMMYFUNCTION("""COMPUTED_VALUE"""),"S")</f>
        <v>S</v>
      </c>
      <c r="G203" s="80">
        <f ca="1">IFERROR(__xludf.DUMMYFUNCTION("""COMPUTED_VALUE"""),6)</f>
        <v>6</v>
      </c>
      <c r="H203" s="80" t="str">
        <f ca="1">IFERROR(__xludf.DUMMYFUNCTION("""COMPUTED_VALUE"""),"CH")</f>
        <v>CH</v>
      </c>
      <c r="I203" s="80">
        <f ca="1">IFERROR(__xludf.DUMMYFUNCTION("""COMPUTED_VALUE"""),6)</f>
        <v>6</v>
      </c>
      <c r="J203" s="81">
        <f ca="1">IFERROR(__xludf.DUMMYFUNCTION("""COMPUTED_VALUE"""),0)</f>
        <v>0</v>
      </c>
      <c r="K203" s="81">
        <f ca="1">IFERROR(__xludf.DUMMYFUNCTION("""COMPUTED_VALUE"""),0)</f>
        <v>0</v>
      </c>
      <c r="L203" s="81">
        <f ca="1">IFERROR(__xludf.DUMMYFUNCTION("""COMPUTED_VALUE"""),0)</f>
        <v>0</v>
      </c>
      <c r="M203" s="81"/>
      <c r="N203" s="81">
        <f ca="1">IFERROR(__xludf.DUMMYFUNCTION("""COMPUTED_VALUE"""),0)</f>
        <v>0</v>
      </c>
      <c r="O203" s="81"/>
      <c r="P203" s="81">
        <f ca="1">IFERROR(__xludf.DUMMYFUNCTION("""COMPUTED_VALUE"""),0)</f>
        <v>0</v>
      </c>
      <c r="Q203" s="81"/>
      <c r="R203" s="81">
        <f ca="1">IFERROR(__xludf.DUMMYFUNCTION("""COMPUTED_VALUE"""),0)</f>
        <v>0</v>
      </c>
      <c r="S203" s="81"/>
      <c r="T203" s="81"/>
      <c r="U203" s="82"/>
      <c r="V203" s="82"/>
      <c r="W203" s="83"/>
      <c r="X203" s="83"/>
      <c r="Y203" s="83"/>
    </row>
    <row r="204" spans="1:25" ht="13.8">
      <c r="A204" s="78" t="str">
        <f ca="1">IFERROR(__xludf.DUMMYFUNCTION("""COMPUTED_VALUE"""),"CH")</f>
        <v>CH</v>
      </c>
      <c r="B204" s="79" t="str">
        <f ca="1">IFERROR(__xludf.DUMMYFUNCTION("""COMPUTED_VALUE"""),"Miranda Elliot Ortega")</f>
        <v>Miranda Elliot Ortega</v>
      </c>
      <c r="C204" s="78">
        <f ca="1">IFERROR(__xludf.DUMMYFUNCTION("""COMPUTED_VALUE"""),14)</f>
        <v>14</v>
      </c>
      <c r="D204" s="78" t="str">
        <f ca="1">IFERROR(__xludf.DUMMYFUNCTION("""COMPUTED_VALUE"""),"G")</f>
        <v>G</v>
      </c>
      <c r="E204" s="80" t="str">
        <f ca="1">IFERROR(__xludf.DUMMYFUNCTION("""COMPUTED_VALUE"""),"I")</f>
        <v>I</v>
      </c>
      <c r="F204" s="80" t="str">
        <f ca="1">IFERROR(__xludf.DUMMYFUNCTION("""COMPUTED_VALUE"""),"S")</f>
        <v>S</v>
      </c>
      <c r="G204" s="80">
        <f ca="1">IFERROR(__xludf.DUMMYFUNCTION("""COMPUTED_VALUE"""),6)</f>
        <v>6</v>
      </c>
      <c r="H204" s="80" t="str">
        <f ca="1">IFERROR(__xludf.DUMMYFUNCTION("""COMPUTED_VALUE"""),"CH")</f>
        <v>CH</v>
      </c>
      <c r="I204" s="80">
        <f ca="1">IFERROR(__xludf.DUMMYFUNCTION("""COMPUTED_VALUE"""),6)</f>
        <v>6</v>
      </c>
      <c r="J204" s="81">
        <f ca="1">IFERROR(__xludf.DUMMYFUNCTION("""COMPUTED_VALUE"""),1)</f>
        <v>1</v>
      </c>
      <c r="K204" s="81">
        <f ca="1">IFERROR(__xludf.DUMMYFUNCTION("""COMPUTED_VALUE"""),0)</f>
        <v>0</v>
      </c>
      <c r="L204" s="81">
        <f ca="1">IFERROR(__xludf.DUMMYFUNCTION("""COMPUTED_VALUE"""),0)</f>
        <v>0</v>
      </c>
      <c r="M204" s="81"/>
      <c r="N204" s="81">
        <f ca="1">IFERROR(__xludf.DUMMYFUNCTION("""COMPUTED_VALUE"""),0)</f>
        <v>0</v>
      </c>
      <c r="O204" s="81"/>
      <c r="P204" s="81">
        <f ca="1">IFERROR(__xludf.DUMMYFUNCTION("""COMPUTED_VALUE"""),0)</f>
        <v>0</v>
      </c>
      <c r="Q204" s="81"/>
      <c r="R204" s="81">
        <f ca="1">IFERROR(__xludf.DUMMYFUNCTION("""COMPUTED_VALUE"""),0)</f>
        <v>0</v>
      </c>
      <c r="S204" s="81"/>
      <c r="T204" s="81"/>
      <c r="U204" s="82"/>
      <c r="V204" s="82"/>
      <c r="W204" s="83"/>
      <c r="X204" s="83"/>
      <c r="Y204" s="83"/>
    </row>
    <row r="205" spans="1:25" ht="13.8">
      <c r="A205" s="78" t="str">
        <f ca="1">IFERROR(__xludf.DUMMYFUNCTION("""COMPUTED_VALUE"""),"CH")</f>
        <v>CH</v>
      </c>
      <c r="B205" s="79" t="str">
        <f ca="1">IFERROR(__xludf.DUMMYFUNCTION("""COMPUTED_VALUE"""),"Carly Engelhardt")</f>
        <v>Carly Engelhardt</v>
      </c>
      <c r="C205" s="78">
        <f ca="1">IFERROR(__xludf.DUMMYFUNCTION("""COMPUTED_VALUE"""),13)</f>
        <v>13</v>
      </c>
      <c r="D205" s="78" t="str">
        <f ca="1">IFERROR(__xludf.DUMMYFUNCTION("""COMPUTED_VALUE"""),"G")</f>
        <v>G</v>
      </c>
      <c r="E205" s="80" t="str">
        <f ca="1">IFERROR(__xludf.DUMMYFUNCTION("""COMPUTED_VALUE"""),"I")</f>
        <v>I</v>
      </c>
      <c r="F205" s="80" t="str">
        <f ca="1">IFERROR(__xludf.DUMMYFUNCTION("""COMPUTED_VALUE"""),"S")</f>
        <v>S</v>
      </c>
      <c r="G205" s="80">
        <f ca="1">IFERROR(__xludf.DUMMYFUNCTION("""COMPUTED_VALUE"""),6)</f>
        <v>6</v>
      </c>
      <c r="H205" s="80" t="str">
        <f ca="1">IFERROR(__xludf.DUMMYFUNCTION("""COMPUTED_VALUE"""),"CH")</f>
        <v>CH</v>
      </c>
      <c r="I205" s="80">
        <f ca="1">IFERROR(__xludf.DUMMYFUNCTION("""COMPUTED_VALUE"""),6)</f>
        <v>6</v>
      </c>
      <c r="J205" s="81">
        <f ca="1">IFERROR(__xludf.DUMMYFUNCTION("""COMPUTED_VALUE"""),0)</f>
        <v>0</v>
      </c>
      <c r="K205" s="81">
        <f ca="1">IFERROR(__xludf.DUMMYFUNCTION("""COMPUTED_VALUE"""),0)</f>
        <v>0</v>
      </c>
      <c r="L205" s="81">
        <f ca="1">IFERROR(__xludf.DUMMYFUNCTION("""COMPUTED_VALUE"""),0)</f>
        <v>0</v>
      </c>
      <c r="M205" s="81"/>
      <c r="N205" s="81">
        <f ca="1">IFERROR(__xludf.DUMMYFUNCTION("""COMPUTED_VALUE"""),0)</f>
        <v>0</v>
      </c>
      <c r="O205" s="81"/>
      <c r="P205" s="81">
        <f ca="1">IFERROR(__xludf.DUMMYFUNCTION("""COMPUTED_VALUE"""),0)</f>
        <v>0</v>
      </c>
      <c r="Q205" s="81"/>
      <c r="R205" s="81">
        <f ca="1">IFERROR(__xludf.DUMMYFUNCTION("""COMPUTED_VALUE"""),0)</f>
        <v>0</v>
      </c>
      <c r="S205" s="81"/>
      <c r="T205" s="81"/>
      <c r="U205" s="82"/>
      <c r="V205" s="82"/>
      <c r="W205" s="83"/>
      <c r="X205" s="83"/>
      <c r="Y205" s="83"/>
    </row>
    <row r="206" spans="1:25" ht="13.8">
      <c r="A206" s="78" t="str">
        <f ca="1">IFERROR(__xludf.DUMMYFUNCTION("""COMPUTED_VALUE"""),"CH")</f>
        <v>CH</v>
      </c>
      <c r="B206" s="79" t="str">
        <f ca="1">IFERROR(__xludf.DUMMYFUNCTION("""COMPUTED_VALUE"""),"Jane Ferrara")</f>
        <v>Jane Ferrara</v>
      </c>
      <c r="C206" s="78">
        <f ca="1">IFERROR(__xludf.DUMMYFUNCTION("""COMPUTED_VALUE"""),14)</f>
        <v>14</v>
      </c>
      <c r="D206" s="78" t="str">
        <f ca="1">IFERROR(__xludf.DUMMYFUNCTION("""COMPUTED_VALUE"""),"G")</f>
        <v>G</v>
      </c>
      <c r="E206" s="80" t="str">
        <f ca="1">IFERROR(__xludf.DUMMYFUNCTION("""COMPUTED_VALUE"""),"I")</f>
        <v>I</v>
      </c>
      <c r="F206" s="80" t="str">
        <f ca="1">IFERROR(__xludf.DUMMYFUNCTION("""COMPUTED_VALUE"""),"S")</f>
        <v>S</v>
      </c>
      <c r="G206" s="80">
        <f ca="1">IFERROR(__xludf.DUMMYFUNCTION("""COMPUTED_VALUE"""),6)</f>
        <v>6</v>
      </c>
      <c r="H206" s="80" t="str">
        <f ca="1">IFERROR(__xludf.DUMMYFUNCTION("""COMPUTED_VALUE"""),"CH")</f>
        <v>CH</v>
      </c>
      <c r="I206" s="80">
        <f ca="1">IFERROR(__xludf.DUMMYFUNCTION("""COMPUTED_VALUE"""),6)</f>
        <v>6</v>
      </c>
      <c r="J206" s="81">
        <f ca="1">IFERROR(__xludf.DUMMYFUNCTION("""COMPUTED_VALUE"""),0)</f>
        <v>0</v>
      </c>
      <c r="K206" s="81">
        <f ca="1">IFERROR(__xludf.DUMMYFUNCTION("""COMPUTED_VALUE"""),0)</f>
        <v>0</v>
      </c>
      <c r="L206" s="81">
        <f ca="1">IFERROR(__xludf.DUMMYFUNCTION("""COMPUTED_VALUE"""),0)</f>
        <v>0</v>
      </c>
      <c r="M206" s="81"/>
      <c r="N206" s="81">
        <f ca="1">IFERROR(__xludf.DUMMYFUNCTION("""COMPUTED_VALUE"""),0)</f>
        <v>0</v>
      </c>
      <c r="O206" s="81"/>
      <c r="P206" s="81">
        <f ca="1">IFERROR(__xludf.DUMMYFUNCTION("""COMPUTED_VALUE"""),0)</f>
        <v>0</v>
      </c>
      <c r="Q206" s="81"/>
      <c r="R206" s="81">
        <f ca="1">IFERROR(__xludf.DUMMYFUNCTION("""COMPUTED_VALUE"""),0)</f>
        <v>0</v>
      </c>
      <c r="S206" s="81"/>
      <c r="T206" s="81"/>
      <c r="U206" s="82"/>
      <c r="V206" s="82"/>
      <c r="W206" s="83"/>
      <c r="X206" s="83"/>
      <c r="Y206" s="83"/>
    </row>
    <row r="207" spans="1:25" ht="13.8">
      <c r="A207" s="78" t="str">
        <f ca="1">IFERROR(__xludf.DUMMYFUNCTION("""COMPUTED_VALUE"""),"CH")</f>
        <v>CH</v>
      </c>
      <c r="B207" s="79" t="str">
        <f ca="1">IFERROR(__xludf.DUMMYFUNCTION("""COMPUTED_VALUE"""),"JJ Golley")</f>
        <v>JJ Golley</v>
      </c>
      <c r="C207" s="78">
        <f ca="1">IFERROR(__xludf.DUMMYFUNCTION("""COMPUTED_VALUE"""),13)</f>
        <v>13</v>
      </c>
      <c r="D207" s="78" t="str">
        <f ca="1">IFERROR(__xludf.DUMMYFUNCTION("""COMPUTED_VALUE"""),"G")</f>
        <v>G</v>
      </c>
      <c r="E207" s="80" t="str">
        <f ca="1">IFERROR(__xludf.DUMMYFUNCTION("""COMPUTED_VALUE"""),"I")</f>
        <v>I</v>
      </c>
      <c r="F207" s="80" t="str">
        <f ca="1">IFERROR(__xludf.DUMMYFUNCTION("""COMPUTED_VALUE"""),"S")</f>
        <v>S</v>
      </c>
      <c r="G207" s="80">
        <f ca="1">IFERROR(__xludf.DUMMYFUNCTION("""COMPUTED_VALUE"""),6)</f>
        <v>6</v>
      </c>
      <c r="H207" s="80" t="str">
        <f ca="1">IFERROR(__xludf.DUMMYFUNCTION("""COMPUTED_VALUE"""),"CH")</f>
        <v>CH</v>
      </c>
      <c r="I207" s="80">
        <f ca="1">IFERROR(__xludf.DUMMYFUNCTION("""COMPUTED_VALUE"""),6)</f>
        <v>6</v>
      </c>
      <c r="J207" s="81">
        <f ca="1">IFERROR(__xludf.DUMMYFUNCTION("""COMPUTED_VALUE"""),0)</f>
        <v>0</v>
      </c>
      <c r="K207" s="81">
        <f ca="1">IFERROR(__xludf.DUMMYFUNCTION("""COMPUTED_VALUE"""),0)</f>
        <v>0</v>
      </c>
      <c r="L207" s="81">
        <f ca="1">IFERROR(__xludf.DUMMYFUNCTION("""COMPUTED_VALUE"""),0)</f>
        <v>0</v>
      </c>
      <c r="M207" s="81"/>
      <c r="N207" s="81">
        <f ca="1">IFERROR(__xludf.DUMMYFUNCTION("""COMPUTED_VALUE"""),0)</f>
        <v>0</v>
      </c>
      <c r="O207" s="81"/>
      <c r="P207" s="81">
        <f ca="1">IFERROR(__xludf.DUMMYFUNCTION("""COMPUTED_VALUE"""),0)</f>
        <v>0</v>
      </c>
      <c r="Q207" s="81"/>
      <c r="R207" s="81">
        <f ca="1">IFERROR(__xludf.DUMMYFUNCTION("""COMPUTED_VALUE"""),0)</f>
        <v>0</v>
      </c>
      <c r="S207" s="81"/>
      <c r="T207" s="81"/>
      <c r="U207" s="82"/>
      <c r="V207" s="82"/>
      <c r="W207" s="83"/>
      <c r="X207" s="83"/>
      <c r="Y207" s="83"/>
    </row>
    <row r="208" spans="1:25" ht="13.8">
      <c r="A208" s="78" t="str">
        <f ca="1">IFERROR(__xludf.DUMMYFUNCTION("""COMPUTED_VALUE"""),"CH")</f>
        <v>CH</v>
      </c>
      <c r="B208" s="79" t="str">
        <f ca="1">IFERROR(__xludf.DUMMYFUNCTION("""COMPUTED_VALUE"""),"Natalie Grim")</f>
        <v>Natalie Grim</v>
      </c>
      <c r="C208" s="78">
        <f ca="1">IFERROR(__xludf.DUMMYFUNCTION("""COMPUTED_VALUE"""),13)</f>
        <v>13</v>
      </c>
      <c r="D208" s="78" t="str">
        <f ca="1">IFERROR(__xludf.DUMMYFUNCTION("""COMPUTED_VALUE"""),"G")</f>
        <v>G</v>
      </c>
      <c r="E208" s="80" t="str">
        <f ca="1">IFERROR(__xludf.DUMMYFUNCTION("""COMPUTED_VALUE"""),"I")</f>
        <v>I</v>
      </c>
      <c r="F208" s="80" t="str">
        <f ca="1">IFERROR(__xludf.DUMMYFUNCTION("""COMPUTED_VALUE"""),"S")</f>
        <v>S</v>
      </c>
      <c r="G208" s="80">
        <f ca="1">IFERROR(__xludf.DUMMYFUNCTION("""COMPUTED_VALUE"""),6)</f>
        <v>6</v>
      </c>
      <c r="H208" s="80" t="str">
        <f ca="1">IFERROR(__xludf.DUMMYFUNCTION("""COMPUTED_VALUE"""),"CH")</f>
        <v>CH</v>
      </c>
      <c r="I208" s="80">
        <f ca="1">IFERROR(__xludf.DUMMYFUNCTION("""COMPUTED_VALUE"""),6)</f>
        <v>6</v>
      </c>
      <c r="J208" s="81">
        <f ca="1">IFERROR(__xludf.DUMMYFUNCTION("""COMPUTED_VALUE"""),0)</f>
        <v>0</v>
      </c>
      <c r="K208" s="81">
        <f ca="1">IFERROR(__xludf.DUMMYFUNCTION("""COMPUTED_VALUE"""),0)</f>
        <v>0</v>
      </c>
      <c r="L208" s="81">
        <f ca="1">IFERROR(__xludf.DUMMYFUNCTION("""COMPUTED_VALUE"""),0)</f>
        <v>0</v>
      </c>
      <c r="M208" s="81"/>
      <c r="N208" s="81">
        <f ca="1">IFERROR(__xludf.DUMMYFUNCTION("""COMPUTED_VALUE"""),0)</f>
        <v>0</v>
      </c>
      <c r="O208" s="81"/>
      <c r="P208" s="81">
        <f ca="1">IFERROR(__xludf.DUMMYFUNCTION("""COMPUTED_VALUE"""),0)</f>
        <v>0</v>
      </c>
      <c r="Q208" s="81"/>
      <c r="R208" s="81">
        <f ca="1">IFERROR(__xludf.DUMMYFUNCTION("""COMPUTED_VALUE"""),0)</f>
        <v>0</v>
      </c>
      <c r="S208" s="81"/>
      <c r="T208" s="81"/>
      <c r="U208" s="82"/>
      <c r="V208" s="82"/>
      <c r="W208" s="83"/>
      <c r="X208" s="83"/>
      <c r="Y208" s="83"/>
    </row>
    <row r="209" spans="1:25" ht="13.8">
      <c r="A209" s="78" t="str">
        <f ca="1">IFERROR(__xludf.DUMMYFUNCTION("""COMPUTED_VALUE"""),"CH")</f>
        <v>CH</v>
      </c>
      <c r="B209" s="79" t="str">
        <f ca="1">IFERROR(__xludf.DUMMYFUNCTION("""COMPUTED_VALUE"""),"Lilly Kate Groves")</f>
        <v>Lilly Kate Groves</v>
      </c>
      <c r="C209" s="78">
        <f ca="1">IFERROR(__xludf.DUMMYFUNCTION("""COMPUTED_VALUE"""),13)</f>
        <v>13</v>
      </c>
      <c r="D209" s="78" t="str">
        <f ca="1">IFERROR(__xludf.DUMMYFUNCTION("""COMPUTED_VALUE"""),"G")</f>
        <v>G</v>
      </c>
      <c r="E209" s="80" t="str">
        <f ca="1">IFERROR(__xludf.DUMMYFUNCTION("""COMPUTED_VALUE"""),"I")</f>
        <v>I</v>
      </c>
      <c r="F209" s="80" t="str">
        <f ca="1">IFERROR(__xludf.DUMMYFUNCTION("""COMPUTED_VALUE"""),"S")</f>
        <v>S</v>
      </c>
      <c r="G209" s="80">
        <f ca="1">IFERROR(__xludf.DUMMYFUNCTION("""COMPUTED_VALUE"""),6)</f>
        <v>6</v>
      </c>
      <c r="H209" s="80" t="str">
        <f ca="1">IFERROR(__xludf.DUMMYFUNCTION("""COMPUTED_VALUE"""),"CH")</f>
        <v>CH</v>
      </c>
      <c r="I209" s="80">
        <f ca="1">IFERROR(__xludf.DUMMYFUNCTION("""COMPUTED_VALUE"""),6)</f>
        <v>6</v>
      </c>
      <c r="J209" s="81">
        <f ca="1">IFERROR(__xludf.DUMMYFUNCTION("""COMPUTED_VALUE"""),1)</f>
        <v>1</v>
      </c>
      <c r="K209" s="81">
        <f ca="1">IFERROR(__xludf.DUMMYFUNCTION("""COMPUTED_VALUE"""),88.1)</f>
        <v>88.1</v>
      </c>
      <c r="L209" s="81">
        <f ca="1">IFERROR(__xludf.DUMMYFUNCTION("""COMPUTED_VALUE"""),88.1)</f>
        <v>88.1</v>
      </c>
      <c r="M209" s="81"/>
      <c r="N209" s="81">
        <f ca="1">IFERROR(__xludf.DUMMYFUNCTION("""COMPUTED_VALUE"""),0)</f>
        <v>0</v>
      </c>
      <c r="O209" s="81"/>
      <c r="P209" s="81">
        <f ca="1">IFERROR(__xludf.DUMMYFUNCTION("""COMPUTED_VALUE"""),0)</f>
        <v>0</v>
      </c>
      <c r="Q209" s="81"/>
      <c r="R209" s="81">
        <f ca="1">IFERROR(__xludf.DUMMYFUNCTION("""COMPUTED_VALUE"""),0)</f>
        <v>0</v>
      </c>
      <c r="S209" s="81"/>
      <c r="T209" s="81"/>
      <c r="U209" s="82"/>
      <c r="V209" s="82"/>
      <c r="W209" s="83"/>
      <c r="X209" s="83"/>
      <c r="Y209" s="83"/>
    </row>
    <row r="210" spans="1:25" ht="13.8">
      <c r="A210" s="78" t="str">
        <f ca="1">IFERROR(__xludf.DUMMYFUNCTION("""COMPUTED_VALUE"""),"CH")</f>
        <v>CH</v>
      </c>
      <c r="B210" s="79" t="str">
        <f ca="1">IFERROR(__xludf.DUMMYFUNCTION("""COMPUTED_VALUE"""),"Gabi Konde")</f>
        <v>Gabi Konde</v>
      </c>
      <c r="C210" s="78">
        <f ca="1">IFERROR(__xludf.DUMMYFUNCTION("""COMPUTED_VALUE"""),14)</f>
        <v>14</v>
      </c>
      <c r="D210" s="78" t="str">
        <f ca="1">IFERROR(__xludf.DUMMYFUNCTION("""COMPUTED_VALUE"""),"G")</f>
        <v>G</v>
      </c>
      <c r="E210" s="80" t="str">
        <f ca="1">IFERROR(__xludf.DUMMYFUNCTION("""COMPUTED_VALUE"""),"I")</f>
        <v>I</v>
      </c>
      <c r="F210" s="80" t="str">
        <f ca="1">IFERROR(__xludf.DUMMYFUNCTION("""COMPUTED_VALUE"""),"S")</f>
        <v>S</v>
      </c>
      <c r="G210" s="80">
        <f ca="1">IFERROR(__xludf.DUMMYFUNCTION("""COMPUTED_VALUE"""),6)</f>
        <v>6</v>
      </c>
      <c r="H210" s="80" t="str">
        <f ca="1">IFERROR(__xludf.DUMMYFUNCTION("""COMPUTED_VALUE"""),"CH")</f>
        <v>CH</v>
      </c>
      <c r="I210" s="80">
        <f ca="1">IFERROR(__xludf.DUMMYFUNCTION("""COMPUTED_VALUE"""),6)</f>
        <v>6</v>
      </c>
      <c r="J210" s="81">
        <f ca="1">IFERROR(__xludf.DUMMYFUNCTION("""COMPUTED_VALUE"""),5)</f>
        <v>5</v>
      </c>
      <c r="K210" s="81">
        <f ca="1">IFERROR(__xludf.DUMMYFUNCTION("""COMPUTED_VALUE"""),99.6)</f>
        <v>99.6</v>
      </c>
      <c r="L210" s="81">
        <f ca="1">IFERROR(__xludf.DUMMYFUNCTION("""COMPUTED_VALUE"""),78.95)</f>
        <v>78.95</v>
      </c>
      <c r="M210" s="81"/>
      <c r="N210" s="81">
        <f ca="1">IFERROR(__xludf.DUMMYFUNCTION("""COMPUTED_VALUE"""),99.6)</f>
        <v>99.6</v>
      </c>
      <c r="O210" s="81"/>
      <c r="P210" s="81">
        <f ca="1">IFERROR(__xludf.DUMMYFUNCTION("""COMPUTED_VALUE"""),90.4)</f>
        <v>90.4</v>
      </c>
      <c r="Q210" s="81"/>
      <c r="R210" s="81">
        <f ca="1">IFERROR(__xludf.DUMMYFUNCTION("""COMPUTED_VALUE"""),91.1)</f>
        <v>91.1</v>
      </c>
      <c r="S210" s="81"/>
      <c r="T210" s="81"/>
      <c r="U210" s="82"/>
      <c r="V210" s="82"/>
      <c r="W210" s="83"/>
      <c r="X210" s="83"/>
      <c r="Y210" s="83"/>
    </row>
    <row r="211" spans="1:25" ht="13.8">
      <c r="A211" s="78" t="str">
        <f ca="1">IFERROR(__xludf.DUMMYFUNCTION("""COMPUTED_VALUE"""),"CH")</f>
        <v>CH</v>
      </c>
      <c r="B211" s="79" t="str">
        <f ca="1">IFERROR(__xludf.DUMMYFUNCTION("""COMPUTED_VALUE"""),"Leah Nguyen")</f>
        <v>Leah Nguyen</v>
      </c>
      <c r="C211" s="78">
        <f ca="1">IFERROR(__xludf.DUMMYFUNCTION("""COMPUTED_VALUE"""),13)</f>
        <v>13</v>
      </c>
      <c r="D211" s="78" t="str">
        <f ca="1">IFERROR(__xludf.DUMMYFUNCTION("""COMPUTED_VALUE"""),"G")</f>
        <v>G</v>
      </c>
      <c r="E211" s="80" t="str">
        <f ca="1">IFERROR(__xludf.DUMMYFUNCTION("""COMPUTED_VALUE"""),"I")</f>
        <v>I</v>
      </c>
      <c r="F211" s="80" t="str">
        <f ca="1">IFERROR(__xludf.DUMMYFUNCTION("""COMPUTED_VALUE"""),"S")</f>
        <v>S</v>
      </c>
      <c r="G211" s="80">
        <f ca="1">IFERROR(__xludf.DUMMYFUNCTION("""COMPUTED_VALUE"""),6)</f>
        <v>6</v>
      </c>
      <c r="H211" s="80" t="str">
        <f ca="1">IFERROR(__xludf.DUMMYFUNCTION("""COMPUTED_VALUE"""),"CH")</f>
        <v>CH</v>
      </c>
      <c r="I211" s="80">
        <f ca="1">IFERROR(__xludf.DUMMYFUNCTION("""COMPUTED_VALUE"""),6)</f>
        <v>6</v>
      </c>
      <c r="J211" s="81">
        <f ca="1">IFERROR(__xludf.DUMMYFUNCTION("""COMPUTED_VALUE"""),1)</f>
        <v>1</v>
      </c>
      <c r="K211" s="81">
        <f ca="1">IFERROR(__xludf.DUMMYFUNCTION("""COMPUTED_VALUE"""),115.8)</f>
        <v>115.8</v>
      </c>
      <c r="L211" s="81">
        <f ca="1">IFERROR(__xludf.DUMMYFUNCTION("""COMPUTED_VALUE"""),0)</f>
        <v>0</v>
      </c>
      <c r="M211" s="81"/>
      <c r="N211" s="81">
        <f ca="1">IFERROR(__xludf.DUMMYFUNCTION("""COMPUTED_VALUE"""),115.8)</f>
        <v>115.8</v>
      </c>
      <c r="O211" s="81"/>
      <c r="P211" s="81">
        <f ca="1">IFERROR(__xludf.DUMMYFUNCTION("""COMPUTED_VALUE"""),0)</f>
        <v>0</v>
      </c>
      <c r="Q211" s="81"/>
      <c r="R211" s="81">
        <f ca="1">IFERROR(__xludf.DUMMYFUNCTION("""COMPUTED_VALUE"""),0)</f>
        <v>0</v>
      </c>
      <c r="S211" s="81"/>
      <c r="T211" s="81"/>
      <c r="U211" s="82"/>
      <c r="V211" s="82"/>
      <c r="W211" s="83"/>
      <c r="X211" s="83"/>
      <c r="Y211" s="83"/>
    </row>
    <row r="212" spans="1:25" ht="13.8">
      <c r="A212" s="78" t="str">
        <f ca="1">IFERROR(__xludf.DUMMYFUNCTION("""COMPUTED_VALUE"""),"CH")</f>
        <v>CH</v>
      </c>
      <c r="B212" s="79" t="str">
        <f ca="1">IFERROR(__xludf.DUMMYFUNCTION("""COMPUTED_VALUE"""),"Allie Reback")</f>
        <v>Allie Reback</v>
      </c>
      <c r="C212" s="78">
        <f ca="1">IFERROR(__xludf.DUMMYFUNCTION("""COMPUTED_VALUE"""),14)</f>
        <v>14</v>
      </c>
      <c r="D212" s="78" t="str">
        <f ca="1">IFERROR(__xludf.DUMMYFUNCTION("""COMPUTED_VALUE"""),"G")</f>
        <v>G</v>
      </c>
      <c r="E212" s="80" t="str">
        <f ca="1">IFERROR(__xludf.DUMMYFUNCTION("""COMPUTED_VALUE"""),"I")</f>
        <v>I</v>
      </c>
      <c r="F212" s="80" t="str">
        <f ca="1">IFERROR(__xludf.DUMMYFUNCTION("""COMPUTED_VALUE"""),"S")</f>
        <v>S</v>
      </c>
      <c r="G212" s="80">
        <f ca="1">IFERROR(__xludf.DUMMYFUNCTION("""COMPUTED_VALUE"""),6)</f>
        <v>6</v>
      </c>
      <c r="H212" s="80" t="str">
        <f ca="1">IFERROR(__xludf.DUMMYFUNCTION("""COMPUTED_VALUE"""),"CH")</f>
        <v>CH</v>
      </c>
      <c r="I212" s="80">
        <f ca="1">IFERROR(__xludf.DUMMYFUNCTION("""COMPUTED_VALUE"""),6)</f>
        <v>6</v>
      </c>
      <c r="J212" s="81">
        <f ca="1">IFERROR(__xludf.DUMMYFUNCTION("""COMPUTED_VALUE"""),3)</f>
        <v>3</v>
      </c>
      <c r="K212" s="81">
        <f ca="1">IFERROR(__xludf.DUMMYFUNCTION("""COMPUTED_VALUE"""),122.2)</f>
        <v>122.2</v>
      </c>
      <c r="L212" s="81">
        <f ca="1">IFERROR(__xludf.DUMMYFUNCTION("""COMPUTED_VALUE"""),84.15)</f>
        <v>84.15</v>
      </c>
      <c r="M212" s="81"/>
      <c r="N212" s="81">
        <f ca="1">IFERROR(__xludf.DUMMYFUNCTION("""COMPUTED_VALUE"""),122.2)</f>
        <v>122.2</v>
      </c>
      <c r="O212" s="81"/>
      <c r="P212" s="81">
        <f ca="1">IFERROR(__xludf.DUMMYFUNCTION("""COMPUTED_VALUE"""),117.6)</f>
        <v>117.6</v>
      </c>
      <c r="Q212" s="81"/>
      <c r="R212" s="81">
        <f ca="1">IFERROR(__xludf.DUMMYFUNCTION("""COMPUTED_VALUE"""),0)</f>
        <v>0</v>
      </c>
      <c r="S212" s="81"/>
      <c r="T212" s="81"/>
      <c r="U212" s="82"/>
      <c r="V212" s="82"/>
      <c r="W212" s="83"/>
      <c r="X212" s="83"/>
      <c r="Y212" s="83"/>
    </row>
    <row r="213" spans="1:25" ht="13.8">
      <c r="A213" s="78" t="str">
        <f ca="1">IFERROR(__xludf.DUMMYFUNCTION("""COMPUTED_VALUE"""),"CH")</f>
        <v>CH</v>
      </c>
      <c r="B213" s="79" t="str">
        <f ca="1">IFERROR(__xludf.DUMMYFUNCTION("""COMPUTED_VALUE"""),"Mia Romer")</f>
        <v>Mia Romer</v>
      </c>
      <c r="C213" s="78">
        <f ca="1">IFERROR(__xludf.DUMMYFUNCTION("""COMPUTED_VALUE"""),13)</f>
        <v>13</v>
      </c>
      <c r="D213" s="78" t="str">
        <f ca="1">IFERROR(__xludf.DUMMYFUNCTION("""COMPUTED_VALUE"""),"G")</f>
        <v>G</v>
      </c>
      <c r="E213" s="80" t="str">
        <f ca="1">IFERROR(__xludf.DUMMYFUNCTION("""COMPUTED_VALUE"""),"I")</f>
        <v>I</v>
      </c>
      <c r="F213" s="80" t="str">
        <f ca="1">IFERROR(__xludf.DUMMYFUNCTION("""COMPUTED_VALUE"""),"S")</f>
        <v>S</v>
      </c>
      <c r="G213" s="80">
        <f ca="1">IFERROR(__xludf.DUMMYFUNCTION("""COMPUTED_VALUE"""),6)</f>
        <v>6</v>
      </c>
      <c r="H213" s="80" t="str">
        <f ca="1">IFERROR(__xludf.DUMMYFUNCTION("""COMPUTED_VALUE"""),"CH")</f>
        <v>CH</v>
      </c>
      <c r="I213" s="80">
        <f ca="1">IFERROR(__xludf.DUMMYFUNCTION("""COMPUTED_VALUE"""),6)</f>
        <v>6</v>
      </c>
      <c r="J213" s="81">
        <f ca="1">IFERROR(__xludf.DUMMYFUNCTION("""COMPUTED_VALUE"""),3)</f>
        <v>3</v>
      </c>
      <c r="K213" s="81">
        <f ca="1">IFERROR(__xludf.DUMMYFUNCTION("""COMPUTED_VALUE"""),104.4)</f>
        <v>104.4</v>
      </c>
      <c r="L213" s="81">
        <f ca="1">IFERROR(__xludf.DUMMYFUNCTION("""COMPUTED_VALUE"""),0)</f>
        <v>0</v>
      </c>
      <c r="M213" s="81"/>
      <c r="N213" s="81">
        <f ca="1">IFERROR(__xludf.DUMMYFUNCTION("""COMPUTED_VALUE"""),0)</f>
        <v>0</v>
      </c>
      <c r="O213" s="81"/>
      <c r="P213" s="81">
        <f ca="1">IFERROR(__xludf.DUMMYFUNCTION("""COMPUTED_VALUE"""),103.95)</f>
        <v>103.95</v>
      </c>
      <c r="Q213" s="81"/>
      <c r="R213" s="81">
        <f ca="1">IFERROR(__xludf.DUMMYFUNCTION("""COMPUTED_VALUE"""),104.4)</f>
        <v>104.4</v>
      </c>
      <c r="S213" s="81"/>
      <c r="T213" s="81"/>
      <c r="U213" s="82"/>
      <c r="V213" s="82"/>
      <c r="W213" s="83"/>
      <c r="X213" s="83"/>
      <c r="Y213" s="83"/>
    </row>
    <row r="214" spans="1:25" ht="13.8">
      <c r="A214" s="78" t="str">
        <f ca="1">IFERROR(__xludf.DUMMYFUNCTION("""COMPUTED_VALUE"""),"CH")</f>
        <v>CH</v>
      </c>
      <c r="B214" s="79" t="str">
        <f ca="1">IFERROR(__xludf.DUMMYFUNCTION("""COMPUTED_VALUE"""),"Reed Clifton")</f>
        <v>Reed Clifton</v>
      </c>
      <c r="C214" s="78">
        <f ca="1">IFERROR(__xludf.DUMMYFUNCTION("""COMPUTED_VALUE"""),13)</f>
        <v>13</v>
      </c>
      <c r="D214" s="78" t="str">
        <f ca="1">IFERROR(__xludf.DUMMYFUNCTION("""COMPUTED_VALUE"""),"B")</f>
        <v>B</v>
      </c>
      <c r="E214" s="80" t="str">
        <f ca="1">IFERROR(__xludf.DUMMYFUNCTION("""COMPUTED_VALUE"""),"I")</f>
        <v>I</v>
      </c>
      <c r="F214" s="80" t="str">
        <f ca="1">IFERROR(__xludf.DUMMYFUNCTION("""COMPUTED_VALUE"""),"S")</f>
        <v>S</v>
      </c>
      <c r="G214" s="80">
        <f ca="1">IFERROR(__xludf.DUMMYFUNCTION("""COMPUTED_VALUE"""),6)</f>
        <v>6</v>
      </c>
      <c r="H214" s="80" t="str">
        <f ca="1">IFERROR(__xludf.DUMMYFUNCTION("""COMPUTED_VALUE"""),"CH")</f>
        <v>CH</v>
      </c>
      <c r="I214" s="80">
        <f ca="1">IFERROR(__xludf.DUMMYFUNCTION("""COMPUTED_VALUE"""),7)</f>
        <v>7</v>
      </c>
      <c r="J214" s="81">
        <f ca="1">IFERROR(__xludf.DUMMYFUNCTION("""COMPUTED_VALUE"""),1)</f>
        <v>1</v>
      </c>
      <c r="K214" s="81">
        <f ca="1">IFERROR(__xludf.DUMMYFUNCTION("""COMPUTED_VALUE"""),64.9)</f>
        <v>64.900000000000006</v>
      </c>
      <c r="L214" s="81">
        <f ca="1">IFERROR(__xludf.DUMMYFUNCTION("""COMPUTED_VALUE"""),64.9)</f>
        <v>64.900000000000006</v>
      </c>
      <c r="M214" s="81"/>
      <c r="N214" s="81">
        <f ca="1">IFERROR(__xludf.DUMMYFUNCTION("""COMPUTED_VALUE"""),0)</f>
        <v>0</v>
      </c>
      <c r="O214" s="81"/>
      <c r="P214" s="81">
        <f ca="1">IFERROR(__xludf.DUMMYFUNCTION("""COMPUTED_VALUE"""),0)</f>
        <v>0</v>
      </c>
      <c r="Q214" s="81"/>
      <c r="R214" s="81">
        <f ca="1">IFERROR(__xludf.DUMMYFUNCTION("""COMPUTED_VALUE"""),0)</f>
        <v>0</v>
      </c>
      <c r="S214" s="81"/>
      <c r="T214" s="81"/>
      <c r="U214" s="82"/>
      <c r="V214" s="82"/>
      <c r="W214" s="83"/>
      <c r="X214" s="83"/>
      <c r="Y214" s="83"/>
    </row>
    <row r="215" spans="1:25" ht="13.8">
      <c r="A215" s="78" t="str">
        <f ca="1">IFERROR(__xludf.DUMMYFUNCTION("""COMPUTED_VALUE"""),"CH")</f>
        <v>CH</v>
      </c>
      <c r="B215" s="79" t="str">
        <f ca="1">IFERROR(__xludf.DUMMYFUNCTION("""COMPUTED_VALUE"""),"William Feuchter")</f>
        <v>William Feuchter</v>
      </c>
      <c r="C215" s="78">
        <f ca="1">IFERROR(__xludf.DUMMYFUNCTION("""COMPUTED_VALUE"""),13)</f>
        <v>13</v>
      </c>
      <c r="D215" s="78" t="str">
        <f ca="1">IFERROR(__xludf.DUMMYFUNCTION("""COMPUTED_VALUE"""),"B")</f>
        <v>B</v>
      </c>
      <c r="E215" s="80" t="str">
        <f ca="1">IFERROR(__xludf.DUMMYFUNCTION("""COMPUTED_VALUE"""),"I")</f>
        <v>I</v>
      </c>
      <c r="F215" s="80" t="str">
        <f ca="1">IFERROR(__xludf.DUMMYFUNCTION("""COMPUTED_VALUE"""),"S")</f>
        <v>S</v>
      </c>
      <c r="G215" s="80">
        <f ca="1">IFERROR(__xludf.DUMMYFUNCTION("""COMPUTED_VALUE"""),6)</f>
        <v>6</v>
      </c>
      <c r="H215" s="80" t="str">
        <f ca="1">IFERROR(__xludf.DUMMYFUNCTION("""COMPUTED_VALUE"""),"CH")</f>
        <v>CH</v>
      </c>
      <c r="I215" s="80">
        <f ca="1">IFERROR(__xludf.DUMMYFUNCTION("""COMPUTED_VALUE"""),7)</f>
        <v>7</v>
      </c>
      <c r="J215" s="81">
        <f ca="1">IFERROR(__xludf.DUMMYFUNCTION("""COMPUTED_VALUE"""),4)</f>
        <v>4</v>
      </c>
      <c r="K215" s="81">
        <f ca="1">IFERROR(__xludf.DUMMYFUNCTION("""COMPUTED_VALUE"""),122)</f>
        <v>122</v>
      </c>
      <c r="L215" s="81">
        <f ca="1">IFERROR(__xludf.DUMMYFUNCTION("""COMPUTED_VALUE"""),107.2)</f>
        <v>107.2</v>
      </c>
      <c r="M215" s="81"/>
      <c r="N215" s="81">
        <f ca="1">IFERROR(__xludf.DUMMYFUNCTION("""COMPUTED_VALUE"""),122)</f>
        <v>122</v>
      </c>
      <c r="O215" s="81"/>
      <c r="P215" s="81">
        <f ca="1">IFERROR(__xludf.DUMMYFUNCTION("""COMPUTED_VALUE"""),121.85)</f>
        <v>121.85</v>
      </c>
      <c r="Q215" s="81"/>
      <c r="R215" s="81">
        <f ca="1">IFERROR(__xludf.DUMMYFUNCTION("""COMPUTED_VALUE"""),105.95)</f>
        <v>105.95</v>
      </c>
      <c r="S215" s="81"/>
      <c r="T215" s="81"/>
      <c r="U215" s="82"/>
      <c r="V215" s="82"/>
      <c r="W215" s="83"/>
      <c r="X215" s="83"/>
      <c r="Y215" s="83"/>
    </row>
    <row r="216" spans="1:25" ht="13.8">
      <c r="A216" s="78" t="str">
        <f ca="1">IFERROR(__xludf.DUMMYFUNCTION("""COMPUTED_VALUE"""),"CH")</f>
        <v>CH</v>
      </c>
      <c r="B216" s="79" t="str">
        <f ca="1">IFERROR(__xludf.DUMMYFUNCTION("""COMPUTED_VALUE"""),"Henry Keeler")</f>
        <v>Henry Keeler</v>
      </c>
      <c r="C216" s="78">
        <f ca="1">IFERROR(__xludf.DUMMYFUNCTION("""COMPUTED_VALUE"""),13)</f>
        <v>13</v>
      </c>
      <c r="D216" s="78" t="str">
        <f ca="1">IFERROR(__xludf.DUMMYFUNCTION("""COMPUTED_VALUE"""),"B")</f>
        <v>B</v>
      </c>
      <c r="E216" s="80" t="str">
        <f ca="1">IFERROR(__xludf.DUMMYFUNCTION("""COMPUTED_VALUE"""),"I")</f>
        <v>I</v>
      </c>
      <c r="F216" s="80" t="str">
        <f ca="1">IFERROR(__xludf.DUMMYFUNCTION("""COMPUTED_VALUE"""),"S")</f>
        <v>S</v>
      </c>
      <c r="G216" s="80">
        <f ca="1">IFERROR(__xludf.DUMMYFUNCTION("""COMPUTED_VALUE"""),6)</f>
        <v>6</v>
      </c>
      <c r="H216" s="80" t="str">
        <f ca="1">IFERROR(__xludf.DUMMYFUNCTION("""COMPUTED_VALUE"""),"CH")</f>
        <v>CH</v>
      </c>
      <c r="I216" s="80">
        <f ca="1">IFERROR(__xludf.DUMMYFUNCTION("""COMPUTED_VALUE"""),7)</f>
        <v>7</v>
      </c>
      <c r="J216" s="81">
        <f ca="1">IFERROR(__xludf.DUMMYFUNCTION("""COMPUTED_VALUE"""),0)</f>
        <v>0</v>
      </c>
      <c r="K216" s="81">
        <f ca="1">IFERROR(__xludf.DUMMYFUNCTION("""COMPUTED_VALUE"""),0)</f>
        <v>0</v>
      </c>
      <c r="L216" s="81">
        <f ca="1">IFERROR(__xludf.DUMMYFUNCTION("""COMPUTED_VALUE"""),0)</f>
        <v>0</v>
      </c>
      <c r="M216" s="81"/>
      <c r="N216" s="81">
        <f ca="1">IFERROR(__xludf.DUMMYFUNCTION("""COMPUTED_VALUE"""),0)</f>
        <v>0</v>
      </c>
      <c r="O216" s="81"/>
      <c r="P216" s="81">
        <f ca="1">IFERROR(__xludf.DUMMYFUNCTION("""COMPUTED_VALUE"""),0)</f>
        <v>0</v>
      </c>
      <c r="Q216" s="81"/>
      <c r="R216" s="81">
        <f ca="1">IFERROR(__xludf.DUMMYFUNCTION("""COMPUTED_VALUE"""),0)</f>
        <v>0</v>
      </c>
      <c r="S216" s="81"/>
      <c r="T216" s="81"/>
      <c r="U216" s="82"/>
      <c r="V216" s="82"/>
      <c r="W216" s="83"/>
      <c r="X216" s="83"/>
      <c r="Y216" s="83"/>
    </row>
    <row r="217" spans="1:25" ht="13.8">
      <c r="A217" s="78" t="str">
        <f ca="1">IFERROR(__xludf.DUMMYFUNCTION("""COMPUTED_VALUE"""),"CH")</f>
        <v>CH</v>
      </c>
      <c r="B217" s="79" t="str">
        <f ca="1">IFERROR(__xludf.DUMMYFUNCTION("""COMPUTED_VALUE"""),"Eli Lauber")</f>
        <v>Eli Lauber</v>
      </c>
      <c r="C217" s="78">
        <f ca="1">IFERROR(__xludf.DUMMYFUNCTION("""COMPUTED_VALUE"""),13)</f>
        <v>13</v>
      </c>
      <c r="D217" s="78" t="str">
        <f ca="1">IFERROR(__xludf.DUMMYFUNCTION("""COMPUTED_VALUE"""),"B")</f>
        <v>B</v>
      </c>
      <c r="E217" s="80" t="str">
        <f ca="1">IFERROR(__xludf.DUMMYFUNCTION("""COMPUTED_VALUE"""),"I")</f>
        <v>I</v>
      </c>
      <c r="F217" s="80" t="str">
        <f ca="1">IFERROR(__xludf.DUMMYFUNCTION("""COMPUTED_VALUE"""),"S")</f>
        <v>S</v>
      </c>
      <c r="G217" s="80">
        <f ca="1">IFERROR(__xludf.DUMMYFUNCTION("""COMPUTED_VALUE"""),6)</f>
        <v>6</v>
      </c>
      <c r="H217" s="80" t="str">
        <f ca="1">IFERROR(__xludf.DUMMYFUNCTION("""COMPUTED_VALUE"""),"CH")</f>
        <v>CH</v>
      </c>
      <c r="I217" s="80">
        <f ca="1">IFERROR(__xludf.DUMMYFUNCTION("""COMPUTED_VALUE"""),7)</f>
        <v>7</v>
      </c>
      <c r="J217" s="81">
        <f ca="1">IFERROR(__xludf.DUMMYFUNCTION("""COMPUTED_VALUE"""),0)</f>
        <v>0</v>
      </c>
      <c r="K217" s="81">
        <f ca="1">IFERROR(__xludf.DUMMYFUNCTION("""COMPUTED_VALUE"""),0)</f>
        <v>0</v>
      </c>
      <c r="L217" s="81">
        <f ca="1">IFERROR(__xludf.DUMMYFUNCTION("""COMPUTED_VALUE"""),0)</f>
        <v>0</v>
      </c>
      <c r="M217" s="81"/>
      <c r="N217" s="81">
        <f ca="1">IFERROR(__xludf.DUMMYFUNCTION("""COMPUTED_VALUE"""),0)</f>
        <v>0</v>
      </c>
      <c r="O217" s="81"/>
      <c r="P217" s="81">
        <f ca="1">IFERROR(__xludf.DUMMYFUNCTION("""COMPUTED_VALUE"""),0)</f>
        <v>0</v>
      </c>
      <c r="Q217" s="81"/>
      <c r="R217" s="81">
        <f ca="1">IFERROR(__xludf.DUMMYFUNCTION("""COMPUTED_VALUE"""),0)</f>
        <v>0</v>
      </c>
      <c r="S217" s="81"/>
      <c r="T217" s="81"/>
      <c r="U217" s="82"/>
      <c r="V217" s="82"/>
      <c r="W217" s="83"/>
      <c r="X217" s="83"/>
      <c r="Y217" s="83"/>
    </row>
    <row r="218" spans="1:25" ht="13.8">
      <c r="A218" s="78" t="str">
        <f ca="1">IFERROR(__xludf.DUMMYFUNCTION("""COMPUTED_VALUE"""),"CH")</f>
        <v>CH</v>
      </c>
      <c r="B218" s="79" t="str">
        <f ca="1">IFERROR(__xludf.DUMMYFUNCTION("""COMPUTED_VALUE"""),"Uday Sidhu")</f>
        <v>Uday Sidhu</v>
      </c>
      <c r="C218" s="78">
        <f ca="1">IFERROR(__xludf.DUMMYFUNCTION("""COMPUTED_VALUE"""),13)</f>
        <v>13</v>
      </c>
      <c r="D218" s="78" t="str">
        <f ca="1">IFERROR(__xludf.DUMMYFUNCTION("""COMPUTED_VALUE"""),"B")</f>
        <v>B</v>
      </c>
      <c r="E218" s="80" t="str">
        <f ca="1">IFERROR(__xludf.DUMMYFUNCTION("""COMPUTED_VALUE"""),"I")</f>
        <v>I</v>
      </c>
      <c r="F218" s="80" t="str">
        <f ca="1">IFERROR(__xludf.DUMMYFUNCTION("""COMPUTED_VALUE"""),"S")</f>
        <v>S</v>
      </c>
      <c r="G218" s="80">
        <f ca="1">IFERROR(__xludf.DUMMYFUNCTION("""COMPUTED_VALUE"""),6)</f>
        <v>6</v>
      </c>
      <c r="H218" s="80" t="str">
        <f ca="1">IFERROR(__xludf.DUMMYFUNCTION("""COMPUTED_VALUE"""),"CH")</f>
        <v>CH</v>
      </c>
      <c r="I218" s="80">
        <f ca="1">IFERROR(__xludf.DUMMYFUNCTION("""COMPUTED_VALUE"""),7)</f>
        <v>7</v>
      </c>
      <c r="J218" s="81">
        <f ca="1">IFERROR(__xludf.DUMMYFUNCTION("""COMPUTED_VALUE"""),4)</f>
        <v>4</v>
      </c>
      <c r="K218" s="81">
        <f ca="1">IFERROR(__xludf.DUMMYFUNCTION("""COMPUTED_VALUE"""),95.7)</f>
        <v>95.7</v>
      </c>
      <c r="L218" s="81">
        <f ca="1">IFERROR(__xludf.DUMMYFUNCTION("""COMPUTED_VALUE"""),85.3)</f>
        <v>85.3</v>
      </c>
      <c r="M218" s="81"/>
      <c r="N218" s="81">
        <f ca="1">IFERROR(__xludf.DUMMYFUNCTION("""COMPUTED_VALUE"""),91.95)</f>
        <v>91.95</v>
      </c>
      <c r="O218" s="81"/>
      <c r="P218" s="81">
        <f ca="1">IFERROR(__xludf.DUMMYFUNCTION("""COMPUTED_VALUE"""),95.7)</f>
        <v>95.7</v>
      </c>
      <c r="Q218" s="81"/>
      <c r="R218" s="81">
        <f ca="1">IFERROR(__xludf.DUMMYFUNCTION("""COMPUTED_VALUE"""),86.5)</f>
        <v>86.5</v>
      </c>
      <c r="S218" s="81"/>
      <c r="T218" s="81"/>
      <c r="U218" s="82"/>
      <c r="V218" s="82"/>
      <c r="W218" s="83"/>
      <c r="X218" s="83"/>
      <c r="Y218" s="83"/>
    </row>
    <row r="219" spans="1:25" ht="13.8">
      <c r="A219" s="78" t="str">
        <f ca="1">IFERROR(__xludf.DUMMYFUNCTION("""COMPUTED_VALUE"""),"CH")</f>
        <v>CH</v>
      </c>
      <c r="B219" s="79" t="str">
        <f ca="1">IFERROR(__xludf.DUMMYFUNCTION("""COMPUTED_VALUE"""),"Kinaire Callahan")</f>
        <v>Kinaire Callahan</v>
      </c>
      <c r="C219" s="78">
        <f ca="1">IFERROR(__xludf.DUMMYFUNCTION("""COMPUTED_VALUE"""),16)</f>
        <v>16</v>
      </c>
      <c r="D219" s="78" t="str">
        <f ca="1">IFERROR(__xludf.DUMMYFUNCTION("""COMPUTED_VALUE"""),"G")</f>
        <v>G</v>
      </c>
      <c r="E219" s="80" t="str">
        <f ca="1">IFERROR(__xludf.DUMMYFUNCTION("""COMPUTED_VALUE"""),"S")</f>
        <v>S</v>
      </c>
      <c r="F219" s="80" t="str">
        <f ca="1">IFERROR(__xludf.DUMMYFUNCTION("""COMPUTED_VALUE"""),"S")</f>
        <v>S</v>
      </c>
      <c r="G219" s="80">
        <f ca="1">IFERROR(__xludf.DUMMYFUNCTION("""COMPUTED_VALUE"""),6)</f>
        <v>6</v>
      </c>
      <c r="H219" s="80" t="str">
        <f ca="1">IFERROR(__xludf.DUMMYFUNCTION("""COMPUTED_VALUE"""),"CH")</f>
        <v>CH</v>
      </c>
      <c r="I219" s="80">
        <f ca="1">IFERROR(__xludf.DUMMYFUNCTION("""COMPUTED_VALUE"""),8)</f>
        <v>8</v>
      </c>
      <c r="J219" s="81">
        <f ca="1">IFERROR(__xludf.DUMMYFUNCTION("""COMPUTED_VALUE"""),0)</f>
        <v>0</v>
      </c>
      <c r="K219" s="81">
        <f ca="1">IFERROR(__xludf.DUMMYFUNCTION("""COMPUTED_VALUE"""),0)</f>
        <v>0</v>
      </c>
      <c r="L219" s="81">
        <f ca="1">IFERROR(__xludf.DUMMYFUNCTION("""COMPUTED_VALUE"""),0)</f>
        <v>0</v>
      </c>
      <c r="M219" s="81"/>
      <c r="N219" s="81">
        <f ca="1">IFERROR(__xludf.DUMMYFUNCTION("""COMPUTED_VALUE"""),0)</f>
        <v>0</v>
      </c>
      <c r="O219" s="81"/>
      <c r="P219" s="81">
        <f ca="1">IFERROR(__xludf.DUMMYFUNCTION("""COMPUTED_VALUE"""),0)</f>
        <v>0</v>
      </c>
      <c r="Q219" s="81"/>
      <c r="R219" s="81">
        <f ca="1">IFERROR(__xludf.DUMMYFUNCTION("""COMPUTED_VALUE"""),0)</f>
        <v>0</v>
      </c>
      <c r="S219" s="81"/>
      <c r="T219" s="81"/>
      <c r="U219" s="82"/>
      <c r="V219" s="82"/>
      <c r="W219" s="83"/>
      <c r="X219" s="83"/>
      <c r="Y219" s="83"/>
    </row>
    <row r="220" spans="1:25" ht="13.8">
      <c r="A220" s="78" t="str">
        <f ca="1">IFERROR(__xludf.DUMMYFUNCTION("""COMPUTED_VALUE"""),"CH")</f>
        <v>CH</v>
      </c>
      <c r="B220" s="79" t="str">
        <f ca="1">IFERROR(__xludf.DUMMYFUNCTION("""COMPUTED_VALUE"""),"Teresa Capuano-Rizzo")</f>
        <v>Teresa Capuano-Rizzo</v>
      </c>
      <c r="C220" s="78">
        <f ca="1">IFERROR(__xludf.DUMMYFUNCTION("""COMPUTED_VALUE"""),18)</f>
        <v>18</v>
      </c>
      <c r="D220" s="78" t="str">
        <f ca="1">IFERROR(__xludf.DUMMYFUNCTION("""COMPUTED_VALUE"""),"G")</f>
        <v>G</v>
      </c>
      <c r="E220" s="80" t="str">
        <f ca="1">IFERROR(__xludf.DUMMYFUNCTION("""COMPUTED_VALUE"""),"S")</f>
        <v>S</v>
      </c>
      <c r="F220" s="80" t="str">
        <f ca="1">IFERROR(__xludf.DUMMYFUNCTION("""COMPUTED_VALUE"""),"S")</f>
        <v>S</v>
      </c>
      <c r="G220" s="80">
        <f ca="1">IFERROR(__xludf.DUMMYFUNCTION("""COMPUTED_VALUE"""),6)</f>
        <v>6</v>
      </c>
      <c r="H220" s="80" t="str">
        <f ca="1">IFERROR(__xludf.DUMMYFUNCTION("""COMPUTED_VALUE"""),"CH")</f>
        <v>CH</v>
      </c>
      <c r="I220" s="80">
        <f ca="1">IFERROR(__xludf.DUMMYFUNCTION("""COMPUTED_VALUE"""),8)</f>
        <v>8</v>
      </c>
      <c r="J220" s="81">
        <f ca="1">IFERROR(__xludf.DUMMYFUNCTION("""COMPUTED_VALUE"""),5)</f>
        <v>5</v>
      </c>
      <c r="K220" s="81">
        <f ca="1">IFERROR(__xludf.DUMMYFUNCTION("""COMPUTED_VALUE"""),163.15)</f>
        <v>163.15</v>
      </c>
      <c r="L220" s="81">
        <f ca="1">IFERROR(__xludf.DUMMYFUNCTION("""COMPUTED_VALUE"""),148.45)</f>
        <v>148.44999999999999</v>
      </c>
      <c r="M220" s="81"/>
      <c r="N220" s="81">
        <f ca="1">IFERROR(__xludf.DUMMYFUNCTION("""COMPUTED_VALUE"""),160.75)</f>
        <v>160.75</v>
      </c>
      <c r="O220" s="81"/>
      <c r="P220" s="81">
        <f ca="1">IFERROR(__xludf.DUMMYFUNCTION("""COMPUTED_VALUE"""),163.15)</f>
        <v>163.15</v>
      </c>
      <c r="Q220" s="81"/>
      <c r="R220" s="81">
        <f ca="1">IFERROR(__xludf.DUMMYFUNCTION("""COMPUTED_VALUE"""),146.55)</f>
        <v>146.55000000000001</v>
      </c>
      <c r="S220" s="81"/>
      <c r="T220" s="81"/>
      <c r="U220" s="82"/>
      <c r="V220" s="82"/>
      <c r="W220" s="83"/>
      <c r="X220" s="83"/>
      <c r="Y220" s="83"/>
    </row>
    <row r="221" spans="1:25" ht="13.8">
      <c r="A221" s="78" t="str">
        <f ca="1">IFERROR(__xludf.DUMMYFUNCTION("""COMPUTED_VALUE"""),"CH")</f>
        <v>CH</v>
      </c>
      <c r="B221" s="79" t="str">
        <f ca="1">IFERROR(__xludf.DUMMYFUNCTION("""COMPUTED_VALUE"""),"Julianne Feuchter")</f>
        <v>Julianne Feuchter</v>
      </c>
      <c r="C221" s="78">
        <f ca="1">IFERROR(__xludf.DUMMYFUNCTION("""COMPUTED_VALUE"""),19)</f>
        <v>19</v>
      </c>
      <c r="D221" s="78" t="str">
        <f ca="1">IFERROR(__xludf.DUMMYFUNCTION("""COMPUTED_VALUE"""),"G")</f>
        <v>G</v>
      </c>
      <c r="E221" s="80" t="str">
        <f ca="1">IFERROR(__xludf.DUMMYFUNCTION("""COMPUTED_VALUE"""),"S")</f>
        <v>S</v>
      </c>
      <c r="F221" s="80" t="str">
        <f ca="1">IFERROR(__xludf.DUMMYFUNCTION("""COMPUTED_VALUE"""),"S")</f>
        <v>S</v>
      </c>
      <c r="G221" s="80">
        <f ca="1">IFERROR(__xludf.DUMMYFUNCTION("""COMPUTED_VALUE"""),6)</f>
        <v>6</v>
      </c>
      <c r="H221" s="80" t="str">
        <f ca="1">IFERROR(__xludf.DUMMYFUNCTION("""COMPUTED_VALUE"""),"CH")</f>
        <v>CH</v>
      </c>
      <c r="I221" s="80">
        <f ca="1">IFERROR(__xludf.DUMMYFUNCTION("""COMPUTED_VALUE"""),8)</f>
        <v>8</v>
      </c>
      <c r="J221" s="81">
        <f ca="1">IFERROR(__xludf.DUMMYFUNCTION("""COMPUTED_VALUE"""),5)</f>
        <v>5</v>
      </c>
      <c r="K221" s="81">
        <f ca="1">IFERROR(__xludf.DUMMYFUNCTION("""COMPUTED_VALUE"""),176.4)</f>
        <v>176.4</v>
      </c>
      <c r="L221" s="81">
        <f ca="1">IFERROR(__xludf.DUMMYFUNCTION("""COMPUTED_VALUE"""),157.85)</f>
        <v>157.85</v>
      </c>
      <c r="M221" s="81"/>
      <c r="N221" s="81">
        <f ca="1">IFERROR(__xludf.DUMMYFUNCTION("""COMPUTED_VALUE"""),176.4)</f>
        <v>176.4</v>
      </c>
      <c r="O221" s="81"/>
      <c r="P221" s="81">
        <f ca="1">IFERROR(__xludf.DUMMYFUNCTION("""COMPUTED_VALUE"""),175.05)</f>
        <v>175.05</v>
      </c>
      <c r="Q221" s="81"/>
      <c r="R221" s="81">
        <f ca="1">IFERROR(__xludf.DUMMYFUNCTION("""COMPUTED_VALUE"""),165.1)</f>
        <v>165.1</v>
      </c>
      <c r="S221" s="81"/>
      <c r="T221" s="81"/>
      <c r="U221" s="82"/>
      <c r="V221" s="82"/>
      <c r="W221" s="83"/>
      <c r="X221" s="83"/>
      <c r="Y221" s="83"/>
    </row>
    <row r="222" spans="1:25" ht="13.8">
      <c r="A222" s="78" t="str">
        <f ca="1">IFERROR(__xludf.DUMMYFUNCTION("""COMPUTED_VALUE"""),"CH")</f>
        <v>CH</v>
      </c>
      <c r="B222" s="79" t="str">
        <f ca="1">IFERROR(__xludf.DUMMYFUNCTION("""COMPUTED_VALUE"""),"Samantha Lauber")</f>
        <v>Samantha Lauber</v>
      </c>
      <c r="C222" s="78">
        <f ca="1">IFERROR(__xludf.DUMMYFUNCTION("""COMPUTED_VALUE"""),15)</f>
        <v>15</v>
      </c>
      <c r="D222" s="78" t="str">
        <f ca="1">IFERROR(__xludf.DUMMYFUNCTION("""COMPUTED_VALUE"""),"G")</f>
        <v>G</v>
      </c>
      <c r="E222" s="80" t="str">
        <f ca="1">IFERROR(__xludf.DUMMYFUNCTION("""COMPUTED_VALUE"""),"S")</f>
        <v>S</v>
      </c>
      <c r="F222" s="80" t="str">
        <f ca="1">IFERROR(__xludf.DUMMYFUNCTION("""COMPUTED_VALUE"""),"S")</f>
        <v>S</v>
      </c>
      <c r="G222" s="80">
        <f ca="1">IFERROR(__xludf.DUMMYFUNCTION("""COMPUTED_VALUE"""),6)</f>
        <v>6</v>
      </c>
      <c r="H222" s="80" t="str">
        <f ca="1">IFERROR(__xludf.DUMMYFUNCTION("""COMPUTED_VALUE"""),"CH")</f>
        <v>CH</v>
      </c>
      <c r="I222" s="80">
        <f ca="1">IFERROR(__xludf.DUMMYFUNCTION("""COMPUTED_VALUE"""),8)</f>
        <v>8</v>
      </c>
      <c r="J222" s="81">
        <f ca="1">IFERROR(__xludf.DUMMYFUNCTION("""COMPUTED_VALUE"""),0)</f>
        <v>0</v>
      </c>
      <c r="K222" s="81">
        <f ca="1">IFERROR(__xludf.DUMMYFUNCTION("""COMPUTED_VALUE"""),0)</f>
        <v>0</v>
      </c>
      <c r="L222" s="81">
        <f ca="1">IFERROR(__xludf.DUMMYFUNCTION("""COMPUTED_VALUE"""),0)</f>
        <v>0</v>
      </c>
      <c r="M222" s="81"/>
      <c r="N222" s="81">
        <f ca="1">IFERROR(__xludf.DUMMYFUNCTION("""COMPUTED_VALUE"""),0)</f>
        <v>0</v>
      </c>
      <c r="O222" s="81"/>
      <c r="P222" s="81">
        <f ca="1">IFERROR(__xludf.DUMMYFUNCTION("""COMPUTED_VALUE"""),0)</f>
        <v>0</v>
      </c>
      <c r="Q222" s="81"/>
      <c r="R222" s="81">
        <f ca="1">IFERROR(__xludf.DUMMYFUNCTION("""COMPUTED_VALUE"""),0)</f>
        <v>0</v>
      </c>
      <c r="S222" s="81"/>
      <c r="T222" s="81"/>
      <c r="U222" s="82"/>
      <c r="V222" s="82"/>
      <c r="W222" s="83"/>
      <c r="X222" s="83"/>
      <c r="Y222" s="83"/>
    </row>
    <row r="223" spans="1:25" ht="13.8">
      <c r="A223" s="78" t="str">
        <f ca="1">IFERROR(__xludf.DUMMYFUNCTION("""COMPUTED_VALUE"""),"CH")</f>
        <v>CH</v>
      </c>
      <c r="B223" s="79" t="str">
        <f ca="1">IFERROR(__xludf.DUMMYFUNCTION("""COMPUTED_VALUE"""),"Sarah Manson")</f>
        <v>Sarah Manson</v>
      </c>
      <c r="C223" s="78">
        <f ca="1">IFERROR(__xludf.DUMMYFUNCTION("""COMPUTED_VALUE"""),15)</f>
        <v>15</v>
      </c>
      <c r="D223" s="78" t="str">
        <f ca="1">IFERROR(__xludf.DUMMYFUNCTION("""COMPUTED_VALUE"""),"G")</f>
        <v>G</v>
      </c>
      <c r="E223" s="80" t="str">
        <f ca="1">IFERROR(__xludf.DUMMYFUNCTION("""COMPUTED_VALUE"""),"S")</f>
        <v>S</v>
      </c>
      <c r="F223" s="80" t="str">
        <f ca="1">IFERROR(__xludf.DUMMYFUNCTION("""COMPUTED_VALUE"""),"S")</f>
        <v>S</v>
      </c>
      <c r="G223" s="80">
        <f ca="1">IFERROR(__xludf.DUMMYFUNCTION("""COMPUTED_VALUE"""),6)</f>
        <v>6</v>
      </c>
      <c r="H223" s="80" t="str">
        <f ca="1">IFERROR(__xludf.DUMMYFUNCTION("""COMPUTED_VALUE"""),"CH")</f>
        <v>CH</v>
      </c>
      <c r="I223" s="80">
        <f ca="1">IFERROR(__xludf.DUMMYFUNCTION("""COMPUTED_VALUE"""),8)</f>
        <v>8</v>
      </c>
      <c r="J223" s="81">
        <f ca="1">IFERROR(__xludf.DUMMYFUNCTION("""COMPUTED_VALUE"""),0)</f>
        <v>0</v>
      </c>
      <c r="K223" s="81">
        <f ca="1">IFERROR(__xludf.DUMMYFUNCTION("""COMPUTED_VALUE"""),0)</f>
        <v>0</v>
      </c>
      <c r="L223" s="81">
        <f ca="1">IFERROR(__xludf.DUMMYFUNCTION("""COMPUTED_VALUE"""),0)</f>
        <v>0</v>
      </c>
      <c r="M223" s="81"/>
      <c r="N223" s="81">
        <f ca="1">IFERROR(__xludf.DUMMYFUNCTION("""COMPUTED_VALUE"""),0)</f>
        <v>0</v>
      </c>
      <c r="O223" s="81"/>
      <c r="P223" s="81">
        <f ca="1">IFERROR(__xludf.DUMMYFUNCTION("""COMPUTED_VALUE"""),0)</f>
        <v>0</v>
      </c>
      <c r="Q223" s="81"/>
      <c r="R223" s="81">
        <f ca="1">IFERROR(__xludf.DUMMYFUNCTION("""COMPUTED_VALUE"""),0)</f>
        <v>0</v>
      </c>
      <c r="S223" s="81"/>
      <c r="T223" s="81"/>
      <c r="U223" s="82"/>
      <c r="V223" s="82"/>
      <c r="W223" s="83"/>
      <c r="X223" s="83"/>
      <c r="Y223" s="83"/>
    </row>
    <row r="224" spans="1:25" ht="13.8">
      <c r="A224" s="78" t="str">
        <f ca="1">IFERROR(__xludf.DUMMYFUNCTION("""COMPUTED_VALUE"""),"CH")</f>
        <v>CH</v>
      </c>
      <c r="B224" s="79" t="str">
        <f ca="1">IFERROR(__xludf.DUMMYFUNCTION("""COMPUTED_VALUE"""),"Lucy Silverstein")</f>
        <v>Lucy Silverstein</v>
      </c>
      <c r="C224" s="78">
        <f ca="1">IFERROR(__xludf.DUMMYFUNCTION("""COMPUTED_VALUE"""),15)</f>
        <v>15</v>
      </c>
      <c r="D224" s="78" t="str">
        <f ca="1">IFERROR(__xludf.DUMMYFUNCTION("""COMPUTED_VALUE"""),"G")</f>
        <v>G</v>
      </c>
      <c r="E224" s="80" t="str">
        <f ca="1">IFERROR(__xludf.DUMMYFUNCTION("""COMPUTED_VALUE"""),"S")</f>
        <v>S</v>
      </c>
      <c r="F224" s="80" t="str">
        <f ca="1">IFERROR(__xludf.DUMMYFUNCTION("""COMPUTED_VALUE"""),"S")</f>
        <v>S</v>
      </c>
      <c r="G224" s="80">
        <f ca="1">IFERROR(__xludf.DUMMYFUNCTION("""COMPUTED_VALUE"""),6)</f>
        <v>6</v>
      </c>
      <c r="H224" s="80" t="str">
        <f ca="1">IFERROR(__xludf.DUMMYFUNCTION("""COMPUTED_VALUE"""),"CH")</f>
        <v>CH</v>
      </c>
      <c r="I224" s="80">
        <f ca="1">IFERROR(__xludf.DUMMYFUNCTION("""COMPUTED_VALUE"""),8)</f>
        <v>8</v>
      </c>
      <c r="J224" s="81">
        <f ca="1">IFERROR(__xludf.DUMMYFUNCTION("""COMPUTED_VALUE"""),4)</f>
        <v>4</v>
      </c>
      <c r="K224" s="81">
        <f ca="1">IFERROR(__xludf.DUMMYFUNCTION("""COMPUTED_VALUE"""),168.35)</f>
        <v>168.35</v>
      </c>
      <c r="L224" s="81">
        <f ca="1">IFERROR(__xludf.DUMMYFUNCTION("""COMPUTED_VALUE"""),0)</f>
        <v>0</v>
      </c>
      <c r="M224" s="81"/>
      <c r="N224" s="81">
        <f ca="1">IFERROR(__xludf.DUMMYFUNCTION("""COMPUTED_VALUE"""),168.35)</f>
        <v>168.35</v>
      </c>
      <c r="O224" s="81"/>
      <c r="P224" s="81">
        <f ca="1">IFERROR(__xludf.DUMMYFUNCTION("""COMPUTED_VALUE"""),158.4)</f>
        <v>158.4</v>
      </c>
      <c r="Q224" s="81"/>
      <c r="R224" s="81">
        <f ca="1">IFERROR(__xludf.DUMMYFUNCTION("""COMPUTED_VALUE"""),161)</f>
        <v>161</v>
      </c>
      <c r="S224" s="81"/>
      <c r="T224" s="81"/>
      <c r="U224" s="82"/>
      <c r="V224" s="82"/>
      <c r="W224" s="83"/>
      <c r="X224" s="83"/>
      <c r="Y224" s="83"/>
    </row>
    <row r="225" spans="1:25" ht="13.8">
      <c r="A225" s="78" t="str">
        <f ca="1">IFERROR(__xludf.DUMMYFUNCTION("""COMPUTED_VALUE"""),"CH")</f>
        <v>CH</v>
      </c>
      <c r="B225" s="79" t="str">
        <f ca="1">IFERROR(__xludf.DUMMYFUNCTION("""COMPUTED_VALUE"""),"Paige Thomas")</f>
        <v>Paige Thomas</v>
      </c>
      <c r="C225" s="78">
        <f ca="1">IFERROR(__xludf.DUMMYFUNCTION("""COMPUTED_VALUE"""),17)</f>
        <v>17</v>
      </c>
      <c r="D225" s="78" t="str">
        <f ca="1">IFERROR(__xludf.DUMMYFUNCTION("""COMPUTED_VALUE"""),"G")</f>
        <v>G</v>
      </c>
      <c r="E225" s="80" t="str">
        <f ca="1">IFERROR(__xludf.DUMMYFUNCTION("""COMPUTED_VALUE"""),"S")</f>
        <v>S</v>
      </c>
      <c r="F225" s="80" t="str">
        <f ca="1">IFERROR(__xludf.DUMMYFUNCTION("""COMPUTED_VALUE"""),"S")</f>
        <v>S</v>
      </c>
      <c r="G225" s="80">
        <f ca="1">IFERROR(__xludf.DUMMYFUNCTION("""COMPUTED_VALUE"""),6)</f>
        <v>6</v>
      </c>
      <c r="H225" s="80" t="str">
        <f ca="1">IFERROR(__xludf.DUMMYFUNCTION("""COMPUTED_VALUE"""),"CH")</f>
        <v>CH</v>
      </c>
      <c r="I225" s="80">
        <f ca="1">IFERROR(__xludf.DUMMYFUNCTION("""COMPUTED_VALUE"""),8)</f>
        <v>8</v>
      </c>
      <c r="J225" s="81">
        <f ca="1">IFERROR(__xludf.DUMMYFUNCTION("""COMPUTED_VALUE"""),3)</f>
        <v>3</v>
      </c>
      <c r="K225" s="81">
        <f ca="1">IFERROR(__xludf.DUMMYFUNCTION("""COMPUTED_VALUE"""),155.05)</f>
        <v>155.05000000000001</v>
      </c>
      <c r="L225" s="81">
        <f ca="1">IFERROR(__xludf.DUMMYFUNCTION("""COMPUTED_VALUE"""),0)</f>
        <v>0</v>
      </c>
      <c r="M225" s="81"/>
      <c r="N225" s="81">
        <f ca="1">IFERROR(__xludf.DUMMYFUNCTION("""COMPUTED_VALUE"""),155.05)</f>
        <v>155.05000000000001</v>
      </c>
      <c r="O225" s="81"/>
      <c r="P225" s="81">
        <f ca="1">IFERROR(__xludf.DUMMYFUNCTION("""COMPUTED_VALUE"""),0)</f>
        <v>0</v>
      </c>
      <c r="Q225" s="81"/>
      <c r="R225" s="81">
        <f ca="1">IFERROR(__xludf.DUMMYFUNCTION("""COMPUTED_VALUE"""),148.35)</f>
        <v>148.35</v>
      </c>
      <c r="S225" s="81"/>
      <c r="T225" s="81"/>
      <c r="U225" s="82"/>
      <c r="V225" s="82"/>
      <c r="W225" s="83"/>
      <c r="X225" s="83"/>
      <c r="Y225" s="83"/>
    </row>
    <row r="226" spans="1:25" ht="13.8">
      <c r="A226" s="78" t="str">
        <f ca="1">IFERROR(__xludf.DUMMYFUNCTION("""COMPUTED_VALUE"""),"CH")</f>
        <v>CH</v>
      </c>
      <c r="B226" s="79" t="str">
        <f ca="1">IFERROR(__xludf.DUMMYFUNCTION("""COMPUTED_VALUE"""),"Colin Crowley")</f>
        <v>Colin Crowley</v>
      </c>
      <c r="C226" s="78">
        <f ca="1">IFERROR(__xludf.DUMMYFUNCTION("""COMPUTED_VALUE"""),17)</f>
        <v>17</v>
      </c>
      <c r="D226" s="78" t="str">
        <f ca="1">IFERROR(__xludf.DUMMYFUNCTION("""COMPUTED_VALUE"""),"B")</f>
        <v>B</v>
      </c>
      <c r="E226" s="80" t="str">
        <f ca="1">IFERROR(__xludf.DUMMYFUNCTION("""COMPUTED_VALUE"""),"S")</f>
        <v>S</v>
      </c>
      <c r="F226" s="80" t="str">
        <f ca="1">IFERROR(__xludf.DUMMYFUNCTION("""COMPUTED_VALUE"""),"S")</f>
        <v>S</v>
      </c>
      <c r="G226" s="80">
        <f ca="1">IFERROR(__xludf.DUMMYFUNCTION("""COMPUTED_VALUE"""),6)</f>
        <v>6</v>
      </c>
      <c r="H226" s="80" t="str">
        <f ca="1">IFERROR(__xludf.DUMMYFUNCTION("""COMPUTED_VALUE"""),"CH")</f>
        <v>CH</v>
      </c>
      <c r="I226" s="80">
        <f ca="1">IFERROR(__xludf.DUMMYFUNCTION("""COMPUTED_VALUE"""),9)</f>
        <v>9</v>
      </c>
      <c r="J226" s="81">
        <f ca="1">IFERROR(__xludf.DUMMYFUNCTION("""COMPUTED_VALUE"""),4)</f>
        <v>4</v>
      </c>
      <c r="K226" s="81">
        <f ca="1">IFERROR(__xludf.DUMMYFUNCTION("""COMPUTED_VALUE"""),180.8)</f>
        <v>180.8</v>
      </c>
      <c r="L226" s="81">
        <f ca="1">IFERROR(__xludf.DUMMYFUNCTION("""COMPUTED_VALUE"""),0)</f>
        <v>0</v>
      </c>
      <c r="M226" s="81"/>
      <c r="N226" s="81">
        <f ca="1">IFERROR(__xludf.DUMMYFUNCTION("""COMPUTED_VALUE"""),164.05)</f>
        <v>164.05</v>
      </c>
      <c r="O226" s="81"/>
      <c r="P226" s="81">
        <f ca="1">IFERROR(__xludf.DUMMYFUNCTION("""COMPUTED_VALUE"""),180.8)</f>
        <v>180.8</v>
      </c>
      <c r="Q226" s="81"/>
      <c r="R226" s="81">
        <f ca="1">IFERROR(__xludf.DUMMYFUNCTION("""COMPUTED_VALUE"""),137.3)</f>
        <v>137.30000000000001</v>
      </c>
      <c r="S226" s="81"/>
      <c r="T226" s="81"/>
      <c r="U226" s="82"/>
      <c r="V226" s="82"/>
      <c r="W226" s="83"/>
      <c r="X226" s="83"/>
      <c r="Y226" s="83"/>
    </row>
    <row r="227" spans="1:25" ht="13.8">
      <c r="A227" s="78" t="str">
        <f ca="1">IFERROR(__xludf.DUMMYFUNCTION("""COMPUTED_VALUE"""),"CH")</f>
        <v>CH</v>
      </c>
      <c r="B227" s="79" t="str">
        <f ca="1">IFERROR(__xludf.DUMMYFUNCTION("""COMPUTED_VALUE"""),"Dan Lauretti")</f>
        <v>Dan Lauretti</v>
      </c>
      <c r="C227" s="78">
        <f ca="1">IFERROR(__xludf.DUMMYFUNCTION("""COMPUTED_VALUE"""),15)</f>
        <v>15</v>
      </c>
      <c r="D227" s="78" t="str">
        <f ca="1">IFERROR(__xludf.DUMMYFUNCTION("""COMPUTED_VALUE"""),"B")</f>
        <v>B</v>
      </c>
      <c r="E227" s="80" t="str">
        <f ca="1">IFERROR(__xludf.DUMMYFUNCTION("""COMPUTED_VALUE"""),"S")</f>
        <v>S</v>
      </c>
      <c r="F227" s="80" t="str">
        <f ca="1">IFERROR(__xludf.DUMMYFUNCTION("""COMPUTED_VALUE"""),"S")</f>
        <v>S</v>
      </c>
      <c r="G227" s="80">
        <f ca="1">IFERROR(__xludf.DUMMYFUNCTION("""COMPUTED_VALUE"""),6)</f>
        <v>6</v>
      </c>
      <c r="H227" s="80" t="str">
        <f ca="1">IFERROR(__xludf.DUMMYFUNCTION("""COMPUTED_VALUE"""),"CH")</f>
        <v>CH</v>
      </c>
      <c r="I227" s="80">
        <f ca="1">IFERROR(__xludf.DUMMYFUNCTION("""COMPUTED_VALUE"""),9)</f>
        <v>9</v>
      </c>
      <c r="J227" s="81">
        <f ca="1">IFERROR(__xludf.DUMMYFUNCTION("""COMPUTED_VALUE"""),0)</f>
        <v>0</v>
      </c>
      <c r="K227" s="81">
        <f ca="1">IFERROR(__xludf.DUMMYFUNCTION("""COMPUTED_VALUE"""),0)</f>
        <v>0</v>
      </c>
      <c r="L227" s="81">
        <f ca="1">IFERROR(__xludf.DUMMYFUNCTION("""COMPUTED_VALUE"""),0)</f>
        <v>0</v>
      </c>
      <c r="M227" s="81"/>
      <c r="N227" s="81">
        <f ca="1">IFERROR(__xludf.DUMMYFUNCTION("""COMPUTED_VALUE"""),0)</f>
        <v>0</v>
      </c>
      <c r="O227" s="81"/>
      <c r="P227" s="81">
        <f ca="1">IFERROR(__xludf.DUMMYFUNCTION("""COMPUTED_VALUE"""),0)</f>
        <v>0</v>
      </c>
      <c r="Q227" s="81"/>
      <c r="R227" s="81">
        <f ca="1">IFERROR(__xludf.DUMMYFUNCTION("""COMPUTED_VALUE"""),0)</f>
        <v>0</v>
      </c>
      <c r="S227" s="81"/>
      <c r="T227" s="81"/>
      <c r="U227" s="82"/>
      <c r="V227" s="82"/>
      <c r="W227" s="83"/>
      <c r="X227" s="83"/>
      <c r="Y227" s="83"/>
    </row>
    <row r="228" spans="1:25" ht="13.8">
      <c r="A228" s="78" t="str">
        <f ca="1">IFERROR(__xludf.DUMMYFUNCTION("""COMPUTED_VALUE"""),"CP")</f>
        <v>CP</v>
      </c>
      <c r="B228" s="79" t="str">
        <f ca="1">IFERROR(__xludf.DUMMYFUNCTION("""COMPUTED_VALUE"""),"Casimira Betz")</f>
        <v>Casimira Betz</v>
      </c>
      <c r="C228" s="78">
        <f ca="1">IFERROR(__xludf.DUMMYFUNCTION("""COMPUTED_VALUE"""),9)</f>
        <v>9</v>
      </c>
      <c r="D228" s="78" t="str">
        <f ca="1">IFERROR(__xludf.DUMMYFUNCTION("""COMPUTED_VALUE"""),"G")</f>
        <v>G</v>
      </c>
      <c r="E228" s="80" t="str">
        <f ca="1">IFERROR(__xludf.DUMMYFUNCTION("""COMPUTED_VALUE"""),"F")</f>
        <v>F</v>
      </c>
      <c r="F228" s="80" t="str">
        <f ca="1">IFERROR(__xludf.DUMMYFUNCTION("""COMPUTED_VALUE"""),"J")</f>
        <v>J</v>
      </c>
      <c r="G228" s="80">
        <f ca="1">IFERROR(__xludf.DUMMYFUNCTION("""COMPUTED_VALUE"""),5)</f>
        <v>5</v>
      </c>
      <c r="H228" s="80" t="str">
        <f ca="1">IFERROR(__xludf.DUMMYFUNCTION("""COMPUTED_VALUE"""),"CP")</f>
        <v>CP</v>
      </c>
      <c r="I228" s="80">
        <f ca="1">IFERROR(__xludf.DUMMYFUNCTION("""COMPUTED_VALUE"""),2)</f>
        <v>2</v>
      </c>
      <c r="J228" s="81">
        <f ca="1">IFERROR(__xludf.DUMMYFUNCTION("""COMPUTED_VALUE"""),4)</f>
        <v>4</v>
      </c>
      <c r="K228" s="81">
        <f ca="1">IFERROR(__xludf.DUMMYFUNCTION("""COMPUTED_VALUE"""),57.2)</f>
        <v>57.2</v>
      </c>
      <c r="L228" s="81">
        <f ca="1">IFERROR(__xludf.DUMMYFUNCTION("""COMPUTED_VALUE"""),0)</f>
        <v>0</v>
      </c>
      <c r="M228" s="81"/>
      <c r="N228" s="81">
        <f ca="1">IFERROR(__xludf.DUMMYFUNCTION("""COMPUTED_VALUE"""),57.2)</f>
        <v>57.2</v>
      </c>
      <c r="O228" s="81"/>
      <c r="P228" s="81">
        <f ca="1">IFERROR(__xludf.DUMMYFUNCTION("""COMPUTED_VALUE"""),50.2)</f>
        <v>50.2</v>
      </c>
      <c r="Q228" s="81"/>
      <c r="R228" s="81">
        <f ca="1">IFERROR(__xludf.DUMMYFUNCTION("""COMPUTED_VALUE"""),26)</f>
        <v>26</v>
      </c>
      <c r="S228" s="81"/>
      <c r="T228" s="81"/>
      <c r="U228" s="82"/>
      <c r="V228" s="82"/>
      <c r="W228" s="83"/>
      <c r="X228" s="83"/>
      <c r="Y228" s="83"/>
    </row>
    <row r="229" spans="1:25" ht="13.8">
      <c r="A229" s="78" t="str">
        <f ca="1">IFERROR(__xludf.DUMMYFUNCTION("""COMPUTED_VALUE"""),"CP")</f>
        <v>CP</v>
      </c>
      <c r="B229" s="79" t="str">
        <f ca="1">IFERROR(__xludf.DUMMYFUNCTION("""COMPUTED_VALUE"""),"Carolina Hall")</f>
        <v>Carolina Hall</v>
      </c>
      <c r="C229" s="78">
        <f ca="1">IFERROR(__xludf.DUMMYFUNCTION("""COMPUTED_VALUE"""),10)</f>
        <v>10</v>
      </c>
      <c r="D229" s="78" t="str">
        <f ca="1">IFERROR(__xludf.DUMMYFUNCTION("""COMPUTED_VALUE"""),"G")</f>
        <v>G</v>
      </c>
      <c r="E229" s="80" t="str">
        <f ca="1">IFERROR(__xludf.DUMMYFUNCTION("""COMPUTED_VALUE"""),"F")</f>
        <v>F</v>
      </c>
      <c r="F229" s="80" t="str">
        <f ca="1">IFERROR(__xludf.DUMMYFUNCTION("""COMPUTED_VALUE"""),"J")</f>
        <v>J</v>
      </c>
      <c r="G229" s="80">
        <f ca="1">IFERROR(__xludf.DUMMYFUNCTION("""COMPUTED_VALUE"""),5)</f>
        <v>5</v>
      </c>
      <c r="H229" s="80" t="str">
        <f ca="1">IFERROR(__xludf.DUMMYFUNCTION("""COMPUTED_VALUE"""),"CP")</f>
        <v>CP</v>
      </c>
      <c r="I229" s="80">
        <f ca="1">IFERROR(__xludf.DUMMYFUNCTION("""COMPUTED_VALUE"""),2)</f>
        <v>2</v>
      </c>
      <c r="J229" s="81">
        <f ca="1">IFERROR(__xludf.DUMMYFUNCTION("""COMPUTED_VALUE"""),3)</f>
        <v>3</v>
      </c>
      <c r="K229" s="81">
        <f ca="1">IFERROR(__xludf.DUMMYFUNCTION("""COMPUTED_VALUE"""),56.7)</f>
        <v>56.7</v>
      </c>
      <c r="L229" s="81">
        <f ca="1">IFERROR(__xludf.DUMMYFUNCTION("""COMPUTED_VALUE"""),53.35)</f>
        <v>53.35</v>
      </c>
      <c r="M229" s="81"/>
      <c r="N229" s="81">
        <f ca="1">IFERROR(__xludf.DUMMYFUNCTION("""COMPUTED_VALUE"""),56.7)</f>
        <v>56.7</v>
      </c>
      <c r="O229" s="81"/>
      <c r="P229" s="81">
        <f ca="1">IFERROR(__xludf.DUMMYFUNCTION("""COMPUTED_VALUE"""),0)</f>
        <v>0</v>
      </c>
      <c r="Q229" s="81"/>
      <c r="R229" s="81">
        <f ca="1">IFERROR(__xludf.DUMMYFUNCTION("""COMPUTED_VALUE"""),47.8)</f>
        <v>47.8</v>
      </c>
      <c r="S229" s="81"/>
      <c r="T229" s="81"/>
      <c r="U229" s="82"/>
      <c r="V229" s="82"/>
      <c r="W229" s="83"/>
      <c r="X229" s="83"/>
      <c r="Y229" s="83"/>
    </row>
    <row r="230" spans="1:25" ht="13.8">
      <c r="A230" s="78" t="str">
        <f ca="1">IFERROR(__xludf.DUMMYFUNCTION("""COMPUTED_VALUE"""),"CP")</f>
        <v>CP</v>
      </c>
      <c r="B230" s="79" t="str">
        <f ca="1">IFERROR(__xludf.DUMMYFUNCTION("""COMPUTED_VALUE"""),"Ashleigh Haskins")</f>
        <v>Ashleigh Haskins</v>
      </c>
      <c r="C230" s="78">
        <f ca="1">IFERROR(__xludf.DUMMYFUNCTION("""COMPUTED_VALUE"""),7)</f>
        <v>7</v>
      </c>
      <c r="D230" s="78" t="str">
        <f ca="1">IFERROR(__xludf.DUMMYFUNCTION("""COMPUTED_VALUE"""),"G")</f>
        <v>G</v>
      </c>
      <c r="E230" s="80" t="str">
        <f ca="1">IFERROR(__xludf.DUMMYFUNCTION("""COMPUTED_VALUE"""),"F")</f>
        <v>F</v>
      </c>
      <c r="F230" s="80" t="str">
        <f ca="1">IFERROR(__xludf.DUMMYFUNCTION("""COMPUTED_VALUE"""),"J")</f>
        <v>J</v>
      </c>
      <c r="G230" s="80">
        <f ca="1">IFERROR(__xludf.DUMMYFUNCTION("""COMPUTED_VALUE"""),5)</f>
        <v>5</v>
      </c>
      <c r="H230" s="80" t="str">
        <f ca="1">IFERROR(__xludf.DUMMYFUNCTION("""COMPUTED_VALUE"""),"CP")</f>
        <v>CP</v>
      </c>
      <c r="I230" s="80">
        <f ca="1">IFERROR(__xludf.DUMMYFUNCTION("""COMPUTED_VALUE"""),2)</f>
        <v>2</v>
      </c>
      <c r="J230" s="81">
        <f ca="1">IFERROR(__xludf.DUMMYFUNCTION("""COMPUTED_VALUE"""),0)</f>
        <v>0</v>
      </c>
      <c r="K230" s="81">
        <f ca="1">IFERROR(__xludf.DUMMYFUNCTION("""COMPUTED_VALUE"""),0)</f>
        <v>0</v>
      </c>
      <c r="L230" s="81">
        <f ca="1">IFERROR(__xludf.DUMMYFUNCTION("""COMPUTED_VALUE"""),0)</f>
        <v>0</v>
      </c>
      <c r="M230" s="81"/>
      <c r="N230" s="81">
        <f ca="1">IFERROR(__xludf.DUMMYFUNCTION("""COMPUTED_VALUE"""),0)</f>
        <v>0</v>
      </c>
      <c r="O230" s="81"/>
      <c r="P230" s="81">
        <f ca="1">IFERROR(__xludf.DUMMYFUNCTION("""COMPUTED_VALUE"""),0)</f>
        <v>0</v>
      </c>
      <c r="Q230" s="81"/>
      <c r="R230" s="81">
        <f ca="1">IFERROR(__xludf.DUMMYFUNCTION("""COMPUTED_VALUE"""),0)</f>
        <v>0</v>
      </c>
      <c r="S230" s="81"/>
      <c r="T230" s="81"/>
      <c r="U230" s="82"/>
      <c r="V230" s="82"/>
      <c r="W230" s="83"/>
      <c r="X230" s="83"/>
      <c r="Y230" s="83"/>
    </row>
    <row r="231" spans="1:25" ht="13.8">
      <c r="A231" s="78" t="str">
        <f ca="1">IFERROR(__xludf.DUMMYFUNCTION("""COMPUTED_VALUE"""),"CP")</f>
        <v>CP</v>
      </c>
      <c r="B231" s="79" t="str">
        <f ca="1">IFERROR(__xludf.DUMMYFUNCTION("""COMPUTED_VALUE"""),"Jacqueline Hull")</f>
        <v>Jacqueline Hull</v>
      </c>
      <c r="C231" s="78">
        <f ca="1">IFERROR(__xludf.DUMMYFUNCTION("""COMPUTED_VALUE"""),9)</f>
        <v>9</v>
      </c>
      <c r="D231" s="78" t="str">
        <f ca="1">IFERROR(__xludf.DUMMYFUNCTION("""COMPUTED_VALUE"""),"G")</f>
        <v>G</v>
      </c>
      <c r="E231" s="80" t="str">
        <f ca="1">IFERROR(__xludf.DUMMYFUNCTION("""COMPUTED_VALUE"""),"F")</f>
        <v>F</v>
      </c>
      <c r="F231" s="80" t="str">
        <f ca="1">IFERROR(__xludf.DUMMYFUNCTION("""COMPUTED_VALUE"""),"J")</f>
        <v>J</v>
      </c>
      <c r="G231" s="80">
        <f ca="1">IFERROR(__xludf.DUMMYFUNCTION("""COMPUTED_VALUE"""),5)</f>
        <v>5</v>
      </c>
      <c r="H231" s="80" t="str">
        <f ca="1">IFERROR(__xludf.DUMMYFUNCTION("""COMPUTED_VALUE"""),"CP")</f>
        <v>CP</v>
      </c>
      <c r="I231" s="80">
        <f ca="1">IFERROR(__xludf.DUMMYFUNCTION("""COMPUTED_VALUE"""),2)</f>
        <v>2</v>
      </c>
      <c r="J231" s="81">
        <f ca="1">IFERROR(__xludf.DUMMYFUNCTION("""COMPUTED_VALUE"""),1)</f>
        <v>1</v>
      </c>
      <c r="K231" s="81">
        <f ca="1">IFERROR(__xludf.DUMMYFUNCTION("""COMPUTED_VALUE"""),0)</f>
        <v>0</v>
      </c>
      <c r="L231" s="81">
        <f ca="1">IFERROR(__xludf.DUMMYFUNCTION("""COMPUTED_VALUE"""),0)</f>
        <v>0</v>
      </c>
      <c r="M231" s="81"/>
      <c r="N231" s="81">
        <f ca="1">IFERROR(__xludf.DUMMYFUNCTION("""COMPUTED_VALUE"""),0)</f>
        <v>0</v>
      </c>
      <c r="O231" s="81"/>
      <c r="P231" s="81">
        <f ca="1">IFERROR(__xludf.DUMMYFUNCTION("""COMPUTED_VALUE"""),0)</f>
        <v>0</v>
      </c>
      <c r="Q231" s="81"/>
      <c r="R231" s="81">
        <f ca="1">IFERROR(__xludf.DUMMYFUNCTION("""COMPUTED_VALUE"""),0)</f>
        <v>0</v>
      </c>
      <c r="S231" s="81"/>
      <c r="T231" s="81"/>
      <c r="U231" s="82"/>
      <c r="V231" s="82"/>
      <c r="W231" s="83"/>
      <c r="X231" s="83"/>
      <c r="Y231" s="83"/>
    </row>
    <row r="232" spans="1:25" ht="13.8">
      <c r="A232" s="78" t="str">
        <f ca="1">IFERROR(__xludf.DUMMYFUNCTION("""COMPUTED_VALUE"""),"CP")</f>
        <v>CP</v>
      </c>
      <c r="B232" s="79" t="str">
        <f ca="1">IFERROR(__xludf.DUMMYFUNCTION("""COMPUTED_VALUE"""),"Harper Jennings")</f>
        <v>Harper Jennings</v>
      </c>
      <c r="C232" s="78">
        <f ca="1">IFERROR(__xludf.DUMMYFUNCTION("""COMPUTED_VALUE"""),9)</f>
        <v>9</v>
      </c>
      <c r="D232" s="78" t="str">
        <f ca="1">IFERROR(__xludf.DUMMYFUNCTION("""COMPUTED_VALUE"""),"G")</f>
        <v>G</v>
      </c>
      <c r="E232" s="80" t="str">
        <f ca="1">IFERROR(__xludf.DUMMYFUNCTION("""COMPUTED_VALUE"""),"F")</f>
        <v>F</v>
      </c>
      <c r="F232" s="80" t="str">
        <f ca="1">IFERROR(__xludf.DUMMYFUNCTION("""COMPUTED_VALUE"""),"J")</f>
        <v>J</v>
      </c>
      <c r="G232" s="80">
        <f ca="1">IFERROR(__xludf.DUMMYFUNCTION("""COMPUTED_VALUE"""),5)</f>
        <v>5</v>
      </c>
      <c r="H232" s="80" t="str">
        <f ca="1">IFERROR(__xludf.DUMMYFUNCTION("""COMPUTED_VALUE"""),"CP")</f>
        <v>CP</v>
      </c>
      <c r="I232" s="80">
        <f ca="1">IFERROR(__xludf.DUMMYFUNCTION("""COMPUTED_VALUE"""),2)</f>
        <v>2</v>
      </c>
      <c r="J232" s="81">
        <f ca="1">IFERROR(__xludf.DUMMYFUNCTION("""COMPUTED_VALUE"""),0)</f>
        <v>0</v>
      </c>
      <c r="K232" s="81">
        <f ca="1">IFERROR(__xludf.DUMMYFUNCTION("""COMPUTED_VALUE"""),0)</f>
        <v>0</v>
      </c>
      <c r="L232" s="81">
        <f ca="1">IFERROR(__xludf.DUMMYFUNCTION("""COMPUTED_VALUE"""),0)</f>
        <v>0</v>
      </c>
      <c r="M232" s="81"/>
      <c r="N232" s="81">
        <f ca="1">IFERROR(__xludf.DUMMYFUNCTION("""COMPUTED_VALUE"""),0)</f>
        <v>0</v>
      </c>
      <c r="O232" s="81"/>
      <c r="P232" s="81">
        <f ca="1">IFERROR(__xludf.DUMMYFUNCTION("""COMPUTED_VALUE"""),0)</f>
        <v>0</v>
      </c>
      <c r="Q232" s="81"/>
      <c r="R232" s="81">
        <f ca="1">IFERROR(__xludf.DUMMYFUNCTION("""COMPUTED_VALUE"""),0)</f>
        <v>0</v>
      </c>
      <c r="S232" s="81"/>
      <c r="T232" s="81"/>
      <c r="U232" s="82"/>
      <c r="V232" s="82"/>
      <c r="W232" s="83"/>
      <c r="X232" s="83"/>
      <c r="Y232" s="83"/>
    </row>
    <row r="233" spans="1:25" ht="13.8">
      <c r="A233" s="78" t="str">
        <f ca="1">IFERROR(__xludf.DUMMYFUNCTION("""COMPUTED_VALUE"""),"CP")</f>
        <v>CP</v>
      </c>
      <c r="B233" s="79" t="str">
        <f ca="1">IFERROR(__xludf.DUMMYFUNCTION("""COMPUTED_VALUE"""),"Teagan Johns")</f>
        <v>Teagan Johns</v>
      </c>
      <c r="C233" s="78">
        <f ca="1">IFERROR(__xludf.DUMMYFUNCTION("""COMPUTED_VALUE"""),10)</f>
        <v>10</v>
      </c>
      <c r="D233" s="78" t="str">
        <f ca="1">IFERROR(__xludf.DUMMYFUNCTION("""COMPUTED_VALUE"""),"G")</f>
        <v>G</v>
      </c>
      <c r="E233" s="80" t="str">
        <f ca="1">IFERROR(__xludf.DUMMYFUNCTION("""COMPUTED_VALUE"""),"F")</f>
        <v>F</v>
      </c>
      <c r="F233" s="80" t="str">
        <f ca="1">IFERROR(__xludf.DUMMYFUNCTION("""COMPUTED_VALUE"""),"J")</f>
        <v>J</v>
      </c>
      <c r="G233" s="80">
        <f ca="1">IFERROR(__xludf.DUMMYFUNCTION("""COMPUTED_VALUE"""),5)</f>
        <v>5</v>
      </c>
      <c r="H233" s="80" t="str">
        <f ca="1">IFERROR(__xludf.DUMMYFUNCTION("""COMPUTED_VALUE"""),"CP")</f>
        <v>CP</v>
      </c>
      <c r="I233" s="80">
        <f ca="1">IFERROR(__xludf.DUMMYFUNCTION("""COMPUTED_VALUE"""),2)</f>
        <v>2</v>
      </c>
      <c r="J233" s="81">
        <f ca="1">IFERROR(__xludf.DUMMYFUNCTION("""COMPUTED_VALUE"""),4)</f>
        <v>4</v>
      </c>
      <c r="K233" s="81">
        <f ca="1">IFERROR(__xludf.DUMMYFUNCTION("""COMPUTED_VALUE"""),65.25)</f>
        <v>65.25</v>
      </c>
      <c r="L233" s="81">
        <f ca="1">IFERROR(__xludf.DUMMYFUNCTION("""COMPUTED_VALUE"""),51.8)</f>
        <v>51.8</v>
      </c>
      <c r="M233" s="81"/>
      <c r="N233" s="81">
        <f ca="1">IFERROR(__xludf.DUMMYFUNCTION("""COMPUTED_VALUE"""),60.05)</f>
        <v>60.05</v>
      </c>
      <c r="O233" s="81"/>
      <c r="P233" s="81">
        <f ca="1">IFERROR(__xludf.DUMMYFUNCTION("""COMPUTED_VALUE"""),65.25)</f>
        <v>65.25</v>
      </c>
      <c r="Q233" s="81"/>
      <c r="R233" s="81">
        <f ca="1">IFERROR(__xludf.DUMMYFUNCTION("""COMPUTED_VALUE"""),59.3)</f>
        <v>59.3</v>
      </c>
      <c r="S233" s="81"/>
      <c r="T233" s="81"/>
      <c r="U233" s="82"/>
      <c r="V233" s="82"/>
      <c r="W233" s="83"/>
      <c r="X233" s="83"/>
      <c r="Y233" s="83"/>
    </row>
    <row r="234" spans="1:25" ht="13.8">
      <c r="A234" s="78" t="str">
        <f ca="1">IFERROR(__xludf.DUMMYFUNCTION("""COMPUTED_VALUE"""),"CP")</f>
        <v>CP</v>
      </c>
      <c r="B234" s="79" t="str">
        <f ca="1">IFERROR(__xludf.DUMMYFUNCTION("""COMPUTED_VALUE"""),"Anna Keller")</f>
        <v>Anna Keller</v>
      </c>
      <c r="C234" s="78">
        <f ca="1">IFERROR(__xludf.DUMMYFUNCTION("""COMPUTED_VALUE"""),8)</f>
        <v>8</v>
      </c>
      <c r="D234" s="78" t="str">
        <f ca="1">IFERROR(__xludf.DUMMYFUNCTION("""COMPUTED_VALUE"""),"G")</f>
        <v>G</v>
      </c>
      <c r="E234" s="80" t="str">
        <f ca="1">IFERROR(__xludf.DUMMYFUNCTION("""COMPUTED_VALUE"""),"F")</f>
        <v>F</v>
      </c>
      <c r="F234" s="80" t="str">
        <f ca="1">IFERROR(__xludf.DUMMYFUNCTION("""COMPUTED_VALUE"""),"J")</f>
        <v>J</v>
      </c>
      <c r="G234" s="80">
        <f ca="1">IFERROR(__xludf.DUMMYFUNCTION("""COMPUTED_VALUE"""),5)</f>
        <v>5</v>
      </c>
      <c r="H234" s="80" t="str">
        <f ca="1">IFERROR(__xludf.DUMMYFUNCTION("""COMPUTED_VALUE"""),"CP")</f>
        <v>CP</v>
      </c>
      <c r="I234" s="80">
        <f ca="1">IFERROR(__xludf.DUMMYFUNCTION("""COMPUTED_VALUE"""),2)</f>
        <v>2</v>
      </c>
      <c r="J234" s="81">
        <f ca="1">IFERROR(__xludf.DUMMYFUNCTION("""COMPUTED_VALUE"""),0)</f>
        <v>0</v>
      </c>
      <c r="K234" s="81">
        <f ca="1">IFERROR(__xludf.DUMMYFUNCTION("""COMPUTED_VALUE"""),0)</f>
        <v>0</v>
      </c>
      <c r="L234" s="81">
        <f ca="1">IFERROR(__xludf.DUMMYFUNCTION("""COMPUTED_VALUE"""),0)</f>
        <v>0</v>
      </c>
      <c r="M234" s="81"/>
      <c r="N234" s="81">
        <f ca="1">IFERROR(__xludf.DUMMYFUNCTION("""COMPUTED_VALUE"""),0)</f>
        <v>0</v>
      </c>
      <c r="O234" s="81"/>
      <c r="P234" s="81">
        <f ca="1">IFERROR(__xludf.DUMMYFUNCTION("""COMPUTED_VALUE"""),0)</f>
        <v>0</v>
      </c>
      <c r="Q234" s="81"/>
      <c r="R234" s="81">
        <f ca="1">IFERROR(__xludf.DUMMYFUNCTION("""COMPUTED_VALUE"""),0)</f>
        <v>0</v>
      </c>
      <c r="S234" s="81"/>
      <c r="T234" s="81"/>
      <c r="U234" s="82"/>
      <c r="V234" s="82"/>
      <c r="W234" s="83"/>
      <c r="X234" s="83"/>
      <c r="Y234" s="83"/>
    </row>
    <row r="235" spans="1:25" ht="13.8">
      <c r="A235" s="78" t="str">
        <f ca="1">IFERROR(__xludf.DUMMYFUNCTION("""COMPUTED_VALUE"""),"CP")</f>
        <v>CP</v>
      </c>
      <c r="B235" s="79" t="str">
        <f ca="1">IFERROR(__xludf.DUMMYFUNCTION("""COMPUTED_VALUE"""),"Sarah Keller")</f>
        <v>Sarah Keller</v>
      </c>
      <c r="C235" s="78">
        <f ca="1">IFERROR(__xludf.DUMMYFUNCTION("""COMPUTED_VALUE"""),9)</f>
        <v>9</v>
      </c>
      <c r="D235" s="78" t="str">
        <f ca="1">IFERROR(__xludf.DUMMYFUNCTION("""COMPUTED_VALUE"""),"G")</f>
        <v>G</v>
      </c>
      <c r="E235" s="80" t="str">
        <f ca="1">IFERROR(__xludf.DUMMYFUNCTION("""COMPUTED_VALUE"""),"F")</f>
        <v>F</v>
      </c>
      <c r="F235" s="80" t="str">
        <f ca="1">IFERROR(__xludf.DUMMYFUNCTION("""COMPUTED_VALUE"""),"J")</f>
        <v>J</v>
      </c>
      <c r="G235" s="80">
        <f ca="1">IFERROR(__xludf.DUMMYFUNCTION("""COMPUTED_VALUE"""),5)</f>
        <v>5</v>
      </c>
      <c r="H235" s="80" t="str">
        <f ca="1">IFERROR(__xludf.DUMMYFUNCTION("""COMPUTED_VALUE"""),"CP")</f>
        <v>CP</v>
      </c>
      <c r="I235" s="80">
        <f ca="1">IFERROR(__xludf.DUMMYFUNCTION("""COMPUTED_VALUE"""),2)</f>
        <v>2</v>
      </c>
      <c r="J235" s="81">
        <f ca="1">IFERROR(__xludf.DUMMYFUNCTION("""COMPUTED_VALUE"""),0)</f>
        <v>0</v>
      </c>
      <c r="K235" s="81">
        <f ca="1">IFERROR(__xludf.DUMMYFUNCTION("""COMPUTED_VALUE"""),0)</f>
        <v>0</v>
      </c>
      <c r="L235" s="81">
        <f ca="1">IFERROR(__xludf.DUMMYFUNCTION("""COMPUTED_VALUE"""),0)</f>
        <v>0</v>
      </c>
      <c r="M235" s="81"/>
      <c r="N235" s="81">
        <f ca="1">IFERROR(__xludf.DUMMYFUNCTION("""COMPUTED_VALUE"""),0)</f>
        <v>0</v>
      </c>
      <c r="O235" s="81"/>
      <c r="P235" s="81">
        <f ca="1">IFERROR(__xludf.DUMMYFUNCTION("""COMPUTED_VALUE"""),0)</f>
        <v>0</v>
      </c>
      <c r="Q235" s="81"/>
      <c r="R235" s="81">
        <f ca="1">IFERROR(__xludf.DUMMYFUNCTION("""COMPUTED_VALUE"""),0)</f>
        <v>0</v>
      </c>
      <c r="S235" s="81"/>
      <c r="T235" s="81"/>
      <c r="U235" s="82"/>
      <c r="V235" s="82"/>
      <c r="W235" s="83"/>
      <c r="X235" s="83"/>
      <c r="Y235" s="83"/>
    </row>
    <row r="236" spans="1:25" ht="13.8">
      <c r="A236" s="78" t="str">
        <f ca="1">IFERROR(__xludf.DUMMYFUNCTION("""COMPUTED_VALUE"""),"CP")</f>
        <v>CP</v>
      </c>
      <c r="B236" s="79" t="str">
        <f ca="1">IFERROR(__xludf.DUMMYFUNCTION("""COMPUTED_VALUE"""),"Taylor Lehmann")</f>
        <v>Taylor Lehmann</v>
      </c>
      <c r="C236" s="78">
        <f ca="1">IFERROR(__xludf.DUMMYFUNCTION("""COMPUTED_VALUE"""),9)</f>
        <v>9</v>
      </c>
      <c r="D236" s="78" t="str">
        <f ca="1">IFERROR(__xludf.DUMMYFUNCTION("""COMPUTED_VALUE"""),"G")</f>
        <v>G</v>
      </c>
      <c r="E236" s="80" t="str">
        <f ca="1">IFERROR(__xludf.DUMMYFUNCTION("""COMPUTED_VALUE"""),"F")</f>
        <v>F</v>
      </c>
      <c r="F236" s="80" t="str">
        <f ca="1">IFERROR(__xludf.DUMMYFUNCTION("""COMPUTED_VALUE"""),"J")</f>
        <v>J</v>
      </c>
      <c r="G236" s="80">
        <f ca="1">IFERROR(__xludf.DUMMYFUNCTION("""COMPUTED_VALUE"""),5)</f>
        <v>5</v>
      </c>
      <c r="H236" s="80" t="str">
        <f ca="1">IFERROR(__xludf.DUMMYFUNCTION("""COMPUTED_VALUE"""),"CP")</f>
        <v>CP</v>
      </c>
      <c r="I236" s="80">
        <f ca="1">IFERROR(__xludf.DUMMYFUNCTION("""COMPUTED_VALUE"""),2)</f>
        <v>2</v>
      </c>
      <c r="J236" s="81">
        <f ca="1">IFERROR(__xludf.DUMMYFUNCTION("""COMPUTED_VALUE"""),0)</f>
        <v>0</v>
      </c>
      <c r="K236" s="81">
        <f ca="1">IFERROR(__xludf.DUMMYFUNCTION("""COMPUTED_VALUE"""),0)</f>
        <v>0</v>
      </c>
      <c r="L236" s="81">
        <f ca="1">IFERROR(__xludf.DUMMYFUNCTION("""COMPUTED_VALUE"""),0)</f>
        <v>0</v>
      </c>
      <c r="M236" s="81"/>
      <c r="N236" s="81">
        <f ca="1">IFERROR(__xludf.DUMMYFUNCTION("""COMPUTED_VALUE"""),0)</f>
        <v>0</v>
      </c>
      <c r="O236" s="81"/>
      <c r="P236" s="81">
        <f ca="1">IFERROR(__xludf.DUMMYFUNCTION("""COMPUTED_VALUE"""),0)</f>
        <v>0</v>
      </c>
      <c r="Q236" s="81"/>
      <c r="R236" s="81">
        <f ca="1">IFERROR(__xludf.DUMMYFUNCTION("""COMPUTED_VALUE"""),0)</f>
        <v>0</v>
      </c>
      <c r="S236" s="81"/>
      <c r="T236" s="81"/>
      <c r="U236" s="82"/>
      <c r="V236" s="82"/>
      <c r="W236" s="83"/>
      <c r="X236" s="83"/>
      <c r="Y236" s="83"/>
    </row>
    <row r="237" spans="1:25" ht="13.8">
      <c r="A237" s="78" t="str">
        <f ca="1">IFERROR(__xludf.DUMMYFUNCTION("""COMPUTED_VALUE"""),"CP")</f>
        <v>CP</v>
      </c>
      <c r="B237" s="79" t="str">
        <f ca="1">IFERROR(__xludf.DUMMYFUNCTION("""COMPUTED_VALUE"""),"Eleena Manser")</f>
        <v>Eleena Manser</v>
      </c>
      <c r="C237" s="78">
        <f ca="1">IFERROR(__xludf.DUMMYFUNCTION("""COMPUTED_VALUE"""),10)</f>
        <v>10</v>
      </c>
      <c r="D237" s="78" t="str">
        <f ca="1">IFERROR(__xludf.DUMMYFUNCTION("""COMPUTED_VALUE"""),"G")</f>
        <v>G</v>
      </c>
      <c r="E237" s="80" t="str">
        <f ca="1">IFERROR(__xludf.DUMMYFUNCTION("""COMPUTED_VALUE"""),"F")</f>
        <v>F</v>
      </c>
      <c r="F237" s="80" t="str">
        <f ca="1">IFERROR(__xludf.DUMMYFUNCTION("""COMPUTED_VALUE"""),"J")</f>
        <v>J</v>
      </c>
      <c r="G237" s="80">
        <f ca="1">IFERROR(__xludf.DUMMYFUNCTION("""COMPUTED_VALUE"""),5)</f>
        <v>5</v>
      </c>
      <c r="H237" s="80" t="str">
        <f ca="1">IFERROR(__xludf.DUMMYFUNCTION("""COMPUTED_VALUE"""),"CP")</f>
        <v>CP</v>
      </c>
      <c r="I237" s="80">
        <f ca="1">IFERROR(__xludf.DUMMYFUNCTION("""COMPUTED_VALUE"""),2)</f>
        <v>2</v>
      </c>
      <c r="J237" s="81">
        <f ca="1">IFERROR(__xludf.DUMMYFUNCTION("""COMPUTED_VALUE"""),4)</f>
        <v>4</v>
      </c>
      <c r="K237" s="81">
        <f ca="1">IFERROR(__xludf.DUMMYFUNCTION("""COMPUTED_VALUE"""),59.9)</f>
        <v>59.9</v>
      </c>
      <c r="L237" s="81">
        <f ca="1">IFERROR(__xludf.DUMMYFUNCTION("""COMPUTED_VALUE"""),50.25)</f>
        <v>50.25</v>
      </c>
      <c r="M237" s="81"/>
      <c r="N237" s="81">
        <f ca="1">IFERROR(__xludf.DUMMYFUNCTION("""COMPUTED_VALUE"""),0)</f>
        <v>0</v>
      </c>
      <c r="O237" s="81"/>
      <c r="P237" s="81">
        <f ca="1">IFERROR(__xludf.DUMMYFUNCTION("""COMPUTED_VALUE"""),59.9)</f>
        <v>59.9</v>
      </c>
      <c r="Q237" s="81"/>
      <c r="R237" s="81">
        <f ca="1">IFERROR(__xludf.DUMMYFUNCTION("""COMPUTED_VALUE"""),52.65)</f>
        <v>52.65</v>
      </c>
      <c r="S237" s="81"/>
      <c r="T237" s="81"/>
      <c r="U237" s="82"/>
      <c r="V237" s="82"/>
      <c r="W237" s="83"/>
      <c r="X237" s="83"/>
      <c r="Y237" s="83"/>
    </row>
    <row r="238" spans="1:25" ht="13.8">
      <c r="A238" s="78" t="str">
        <f ca="1">IFERROR(__xludf.DUMMYFUNCTION("""COMPUTED_VALUE"""),"CP")</f>
        <v>CP</v>
      </c>
      <c r="B238" s="79" t="str">
        <f ca="1">IFERROR(__xludf.DUMMYFUNCTION("""COMPUTED_VALUE"""),"Taylor Miller")</f>
        <v>Taylor Miller</v>
      </c>
      <c r="C238" s="78">
        <f ca="1">IFERROR(__xludf.DUMMYFUNCTION("""COMPUTED_VALUE"""),10)</f>
        <v>10</v>
      </c>
      <c r="D238" s="78" t="str">
        <f ca="1">IFERROR(__xludf.DUMMYFUNCTION("""COMPUTED_VALUE"""),"G")</f>
        <v>G</v>
      </c>
      <c r="E238" s="80" t="str">
        <f ca="1">IFERROR(__xludf.DUMMYFUNCTION("""COMPUTED_VALUE"""),"F")</f>
        <v>F</v>
      </c>
      <c r="F238" s="80" t="str">
        <f ca="1">IFERROR(__xludf.DUMMYFUNCTION("""COMPUTED_VALUE"""),"J")</f>
        <v>J</v>
      </c>
      <c r="G238" s="80">
        <f ca="1">IFERROR(__xludf.DUMMYFUNCTION("""COMPUTED_VALUE"""),5)</f>
        <v>5</v>
      </c>
      <c r="H238" s="80" t="str">
        <f ca="1">IFERROR(__xludf.DUMMYFUNCTION("""COMPUTED_VALUE"""),"CP")</f>
        <v>CP</v>
      </c>
      <c r="I238" s="80">
        <f ca="1">IFERROR(__xludf.DUMMYFUNCTION("""COMPUTED_VALUE"""),2)</f>
        <v>2</v>
      </c>
      <c r="J238" s="81">
        <f ca="1">IFERROR(__xludf.DUMMYFUNCTION("""COMPUTED_VALUE"""),1)</f>
        <v>1</v>
      </c>
      <c r="K238" s="81">
        <f ca="1">IFERROR(__xludf.DUMMYFUNCTION("""COMPUTED_VALUE"""),0)</f>
        <v>0</v>
      </c>
      <c r="L238" s="81">
        <f ca="1">IFERROR(__xludf.DUMMYFUNCTION("""COMPUTED_VALUE"""),0)</f>
        <v>0</v>
      </c>
      <c r="M238" s="81"/>
      <c r="N238" s="81">
        <f ca="1">IFERROR(__xludf.DUMMYFUNCTION("""COMPUTED_VALUE"""),0)</f>
        <v>0</v>
      </c>
      <c r="O238" s="81"/>
      <c r="P238" s="81">
        <f ca="1">IFERROR(__xludf.DUMMYFUNCTION("""COMPUTED_VALUE"""),0)</f>
        <v>0</v>
      </c>
      <c r="Q238" s="81"/>
      <c r="R238" s="81">
        <f ca="1">IFERROR(__xludf.DUMMYFUNCTION("""COMPUTED_VALUE"""),0)</f>
        <v>0</v>
      </c>
      <c r="S238" s="81"/>
      <c r="T238" s="81"/>
      <c r="U238" s="82"/>
      <c r="V238" s="82"/>
      <c r="W238" s="83"/>
      <c r="X238" s="83"/>
      <c r="Y238" s="83"/>
    </row>
    <row r="239" spans="1:25" ht="13.8">
      <c r="A239" s="78" t="str">
        <f ca="1">IFERROR(__xludf.DUMMYFUNCTION("""COMPUTED_VALUE"""),"CP")</f>
        <v>CP</v>
      </c>
      <c r="B239" s="79" t="str">
        <f ca="1">IFERROR(__xludf.DUMMYFUNCTION("""COMPUTED_VALUE"""),"Leah Pounder")</f>
        <v>Leah Pounder</v>
      </c>
      <c r="C239" s="78">
        <f ca="1">IFERROR(__xludf.DUMMYFUNCTION("""COMPUTED_VALUE"""),9)</f>
        <v>9</v>
      </c>
      <c r="D239" s="78" t="str">
        <f ca="1">IFERROR(__xludf.DUMMYFUNCTION("""COMPUTED_VALUE"""),"G")</f>
        <v>G</v>
      </c>
      <c r="E239" s="80" t="str">
        <f ca="1">IFERROR(__xludf.DUMMYFUNCTION("""COMPUTED_VALUE"""),"F")</f>
        <v>F</v>
      </c>
      <c r="F239" s="80" t="str">
        <f ca="1">IFERROR(__xludf.DUMMYFUNCTION("""COMPUTED_VALUE"""),"J")</f>
        <v>J</v>
      </c>
      <c r="G239" s="80">
        <f ca="1">IFERROR(__xludf.DUMMYFUNCTION("""COMPUTED_VALUE"""),5)</f>
        <v>5</v>
      </c>
      <c r="H239" s="80" t="str">
        <f ca="1">IFERROR(__xludf.DUMMYFUNCTION("""COMPUTED_VALUE"""),"CP")</f>
        <v>CP</v>
      </c>
      <c r="I239" s="80">
        <f ca="1">IFERROR(__xludf.DUMMYFUNCTION("""COMPUTED_VALUE"""),2)</f>
        <v>2</v>
      </c>
      <c r="J239" s="81">
        <f ca="1">IFERROR(__xludf.DUMMYFUNCTION("""COMPUTED_VALUE"""),2)</f>
        <v>2</v>
      </c>
      <c r="K239" s="81">
        <f ca="1">IFERROR(__xludf.DUMMYFUNCTION("""COMPUTED_VALUE"""),50.8)</f>
        <v>50.8</v>
      </c>
      <c r="L239" s="81">
        <f ca="1">IFERROR(__xludf.DUMMYFUNCTION("""COMPUTED_VALUE"""),0)</f>
        <v>0</v>
      </c>
      <c r="M239" s="81"/>
      <c r="N239" s="81">
        <f ca="1">IFERROR(__xludf.DUMMYFUNCTION("""COMPUTED_VALUE"""),0)</f>
        <v>0</v>
      </c>
      <c r="O239" s="81"/>
      <c r="P239" s="81">
        <f ca="1">IFERROR(__xludf.DUMMYFUNCTION("""COMPUTED_VALUE"""),0)</f>
        <v>0</v>
      </c>
      <c r="Q239" s="81"/>
      <c r="R239" s="81">
        <f ca="1">IFERROR(__xludf.DUMMYFUNCTION("""COMPUTED_VALUE"""),50.8)</f>
        <v>50.8</v>
      </c>
      <c r="S239" s="81"/>
      <c r="T239" s="81"/>
      <c r="U239" s="82"/>
      <c r="V239" s="82"/>
      <c r="W239" s="83"/>
      <c r="X239" s="83"/>
      <c r="Y239" s="83"/>
    </row>
    <row r="240" spans="1:25" ht="13.8">
      <c r="A240" s="78" t="str">
        <f ca="1">IFERROR(__xludf.DUMMYFUNCTION("""COMPUTED_VALUE"""),"CP")</f>
        <v>CP</v>
      </c>
      <c r="B240" s="79" t="str">
        <f ca="1">IFERROR(__xludf.DUMMYFUNCTION("""COMPUTED_VALUE"""),"Kiana Ryan")</f>
        <v>Kiana Ryan</v>
      </c>
      <c r="C240" s="78">
        <f ca="1">IFERROR(__xludf.DUMMYFUNCTION("""COMPUTED_VALUE"""),9)</f>
        <v>9</v>
      </c>
      <c r="D240" s="78" t="str">
        <f ca="1">IFERROR(__xludf.DUMMYFUNCTION("""COMPUTED_VALUE"""),"G")</f>
        <v>G</v>
      </c>
      <c r="E240" s="80" t="str">
        <f ca="1">IFERROR(__xludf.DUMMYFUNCTION("""COMPUTED_VALUE"""),"F")</f>
        <v>F</v>
      </c>
      <c r="F240" s="80" t="str">
        <f ca="1">IFERROR(__xludf.DUMMYFUNCTION("""COMPUTED_VALUE"""),"J")</f>
        <v>J</v>
      </c>
      <c r="G240" s="80">
        <f ca="1">IFERROR(__xludf.DUMMYFUNCTION("""COMPUTED_VALUE"""),5)</f>
        <v>5</v>
      </c>
      <c r="H240" s="80" t="str">
        <f ca="1">IFERROR(__xludf.DUMMYFUNCTION("""COMPUTED_VALUE"""),"CP")</f>
        <v>CP</v>
      </c>
      <c r="I240" s="80">
        <f ca="1">IFERROR(__xludf.DUMMYFUNCTION("""COMPUTED_VALUE"""),2)</f>
        <v>2</v>
      </c>
      <c r="J240" s="81">
        <f ca="1">IFERROR(__xludf.DUMMYFUNCTION("""COMPUTED_VALUE"""),0)</f>
        <v>0</v>
      </c>
      <c r="K240" s="81">
        <f ca="1">IFERROR(__xludf.DUMMYFUNCTION("""COMPUTED_VALUE"""),0)</f>
        <v>0</v>
      </c>
      <c r="L240" s="81">
        <f ca="1">IFERROR(__xludf.DUMMYFUNCTION("""COMPUTED_VALUE"""),0)</f>
        <v>0</v>
      </c>
      <c r="M240" s="81"/>
      <c r="N240" s="81">
        <f ca="1">IFERROR(__xludf.DUMMYFUNCTION("""COMPUTED_VALUE"""),0)</f>
        <v>0</v>
      </c>
      <c r="O240" s="81"/>
      <c r="P240" s="81">
        <f ca="1">IFERROR(__xludf.DUMMYFUNCTION("""COMPUTED_VALUE"""),0)</f>
        <v>0</v>
      </c>
      <c r="Q240" s="81"/>
      <c r="R240" s="81">
        <f ca="1">IFERROR(__xludf.DUMMYFUNCTION("""COMPUTED_VALUE"""),0)</f>
        <v>0</v>
      </c>
      <c r="S240" s="81"/>
      <c r="T240" s="81"/>
      <c r="U240" s="82"/>
      <c r="V240" s="82"/>
      <c r="W240" s="83"/>
      <c r="X240" s="83"/>
      <c r="Y240" s="83"/>
    </row>
    <row r="241" spans="1:25" ht="13.8">
      <c r="A241" s="78" t="str">
        <f ca="1">IFERROR(__xludf.DUMMYFUNCTION("""COMPUTED_VALUE"""),"CP")</f>
        <v>CP</v>
      </c>
      <c r="B241" s="79" t="str">
        <f ca="1">IFERROR(__xludf.DUMMYFUNCTION("""COMPUTED_VALUE"""),"Lily Sabo")</f>
        <v>Lily Sabo</v>
      </c>
      <c r="C241" s="78">
        <f ca="1">IFERROR(__xludf.DUMMYFUNCTION("""COMPUTED_VALUE"""),6)</f>
        <v>6</v>
      </c>
      <c r="D241" s="78" t="str">
        <f ca="1">IFERROR(__xludf.DUMMYFUNCTION("""COMPUTED_VALUE"""),"G")</f>
        <v>G</v>
      </c>
      <c r="E241" s="80" t="str">
        <f ca="1">IFERROR(__xludf.DUMMYFUNCTION("""COMPUTED_VALUE"""),"F")</f>
        <v>F</v>
      </c>
      <c r="F241" s="80" t="str">
        <f ca="1">IFERROR(__xludf.DUMMYFUNCTION("""COMPUTED_VALUE"""),"J")</f>
        <v>J</v>
      </c>
      <c r="G241" s="80">
        <f ca="1">IFERROR(__xludf.DUMMYFUNCTION("""COMPUTED_VALUE"""),5)</f>
        <v>5</v>
      </c>
      <c r="H241" s="80" t="str">
        <f ca="1">IFERROR(__xludf.DUMMYFUNCTION("""COMPUTED_VALUE"""),"CP")</f>
        <v>CP</v>
      </c>
      <c r="I241" s="80">
        <f ca="1">IFERROR(__xludf.DUMMYFUNCTION("""COMPUTED_VALUE"""),2)</f>
        <v>2</v>
      </c>
      <c r="J241" s="81">
        <f ca="1">IFERROR(__xludf.DUMMYFUNCTION("""COMPUTED_VALUE"""),0)</f>
        <v>0</v>
      </c>
      <c r="K241" s="81">
        <f ca="1">IFERROR(__xludf.DUMMYFUNCTION("""COMPUTED_VALUE"""),0)</f>
        <v>0</v>
      </c>
      <c r="L241" s="81">
        <f ca="1">IFERROR(__xludf.DUMMYFUNCTION("""COMPUTED_VALUE"""),0)</f>
        <v>0</v>
      </c>
      <c r="M241" s="81"/>
      <c r="N241" s="81">
        <f ca="1">IFERROR(__xludf.DUMMYFUNCTION("""COMPUTED_VALUE"""),0)</f>
        <v>0</v>
      </c>
      <c r="O241" s="81"/>
      <c r="P241" s="81">
        <f ca="1">IFERROR(__xludf.DUMMYFUNCTION("""COMPUTED_VALUE"""),0)</f>
        <v>0</v>
      </c>
      <c r="Q241" s="81"/>
      <c r="R241" s="81">
        <f ca="1">IFERROR(__xludf.DUMMYFUNCTION("""COMPUTED_VALUE"""),0)</f>
        <v>0</v>
      </c>
      <c r="S241" s="81"/>
      <c r="T241" s="81"/>
      <c r="U241" s="82"/>
      <c r="V241" s="82"/>
      <c r="W241" s="83"/>
      <c r="X241" s="83"/>
      <c r="Y241" s="83"/>
    </row>
    <row r="242" spans="1:25" ht="13.8">
      <c r="A242" s="78" t="str">
        <f ca="1">IFERROR(__xludf.DUMMYFUNCTION("""COMPUTED_VALUE"""),"CP")</f>
        <v>CP</v>
      </c>
      <c r="B242" s="79" t="str">
        <f ca="1">IFERROR(__xludf.DUMMYFUNCTION("""COMPUTED_VALUE"""),"Haley Schwab")</f>
        <v>Haley Schwab</v>
      </c>
      <c r="C242" s="78">
        <f ca="1">IFERROR(__xludf.DUMMYFUNCTION("""COMPUTED_VALUE"""),9)</f>
        <v>9</v>
      </c>
      <c r="D242" s="78" t="str">
        <f ca="1">IFERROR(__xludf.DUMMYFUNCTION("""COMPUTED_VALUE"""),"G")</f>
        <v>G</v>
      </c>
      <c r="E242" s="80" t="str">
        <f ca="1">IFERROR(__xludf.DUMMYFUNCTION("""COMPUTED_VALUE"""),"F")</f>
        <v>F</v>
      </c>
      <c r="F242" s="80" t="str">
        <f ca="1">IFERROR(__xludf.DUMMYFUNCTION("""COMPUTED_VALUE"""),"J")</f>
        <v>J</v>
      </c>
      <c r="G242" s="80">
        <f ca="1">IFERROR(__xludf.DUMMYFUNCTION("""COMPUTED_VALUE"""),5)</f>
        <v>5</v>
      </c>
      <c r="H242" s="80" t="str">
        <f ca="1">IFERROR(__xludf.DUMMYFUNCTION("""COMPUTED_VALUE"""),"CP")</f>
        <v>CP</v>
      </c>
      <c r="I242" s="80">
        <f ca="1">IFERROR(__xludf.DUMMYFUNCTION("""COMPUTED_VALUE"""),2)</f>
        <v>2</v>
      </c>
      <c r="J242" s="81">
        <f ca="1">IFERROR(__xludf.DUMMYFUNCTION("""COMPUTED_VALUE"""),5)</f>
        <v>5</v>
      </c>
      <c r="K242" s="81">
        <f ca="1">IFERROR(__xludf.DUMMYFUNCTION("""COMPUTED_VALUE"""),71.3)</f>
        <v>71.3</v>
      </c>
      <c r="L242" s="81">
        <f ca="1">IFERROR(__xludf.DUMMYFUNCTION("""COMPUTED_VALUE"""),52.05)</f>
        <v>52.05</v>
      </c>
      <c r="M242" s="81"/>
      <c r="N242" s="81">
        <f ca="1">IFERROR(__xludf.DUMMYFUNCTION("""COMPUTED_VALUE"""),71.3)</f>
        <v>71.3</v>
      </c>
      <c r="O242" s="81"/>
      <c r="P242" s="81">
        <f ca="1">IFERROR(__xludf.DUMMYFUNCTION("""COMPUTED_VALUE"""),70.45)</f>
        <v>70.45</v>
      </c>
      <c r="Q242" s="81"/>
      <c r="R242" s="81">
        <f ca="1">IFERROR(__xludf.DUMMYFUNCTION("""COMPUTED_VALUE"""),59.1)</f>
        <v>59.1</v>
      </c>
      <c r="S242" s="81"/>
      <c r="T242" s="81"/>
      <c r="U242" s="82"/>
      <c r="V242" s="82"/>
      <c r="W242" s="83"/>
      <c r="X242" s="83"/>
      <c r="Y242" s="83"/>
    </row>
    <row r="243" spans="1:25" ht="13.8">
      <c r="A243" s="78" t="str">
        <f ca="1">IFERROR(__xludf.DUMMYFUNCTION("""COMPUTED_VALUE"""),"CP")</f>
        <v>CP</v>
      </c>
      <c r="B243" s="79" t="str">
        <f ca="1">IFERROR(__xludf.DUMMYFUNCTION("""COMPUTED_VALUE"""),"Alexandra Smith")</f>
        <v>Alexandra Smith</v>
      </c>
      <c r="C243" s="78">
        <f ca="1">IFERROR(__xludf.DUMMYFUNCTION("""COMPUTED_VALUE"""),7)</f>
        <v>7</v>
      </c>
      <c r="D243" s="78" t="str">
        <f ca="1">IFERROR(__xludf.DUMMYFUNCTION("""COMPUTED_VALUE"""),"G")</f>
        <v>G</v>
      </c>
      <c r="E243" s="80" t="str">
        <f ca="1">IFERROR(__xludf.DUMMYFUNCTION("""COMPUTED_VALUE"""),"F")</f>
        <v>F</v>
      </c>
      <c r="F243" s="80" t="str">
        <f ca="1">IFERROR(__xludf.DUMMYFUNCTION("""COMPUTED_VALUE"""),"J")</f>
        <v>J</v>
      </c>
      <c r="G243" s="80">
        <f ca="1">IFERROR(__xludf.DUMMYFUNCTION("""COMPUTED_VALUE"""),5)</f>
        <v>5</v>
      </c>
      <c r="H243" s="80" t="str">
        <f ca="1">IFERROR(__xludf.DUMMYFUNCTION("""COMPUTED_VALUE"""),"CP")</f>
        <v>CP</v>
      </c>
      <c r="I243" s="80">
        <f ca="1">IFERROR(__xludf.DUMMYFUNCTION("""COMPUTED_VALUE"""),2)</f>
        <v>2</v>
      </c>
      <c r="J243" s="81">
        <f ca="1">IFERROR(__xludf.DUMMYFUNCTION("""COMPUTED_VALUE"""),0)</f>
        <v>0</v>
      </c>
      <c r="K243" s="81">
        <f ca="1">IFERROR(__xludf.DUMMYFUNCTION("""COMPUTED_VALUE"""),0)</f>
        <v>0</v>
      </c>
      <c r="L243" s="81">
        <f ca="1">IFERROR(__xludf.DUMMYFUNCTION("""COMPUTED_VALUE"""),0)</f>
        <v>0</v>
      </c>
      <c r="M243" s="81"/>
      <c r="N243" s="81">
        <f ca="1">IFERROR(__xludf.DUMMYFUNCTION("""COMPUTED_VALUE"""),0)</f>
        <v>0</v>
      </c>
      <c r="O243" s="81"/>
      <c r="P243" s="81">
        <f ca="1">IFERROR(__xludf.DUMMYFUNCTION("""COMPUTED_VALUE"""),0)</f>
        <v>0</v>
      </c>
      <c r="Q243" s="81"/>
      <c r="R243" s="81">
        <f ca="1">IFERROR(__xludf.DUMMYFUNCTION("""COMPUTED_VALUE"""),0)</f>
        <v>0</v>
      </c>
      <c r="S243" s="81"/>
      <c r="T243" s="81"/>
      <c r="U243" s="82"/>
      <c r="V243" s="82"/>
      <c r="W243" s="83"/>
      <c r="X243" s="83"/>
      <c r="Y243" s="83"/>
    </row>
    <row r="244" spans="1:25" ht="13.8">
      <c r="A244" s="78" t="str">
        <f ca="1">IFERROR(__xludf.DUMMYFUNCTION("""COMPUTED_VALUE"""),"CP")</f>
        <v>CP</v>
      </c>
      <c r="B244" s="79" t="str">
        <f ca="1">IFERROR(__xludf.DUMMYFUNCTION("""COMPUTED_VALUE"""),"Sloan Tann")</f>
        <v>Sloan Tann</v>
      </c>
      <c r="C244" s="78">
        <f ca="1">IFERROR(__xludf.DUMMYFUNCTION("""COMPUTED_VALUE"""),10)</f>
        <v>10</v>
      </c>
      <c r="D244" s="78" t="str">
        <f ca="1">IFERROR(__xludf.DUMMYFUNCTION("""COMPUTED_VALUE"""),"G")</f>
        <v>G</v>
      </c>
      <c r="E244" s="80" t="str">
        <f ca="1">IFERROR(__xludf.DUMMYFUNCTION("""COMPUTED_VALUE"""),"F")</f>
        <v>F</v>
      </c>
      <c r="F244" s="80" t="str">
        <f ca="1">IFERROR(__xludf.DUMMYFUNCTION("""COMPUTED_VALUE"""),"J")</f>
        <v>J</v>
      </c>
      <c r="G244" s="80">
        <f ca="1">IFERROR(__xludf.DUMMYFUNCTION("""COMPUTED_VALUE"""),5)</f>
        <v>5</v>
      </c>
      <c r="H244" s="80" t="str">
        <f ca="1">IFERROR(__xludf.DUMMYFUNCTION("""COMPUTED_VALUE"""),"CP")</f>
        <v>CP</v>
      </c>
      <c r="I244" s="80">
        <f ca="1">IFERROR(__xludf.DUMMYFUNCTION("""COMPUTED_VALUE"""),2)</f>
        <v>2</v>
      </c>
      <c r="J244" s="81">
        <f ca="1">IFERROR(__xludf.DUMMYFUNCTION("""COMPUTED_VALUE"""),5)</f>
        <v>5</v>
      </c>
      <c r="K244" s="81">
        <f ca="1">IFERROR(__xludf.DUMMYFUNCTION("""COMPUTED_VALUE"""),90.1)</f>
        <v>90.1</v>
      </c>
      <c r="L244" s="81">
        <f ca="1">IFERROR(__xludf.DUMMYFUNCTION("""COMPUTED_VALUE"""),78.3)</f>
        <v>78.3</v>
      </c>
      <c r="M244" s="81"/>
      <c r="N244" s="81">
        <f ca="1">IFERROR(__xludf.DUMMYFUNCTION("""COMPUTED_VALUE"""),83.35)</f>
        <v>83.35</v>
      </c>
      <c r="O244" s="81"/>
      <c r="P244" s="81">
        <f ca="1">IFERROR(__xludf.DUMMYFUNCTION("""COMPUTED_VALUE"""),90.1)</f>
        <v>90.1</v>
      </c>
      <c r="Q244" s="81"/>
      <c r="R244" s="81">
        <f ca="1">IFERROR(__xludf.DUMMYFUNCTION("""COMPUTED_VALUE"""),81.6)</f>
        <v>81.599999999999994</v>
      </c>
      <c r="S244" s="81"/>
      <c r="T244" s="81"/>
      <c r="U244" s="82"/>
      <c r="V244" s="82"/>
      <c r="W244" s="83"/>
      <c r="X244" s="83"/>
      <c r="Y244" s="83"/>
    </row>
    <row r="245" spans="1:25" ht="13.8">
      <c r="A245" s="78" t="str">
        <f ca="1">IFERROR(__xludf.DUMMYFUNCTION("""COMPUTED_VALUE"""),"CP")</f>
        <v>CP</v>
      </c>
      <c r="B245" s="79" t="str">
        <f ca="1">IFERROR(__xludf.DUMMYFUNCTION("""COMPUTED_VALUE"""),"Aliya Zikria")</f>
        <v>Aliya Zikria</v>
      </c>
      <c r="C245" s="78">
        <f ca="1">IFERROR(__xludf.DUMMYFUNCTION("""COMPUTED_VALUE"""),9)</f>
        <v>9</v>
      </c>
      <c r="D245" s="78" t="str">
        <f ca="1">IFERROR(__xludf.DUMMYFUNCTION("""COMPUTED_VALUE"""),"G")</f>
        <v>G</v>
      </c>
      <c r="E245" s="80" t="str">
        <f ca="1">IFERROR(__xludf.DUMMYFUNCTION("""COMPUTED_VALUE"""),"F")</f>
        <v>F</v>
      </c>
      <c r="F245" s="80" t="str">
        <f ca="1">IFERROR(__xludf.DUMMYFUNCTION("""COMPUTED_VALUE"""),"J")</f>
        <v>J</v>
      </c>
      <c r="G245" s="80">
        <f ca="1">IFERROR(__xludf.DUMMYFUNCTION("""COMPUTED_VALUE"""),5)</f>
        <v>5</v>
      </c>
      <c r="H245" s="80" t="str">
        <f ca="1">IFERROR(__xludf.DUMMYFUNCTION("""COMPUTED_VALUE"""),"CP")</f>
        <v>CP</v>
      </c>
      <c r="I245" s="80">
        <f ca="1">IFERROR(__xludf.DUMMYFUNCTION("""COMPUTED_VALUE"""),2)</f>
        <v>2</v>
      </c>
      <c r="J245" s="81">
        <f ca="1">IFERROR(__xludf.DUMMYFUNCTION("""COMPUTED_VALUE"""),0)</f>
        <v>0</v>
      </c>
      <c r="K245" s="81">
        <f ca="1">IFERROR(__xludf.DUMMYFUNCTION("""COMPUTED_VALUE"""),0)</f>
        <v>0</v>
      </c>
      <c r="L245" s="81">
        <f ca="1">IFERROR(__xludf.DUMMYFUNCTION("""COMPUTED_VALUE"""),0)</f>
        <v>0</v>
      </c>
      <c r="M245" s="81"/>
      <c r="N245" s="81">
        <f ca="1">IFERROR(__xludf.DUMMYFUNCTION("""COMPUTED_VALUE"""),0)</f>
        <v>0</v>
      </c>
      <c r="O245" s="81"/>
      <c r="P245" s="81">
        <f ca="1">IFERROR(__xludf.DUMMYFUNCTION("""COMPUTED_VALUE"""),0)</f>
        <v>0</v>
      </c>
      <c r="Q245" s="81"/>
      <c r="R245" s="81">
        <f ca="1">IFERROR(__xludf.DUMMYFUNCTION("""COMPUTED_VALUE"""),0)</f>
        <v>0</v>
      </c>
      <c r="S245" s="81"/>
      <c r="T245" s="81"/>
      <c r="U245" s="82"/>
      <c r="V245" s="82"/>
      <c r="W245" s="83"/>
      <c r="X245" s="83"/>
      <c r="Y245" s="83"/>
    </row>
    <row r="246" spans="1:25" ht="13.8">
      <c r="A246" s="78" t="str">
        <f ca="1">IFERROR(__xludf.DUMMYFUNCTION("""COMPUTED_VALUE"""),"CP")</f>
        <v>CP</v>
      </c>
      <c r="B246" s="79" t="str">
        <f ca="1">IFERROR(__xludf.DUMMYFUNCTION("""COMPUTED_VALUE"""),"Caleb Cherryholmes-Wesley")</f>
        <v>Caleb Cherryholmes-Wesley</v>
      </c>
      <c r="C246" s="78">
        <f ca="1">IFERROR(__xludf.DUMMYFUNCTION("""COMPUTED_VALUE"""),9)</f>
        <v>9</v>
      </c>
      <c r="D246" s="78" t="str">
        <f ca="1">IFERROR(__xludf.DUMMYFUNCTION("""COMPUTED_VALUE"""),"B")</f>
        <v>B</v>
      </c>
      <c r="E246" s="80" t="str">
        <f ca="1">IFERROR(__xludf.DUMMYFUNCTION("""COMPUTED_VALUE"""),"F")</f>
        <v>F</v>
      </c>
      <c r="F246" s="80" t="str">
        <f ca="1">IFERROR(__xludf.DUMMYFUNCTION("""COMPUTED_VALUE"""),"J")</f>
        <v>J</v>
      </c>
      <c r="G246" s="80">
        <f ca="1">IFERROR(__xludf.DUMMYFUNCTION("""COMPUTED_VALUE"""),5)</f>
        <v>5</v>
      </c>
      <c r="H246" s="80" t="str">
        <f ca="1">IFERROR(__xludf.DUMMYFUNCTION("""COMPUTED_VALUE"""),"CP")</f>
        <v>CP</v>
      </c>
      <c r="I246" s="80">
        <f ca="1">IFERROR(__xludf.DUMMYFUNCTION("""COMPUTED_VALUE"""),3)</f>
        <v>3</v>
      </c>
      <c r="J246" s="81">
        <f ca="1">IFERROR(__xludf.DUMMYFUNCTION("""COMPUTED_VALUE"""),5)</f>
        <v>5</v>
      </c>
      <c r="K246" s="81">
        <f ca="1">IFERROR(__xludf.DUMMYFUNCTION("""COMPUTED_VALUE"""),72.25)</f>
        <v>72.25</v>
      </c>
      <c r="L246" s="81">
        <f ca="1">IFERROR(__xludf.DUMMYFUNCTION("""COMPUTED_VALUE"""),66)</f>
        <v>66</v>
      </c>
      <c r="M246" s="81"/>
      <c r="N246" s="81">
        <f ca="1">IFERROR(__xludf.DUMMYFUNCTION("""COMPUTED_VALUE"""),65.15)</f>
        <v>65.150000000000006</v>
      </c>
      <c r="O246" s="81"/>
      <c r="P246" s="81">
        <f ca="1">IFERROR(__xludf.DUMMYFUNCTION("""COMPUTED_VALUE"""),72.25)</f>
        <v>72.25</v>
      </c>
      <c r="Q246" s="81"/>
      <c r="R246" s="81">
        <f ca="1">IFERROR(__xludf.DUMMYFUNCTION("""COMPUTED_VALUE"""),62.15)</f>
        <v>62.15</v>
      </c>
      <c r="S246" s="81"/>
      <c r="T246" s="81"/>
      <c r="U246" s="82"/>
      <c r="V246" s="82"/>
      <c r="W246" s="83"/>
      <c r="X246" s="83"/>
      <c r="Y246" s="83"/>
    </row>
    <row r="247" spans="1:25" ht="13.8">
      <c r="A247" s="78" t="str">
        <f ca="1">IFERROR(__xludf.DUMMYFUNCTION("""COMPUTED_VALUE"""),"CP")</f>
        <v>CP</v>
      </c>
      <c r="B247" s="79" t="str">
        <f ca="1">IFERROR(__xludf.DUMMYFUNCTION("""COMPUTED_VALUE"""),"Nolan Cherryholmes-Wesley")</f>
        <v>Nolan Cherryholmes-Wesley</v>
      </c>
      <c r="C247" s="78">
        <f ca="1">IFERROR(__xludf.DUMMYFUNCTION("""COMPUTED_VALUE"""),6)</f>
        <v>6</v>
      </c>
      <c r="D247" s="78" t="str">
        <f ca="1">IFERROR(__xludf.DUMMYFUNCTION("""COMPUTED_VALUE"""),"B")</f>
        <v>B</v>
      </c>
      <c r="E247" s="80" t="str">
        <f ca="1">IFERROR(__xludf.DUMMYFUNCTION("""COMPUTED_VALUE"""),"F")</f>
        <v>F</v>
      </c>
      <c r="F247" s="80" t="str">
        <f ca="1">IFERROR(__xludf.DUMMYFUNCTION("""COMPUTED_VALUE"""),"J")</f>
        <v>J</v>
      </c>
      <c r="G247" s="80">
        <f ca="1">IFERROR(__xludf.DUMMYFUNCTION("""COMPUTED_VALUE"""),5)</f>
        <v>5</v>
      </c>
      <c r="H247" s="80" t="str">
        <f ca="1">IFERROR(__xludf.DUMMYFUNCTION("""COMPUTED_VALUE"""),"CP")</f>
        <v>CP</v>
      </c>
      <c r="I247" s="80">
        <f ca="1">IFERROR(__xludf.DUMMYFUNCTION("""COMPUTED_VALUE"""),3)</f>
        <v>3</v>
      </c>
      <c r="J247" s="81">
        <f ca="1">IFERROR(__xludf.DUMMYFUNCTION("""COMPUTED_VALUE"""),1)</f>
        <v>1</v>
      </c>
      <c r="K247" s="81">
        <f ca="1">IFERROR(__xludf.DUMMYFUNCTION("""COMPUTED_VALUE"""),0)</f>
        <v>0</v>
      </c>
      <c r="L247" s="81">
        <f ca="1">IFERROR(__xludf.DUMMYFUNCTION("""COMPUTED_VALUE"""),0)</f>
        <v>0</v>
      </c>
      <c r="M247" s="81"/>
      <c r="N247" s="81">
        <f ca="1">IFERROR(__xludf.DUMMYFUNCTION("""COMPUTED_VALUE"""),0)</f>
        <v>0</v>
      </c>
      <c r="O247" s="81"/>
      <c r="P247" s="81">
        <f ca="1">IFERROR(__xludf.DUMMYFUNCTION("""COMPUTED_VALUE"""),0)</f>
        <v>0</v>
      </c>
      <c r="Q247" s="81"/>
      <c r="R247" s="81">
        <f ca="1">IFERROR(__xludf.DUMMYFUNCTION("""COMPUTED_VALUE"""),0)</f>
        <v>0</v>
      </c>
      <c r="S247" s="81"/>
      <c r="T247" s="81"/>
      <c r="U247" s="82"/>
      <c r="V247" s="82"/>
      <c r="W247" s="83"/>
      <c r="X247" s="83"/>
      <c r="Y247" s="83"/>
    </row>
    <row r="248" spans="1:25" ht="13.8">
      <c r="A248" s="78" t="str">
        <f ca="1">IFERROR(__xludf.DUMMYFUNCTION("""COMPUTED_VALUE"""),"CP")</f>
        <v>CP</v>
      </c>
      <c r="B248" s="79" t="str">
        <f ca="1">IFERROR(__xludf.DUMMYFUNCTION("""COMPUTED_VALUE"""),"Evan Davis")</f>
        <v>Evan Davis</v>
      </c>
      <c r="C248" s="78">
        <f ca="1">IFERROR(__xludf.DUMMYFUNCTION("""COMPUTED_VALUE"""),10)</f>
        <v>10</v>
      </c>
      <c r="D248" s="78" t="str">
        <f ca="1">IFERROR(__xludf.DUMMYFUNCTION("""COMPUTED_VALUE"""),"B")</f>
        <v>B</v>
      </c>
      <c r="E248" s="80" t="str">
        <f ca="1">IFERROR(__xludf.DUMMYFUNCTION("""COMPUTED_VALUE"""),"F")</f>
        <v>F</v>
      </c>
      <c r="F248" s="80" t="str">
        <f ca="1">IFERROR(__xludf.DUMMYFUNCTION("""COMPUTED_VALUE"""),"J")</f>
        <v>J</v>
      </c>
      <c r="G248" s="80">
        <f ca="1">IFERROR(__xludf.DUMMYFUNCTION("""COMPUTED_VALUE"""),5)</f>
        <v>5</v>
      </c>
      <c r="H248" s="80" t="str">
        <f ca="1">IFERROR(__xludf.DUMMYFUNCTION("""COMPUTED_VALUE"""),"CP")</f>
        <v>CP</v>
      </c>
      <c r="I248" s="80">
        <f ca="1">IFERROR(__xludf.DUMMYFUNCTION("""COMPUTED_VALUE"""),3)</f>
        <v>3</v>
      </c>
      <c r="J248" s="81">
        <f ca="1">IFERROR(__xludf.DUMMYFUNCTION("""COMPUTED_VALUE"""),2)</f>
        <v>2</v>
      </c>
      <c r="K248" s="81">
        <f ca="1">IFERROR(__xludf.DUMMYFUNCTION("""COMPUTED_VALUE"""),49.25)</f>
        <v>49.25</v>
      </c>
      <c r="L248" s="81">
        <f ca="1">IFERROR(__xludf.DUMMYFUNCTION("""COMPUTED_VALUE"""),43.9)</f>
        <v>43.9</v>
      </c>
      <c r="M248" s="81"/>
      <c r="N248" s="81">
        <f ca="1">IFERROR(__xludf.DUMMYFUNCTION("""COMPUTED_VALUE"""),0)</f>
        <v>0</v>
      </c>
      <c r="O248" s="81"/>
      <c r="P248" s="81">
        <f ca="1">IFERROR(__xludf.DUMMYFUNCTION("""COMPUTED_VALUE"""),0)</f>
        <v>0</v>
      </c>
      <c r="Q248" s="81"/>
      <c r="R248" s="81">
        <f ca="1">IFERROR(__xludf.DUMMYFUNCTION("""COMPUTED_VALUE"""),49.25)</f>
        <v>49.25</v>
      </c>
      <c r="S248" s="81"/>
      <c r="T248" s="81"/>
      <c r="U248" s="82"/>
      <c r="V248" s="82"/>
      <c r="W248" s="83"/>
      <c r="X248" s="83"/>
      <c r="Y248" s="83"/>
    </row>
    <row r="249" spans="1:25" ht="13.8">
      <c r="A249" s="78" t="str">
        <f ca="1">IFERROR(__xludf.DUMMYFUNCTION("""COMPUTED_VALUE"""),"CP")</f>
        <v>CP</v>
      </c>
      <c r="B249" s="79" t="str">
        <f ca="1">IFERROR(__xludf.DUMMYFUNCTION("""COMPUTED_VALUE"""),"Easton Dugger")</f>
        <v>Easton Dugger</v>
      </c>
      <c r="C249" s="78">
        <f ca="1">IFERROR(__xludf.DUMMYFUNCTION("""COMPUTED_VALUE"""),8)</f>
        <v>8</v>
      </c>
      <c r="D249" s="78" t="str">
        <f ca="1">IFERROR(__xludf.DUMMYFUNCTION("""COMPUTED_VALUE"""),"B")</f>
        <v>B</v>
      </c>
      <c r="E249" s="80" t="str">
        <f ca="1">IFERROR(__xludf.DUMMYFUNCTION("""COMPUTED_VALUE"""),"F")</f>
        <v>F</v>
      </c>
      <c r="F249" s="80" t="str">
        <f ca="1">IFERROR(__xludf.DUMMYFUNCTION("""COMPUTED_VALUE"""),"J")</f>
        <v>J</v>
      </c>
      <c r="G249" s="80">
        <f ca="1">IFERROR(__xludf.DUMMYFUNCTION("""COMPUTED_VALUE"""),5)</f>
        <v>5</v>
      </c>
      <c r="H249" s="80" t="str">
        <f ca="1">IFERROR(__xludf.DUMMYFUNCTION("""COMPUTED_VALUE"""),"CP")</f>
        <v>CP</v>
      </c>
      <c r="I249" s="80">
        <f ca="1">IFERROR(__xludf.DUMMYFUNCTION("""COMPUTED_VALUE"""),3)</f>
        <v>3</v>
      </c>
      <c r="J249" s="81">
        <f ca="1">IFERROR(__xludf.DUMMYFUNCTION("""COMPUTED_VALUE"""),0)</f>
        <v>0</v>
      </c>
      <c r="K249" s="81">
        <f ca="1">IFERROR(__xludf.DUMMYFUNCTION("""COMPUTED_VALUE"""),0)</f>
        <v>0</v>
      </c>
      <c r="L249" s="81">
        <f ca="1">IFERROR(__xludf.DUMMYFUNCTION("""COMPUTED_VALUE"""),0)</f>
        <v>0</v>
      </c>
      <c r="M249" s="81"/>
      <c r="N249" s="81">
        <f ca="1">IFERROR(__xludf.DUMMYFUNCTION("""COMPUTED_VALUE"""),0)</f>
        <v>0</v>
      </c>
      <c r="O249" s="81"/>
      <c r="P249" s="81">
        <f ca="1">IFERROR(__xludf.DUMMYFUNCTION("""COMPUTED_VALUE"""),0)</f>
        <v>0</v>
      </c>
      <c r="Q249" s="81"/>
      <c r="R249" s="81">
        <f ca="1">IFERROR(__xludf.DUMMYFUNCTION("""COMPUTED_VALUE"""),0)</f>
        <v>0</v>
      </c>
      <c r="S249" s="81"/>
      <c r="T249" s="81"/>
      <c r="U249" s="82"/>
      <c r="V249" s="82"/>
      <c r="W249" s="83"/>
      <c r="X249" s="83"/>
      <c r="Y249" s="83"/>
    </row>
    <row r="250" spans="1:25" ht="13.8">
      <c r="A250" s="78" t="str">
        <f ca="1">IFERROR(__xludf.DUMMYFUNCTION("""COMPUTED_VALUE"""),"CP")</f>
        <v>CP</v>
      </c>
      <c r="B250" s="79" t="str">
        <f ca="1">IFERROR(__xludf.DUMMYFUNCTION("""COMPUTED_VALUE"""),"William Haskins")</f>
        <v>William Haskins</v>
      </c>
      <c r="C250" s="78">
        <f ca="1">IFERROR(__xludf.DUMMYFUNCTION("""COMPUTED_VALUE"""),10)</f>
        <v>10</v>
      </c>
      <c r="D250" s="78" t="str">
        <f ca="1">IFERROR(__xludf.DUMMYFUNCTION("""COMPUTED_VALUE"""),"B")</f>
        <v>B</v>
      </c>
      <c r="E250" s="80" t="str">
        <f ca="1">IFERROR(__xludf.DUMMYFUNCTION("""COMPUTED_VALUE"""),"F")</f>
        <v>F</v>
      </c>
      <c r="F250" s="80" t="str">
        <f ca="1">IFERROR(__xludf.DUMMYFUNCTION("""COMPUTED_VALUE"""),"J")</f>
        <v>J</v>
      </c>
      <c r="G250" s="80">
        <f ca="1">IFERROR(__xludf.DUMMYFUNCTION("""COMPUTED_VALUE"""),5)</f>
        <v>5</v>
      </c>
      <c r="H250" s="80" t="str">
        <f ca="1">IFERROR(__xludf.DUMMYFUNCTION("""COMPUTED_VALUE"""),"CP")</f>
        <v>CP</v>
      </c>
      <c r="I250" s="80">
        <f ca="1">IFERROR(__xludf.DUMMYFUNCTION("""COMPUTED_VALUE"""),3)</f>
        <v>3</v>
      </c>
      <c r="J250" s="81">
        <f ca="1">IFERROR(__xludf.DUMMYFUNCTION("""COMPUTED_VALUE"""),0)</f>
        <v>0</v>
      </c>
      <c r="K250" s="81">
        <f ca="1">IFERROR(__xludf.DUMMYFUNCTION("""COMPUTED_VALUE"""),0)</f>
        <v>0</v>
      </c>
      <c r="L250" s="81">
        <f ca="1">IFERROR(__xludf.DUMMYFUNCTION("""COMPUTED_VALUE"""),0)</f>
        <v>0</v>
      </c>
      <c r="M250" s="81"/>
      <c r="N250" s="81">
        <f ca="1">IFERROR(__xludf.DUMMYFUNCTION("""COMPUTED_VALUE"""),0)</f>
        <v>0</v>
      </c>
      <c r="O250" s="81"/>
      <c r="P250" s="81">
        <f ca="1">IFERROR(__xludf.DUMMYFUNCTION("""COMPUTED_VALUE"""),0)</f>
        <v>0</v>
      </c>
      <c r="Q250" s="81"/>
      <c r="R250" s="81">
        <f ca="1">IFERROR(__xludf.DUMMYFUNCTION("""COMPUTED_VALUE"""),0)</f>
        <v>0</v>
      </c>
      <c r="S250" s="81"/>
      <c r="T250" s="81"/>
      <c r="U250" s="82"/>
      <c r="V250" s="82"/>
      <c r="W250" s="83"/>
      <c r="X250" s="83"/>
      <c r="Y250" s="83"/>
    </row>
    <row r="251" spans="1:25" ht="13.8">
      <c r="A251" s="78" t="str">
        <f ca="1">IFERROR(__xludf.DUMMYFUNCTION("""COMPUTED_VALUE"""),"CP")</f>
        <v>CP</v>
      </c>
      <c r="B251" s="79" t="str">
        <f ca="1">IFERROR(__xludf.DUMMYFUNCTION("""COMPUTED_VALUE"""),"Ethan Johns")</f>
        <v>Ethan Johns</v>
      </c>
      <c r="C251" s="78">
        <f ca="1">IFERROR(__xludf.DUMMYFUNCTION("""COMPUTED_VALUE"""),10)</f>
        <v>10</v>
      </c>
      <c r="D251" s="78" t="str">
        <f ca="1">IFERROR(__xludf.DUMMYFUNCTION("""COMPUTED_VALUE"""),"B")</f>
        <v>B</v>
      </c>
      <c r="E251" s="80" t="str">
        <f ca="1">IFERROR(__xludf.DUMMYFUNCTION("""COMPUTED_VALUE"""),"F")</f>
        <v>F</v>
      </c>
      <c r="F251" s="80" t="str">
        <f ca="1">IFERROR(__xludf.DUMMYFUNCTION("""COMPUTED_VALUE"""),"J")</f>
        <v>J</v>
      </c>
      <c r="G251" s="80">
        <f ca="1">IFERROR(__xludf.DUMMYFUNCTION("""COMPUTED_VALUE"""),5)</f>
        <v>5</v>
      </c>
      <c r="H251" s="80" t="str">
        <f ca="1">IFERROR(__xludf.DUMMYFUNCTION("""COMPUTED_VALUE"""),"CP")</f>
        <v>CP</v>
      </c>
      <c r="I251" s="80">
        <f ca="1">IFERROR(__xludf.DUMMYFUNCTION("""COMPUTED_VALUE"""),3)</f>
        <v>3</v>
      </c>
      <c r="J251" s="81">
        <f ca="1">IFERROR(__xludf.DUMMYFUNCTION("""COMPUTED_VALUE"""),4)</f>
        <v>4</v>
      </c>
      <c r="K251" s="81">
        <f ca="1">IFERROR(__xludf.DUMMYFUNCTION("""COMPUTED_VALUE"""),69.2)</f>
        <v>69.2</v>
      </c>
      <c r="L251" s="81">
        <f ca="1">IFERROR(__xludf.DUMMYFUNCTION("""COMPUTED_VALUE"""),56.9)</f>
        <v>56.9</v>
      </c>
      <c r="M251" s="81"/>
      <c r="N251" s="81">
        <f ca="1">IFERROR(__xludf.DUMMYFUNCTION("""COMPUTED_VALUE"""),65.8)</f>
        <v>65.8</v>
      </c>
      <c r="O251" s="81"/>
      <c r="P251" s="81">
        <f ca="1">IFERROR(__xludf.DUMMYFUNCTION("""COMPUTED_VALUE"""),69.2)</f>
        <v>69.2</v>
      </c>
      <c r="Q251" s="81"/>
      <c r="R251" s="81">
        <f ca="1">IFERROR(__xludf.DUMMYFUNCTION("""COMPUTED_VALUE"""),-84.55)</f>
        <v>-84.55</v>
      </c>
      <c r="S251" s="81"/>
      <c r="T251" s="81"/>
      <c r="U251" s="82"/>
      <c r="V251" s="82"/>
      <c r="W251" s="83"/>
      <c r="X251" s="83"/>
      <c r="Y251" s="83"/>
    </row>
    <row r="252" spans="1:25" ht="13.8">
      <c r="A252" s="78" t="str">
        <f ca="1">IFERROR(__xludf.DUMMYFUNCTION("""COMPUTED_VALUE"""),"CP")</f>
        <v>CP</v>
      </c>
      <c r="B252" s="79" t="str">
        <f ca="1">IFERROR(__xludf.DUMMYFUNCTION("""COMPUTED_VALUE"""),"Gavin Johns")</f>
        <v>Gavin Johns</v>
      </c>
      <c r="C252" s="78">
        <f ca="1">IFERROR(__xludf.DUMMYFUNCTION("""COMPUTED_VALUE"""),8)</f>
        <v>8</v>
      </c>
      <c r="D252" s="78" t="str">
        <f ca="1">IFERROR(__xludf.DUMMYFUNCTION("""COMPUTED_VALUE"""),"B")</f>
        <v>B</v>
      </c>
      <c r="E252" s="80" t="str">
        <f ca="1">IFERROR(__xludf.DUMMYFUNCTION("""COMPUTED_VALUE"""),"F")</f>
        <v>F</v>
      </c>
      <c r="F252" s="80" t="str">
        <f ca="1">IFERROR(__xludf.DUMMYFUNCTION("""COMPUTED_VALUE"""),"J")</f>
        <v>J</v>
      </c>
      <c r="G252" s="80">
        <f ca="1">IFERROR(__xludf.DUMMYFUNCTION("""COMPUTED_VALUE"""),5)</f>
        <v>5</v>
      </c>
      <c r="H252" s="80" t="str">
        <f ca="1">IFERROR(__xludf.DUMMYFUNCTION("""COMPUTED_VALUE"""),"CP")</f>
        <v>CP</v>
      </c>
      <c r="I252" s="80">
        <f ca="1">IFERROR(__xludf.DUMMYFUNCTION("""COMPUTED_VALUE"""),3)</f>
        <v>3</v>
      </c>
      <c r="J252" s="81">
        <f ca="1">IFERROR(__xludf.DUMMYFUNCTION("""COMPUTED_VALUE"""),0)</f>
        <v>0</v>
      </c>
      <c r="K252" s="81">
        <f ca="1">IFERROR(__xludf.DUMMYFUNCTION("""COMPUTED_VALUE"""),0)</f>
        <v>0</v>
      </c>
      <c r="L252" s="81">
        <f ca="1">IFERROR(__xludf.DUMMYFUNCTION("""COMPUTED_VALUE"""),0)</f>
        <v>0</v>
      </c>
      <c r="M252" s="81"/>
      <c r="N252" s="81">
        <f ca="1">IFERROR(__xludf.DUMMYFUNCTION("""COMPUTED_VALUE"""),0)</f>
        <v>0</v>
      </c>
      <c r="O252" s="81"/>
      <c r="P252" s="81">
        <f ca="1">IFERROR(__xludf.DUMMYFUNCTION("""COMPUTED_VALUE"""),0)</f>
        <v>0</v>
      </c>
      <c r="Q252" s="81"/>
      <c r="R252" s="81">
        <f ca="1">IFERROR(__xludf.DUMMYFUNCTION("""COMPUTED_VALUE"""),0)</f>
        <v>0</v>
      </c>
      <c r="S252" s="81"/>
      <c r="T252" s="81"/>
      <c r="U252" s="82"/>
      <c r="V252" s="82"/>
      <c r="W252" s="83"/>
      <c r="X252" s="83"/>
      <c r="Y252" s="83"/>
    </row>
    <row r="253" spans="1:25" ht="13.8">
      <c r="A253" s="78" t="str">
        <f ca="1">IFERROR(__xludf.DUMMYFUNCTION("""COMPUTED_VALUE"""),"CP")</f>
        <v>CP</v>
      </c>
      <c r="B253" s="79" t="str">
        <f ca="1">IFERROR(__xludf.DUMMYFUNCTION("""COMPUTED_VALUE"""),"Hugh Keaney")</f>
        <v>Hugh Keaney</v>
      </c>
      <c r="C253" s="78">
        <f ca="1">IFERROR(__xludf.DUMMYFUNCTION("""COMPUTED_VALUE"""),8)</f>
        <v>8</v>
      </c>
      <c r="D253" s="78" t="str">
        <f ca="1">IFERROR(__xludf.DUMMYFUNCTION("""COMPUTED_VALUE"""),"B")</f>
        <v>B</v>
      </c>
      <c r="E253" s="80" t="str">
        <f ca="1">IFERROR(__xludf.DUMMYFUNCTION("""COMPUTED_VALUE"""),"F")</f>
        <v>F</v>
      </c>
      <c r="F253" s="80" t="str">
        <f ca="1">IFERROR(__xludf.DUMMYFUNCTION("""COMPUTED_VALUE"""),"J")</f>
        <v>J</v>
      </c>
      <c r="G253" s="80">
        <f ca="1">IFERROR(__xludf.DUMMYFUNCTION("""COMPUTED_VALUE"""),5)</f>
        <v>5</v>
      </c>
      <c r="H253" s="80" t="str">
        <f ca="1">IFERROR(__xludf.DUMMYFUNCTION("""COMPUTED_VALUE"""),"CP")</f>
        <v>CP</v>
      </c>
      <c r="I253" s="80">
        <f ca="1">IFERROR(__xludf.DUMMYFUNCTION("""COMPUTED_VALUE"""),3)</f>
        <v>3</v>
      </c>
      <c r="J253" s="81">
        <f ca="1">IFERROR(__xludf.DUMMYFUNCTION("""COMPUTED_VALUE"""),0)</f>
        <v>0</v>
      </c>
      <c r="K253" s="81">
        <f ca="1">IFERROR(__xludf.DUMMYFUNCTION("""COMPUTED_VALUE"""),0)</f>
        <v>0</v>
      </c>
      <c r="L253" s="81">
        <f ca="1">IFERROR(__xludf.DUMMYFUNCTION("""COMPUTED_VALUE"""),0)</f>
        <v>0</v>
      </c>
      <c r="M253" s="81"/>
      <c r="N253" s="81">
        <f ca="1">IFERROR(__xludf.DUMMYFUNCTION("""COMPUTED_VALUE"""),0)</f>
        <v>0</v>
      </c>
      <c r="O253" s="81"/>
      <c r="P253" s="81">
        <f ca="1">IFERROR(__xludf.DUMMYFUNCTION("""COMPUTED_VALUE"""),0)</f>
        <v>0</v>
      </c>
      <c r="Q253" s="81"/>
      <c r="R253" s="81">
        <f ca="1">IFERROR(__xludf.DUMMYFUNCTION("""COMPUTED_VALUE"""),0)</f>
        <v>0</v>
      </c>
      <c r="S253" s="81"/>
      <c r="T253" s="81"/>
      <c r="U253" s="82"/>
      <c r="V253" s="82"/>
      <c r="W253" s="83"/>
      <c r="X253" s="83"/>
      <c r="Y253" s="83"/>
    </row>
    <row r="254" spans="1:25" ht="13.8">
      <c r="A254" s="78" t="str">
        <f ca="1">IFERROR(__xludf.DUMMYFUNCTION("""COMPUTED_VALUE"""),"CP")</f>
        <v>CP</v>
      </c>
      <c r="B254" s="79" t="str">
        <f ca="1">IFERROR(__xludf.DUMMYFUNCTION("""COMPUTED_VALUE"""),"Luke Sabo")</f>
        <v>Luke Sabo</v>
      </c>
      <c r="C254" s="78">
        <f ca="1">IFERROR(__xludf.DUMMYFUNCTION("""COMPUTED_VALUE"""),10)</f>
        <v>10</v>
      </c>
      <c r="D254" s="78" t="str">
        <f ca="1">IFERROR(__xludf.DUMMYFUNCTION("""COMPUTED_VALUE"""),"B")</f>
        <v>B</v>
      </c>
      <c r="E254" s="80" t="str">
        <f ca="1">IFERROR(__xludf.DUMMYFUNCTION("""COMPUTED_VALUE"""),"F")</f>
        <v>F</v>
      </c>
      <c r="F254" s="80" t="str">
        <f ca="1">IFERROR(__xludf.DUMMYFUNCTION("""COMPUTED_VALUE"""),"J")</f>
        <v>J</v>
      </c>
      <c r="G254" s="80">
        <f ca="1">IFERROR(__xludf.DUMMYFUNCTION("""COMPUTED_VALUE"""),5)</f>
        <v>5</v>
      </c>
      <c r="H254" s="80" t="str">
        <f ca="1">IFERROR(__xludf.DUMMYFUNCTION("""COMPUTED_VALUE"""),"CP")</f>
        <v>CP</v>
      </c>
      <c r="I254" s="80">
        <f ca="1">IFERROR(__xludf.DUMMYFUNCTION("""COMPUTED_VALUE"""),3)</f>
        <v>3</v>
      </c>
      <c r="J254" s="81">
        <f ca="1">IFERROR(__xludf.DUMMYFUNCTION("""COMPUTED_VALUE"""),3)</f>
        <v>3</v>
      </c>
      <c r="K254" s="81">
        <f ca="1">IFERROR(__xludf.DUMMYFUNCTION("""COMPUTED_VALUE"""),47.7)</f>
        <v>47.7</v>
      </c>
      <c r="L254" s="81">
        <f ca="1">IFERROR(__xludf.DUMMYFUNCTION("""COMPUTED_VALUE"""),0)</f>
        <v>0</v>
      </c>
      <c r="M254" s="81"/>
      <c r="N254" s="81">
        <f ca="1">IFERROR(__xludf.DUMMYFUNCTION("""COMPUTED_VALUE"""),47.7)</f>
        <v>47.7</v>
      </c>
      <c r="O254" s="81"/>
      <c r="P254" s="81">
        <f ca="1">IFERROR(__xludf.DUMMYFUNCTION("""COMPUTED_VALUE"""),43.3)</f>
        <v>43.3</v>
      </c>
      <c r="Q254" s="81"/>
      <c r="R254" s="81">
        <f ca="1">IFERROR(__xludf.DUMMYFUNCTION("""COMPUTED_VALUE"""),46.7)</f>
        <v>46.7</v>
      </c>
      <c r="S254" s="81"/>
      <c r="T254" s="81"/>
      <c r="U254" s="82"/>
      <c r="V254" s="82"/>
      <c r="W254" s="83"/>
      <c r="X254" s="83"/>
      <c r="Y254" s="83"/>
    </row>
    <row r="255" spans="1:25" ht="13.8">
      <c r="A255" s="78" t="str">
        <f ca="1">IFERROR(__xludf.DUMMYFUNCTION("""COMPUTED_VALUE"""),"CP")</f>
        <v>CP</v>
      </c>
      <c r="B255" s="79" t="str">
        <f ca="1">IFERROR(__xludf.DUMMYFUNCTION("""COMPUTED_VALUE"""),"Ewan Stacey")</f>
        <v>Ewan Stacey</v>
      </c>
      <c r="C255" s="78">
        <f ca="1">IFERROR(__xludf.DUMMYFUNCTION("""COMPUTED_VALUE"""),9)</f>
        <v>9</v>
      </c>
      <c r="D255" s="78" t="str">
        <f ca="1">IFERROR(__xludf.DUMMYFUNCTION("""COMPUTED_VALUE"""),"B")</f>
        <v>B</v>
      </c>
      <c r="E255" s="80" t="str">
        <f ca="1">IFERROR(__xludf.DUMMYFUNCTION("""COMPUTED_VALUE"""),"F")</f>
        <v>F</v>
      </c>
      <c r="F255" s="80" t="str">
        <f ca="1">IFERROR(__xludf.DUMMYFUNCTION("""COMPUTED_VALUE"""),"J")</f>
        <v>J</v>
      </c>
      <c r="G255" s="80">
        <f ca="1">IFERROR(__xludf.DUMMYFUNCTION("""COMPUTED_VALUE"""),5)</f>
        <v>5</v>
      </c>
      <c r="H255" s="80" t="str">
        <f ca="1">IFERROR(__xludf.DUMMYFUNCTION("""COMPUTED_VALUE"""),"CP")</f>
        <v>CP</v>
      </c>
      <c r="I255" s="80">
        <f ca="1">IFERROR(__xludf.DUMMYFUNCTION("""COMPUTED_VALUE"""),3)</f>
        <v>3</v>
      </c>
      <c r="J255" s="81">
        <f ca="1">IFERROR(__xludf.DUMMYFUNCTION("""COMPUTED_VALUE"""),0)</f>
        <v>0</v>
      </c>
      <c r="K255" s="81">
        <f ca="1">IFERROR(__xludf.DUMMYFUNCTION("""COMPUTED_VALUE"""),0)</f>
        <v>0</v>
      </c>
      <c r="L255" s="81">
        <f ca="1">IFERROR(__xludf.DUMMYFUNCTION("""COMPUTED_VALUE"""),0)</f>
        <v>0</v>
      </c>
      <c r="M255" s="81"/>
      <c r="N255" s="81">
        <f ca="1">IFERROR(__xludf.DUMMYFUNCTION("""COMPUTED_VALUE"""),0)</f>
        <v>0</v>
      </c>
      <c r="O255" s="81"/>
      <c r="P255" s="81">
        <f ca="1">IFERROR(__xludf.DUMMYFUNCTION("""COMPUTED_VALUE"""),0)</f>
        <v>0</v>
      </c>
      <c r="Q255" s="81"/>
      <c r="R255" s="81">
        <f ca="1">IFERROR(__xludf.DUMMYFUNCTION("""COMPUTED_VALUE"""),0)</f>
        <v>0</v>
      </c>
      <c r="S255" s="81"/>
      <c r="T255" s="81"/>
      <c r="U255" s="82"/>
      <c r="V255" s="82"/>
      <c r="W255" s="83"/>
      <c r="X255" s="83"/>
      <c r="Y255" s="83"/>
    </row>
    <row r="256" spans="1:25" ht="13.8">
      <c r="A256" s="78" t="str">
        <f ca="1">IFERROR(__xludf.DUMMYFUNCTION("""COMPUTED_VALUE"""),"CP")</f>
        <v>CP</v>
      </c>
      <c r="B256" s="79" t="str">
        <f ca="1">IFERROR(__xludf.DUMMYFUNCTION("""COMPUTED_VALUE"""),"Ryan Stephens")</f>
        <v>Ryan Stephens</v>
      </c>
      <c r="C256" s="78">
        <f ca="1">IFERROR(__xludf.DUMMYFUNCTION("""COMPUTED_VALUE"""),8)</f>
        <v>8</v>
      </c>
      <c r="D256" s="78" t="str">
        <f ca="1">IFERROR(__xludf.DUMMYFUNCTION("""COMPUTED_VALUE"""),"B")</f>
        <v>B</v>
      </c>
      <c r="E256" s="80" t="str">
        <f ca="1">IFERROR(__xludf.DUMMYFUNCTION("""COMPUTED_VALUE"""),"F")</f>
        <v>F</v>
      </c>
      <c r="F256" s="80" t="str">
        <f ca="1">IFERROR(__xludf.DUMMYFUNCTION("""COMPUTED_VALUE"""),"J")</f>
        <v>J</v>
      </c>
      <c r="G256" s="80">
        <f ca="1">IFERROR(__xludf.DUMMYFUNCTION("""COMPUTED_VALUE"""),5)</f>
        <v>5</v>
      </c>
      <c r="H256" s="80" t="str">
        <f ca="1">IFERROR(__xludf.DUMMYFUNCTION("""COMPUTED_VALUE"""),"CP")</f>
        <v>CP</v>
      </c>
      <c r="I256" s="80">
        <f ca="1">IFERROR(__xludf.DUMMYFUNCTION("""COMPUTED_VALUE"""),3)</f>
        <v>3</v>
      </c>
      <c r="J256" s="81">
        <f ca="1">IFERROR(__xludf.DUMMYFUNCTION("""COMPUTED_VALUE"""),0)</f>
        <v>0</v>
      </c>
      <c r="K256" s="81">
        <f ca="1">IFERROR(__xludf.DUMMYFUNCTION("""COMPUTED_VALUE"""),0)</f>
        <v>0</v>
      </c>
      <c r="L256" s="81">
        <f ca="1">IFERROR(__xludf.DUMMYFUNCTION("""COMPUTED_VALUE"""),0)</f>
        <v>0</v>
      </c>
      <c r="M256" s="81"/>
      <c r="N256" s="81">
        <f ca="1">IFERROR(__xludf.DUMMYFUNCTION("""COMPUTED_VALUE"""),0)</f>
        <v>0</v>
      </c>
      <c r="O256" s="81"/>
      <c r="P256" s="81">
        <f ca="1">IFERROR(__xludf.DUMMYFUNCTION("""COMPUTED_VALUE"""),0)</f>
        <v>0</v>
      </c>
      <c r="Q256" s="81"/>
      <c r="R256" s="81">
        <f ca="1">IFERROR(__xludf.DUMMYFUNCTION("""COMPUTED_VALUE"""),0)</f>
        <v>0</v>
      </c>
      <c r="S256" s="81"/>
      <c r="T256" s="81"/>
      <c r="U256" s="82"/>
      <c r="V256" s="82"/>
      <c r="W256" s="83"/>
      <c r="X256" s="83"/>
      <c r="Y256" s="83"/>
    </row>
    <row r="257" spans="1:25" ht="13.8">
      <c r="A257" s="78" t="str">
        <f ca="1">IFERROR(__xludf.DUMMYFUNCTION("""COMPUTED_VALUE"""),"CP")</f>
        <v>CP</v>
      </c>
      <c r="B257" s="79" t="str">
        <f ca="1">IFERROR(__xludf.DUMMYFUNCTION("""COMPUTED_VALUE"""),"Josie Anderson")</f>
        <v>Josie Anderson</v>
      </c>
      <c r="C257" s="78">
        <f ca="1">IFERROR(__xludf.DUMMYFUNCTION("""COMPUTED_VALUE"""),11)</f>
        <v>11</v>
      </c>
      <c r="D257" s="78" t="str">
        <f ca="1">IFERROR(__xludf.DUMMYFUNCTION("""COMPUTED_VALUE"""),"G")</f>
        <v>G</v>
      </c>
      <c r="E257" s="80" t="str">
        <f ca="1">IFERROR(__xludf.DUMMYFUNCTION("""COMPUTED_VALUE"""),"J")</f>
        <v>J</v>
      </c>
      <c r="F257" s="80" t="str">
        <f ca="1">IFERROR(__xludf.DUMMYFUNCTION("""COMPUTED_VALUE"""),"I")</f>
        <v>I</v>
      </c>
      <c r="G257" s="80">
        <f ca="1">IFERROR(__xludf.DUMMYFUNCTION("""COMPUTED_VALUE"""),5)</f>
        <v>5</v>
      </c>
      <c r="H257" s="80" t="str">
        <f ca="1">IFERROR(__xludf.DUMMYFUNCTION("""COMPUTED_VALUE"""),"CP")</f>
        <v>CP</v>
      </c>
      <c r="I257" s="80">
        <f ca="1">IFERROR(__xludf.DUMMYFUNCTION("""COMPUTED_VALUE"""),4)</f>
        <v>4</v>
      </c>
      <c r="J257" s="81">
        <f ca="1">IFERROR(__xludf.DUMMYFUNCTION("""COMPUTED_VALUE"""),3)</f>
        <v>3</v>
      </c>
      <c r="K257" s="81">
        <f ca="1">IFERROR(__xludf.DUMMYFUNCTION("""COMPUTED_VALUE"""),100.8)</f>
        <v>100.8</v>
      </c>
      <c r="L257" s="81">
        <f ca="1">IFERROR(__xludf.DUMMYFUNCTION("""COMPUTED_VALUE"""),0)</f>
        <v>0</v>
      </c>
      <c r="M257" s="81"/>
      <c r="N257" s="81">
        <f ca="1">IFERROR(__xludf.DUMMYFUNCTION("""COMPUTED_VALUE"""),93.8)</f>
        <v>93.8</v>
      </c>
      <c r="O257" s="81"/>
      <c r="P257" s="81">
        <f ca="1">IFERROR(__xludf.DUMMYFUNCTION("""COMPUTED_VALUE"""),100.8)</f>
        <v>100.8</v>
      </c>
      <c r="Q257" s="81"/>
      <c r="R257" s="81">
        <f ca="1">IFERROR(__xludf.DUMMYFUNCTION("""COMPUTED_VALUE"""),80.6)</f>
        <v>80.599999999999994</v>
      </c>
      <c r="S257" s="81"/>
      <c r="T257" s="81"/>
      <c r="U257" s="82"/>
      <c r="V257" s="82"/>
      <c r="W257" s="83"/>
      <c r="X257" s="83"/>
      <c r="Y257" s="83"/>
    </row>
    <row r="258" spans="1:25" ht="13.8">
      <c r="A258" s="78" t="str">
        <f ca="1">IFERROR(__xludf.DUMMYFUNCTION("""COMPUTED_VALUE"""),"CP")</f>
        <v>CP</v>
      </c>
      <c r="B258" s="79" t="str">
        <f ca="1">IFERROR(__xludf.DUMMYFUNCTION("""COMPUTED_VALUE"""),"Caroline Apergis")</f>
        <v>Caroline Apergis</v>
      </c>
      <c r="C258" s="78">
        <f ca="1">IFERROR(__xludf.DUMMYFUNCTION("""COMPUTED_VALUE"""),12)</f>
        <v>12</v>
      </c>
      <c r="D258" s="78" t="str">
        <f ca="1">IFERROR(__xludf.DUMMYFUNCTION("""COMPUTED_VALUE"""),"G")</f>
        <v>G</v>
      </c>
      <c r="E258" s="80" t="str">
        <f ca="1">IFERROR(__xludf.DUMMYFUNCTION("""COMPUTED_VALUE"""),"J")</f>
        <v>J</v>
      </c>
      <c r="F258" s="80" t="str">
        <f ca="1">IFERROR(__xludf.DUMMYFUNCTION("""COMPUTED_VALUE"""),"I")</f>
        <v>I</v>
      </c>
      <c r="G258" s="80">
        <f ca="1">IFERROR(__xludf.DUMMYFUNCTION("""COMPUTED_VALUE"""),5)</f>
        <v>5</v>
      </c>
      <c r="H258" s="80" t="str">
        <f ca="1">IFERROR(__xludf.DUMMYFUNCTION("""COMPUTED_VALUE"""),"CP")</f>
        <v>CP</v>
      </c>
      <c r="I258" s="80">
        <f ca="1">IFERROR(__xludf.DUMMYFUNCTION("""COMPUTED_VALUE"""),4)</f>
        <v>4</v>
      </c>
      <c r="J258" s="81">
        <f ca="1">IFERROR(__xludf.DUMMYFUNCTION("""COMPUTED_VALUE"""),4)</f>
        <v>4</v>
      </c>
      <c r="K258" s="81">
        <f ca="1">IFERROR(__xludf.DUMMYFUNCTION("""COMPUTED_VALUE"""),92.7)</f>
        <v>92.7</v>
      </c>
      <c r="L258" s="81">
        <f ca="1">IFERROR(__xludf.DUMMYFUNCTION("""COMPUTED_VALUE"""),54.95)</f>
        <v>54.95</v>
      </c>
      <c r="M258" s="81"/>
      <c r="N258" s="81">
        <f ca="1">IFERROR(__xludf.DUMMYFUNCTION("""COMPUTED_VALUE"""),92.7)</f>
        <v>92.7</v>
      </c>
      <c r="O258" s="81"/>
      <c r="P258" s="81">
        <f ca="1">IFERROR(__xludf.DUMMYFUNCTION("""COMPUTED_VALUE"""),92.35)</f>
        <v>92.35</v>
      </c>
      <c r="Q258" s="81"/>
      <c r="R258" s="81">
        <f ca="1">IFERROR(__xludf.DUMMYFUNCTION("""COMPUTED_VALUE"""),72.5)</f>
        <v>72.5</v>
      </c>
      <c r="S258" s="81"/>
      <c r="T258" s="81"/>
      <c r="U258" s="82"/>
      <c r="V258" s="82"/>
      <c r="W258" s="83"/>
      <c r="X258" s="83"/>
      <c r="Y258" s="83"/>
    </row>
    <row r="259" spans="1:25" ht="13.8">
      <c r="A259" s="78" t="str">
        <f ca="1">IFERROR(__xludf.DUMMYFUNCTION("""COMPUTED_VALUE"""),"CP")</f>
        <v>CP</v>
      </c>
      <c r="B259" s="79" t="str">
        <f ca="1">IFERROR(__xludf.DUMMYFUNCTION("""COMPUTED_VALUE"""),"Layla Azami")</f>
        <v>Layla Azami</v>
      </c>
      <c r="C259" s="78">
        <f ca="1">IFERROR(__xludf.DUMMYFUNCTION("""COMPUTED_VALUE"""),11)</f>
        <v>11</v>
      </c>
      <c r="D259" s="78" t="str">
        <f ca="1">IFERROR(__xludf.DUMMYFUNCTION("""COMPUTED_VALUE"""),"G")</f>
        <v>G</v>
      </c>
      <c r="E259" s="80" t="str">
        <f ca="1">IFERROR(__xludf.DUMMYFUNCTION("""COMPUTED_VALUE"""),"J")</f>
        <v>J</v>
      </c>
      <c r="F259" s="80" t="str">
        <f ca="1">IFERROR(__xludf.DUMMYFUNCTION("""COMPUTED_VALUE"""),"I")</f>
        <v>I</v>
      </c>
      <c r="G259" s="80">
        <f ca="1">IFERROR(__xludf.DUMMYFUNCTION("""COMPUTED_VALUE"""),5)</f>
        <v>5</v>
      </c>
      <c r="H259" s="80" t="str">
        <f ca="1">IFERROR(__xludf.DUMMYFUNCTION("""COMPUTED_VALUE"""),"CP")</f>
        <v>CP</v>
      </c>
      <c r="I259" s="80">
        <f ca="1">IFERROR(__xludf.DUMMYFUNCTION("""COMPUTED_VALUE"""),4)</f>
        <v>4</v>
      </c>
      <c r="J259" s="81">
        <f ca="1">IFERROR(__xludf.DUMMYFUNCTION("""COMPUTED_VALUE"""),0)</f>
        <v>0</v>
      </c>
      <c r="K259" s="81">
        <f ca="1">IFERROR(__xludf.DUMMYFUNCTION("""COMPUTED_VALUE"""),0)</f>
        <v>0</v>
      </c>
      <c r="L259" s="81">
        <f ca="1">IFERROR(__xludf.DUMMYFUNCTION("""COMPUTED_VALUE"""),0)</f>
        <v>0</v>
      </c>
      <c r="M259" s="81"/>
      <c r="N259" s="81">
        <f ca="1">IFERROR(__xludf.DUMMYFUNCTION("""COMPUTED_VALUE"""),0)</f>
        <v>0</v>
      </c>
      <c r="O259" s="81"/>
      <c r="P259" s="81">
        <f ca="1">IFERROR(__xludf.DUMMYFUNCTION("""COMPUTED_VALUE"""),0)</f>
        <v>0</v>
      </c>
      <c r="Q259" s="81"/>
      <c r="R259" s="81">
        <f ca="1">IFERROR(__xludf.DUMMYFUNCTION("""COMPUTED_VALUE"""),0)</f>
        <v>0</v>
      </c>
      <c r="S259" s="81"/>
      <c r="T259" s="81"/>
      <c r="U259" s="82"/>
      <c r="V259" s="82"/>
      <c r="W259" s="83"/>
      <c r="X259" s="83"/>
      <c r="Y259" s="83"/>
    </row>
    <row r="260" spans="1:25" ht="13.8">
      <c r="A260" s="78" t="str">
        <f ca="1">IFERROR(__xludf.DUMMYFUNCTION("""COMPUTED_VALUE"""),"CP")</f>
        <v>CP</v>
      </c>
      <c r="B260" s="79" t="str">
        <f ca="1">IFERROR(__xludf.DUMMYFUNCTION("""COMPUTED_VALUE"""),"Kelsey Davis")</f>
        <v>Kelsey Davis</v>
      </c>
      <c r="C260" s="78">
        <f ca="1">IFERROR(__xludf.DUMMYFUNCTION("""COMPUTED_VALUE"""),12)</f>
        <v>12</v>
      </c>
      <c r="D260" s="78" t="str">
        <f ca="1">IFERROR(__xludf.DUMMYFUNCTION("""COMPUTED_VALUE"""),"G")</f>
        <v>G</v>
      </c>
      <c r="E260" s="80" t="str">
        <f ca="1">IFERROR(__xludf.DUMMYFUNCTION("""COMPUTED_VALUE"""),"J")</f>
        <v>J</v>
      </c>
      <c r="F260" s="80" t="str">
        <f ca="1">IFERROR(__xludf.DUMMYFUNCTION("""COMPUTED_VALUE"""),"I")</f>
        <v>I</v>
      </c>
      <c r="G260" s="80">
        <f ca="1">IFERROR(__xludf.DUMMYFUNCTION("""COMPUTED_VALUE"""),5)</f>
        <v>5</v>
      </c>
      <c r="H260" s="80" t="str">
        <f ca="1">IFERROR(__xludf.DUMMYFUNCTION("""COMPUTED_VALUE"""),"CP")</f>
        <v>CP</v>
      </c>
      <c r="I260" s="80">
        <f ca="1">IFERROR(__xludf.DUMMYFUNCTION("""COMPUTED_VALUE"""),4)</f>
        <v>4</v>
      </c>
      <c r="J260" s="81">
        <f ca="1">IFERROR(__xludf.DUMMYFUNCTION("""COMPUTED_VALUE"""),4)</f>
        <v>4</v>
      </c>
      <c r="K260" s="81">
        <f ca="1">IFERROR(__xludf.DUMMYFUNCTION("""COMPUTED_VALUE"""),92.05)</f>
        <v>92.05</v>
      </c>
      <c r="L260" s="81">
        <f ca="1">IFERROR(__xludf.DUMMYFUNCTION("""COMPUTED_VALUE"""),0)</f>
        <v>0</v>
      </c>
      <c r="M260" s="81"/>
      <c r="N260" s="81">
        <f ca="1">IFERROR(__xludf.DUMMYFUNCTION("""COMPUTED_VALUE"""),90.95)</f>
        <v>90.95</v>
      </c>
      <c r="O260" s="81"/>
      <c r="P260" s="81">
        <f ca="1">IFERROR(__xludf.DUMMYFUNCTION("""COMPUTED_VALUE"""),92.05)</f>
        <v>92.05</v>
      </c>
      <c r="Q260" s="81"/>
      <c r="R260" s="81">
        <f ca="1">IFERROR(__xludf.DUMMYFUNCTION("""COMPUTED_VALUE"""),72.65)</f>
        <v>72.650000000000006</v>
      </c>
      <c r="S260" s="81"/>
      <c r="T260" s="81"/>
      <c r="U260" s="82"/>
      <c r="V260" s="82"/>
      <c r="W260" s="83"/>
      <c r="X260" s="83"/>
      <c r="Y260" s="83"/>
    </row>
    <row r="261" spans="1:25" ht="13.8">
      <c r="A261" s="78" t="str">
        <f ca="1">IFERROR(__xludf.DUMMYFUNCTION("""COMPUTED_VALUE"""),"CP")</f>
        <v>CP</v>
      </c>
      <c r="B261" s="79" t="str">
        <f ca="1">IFERROR(__xludf.DUMMYFUNCTION("""COMPUTED_VALUE"""),"Quinn Harris")</f>
        <v>Quinn Harris</v>
      </c>
      <c r="C261" s="78">
        <f ca="1">IFERROR(__xludf.DUMMYFUNCTION("""COMPUTED_VALUE"""),11)</f>
        <v>11</v>
      </c>
      <c r="D261" s="78" t="str">
        <f ca="1">IFERROR(__xludf.DUMMYFUNCTION("""COMPUTED_VALUE"""),"G")</f>
        <v>G</v>
      </c>
      <c r="E261" s="80" t="str">
        <f ca="1">IFERROR(__xludf.DUMMYFUNCTION("""COMPUTED_VALUE"""),"J")</f>
        <v>J</v>
      </c>
      <c r="F261" s="80" t="str">
        <f ca="1">IFERROR(__xludf.DUMMYFUNCTION("""COMPUTED_VALUE"""),"I")</f>
        <v>I</v>
      </c>
      <c r="G261" s="80">
        <f ca="1">IFERROR(__xludf.DUMMYFUNCTION("""COMPUTED_VALUE"""),5)</f>
        <v>5</v>
      </c>
      <c r="H261" s="80" t="str">
        <f ca="1">IFERROR(__xludf.DUMMYFUNCTION("""COMPUTED_VALUE"""),"CP")</f>
        <v>CP</v>
      </c>
      <c r="I261" s="80">
        <f ca="1">IFERROR(__xludf.DUMMYFUNCTION("""COMPUTED_VALUE"""),4)</f>
        <v>4</v>
      </c>
      <c r="J261" s="81">
        <f ca="1">IFERROR(__xludf.DUMMYFUNCTION("""COMPUTED_VALUE"""),5)</f>
        <v>5</v>
      </c>
      <c r="K261" s="81">
        <f ca="1">IFERROR(__xludf.DUMMYFUNCTION("""COMPUTED_VALUE"""),116)</f>
        <v>116</v>
      </c>
      <c r="L261" s="81">
        <f ca="1">IFERROR(__xludf.DUMMYFUNCTION("""COMPUTED_VALUE"""),-121.6)</f>
        <v>-121.6</v>
      </c>
      <c r="M261" s="81"/>
      <c r="N261" s="81">
        <f ca="1">IFERROR(__xludf.DUMMYFUNCTION("""COMPUTED_VALUE"""),-138.95)</f>
        <v>-138.94999999999999</v>
      </c>
      <c r="O261" s="81"/>
      <c r="P261" s="81">
        <f ca="1">IFERROR(__xludf.DUMMYFUNCTION("""COMPUTED_VALUE"""),116)</f>
        <v>116</v>
      </c>
      <c r="Q261" s="81"/>
      <c r="R261" s="81">
        <f ca="1">IFERROR(__xludf.DUMMYFUNCTION("""COMPUTED_VALUE"""),92.85)</f>
        <v>92.85</v>
      </c>
      <c r="S261" s="81"/>
      <c r="T261" s="81"/>
      <c r="U261" s="82"/>
      <c r="V261" s="82"/>
      <c r="W261" s="83"/>
      <c r="X261" s="83"/>
      <c r="Y261" s="83"/>
    </row>
    <row r="262" spans="1:25" ht="13.8">
      <c r="A262" s="78" t="str">
        <f ca="1">IFERROR(__xludf.DUMMYFUNCTION("""COMPUTED_VALUE"""),"CP")</f>
        <v>CP</v>
      </c>
      <c r="B262" s="79" t="str">
        <f ca="1">IFERROR(__xludf.DUMMYFUNCTION("""COMPUTED_VALUE"""),"Carleigh Haskins")</f>
        <v>Carleigh Haskins</v>
      </c>
      <c r="C262" s="78">
        <f ca="1">IFERROR(__xludf.DUMMYFUNCTION("""COMPUTED_VALUE"""),12)</f>
        <v>12</v>
      </c>
      <c r="D262" s="78" t="str">
        <f ca="1">IFERROR(__xludf.DUMMYFUNCTION("""COMPUTED_VALUE"""),"G")</f>
        <v>G</v>
      </c>
      <c r="E262" s="80" t="str">
        <f ca="1">IFERROR(__xludf.DUMMYFUNCTION("""COMPUTED_VALUE"""),"J")</f>
        <v>J</v>
      </c>
      <c r="F262" s="80" t="str">
        <f ca="1">IFERROR(__xludf.DUMMYFUNCTION("""COMPUTED_VALUE"""),"I")</f>
        <v>I</v>
      </c>
      <c r="G262" s="80">
        <f ca="1">IFERROR(__xludf.DUMMYFUNCTION("""COMPUTED_VALUE"""),5)</f>
        <v>5</v>
      </c>
      <c r="H262" s="80" t="str">
        <f ca="1">IFERROR(__xludf.DUMMYFUNCTION("""COMPUTED_VALUE"""),"CP")</f>
        <v>CP</v>
      </c>
      <c r="I262" s="80">
        <f ca="1">IFERROR(__xludf.DUMMYFUNCTION("""COMPUTED_VALUE"""),4)</f>
        <v>4</v>
      </c>
      <c r="J262" s="81">
        <f ca="1">IFERROR(__xludf.DUMMYFUNCTION("""COMPUTED_VALUE"""),4)</f>
        <v>4</v>
      </c>
      <c r="K262" s="81">
        <f ca="1">IFERROR(__xludf.DUMMYFUNCTION("""COMPUTED_VALUE"""),80.85)</f>
        <v>80.849999999999994</v>
      </c>
      <c r="L262" s="81">
        <f ca="1">IFERROR(__xludf.DUMMYFUNCTION("""COMPUTED_VALUE"""),49.5)</f>
        <v>49.5</v>
      </c>
      <c r="M262" s="81"/>
      <c r="N262" s="81">
        <f ca="1">IFERROR(__xludf.DUMMYFUNCTION("""COMPUTED_VALUE"""),78.9)</f>
        <v>78.900000000000006</v>
      </c>
      <c r="O262" s="81"/>
      <c r="P262" s="81">
        <f ca="1">IFERROR(__xludf.DUMMYFUNCTION("""COMPUTED_VALUE"""),80.85)</f>
        <v>80.849999999999994</v>
      </c>
      <c r="Q262" s="81"/>
      <c r="R262" s="81">
        <f ca="1">IFERROR(__xludf.DUMMYFUNCTION("""COMPUTED_VALUE"""),72.6)</f>
        <v>72.599999999999994</v>
      </c>
      <c r="S262" s="81"/>
      <c r="T262" s="81"/>
      <c r="U262" s="82"/>
      <c r="V262" s="82"/>
      <c r="W262" s="83"/>
      <c r="X262" s="83"/>
      <c r="Y262" s="83"/>
    </row>
    <row r="263" spans="1:25" ht="13.8">
      <c r="A263" s="78" t="str">
        <f ca="1">IFERROR(__xludf.DUMMYFUNCTION("""COMPUTED_VALUE"""),"CP")</f>
        <v>CP</v>
      </c>
      <c r="B263" s="79" t="str">
        <f ca="1">IFERROR(__xludf.DUMMYFUNCTION("""COMPUTED_VALUE"""),"Amari Scruggs")</f>
        <v>Amari Scruggs</v>
      </c>
      <c r="C263" s="78">
        <f ca="1">IFERROR(__xludf.DUMMYFUNCTION("""COMPUTED_VALUE"""),12)</f>
        <v>12</v>
      </c>
      <c r="D263" s="78" t="str">
        <f ca="1">IFERROR(__xludf.DUMMYFUNCTION("""COMPUTED_VALUE"""),"G")</f>
        <v>G</v>
      </c>
      <c r="E263" s="80" t="str">
        <f ca="1">IFERROR(__xludf.DUMMYFUNCTION("""COMPUTED_VALUE"""),"J")</f>
        <v>J</v>
      </c>
      <c r="F263" s="80" t="str">
        <f ca="1">IFERROR(__xludf.DUMMYFUNCTION("""COMPUTED_VALUE"""),"I")</f>
        <v>I</v>
      </c>
      <c r="G263" s="80">
        <f ca="1">IFERROR(__xludf.DUMMYFUNCTION("""COMPUTED_VALUE"""),5)</f>
        <v>5</v>
      </c>
      <c r="H263" s="80" t="str">
        <f ca="1">IFERROR(__xludf.DUMMYFUNCTION("""COMPUTED_VALUE"""),"CP")</f>
        <v>CP</v>
      </c>
      <c r="I263" s="80">
        <f ca="1">IFERROR(__xludf.DUMMYFUNCTION("""COMPUTED_VALUE"""),4)</f>
        <v>4</v>
      </c>
      <c r="J263" s="81">
        <f ca="1">IFERROR(__xludf.DUMMYFUNCTION("""COMPUTED_VALUE"""),3)</f>
        <v>3</v>
      </c>
      <c r="K263" s="81">
        <f ca="1">IFERROR(__xludf.DUMMYFUNCTION("""COMPUTED_VALUE"""),98)</f>
        <v>98</v>
      </c>
      <c r="L263" s="81">
        <f ca="1">IFERROR(__xludf.DUMMYFUNCTION("""COMPUTED_VALUE"""),81.25)</f>
        <v>81.25</v>
      </c>
      <c r="M263" s="81"/>
      <c r="N263" s="81">
        <f ca="1">IFERROR(__xludf.DUMMYFUNCTION("""COMPUTED_VALUE"""),98)</f>
        <v>98</v>
      </c>
      <c r="O263" s="81"/>
      <c r="P263" s="81">
        <f ca="1">IFERROR(__xludf.DUMMYFUNCTION("""COMPUTED_VALUE"""),0)</f>
        <v>0</v>
      </c>
      <c r="Q263" s="81"/>
      <c r="R263" s="81">
        <f ca="1">IFERROR(__xludf.DUMMYFUNCTION("""COMPUTED_VALUE"""),0)</f>
        <v>0</v>
      </c>
      <c r="S263" s="81"/>
      <c r="T263" s="81"/>
      <c r="U263" s="82"/>
      <c r="V263" s="82"/>
      <c r="W263" s="83"/>
      <c r="X263" s="83"/>
      <c r="Y263" s="83"/>
    </row>
    <row r="264" spans="1:25" ht="13.8">
      <c r="A264" s="78" t="str">
        <f ca="1">IFERROR(__xludf.DUMMYFUNCTION("""COMPUTED_VALUE"""),"CP")</f>
        <v>CP</v>
      </c>
      <c r="B264" s="79" t="str">
        <f ca="1">IFERROR(__xludf.DUMMYFUNCTION("""COMPUTED_VALUE"""),"Natalie Scully")</f>
        <v>Natalie Scully</v>
      </c>
      <c r="C264" s="78">
        <f ca="1">IFERROR(__xludf.DUMMYFUNCTION("""COMPUTED_VALUE"""),12)</f>
        <v>12</v>
      </c>
      <c r="D264" s="78" t="str">
        <f ca="1">IFERROR(__xludf.DUMMYFUNCTION("""COMPUTED_VALUE"""),"G")</f>
        <v>G</v>
      </c>
      <c r="E264" s="80" t="str">
        <f ca="1">IFERROR(__xludf.DUMMYFUNCTION("""COMPUTED_VALUE"""),"J")</f>
        <v>J</v>
      </c>
      <c r="F264" s="80" t="str">
        <f ca="1">IFERROR(__xludf.DUMMYFUNCTION("""COMPUTED_VALUE"""),"I")</f>
        <v>I</v>
      </c>
      <c r="G264" s="80">
        <f ca="1">IFERROR(__xludf.DUMMYFUNCTION("""COMPUTED_VALUE"""),5)</f>
        <v>5</v>
      </c>
      <c r="H264" s="80" t="str">
        <f ca="1">IFERROR(__xludf.DUMMYFUNCTION("""COMPUTED_VALUE"""),"CP")</f>
        <v>CP</v>
      </c>
      <c r="I264" s="80">
        <f ca="1">IFERROR(__xludf.DUMMYFUNCTION("""COMPUTED_VALUE"""),4)</f>
        <v>4</v>
      </c>
      <c r="J264" s="81">
        <f ca="1">IFERROR(__xludf.DUMMYFUNCTION("""COMPUTED_VALUE"""),3)</f>
        <v>3</v>
      </c>
      <c r="K264" s="81">
        <f ca="1">IFERROR(__xludf.DUMMYFUNCTION("""COMPUTED_VALUE"""),93.55)</f>
        <v>93.55</v>
      </c>
      <c r="L264" s="81">
        <f ca="1">IFERROR(__xludf.DUMMYFUNCTION("""COMPUTED_VALUE"""),79.95)</f>
        <v>79.95</v>
      </c>
      <c r="M264" s="81"/>
      <c r="N264" s="81">
        <f ca="1">IFERROR(__xludf.DUMMYFUNCTION("""COMPUTED_VALUE"""),93.55)</f>
        <v>93.55</v>
      </c>
      <c r="O264" s="81"/>
      <c r="P264" s="81">
        <f ca="1">IFERROR(__xludf.DUMMYFUNCTION("""COMPUTED_VALUE"""),0)</f>
        <v>0</v>
      </c>
      <c r="Q264" s="81"/>
      <c r="R264" s="81">
        <f ca="1">IFERROR(__xludf.DUMMYFUNCTION("""COMPUTED_VALUE"""),80.15)</f>
        <v>80.150000000000006</v>
      </c>
      <c r="S264" s="81"/>
      <c r="T264" s="81"/>
      <c r="U264" s="82"/>
      <c r="V264" s="82"/>
      <c r="W264" s="83"/>
      <c r="X264" s="83"/>
      <c r="Y264" s="83"/>
    </row>
    <row r="265" spans="1:25" ht="13.8">
      <c r="A265" s="78" t="str">
        <f ca="1">IFERROR(__xludf.DUMMYFUNCTION("""COMPUTED_VALUE"""),"CP")</f>
        <v>CP</v>
      </c>
      <c r="B265" s="79" t="str">
        <f ca="1">IFERROR(__xludf.DUMMYFUNCTION("""COMPUTED_VALUE"""),"Warren Drake")</f>
        <v>Warren Drake</v>
      </c>
      <c r="C265" s="78">
        <f ca="1">IFERROR(__xludf.DUMMYFUNCTION("""COMPUTED_VALUE"""),11)</f>
        <v>11</v>
      </c>
      <c r="D265" s="78" t="str">
        <f ca="1">IFERROR(__xludf.DUMMYFUNCTION("""COMPUTED_VALUE"""),"B")</f>
        <v>B</v>
      </c>
      <c r="E265" s="80" t="str">
        <f ca="1">IFERROR(__xludf.DUMMYFUNCTION("""COMPUTED_VALUE"""),"J")</f>
        <v>J</v>
      </c>
      <c r="F265" s="80" t="str">
        <f ca="1">IFERROR(__xludf.DUMMYFUNCTION("""COMPUTED_VALUE"""),"I")</f>
        <v>I</v>
      </c>
      <c r="G265" s="80">
        <f ca="1">IFERROR(__xludf.DUMMYFUNCTION("""COMPUTED_VALUE"""),5)</f>
        <v>5</v>
      </c>
      <c r="H265" s="80" t="str">
        <f ca="1">IFERROR(__xludf.DUMMYFUNCTION("""COMPUTED_VALUE"""),"CP")</f>
        <v>CP</v>
      </c>
      <c r="I265" s="80">
        <f ca="1">IFERROR(__xludf.DUMMYFUNCTION("""COMPUTED_VALUE"""),5)</f>
        <v>5</v>
      </c>
      <c r="J265" s="81">
        <f ca="1">IFERROR(__xludf.DUMMYFUNCTION("""COMPUTED_VALUE"""),0)</f>
        <v>0</v>
      </c>
      <c r="K265" s="81">
        <f ca="1">IFERROR(__xludf.DUMMYFUNCTION("""COMPUTED_VALUE"""),0)</f>
        <v>0</v>
      </c>
      <c r="L265" s="81">
        <f ca="1">IFERROR(__xludf.DUMMYFUNCTION("""COMPUTED_VALUE"""),0)</f>
        <v>0</v>
      </c>
      <c r="M265" s="81"/>
      <c r="N265" s="81">
        <f ca="1">IFERROR(__xludf.DUMMYFUNCTION("""COMPUTED_VALUE"""),0)</f>
        <v>0</v>
      </c>
      <c r="O265" s="81"/>
      <c r="P265" s="81">
        <f ca="1">IFERROR(__xludf.DUMMYFUNCTION("""COMPUTED_VALUE"""),0)</f>
        <v>0</v>
      </c>
      <c r="Q265" s="81"/>
      <c r="R265" s="81">
        <f ca="1">IFERROR(__xludf.DUMMYFUNCTION("""COMPUTED_VALUE"""),0)</f>
        <v>0</v>
      </c>
      <c r="S265" s="81"/>
      <c r="T265" s="81"/>
      <c r="U265" s="82"/>
      <c r="V265" s="82"/>
      <c r="W265" s="83"/>
      <c r="X265" s="83"/>
      <c r="Y265" s="83"/>
    </row>
    <row r="266" spans="1:25" ht="13.8">
      <c r="A266" s="78" t="str">
        <f ca="1">IFERROR(__xludf.DUMMYFUNCTION("""COMPUTED_VALUE"""),"CP")</f>
        <v>CP</v>
      </c>
      <c r="B266" s="79" t="str">
        <f ca="1">IFERROR(__xludf.DUMMYFUNCTION("""COMPUTED_VALUE"""),"Grant Fricke")</f>
        <v>Grant Fricke</v>
      </c>
      <c r="C266" s="78">
        <f ca="1">IFERROR(__xludf.DUMMYFUNCTION("""COMPUTED_VALUE"""),12)</f>
        <v>12</v>
      </c>
      <c r="D266" s="78" t="str">
        <f ca="1">IFERROR(__xludf.DUMMYFUNCTION("""COMPUTED_VALUE"""),"B")</f>
        <v>B</v>
      </c>
      <c r="E266" s="80" t="str">
        <f ca="1">IFERROR(__xludf.DUMMYFUNCTION("""COMPUTED_VALUE"""),"J")</f>
        <v>J</v>
      </c>
      <c r="F266" s="80" t="str">
        <f ca="1">IFERROR(__xludf.DUMMYFUNCTION("""COMPUTED_VALUE"""),"I")</f>
        <v>I</v>
      </c>
      <c r="G266" s="80">
        <f ca="1">IFERROR(__xludf.DUMMYFUNCTION("""COMPUTED_VALUE"""),5)</f>
        <v>5</v>
      </c>
      <c r="H266" s="80" t="str">
        <f ca="1">IFERROR(__xludf.DUMMYFUNCTION("""COMPUTED_VALUE"""),"CP")</f>
        <v>CP</v>
      </c>
      <c r="I266" s="80">
        <f ca="1">IFERROR(__xludf.DUMMYFUNCTION("""COMPUTED_VALUE"""),5)</f>
        <v>5</v>
      </c>
      <c r="J266" s="81">
        <f ca="1">IFERROR(__xludf.DUMMYFUNCTION("""COMPUTED_VALUE"""),0)</f>
        <v>0</v>
      </c>
      <c r="K266" s="81">
        <f ca="1">IFERROR(__xludf.DUMMYFUNCTION("""COMPUTED_VALUE"""),0)</f>
        <v>0</v>
      </c>
      <c r="L266" s="81">
        <f ca="1">IFERROR(__xludf.DUMMYFUNCTION("""COMPUTED_VALUE"""),0)</f>
        <v>0</v>
      </c>
      <c r="M266" s="81"/>
      <c r="N266" s="81">
        <f ca="1">IFERROR(__xludf.DUMMYFUNCTION("""COMPUTED_VALUE"""),0)</f>
        <v>0</v>
      </c>
      <c r="O266" s="81"/>
      <c r="P266" s="81">
        <f ca="1">IFERROR(__xludf.DUMMYFUNCTION("""COMPUTED_VALUE"""),0)</f>
        <v>0</v>
      </c>
      <c r="Q266" s="81"/>
      <c r="R266" s="81">
        <f ca="1">IFERROR(__xludf.DUMMYFUNCTION("""COMPUTED_VALUE"""),0)</f>
        <v>0</v>
      </c>
      <c r="S266" s="81"/>
      <c r="T266" s="81"/>
      <c r="U266" s="82"/>
      <c r="V266" s="82"/>
      <c r="W266" s="83"/>
      <c r="X266" s="83"/>
      <c r="Y266" s="83"/>
    </row>
    <row r="267" spans="1:25" ht="13.8">
      <c r="A267" s="78" t="str">
        <f ca="1">IFERROR(__xludf.DUMMYFUNCTION("""COMPUTED_VALUE"""),"CP")</f>
        <v>CP</v>
      </c>
      <c r="B267" s="79" t="str">
        <f ca="1">IFERROR(__xludf.DUMMYFUNCTION("""COMPUTED_VALUE"""),"Kyle Haight")</f>
        <v>Kyle Haight</v>
      </c>
      <c r="C267" s="78">
        <f ca="1">IFERROR(__xludf.DUMMYFUNCTION("""COMPUTED_VALUE"""),12)</f>
        <v>12</v>
      </c>
      <c r="D267" s="78" t="str">
        <f ca="1">IFERROR(__xludf.DUMMYFUNCTION("""COMPUTED_VALUE"""),"B")</f>
        <v>B</v>
      </c>
      <c r="E267" s="80" t="str">
        <f ca="1">IFERROR(__xludf.DUMMYFUNCTION("""COMPUTED_VALUE"""),"J")</f>
        <v>J</v>
      </c>
      <c r="F267" s="80" t="str">
        <f ca="1">IFERROR(__xludf.DUMMYFUNCTION("""COMPUTED_VALUE"""),"I")</f>
        <v>I</v>
      </c>
      <c r="G267" s="80">
        <f ca="1">IFERROR(__xludf.DUMMYFUNCTION("""COMPUTED_VALUE"""),5)</f>
        <v>5</v>
      </c>
      <c r="H267" s="80" t="str">
        <f ca="1">IFERROR(__xludf.DUMMYFUNCTION("""COMPUTED_VALUE"""),"CP")</f>
        <v>CP</v>
      </c>
      <c r="I267" s="80">
        <f ca="1">IFERROR(__xludf.DUMMYFUNCTION("""COMPUTED_VALUE"""),5)</f>
        <v>5</v>
      </c>
      <c r="J267" s="81">
        <f ca="1">IFERROR(__xludf.DUMMYFUNCTION("""COMPUTED_VALUE"""),2)</f>
        <v>2</v>
      </c>
      <c r="K267" s="81">
        <f ca="1">IFERROR(__xludf.DUMMYFUNCTION("""COMPUTED_VALUE"""),67.7)</f>
        <v>67.7</v>
      </c>
      <c r="L267" s="81">
        <f ca="1">IFERROR(__xludf.DUMMYFUNCTION("""COMPUTED_VALUE"""),0)</f>
        <v>0</v>
      </c>
      <c r="M267" s="81"/>
      <c r="N267" s="81">
        <f ca="1">IFERROR(__xludf.DUMMYFUNCTION("""COMPUTED_VALUE"""),0)</f>
        <v>0</v>
      </c>
      <c r="O267" s="81"/>
      <c r="P267" s="81">
        <f ca="1">IFERROR(__xludf.DUMMYFUNCTION("""COMPUTED_VALUE"""),0)</f>
        <v>0</v>
      </c>
      <c r="Q267" s="81"/>
      <c r="R267" s="81">
        <f ca="1">IFERROR(__xludf.DUMMYFUNCTION("""COMPUTED_VALUE"""),67.7)</f>
        <v>67.7</v>
      </c>
      <c r="S267" s="81"/>
      <c r="T267" s="81"/>
      <c r="U267" s="82"/>
      <c r="V267" s="82"/>
      <c r="W267" s="83"/>
      <c r="X267" s="83"/>
      <c r="Y267" s="83"/>
    </row>
    <row r="268" spans="1:25" ht="13.8">
      <c r="A268" s="78" t="str">
        <f ca="1">IFERROR(__xludf.DUMMYFUNCTION("""COMPUTED_VALUE"""),"CP")</f>
        <v>CP</v>
      </c>
      <c r="B268" s="79" t="str">
        <f ca="1">IFERROR(__xludf.DUMMYFUNCTION("""COMPUTED_VALUE"""),"Dylan Johns")</f>
        <v>Dylan Johns</v>
      </c>
      <c r="C268" s="78">
        <f ca="1">IFERROR(__xludf.DUMMYFUNCTION("""COMPUTED_VALUE"""),12)</f>
        <v>12</v>
      </c>
      <c r="D268" s="78" t="str">
        <f ca="1">IFERROR(__xludf.DUMMYFUNCTION("""COMPUTED_VALUE"""),"B")</f>
        <v>B</v>
      </c>
      <c r="E268" s="80" t="str">
        <f ca="1">IFERROR(__xludf.DUMMYFUNCTION("""COMPUTED_VALUE"""),"J")</f>
        <v>J</v>
      </c>
      <c r="F268" s="80" t="str">
        <f ca="1">IFERROR(__xludf.DUMMYFUNCTION("""COMPUTED_VALUE"""),"I")</f>
        <v>I</v>
      </c>
      <c r="G268" s="80">
        <f ca="1">IFERROR(__xludf.DUMMYFUNCTION("""COMPUTED_VALUE"""),5)</f>
        <v>5</v>
      </c>
      <c r="H268" s="80" t="str">
        <f ca="1">IFERROR(__xludf.DUMMYFUNCTION("""COMPUTED_VALUE"""),"CP")</f>
        <v>CP</v>
      </c>
      <c r="I268" s="80">
        <f ca="1">IFERROR(__xludf.DUMMYFUNCTION("""COMPUTED_VALUE"""),5)</f>
        <v>5</v>
      </c>
      <c r="J268" s="81">
        <f ca="1">IFERROR(__xludf.DUMMYFUNCTION("""COMPUTED_VALUE"""),4)</f>
        <v>4</v>
      </c>
      <c r="K268" s="81">
        <f ca="1">IFERROR(__xludf.DUMMYFUNCTION("""COMPUTED_VALUE"""),90.3)</f>
        <v>90.3</v>
      </c>
      <c r="L268" s="81">
        <f ca="1">IFERROR(__xludf.DUMMYFUNCTION("""COMPUTED_VALUE"""),73.05)</f>
        <v>73.05</v>
      </c>
      <c r="M268" s="81"/>
      <c r="N268" s="81">
        <f ca="1">IFERROR(__xludf.DUMMYFUNCTION("""COMPUTED_VALUE"""),82.85)</f>
        <v>82.85</v>
      </c>
      <c r="O268" s="81"/>
      <c r="P268" s="81">
        <f ca="1">IFERROR(__xludf.DUMMYFUNCTION("""COMPUTED_VALUE"""),90.3)</f>
        <v>90.3</v>
      </c>
      <c r="Q268" s="81"/>
      <c r="R268" s="81">
        <f ca="1">IFERROR(__xludf.DUMMYFUNCTION("""COMPUTED_VALUE"""),82.9)</f>
        <v>82.9</v>
      </c>
      <c r="S268" s="81"/>
      <c r="T268" s="81"/>
      <c r="U268" s="82"/>
      <c r="V268" s="82"/>
      <c r="W268" s="83"/>
      <c r="X268" s="83"/>
      <c r="Y268" s="83"/>
    </row>
    <row r="269" spans="1:25" ht="13.8">
      <c r="A269" s="78" t="str">
        <f ca="1">IFERROR(__xludf.DUMMYFUNCTION("""COMPUTED_VALUE"""),"CP")</f>
        <v>CP</v>
      </c>
      <c r="B269" s="79" t="str">
        <f ca="1">IFERROR(__xludf.DUMMYFUNCTION("""COMPUTED_VALUE"""),"Caleb Schwab")</f>
        <v>Caleb Schwab</v>
      </c>
      <c r="C269" s="78">
        <f ca="1">IFERROR(__xludf.DUMMYFUNCTION("""COMPUTED_VALUE"""),11)</f>
        <v>11</v>
      </c>
      <c r="D269" s="78" t="str">
        <f ca="1">IFERROR(__xludf.DUMMYFUNCTION("""COMPUTED_VALUE"""),"B")</f>
        <v>B</v>
      </c>
      <c r="E269" s="80" t="str">
        <f ca="1">IFERROR(__xludf.DUMMYFUNCTION("""COMPUTED_VALUE"""),"J")</f>
        <v>J</v>
      </c>
      <c r="F269" s="80" t="str">
        <f ca="1">IFERROR(__xludf.DUMMYFUNCTION("""COMPUTED_VALUE"""),"I")</f>
        <v>I</v>
      </c>
      <c r="G269" s="80">
        <f ca="1">IFERROR(__xludf.DUMMYFUNCTION("""COMPUTED_VALUE"""),5)</f>
        <v>5</v>
      </c>
      <c r="H269" s="80" t="str">
        <f ca="1">IFERROR(__xludf.DUMMYFUNCTION("""COMPUTED_VALUE"""),"CP")</f>
        <v>CP</v>
      </c>
      <c r="I269" s="80">
        <f ca="1">IFERROR(__xludf.DUMMYFUNCTION("""COMPUTED_VALUE"""),5)</f>
        <v>5</v>
      </c>
      <c r="J269" s="81">
        <f ca="1">IFERROR(__xludf.DUMMYFUNCTION("""COMPUTED_VALUE"""),5)</f>
        <v>5</v>
      </c>
      <c r="K269" s="81">
        <f ca="1">IFERROR(__xludf.DUMMYFUNCTION("""COMPUTED_VALUE"""),82.55)</f>
        <v>82.55</v>
      </c>
      <c r="L269" s="81">
        <f ca="1">IFERROR(__xludf.DUMMYFUNCTION("""COMPUTED_VALUE"""),62.4)</f>
        <v>62.4</v>
      </c>
      <c r="M269" s="81"/>
      <c r="N269" s="81">
        <f ca="1">IFERROR(__xludf.DUMMYFUNCTION("""COMPUTED_VALUE"""),82.55)</f>
        <v>82.55</v>
      </c>
      <c r="O269" s="81"/>
      <c r="P269" s="81">
        <f ca="1">IFERROR(__xludf.DUMMYFUNCTION("""COMPUTED_VALUE"""),81.45)</f>
        <v>81.45</v>
      </c>
      <c r="Q269" s="81"/>
      <c r="R269" s="81">
        <f ca="1">IFERROR(__xludf.DUMMYFUNCTION("""COMPUTED_VALUE"""),70.1)</f>
        <v>70.099999999999994</v>
      </c>
      <c r="S269" s="81"/>
      <c r="T269" s="81"/>
      <c r="U269" s="82"/>
      <c r="V269" s="82"/>
      <c r="W269" s="83"/>
      <c r="X269" s="83"/>
      <c r="Y269" s="83"/>
    </row>
    <row r="270" spans="1:25" ht="13.8">
      <c r="A270" s="78" t="str">
        <f ca="1">IFERROR(__xludf.DUMMYFUNCTION("""COMPUTED_VALUE"""),"CP")</f>
        <v>CP</v>
      </c>
      <c r="B270" s="79" t="str">
        <f ca="1">IFERROR(__xludf.DUMMYFUNCTION("""COMPUTED_VALUE"""),"Enrique Ugalde")</f>
        <v>Enrique Ugalde</v>
      </c>
      <c r="C270" s="78">
        <f ca="1">IFERROR(__xludf.DUMMYFUNCTION("""COMPUTED_VALUE"""),12)</f>
        <v>12</v>
      </c>
      <c r="D270" s="78" t="str">
        <f ca="1">IFERROR(__xludf.DUMMYFUNCTION("""COMPUTED_VALUE"""),"B")</f>
        <v>B</v>
      </c>
      <c r="E270" s="80" t="str">
        <f ca="1">IFERROR(__xludf.DUMMYFUNCTION("""COMPUTED_VALUE"""),"J")</f>
        <v>J</v>
      </c>
      <c r="F270" s="80" t="str">
        <f ca="1">IFERROR(__xludf.DUMMYFUNCTION("""COMPUTED_VALUE"""),"I")</f>
        <v>I</v>
      </c>
      <c r="G270" s="80">
        <f ca="1">IFERROR(__xludf.DUMMYFUNCTION("""COMPUTED_VALUE"""),5)</f>
        <v>5</v>
      </c>
      <c r="H270" s="80" t="str">
        <f ca="1">IFERROR(__xludf.DUMMYFUNCTION("""COMPUTED_VALUE"""),"CP")</f>
        <v>CP</v>
      </c>
      <c r="I270" s="80">
        <f ca="1">IFERROR(__xludf.DUMMYFUNCTION("""COMPUTED_VALUE"""),5)</f>
        <v>5</v>
      </c>
      <c r="J270" s="81">
        <f ca="1">IFERROR(__xludf.DUMMYFUNCTION("""COMPUTED_VALUE"""),3)</f>
        <v>3</v>
      </c>
      <c r="K270" s="81">
        <f ca="1">IFERROR(__xludf.DUMMYFUNCTION("""COMPUTED_VALUE"""),82.1)</f>
        <v>82.1</v>
      </c>
      <c r="L270" s="81">
        <f ca="1">IFERROR(__xludf.DUMMYFUNCTION("""COMPUTED_VALUE"""),0)</f>
        <v>0</v>
      </c>
      <c r="M270" s="81"/>
      <c r="N270" s="81">
        <f ca="1">IFERROR(__xludf.DUMMYFUNCTION("""COMPUTED_VALUE"""),76.85)</f>
        <v>76.849999999999994</v>
      </c>
      <c r="O270" s="81"/>
      <c r="P270" s="81">
        <f ca="1">IFERROR(__xludf.DUMMYFUNCTION("""COMPUTED_VALUE"""),82.1)</f>
        <v>82.1</v>
      </c>
      <c r="Q270" s="81"/>
      <c r="R270" s="81">
        <f ca="1">IFERROR(__xludf.DUMMYFUNCTION("""COMPUTED_VALUE"""),0)</f>
        <v>0</v>
      </c>
      <c r="S270" s="81"/>
      <c r="T270" s="81"/>
      <c r="U270" s="82"/>
      <c r="V270" s="82"/>
      <c r="W270" s="83"/>
      <c r="X270" s="83"/>
      <c r="Y270" s="83"/>
    </row>
    <row r="271" spans="1:25" ht="13.8">
      <c r="A271" s="78" t="str">
        <f ca="1">IFERROR(__xludf.DUMMYFUNCTION("""COMPUTED_VALUE"""),"CP")</f>
        <v>CP</v>
      </c>
      <c r="B271" s="79" t="str">
        <f ca="1">IFERROR(__xludf.DUMMYFUNCTION("""COMPUTED_VALUE"""),"Kayley Davis")</f>
        <v>Kayley Davis</v>
      </c>
      <c r="C271" s="78">
        <f ca="1">IFERROR(__xludf.DUMMYFUNCTION("""COMPUTED_VALUE"""),14)</f>
        <v>14</v>
      </c>
      <c r="D271" s="78" t="str">
        <f ca="1">IFERROR(__xludf.DUMMYFUNCTION("""COMPUTED_VALUE"""),"G")</f>
        <v>G</v>
      </c>
      <c r="E271" s="80" t="str">
        <f ca="1">IFERROR(__xludf.DUMMYFUNCTION("""COMPUTED_VALUE"""),"I")</f>
        <v>I</v>
      </c>
      <c r="F271" s="80" t="str">
        <f ca="1">IFERROR(__xludf.DUMMYFUNCTION("""COMPUTED_VALUE"""),"S")</f>
        <v>S</v>
      </c>
      <c r="G271" s="80">
        <f ca="1">IFERROR(__xludf.DUMMYFUNCTION("""COMPUTED_VALUE"""),5)</f>
        <v>5</v>
      </c>
      <c r="H271" s="80" t="str">
        <f ca="1">IFERROR(__xludf.DUMMYFUNCTION("""COMPUTED_VALUE"""),"CP")</f>
        <v>CP</v>
      </c>
      <c r="I271" s="80">
        <f ca="1">IFERROR(__xludf.DUMMYFUNCTION("""COMPUTED_VALUE"""),6)</f>
        <v>6</v>
      </c>
      <c r="J271" s="81">
        <f ca="1">IFERROR(__xludf.DUMMYFUNCTION("""COMPUTED_VALUE"""),0)</f>
        <v>0</v>
      </c>
      <c r="K271" s="81">
        <f ca="1">IFERROR(__xludf.DUMMYFUNCTION("""COMPUTED_VALUE"""),0)</f>
        <v>0</v>
      </c>
      <c r="L271" s="81">
        <f ca="1">IFERROR(__xludf.DUMMYFUNCTION("""COMPUTED_VALUE"""),0)</f>
        <v>0</v>
      </c>
      <c r="M271" s="81"/>
      <c r="N271" s="81">
        <f ca="1">IFERROR(__xludf.DUMMYFUNCTION("""COMPUTED_VALUE"""),0)</f>
        <v>0</v>
      </c>
      <c r="O271" s="81"/>
      <c r="P271" s="81">
        <f ca="1">IFERROR(__xludf.DUMMYFUNCTION("""COMPUTED_VALUE"""),0)</f>
        <v>0</v>
      </c>
      <c r="Q271" s="81"/>
      <c r="R271" s="81">
        <f ca="1">IFERROR(__xludf.DUMMYFUNCTION("""COMPUTED_VALUE"""),0)</f>
        <v>0</v>
      </c>
      <c r="S271" s="81"/>
      <c r="T271" s="81"/>
      <c r="U271" s="82"/>
      <c r="V271" s="82"/>
      <c r="W271" s="83"/>
      <c r="X271" s="83"/>
      <c r="Y271" s="83"/>
    </row>
    <row r="272" spans="1:25" ht="13.8">
      <c r="A272" s="78" t="str">
        <f ca="1">IFERROR(__xludf.DUMMYFUNCTION("""COMPUTED_VALUE"""),"CP")</f>
        <v>CP</v>
      </c>
      <c r="B272" s="79" t="str">
        <f ca="1">IFERROR(__xludf.DUMMYFUNCTION("""COMPUTED_VALUE"""),"Katy Haransky")</f>
        <v>Katy Haransky</v>
      </c>
      <c r="C272" s="78">
        <f ca="1">IFERROR(__xludf.DUMMYFUNCTION("""COMPUTED_VALUE"""),13)</f>
        <v>13</v>
      </c>
      <c r="D272" s="78" t="str">
        <f ca="1">IFERROR(__xludf.DUMMYFUNCTION("""COMPUTED_VALUE"""),"G")</f>
        <v>G</v>
      </c>
      <c r="E272" s="80" t="str">
        <f ca="1">IFERROR(__xludf.DUMMYFUNCTION("""COMPUTED_VALUE"""),"I")</f>
        <v>I</v>
      </c>
      <c r="F272" s="80" t="str">
        <f ca="1">IFERROR(__xludf.DUMMYFUNCTION("""COMPUTED_VALUE"""),"S")</f>
        <v>S</v>
      </c>
      <c r="G272" s="80">
        <f ca="1">IFERROR(__xludf.DUMMYFUNCTION("""COMPUTED_VALUE"""),5)</f>
        <v>5</v>
      </c>
      <c r="H272" s="80" t="str">
        <f ca="1">IFERROR(__xludf.DUMMYFUNCTION("""COMPUTED_VALUE"""),"CP")</f>
        <v>CP</v>
      </c>
      <c r="I272" s="80">
        <f ca="1">IFERROR(__xludf.DUMMYFUNCTION("""COMPUTED_VALUE"""),6)</f>
        <v>6</v>
      </c>
      <c r="J272" s="81">
        <f ca="1">IFERROR(__xludf.DUMMYFUNCTION("""COMPUTED_VALUE"""),2)</f>
        <v>2</v>
      </c>
      <c r="K272" s="81">
        <f ca="1">IFERROR(__xludf.DUMMYFUNCTION("""COMPUTED_VALUE"""),143)</f>
        <v>143</v>
      </c>
      <c r="L272" s="81">
        <f ca="1">IFERROR(__xludf.DUMMYFUNCTION("""COMPUTED_VALUE"""),0)</f>
        <v>0</v>
      </c>
      <c r="M272" s="81"/>
      <c r="N272" s="81">
        <f ca="1">IFERROR(__xludf.DUMMYFUNCTION("""COMPUTED_VALUE"""),0)</f>
        <v>0</v>
      </c>
      <c r="O272" s="81"/>
      <c r="P272" s="81">
        <f ca="1">IFERROR(__xludf.DUMMYFUNCTION("""COMPUTED_VALUE"""),143)</f>
        <v>143</v>
      </c>
      <c r="Q272" s="81"/>
      <c r="R272" s="81">
        <f ca="1">IFERROR(__xludf.DUMMYFUNCTION("""COMPUTED_VALUE"""),0)</f>
        <v>0</v>
      </c>
      <c r="S272" s="81"/>
      <c r="T272" s="81"/>
      <c r="U272" s="82"/>
      <c r="V272" s="82"/>
      <c r="W272" s="83"/>
      <c r="X272" s="83"/>
      <c r="Y272" s="83"/>
    </row>
    <row r="273" spans="1:25" ht="13.8">
      <c r="A273" s="78" t="str">
        <f ca="1">IFERROR(__xludf.DUMMYFUNCTION("""COMPUTED_VALUE"""),"CP")</f>
        <v>CP</v>
      </c>
      <c r="B273" s="79" t="str">
        <f ca="1">IFERROR(__xludf.DUMMYFUNCTION("""COMPUTED_VALUE"""),"Ceara Manser")</f>
        <v>Ceara Manser</v>
      </c>
      <c r="C273" s="78">
        <f ca="1">IFERROR(__xludf.DUMMYFUNCTION("""COMPUTED_VALUE"""),14)</f>
        <v>14</v>
      </c>
      <c r="D273" s="78" t="str">
        <f ca="1">IFERROR(__xludf.DUMMYFUNCTION("""COMPUTED_VALUE"""),"G")</f>
        <v>G</v>
      </c>
      <c r="E273" s="80" t="str">
        <f ca="1">IFERROR(__xludf.DUMMYFUNCTION("""COMPUTED_VALUE"""),"I")</f>
        <v>I</v>
      </c>
      <c r="F273" s="80" t="str">
        <f ca="1">IFERROR(__xludf.DUMMYFUNCTION("""COMPUTED_VALUE"""),"S")</f>
        <v>S</v>
      </c>
      <c r="G273" s="80">
        <f ca="1">IFERROR(__xludf.DUMMYFUNCTION("""COMPUTED_VALUE"""),5)</f>
        <v>5</v>
      </c>
      <c r="H273" s="80" t="str">
        <f ca="1">IFERROR(__xludf.DUMMYFUNCTION("""COMPUTED_VALUE"""),"CP")</f>
        <v>CP</v>
      </c>
      <c r="I273" s="80">
        <f ca="1">IFERROR(__xludf.DUMMYFUNCTION("""COMPUTED_VALUE"""),6)</f>
        <v>6</v>
      </c>
      <c r="J273" s="81">
        <f ca="1">IFERROR(__xludf.DUMMYFUNCTION("""COMPUTED_VALUE"""),0)</f>
        <v>0</v>
      </c>
      <c r="K273" s="81">
        <f ca="1">IFERROR(__xludf.DUMMYFUNCTION("""COMPUTED_VALUE"""),0)</f>
        <v>0</v>
      </c>
      <c r="L273" s="81">
        <f ca="1">IFERROR(__xludf.DUMMYFUNCTION("""COMPUTED_VALUE"""),0)</f>
        <v>0</v>
      </c>
      <c r="M273" s="81"/>
      <c r="N273" s="81">
        <f ca="1">IFERROR(__xludf.DUMMYFUNCTION("""COMPUTED_VALUE"""),0)</f>
        <v>0</v>
      </c>
      <c r="O273" s="81"/>
      <c r="P273" s="81">
        <f ca="1">IFERROR(__xludf.DUMMYFUNCTION("""COMPUTED_VALUE"""),0)</f>
        <v>0</v>
      </c>
      <c r="Q273" s="81"/>
      <c r="R273" s="81">
        <f ca="1">IFERROR(__xludf.DUMMYFUNCTION("""COMPUTED_VALUE"""),0)</f>
        <v>0</v>
      </c>
      <c r="S273" s="81"/>
      <c r="T273" s="81"/>
      <c r="U273" s="82"/>
      <c r="V273" s="82"/>
      <c r="W273" s="83"/>
      <c r="X273" s="83"/>
      <c r="Y273" s="83"/>
    </row>
    <row r="274" spans="1:25" ht="13.8">
      <c r="A274" s="78" t="str">
        <f ca="1">IFERROR(__xludf.DUMMYFUNCTION("""COMPUTED_VALUE"""),"CP")</f>
        <v>CP</v>
      </c>
      <c r="B274" s="79" t="str">
        <f ca="1">IFERROR(__xludf.DUMMYFUNCTION("""COMPUTED_VALUE"""),"Abigail Whelan")</f>
        <v>Abigail Whelan</v>
      </c>
      <c r="C274" s="78">
        <f ca="1">IFERROR(__xludf.DUMMYFUNCTION("""COMPUTED_VALUE"""),13)</f>
        <v>13</v>
      </c>
      <c r="D274" s="78" t="str">
        <f ca="1">IFERROR(__xludf.DUMMYFUNCTION("""COMPUTED_VALUE"""),"G")</f>
        <v>G</v>
      </c>
      <c r="E274" s="80" t="str">
        <f ca="1">IFERROR(__xludf.DUMMYFUNCTION("""COMPUTED_VALUE"""),"I")</f>
        <v>I</v>
      </c>
      <c r="F274" s="80" t="str">
        <f ca="1">IFERROR(__xludf.DUMMYFUNCTION("""COMPUTED_VALUE"""),"S")</f>
        <v>S</v>
      </c>
      <c r="G274" s="80">
        <f ca="1">IFERROR(__xludf.DUMMYFUNCTION("""COMPUTED_VALUE"""),5)</f>
        <v>5</v>
      </c>
      <c r="H274" s="80" t="str">
        <f ca="1">IFERROR(__xludf.DUMMYFUNCTION("""COMPUTED_VALUE"""),"CP")</f>
        <v>CP</v>
      </c>
      <c r="I274" s="80">
        <f ca="1">IFERROR(__xludf.DUMMYFUNCTION("""COMPUTED_VALUE"""),6)</f>
        <v>6</v>
      </c>
      <c r="J274" s="81">
        <f ca="1">IFERROR(__xludf.DUMMYFUNCTION("""COMPUTED_VALUE"""),3)</f>
        <v>3</v>
      </c>
      <c r="K274" s="81">
        <f ca="1">IFERROR(__xludf.DUMMYFUNCTION("""COMPUTED_VALUE"""),103.3)</f>
        <v>103.3</v>
      </c>
      <c r="L274" s="81">
        <f ca="1">IFERROR(__xludf.DUMMYFUNCTION("""COMPUTED_VALUE"""),0)</f>
        <v>0</v>
      </c>
      <c r="M274" s="81"/>
      <c r="N274" s="81">
        <f ca="1">IFERROR(__xludf.DUMMYFUNCTION("""COMPUTED_VALUE"""),103.3)</f>
        <v>103.3</v>
      </c>
      <c r="O274" s="81"/>
      <c r="P274" s="81">
        <f ca="1">IFERROR(__xludf.DUMMYFUNCTION("""COMPUTED_VALUE"""),0)</f>
        <v>0</v>
      </c>
      <c r="Q274" s="81"/>
      <c r="R274" s="81">
        <f ca="1">IFERROR(__xludf.DUMMYFUNCTION("""COMPUTED_VALUE"""),100.9)</f>
        <v>100.9</v>
      </c>
      <c r="S274" s="81"/>
      <c r="T274" s="81"/>
      <c r="U274" s="82"/>
      <c r="V274" s="82"/>
      <c r="W274" s="83"/>
      <c r="X274" s="83"/>
      <c r="Y274" s="83"/>
    </row>
    <row r="275" spans="1:25" ht="13.8">
      <c r="A275" s="78" t="str">
        <f ca="1">IFERROR(__xludf.DUMMYFUNCTION("""COMPUTED_VALUE"""),"CP")</f>
        <v>CP</v>
      </c>
      <c r="B275" s="79" t="str">
        <f ca="1">IFERROR(__xludf.DUMMYFUNCTION("""COMPUTED_VALUE"""),"Brady Davies")</f>
        <v>Brady Davies</v>
      </c>
      <c r="C275" s="78">
        <f ca="1">IFERROR(__xludf.DUMMYFUNCTION("""COMPUTED_VALUE"""),13)</f>
        <v>13</v>
      </c>
      <c r="D275" s="78" t="str">
        <f ca="1">IFERROR(__xludf.DUMMYFUNCTION("""COMPUTED_VALUE"""),"B")</f>
        <v>B</v>
      </c>
      <c r="E275" s="80" t="str">
        <f ca="1">IFERROR(__xludf.DUMMYFUNCTION("""COMPUTED_VALUE"""),"I")</f>
        <v>I</v>
      </c>
      <c r="F275" s="80" t="str">
        <f ca="1">IFERROR(__xludf.DUMMYFUNCTION("""COMPUTED_VALUE"""),"S")</f>
        <v>S</v>
      </c>
      <c r="G275" s="80">
        <f ca="1">IFERROR(__xludf.DUMMYFUNCTION("""COMPUTED_VALUE"""),5)</f>
        <v>5</v>
      </c>
      <c r="H275" s="80" t="str">
        <f ca="1">IFERROR(__xludf.DUMMYFUNCTION("""COMPUTED_VALUE"""),"CP")</f>
        <v>CP</v>
      </c>
      <c r="I275" s="80">
        <f ca="1">IFERROR(__xludf.DUMMYFUNCTION("""COMPUTED_VALUE"""),7)</f>
        <v>7</v>
      </c>
      <c r="J275" s="81">
        <f ca="1">IFERROR(__xludf.DUMMYFUNCTION("""COMPUTED_VALUE"""),3)</f>
        <v>3</v>
      </c>
      <c r="K275" s="81">
        <f ca="1">IFERROR(__xludf.DUMMYFUNCTION("""COMPUTED_VALUE"""),135.15)</f>
        <v>135.15</v>
      </c>
      <c r="L275" s="81">
        <f ca="1">IFERROR(__xludf.DUMMYFUNCTION("""COMPUTED_VALUE"""),103.1)</f>
        <v>103.1</v>
      </c>
      <c r="M275" s="81"/>
      <c r="N275" s="81">
        <f ca="1">IFERROR(__xludf.DUMMYFUNCTION("""COMPUTED_VALUE"""),127.4)</f>
        <v>127.4</v>
      </c>
      <c r="O275" s="81"/>
      <c r="P275" s="81">
        <f ca="1">IFERROR(__xludf.DUMMYFUNCTION("""COMPUTED_VALUE"""),135.15)</f>
        <v>135.15</v>
      </c>
      <c r="Q275" s="81"/>
      <c r="R275" s="81">
        <f ca="1">IFERROR(__xludf.DUMMYFUNCTION("""COMPUTED_VALUE"""),0)</f>
        <v>0</v>
      </c>
      <c r="S275" s="81"/>
      <c r="T275" s="81"/>
      <c r="U275" s="82"/>
      <c r="V275" s="82"/>
      <c r="W275" s="83"/>
      <c r="X275" s="83"/>
      <c r="Y275" s="83"/>
    </row>
    <row r="276" spans="1:25" ht="13.8">
      <c r="A276" s="78" t="str">
        <f ca="1">IFERROR(__xludf.DUMMYFUNCTION("""COMPUTED_VALUE"""),"CP")</f>
        <v>CP</v>
      </c>
      <c r="B276" s="79" t="str">
        <f ca="1">IFERROR(__xludf.DUMMYFUNCTION("""COMPUTED_VALUE"""),"A J Sumangil")</f>
        <v>A J Sumangil</v>
      </c>
      <c r="C276" s="78">
        <f ca="1">IFERROR(__xludf.DUMMYFUNCTION("""COMPUTED_VALUE"""),14)</f>
        <v>14</v>
      </c>
      <c r="D276" s="78" t="str">
        <f ca="1">IFERROR(__xludf.DUMMYFUNCTION("""COMPUTED_VALUE"""),"B")</f>
        <v>B</v>
      </c>
      <c r="E276" s="80" t="str">
        <f ca="1">IFERROR(__xludf.DUMMYFUNCTION("""COMPUTED_VALUE"""),"I")</f>
        <v>I</v>
      </c>
      <c r="F276" s="80" t="str">
        <f ca="1">IFERROR(__xludf.DUMMYFUNCTION("""COMPUTED_VALUE"""),"S")</f>
        <v>S</v>
      </c>
      <c r="G276" s="80">
        <f ca="1">IFERROR(__xludf.DUMMYFUNCTION("""COMPUTED_VALUE"""),5)</f>
        <v>5</v>
      </c>
      <c r="H276" s="80" t="str">
        <f ca="1">IFERROR(__xludf.DUMMYFUNCTION("""COMPUTED_VALUE"""),"CP")</f>
        <v>CP</v>
      </c>
      <c r="I276" s="80">
        <f ca="1">IFERROR(__xludf.DUMMYFUNCTION("""COMPUTED_VALUE"""),7)</f>
        <v>7</v>
      </c>
      <c r="J276" s="81">
        <f ca="1">IFERROR(__xludf.DUMMYFUNCTION("""COMPUTED_VALUE"""),2)</f>
        <v>2</v>
      </c>
      <c r="K276" s="81">
        <f ca="1">IFERROR(__xludf.DUMMYFUNCTION("""COMPUTED_VALUE"""),114.8)</f>
        <v>114.8</v>
      </c>
      <c r="L276" s="81">
        <f ca="1">IFERROR(__xludf.DUMMYFUNCTION("""COMPUTED_VALUE"""),0)</f>
        <v>0</v>
      </c>
      <c r="M276" s="81"/>
      <c r="N276" s="81">
        <f ca="1">IFERROR(__xludf.DUMMYFUNCTION("""COMPUTED_VALUE"""),0)</f>
        <v>0</v>
      </c>
      <c r="O276" s="81"/>
      <c r="P276" s="81">
        <f ca="1">IFERROR(__xludf.DUMMYFUNCTION("""COMPUTED_VALUE"""),0)</f>
        <v>0</v>
      </c>
      <c r="Q276" s="81"/>
      <c r="R276" s="81">
        <f ca="1">IFERROR(__xludf.DUMMYFUNCTION("""COMPUTED_VALUE"""),114.8)</f>
        <v>114.8</v>
      </c>
      <c r="S276" s="81"/>
      <c r="T276" s="81"/>
      <c r="U276" s="82"/>
      <c r="V276" s="82"/>
      <c r="W276" s="83"/>
      <c r="X276" s="83"/>
      <c r="Y276" s="83"/>
    </row>
    <row r="277" spans="1:25" ht="13.8">
      <c r="A277" s="78" t="str">
        <f ca="1">IFERROR(__xludf.DUMMYFUNCTION("""COMPUTED_VALUE"""),"CP")</f>
        <v>CP</v>
      </c>
      <c r="B277" s="79" t="str">
        <f ca="1">IFERROR(__xludf.DUMMYFUNCTION("""COMPUTED_VALUE"""),"Mia Mihocko")</f>
        <v>Mia Mihocko</v>
      </c>
      <c r="C277" s="78">
        <f ca="1">IFERROR(__xludf.DUMMYFUNCTION("""COMPUTED_VALUE"""),16)</f>
        <v>16</v>
      </c>
      <c r="D277" s="78" t="str">
        <f ca="1">IFERROR(__xludf.DUMMYFUNCTION("""COMPUTED_VALUE"""),"G")</f>
        <v>G</v>
      </c>
      <c r="E277" s="80" t="str">
        <f ca="1">IFERROR(__xludf.DUMMYFUNCTION("""COMPUTED_VALUE"""),"S")</f>
        <v>S</v>
      </c>
      <c r="F277" s="80" t="str">
        <f ca="1">IFERROR(__xludf.DUMMYFUNCTION("""COMPUTED_VALUE"""),"S")</f>
        <v>S</v>
      </c>
      <c r="G277" s="80">
        <f ca="1">IFERROR(__xludf.DUMMYFUNCTION("""COMPUTED_VALUE"""),5)</f>
        <v>5</v>
      </c>
      <c r="H277" s="80" t="str">
        <f ca="1">IFERROR(__xludf.DUMMYFUNCTION("""COMPUTED_VALUE"""),"CP")</f>
        <v>CP</v>
      </c>
      <c r="I277" s="80">
        <f ca="1">IFERROR(__xludf.DUMMYFUNCTION("""COMPUTED_VALUE"""),8)</f>
        <v>8</v>
      </c>
      <c r="J277" s="81">
        <f ca="1">IFERROR(__xludf.DUMMYFUNCTION("""COMPUTED_VALUE"""),5)</f>
        <v>5</v>
      </c>
      <c r="K277" s="81">
        <f ca="1">IFERROR(__xludf.DUMMYFUNCTION("""COMPUTED_VALUE"""),187.9)</f>
        <v>187.9</v>
      </c>
      <c r="L277" s="81">
        <f ca="1">IFERROR(__xludf.DUMMYFUNCTION("""COMPUTED_VALUE"""),172.45)</f>
        <v>172.45</v>
      </c>
      <c r="M277" s="81"/>
      <c r="N277" s="81">
        <f ca="1">IFERROR(__xludf.DUMMYFUNCTION("""COMPUTED_VALUE"""),187.5)</f>
        <v>187.5</v>
      </c>
      <c r="O277" s="81"/>
      <c r="P277" s="81">
        <f ca="1">IFERROR(__xludf.DUMMYFUNCTION("""COMPUTED_VALUE"""),187.9)</f>
        <v>187.9</v>
      </c>
      <c r="Q277" s="81"/>
      <c r="R277" s="81">
        <f ca="1">IFERROR(__xludf.DUMMYFUNCTION("""COMPUTED_VALUE"""),159.75)</f>
        <v>159.75</v>
      </c>
      <c r="S277" s="81"/>
      <c r="T277" s="81"/>
      <c r="U277" s="82"/>
      <c r="V277" s="82"/>
      <c r="W277" s="83"/>
      <c r="X277" s="83"/>
      <c r="Y277" s="83"/>
    </row>
    <row r="278" spans="1:25" ht="13.8">
      <c r="A278" s="78" t="str">
        <f ca="1">IFERROR(__xludf.DUMMYFUNCTION("""COMPUTED_VALUE"""),"CP")</f>
        <v>CP</v>
      </c>
      <c r="B278" s="79" t="str">
        <f ca="1">IFERROR(__xludf.DUMMYFUNCTION("""COMPUTED_VALUE"""),"Campbell Plageman")</f>
        <v>Campbell Plageman</v>
      </c>
      <c r="C278" s="78">
        <f ca="1">IFERROR(__xludf.DUMMYFUNCTION("""COMPUTED_VALUE"""),16)</f>
        <v>16</v>
      </c>
      <c r="D278" s="78" t="str">
        <f ca="1">IFERROR(__xludf.DUMMYFUNCTION("""COMPUTED_VALUE"""),"G")</f>
        <v>G</v>
      </c>
      <c r="E278" s="80" t="str">
        <f ca="1">IFERROR(__xludf.DUMMYFUNCTION("""COMPUTED_VALUE"""),"S")</f>
        <v>S</v>
      </c>
      <c r="F278" s="80" t="str">
        <f ca="1">IFERROR(__xludf.DUMMYFUNCTION("""COMPUTED_VALUE"""),"S")</f>
        <v>S</v>
      </c>
      <c r="G278" s="80">
        <f ca="1">IFERROR(__xludf.DUMMYFUNCTION("""COMPUTED_VALUE"""),5)</f>
        <v>5</v>
      </c>
      <c r="H278" s="80" t="str">
        <f ca="1">IFERROR(__xludf.DUMMYFUNCTION("""COMPUTED_VALUE"""),"CP")</f>
        <v>CP</v>
      </c>
      <c r="I278" s="80">
        <f ca="1">IFERROR(__xludf.DUMMYFUNCTION("""COMPUTED_VALUE"""),8)</f>
        <v>8</v>
      </c>
      <c r="J278" s="81">
        <f ca="1">IFERROR(__xludf.DUMMYFUNCTION("""COMPUTED_VALUE"""),3)</f>
        <v>3</v>
      </c>
      <c r="K278" s="81">
        <f ca="1">IFERROR(__xludf.DUMMYFUNCTION("""COMPUTED_VALUE"""),180.55)</f>
        <v>180.55</v>
      </c>
      <c r="L278" s="81">
        <f ca="1">IFERROR(__xludf.DUMMYFUNCTION("""COMPUTED_VALUE"""),0)</f>
        <v>0</v>
      </c>
      <c r="M278" s="81"/>
      <c r="N278" s="81">
        <f ca="1">IFERROR(__xludf.DUMMYFUNCTION("""COMPUTED_VALUE"""),163.1)</f>
        <v>163.1</v>
      </c>
      <c r="O278" s="81"/>
      <c r="P278" s="81">
        <f ca="1">IFERROR(__xludf.DUMMYFUNCTION("""COMPUTED_VALUE"""),180.55)</f>
        <v>180.55</v>
      </c>
      <c r="Q278" s="81"/>
      <c r="R278" s="81">
        <f ca="1">IFERROR(__xludf.DUMMYFUNCTION("""COMPUTED_VALUE"""),165.5)</f>
        <v>165.5</v>
      </c>
      <c r="S278" s="81"/>
      <c r="T278" s="81"/>
      <c r="U278" s="82"/>
      <c r="V278" s="82"/>
      <c r="W278" s="83"/>
      <c r="X278" s="83"/>
      <c r="Y278" s="83"/>
    </row>
    <row r="279" spans="1:25" ht="13.8">
      <c r="A279" s="78" t="str">
        <f ca="1">IFERROR(__xludf.DUMMYFUNCTION("""COMPUTED_VALUE"""),"CSC")</f>
        <v>CSC</v>
      </c>
      <c r="B279" s="79" t="str">
        <f ca="1">IFERROR(__xludf.DUMMYFUNCTION("""COMPUTED_VALUE"""),"Samantha Armando")</f>
        <v>Samantha Armando</v>
      </c>
      <c r="C279" s="78">
        <f ca="1">IFERROR(__xludf.DUMMYFUNCTION("""COMPUTED_VALUE"""),6)</f>
        <v>6</v>
      </c>
      <c r="D279" s="78" t="str">
        <f ca="1">IFERROR(__xludf.DUMMYFUNCTION("""COMPUTED_VALUE"""),"G")</f>
        <v>G</v>
      </c>
      <c r="E279" s="80" t="str">
        <f ca="1">IFERROR(__xludf.DUMMYFUNCTION("""COMPUTED_VALUE"""),"F")</f>
        <v>F</v>
      </c>
      <c r="F279" s="80" t="str">
        <f ca="1">IFERROR(__xludf.DUMMYFUNCTION("""COMPUTED_VALUE"""),"J")</f>
        <v>J</v>
      </c>
      <c r="G279" s="80">
        <f ca="1">IFERROR(__xludf.DUMMYFUNCTION("""COMPUTED_VALUE"""),8)</f>
        <v>8</v>
      </c>
      <c r="H279" s="80" t="str">
        <f ca="1">IFERROR(__xludf.DUMMYFUNCTION("""COMPUTED_VALUE"""),"CSC")</f>
        <v>CSC</v>
      </c>
      <c r="I279" s="80">
        <f ca="1">IFERROR(__xludf.DUMMYFUNCTION("""COMPUTED_VALUE"""),2)</f>
        <v>2</v>
      </c>
      <c r="J279" s="81">
        <f ca="1">IFERROR(__xludf.DUMMYFUNCTION("""COMPUTED_VALUE"""),0)</f>
        <v>0</v>
      </c>
      <c r="K279" s="81">
        <f ca="1">IFERROR(__xludf.DUMMYFUNCTION("""COMPUTED_VALUE"""),0)</f>
        <v>0</v>
      </c>
      <c r="L279" s="81">
        <f ca="1">IFERROR(__xludf.DUMMYFUNCTION("""COMPUTED_VALUE"""),0)</f>
        <v>0</v>
      </c>
      <c r="M279" s="81"/>
      <c r="N279" s="81">
        <f ca="1">IFERROR(__xludf.DUMMYFUNCTION("""COMPUTED_VALUE"""),0)</f>
        <v>0</v>
      </c>
      <c r="O279" s="81"/>
      <c r="P279" s="81">
        <f ca="1">IFERROR(__xludf.DUMMYFUNCTION("""COMPUTED_VALUE"""),0)</f>
        <v>0</v>
      </c>
      <c r="Q279" s="81"/>
      <c r="R279" s="81">
        <f ca="1">IFERROR(__xludf.DUMMYFUNCTION("""COMPUTED_VALUE"""),0)</f>
        <v>0</v>
      </c>
      <c r="S279" s="81"/>
      <c r="T279" s="81"/>
      <c r="U279" s="82"/>
      <c r="V279" s="82"/>
      <c r="W279" s="83"/>
      <c r="X279" s="83"/>
      <c r="Y279" s="83"/>
    </row>
    <row r="280" spans="1:25" ht="13.8">
      <c r="A280" s="78" t="str">
        <f ca="1">IFERROR(__xludf.DUMMYFUNCTION("""COMPUTED_VALUE"""),"CSC")</f>
        <v>CSC</v>
      </c>
      <c r="B280" s="79" t="str">
        <f ca="1">IFERROR(__xludf.DUMMYFUNCTION("""COMPUTED_VALUE"""),"Orya Chapa")</f>
        <v>Orya Chapa</v>
      </c>
      <c r="C280" s="78">
        <f ca="1">IFERROR(__xludf.DUMMYFUNCTION("""COMPUTED_VALUE"""),9)</f>
        <v>9</v>
      </c>
      <c r="D280" s="78" t="str">
        <f ca="1">IFERROR(__xludf.DUMMYFUNCTION("""COMPUTED_VALUE"""),"G")</f>
        <v>G</v>
      </c>
      <c r="E280" s="80" t="str">
        <f ca="1">IFERROR(__xludf.DUMMYFUNCTION("""COMPUTED_VALUE"""),"F")</f>
        <v>F</v>
      </c>
      <c r="F280" s="80" t="str">
        <f ca="1">IFERROR(__xludf.DUMMYFUNCTION("""COMPUTED_VALUE"""),"J")</f>
        <v>J</v>
      </c>
      <c r="G280" s="80">
        <f ca="1">IFERROR(__xludf.DUMMYFUNCTION("""COMPUTED_VALUE"""),8)</f>
        <v>8</v>
      </c>
      <c r="H280" s="80" t="str">
        <f ca="1">IFERROR(__xludf.DUMMYFUNCTION("""COMPUTED_VALUE"""),"CSC")</f>
        <v>CSC</v>
      </c>
      <c r="I280" s="80">
        <f ca="1">IFERROR(__xludf.DUMMYFUNCTION("""COMPUTED_VALUE"""),2)</f>
        <v>2</v>
      </c>
      <c r="J280" s="81">
        <f ca="1">IFERROR(__xludf.DUMMYFUNCTION("""COMPUTED_VALUE"""),2)</f>
        <v>2</v>
      </c>
      <c r="K280" s="81">
        <f ca="1">IFERROR(__xludf.DUMMYFUNCTION("""COMPUTED_VALUE"""),58.7)</f>
        <v>58.7</v>
      </c>
      <c r="L280" s="81">
        <f ca="1">IFERROR(__xludf.DUMMYFUNCTION("""COMPUTED_VALUE"""),58.7)</f>
        <v>58.7</v>
      </c>
      <c r="M280" s="81"/>
      <c r="N280" s="81">
        <f ca="1">IFERROR(__xludf.DUMMYFUNCTION("""COMPUTED_VALUE"""),0)</f>
        <v>0</v>
      </c>
      <c r="O280" s="81"/>
      <c r="P280" s="81">
        <f ca="1">IFERROR(__xludf.DUMMYFUNCTION("""COMPUTED_VALUE"""),0)</f>
        <v>0</v>
      </c>
      <c r="Q280" s="81"/>
      <c r="R280" s="81">
        <f ca="1">IFERROR(__xludf.DUMMYFUNCTION("""COMPUTED_VALUE"""),0)</f>
        <v>0</v>
      </c>
      <c r="S280" s="81"/>
      <c r="T280" s="81"/>
      <c r="U280" s="82"/>
      <c r="V280" s="82"/>
      <c r="W280" s="83"/>
      <c r="X280" s="83"/>
      <c r="Y280" s="83"/>
    </row>
    <row r="281" spans="1:25" ht="13.8">
      <c r="A281" s="78" t="str">
        <f ca="1">IFERROR(__xludf.DUMMYFUNCTION("""COMPUTED_VALUE"""),"CSC")</f>
        <v>CSC</v>
      </c>
      <c r="B281" s="79" t="str">
        <f ca="1">IFERROR(__xludf.DUMMYFUNCTION("""COMPUTED_VALUE"""),"Karie Egan")</f>
        <v>Karie Egan</v>
      </c>
      <c r="C281" s="78">
        <f ca="1">IFERROR(__xludf.DUMMYFUNCTION("""COMPUTED_VALUE"""),10)</f>
        <v>10</v>
      </c>
      <c r="D281" s="78" t="str">
        <f ca="1">IFERROR(__xludf.DUMMYFUNCTION("""COMPUTED_VALUE"""),"G")</f>
        <v>G</v>
      </c>
      <c r="E281" s="80" t="str">
        <f ca="1">IFERROR(__xludf.DUMMYFUNCTION("""COMPUTED_VALUE"""),"F")</f>
        <v>F</v>
      </c>
      <c r="F281" s="80" t="str">
        <f ca="1">IFERROR(__xludf.DUMMYFUNCTION("""COMPUTED_VALUE"""),"J")</f>
        <v>J</v>
      </c>
      <c r="G281" s="80">
        <f ca="1">IFERROR(__xludf.DUMMYFUNCTION("""COMPUTED_VALUE"""),8)</f>
        <v>8</v>
      </c>
      <c r="H281" s="80" t="str">
        <f ca="1">IFERROR(__xludf.DUMMYFUNCTION("""COMPUTED_VALUE"""),"CSC")</f>
        <v>CSC</v>
      </c>
      <c r="I281" s="80">
        <f ca="1">IFERROR(__xludf.DUMMYFUNCTION("""COMPUTED_VALUE"""),2)</f>
        <v>2</v>
      </c>
      <c r="J281" s="81">
        <f ca="1">IFERROR(__xludf.DUMMYFUNCTION("""COMPUTED_VALUE"""),5)</f>
        <v>5</v>
      </c>
      <c r="K281" s="81">
        <f ca="1">IFERROR(__xludf.DUMMYFUNCTION("""COMPUTED_VALUE"""),83.95)</f>
        <v>83.95</v>
      </c>
      <c r="L281" s="81">
        <f ca="1">IFERROR(__xludf.DUMMYFUNCTION("""COMPUTED_VALUE"""),83.95)</f>
        <v>83.95</v>
      </c>
      <c r="M281" s="81"/>
      <c r="N281" s="81">
        <f ca="1">IFERROR(__xludf.DUMMYFUNCTION("""COMPUTED_VALUE"""),81.75)</f>
        <v>81.75</v>
      </c>
      <c r="O281" s="81"/>
      <c r="P281" s="81">
        <f ca="1">IFERROR(__xludf.DUMMYFUNCTION("""COMPUTED_VALUE"""),-96)</f>
        <v>-96</v>
      </c>
      <c r="Q281" s="81"/>
      <c r="R281" s="81">
        <f ca="1">IFERROR(__xludf.DUMMYFUNCTION("""COMPUTED_VALUE"""),69.3)</f>
        <v>69.3</v>
      </c>
      <c r="S281" s="81"/>
      <c r="T281" s="81"/>
      <c r="U281" s="82"/>
      <c r="V281" s="82"/>
      <c r="W281" s="83"/>
      <c r="X281" s="83"/>
      <c r="Y281" s="83"/>
    </row>
    <row r="282" spans="1:25" ht="13.8">
      <c r="A282" s="78" t="str">
        <f ca="1">IFERROR(__xludf.DUMMYFUNCTION("""COMPUTED_VALUE"""),"CSC")</f>
        <v>CSC</v>
      </c>
      <c r="B282" s="79" t="str">
        <f ca="1">IFERROR(__xludf.DUMMYFUNCTION("""COMPUTED_VALUE"""),"Mackenzie Rose Healy")</f>
        <v>Mackenzie Rose Healy</v>
      </c>
      <c r="C282" s="78">
        <f ca="1">IFERROR(__xludf.DUMMYFUNCTION("""COMPUTED_VALUE"""),8)</f>
        <v>8</v>
      </c>
      <c r="D282" s="78" t="str">
        <f ca="1">IFERROR(__xludf.DUMMYFUNCTION("""COMPUTED_VALUE"""),"G")</f>
        <v>G</v>
      </c>
      <c r="E282" s="80" t="str">
        <f ca="1">IFERROR(__xludf.DUMMYFUNCTION("""COMPUTED_VALUE"""),"F")</f>
        <v>F</v>
      </c>
      <c r="F282" s="80" t="str">
        <f ca="1">IFERROR(__xludf.DUMMYFUNCTION("""COMPUTED_VALUE"""),"J")</f>
        <v>J</v>
      </c>
      <c r="G282" s="80">
        <f ca="1">IFERROR(__xludf.DUMMYFUNCTION("""COMPUTED_VALUE"""),8)</f>
        <v>8</v>
      </c>
      <c r="H282" s="80" t="str">
        <f ca="1">IFERROR(__xludf.DUMMYFUNCTION("""COMPUTED_VALUE"""),"CSC")</f>
        <v>CSC</v>
      </c>
      <c r="I282" s="80">
        <f ca="1">IFERROR(__xludf.DUMMYFUNCTION("""COMPUTED_VALUE"""),2)</f>
        <v>2</v>
      </c>
      <c r="J282" s="81">
        <f ca="1">IFERROR(__xludf.DUMMYFUNCTION("""COMPUTED_VALUE"""),4)</f>
        <v>4</v>
      </c>
      <c r="K282" s="81">
        <f ca="1">IFERROR(__xludf.DUMMYFUNCTION("""COMPUTED_VALUE"""),68.45)</f>
        <v>68.45</v>
      </c>
      <c r="L282" s="81">
        <f ca="1">IFERROR(__xludf.DUMMYFUNCTION("""COMPUTED_VALUE"""),0)</f>
        <v>0</v>
      </c>
      <c r="M282" s="81"/>
      <c r="N282" s="81">
        <f ca="1">IFERROR(__xludf.DUMMYFUNCTION("""COMPUTED_VALUE"""),39.25)</f>
        <v>39.25</v>
      </c>
      <c r="O282" s="81"/>
      <c r="P282" s="81">
        <f ca="1">IFERROR(__xludf.DUMMYFUNCTION("""COMPUTED_VALUE"""),68.45)</f>
        <v>68.45</v>
      </c>
      <c r="Q282" s="81"/>
      <c r="R282" s="81">
        <f ca="1">IFERROR(__xludf.DUMMYFUNCTION("""COMPUTED_VALUE"""),55.6)</f>
        <v>55.6</v>
      </c>
      <c r="S282" s="81"/>
      <c r="T282" s="81"/>
      <c r="U282" s="82"/>
      <c r="V282" s="82"/>
      <c r="W282" s="83"/>
      <c r="X282" s="83"/>
      <c r="Y282" s="83"/>
    </row>
    <row r="283" spans="1:25" ht="13.8">
      <c r="A283" s="78" t="str">
        <f ca="1">IFERROR(__xludf.DUMMYFUNCTION("""COMPUTED_VALUE"""),"CSC")</f>
        <v>CSC</v>
      </c>
      <c r="B283" s="79" t="str">
        <f ca="1">IFERROR(__xludf.DUMMYFUNCTION("""COMPUTED_VALUE"""),"Katya Kankadze")</f>
        <v>Katya Kankadze</v>
      </c>
      <c r="C283" s="78">
        <f ca="1">IFERROR(__xludf.DUMMYFUNCTION("""COMPUTED_VALUE"""),9)</f>
        <v>9</v>
      </c>
      <c r="D283" s="78" t="str">
        <f ca="1">IFERROR(__xludf.DUMMYFUNCTION("""COMPUTED_VALUE"""),"G")</f>
        <v>G</v>
      </c>
      <c r="E283" s="80" t="str">
        <f ca="1">IFERROR(__xludf.DUMMYFUNCTION("""COMPUTED_VALUE"""),"F")</f>
        <v>F</v>
      </c>
      <c r="F283" s="80" t="str">
        <f ca="1">IFERROR(__xludf.DUMMYFUNCTION("""COMPUTED_VALUE"""),"J")</f>
        <v>J</v>
      </c>
      <c r="G283" s="80">
        <f ca="1">IFERROR(__xludf.DUMMYFUNCTION("""COMPUTED_VALUE"""),8)</f>
        <v>8</v>
      </c>
      <c r="H283" s="80" t="str">
        <f ca="1">IFERROR(__xludf.DUMMYFUNCTION("""COMPUTED_VALUE"""),"CSC")</f>
        <v>CSC</v>
      </c>
      <c r="I283" s="80">
        <f ca="1">IFERROR(__xludf.DUMMYFUNCTION("""COMPUTED_VALUE"""),2)</f>
        <v>2</v>
      </c>
      <c r="J283" s="81">
        <f ca="1">IFERROR(__xludf.DUMMYFUNCTION("""COMPUTED_VALUE"""),3)</f>
        <v>3</v>
      </c>
      <c r="K283" s="81">
        <f ca="1">IFERROR(__xludf.DUMMYFUNCTION("""COMPUTED_VALUE"""),42.15)</f>
        <v>42.15</v>
      </c>
      <c r="L283" s="81">
        <f ca="1">IFERROR(__xludf.DUMMYFUNCTION("""COMPUTED_VALUE"""),0)</f>
        <v>0</v>
      </c>
      <c r="M283" s="81"/>
      <c r="N283" s="81">
        <f ca="1">IFERROR(__xludf.DUMMYFUNCTION("""COMPUTED_VALUE"""),0)</f>
        <v>0</v>
      </c>
      <c r="O283" s="81"/>
      <c r="P283" s="81">
        <f ca="1">IFERROR(__xludf.DUMMYFUNCTION("""COMPUTED_VALUE"""),42.15)</f>
        <v>42.15</v>
      </c>
      <c r="Q283" s="81"/>
      <c r="R283" s="81">
        <f ca="1">IFERROR(__xludf.DUMMYFUNCTION("""COMPUTED_VALUE"""),30.2)</f>
        <v>30.2</v>
      </c>
      <c r="S283" s="81"/>
      <c r="T283" s="81"/>
      <c r="U283" s="82"/>
      <c r="V283" s="82"/>
      <c r="W283" s="83"/>
      <c r="X283" s="83"/>
      <c r="Y283" s="83"/>
    </row>
    <row r="284" spans="1:25" ht="13.8">
      <c r="A284" s="78" t="str">
        <f ca="1">IFERROR(__xludf.DUMMYFUNCTION("""COMPUTED_VALUE"""),"CSC")</f>
        <v>CSC</v>
      </c>
      <c r="B284" s="79" t="str">
        <f ca="1">IFERROR(__xludf.DUMMYFUNCTION("""COMPUTED_VALUE"""),"Tamar Kankadze")</f>
        <v>Tamar Kankadze</v>
      </c>
      <c r="C284" s="78">
        <f ca="1">IFERROR(__xludf.DUMMYFUNCTION("""COMPUTED_VALUE"""),9)</f>
        <v>9</v>
      </c>
      <c r="D284" s="78" t="str">
        <f ca="1">IFERROR(__xludf.DUMMYFUNCTION("""COMPUTED_VALUE"""),"G")</f>
        <v>G</v>
      </c>
      <c r="E284" s="80" t="str">
        <f ca="1">IFERROR(__xludf.DUMMYFUNCTION("""COMPUTED_VALUE"""),"F")</f>
        <v>F</v>
      </c>
      <c r="F284" s="80" t="str">
        <f ca="1">IFERROR(__xludf.DUMMYFUNCTION("""COMPUTED_VALUE"""),"J")</f>
        <v>J</v>
      </c>
      <c r="G284" s="80">
        <f ca="1">IFERROR(__xludf.DUMMYFUNCTION("""COMPUTED_VALUE"""),8)</f>
        <v>8</v>
      </c>
      <c r="H284" s="80" t="str">
        <f ca="1">IFERROR(__xludf.DUMMYFUNCTION("""COMPUTED_VALUE"""),"CSC")</f>
        <v>CSC</v>
      </c>
      <c r="I284" s="80">
        <f ca="1">IFERROR(__xludf.DUMMYFUNCTION("""COMPUTED_VALUE"""),2)</f>
        <v>2</v>
      </c>
      <c r="J284" s="81">
        <f ca="1">IFERROR(__xludf.DUMMYFUNCTION("""COMPUTED_VALUE"""),2)</f>
        <v>2</v>
      </c>
      <c r="K284" s="81">
        <f ca="1">IFERROR(__xludf.DUMMYFUNCTION("""COMPUTED_VALUE"""),23.75)</f>
        <v>23.75</v>
      </c>
      <c r="L284" s="81">
        <f ca="1">IFERROR(__xludf.DUMMYFUNCTION("""COMPUTED_VALUE"""),0)</f>
        <v>0</v>
      </c>
      <c r="M284" s="81"/>
      <c r="N284" s="81">
        <f ca="1">IFERROR(__xludf.DUMMYFUNCTION("""COMPUTED_VALUE"""),0)</f>
        <v>0</v>
      </c>
      <c r="O284" s="81"/>
      <c r="P284" s="81">
        <f ca="1">IFERROR(__xludf.DUMMYFUNCTION("""COMPUTED_VALUE"""),0)</f>
        <v>0</v>
      </c>
      <c r="Q284" s="81"/>
      <c r="R284" s="81">
        <f ca="1">IFERROR(__xludf.DUMMYFUNCTION("""COMPUTED_VALUE"""),23.75)</f>
        <v>23.75</v>
      </c>
      <c r="S284" s="81"/>
      <c r="T284" s="81"/>
      <c r="U284" s="82"/>
      <c r="V284" s="82"/>
      <c r="W284" s="83"/>
      <c r="X284" s="83"/>
      <c r="Y284" s="83"/>
    </row>
    <row r="285" spans="1:25" ht="13.8">
      <c r="A285" s="78" t="str">
        <f ca="1">IFERROR(__xludf.DUMMYFUNCTION("""COMPUTED_VALUE"""),"CSC")</f>
        <v>CSC</v>
      </c>
      <c r="B285" s="79" t="str">
        <f ca="1">IFERROR(__xludf.DUMMYFUNCTION("""COMPUTED_VALUE"""),"Soraya Lora-Pena")</f>
        <v>Soraya Lora-Pena</v>
      </c>
      <c r="C285" s="78">
        <f ca="1">IFERROR(__xludf.DUMMYFUNCTION("""COMPUTED_VALUE"""),10)</f>
        <v>10</v>
      </c>
      <c r="D285" s="78" t="str">
        <f ca="1">IFERROR(__xludf.DUMMYFUNCTION("""COMPUTED_VALUE"""),"G")</f>
        <v>G</v>
      </c>
      <c r="E285" s="80" t="str">
        <f ca="1">IFERROR(__xludf.DUMMYFUNCTION("""COMPUTED_VALUE"""),"F")</f>
        <v>F</v>
      </c>
      <c r="F285" s="80" t="str">
        <f ca="1">IFERROR(__xludf.DUMMYFUNCTION("""COMPUTED_VALUE"""),"J")</f>
        <v>J</v>
      </c>
      <c r="G285" s="80">
        <f ca="1">IFERROR(__xludf.DUMMYFUNCTION("""COMPUTED_VALUE"""),8)</f>
        <v>8</v>
      </c>
      <c r="H285" s="80" t="str">
        <f ca="1">IFERROR(__xludf.DUMMYFUNCTION("""COMPUTED_VALUE"""),"CSC")</f>
        <v>CSC</v>
      </c>
      <c r="I285" s="80">
        <f ca="1">IFERROR(__xludf.DUMMYFUNCTION("""COMPUTED_VALUE"""),2)</f>
        <v>2</v>
      </c>
      <c r="J285" s="81">
        <f ca="1">IFERROR(__xludf.DUMMYFUNCTION("""COMPUTED_VALUE"""),1)</f>
        <v>1</v>
      </c>
      <c r="K285" s="81">
        <f ca="1">IFERROR(__xludf.DUMMYFUNCTION("""COMPUTED_VALUE"""),76.25)</f>
        <v>76.25</v>
      </c>
      <c r="L285" s="81">
        <f ca="1">IFERROR(__xludf.DUMMYFUNCTION("""COMPUTED_VALUE"""),0)</f>
        <v>0</v>
      </c>
      <c r="M285" s="81"/>
      <c r="N285" s="81">
        <f ca="1">IFERROR(__xludf.DUMMYFUNCTION("""COMPUTED_VALUE"""),0)</f>
        <v>0</v>
      </c>
      <c r="O285" s="81"/>
      <c r="P285" s="81">
        <f ca="1">IFERROR(__xludf.DUMMYFUNCTION("""COMPUTED_VALUE"""),76.25)</f>
        <v>76.25</v>
      </c>
      <c r="Q285" s="81"/>
      <c r="R285" s="81">
        <f ca="1">IFERROR(__xludf.DUMMYFUNCTION("""COMPUTED_VALUE"""),0)</f>
        <v>0</v>
      </c>
      <c r="S285" s="81"/>
      <c r="T285" s="81"/>
      <c r="U285" s="82"/>
      <c r="V285" s="82"/>
      <c r="W285" s="83"/>
      <c r="X285" s="83"/>
      <c r="Y285" s="83"/>
    </row>
    <row r="286" spans="1:25" ht="13.8">
      <c r="A286" s="78" t="str">
        <f ca="1">IFERROR(__xludf.DUMMYFUNCTION("""COMPUTED_VALUE"""),"CSC")</f>
        <v>CSC</v>
      </c>
      <c r="B286" s="79" t="str">
        <f ca="1">IFERROR(__xludf.DUMMYFUNCTION("""COMPUTED_VALUE"""),"Marissa Rubin")</f>
        <v>Marissa Rubin</v>
      </c>
      <c r="C286" s="78">
        <f ca="1">IFERROR(__xludf.DUMMYFUNCTION("""COMPUTED_VALUE"""),9)</f>
        <v>9</v>
      </c>
      <c r="D286" s="78" t="str">
        <f ca="1">IFERROR(__xludf.DUMMYFUNCTION("""COMPUTED_VALUE"""),"G")</f>
        <v>G</v>
      </c>
      <c r="E286" s="80" t="str">
        <f ca="1">IFERROR(__xludf.DUMMYFUNCTION("""COMPUTED_VALUE"""),"F")</f>
        <v>F</v>
      </c>
      <c r="F286" s="80" t="str">
        <f ca="1">IFERROR(__xludf.DUMMYFUNCTION("""COMPUTED_VALUE"""),"J")</f>
        <v>J</v>
      </c>
      <c r="G286" s="80">
        <f ca="1">IFERROR(__xludf.DUMMYFUNCTION("""COMPUTED_VALUE"""),8)</f>
        <v>8</v>
      </c>
      <c r="H286" s="80" t="str">
        <f ca="1">IFERROR(__xludf.DUMMYFUNCTION("""COMPUTED_VALUE"""),"CSC")</f>
        <v>CSC</v>
      </c>
      <c r="I286" s="80">
        <f ca="1">IFERROR(__xludf.DUMMYFUNCTION("""COMPUTED_VALUE"""),2)</f>
        <v>2</v>
      </c>
      <c r="J286" s="81">
        <f ca="1">IFERROR(__xludf.DUMMYFUNCTION("""COMPUTED_VALUE"""),2)</f>
        <v>2</v>
      </c>
      <c r="K286" s="81">
        <f ca="1">IFERROR(__xludf.DUMMYFUNCTION("""COMPUTED_VALUE"""),41.6)</f>
        <v>41.6</v>
      </c>
      <c r="L286" s="81">
        <f ca="1">IFERROR(__xludf.DUMMYFUNCTION("""COMPUTED_VALUE"""),30.7)</f>
        <v>30.7</v>
      </c>
      <c r="M286" s="81"/>
      <c r="N286" s="81">
        <f ca="1">IFERROR(__xludf.DUMMYFUNCTION("""COMPUTED_VALUE"""),41.6)</f>
        <v>41.6</v>
      </c>
      <c r="O286" s="81"/>
      <c r="P286" s="81">
        <f ca="1">IFERROR(__xludf.DUMMYFUNCTION("""COMPUTED_VALUE"""),0)</f>
        <v>0</v>
      </c>
      <c r="Q286" s="81"/>
      <c r="R286" s="81">
        <f ca="1">IFERROR(__xludf.DUMMYFUNCTION("""COMPUTED_VALUE"""),0)</f>
        <v>0</v>
      </c>
      <c r="S286" s="81"/>
      <c r="T286" s="81"/>
      <c r="U286" s="82"/>
      <c r="V286" s="82"/>
      <c r="W286" s="83"/>
      <c r="X286" s="83"/>
      <c r="Y286" s="83"/>
    </row>
    <row r="287" spans="1:25" ht="13.8">
      <c r="A287" s="78" t="str">
        <f ca="1">IFERROR(__xludf.DUMMYFUNCTION("""COMPUTED_VALUE"""),"CSC")</f>
        <v>CSC</v>
      </c>
      <c r="B287" s="79" t="str">
        <f ca="1">IFERROR(__xludf.DUMMYFUNCTION("""COMPUTED_VALUE"""),"Hana Saeedi")</f>
        <v>Hana Saeedi</v>
      </c>
      <c r="C287" s="78">
        <f ca="1">IFERROR(__xludf.DUMMYFUNCTION("""COMPUTED_VALUE"""),9)</f>
        <v>9</v>
      </c>
      <c r="D287" s="78" t="str">
        <f ca="1">IFERROR(__xludf.DUMMYFUNCTION("""COMPUTED_VALUE"""),"G")</f>
        <v>G</v>
      </c>
      <c r="E287" s="80" t="str">
        <f ca="1">IFERROR(__xludf.DUMMYFUNCTION("""COMPUTED_VALUE"""),"F")</f>
        <v>F</v>
      </c>
      <c r="F287" s="80" t="str">
        <f ca="1">IFERROR(__xludf.DUMMYFUNCTION("""COMPUTED_VALUE"""),"J")</f>
        <v>J</v>
      </c>
      <c r="G287" s="80">
        <f ca="1">IFERROR(__xludf.DUMMYFUNCTION("""COMPUTED_VALUE"""),8)</f>
        <v>8</v>
      </c>
      <c r="H287" s="80" t="str">
        <f ca="1">IFERROR(__xludf.DUMMYFUNCTION("""COMPUTED_VALUE"""),"CSC")</f>
        <v>CSC</v>
      </c>
      <c r="I287" s="80">
        <f ca="1">IFERROR(__xludf.DUMMYFUNCTION("""COMPUTED_VALUE"""),2)</f>
        <v>2</v>
      </c>
      <c r="J287" s="81">
        <f ca="1">IFERROR(__xludf.DUMMYFUNCTION("""COMPUTED_VALUE"""),0)</f>
        <v>0</v>
      </c>
      <c r="K287" s="81">
        <f ca="1">IFERROR(__xludf.DUMMYFUNCTION("""COMPUTED_VALUE"""),0)</f>
        <v>0</v>
      </c>
      <c r="L287" s="81">
        <f ca="1">IFERROR(__xludf.DUMMYFUNCTION("""COMPUTED_VALUE"""),0)</f>
        <v>0</v>
      </c>
      <c r="M287" s="81"/>
      <c r="N287" s="81">
        <f ca="1">IFERROR(__xludf.DUMMYFUNCTION("""COMPUTED_VALUE"""),0)</f>
        <v>0</v>
      </c>
      <c r="O287" s="81"/>
      <c r="P287" s="81">
        <f ca="1">IFERROR(__xludf.DUMMYFUNCTION("""COMPUTED_VALUE"""),0)</f>
        <v>0</v>
      </c>
      <c r="Q287" s="81"/>
      <c r="R287" s="81">
        <f ca="1">IFERROR(__xludf.DUMMYFUNCTION("""COMPUTED_VALUE"""),0)</f>
        <v>0</v>
      </c>
      <c r="S287" s="81"/>
      <c r="T287" s="81"/>
      <c r="U287" s="82"/>
      <c r="V287" s="82"/>
      <c r="W287" s="83"/>
      <c r="X287" s="83"/>
      <c r="Y287" s="83"/>
    </row>
    <row r="288" spans="1:25" ht="13.8">
      <c r="A288" s="78" t="str">
        <f ca="1">IFERROR(__xludf.DUMMYFUNCTION("""COMPUTED_VALUE"""),"CSC")</f>
        <v>CSC</v>
      </c>
      <c r="B288" s="79" t="str">
        <f ca="1">IFERROR(__xludf.DUMMYFUNCTION("""COMPUTED_VALUE"""),"Natalia Torres")</f>
        <v>Natalia Torres</v>
      </c>
      <c r="C288" s="78">
        <f ca="1">IFERROR(__xludf.DUMMYFUNCTION("""COMPUTED_VALUE"""),10)</f>
        <v>10</v>
      </c>
      <c r="D288" s="78" t="str">
        <f ca="1">IFERROR(__xludf.DUMMYFUNCTION("""COMPUTED_VALUE"""),"G")</f>
        <v>G</v>
      </c>
      <c r="E288" s="80" t="str">
        <f ca="1">IFERROR(__xludf.DUMMYFUNCTION("""COMPUTED_VALUE"""),"F")</f>
        <v>F</v>
      </c>
      <c r="F288" s="80" t="str">
        <f ca="1">IFERROR(__xludf.DUMMYFUNCTION("""COMPUTED_VALUE"""),"J")</f>
        <v>J</v>
      </c>
      <c r="G288" s="80">
        <f ca="1">IFERROR(__xludf.DUMMYFUNCTION("""COMPUTED_VALUE"""),8)</f>
        <v>8</v>
      </c>
      <c r="H288" s="80" t="str">
        <f ca="1">IFERROR(__xludf.DUMMYFUNCTION("""COMPUTED_VALUE"""),"CSC")</f>
        <v>CSC</v>
      </c>
      <c r="I288" s="80">
        <f ca="1">IFERROR(__xludf.DUMMYFUNCTION("""COMPUTED_VALUE"""),2)</f>
        <v>2</v>
      </c>
      <c r="J288" s="81">
        <f ca="1">IFERROR(__xludf.DUMMYFUNCTION("""COMPUTED_VALUE"""),3)</f>
        <v>3</v>
      </c>
      <c r="K288" s="81">
        <f ca="1">IFERROR(__xludf.DUMMYFUNCTION("""COMPUTED_VALUE"""),44.8)</f>
        <v>44.8</v>
      </c>
      <c r="L288" s="81">
        <f ca="1">IFERROR(__xludf.DUMMYFUNCTION("""COMPUTED_VALUE"""),0)</f>
        <v>0</v>
      </c>
      <c r="M288" s="81"/>
      <c r="N288" s="81">
        <f ca="1">IFERROR(__xludf.DUMMYFUNCTION("""COMPUTED_VALUE"""),0)</f>
        <v>0</v>
      </c>
      <c r="O288" s="81"/>
      <c r="P288" s="81">
        <f ca="1">IFERROR(__xludf.DUMMYFUNCTION("""COMPUTED_VALUE"""),44.8)</f>
        <v>44.8</v>
      </c>
      <c r="Q288" s="81"/>
      <c r="R288" s="81">
        <f ca="1">IFERROR(__xludf.DUMMYFUNCTION("""COMPUTED_VALUE"""),30.2)</f>
        <v>30.2</v>
      </c>
      <c r="S288" s="81"/>
      <c r="T288" s="81"/>
      <c r="U288" s="82"/>
      <c r="V288" s="82"/>
      <c r="W288" s="83"/>
      <c r="X288" s="83"/>
      <c r="Y288" s="83"/>
    </row>
    <row r="289" spans="1:25" ht="13.8">
      <c r="A289" s="78" t="str">
        <f ca="1">IFERROR(__xludf.DUMMYFUNCTION("""COMPUTED_VALUE"""),"CSC")</f>
        <v>CSC</v>
      </c>
      <c r="B289" s="79" t="str">
        <f ca="1">IFERROR(__xludf.DUMMYFUNCTION("""COMPUTED_VALUE"""),"Cherianne Truong")</f>
        <v>Cherianne Truong</v>
      </c>
      <c r="C289" s="78">
        <f ca="1">IFERROR(__xludf.DUMMYFUNCTION("""COMPUTED_VALUE"""),10)</f>
        <v>10</v>
      </c>
      <c r="D289" s="78" t="str">
        <f ca="1">IFERROR(__xludf.DUMMYFUNCTION("""COMPUTED_VALUE"""),"G")</f>
        <v>G</v>
      </c>
      <c r="E289" s="80" t="str">
        <f ca="1">IFERROR(__xludf.DUMMYFUNCTION("""COMPUTED_VALUE"""),"F")</f>
        <v>F</v>
      </c>
      <c r="F289" s="80" t="str">
        <f ca="1">IFERROR(__xludf.DUMMYFUNCTION("""COMPUTED_VALUE"""),"J")</f>
        <v>J</v>
      </c>
      <c r="G289" s="80">
        <f ca="1">IFERROR(__xludf.DUMMYFUNCTION("""COMPUTED_VALUE"""),8)</f>
        <v>8</v>
      </c>
      <c r="H289" s="80" t="str">
        <f ca="1">IFERROR(__xludf.DUMMYFUNCTION("""COMPUTED_VALUE"""),"CSC")</f>
        <v>CSC</v>
      </c>
      <c r="I289" s="80">
        <f ca="1">IFERROR(__xludf.DUMMYFUNCTION("""COMPUTED_VALUE"""),2)</f>
        <v>2</v>
      </c>
      <c r="J289" s="81">
        <f ca="1">IFERROR(__xludf.DUMMYFUNCTION("""COMPUTED_VALUE"""),0)</f>
        <v>0</v>
      </c>
      <c r="K289" s="81">
        <f ca="1">IFERROR(__xludf.DUMMYFUNCTION("""COMPUTED_VALUE"""),0)</f>
        <v>0</v>
      </c>
      <c r="L289" s="81">
        <f ca="1">IFERROR(__xludf.DUMMYFUNCTION("""COMPUTED_VALUE"""),0)</f>
        <v>0</v>
      </c>
      <c r="M289" s="81"/>
      <c r="N289" s="81">
        <f ca="1">IFERROR(__xludf.DUMMYFUNCTION("""COMPUTED_VALUE"""),0)</f>
        <v>0</v>
      </c>
      <c r="O289" s="81"/>
      <c r="P289" s="81">
        <f ca="1">IFERROR(__xludf.DUMMYFUNCTION("""COMPUTED_VALUE"""),0)</f>
        <v>0</v>
      </c>
      <c r="Q289" s="81"/>
      <c r="R289" s="81">
        <f ca="1">IFERROR(__xludf.DUMMYFUNCTION("""COMPUTED_VALUE"""),0)</f>
        <v>0</v>
      </c>
      <c r="S289" s="81"/>
      <c r="T289" s="81"/>
      <c r="U289" s="82"/>
      <c r="V289" s="82"/>
      <c r="W289" s="83"/>
      <c r="X289" s="83"/>
      <c r="Y289" s="83"/>
    </row>
    <row r="290" spans="1:25" ht="13.8">
      <c r="A290" s="78" t="str">
        <f ca="1">IFERROR(__xludf.DUMMYFUNCTION("""COMPUTED_VALUE"""),"CSC")</f>
        <v>CSC</v>
      </c>
      <c r="B290" s="79" t="str">
        <f ca="1">IFERROR(__xludf.DUMMYFUNCTION("""COMPUTED_VALUE"""),"Collette Ungaretti")</f>
        <v>Collette Ungaretti</v>
      </c>
      <c r="C290" s="78">
        <f ca="1">IFERROR(__xludf.DUMMYFUNCTION("""COMPUTED_VALUE"""),6)</f>
        <v>6</v>
      </c>
      <c r="D290" s="78" t="str">
        <f ca="1">IFERROR(__xludf.DUMMYFUNCTION("""COMPUTED_VALUE"""),"G")</f>
        <v>G</v>
      </c>
      <c r="E290" s="80" t="str">
        <f ca="1">IFERROR(__xludf.DUMMYFUNCTION("""COMPUTED_VALUE"""),"F")</f>
        <v>F</v>
      </c>
      <c r="F290" s="80" t="str">
        <f ca="1">IFERROR(__xludf.DUMMYFUNCTION("""COMPUTED_VALUE"""),"J")</f>
        <v>J</v>
      </c>
      <c r="G290" s="80">
        <f ca="1">IFERROR(__xludf.DUMMYFUNCTION("""COMPUTED_VALUE"""),8)</f>
        <v>8</v>
      </c>
      <c r="H290" s="80" t="str">
        <f ca="1">IFERROR(__xludf.DUMMYFUNCTION("""COMPUTED_VALUE"""),"CSC")</f>
        <v>CSC</v>
      </c>
      <c r="I290" s="80">
        <f ca="1">IFERROR(__xludf.DUMMYFUNCTION("""COMPUTED_VALUE"""),2)</f>
        <v>2</v>
      </c>
      <c r="J290" s="81">
        <f ca="1">IFERROR(__xludf.DUMMYFUNCTION("""COMPUTED_VALUE"""),0)</f>
        <v>0</v>
      </c>
      <c r="K290" s="81">
        <f ca="1">IFERROR(__xludf.DUMMYFUNCTION("""COMPUTED_VALUE"""),0)</f>
        <v>0</v>
      </c>
      <c r="L290" s="81">
        <f ca="1">IFERROR(__xludf.DUMMYFUNCTION("""COMPUTED_VALUE"""),0)</f>
        <v>0</v>
      </c>
      <c r="M290" s="81"/>
      <c r="N290" s="81">
        <f ca="1">IFERROR(__xludf.DUMMYFUNCTION("""COMPUTED_VALUE"""),0)</f>
        <v>0</v>
      </c>
      <c r="O290" s="81"/>
      <c r="P290" s="81">
        <f ca="1">IFERROR(__xludf.DUMMYFUNCTION("""COMPUTED_VALUE"""),0)</f>
        <v>0</v>
      </c>
      <c r="Q290" s="81"/>
      <c r="R290" s="81">
        <f ca="1">IFERROR(__xludf.DUMMYFUNCTION("""COMPUTED_VALUE"""),0)</f>
        <v>0</v>
      </c>
      <c r="S290" s="81"/>
      <c r="T290" s="81"/>
      <c r="U290" s="82"/>
      <c r="V290" s="82"/>
      <c r="W290" s="83"/>
      <c r="X290" s="83"/>
      <c r="Y290" s="83"/>
    </row>
    <row r="291" spans="1:25" ht="13.8">
      <c r="A291" s="78" t="str">
        <f ca="1">IFERROR(__xludf.DUMMYFUNCTION("""COMPUTED_VALUE"""),"CSC")</f>
        <v>CSC</v>
      </c>
      <c r="B291" s="79" t="str">
        <f ca="1">IFERROR(__xludf.DUMMYFUNCTION("""COMPUTED_VALUE"""),"Fiorentina Vargas")</f>
        <v>Fiorentina Vargas</v>
      </c>
      <c r="C291" s="78">
        <f ca="1">IFERROR(__xludf.DUMMYFUNCTION("""COMPUTED_VALUE"""),7)</f>
        <v>7</v>
      </c>
      <c r="D291" s="78" t="str">
        <f ca="1">IFERROR(__xludf.DUMMYFUNCTION("""COMPUTED_VALUE"""),"G")</f>
        <v>G</v>
      </c>
      <c r="E291" s="80" t="str">
        <f ca="1">IFERROR(__xludf.DUMMYFUNCTION("""COMPUTED_VALUE"""),"F")</f>
        <v>F</v>
      </c>
      <c r="F291" s="80" t="str">
        <f ca="1">IFERROR(__xludf.DUMMYFUNCTION("""COMPUTED_VALUE"""),"J")</f>
        <v>J</v>
      </c>
      <c r="G291" s="80">
        <f ca="1">IFERROR(__xludf.DUMMYFUNCTION("""COMPUTED_VALUE"""),8)</f>
        <v>8</v>
      </c>
      <c r="H291" s="80" t="str">
        <f ca="1">IFERROR(__xludf.DUMMYFUNCTION("""COMPUTED_VALUE"""),"CSC")</f>
        <v>CSC</v>
      </c>
      <c r="I291" s="80">
        <f ca="1">IFERROR(__xludf.DUMMYFUNCTION("""COMPUTED_VALUE"""),2)</f>
        <v>2</v>
      </c>
      <c r="J291" s="81">
        <f ca="1">IFERROR(__xludf.DUMMYFUNCTION("""COMPUTED_VALUE"""),0)</f>
        <v>0</v>
      </c>
      <c r="K291" s="81">
        <f ca="1">IFERROR(__xludf.DUMMYFUNCTION("""COMPUTED_VALUE"""),0)</f>
        <v>0</v>
      </c>
      <c r="L291" s="81">
        <f ca="1">IFERROR(__xludf.DUMMYFUNCTION("""COMPUTED_VALUE"""),0)</f>
        <v>0</v>
      </c>
      <c r="M291" s="81"/>
      <c r="N291" s="81">
        <f ca="1">IFERROR(__xludf.DUMMYFUNCTION("""COMPUTED_VALUE"""),0)</f>
        <v>0</v>
      </c>
      <c r="O291" s="81"/>
      <c r="P291" s="81">
        <f ca="1">IFERROR(__xludf.DUMMYFUNCTION("""COMPUTED_VALUE"""),0)</f>
        <v>0</v>
      </c>
      <c r="Q291" s="81"/>
      <c r="R291" s="81">
        <f ca="1">IFERROR(__xludf.DUMMYFUNCTION("""COMPUTED_VALUE"""),0)</f>
        <v>0</v>
      </c>
      <c r="S291" s="81"/>
      <c r="T291" s="81"/>
      <c r="U291" s="82"/>
      <c r="V291" s="82"/>
      <c r="W291" s="83"/>
      <c r="X291" s="83"/>
      <c r="Y291" s="83"/>
    </row>
    <row r="292" spans="1:25" ht="13.8">
      <c r="A292" s="78" t="str">
        <f ca="1">IFERROR(__xludf.DUMMYFUNCTION("""COMPUTED_VALUE"""),"CSC")</f>
        <v>CSC</v>
      </c>
      <c r="B292" s="79" t="str">
        <f ca="1">IFERROR(__xludf.DUMMYFUNCTION("""COMPUTED_VALUE"""),"Harrison Ali")</f>
        <v>Harrison Ali</v>
      </c>
      <c r="C292" s="78">
        <f ca="1">IFERROR(__xludf.DUMMYFUNCTION("""COMPUTED_VALUE"""),8)</f>
        <v>8</v>
      </c>
      <c r="D292" s="78" t="str">
        <f ca="1">IFERROR(__xludf.DUMMYFUNCTION("""COMPUTED_VALUE"""),"B")</f>
        <v>B</v>
      </c>
      <c r="E292" s="80" t="str">
        <f ca="1">IFERROR(__xludf.DUMMYFUNCTION("""COMPUTED_VALUE"""),"F")</f>
        <v>F</v>
      </c>
      <c r="F292" s="80" t="str">
        <f ca="1">IFERROR(__xludf.DUMMYFUNCTION("""COMPUTED_VALUE"""),"J")</f>
        <v>J</v>
      </c>
      <c r="G292" s="80">
        <f ca="1">IFERROR(__xludf.DUMMYFUNCTION("""COMPUTED_VALUE"""),8)</f>
        <v>8</v>
      </c>
      <c r="H292" s="80" t="str">
        <f ca="1">IFERROR(__xludf.DUMMYFUNCTION("""COMPUTED_VALUE"""),"CSC")</f>
        <v>CSC</v>
      </c>
      <c r="I292" s="80">
        <f ca="1">IFERROR(__xludf.DUMMYFUNCTION("""COMPUTED_VALUE"""),3)</f>
        <v>3</v>
      </c>
      <c r="J292" s="81">
        <f ca="1">IFERROR(__xludf.DUMMYFUNCTION("""COMPUTED_VALUE"""),5)</f>
        <v>5</v>
      </c>
      <c r="K292" s="81">
        <f ca="1">IFERROR(__xludf.DUMMYFUNCTION("""COMPUTED_VALUE"""),59.45)</f>
        <v>59.45</v>
      </c>
      <c r="L292" s="81">
        <f ca="1">IFERROR(__xludf.DUMMYFUNCTION("""COMPUTED_VALUE"""),57.15)</f>
        <v>57.15</v>
      </c>
      <c r="M292" s="81"/>
      <c r="N292" s="81">
        <f ca="1">IFERROR(__xludf.DUMMYFUNCTION("""COMPUTED_VALUE"""),48.55)</f>
        <v>48.55</v>
      </c>
      <c r="O292" s="81"/>
      <c r="P292" s="81">
        <f ca="1">IFERROR(__xludf.DUMMYFUNCTION("""COMPUTED_VALUE"""),59.45)</f>
        <v>59.45</v>
      </c>
      <c r="Q292" s="81"/>
      <c r="R292" s="81">
        <f ca="1">IFERROR(__xludf.DUMMYFUNCTION("""COMPUTED_VALUE"""),59.05)</f>
        <v>59.05</v>
      </c>
      <c r="S292" s="81"/>
      <c r="T292" s="81"/>
      <c r="U292" s="82"/>
      <c r="V292" s="82"/>
      <c r="W292" s="83"/>
      <c r="X292" s="83"/>
      <c r="Y292" s="83"/>
    </row>
    <row r="293" spans="1:25" ht="13.8">
      <c r="A293" s="78" t="str">
        <f ca="1">IFERROR(__xludf.DUMMYFUNCTION("""COMPUTED_VALUE"""),"CSC")</f>
        <v>CSC</v>
      </c>
      <c r="B293" s="79" t="str">
        <f ca="1">IFERROR(__xludf.DUMMYFUNCTION("""COMPUTED_VALUE"""),"Lincoln Ali")</f>
        <v>Lincoln Ali</v>
      </c>
      <c r="C293" s="78">
        <f ca="1">IFERROR(__xludf.DUMMYFUNCTION("""COMPUTED_VALUE"""),6)</f>
        <v>6</v>
      </c>
      <c r="D293" s="78" t="str">
        <f ca="1">IFERROR(__xludf.DUMMYFUNCTION("""COMPUTED_VALUE"""),"B")</f>
        <v>B</v>
      </c>
      <c r="E293" s="80" t="str">
        <f ca="1">IFERROR(__xludf.DUMMYFUNCTION("""COMPUTED_VALUE"""),"F")</f>
        <v>F</v>
      </c>
      <c r="F293" s="80" t="str">
        <f ca="1">IFERROR(__xludf.DUMMYFUNCTION("""COMPUTED_VALUE"""),"J")</f>
        <v>J</v>
      </c>
      <c r="G293" s="80">
        <f ca="1">IFERROR(__xludf.DUMMYFUNCTION("""COMPUTED_VALUE"""),8)</f>
        <v>8</v>
      </c>
      <c r="H293" s="80" t="str">
        <f ca="1">IFERROR(__xludf.DUMMYFUNCTION("""COMPUTED_VALUE"""),"CSC")</f>
        <v>CSC</v>
      </c>
      <c r="I293" s="80">
        <f ca="1">IFERROR(__xludf.DUMMYFUNCTION("""COMPUTED_VALUE"""),3)</f>
        <v>3</v>
      </c>
      <c r="J293" s="81">
        <f ca="1">IFERROR(__xludf.DUMMYFUNCTION("""COMPUTED_VALUE"""),5)</f>
        <v>5</v>
      </c>
      <c r="K293" s="81">
        <f ca="1">IFERROR(__xludf.DUMMYFUNCTION("""COMPUTED_VALUE"""),33.95)</f>
        <v>33.950000000000003</v>
      </c>
      <c r="L293" s="81">
        <f ca="1">IFERROR(__xludf.DUMMYFUNCTION("""COMPUTED_VALUE"""),22.4)</f>
        <v>22.4</v>
      </c>
      <c r="M293" s="81"/>
      <c r="N293" s="81">
        <f ca="1">IFERROR(__xludf.DUMMYFUNCTION("""COMPUTED_VALUE"""),19.7)</f>
        <v>19.7</v>
      </c>
      <c r="O293" s="81"/>
      <c r="P293" s="81">
        <f ca="1">IFERROR(__xludf.DUMMYFUNCTION("""COMPUTED_VALUE"""),28.5)</f>
        <v>28.5</v>
      </c>
      <c r="Q293" s="81"/>
      <c r="R293" s="81">
        <f ca="1">IFERROR(__xludf.DUMMYFUNCTION("""COMPUTED_VALUE"""),33.95)</f>
        <v>33.950000000000003</v>
      </c>
      <c r="S293" s="81"/>
      <c r="T293" s="81"/>
      <c r="U293" s="82"/>
      <c r="V293" s="82"/>
      <c r="W293" s="83"/>
      <c r="X293" s="83"/>
      <c r="Y293" s="83"/>
    </row>
    <row r="294" spans="1:25" ht="13.8">
      <c r="A294" s="78" t="str">
        <f ca="1">IFERROR(__xludf.DUMMYFUNCTION("""COMPUTED_VALUE"""),"CSC")</f>
        <v>CSC</v>
      </c>
      <c r="B294" s="79" t="str">
        <f ca="1">IFERROR(__xludf.DUMMYFUNCTION("""COMPUTED_VALUE"""),"Cosmo Armando")</f>
        <v>Cosmo Armando</v>
      </c>
      <c r="C294" s="78">
        <f ca="1">IFERROR(__xludf.DUMMYFUNCTION("""COMPUTED_VALUE"""),5)</f>
        <v>5</v>
      </c>
      <c r="D294" s="78" t="str">
        <f ca="1">IFERROR(__xludf.DUMMYFUNCTION("""COMPUTED_VALUE"""),"B")</f>
        <v>B</v>
      </c>
      <c r="E294" s="80" t="str">
        <f ca="1">IFERROR(__xludf.DUMMYFUNCTION("""COMPUTED_VALUE"""),"F")</f>
        <v>F</v>
      </c>
      <c r="F294" s="80" t="str">
        <f ca="1">IFERROR(__xludf.DUMMYFUNCTION("""COMPUTED_VALUE"""),"J")</f>
        <v>J</v>
      </c>
      <c r="G294" s="80">
        <f ca="1">IFERROR(__xludf.DUMMYFUNCTION("""COMPUTED_VALUE"""),8)</f>
        <v>8</v>
      </c>
      <c r="H294" s="80" t="str">
        <f ca="1">IFERROR(__xludf.DUMMYFUNCTION("""COMPUTED_VALUE"""),"CSC")</f>
        <v>CSC</v>
      </c>
      <c r="I294" s="80">
        <f ca="1">IFERROR(__xludf.DUMMYFUNCTION("""COMPUTED_VALUE"""),3)</f>
        <v>3</v>
      </c>
      <c r="J294" s="81">
        <f ca="1">IFERROR(__xludf.DUMMYFUNCTION("""COMPUTED_VALUE"""),0)</f>
        <v>0</v>
      </c>
      <c r="K294" s="81">
        <f ca="1">IFERROR(__xludf.DUMMYFUNCTION("""COMPUTED_VALUE"""),0)</f>
        <v>0</v>
      </c>
      <c r="L294" s="81">
        <f ca="1">IFERROR(__xludf.DUMMYFUNCTION("""COMPUTED_VALUE"""),0)</f>
        <v>0</v>
      </c>
      <c r="M294" s="81"/>
      <c r="N294" s="81">
        <f ca="1">IFERROR(__xludf.DUMMYFUNCTION("""COMPUTED_VALUE"""),0)</f>
        <v>0</v>
      </c>
      <c r="O294" s="81"/>
      <c r="P294" s="81">
        <f ca="1">IFERROR(__xludf.DUMMYFUNCTION("""COMPUTED_VALUE"""),0)</f>
        <v>0</v>
      </c>
      <c r="Q294" s="81"/>
      <c r="R294" s="81">
        <f ca="1">IFERROR(__xludf.DUMMYFUNCTION("""COMPUTED_VALUE"""),0)</f>
        <v>0</v>
      </c>
      <c r="S294" s="81"/>
      <c r="T294" s="81"/>
      <c r="U294" s="82"/>
      <c r="V294" s="82"/>
      <c r="W294" s="83"/>
      <c r="X294" s="83"/>
      <c r="Y294" s="83"/>
    </row>
    <row r="295" spans="1:25" ht="13.8">
      <c r="A295" s="78" t="str">
        <f ca="1">IFERROR(__xludf.DUMMYFUNCTION("""COMPUTED_VALUE"""),"CSC")</f>
        <v>CSC</v>
      </c>
      <c r="B295" s="79" t="str">
        <f ca="1">IFERROR(__xludf.DUMMYFUNCTION("""COMPUTED_VALUE"""),"Graham Benson")</f>
        <v>Graham Benson</v>
      </c>
      <c r="C295" s="78">
        <f ca="1">IFERROR(__xludf.DUMMYFUNCTION("""COMPUTED_VALUE"""),8)</f>
        <v>8</v>
      </c>
      <c r="D295" s="78" t="str">
        <f ca="1">IFERROR(__xludf.DUMMYFUNCTION("""COMPUTED_VALUE"""),"B")</f>
        <v>B</v>
      </c>
      <c r="E295" s="80" t="str">
        <f ca="1">IFERROR(__xludf.DUMMYFUNCTION("""COMPUTED_VALUE"""),"F")</f>
        <v>F</v>
      </c>
      <c r="F295" s="80" t="str">
        <f ca="1">IFERROR(__xludf.DUMMYFUNCTION("""COMPUTED_VALUE"""),"J")</f>
        <v>J</v>
      </c>
      <c r="G295" s="80">
        <f ca="1">IFERROR(__xludf.DUMMYFUNCTION("""COMPUTED_VALUE"""),8)</f>
        <v>8</v>
      </c>
      <c r="H295" s="80" t="str">
        <f ca="1">IFERROR(__xludf.DUMMYFUNCTION("""COMPUTED_VALUE"""),"CSC")</f>
        <v>CSC</v>
      </c>
      <c r="I295" s="80">
        <f ca="1">IFERROR(__xludf.DUMMYFUNCTION("""COMPUTED_VALUE"""),3)</f>
        <v>3</v>
      </c>
      <c r="J295" s="81">
        <f ca="1">IFERROR(__xludf.DUMMYFUNCTION("""COMPUTED_VALUE"""),3)</f>
        <v>3</v>
      </c>
      <c r="K295" s="81">
        <f ca="1">IFERROR(__xludf.DUMMYFUNCTION("""COMPUTED_VALUE"""),32.45)</f>
        <v>32.450000000000003</v>
      </c>
      <c r="L295" s="81">
        <f ca="1">IFERROR(__xludf.DUMMYFUNCTION("""COMPUTED_VALUE"""),19.6)</f>
        <v>19.600000000000001</v>
      </c>
      <c r="M295" s="81"/>
      <c r="N295" s="81">
        <f ca="1">IFERROR(__xludf.DUMMYFUNCTION("""COMPUTED_VALUE"""),0)</f>
        <v>0</v>
      </c>
      <c r="O295" s="81"/>
      <c r="P295" s="81">
        <f ca="1">IFERROR(__xludf.DUMMYFUNCTION("""COMPUTED_VALUE"""),0)</f>
        <v>0</v>
      </c>
      <c r="Q295" s="81"/>
      <c r="R295" s="81">
        <f ca="1">IFERROR(__xludf.DUMMYFUNCTION("""COMPUTED_VALUE"""),32.45)</f>
        <v>32.450000000000003</v>
      </c>
      <c r="S295" s="81"/>
      <c r="T295" s="81"/>
      <c r="U295" s="82"/>
      <c r="V295" s="82"/>
      <c r="W295" s="83"/>
      <c r="X295" s="83"/>
      <c r="Y295" s="83"/>
    </row>
    <row r="296" spans="1:25" ht="13.8">
      <c r="A296" s="78" t="str">
        <f ca="1">IFERROR(__xludf.DUMMYFUNCTION("""COMPUTED_VALUE"""),"CSC")</f>
        <v>CSC</v>
      </c>
      <c r="B296" s="79" t="str">
        <f ca="1">IFERROR(__xludf.DUMMYFUNCTION("""COMPUTED_VALUE"""),"Lucas Egan")</f>
        <v>Lucas Egan</v>
      </c>
      <c r="C296" s="78">
        <f ca="1">IFERROR(__xludf.DUMMYFUNCTION("""COMPUTED_VALUE"""),10)</f>
        <v>10</v>
      </c>
      <c r="D296" s="78" t="str">
        <f ca="1">IFERROR(__xludf.DUMMYFUNCTION("""COMPUTED_VALUE"""),"B")</f>
        <v>B</v>
      </c>
      <c r="E296" s="80" t="str">
        <f ca="1">IFERROR(__xludf.DUMMYFUNCTION("""COMPUTED_VALUE"""),"F")</f>
        <v>F</v>
      </c>
      <c r="F296" s="80" t="str">
        <f ca="1">IFERROR(__xludf.DUMMYFUNCTION("""COMPUTED_VALUE"""),"J")</f>
        <v>J</v>
      </c>
      <c r="G296" s="80">
        <f ca="1">IFERROR(__xludf.DUMMYFUNCTION("""COMPUTED_VALUE"""),8)</f>
        <v>8</v>
      </c>
      <c r="H296" s="80" t="str">
        <f ca="1">IFERROR(__xludf.DUMMYFUNCTION("""COMPUTED_VALUE"""),"CSC")</f>
        <v>CSC</v>
      </c>
      <c r="I296" s="80">
        <f ca="1">IFERROR(__xludf.DUMMYFUNCTION("""COMPUTED_VALUE"""),3)</f>
        <v>3</v>
      </c>
      <c r="J296" s="81">
        <f ca="1">IFERROR(__xludf.DUMMYFUNCTION("""COMPUTED_VALUE"""),0)</f>
        <v>0</v>
      </c>
      <c r="K296" s="81">
        <f ca="1">IFERROR(__xludf.DUMMYFUNCTION("""COMPUTED_VALUE"""),0)</f>
        <v>0</v>
      </c>
      <c r="L296" s="81">
        <f ca="1">IFERROR(__xludf.DUMMYFUNCTION("""COMPUTED_VALUE"""),0)</f>
        <v>0</v>
      </c>
      <c r="M296" s="81"/>
      <c r="N296" s="81">
        <f ca="1">IFERROR(__xludf.DUMMYFUNCTION("""COMPUTED_VALUE"""),0)</f>
        <v>0</v>
      </c>
      <c r="O296" s="81"/>
      <c r="P296" s="81">
        <f ca="1">IFERROR(__xludf.DUMMYFUNCTION("""COMPUTED_VALUE"""),0)</f>
        <v>0</v>
      </c>
      <c r="Q296" s="81"/>
      <c r="R296" s="81">
        <f ca="1">IFERROR(__xludf.DUMMYFUNCTION("""COMPUTED_VALUE"""),0)</f>
        <v>0</v>
      </c>
      <c r="S296" s="81"/>
      <c r="T296" s="81"/>
      <c r="U296" s="82"/>
      <c r="V296" s="82"/>
      <c r="W296" s="83"/>
      <c r="X296" s="83"/>
      <c r="Y296" s="83"/>
    </row>
    <row r="297" spans="1:25" ht="13.8">
      <c r="A297" s="78" t="str">
        <f ca="1">IFERROR(__xludf.DUMMYFUNCTION("""COMPUTED_VALUE"""),"CSC")</f>
        <v>CSC</v>
      </c>
      <c r="B297" s="79" t="str">
        <f ca="1">IFERROR(__xludf.DUMMYFUNCTION("""COMPUTED_VALUE"""),"Alex Erchov")</f>
        <v>Alex Erchov</v>
      </c>
      <c r="C297" s="78">
        <f ca="1">IFERROR(__xludf.DUMMYFUNCTION("""COMPUTED_VALUE"""),7)</f>
        <v>7</v>
      </c>
      <c r="D297" s="78" t="str">
        <f ca="1">IFERROR(__xludf.DUMMYFUNCTION("""COMPUTED_VALUE"""),"B")</f>
        <v>B</v>
      </c>
      <c r="E297" s="80" t="str">
        <f ca="1">IFERROR(__xludf.DUMMYFUNCTION("""COMPUTED_VALUE"""),"F")</f>
        <v>F</v>
      </c>
      <c r="F297" s="80" t="str">
        <f ca="1">IFERROR(__xludf.DUMMYFUNCTION("""COMPUTED_VALUE"""),"J")</f>
        <v>J</v>
      </c>
      <c r="G297" s="80">
        <f ca="1">IFERROR(__xludf.DUMMYFUNCTION("""COMPUTED_VALUE"""),8)</f>
        <v>8</v>
      </c>
      <c r="H297" s="80" t="str">
        <f ca="1">IFERROR(__xludf.DUMMYFUNCTION("""COMPUTED_VALUE"""),"CSC")</f>
        <v>CSC</v>
      </c>
      <c r="I297" s="80">
        <f ca="1">IFERROR(__xludf.DUMMYFUNCTION("""COMPUTED_VALUE"""),3)</f>
        <v>3</v>
      </c>
      <c r="J297" s="81">
        <f ca="1">IFERROR(__xludf.DUMMYFUNCTION("""COMPUTED_VALUE"""),3)</f>
        <v>3</v>
      </c>
      <c r="K297" s="81">
        <f ca="1">IFERROR(__xludf.DUMMYFUNCTION("""COMPUTED_VALUE"""),51.2)</f>
        <v>51.2</v>
      </c>
      <c r="L297" s="81">
        <f ca="1">IFERROR(__xludf.DUMMYFUNCTION("""COMPUTED_VALUE"""),51.2)</f>
        <v>51.2</v>
      </c>
      <c r="M297" s="81"/>
      <c r="N297" s="81">
        <f ca="1">IFERROR(__xludf.DUMMYFUNCTION("""COMPUTED_VALUE"""),0)</f>
        <v>0</v>
      </c>
      <c r="O297" s="81"/>
      <c r="P297" s="81">
        <f ca="1">IFERROR(__xludf.DUMMYFUNCTION("""COMPUTED_VALUE"""),47.35)</f>
        <v>47.35</v>
      </c>
      <c r="Q297" s="81"/>
      <c r="R297" s="81">
        <f ca="1">IFERROR(__xludf.DUMMYFUNCTION("""COMPUTED_VALUE"""),27.7)</f>
        <v>27.7</v>
      </c>
      <c r="S297" s="81"/>
      <c r="T297" s="81"/>
      <c r="U297" s="82"/>
      <c r="V297" s="82"/>
      <c r="W297" s="83"/>
      <c r="X297" s="83"/>
      <c r="Y297" s="83"/>
    </row>
    <row r="298" spans="1:25" ht="13.8">
      <c r="A298" s="78" t="str">
        <f ca="1">IFERROR(__xludf.DUMMYFUNCTION("""COMPUTED_VALUE"""),"CSC")</f>
        <v>CSC</v>
      </c>
      <c r="B298" s="79" t="str">
        <f ca="1">IFERROR(__xludf.DUMMYFUNCTION("""COMPUTED_VALUE"""),"Carter Jenkins")</f>
        <v>Carter Jenkins</v>
      </c>
      <c r="C298" s="78">
        <f ca="1">IFERROR(__xludf.DUMMYFUNCTION("""COMPUTED_VALUE"""),10)</f>
        <v>10</v>
      </c>
      <c r="D298" s="78" t="str">
        <f ca="1">IFERROR(__xludf.DUMMYFUNCTION("""COMPUTED_VALUE"""),"B")</f>
        <v>B</v>
      </c>
      <c r="E298" s="80" t="str">
        <f ca="1">IFERROR(__xludf.DUMMYFUNCTION("""COMPUTED_VALUE"""),"F")</f>
        <v>F</v>
      </c>
      <c r="F298" s="80" t="str">
        <f ca="1">IFERROR(__xludf.DUMMYFUNCTION("""COMPUTED_VALUE"""),"J")</f>
        <v>J</v>
      </c>
      <c r="G298" s="80">
        <f ca="1">IFERROR(__xludf.DUMMYFUNCTION("""COMPUTED_VALUE"""),8)</f>
        <v>8</v>
      </c>
      <c r="H298" s="80" t="str">
        <f ca="1">IFERROR(__xludf.DUMMYFUNCTION("""COMPUTED_VALUE"""),"CSC")</f>
        <v>CSC</v>
      </c>
      <c r="I298" s="80">
        <f ca="1">IFERROR(__xludf.DUMMYFUNCTION("""COMPUTED_VALUE"""),3)</f>
        <v>3</v>
      </c>
      <c r="J298" s="81">
        <f ca="1">IFERROR(__xludf.DUMMYFUNCTION("""COMPUTED_VALUE"""),5)</f>
        <v>5</v>
      </c>
      <c r="K298" s="81">
        <f ca="1">IFERROR(__xludf.DUMMYFUNCTION("""COMPUTED_VALUE"""),73.65)</f>
        <v>73.650000000000006</v>
      </c>
      <c r="L298" s="81">
        <f ca="1">IFERROR(__xludf.DUMMYFUNCTION("""COMPUTED_VALUE"""),73.65)</f>
        <v>73.650000000000006</v>
      </c>
      <c r="M298" s="81"/>
      <c r="N298" s="81">
        <f ca="1">IFERROR(__xludf.DUMMYFUNCTION("""COMPUTED_VALUE"""),48.15)</f>
        <v>48.15</v>
      </c>
      <c r="O298" s="81"/>
      <c r="P298" s="81">
        <f ca="1">IFERROR(__xludf.DUMMYFUNCTION("""COMPUTED_VALUE"""),-95.35)</f>
        <v>-95.35</v>
      </c>
      <c r="Q298" s="81"/>
      <c r="R298" s="81">
        <f ca="1">IFERROR(__xludf.DUMMYFUNCTION("""COMPUTED_VALUE"""),-73.6)</f>
        <v>-73.599999999999994</v>
      </c>
      <c r="S298" s="81"/>
      <c r="T298" s="81"/>
      <c r="U298" s="82"/>
      <c r="V298" s="82"/>
      <c r="W298" s="83"/>
      <c r="X298" s="83"/>
      <c r="Y298" s="83"/>
    </row>
    <row r="299" spans="1:25" ht="13.8">
      <c r="A299" s="78" t="str">
        <f ca="1">IFERROR(__xludf.DUMMYFUNCTION("""COMPUTED_VALUE"""),"CSC")</f>
        <v>CSC</v>
      </c>
      <c r="B299" s="79" t="str">
        <f ca="1">IFERROR(__xludf.DUMMYFUNCTION("""COMPUTED_VALUE"""),"Nick Jenkins")</f>
        <v>Nick Jenkins</v>
      </c>
      <c r="C299" s="78">
        <f ca="1">IFERROR(__xludf.DUMMYFUNCTION("""COMPUTED_VALUE"""),9)</f>
        <v>9</v>
      </c>
      <c r="D299" s="78" t="str">
        <f ca="1">IFERROR(__xludf.DUMMYFUNCTION("""COMPUTED_VALUE"""),"B")</f>
        <v>B</v>
      </c>
      <c r="E299" s="80" t="str">
        <f ca="1">IFERROR(__xludf.DUMMYFUNCTION("""COMPUTED_VALUE"""),"F")</f>
        <v>F</v>
      </c>
      <c r="F299" s="80" t="str">
        <f ca="1">IFERROR(__xludf.DUMMYFUNCTION("""COMPUTED_VALUE"""),"J")</f>
        <v>J</v>
      </c>
      <c r="G299" s="80">
        <f ca="1">IFERROR(__xludf.DUMMYFUNCTION("""COMPUTED_VALUE"""),8)</f>
        <v>8</v>
      </c>
      <c r="H299" s="80" t="str">
        <f ca="1">IFERROR(__xludf.DUMMYFUNCTION("""COMPUTED_VALUE"""),"CSC")</f>
        <v>CSC</v>
      </c>
      <c r="I299" s="80">
        <f ca="1">IFERROR(__xludf.DUMMYFUNCTION("""COMPUTED_VALUE"""),3)</f>
        <v>3</v>
      </c>
      <c r="J299" s="81">
        <f ca="1">IFERROR(__xludf.DUMMYFUNCTION("""COMPUTED_VALUE"""),5)</f>
        <v>5</v>
      </c>
      <c r="K299" s="81">
        <f ca="1">IFERROR(__xludf.DUMMYFUNCTION("""COMPUTED_VALUE"""),72.5)</f>
        <v>72.5</v>
      </c>
      <c r="L299" s="81">
        <f ca="1">IFERROR(__xludf.DUMMYFUNCTION("""COMPUTED_VALUE"""),72.5)</f>
        <v>72.5</v>
      </c>
      <c r="M299" s="81"/>
      <c r="N299" s="81">
        <f ca="1">IFERROR(__xludf.DUMMYFUNCTION("""COMPUTED_VALUE"""),-44.55)</f>
        <v>-44.55</v>
      </c>
      <c r="O299" s="81"/>
      <c r="P299" s="81">
        <f ca="1">IFERROR(__xludf.DUMMYFUNCTION("""COMPUTED_VALUE"""),64.1)</f>
        <v>64.099999999999994</v>
      </c>
      <c r="Q299" s="81"/>
      <c r="R299" s="81">
        <f ca="1">IFERROR(__xludf.DUMMYFUNCTION("""COMPUTED_VALUE"""),49.7)</f>
        <v>49.7</v>
      </c>
      <c r="S299" s="81"/>
      <c r="T299" s="81"/>
      <c r="U299" s="82"/>
      <c r="V299" s="82"/>
      <c r="W299" s="83"/>
      <c r="X299" s="83"/>
      <c r="Y299" s="83"/>
    </row>
    <row r="300" spans="1:25" ht="13.8">
      <c r="A300" s="78" t="str">
        <f ca="1">IFERROR(__xludf.DUMMYFUNCTION("""COMPUTED_VALUE"""),"CSC")</f>
        <v>CSC</v>
      </c>
      <c r="B300" s="79" t="str">
        <f ca="1">IFERROR(__xludf.DUMMYFUNCTION("""COMPUTED_VALUE"""),"Nik Kankadze")</f>
        <v>Nik Kankadze</v>
      </c>
      <c r="C300" s="78">
        <f ca="1">IFERROR(__xludf.DUMMYFUNCTION("""COMPUTED_VALUE"""),9)</f>
        <v>9</v>
      </c>
      <c r="D300" s="78" t="str">
        <f ca="1">IFERROR(__xludf.DUMMYFUNCTION("""COMPUTED_VALUE"""),"B")</f>
        <v>B</v>
      </c>
      <c r="E300" s="80" t="str">
        <f ca="1">IFERROR(__xludf.DUMMYFUNCTION("""COMPUTED_VALUE"""),"F")</f>
        <v>F</v>
      </c>
      <c r="F300" s="80" t="str">
        <f ca="1">IFERROR(__xludf.DUMMYFUNCTION("""COMPUTED_VALUE"""),"J")</f>
        <v>J</v>
      </c>
      <c r="G300" s="80">
        <f ca="1">IFERROR(__xludf.DUMMYFUNCTION("""COMPUTED_VALUE"""),8)</f>
        <v>8</v>
      </c>
      <c r="H300" s="80" t="str">
        <f ca="1">IFERROR(__xludf.DUMMYFUNCTION("""COMPUTED_VALUE"""),"CSC")</f>
        <v>CSC</v>
      </c>
      <c r="I300" s="80">
        <f ca="1">IFERROR(__xludf.DUMMYFUNCTION("""COMPUTED_VALUE"""),3)</f>
        <v>3</v>
      </c>
      <c r="J300" s="81">
        <f ca="1">IFERROR(__xludf.DUMMYFUNCTION("""COMPUTED_VALUE"""),2)</f>
        <v>2</v>
      </c>
      <c r="K300" s="81">
        <f ca="1">IFERROR(__xludf.DUMMYFUNCTION("""COMPUTED_VALUE"""),10.25)</f>
        <v>10.25</v>
      </c>
      <c r="L300" s="81">
        <f ca="1">IFERROR(__xludf.DUMMYFUNCTION("""COMPUTED_VALUE"""),0)</f>
        <v>0</v>
      </c>
      <c r="M300" s="81"/>
      <c r="N300" s="81">
        <f ca="1">IFERROR(__xludf.DUMMYFUNCTION("""COMPUTED_VALUE"""),0)</f>
        <v>0</v>
      </c>
      <c r="O300" s="81"/>
      <c r="P300" s="81">
        <f ca="1">IFERROR(__xludf.DUMMYFUNCTION("""COMPUTED_VALUE"""),0)</f>
        <v>0</v>
      </c>
      <c r="Q300" s="81"/>
      <c r="R300" s="81">
        <f ca="1">IFERROR(__xludf.DUMMYFUNCTION("""COMPUTED_VALUE"""),10.25)</f>
        <v>10.25</v>
      </c>
      <c r="S300" s="81"/>
      <c r="T300" s="81"/>
      <c r="U300" s="82"/>
      <c r="V300" s="82"/>
      <c r="W300" s="83"/>
      <c r="X300" s="83"/>
      <c r="Y300" s="83"/>
    </row>
    <row r="301" spans="1:25" ht="13.8">
      <c r="A301" s="78" t="str">
        <f ca="1">IFERROR(__xludf.DUMMYFUNCTION("""COMPUTED_VALUE"""),"CSC")</f>
        <v>CSC</v>
      </c>
      <c r="B301" s="79" t="str">
        <f ca="1">IFERROR(__xludf.DUMMYFUNCTION("""COMPUTED_VALUE"""),"Lucas Nguyen")</f>
        <v>Lucas Nguyen</v>
      </c>
      <c r="C301" s="78">
        <f ca="1">IFERROR(__xludf.DUMMYFUNCTION("""COMPUTED_VALUE"""),9)</f>
        <v>9</v>
      </c>
      <c r="D301" s="78" t="str">
        <f ca="1">IFERROR(__xludf.DUMMYFUNCTION("""COMPUTED_VALUE"""),"B")</f>
        <v>B</v>
      </c>
      <c r="E301" s="80" t="str">
        <f ca="1">IFERROR(__xludf.DUMMYFUNCTION("""COMPUTED_VALUE"""),"F")</f>
        <v>F</v>
      </c>
      <c r="F301" s="80" t="str">
        <f ca="1">IFERROR(__xludf.DUMMYFUNCTION("""COMPUTED_VALUE"""),"J")</f>
        <v>J</v>
      </c>
      <c r="G301" s="80">
        <f ca="1">IFERROR(__xludf.DUMMYFUNCTION("""COMPUTED_VALUE"""),8)</f>
        <v>8</v>
      </c>
      <c r="H301" s="80" t="str">
        <f ca="1">IFERROR(__xludf.DUMMYFUNCTION("""COMPUTED_VALUE"""),"CSC")</f>
        <v>CSC</v>
      </c>
      <c r="I301" s="80">
        <f ca="1">IFERROR(__xludf.DUMMYFUNCTION("""COMPUTED_VALUE"""),3)</f>
        <v>3</v>
      </c>
      <c r="J301" s="81">
        <f ca="1">IFERROR(__xludf.DUMMYFUNCTION("""COMPUTED_VALUE"""),5)</f>
        <v>5</v>
      </c>
      <c r="K301" s="81">
        <f ca="1">IFERROR(__xludf.DUMMYFUNCTION("""COMPUTED_VALUE"""),66.7)</f>
        <v>66.7</v>
      </c>
      <c r="L301" s="81">
        <f ca="1">IFERROR(__xludf.DUMMYFUNCTION("""COMPUTED_VALUE"""),43.8)</f>
        <v>43.8</v>
      </c>
      <c r="M301" s="81"/>
      <c r="N301" s="81">
        <f ca="1">IFERROR(__xludf.DUMMYFUNCTION("""COMPUTED_VALUE"""),28)</f>
        <v>28</v>
      </c>
      <c r="O301" s="81"/>
      <c r="P301" s="81">
        <f ca="1">IFERROR(__xludf.DUMMYFUNCTION("""COMPUTED_VALUE"""),66.7)</f>
        <v>66.7</v>
      </c>
      <c r="Q301" s="81"/>
      <c r="R301" s="81">
        <f ca="1">IFERROR(__xludf.DUMMYFUNCTION("""COMPUTED_VALUE"""),43.95)</f>
        <v>43.95</v>
      </c>
      <c r="S301" s="81"/>
      <c r="T301" s="81"/>
      <c r="U301" s="82"/>
      <c r="V301" s="82"/>
      <c r="W301" s="83"/>
      <c r="X301" s="83"/>
      <c r="Y301" s="83"/>
    </row>
    <row r="302" spans="1:25" ht="13.8">
      <c r="A302" s="78" t="str">
        <f ca="1">IFERROR(__xludf.DUMMYFUNCTION("""COMPUTED_VALUE"""),"CSC")</f>
        <v>CSC</v>
      </c>
      <c r="B302" s="79" t="str">
        <f ca="1">IFERROR(__xludf.DUMMYFUNCTION("""COMPUTED_VALUE"""),"Nathan Pierce")</f>
        <v>Nathan Pierce</v>
      </c>
      <c r="C302" s="78">
        <f ca="1">IFERROR(__xludf.DUMMYFUNCTION("""COMPUTED_VALUE"""),7)</f>
        <v>7</v>
      </c>
      <c r="D302" s="78" t="str">
        <f ca="1">IFERROR(__xludf.DUMMYFUNCTION("""COMPUTED_VALUE"""),"B")</f>
        <v>B</v>
      </c>
      <c r="E302" s="80" t="str">
        <f ca="1">IFERROR(__xludf.DUMMYFUNCTION("""COMPUTED_VALUE"""),"F")</f>
        <v>F</v>
      </c>
      <c r="F302" s="80" t="str">
        <f ca="1">IFERROR(__xludf.DUMMYFUNCTION("""COMPUTED_VALUE"""),"J")</f>
        <v>J</v>
      </c>
      <c r="G302" s="80">
        <f ca="1">IFERROR(__xludf.DUMMYFUNCTION("""COMPUTED_VALUE"""),8)</f>
        <v>8</v>
      </c>
      <c r="H302" s="80" t="str">
        <f ca="1">IFERROR(__xludf.DUMMYFUNCTION("""COMPUTED_VALUE"""),"CSC")</f>
        <v>CSC</v>
      </c>
      <c r="I302" s="80">
        <f ca="1">IFERROR(__xludf.DUMMYFUNCTION("""COMPUTED_VALUE"""),3)</f>
        <v>3</v>
      </c>
      <c r="J302" s="81">
        <f ca="1">IFERROR(__xludf.DUMMYFUNCTION("""COMPUTED_VALUE"""),5)</f>
        <v>5</v>
      </c>
      <c r="K302" s="81">
        <f ca="1">IFERROR(__xludf.DUMMYFUNCTION("""COMPUTED_VALUE"""),59.7)</f>
        <v>59.7</v>
      </c>
      <c r="L302" s="81">
        <f ca="1">IFERROR(__xludf.DUMMYFUNCTION("""COMPUTED_VALUE"""),44.95)</f>
        <v>44.95</v>
      </c>
      <c r="M302" s="81"/>
      <c r="N302" s="81">
        <f ca="1">IFERROR(__xludf.DUMMYFUNCTION("""COMPUTED_VALUE"""),25.6)</f>
        <v>25.6</v>
      </c>
      <c r="O302" s="81"/>
      <c r="P302" s="81">
        <f ca="1">IFERROR(__xludf.DUMMYFUNCTION("""COMPUTED_VALUE"""),59.7)</f>
        <v>59.7</v>
      </c>
      <c r="Q302" s="81"/>
      <c r="R302" s="81">
        <f ca="1">IFERROR(__xludf.DUMMYFUNCTION("""COMPUTED_VALUE"""),41.4)</f>
        <v>41.4</v>
      </c>
      <c r="S302" s="81"/>
      <c r="T302" s="81"/>
      <c r="U302" s="82"/>
      <c r="V302" s="82"/>
      <c r="W302" s="83"/>
      <c r="X302" s="83"/>
      <c r="Y302" s="83"/>
    </row>
    <row r="303" spans="1:25" ht="13.8">
      <c r="A303" s="78" t="str">
        <f ca="1">IFERROR(__xludf.DUMMYFUNCTION("""COMPUTED_VALUE"""),"CSC")</f>
        <v>CSC</v>
      </c>
      <c r="B303" s="79" t="str">
        <f ca="1">IFERROR(__xludf.DUMMYFUNCTION("""COMPUTED_VALUE"""),"Noah Pierce")</f>
        <v>Noah Pierce</v>
      </c>
      <c r="C303" s="78">
        <f ca="1">IFERROR(__xludf.DUMMYFUNCTION("""COMPUTED_VALUE"""),5)</f>
        <v>5</v>
      </c>
      <c r="D303" s="78" t="str">
        <f ca="1">IFERROR(__xludf.DUMMYFUNCTION("""COMPUTED_VALUE"""),"B")</f>
        <v>B</v>
      </c>
      <c r="E303" s="80" t="str">
        <f ca="1">IFERROR(__xludf.DUMMYFUNCTION("""COMPUTED_VALUE"""),"F")</f>
        <v>F</v>
      </c>
      <c r="F303" s="80" t="str">
        <f ca="1">IFERROR(__xludf.DUMMYFUNCTION("""COMPUTED_VALUE"""),"J")</f>
        <v>J</v>
      </c>
      <c r="G303" s="80">
        <f ca="1">IFERROR(__xludf.DUMMYFUNCTION("""COMPUTED_VALUE"""),8)</f>
        <v>8</v>
      </c>
      <c r="H303" s="80" t="str">
        <f ca="1">IFERROR(__xludf.DUMMYFUNCTION("""COMPUTED_VALUE"""),"CSC")</f>
        <v>CSC</v>
      </c>
      <c r="I303" s="80">
        <f ca="1">IFERROR(__xludf.DUMMYFUNCTION("""COMPUTED_VALUE"""),3)</f>
        <v>3</v>
      </c>
      <c r="J303" s="81">
        <f ca="1">IFERROR(__xludf.DUMMYFUNCTION("""COMPUTED_VALUE"""),5)</f>
        <v>5</v>
      </c>
      <c r="K303" s="81">
        <f ca="1">IFERROR(__xludf.DUMMYFUNCTION("""COMPUTED_VALUE"""),45.5)</f>
        <v>45.5</v>
      </c>
      <c r="L303" s="81">
        <f ca="1">IFERROR(__xludf.DUMMYFUNCTION("""COMPUTED_VALUE"""),18.9)</f>
        <v>18.899999999999999</v>
      </c>
      <c r="M303" s="81"/>
      <c r="N303" s="81">
        <f ca="1">IFERROR(__xludf.DUMMYFUNCTION("""COMPUTED_VALUE"""),12.6)</f>
        <v>12.6</v>
      </c>
      <c r="O303" s="81"/>
      <c r="P303" s="81">
        <f ca="1">IFERROR(__xludf.DUMMYFUNCTION("""COMPUTED_VALUE"""),45.5)</f>
        <v>45.5</v>
      </c>
      <c r="Q303" s="81"/>
      <c r="R303" s="81">
        <f ca="1">IFERROR(__xludf.DUMMYFUNCTION("""COMPUTED_VALUE"""),35)</f>
        <v>35</v>
      </c>
      <c r="S303" s="81"/>
      <c r="T303" s="81"/>
      <c r="U303" s="82"/>
      <c r="V303" s="82"/>
      <c r="W303" s="83"/>
      <c r="X303" s="83"/>
      <c r="Y303" s="83"/>
    </row>
    <row r="304" spans="1:25" ht="13.8">
      <c r="A304" s="78" t="str">
        <f ca="1">IFERROR(__xludf.DUMMYFUNCTION("""COMPUTED_VALUE"""),"CSC")</f>
        <v>CSC</v>
      </c>
      <c r="B304" s="79" t="str">
        <f ca="1">IFERROR(__xludf.DUMMYFUNCTION("""COMPUTED_VALUE"""),"Ziad Salameh")</f>
        <v>Ziad Salameh</v>
      </c>
      <c r="C304" s="78">
        <f ca="1">IFERROR(__xludf.DUMMYFUNCTION("""COMPUTED_VALUE"""),10)</f>
        <v>10</v>
      </c>
      <c r="D304" s="78" t="str">
        <f ca="1">IFERROR(__xludf.DUMMYFUNCTION("""COMPUTED_VALUE"""),"B")</f>
        <v>B</v>
      </c>
      <c r="E304" s="80" t="str">
        <f ca="1">IFERROR(__xludf.DUMMYFUNCTION("""COMPUTED_VALUE"""),"F")</f>
        <v>F</v>
      </c>
      <c r="F304" s="80" t="str">
        <f ca="1">IFERROR(__xludf.DUMMYFUNCTION("""COMPUTED_VALUE"""),"J")</f>
        <v>J</v>
      </c>
      <c r="G304" s="80">
        <f ca="1">IFERROR(__xludf.DUMMYFUNCTION("""COMPUTED_VALUE"""),8)</f>
        <v>8</v>
      </c>
      <c r="H304" s="80" t="str">
        <f ca="1">IFERROR(__xludf.DUMMYFUNCTION("""COMPUTED_VALUE"""),"CSC")</f>
        <v>CSC</v>
      </c>
      <c r="I304" s="80">
        <f ca="1">IFERROR(__xludf.DUMMYFUNCTION("""COMPUTED_VALUE"""),3)</f>
        <v>3</v>
      </c>
      <c r="J304" s="81">
        <f ca="1">IFERROR(__xludf.DUMMYFUNCTION("""COMPUTED_VALUE"""),1)</f>
        <v>1</v>
      </c>
      <c r="K304" s="81">
        <f ca="1">IFERROR(__xludf.DUMMYFUNCTION("""COMPUTED_VALUE"""),62.75)</f>
        <v>62.75</v>
      </c>
      <c r="L304" s="81">
        <f ca="1">IFERROR(__xludf.DUMMYFUNCTION("""COMPUTED_VALUE"""),62.75)</f>
        <v>62.75</v>
      </c>
      <c r="M304" s="81"/>
      <c r="N304" s="81">
        <f ca="1">IFERROR(__xludf.DUMMYFUNCTION("""COMPUTED_VALUE"""),0)</f>
        <v>0</v>
      </c>
      <c r="O304" s="81"/>
      <c r="P304" s="81">
        <f ca="1">IFERROR(__xludf.DUMMYFUNCTION("""COMPUTED_VALUE"""),0)</f>
        <v>0</v>
      </c>
      <c r="Q304" s="81"/>
      <c r="R304" s="81">
        <f ca="1">IFERROR(__xludf.DUMMYFUNCTION("""COMPUTED_VALUE"""),0)</f>
        <v>0</v>
      </c>
      <c r="S304" s="81"/>
      <c r="T304" s="81"/>
      <c r="U304" s="82"/>
      <c r="V304" s="82"/>
      <c r="W304" s="83"/>
      <c r="X304" s="83"/>
      <c r="Y304" s="83"/>
    </row>
    <row r="305" spans="1:25" ht="13.8">
      <c r="A305" s="78" t="str">
        <f ca="1">IFERROR(__xludf.DUMMYFUNCTION("""COMPUTED_VALUE"""),"CSC")</f>
        <v>CSC</v>
      </c>
      <c r="B305" s="79" t="str">
        <f ca="1">IFERROR(__xludf.DUMMYFUNCTION("""COMPUTED_VALUE"""),"Liam Swearingen")</f>
        <v>Liam Swearingen</v>
      </c>
      <c r="C305" s="78">
        <f ca="1">IFERROR(__xludf.DUMMYFUNCTION("""COMPUTED_VALUE"""),7)</f>
        <v>7</v>
      </c>
      <c r="D305" s="78" t="str">
        <f ca="1">IFERROR(__xludf.DUMMYFUNCTION("""COMPUTED_VALUE"""),"B")</f>
        <v>B</v>
      </c>
      <c r="E305" s="80" t="str">
        <f ca="1">IFERROR(__xludf.DUMMYFUNCTION("""COMPUTED_VALUE"""),"F")</f>
        <v>F</v>
      </c>
      <c r="F305" s="80" t="str">
        <f ca="1">IFERROR(__xludf.DUMMYFUNCTION("""COMPUTED_VALUE"""),"J")</f>
        <v>J</v>
      </c>
      <c r="G305" s="80">
        <f ca="1">IFERROR(__xludf.DUMMYFUNCTION("""COMPUTED_VALUE"""),8)</f>
        <v>8</v>
      </c>
      <c r="H305" s="80" t="str">
        <f ca="1">IFERROR(__xludf.DUMMYFUNCTION("""COMPUTED_VALUE"""),"CSC")</f>
        <v>CSC</v>
      </c>
      <c r="I305" s="80">
        <f ca="1">IFERROR(__xludf.DUMMYFUNCTION("""COMPUTED_VALUE"""),3)</f>
        <v>3</v>
      </c>
      <c r="J305" s="81">
        <f ca="1">IFERROR(__xludf.DUMMYFUNCTION("""COMPUTED_VALUE"""),4)</f>
        <v>4</v>
      </c>
      <c r="K305" s="81">
        <f ca="1">IFERROR(__xludf.DUMMYFUNCTION("""COMPUTED_VALUE"""),49.55)</f>
        <v>49.55</v>
      </c>
      <c r="L305" s="81">
        <f ca="1">IFERROR(__xludf.DUMMYFUNCTION("""COMPUTED_VALUE"""),40.55)</f>
        <v>40.549999999999997</v>
      </c>
      <c r="M305" s="81"/>
      <c r="N305" s="81">
        <f ca="1">IFERROR(__xludf.DUMMYFUNCTION("""COMPUTED_VALUE"""),40.6)</f>
        <v>40.6</v>
      </c>
      <c r="O305" s="81"/>
      <c r="P305" s="81">
        <f ca="1">IFERROR(__xludf.DUMMYFUNCTION("""COMPUTED_VALUE"""),49.55)</f>
        <v>49.55</v>
      </c>
      <c r="Q305" s="81"/>
      <c r="R305" s="81">
        <f ca="1">IFERROR(__xludf.DUMMYFUNCTION("""COMPUTED_VALUE"""),26.7)</f>
        <v>26.7</v>
      </c>
      <c r="S305" s="81"/>
      <c r="T305" s="81"/>
      <c r="U305" s="82"/>
      <c r="V305" s="82"/>
      <c r="W305" s="83"/>
      <c r="X305" s="83"/>
      <c r="Y305" s="83"/>
    </row>
    <row r="306" spans="1:25" ht="13.8">
      <c r="A306" s="78" t="str">
        <f ca="1">IFERROR(__xludf.DUMMYFUNCTION("""COMPUTED_VALUE"""),"CSC")</f>
        <v>CSC</v>
      </c>
      <c r="B306" s="79" t="str">
        <f ca="1">IFERROR(__xludf.DUMMYFUNCTION("""COMPUTED_VALUE"""),"Benjamin Vargas")</f>
        <v>Benjamin Vargas</v>
      </c>
      <c r="C306" s="78">
        <f ca="1">IFERROR(__xludf.DUMMYFUNCTION("""COMPUTED_VALUE"""),10)</f>
        <v>10</v>
      </c>
      <c r="D306" s="78" t="str">
        <f ca="1">IFERROR(__xludf.DUMMYFUNCTION("""COMPUTED_VALUE"""),"B")</f>
        <v>B</v>
      </c>
      <c r="E306" s="80" t="str">
        <f ca="1">IFERROR(__xludf.DUMMYFUNCTION("""COMPUTED_VALUE"""),"F")</f>
        <v>F</v>
      </c>
      <c r="F306" s="80" t="str">
        <f ca="1">IFERROR(__xludf.DUMMYFUNCTION("""COMPUTED_VALUE"""),"J")</f>
        <v>J</v>
      </c>
      <c r="G306" s="80">
        <f ca="1">IFERROR(__xludf.DUMMYFUNCTION("""COMPUTED_VALUE"""),8)</f>
        <v>8</v>
      </c>
      <c r="H306" s="80" t="str">
        <f ca="1">IFERROR(__xludf.DUMMYFUNCTION("""COMPUTED_VALUE"""),"CSC")</f>
        <v>CSC</v>
      </c>
      <c r="I306" s="80">
        <f ca="1">IFERROR(__xludf.DUMMYFUNCTION("""COMPUTED_VALUE"""),3)</f>
        <v>3</v>
      </c>
      <c r="J306" s="81">
        <f ca="1">IFERROR(__xludf.DUMMYFUNCTION("""COMPUTED_VALUE"""),2)</f>
        <v>2</v>
      </c>
      <c r="K306" s="81">
        <f ca="1">IFERROR(__xludf.DUMMYFUNCTION("""COMPUTED_VALUE"""),18.9)</f>
        <v>18.899999999999999</v>
      </c>
      <c r="L306" s="81">
        <f ca="1">IFERROR(__xludf.DUMMYFUNCTION("""COMPUTED_VALUE"""),18.9)</f>
        <v>18.899999999999999</v>
      </c>
      <c r="M306" s="81"/>
      <c r="N306" s="81">
        <f ca="1">IFERROR(__xludf.DUMMYFUNCTION("""COMPUTED_VALUE"""),6.5)</f>
        <v>6.5</v>
      </c>
      <c r="O306" s="81"/>
      <c r="P306" s="81">
        <f ca="1">IFERROR(__xludf.DUMMYFUNCTION("""COMPUTED_VALUE"""),0)</f>
        <v>0</v>
      </c>
      <c r="Q306" s="81"/>
      <c r="R306" s="81">
        <f ca="1">IFERROR(__xludf.DUMMYFUNCTION("""COMPUTED_VALUE"""),0)</f>
        <v>0</v>
      </c>
      <c r="S306" s="81"/>
      <c r="T306" s="81"/>
      <c r="U306" s="82"/>
      <c r="V306" s="82"/>
      <c r="W306" s="83"/>
      <c r="X306" s="83"/>
      <c r="Y306" s="83"/>
    </row>
    <row r="307" spans="1:25" ht="13.8">
      <c r="A307" s="78" t="str">
        <f ca="1">IFERROR(__xludf.DUMMYFUNCTION("""COMPUTED_VALUE"""),"CSC")</f>
        <v>CSC</v>
      </c>
      <c r="B307" s="79" t="str">
        <f ca="1">IFERROR(__xludf.DUMMYFUNCTION("""COMPUTED_VALUE"""),"Stephen Wilber")</f>
        <v>Stephen Wilber</v>
      </c>
      <c r="C307" s="78">
        <f ca="1">IFERROR(__xludf.DUMMYFUNCTION("""COMPUTED_VALUE"""),5)</f>
        <v>5</v>
      </c>
      <c r="D307" s="78" t="str">
        <f ca="1">IFERROR(__xludf.DUMMYFUNCTION("""COMPUTED_VALUE"""),"B")</f>
        <v>B</v>
      </c>
      <c r="E307" s="80" t="str">
        <f ca="1">IFERROR(__xludf.DUMMYFUNCTION("""COMPUTED_VALUE"""),"F")</f>
        <v>F</v>
      </c>
      <c r="F307" s="80" t="str">
        <f ca="1">IFERROR(__xludf.DUMMYFUNCTION("""COMPUTED_VALUE"""),"J")</f>
        <v>J</v>
      </c>
      <c r="G307" s="80">
        <f ca="1">IFERROR(__xludf.DUMMYFUNCTION("""COMPUTED_VALUE"""),8)</f>
        <v>8</v>
      </c>
      <c r="H307" s="80" t="str">
        <f ca="1">IFERROR(__xludf.DUMMYFUNCTION("""COMPUTED_VALUE"""),"CSC")</f>
        <v>CSC</v>
      </c>
      <c r="I307" s="80">
        <f ca="1">IFERROR(__xludf.DUMMYFUNCTION("""COMPUTED_VALUE"""),3)</f>
        <v>3</v>
      </c>
      <c r="J307" s="81">
        <f ca="1">IFERROR(__xludf.DUMMYFUNCTION("""COMPUTED_VALUE"""),1)</f>
        <v>1</v>
      </c>
      <c r="K307" s="81">
        <f ca="1">IFERROR(__xludf.DUMMYFUNCTION("""COMPUTED_VALUE"""),24.4)</f>
        <v>24.4</v>
      </c>
      <c r="L307" s="81">
        <f ca="1">IFERROR(__xludf.DUMMYFUNCTION("""COMPUTED_VALUE"""),0)</f>
        <v>0</v>
      </c>
      <c r="M307" s="81"/>
      <c r="N307" s="81">
        <f ca="1">IFERROR(__xludf.DUMMYFUNCTION("""COMPUTED_VALUE"""),0)</f>
        <v>0</v>
      </c>
      <c r="O307" s="81"/>
      <c r="P307" s="81">
        <f ca="1">IFERROR(__xludf.DUMMYFUNCTION("""COMPUTED_VALUE"""),0)</f>
        <v>0</v>
      </c>
      <c r="Q307" s="81"/>
      <c r="R307" s="81">
        <f ca="1">IFERROR(__xludf.DUMMYFUNCTION("""COMPUTED_VALUE"""),24.4)</f>
        <v>24.4</v>
      </c>
      <c r="S307" s="81"/>
      <c r="T307" s="81"/>
      <c r="U307" s="82"/>
      <c r="V307" s="82"/>
      <c r="W307" s="83"/>
      <c r="X307" s="83"/>
      <c r="Y307" s="83"/>
    </row>
    <row r="308" spans="1:25" ht="13.8">
      <c r="A308" s="78" t="str">
        <f ca="1">IFERROR(__xludf.DUMMYFUNCTION("""COMPUTED_VALUE"""),"CSC")</f>
        <v>CSC</v>
      </c>
      <c r="B308" s="79" t="str">
        <f ca="1">IFERROR(__xludf.DUMMYFUNCTION("""COMPUTED_VALUE"""),"Danica Fox")</f>
        <v>Danica Fox</v>
      </c>
      <c r="C308" s="78">
        <f ca="1">IFERROR(__xludf.DUMMYFUNCTION("""COMPUTED_VALUE"""),12)</f>
        <v>12</v>
      </c>
      <c r="D308" s="78" t="str">
        <f ca="1">IFERROR(__xludf.DUMMYFUNCTION("""COMPUTED_VALUE"""),"G")</f>
        <v>G</v>
      </c>
      <c r="E308" s="80" t="str">
        <f ca="1">IFERROR(__xludf.DUMMYFUNCTION("""COMPUTED_VALUE"""),"J")</f>
        <v>J</v>
      </c>
      <c r="F308" s="80" t="str">
        <f ca="1">IFERROR(__xludf.DUMMYFUNCTION("""COMPUTED_VALUE"""),"I")</f>
        <v>I</v>
      </c>
      <c r="G308" s="80">
        <f ca="1">IFERROR(__xludf.DUMMYFUNCTION("""COMPUTED_VALUE"""),8)</f>
        <v>8</v>
      </c>
      <c r="H308" s="80" t="str">
        <f ca="1">IFERROR(__xludf.DUMMYFUNCTION("""COMPUTED_VALUE"""),"CSC")</f>
        <v>CSC</v>
      </c>
      <c r="I308" s="80">
        <f ca="1">IFERROR(__xludf.DUMMYFUNCTION("""COMPUTED_VALUE"""),4)</f>
        <v>4</v>
      </c>
      <c r="J308" s="81">
        <f ca="1">IFERROR(__xludf.DUMMYFUNCTION("""COMPUTED_VALUE"""),4)</f>
        <v>4</v>
      </c>
      <c r="K308" s="81">
        <f ca="1">IFERROR(__xludf.DUMMYFUNCTION("""COMPUTED_VALUE"""),76.05)</f>
        <v>76.05</v>
      </c>
      <c r="L308" s="81">
        <f ca="1">IFERROR(__xludf.DUMMYFUNCTION("""COMPUTED_VALUE"""),76.05)</f>
        <v>76.05</v>
      </c>
      <c r="M308" s="81"/>
      <c r="N308" s="81">
        <f ca="1">IFERROR(__xludf.DUMMYFUNCTION("""COMPUTED_VALUE"""),45.1)</f>
        <v>45.1</v>
      </c>
      <c r="O308" s="81"/>
      <c r="P308" s="81">
        <f ca="1">IFERROR(__xludf.DUMMYFUNCTION("""COMPUTED_VALUE"""),0)</f>
        <v>0</v>
      </c>
      <c r="Q308" s="81"/>
      <c r="R308" s="81">
        <f ca="1">IFERROR(__xludf.DUMMYFUNCTION("""COMPUTED_VALUE"""),42.65)</f>
        <v>42.65</v>
      </c>
      <c r="S308" s="81"/>
      <c r="T308" s="81"/>
      <c r="U308" s="82"/>
      <c r="V308" s="82"/>
      <c r="W308" s="83"/>
      <c r="X308" s="83"/>
      <c r="Y308" s="83"/>
    </row>
    <row r="309" spans="1:25" ht="13.8">
      <c r="A309" s="78" t="str">
        <f ca="1">IFERROR(__xludf.DUMMYFUNCTION("""COMPUTED_VALUE"""),"CSC")</f>
        <v>CSC</v>
      </c>
      <c r="B309" s="79" t="str">
        <f ca="1">IFERROR(__xludf.DUMMYFUNCTION("""COMPUTED_VALUE"""),"Sabrina Fox")</f>
        <v>Sabrina Fox</v>
      </c>
      <c r="C309" s="78">
        <f ca="1">IFERROR(__xludf.DUMMYFUNCTION("""COMPUTED_VALUE"""),12)</f>
        <v>12</v>
      </c>
      <c r="D309" s="78" t="str">
        <f ca="1">IFERROR(__xludf.DUMMYFUNCTION("""COMPUTED_VALUE"""),"G")</f>
        <v>G</v>
      </c>
      <c r="E309" s="80" t="str">
        <f ca="1">IFERROR(__xludf.DUMMYFUNCTION("""COMPUTED_VALUE"""),"J")</f>
        <v>J</v>
      </c>
      <c r="F309" s="80" t="str">
        <f ca="1">IFERROR(__xludf.DUMMYFUNCTION("""COMPUTED_VALUE"""),"I")</f>
        <v>I</v>
      </c>
      <c r="G309" s="80">
        <f ca="1">IFERROR(__xludf.DUMMYFUNCTION("""COMPUTED_VALUE"""),8)</f>
        <v>8</v>
      </c>
      <c r="H309" s="80" t="str">
        <f ca="1">IFERROR(__xludf.DUMMYFUNCTION("""COMPUTED_VALUE"""),"CSC")</f>
        <v>CSC</v>
      </c>
      <c r="I309" s="80">
        <f ca="1">IFERROR(__xludf.DUMMYFUNCTION("""COMPUTED_VALUE"""),4)</f>
        <v>4</v>
      </c>
      <c r="J309" s="81">
        <f ca="1">IFERROR(__xludf.DUMMYFUNCTION("""COMPUTED_VALUE"""),4)</f>
        <v>4</v>
      </c>
      <c r="K309" s="81">
        <f ca="1">IFERROR(__xludf.DUMMYFUNCTION("""COMPUTED_VALUE"""),72.3)</f>
        <v>72.3</v>
      </c>
      <c r="L309" s="81">
        <f ca="1">IFERROR(__xludf.DUMMYFUNCTION("""COMPUTED_VALUE"""),72.3)</f>
        <v>72.3</v>
      </c>
      <c r="M309" s="81"/>
      <c r="N309" s="81">
        <f ca="1">IFERROR(__xludf.DUMMYFUNCTION("""COMPUTED_VALUE"""),45.15)</f>
        <v>45.15</v>
      </c>
      <c r="O309" s="81"/>
      <c r="P309" s="81">
        <f ca="1">IFERROR(__xludf.DUMMYFUNCTION("""COMPUTED_VALUE"""),0)</f>
        <v>0</v>
      </c>
      <c r="Q309" s="81"/>
      <c r="R309" s="81">
        <f ca="1">IFERROR(__xludf.DUMMYFUNCTION("""COMPUTED_VALUE"""),49.8)</f>
        <v>49.8</v>
      </c>
      <c r="S309" s="81"/>
      <c r="T309" s="81"/>
      <c r="U309" s="82"/>
      <c r="V309" s="82"/>
      <c r="W309" s="83"/>
      <c r="X309" s="83"/>
      <c r="Y309" s="83"/>
    </row>
    <row r="310" spans="1:25" ht="13.8">
      <c r="A310" s="78" t="str">
        <f ca="1">IFERROR(__xludf.DUMMYFUNCTION("""COMPUTED_VALUE"""),"CSC")</f>
        <v>CSC</v>
      </c>
      <c r="B310" s="79" t="str">
        <f ca="1">IFERROR(__xludf.DUMMYFUNCTION("""COMPUTED_VALUE"""),"Jenna Wathen")</f>
        <v>Jenna Wathen</v>
      </c>
      <c r="C310" s="78">
        <f ca="1">IFERROR(__xludf.DUMMYFUNCTION("""COMPUTED_VALUE"""),11)</f>
        <v>11</v>
      </c>
      <c r="D310" s="78" t="str">
        <f ca="1">IFERROR(__xludf.DUMMYFUNCTION("""COMPUTED_VALUE"""),"G")</f>
        <v>G</v>
      </c>
      <c r="E310" s="80" t="str">
        <f ca="1">IFERROR(__xludf.DUMMYFUNCTION("""COMPUTED_VALUE"""),"J")</f>
        <v>J</v>
      </c>
      <c r="F310" s="80" t="str">
        <f ca="1">IFERROR(__xludf.DUMMYFUNCTION("""COMPUTED_VALUE"""),"I")</f>
        <v>I</v>
      </c>
      <c r="G310" s="80">
        <f ca="1">IFERROR(__xludf.DUMMYFUNCTION("""COMPUTED_VALUE"""),8)</f>
        <v>8</v>
      </c>
      <c r="H310" s="80" t="str">
        <f ca="1">IFERROR(__xludf.DUMMYFUNCTION("""COMPUTED_VALUE"""),"CSC")</f>
        <v>CSC</v>
      </c>
      <c r="I310" s="80">
        <f ca="1">IFERROR(__xludf.DUMMYFUNCTION("""COMPUTED_VALUE"""),4)</f>
        <v>4</v>
      </c>
      <c r="J310" s="81">
        <f ca="1">IFERROR(__xludf.DUMMYFUNCTION("""COMPUTED_VALUE"""),3)</f>
        <v>3</v>
      </c>
      <c r="K310" s="81">
        <f ca="1">IFERROR(__xludf.DUMMYFUNCTION("""COMPUTED_VALUE"""),113.7)</f>
        <v>113.7</v>
      </c>
      <c r="L310" s="81">
        <f ca="1">IFERROR(__xludf.DUMMYFUNCTION("""COMPUTED_VALUE"""),113.7)</f>
        <v>113.7</v>
      </c>
      <c r="M310" s="81"/>
      <c r="N310" s="81">
        <f ca="1">IFERROR(__xludf.DUMMYFUNCTION("""COMPUTED_VALUE"""),-107.9)</f>
        <v>-107.9</v>
      </c>
      <c r="O310" s="81"/>
      <c r="P310" s="81">
        <f ca="1">IFERROR(__xludf.DUMMYFUNCTION("""COMPUTED_VALUE"""),0)</f>
        <v>0</v>
      </c>
      <c r="Q310" s="81"/>
      <c r="R310" s="81">
        <f ca="1">IFERROR(__xludf.DUMMYFUNCTION("""COMPUTED_VALUE"""),0)</f>
        <v>0</v>
      </c>
      <c r="S310" s="81"/>
      <c r="T310" s="81"/>
      <c r="U310" s="82"/>
      <c r="V310" s="82"/>
      <c r="W310" s="83"/>
      <c r="X310" s="83"/>
      <c r="Y310" s="83"/>
    </row>
    <row r="311" spans="1:25" ht="13.8">
      <c r="A311" s="78" t="str">
        <f ca="1">IFERROR(__xludf.DUMMYFUNCTION("""COMPUTED_VALUE"""),"CSC")</f>
        <v>CSC</v>
      </c>
      <c r="B311" s="79" t="str">
        <f ca="1">IFERROR(__xludf.DUMMYFUNCTION("""COMPUTED_VALUE"""),"Charlie Ciri")</f>
        <v>Charlie Ciri</v>
      </c>
      <c r="C311" s="78">
        <f ca="1">IFERROR(__xludf.DUMMYFUNCTION("""COMPUTED_VALUE"""),11)</f>
        <v>11</v>
      </c>
      <c r="D311" s="78" t="str">
        <f ca="1">IFERROR(__xludf.DUMMYFUNCTION("""COMPUTED_VALUE"""),"B")</f>
        <v>B</v>
      </c>
      <c r="E311" s="80" t="str">
        <f ca="1">IFERROR(__xludf.DUMMYFUNCTION("""COMPUTED_VALUE"""),"J")</f>
        <v>J</v>
      </c>
      <c r="F311" s="80" t="str">
        <f ca="1">IFERROR(__xludf.DUMMYFUNCTION("""COMPUTED_VALUE"""),"I")</f>
        <v>I</v>
      </c>
      <c r="G311" s="80">
        <f ca="1">IFERROR(__xludf.DUMMYFUNCTION("""COMPUTED_VALUE"""),8)</f>
        <v>8</v>
      </c>
      <c r="H311" s="80" t="str">
        <f ca="1">IFERROR(__xludf.DUMMYFUNCTION("""COMPUTED_VALUE"""),"CSC")</f>
        <v>CSC</v>
      </c>
      <c r="I311" s="80">
        <f ca="1">IFERROR(__xludf.DUMMYFUNCTION("""COMPUTED_VALUE"""),5)</f>
        <v>5</v>
      </c>
      <c r="J311" s="81">
        <f ca="1">IFERROR(__xludf.DUMMYFUNCTION("""COMPUTED_VALUE"""),0)</f>
        <v>0</v>
      </c>
      <c r="K311" s="81">
        <f ca="1">IFERROR(__xludf.DUMMYFUNCTION("""COMPUTED_VALUE"""),0)</f>
        <v>0</v>
      </c>
      <c r="L311" s="81">
        <f ca="1">IFERROR(__xludf.DUMMYFUNCTION("""COMPUTED_VALUE"""),0)</f>
        <v>0</v>
      </c>
      <c r="M311" s="81"/>
      <c r="N311" s="81">
        <f ca="1">IFERROR(__xludf.DUMMYFUNCTION("""COMPUTED_VALUE"""),0)</f>
        <v>0</v>
      </c>
      <c r="O311" s="81"/>
      <c r="P311" s="81">
        <f ca="1">IFERROR(__xludf.DUMMYFUNCTION("""COMPUTED_VALUE"""),0)</f>
        <v>0</v>
      </c>
      <c r="Q311" s="81"/>
      <c r="R311" s="81">
        <f ca="1">IFERROR(__xludf.DUMMYFUNCTION("""COMPUTED_VALUE"""),0)</f>
        <v>0</v>
      </c>
      <c r="S311" s="81"/>
      <c r="T311" s="81"/>
      <c r="U311" s="82"/>
      <c r="V311" s="82"/>
      <c r="W311" s="83"/>
      <c r="X311" s="83"/>
      <c r="Y311" s="83"/>
    </row>
    <row r="312" spans="1:25" ht="13.8">
      <c r="A312" s="78" t="str">
        <f ca="1">IFERROR(__xludf.DUMMYFUNCTION("""COMPUTED_VALUE"""),"CSC")</f>
        <v>CSC</v>
      </c>
      <c r="B312" s="79" t="str">
        <f ca="1">IFERROR(__xludf.DUMMYFUNCTION("""COMPUTED_VALUE"""),"Isaiah Lora-Pena")</f>
        <v>Isaiah Lora-Pena</v>
      </c>
      <c r="C312" s="78">
        <f ca="1">IFERROR(__xludf.DUMMYFUNCTION("""COMPUTED_VALUE"""),12)</f>
        <v>12</v>
      </c>
      <c r="D312" s="78" t="str">
        <f ca="1">IFERROR(__xludf.DUMMYFUNCTION("""COMPUTED_VALUE"""),"B")</f>
        <v>B</v>
      </c>
      <c r="E312" s="80" t="str">
        <f ca="1">IFERROR(__xludf.DUMMYFUNCTION("""COMPUTED_VALUE"""),"J")</f>
        <v>J</v>
      </c>
      <c r="F312" s="80" t="str">
        <f ca="1">IFERROR(__xludf.DUMMYFUNCTION("""COMPUTED_VALUE"""),"I")</f>
        <v>I</v>
      </c>
      <c r="G312" s="80">
        <f ca="1">IFERROR(__xludf.DUMMYFUNCTION("""COMPUTED_VALUE"""),8)</f>
        <v>8</v>
      </c>
      <c r="H312" s="80" t="str">
        <f ca="1">IFERROR(__xludf.DUMMYFUNCTION("""COMPUTED_VALUE"""),"CSC")</f>
        <v>CSC</v>
      </c>
      <c r="I312" s="80">
        <f ca="1">IFERROR(__xludf.DUMMYFUNCTION("""COMPUTED_VALUE"""),5)</f>
        <v>5</v>
      </c>
      <c r="J312" s="81">
        <f ca="1">IFERROR(__xludf.DUMMYFUNCTION("""COMPUTED_VALUE"""),1)</f>
        <v>1</v>
      </c>
      <c r="K312" s="81">
        <f ca="1">IFERROR(__xludf.DUMMYFUNCTION("""COMPUTED_VALUE"""),65.35)</f>
        <v>65.349999999999994</v>
      </c>
      <c r="L312" s="81">
        <f ca="1">IFERROR(__xludf.DUMMYFUNCTION("""COMPUTED_VALUE"""),65.35)</f>
        <v>65.349999999999994</v>
      </c>
      <c r="M312" s="81"/>
      <c r="N312" s="81">
        <f ca="1">IFERROR(__xludf.DUMMYFUNCTION("""COMPUTED_VALUE"""),0)</f>
        <v>0</v>
      </c>
      <c r="O312" s="81"/>
      <c r="P312" s="81">
        <f ca="1">IFERROR(__xludf.DUMMYFUNCTION("""COMPUTED_VALUE"""),0)</f>
        <v>0</v>
      </c>
      <c r="Q312" s="81"/>
      <c r="R312" s="81">
        <f ca="1">IFERROR(__xludf.DUMMYFUNCTION("""COMPUTED_VALUE"""),0)</f>
        <v>0</v>
      </c>
      <c r="S312" s="81"/>
      <c r="T312" s="81"/>
      <c r="U312" s="82"/>
      <c r="V312" s="82"/>
      <c r="W312" s="83"/>
      <c r="X312" s="83"/>
      <c r="Y312" s="83"/>
    </row>
    <row r="313" spans="1:25" ht="13.8">
      <c r="A313" s="78" t="str">
        <f ca="1">IFERROR(__xludf.DUMMYFUNCTION("""COMPUTED_VALUE"""),"CSC")</f>
        <v>CSC</v>
      </c>
      <c r="B313" s="79" t="str">
        <f ca="1">IFERROR(__xludf.DUMMYFUNCTION("""COMPUTED_VALUE"""),"Matthew Phelam")</f>
        <v>Matthew Phelam</v>
      </c>
      <c r="C313" s="78">
        <f ca="1">IFERROR(__xludf.DUMMYFUNCTION("""COMPUTED_VALUE"""),12)</f>
        <v>12</v>
      </c>
      <c r="D313" s="78" t="str">
        <f ca="1">IFERROR(__xludf.DUMMYFUNCTION("""COMPUTED_VALUE"""),"B")</f>
        <v>B</v>
      </c>
      <c r="E313" s="80" t="str">
        <f ca="1">IFERROR(__xludf.DUMMYFUNCTION("""COMPUTED_VALUE"""),"J")</f>
        <v>J</v>
      </c>
      <c r="F313" s="80" t="str">
        <f ca="1">IFERROR(__xludf.DUMMYFUNCTION("""COMPUTED_VALUE"""),"I")</f>
        <v>I</v>
      </c>
      <c r="G313" s="80">
        <f ca="1">IFERROR(__xludf.DUMMYFUNCTION("""COMPUTED_VALUE"""),8)</f>
        <v>8</v>
      </c>
      <c r="H313" s="80" t="str">
        <f ca="1">IFERROR(__xludf.DUMMYFUNCTION("""COMPUTED_VALUE"""),"CSC")</f>
        <v>CSC</v>
      </c>
      <c r="I313" s="80">
        <f ca="1">IFERROR(__xludf.DUMMYFUNCTION("""COMPUTED_VALUE"""),5)</f>
        <v>5</v>
      </c>
      <c r="J313" s="81">
        <f ca="1">IFERROR(__xludf.DUMMYFUNCTION("""COMPUTED_VALUE"""),0)</f>
        <v>0</v>
      </c>
      <c r="K313" s="81">
        <f ca="1">IFERROR(__xludf.DUMMYFUNCTION("""COMPUTED_VALUE"""),0)</f>
        <v>0</v>
      </c>
      <c r="L313" s="81">
        <f ca="1">IFERROR(__xludf.DUMMYFUNCTION("""COMPUTED_VALUE"""),0)</f>
        <v>0</v>
      </c>
      <c r="M313" s="81"/>
      <c r="N313" s="81">
        <f ca="1">IFERROR(__xludf.DUMMYFUNCTION("""COMPUTED_VALUE"""),0)</f>
        <v>0</v>
      </c>
      <c r="O313" s="81"/>
      <c r="P313" s="81">
        <f ca="1">IFERROR(__xludf.DUMMYFUNCTION("""COMPUTED_VALUE"""),0)</f>
        <v>0</v>
      </c>
      <c r="Q313" s="81"/>
      <c r="R313" s="81">
        <f ca="1">IFERROR(__xludf.DUMMYFUNCTION("""COMPUTED_VALUE"""),0)</f>
        <v>0</v>
      </c>
      <c r="S313" s="81"/>
      <c r="T313" s="81"/>
      <c r="U313" s="82"/>
      <c r="V313" s="82"/>
      <c r="W313" s="83"/>
      <c r="X313" s="83"/>
      <c r="Y313" s="83"/>
    </row>
    <row r="314" spans="1:25" ht="13.8">
      <c r="A314" s="78" t="str">
        <f ca="1">IFERROR(__xludf.DUMMYFUNCTION("""COMPUTED_VALUE"""),"CSC")</f>
        <v>CSC</v>
      </c>
      <c r="B314" s="79" t="str">
        <f ca="1">IFERROR(__xludf.DUMMYFUNCTION("""COMPUTED_VALUE"""),"Abbie Baldree")</f>
        <v>Abbie Baldree</v>
      </c>
      <c r="C314" s="78">
        <f ca="1">IFERROR(__xludf.DUMMYFUNCTION("""COMPUTED_VALUE"""),14)</f>
        <v>14</v>
      </c>
      <c r="D314" s="78" t="str">
        <f ca="1">IFERROR(__xludf.DUMMYFUNCTION("""COMPUTED_VALUE"""),"G")</f>
        <v>G</v>
      </c>
      <c r="E314" s="80" t="str">
        <f ca="1">IFERROR(__xludf.DUMMYFUNCTION("""COMPUTED_VALUE"""),"I")</f>
        <v>I</v>
      </c>
      <c r="F314" s="80" t="str">
        <f ca="1">IFERROR(__xludf.DUMMYFUNCTION("""COMPUTED_VALUE"""),"S")</f>
        <v>S</v>
      </c>
      <c r="G314" s="80">
        <f ca="1">IFERROR(__xludf.DUMMYFUNCTION("""COMPUTED_VALUE"""),8)</f>
        <v>8</v>
      </c>
      <c r="H314" s="80" t="str">
        <f ca="1">IFERROR(__xludf.DUMMYFUNCTION("""COMPUTED_VALUE"""),"CSC")</f>
        <v>CSC</v>
      </c>
      <c r="I314" s="80">
        <f ca="1">IFERROR(__xludf.DUMMYFUNCTION("""COMPUTED_VALUE"""),6)</f>
        <v>6</v>
      </c>
      <c r="J314" s="81">
        <f ca="1">IFERROR(__xludf.DUMMYFUNCTION("""COMPUTED_VALUE"""),0)</f>
        <v>0</v>
      </c>
      <c r="K314" s="81">
        <f ca="1">IFERROR(__xludf.DUMMYFUNCTION("""COMPUTED_VALUE"""),0)</f>
        <v>0</v>
      </c>
      <c r="L314" s="81">
        <f ca="1">IFERROR(__xludf.DUMMYFUNCTION("""COMPUTED_VALUE"""),0)</f>
        <v>0</v>
      </c>
      <c r="M314" s="81"/>
      <c r="N314" s="81">
        <f ca="1">IFERROR(__xludf.DUMMYFUNCTION("""COMPUTED_VALUE"""),0)</f>
        <v>0</v>
      </c>
      <c r="O314" s="81"/>
      <c r="P314" s="81">
        <f ca="1">IFERROR(__xludf.DUMMYFUNCTION("""COMPUTED_VALUE"""),0)</f>
        <v>0</v>
      </c>
      <c r="Q314" s="81"/>
      <c r="R314" s="81">
        <f ca="1">IFERROR(__xludf.DUMMYFUNCTION("""COMPUTED_VALUE"""),0)</f>
        <v>0</v>
      </c>
      <c r="S314" s="81"/>
      <c r="T314" s="81"/>
      <c r="U314" s="82"/>
      <c r="V314" s="82"/>
      <c r="W314" s="83"/>
      <c r="X314" s="83"/>
      <c r="Y314" s="83"/>
    </row>
    <row r="315" spans="1:25" ht="13.8">
      <c r="A315" s="78" t="str">
        <f ca="1">IFERROR(__xludf.DUMMYFUNCTION("""COMPUTED_VALUE"""),"CSC")</f>
        <v>CSC</v>
      </c>
      <c r="B315" s="79" t="str">
        <f ca="1">IFERROR(__xludf.DUMMYFUNCTION("""COMPUTED_VALUE"""),"Alish Dhakal")</f>
        <v>Alish Dhakal</v>
      </c>
      <c r="C315" s="78">
        <f ca="1">IFERROR(__xludf.DUMMYFUNCTION("""COMPUTED_VALUE"""),13)</f>
        <v>13</v>
      </c>
      <c r="D315" s="78" t="str">
        <f ca="1">IFERROR(__xludf.DUMMYFUNCTION("""COMPUTED_VALUE"""),"B")</f>
        <v>B</v>
      </c>
      <c r="E315" s="80" t="str">
        <f ca="1">IFERROR(__xludf.DUMMYFUNCTION("""COMPUTED_VALUE"""),"I")</f>
        <v>I</v>
      </c>
      <c r="F315" s="80" t="str">
        <f ca="1">IFERROR(__xludf.DUMMYFUNCTION("""COMPUTED_VALUE"""),"S")</f>
        <v>S</v>
      </c>
      <c r="G315" s="80">
        <f ca="1">IFERROR(__xludf.DUMMYFUNCTION("""COMPUTED_VALUE"""),8)</f>
        <v>8</v>
      </c>
      <c r="H315" s="80" t="str">
        <f ca="1">IFERROR(__xludf.DUMMYFUNCTION("""COMPUTED_VALUE"""),"CSC")</f>
        <v>CSC</v>
      </c>
      <c r="I315" s="80">
        <f ca="1">IFERROR(__xludf.DUMMYFUNCTION("""COMPUTED_VALUE"""),7)</f>
        <v>7</v>
      </c>
      <c r="J315" s="81">
        <f ca="1">IFERROR(__xludf.DUMMYFUNCTION("""COMPUTED_VALUE"""),0)</f>
        <v>0</v>
      </c>
      <c r="K315" s="81">
        <f ca="1">IFERROR(__xludf.DUMMYFUNCTION("""COMPUTED_VALUE"""),0)</f>
        <v>0</v>
      </c>
      <c r="L315" s="81">
        <f ca="1">IFERROR(__xludf.DUMMYFUNCTION("""COMPUTED_VALUE"""),0)</f>
        <v>0</v>
      </c>
      <c r="M315" s="81"/>
      <c r="N315" s="81">
        <f ca="1">IFERROR(__xludf.DUMMYFUNCTION("""COMPUTED_VALUE"""),0)</f>
        <v>0</v>
      </c>
      <c r="O315" s="81"/>
      <c r="P315" s="81">
        <f ca="1">IFERROR(__xludf.DUMMYFUNCTION("""COMPUTED_VALUE"""),0)</f>
        <v>0</v>
      </c>
      <c r="Q315" s="81"/>
      <c r="R315" s="81">
        <f ca="1">IFERROR(__xludf.DUMMYFUNCTION("""COMPUTED_VALUE"""),0)</f>
        <v>0</v>
      </c>
      <c r="S315" s="81"/>
      <c r="T315" s="81"/>
      <c r="U315" s="82"/>
      <c r="V315" s="82"/>
      <c r="W315" s="83"/>
      <c r="X315" s="83"/>
      <c r="Y315" s="83"/>
    </row>
    <row r="316" spans="1:25" ht="13.8">
      <c r="A316" s="78" t="str">
        <f ca="1">IFERROR(__xludf.DUMMYFUNCTION("""COMPUTED_VALUE"""),"CSC")</f>
        <v>CSC</v>
      </c>
      <c r="B316" s="79" t="str">
        <f ca="1">IFERROR(__xludf.DUMMYFUNCTION("""COMPUTED_VALUE"""),"Liam McCoy")</f>
        <v>Liam McCoy</v>
      </c>
      <c r="C316" s="78">
        <f ca="1">IFERROR(__xludf.DUMMYFUNCTION("""COMPUTED_VALUE"""),14)</f>
        <v>14</v>
      </c>
      <c r="D316" s="78" t="str">
        <f ca="1">IFERROR(__xludf.DUMMYFUNCTION("""COMPUTED_VALUE"""),"B")</f>
        <v>B</v>
      </c>
      <c r="E316" s="80" t="str">
        <f ca="1">IFERROR(__xludf.DUMMYFUNCTION("""COMPUTED_VALUE"""),"I")</f>
        <v>I</v>
      </c>
      <c r="F316" s="80" t="str">
        <f ca="1">IFERROR(__xludf.DUMMYFUNCTION("""COMPUTED_VALUE"""),"S")</f>
        <v>S</v>
      </c>
      <c r="G316" s="80">
        <f ca="1">IFERROR(__xludf.DUMMYFUNCTION("""COMPUTED_VALUE"""),8)</f>
        <v>8</v>
      </c>
      <c r="H316" s="80" t="str">
        <f ca="1">IFERROR(__xludf.DUMMYFUNCTION("""COMPUTED_VALUE"""),"CSC")</f>
        <v>CSC</v>
      </c>
      <c r="I316" s="80">
        <f ca="1">IFERROR(__xludf.DUMMYFUNCTION("""COMPUTED_VALUE"""),7)</f>
        <v>7</v>
      </c>
      <c r="J316" s="81">
        <f ca="1">IFERROR(__xludf.DUMMYFUNCTION("""COMPUTED_VALUE"""),4)</f>
        <v>4</v>
      </c>
      <c r="K316" s="81">
        <f ca="1">IFERROR(__xludf.DUMMYFUNCTION("""COMPUTED_VALUE"""),92)</f>
        <v>92</v>
      </c>
      <c r="L316" s="81">
        <f ca="1">IFERROR(__xludf.DUMMYFUNCTION("""COMPUTED_VALUE"""),92)</f>
        <v>92</v>
      </c>
      <c r="M316" s="81"/>
      <c r="N316" s="81">
        <f ca="1">IFERROR(__xludf.DUMMYFUNCTION("""COMPUTED_VALUE"""),60.65)</f>
        <v>60.65</v>
      </c>
      <c r="O316" s="81"/>
      <c r="P316" s="81">
        <f ca="1">IFERROR(__xludf.DUMMYFUNCTION("""COMPUTED_VALUE"""),0)</f>
        <v>0</v>
      </c>
      <c r="Q316" s="81"/>
      <c r="R316" s="81">
        <f ca="1">IFERROR(__xludf.DUMMYFUNCTION("""COMPUTED_VALUE"""),78.1)</f>
        <v>78.099999999999994</v>
      </c>
      <c r="S316" s="81"/>
      <c r="T316" s="81"/>
      <c r="U316" s="82"/>
      <c r="V316" s="82"/>
      <c r="W316" s="83"/>
      <c r="X316" s="83"/>
      <c r="Y316" s="83"/>
    </row>
    <row r="317" spans="1:25" ht="13.8">
      <c r="A317" s="78" t="str">
        <f ca="1">IFERROR(__xludf.DUMMYFUNCTION("""COMPUTED_VALUE"""),"CSC")</f>
        <v>CSC</v>
      </c>
      <c r="B317" s="79" t="str">
        <f ca="1">IFERROR(__xludf.DUMMYFUNCTION("""COMPUTED_VALUE"""),"Thomas Phelam")</f>
        <v>Thomas Phelam</v>
      </c>
      <c r="C317" s="78">
        <f ca="1">IFERROR(__xludf.DUMMYFUNCTION("""COMPUTED_VALUE"""),14)</f>
        <v>14</v>
      </c>
      <c r="D317" s="78" t="str">
        <f ca="1">IFERROR(__xludf.DUMMYFUNCTION("""COMPUTED_VALUE"""),"B")</f>
        <v>B</v>
      </c>
      <c r="E317" s="80" t="str">
        <f ca="1">IFERROR(__xludf.DUMMYFUNCTION("""COMPUTED_VALUE"""),"I")</f>
        <v>I</v>
      </c>
      <c r="F317" s="80" t="str">
        <f ca="1">IFERROR(__xludf.DUMMYFUNCTION("""COMPUTED_VALUE"""),"S")</f>
        <v>S</v>
      </c>
      <c r="G317" s="80">
        <f ca="1">IFERROR(__xludf.DUMMYFUNCTION("""COMPUTED_VALUE"""),8)</f>
        <v>8</v>
      </c>
      <c r="H317" s="80" t="str">
        <f ca="1">IFERROR(__xludf.DUMMYFUNCTION("""COMPUTED_VALUE"""),"CSC")</f>
        <v>CSC</v>
      </c>
      <c r="I317" s="80">
        <f ca="1">IFERROR(__xludf.DUMMYFUNCTION("""COMPUTED_VALUE"""),7)</f>
        <v>7</v>
      </c>
      <c r="J317" s="81">
        <f ca="1">IFERROR(__xludf.DUMMYFUNCTION("""COMPUTED_VALUE"""),0)</f>
        <v>0</v>
      </c>
      <c r="K317" s="81">
        <f ca="1">IFERROR(__xludf.DUMMYFUNCTION("""COMPUTED_VALUE"""),0)</f>
        <v>0</v>
      </c>
      <c r="L317" s="81">
        <f ca="1">IFERROR(__xludf.DUMMYFUNCTION("""COMPUTED_VALUE"""),0)</f>
        <v>0</v>
      </c>
      <c r="M317" s="81"/>
      <c r="N317" s="81">
        <f ca="1">IFERROR(__xludf.DUMMYFUNCTION("""COMPUTED_VALUE"""),0)</f>
        <v>0</v>
      </c>
      <c r="O317" s="81"/>
      <c r="P317" s="81">
        <f ca="1">IFERROR(__xludf.DUMMYFUNCTION("""COMPUTED_VALUE"""),0)</f>
        <v>0</v>
      </c>
      <c r="Q317" s="81"/>
      <c r="R317" s="81">
        <f ca="1">IFERROR(__xludf.DUMMYFUNCTION("""COMPUTED_VALUE"""),0)</f>
        <v>0</v>
      </c>
      <c r="S317" s="81"/>
      <c r="T317" s="81"/>
      <c r="U317" s="82"/>
      <c r="V317" s="82"/>
      <c r="W317" s="83"/>
      <c r="X317" s="83"/>
      <c r="Y317" s="83"/>
    </row>
    <row r="318" spans="1:25" ht="13.8">
      <c r="A318" s="78" t="str">
        <f ca="1">IFERROR(__xludf.DUMMYFUNCTION("""COMPUTED_VALUE"""),"CSC")</f>
        <v>CSC</v>
      </c>
      <c r="B318" s="79" t="str">
        <f ca="1">IFERROR(__xludf.DUMMYFUNCTION("""COMPUTED_VALUE"""),"Tristan Wathen")</f>
        <v>Tristan Wathen</v>
      </c>
      <c r="C318" s="78">
        <f ca="1">IFERROR(__xludf.DUMMYFUNCTION("""COMPUTED_VALUE"""),14)</f>
        <v>14</v>
      </c>
      <c r="D318" s="78" t="str">
        <f ca="1">IFERROR(__xludf.DUMMYFUNCTION("""COMPUTED_VALUE"""),"B")</f>
        <v>B</v>
      </c>
      <c r="E318" s="80" t="str">
        <f ca="1">IFERROR(__xludf.DUMMYFUNCTION("""COMPUTED_VALUE"""),"I")</f>
        <v>I</v>
      </c>
      <c r="F318" s="80" t="str">
        <f ca="1">IFERROR(__xludf.DUMMYFUNCTION("""COMPUTED_VALUE"""),"S")</f>
        <v>S</v>
      </c>
      <c r="G318" s="80">
        <f ca="1">IFERROR(__xludf.DUMMYFUNCTION("""COMPUTED_VALUE"""),8)</f>
        <v>8</v>
      </c>
      <c r="H318" s="80" t="str">
        <f ca="1">IFERROR(__xludf.DUMMYFUNCTION("""COMPUTED_VALUE"""),"CSC")</f>
        <v>CSC</v>
      </c>
      <c r="I318" s="80">
        <f ca="1">IFERROR(__xludf.DUMMYFUNCTION("""COMPUTED_VALUE"""),7)</f>
        <v>7</v>
      </c>
      <c r="J318" s="81">
        <f ca="1">IFERROR(__xludf.DUMMYFUNCTION("""COMPUTED_VALUE"""),0)</f>
        <v>0</v>
      </c>
      <c r="K318" s="81">
        <f ca="1">IFERROR(__xludf.DUMMYFUNCTION("""COMPUTED_VALUE"""),0)</f>
        <v>0</v>
      </c>
      <c r="L318" s="81">
        <f ca="1">IFERROR(__xludf.DUMMYFUNCTION("""COMPUTED_VALUE"""),0)</f>
        <v>0</v>
      </c>
      <c r="M318" s="81"/>
      <c r="N318" s="81">
        <f ca="1">IFERROR(__xludf.DUMMYFUNCTION("""COMPUTED_VALUE"""),0)</f>
        <v>0</v>
      </c>
      <c r="O318" s="81"/>
      <c r="P318" s="81">
        <f ca="1">IFERROR(__xludf.DUMMYFUNCTION("""COMPUTED_VALUE"""),0)</f>
        <v>0</v>
      </c>
      <c r="Q318" s="81"/>
      <c r="R318" s="81">
        <f ca="1">IFERROR(__xludf.DUMMYFUNCTION("""COMPUTED_VALUE"""),0)</f>
        <v>0</v>
      </c>
      <c r="S318" s="81"/>
      <c r="T318" s="81"/>
      <c r="U318" s="82"/>
      <c r="V318" s="82"/>
      <c r="W318" s="83"/>
      <c r="X318" s="83"/>
      <c r="Y318" s="83"/>
    </row>
    <row r="319" spans="1:25" ht="13.8">
      <c r="A319" s="78" t="str">
        <f ca="1">IFERROR(__xludf.DUMMYFUNCTION("""COMPUTED_VALUE"""),"CSC")</f>
        <v>CSC</v>
      </c>
      <c r="B319" s="79" t="str">
        <f ca="1">IFERROR(__xludf.DUMMYFUNCTION("""COMPUTED_VALUE"""),"Madi Flinn")</f>
        <v>Madi Flinn</v>
      </c>
      <c r="C319" s="78">
        <f ca="1">IFERROR(__xludf.DUMMYFUNCTION("""COMPUTED_VALUE"""),19)</f>
        <v>19</v>
      </c>
      <c r="D319" s="78" t="str">
        <f ca="1">IFERROR(__xludf.DUMMYFUNCTION("""COMPUTED_VALUE"""),"G")</f>
        <v>G</v>
      </c>
      <c r="E319" s="80" t="str">
        <f ca="1">IFERROR(__xludf.DUMMYFUNCTION("""COMPUTED_VALUE"""),"S")</f>
        <v>S</v>
      </c>
      <c r="F319" s="80" t="str">
        <f ca="1">IFERROR(__xludf.DUMMYFUNCTION("""COMPUTED_VALUE"""),"S")</f>
        <v>S</v>
      </c>
      <c r="G319" s="80">
        <f ca="1">IFERROR(__xludf.DUMMYFUNCTION("""COMPUTED_VALUE"""),8)</f>
        <v>8</v>
      </c>
      <c r="H319" s="80" t="str">
        <f ca="1">IFERROR(__xludf.DUMMYFUNCTION("""COMPUTED_VALUE"""),"CSC")</f>
        <v>CSC</v>
      </c>
      <c r="I319" s="80">
        <f ca="1">IFERROR(__xludf.DUMMYFUNCTION("""COMPUTED_VALUE"""),8)</f>
        <v>8</v>
      </c>
      <c r="J319" s="81">
        <f ca="1">IFERROR(__xludf.DUMMYFUNCTION("""COMPUTED_VALUE"""),5)</f>
        <v>5</v>
      </c>
      <c r="K319" s="81">
        <f ca="1">IFERROR(__xludf.DUMMYFUNCTION("""COMPUTED_VALUE"""),210.6)</f>
        <v>210.6</v>
      </c>
      <c r="L319" s="81">
        <f ca="1">IFERROR(__xludf.DUMMYFUNCTION("""COMPUTED_VALUE"""),210.6)</f>
        <v>210.6</v>
      </c>
      <c r="M319" s="81"/>
      <c r="N319" s="81">
        <f ca="1">IFERROR(__xludf.DUMMYFUNCTION("""COMPUTED_VALUE"""),187.15)</f>
        <v>187.15</v>
      </c>
      <c r="O319" s="81"/>
      <c r="P319" s="81">
        <f ca="1">IFERROR(__xludf.DUMMYFUNCTION("""COMPUTED_VALUE"""),189.55)</f>
        <v>189.55</v>
      </c>
      <c r="Q319" s="81"/>
      <c r="R319" s="81">
        <f ca="1">IFERROR(__xludf.DUMMYFUNCTION("""COMPUTED_VALUE"""),186)</f>
        <v>186</v>
      </c>
      <c r="S319" s="81"/>
      <c r="T319" s="81"/>
      <c r="U319" s="82"/>
      <c r="V319" s="82"/>
      <c r="W319" s="83"/>
      <c r="X319" s="83"/>
      <c r="Y319" s="83"/>
    </row>
    <row r="320" spans="1:25" ht="13.8">
      <c r="A320" s="78" t="str">
        <f ca="1">IFERROR(__xludf.DUMMYFUNCTION("""COMPUTED_VALUE"""),"CSC")</f>
        <v>CSC</v>
      </c>
      <c r="B320" s="79" t="str">
        <f ca="1">IFERROR(__xludf.DUMMYFUNCTION("""COMPUTED_VALUE"""),"Carly Jackson")</f>
        <v>Carly Jackson</v>
      </c>
      <c r="C320" s="78">
        <f ca="1">IFERROR(__xludf.DUMMYFUNCTION("""COMPUTED_VALUE"""),17)</f>
        <v>17</v>
      </c>
      <c r="D320" s="78" t="str">
        <f ca="1">IFERROR(__xludf.DUMMYFUNCTION("""COMPUTED_VALUE"""),"G")</f>
        <v>G</v>
      </c>
      <c r="E320" s="80" t="str">
        <f ca="1">IFERROR(__xludf.DUMMYFUNCTION("""COMPUTED_VALUE"""),"S")</f>
        <v>S</v>
      </c>
      <c r="F320" s="80" t="str">
        <f ca="1">IFERROR(__xludf.DUMMYFUNCTION("""COMPUTED_VALUE"""),"S")</f>
        <v>S</v>
      </c>
      <c r="G320" s="80">
        <f ca="1">IFERROR(__xludf.DUMMYFUNCTION("""COMPUTED_VALUE"""),8)</f>
        <v>8</v>
      </c>
      <c r="H320" s="80" t="str">
        <f ca="1">IFERROR(__xludf.DUMMYFUNCTION("""COMPUTED_VALUE"""),"CSC")</f>
        <v>CSC</v>
      </c>
      <c r="I320" s="80">
        <f ca="1">IFERROR(__xludf.DUMMYFUNCTION("""COMPUTED_VALUE"""),8)</f>
        <v>8</v>
      </c>
      <c r="J320" s="81">
        <f ca="1">IFERROR(__xludf.DUMMYFUNCTION("""COMPUTED_VALUE"""),2)</f>
        <v>2</v>
      </c>
      <c r="K320" s="81">
        <f ca="1">IFERROR(__xludf.DUMMYFUNCTION("""COMPUTED_VALUE"""),175.55)</f>
        <v>175.55</v>
      </c>
      <c r="L320" s="81">
        <f ca="1">IFERROR(__xludf.DUMMYFUNCTION("""COMPUTED_VALUE"""),175.55)</f>
        <v>175.55</v>
      </c>
      <c r="M320" s="81"/>
      <c r="N320" s="81">
        <f ca="1">IFERROR(__xludf.DUMMYFUNCTION("""COMPUTED_VALUE"""),126.45)</f>
        <v>126.45</v>
      </c>
      <c r="O320" s="81"/>
      <c r="P320" s="81">
        <f ca="1">IFERROR(__xludf.DUMMYFUNCTION("""COMPUTED_VALUE"""),0)</f>
        <v>0</v>
      </c>
      <c r="Q320" s="81"/>
      <c r="R320" s="81">
        <f ca="1">IFERROR(__xludf.DUMMYFUNCTION("""COMPUTED_VALUE"""),0)</f>
        <v>0</v>
      </c>
      <c r="S320" s="81"/>
      <c r="T320" s="81"/>
      <c r="U320" s="82"/>
      <c r="V320" s="82"/>
      <c r="W320" s="83"/>
      <c r="X320" s="83"/>
      <c r="Y320" s="83"/>
    </row>
    <row r="321" spans="1:25" ht="13.8">
      <c r="A321" s="78" t="str">
        <f ca="1">IFERROR(__xludf.DUMMYFUNCTION("""COMPUTED_VALUE"""),"CSC")</f>
        <v>CSC</v>
      </c>
      <c r="B321" s="79" t="str">
        <f ca="1">IFERROR(__xludf.DUMMYFUNCTION("""COMPUTED_VALUE"""),"Isabelle Merchant")</f>
        <v>Isabelle Merchant</v>
      </c>
      <c r="C321" s="78">
        <f ca="1">IFERROR(__xludf.DUMMYFUNCTION("""COMPUTED_VALUE"""),16)</f>
        <v>16</v>
      </c>
      <c r="D321" s="78" t="str">
        <f ca="1">IFERROR(__xludf.DUMMYFUNCTION("""COMPUTED_VALUE"""),"G")</f>
        <v>G</v>
      </c>
      <c r="E321" s="80" t="str">
        <f ca="1">IFERROR(__xludf.DUMMYFUNCTION("""COMPUTED_VALUE"""),"S")</f>
        <v>S</v>
      </c>
      <c r="F321" s="80" t="str">
        <f ca="1">IFERROR(__xludf.DUMMYFUNCTION("""COMPUTED_VALUE"""),"S")</f>
        <v>S</v>
      </c>
      <c r="G321" s="80">
        <f ca="1">IFERROR(__xludf.DUMMYFUNCTION("""COMPUTED_VALUE"""),8)</f>
        <v>8</v>
      </c>
      <c r="H321" s="80" t="str">
        <f ca="1">IFERROR(__xludf.DUMMYFUNCTION("""COMPUTED_VALUE"""),"CSC")</f>
        <v>CSC</v>
      </c>
      <c r="I321" s="80">
        <f ca="1">IFERROR(__xludf.DUMMYFUNCTION("""COMPUTED_VALUE"""),8)</f>
        <v>8</v>
      </c>
      <c r="J321" s="81">
        <f ca="1">IFERROR(__xludf.DUMMYFUNCTION("""COMPUTED_VALUE"""),0)</f>
        <v>0</v>
      </c>
      <c r="K321" s="81">
        <f ca="1">IFERROR(__xludf.DUMMYFUNCTION("""COMPUTED_VALUE"""),0)</f>
        <v>0</v>
      </c>
      <c r="L321" s="81">
        <f ca="1">IFERROR(__xludf.DUMMYFUNCTION("""COMPUTED_VALUE"""),0)</f>
        <v>0</v>
      </c>
      <c r="M321" s="81"/>
      <c r="N321" s="81">
        <f ca="1">IFERROR(__xludf.DUMMYFUNCTION("""COMPUTED_VALUE"""),0)</f>
        <v>0</v>
      </c>
      <c r="O321" s="81"/>
      <c r="P321" s="81">
        <f ca="1">IFERROR(__xludf.DUMMYFUNCTION("""COMPUTED_VALUE"""),0)</f>
        <v>0</v>
      </c>
      <c r="Q321" s="81"/>
      <c r="R321" s="81">
        <f ca="1">IFERROR(__xludf.DUMMYFUNCTION("""COMPUTED_VALUE"""),0)</f>
        <v>0</v>
      </c>
      <c r="S321" s="81"/>
      <c r="T321" s="81"/>
      <c r="U321" s="82"/>
      <c r="V321" s="82"/>
      <c r="W321" s="83"/>
      <c r="X321" s="83"/>
      <c r="Y321" s="83"/>
    </row>
    <row r="322" spans="1:25" ht="13.8">
      <c r="A322" s="78" t="str">
        <f ca="1">IFERROR(__xludf.DUMMYFUNCTION("""COMPUTED_VALUE"""),"CSC")</f>
        <v>CSC</v>
      </c>
      <c r="B322" s="79" t="str">
        <f ca="1">IFERROR(__xludf.DUMMYFUNCTION("""COMPUTED_VALUE"""),"Tyler Jackson")</f>
        <v>Tyler Jackson</v>
      </c>
      <c r="C322" s="78">
        <f ca="1">IFERROR(__xludf.DUMMYFUNCTION("""COMPUTED_VALUE"""),19)</f>
        <v>19</v>
      </c>
      <c r="D322" s="78" t="str">
        <f ca="1">IFERROR(__xludf.DUMMYFUNCTION("""COMPUTED_VALUE"""),"B")</f>
        <v>B</v>
      </c>
      <c r="E322" s="80" t="str">
        <f ca="1">IFERROR(__xludf.DUMMYFUNCTION("""COMPUTED_VALUE"""),"S")</f>
        <v>S</v>
      </c>
      <c r="F322" s="80" t="str">
        <f ca="1">IFERROR(__xludf.DUMMYFUNCTION("""COMPUTED_VALUE"""),"S")</f>
        <v>S</v>
      </c>
      <c r="G322" s="80">
        <f ca="1">IFERROR(__xludf.DUMMYFUNCTION("""COMPUTED_VALUE"""),8)</f>
        <v>8</v>
      </c>
      <c r="H322" s="80" t="str">
        <f ca="1">IFERROR(__xludf.DUMMYFUNCTION("""COMPUTED_VALUE"""),"CSC")</f>
        <v>CSC</v>
      </c>
      <c r="I322" s="80">
        <f ca="1">IFERROR(__xludf.DUMMYFUNCTION("""COMPUTED_VALUE"""),9)</f>
        <v>9</v>
      </c>
      <c r="J322" s="81">
        <f ca="1">IFERROR(__xludf.DUMMYFUNCTION("""COMPUTED_VALUE"""),4)</f>
        <v>4</v>
      </c>
      <c r="K322" s="81">
        <f ca="1">IFERROR(__xludf.DUMMYFUNCTION("""COMPUTED_VALUE"""),168.2)</f>
        <v>168.2</v>
      </c>
      <c r="L322" s="81">
        <f ca="1">IFERROR(__xludf.DUMMYFUNCTION("""COMPUTED_VALUE"""),168.2)</f>
        <v>168.2</v>
      </c>
      <c r="M322" s="81"/>
      <c r="N322" s="81">
        <f ca="1">IFERROR(__xludf.DUMMYFUNCTION("""COMPUTED_VALUE"""),120.15)</f>
        <v>120.15</v>
      </c>
      <c r="O322" s="81"/>
      <c r="P322" s="81">
        <f ca="1">IFERROR(__xludf.DUMMYFUNCTION("""COMPUTED_VALUE"""),0)</f>
        <v>0</v>
      </c>
      <c r="Q322" s="81"/>
      <c r="R322" s="81">
        <f ca="1">IFERROR(__xludf.DUMMYFUNCTION("""COMPUTED_VALUE"""),127.6)</f>
        <v>127.6</v>
      </c>
      <c r="S322" s="81"/>
      <c r="T322" s="81"/>
      <c r="U322" s="82"/>
      <c r="V322" s="82"/>
      <c r="W322" s="83"/>
      <c r="X322" s="83"/>
      <c r="Y322" s="83"/>
    </row>
    <row r="323" spans="1:25" ht="13.8">
      <c r="A323" s="78" t="str">
        <f ca="1">IFERROR(__xludf.DUMMYFUNCTION("""COMPUTED_VALUE"""),"DH")</f>
        <v>DH</v>
      </c>
      <c r="B323" s="79" t="str">
        <f ca="1">IFERROR(__xludf.DUMMYFUNCTION("""COMPUTED_VALUE"""),"Helen Butler")</f>
        <v>Helen Butler</v>
      </c>
      <c r="C323" s="78">
        <f ca="1">IFERROR(__xludf.DUMMYFUNCTION("""COMPUTED_VALUE"""),9)</f>
        <v>9</v>
      </c>
      <c r="D323" s="78" t="str">
        <f ca="1">IFERROR(__xludf.DUMMYFUNCTION("""COMPUTED_VALUE"""),"G")</f>
        <v>G</v>
      </c>
      <c r="E323" s="80" t="str">
        <f ca="1">IFERROR(__xludf.DUMMYFUNCTION("""COMPUTED_VALUE"""),"F")</f>
        <v>F</v>
      </c>
      <c r="F323" s="80" t="str">
        <f ca="1">IFERROR(__xludf.DUMMYFUNCTION("""COMPUTED_VALUE"""),"J")</f>
        <v>J</v>
      </c>
      <c r="G323" s="80">
        <f ca="1">IFERROR(__xludf.DUMMYFUNCTION("""COMPUTED_VALUE"""),4)</f>
        <v>4</v>
      </c>
      <c r="H323" s="80" t="str">
        <f ca="1">IFERROR(__xludf.DUMMYFUNCTION("""COMPUTED_VALUE"""),"DH")</f>
        <v>DH</v>
      </c>
      <c r="I323" s="80">
        <f ca="1">IFERROR(__xludf.DUMMYFUNCTION("""COMPUTED_VALUE"""),2)</f>
        <v>2</v>
      </c>
      <c r="J323" s="81">
        <f ca="1">IFERROR(__xludf.DUMMYFUNCTION("""COMPUTED_VALUE"""),4)</f>
        <v>4</v>
      </c>
      <c r="K323" s="81">
        <f ca="1">IFERROR(__xludf.DUMMYFUNCTION("""COMPUTED_VALUE"""),50.7)</f>
        <v>50.7</v>
      </c>
      <c r="L323" s="81">
        <f ca="1">IFERROR(__xludf.DUMMYFUNCTION("""COMPUTED_VALUE"""),50.7)</f>
        <v>50.7</v>
      </c>
      <c r="M323" s="81"/>
      <c r="N323" s="81">
        <f ca="1">IFERROR(__xludf.DUMMYFUNCTION("""COMPUTED_VALUE"""),46.2)</f>
        <v>46.2</v>
      </c>
      <c r="O323" s="81"/>
      <c r="P323" s="81">
        <f ca="1">IFERROR(__xludf.DUMMYFUNCTION("""COMPUTED_VALUE"""),49.8)</f>
        <v>49.8</v>
      </c>
      <c r="Q323" s="81"/>
      <c r="R323" s="81">
        <f ca="1">IFERROR(__xludf.DUMMYFUNCTION("""COMPUTED_VALUE"""),0)</f>
        <v>0</v>
      </c>
      <c r="S323" s="81"/>
      <c r="T323" s="81"/>
      <c r="U323" s="82"/>
      <c r="V323" s="82"/>
      <c r="W323" s="83"/>
      <c r="X323" s="83"/>
      <c r="Y323" s="83"/>
    </row>
    <row r="324" spans="1:25" ht="13.8">
      <c r="A324" s="78" t="str">
        <f ca="1">IFERROR(__xludf.DUMMYFUNCTION("""COMPUTED_VALUE"""),"DH")</f>
        <v>DH</v>
      </c>
      <c r="B324" s="79" t="str">
        <f ca="1">IFERROR(__xludf.DUMMYFUNCTION("""COMPUTED_VALUE"""),"Madeleine Dombrowski")</f>
        <v>Madeleine Dombrowski</v>
      </c>
      <c r="C324" s="78">
        <f ca="1">IFERROR(__xludf.DUMMYFUNCTION("""COMPUTED_VALUE"""),10)</f>
        <v>10</v>
      </c>
      <c r="D324" s="78" t="str">
        <f ca="1">IFERROR(__xludf.DUMMYFUNCTION("""COMPUTED_VALUE"""),"G")</f>
        <v>G</v>
      </c>
      <c r="E324" s="80" t="str">
        <f ca="1">IFERROR(__xludf.DUMMYFUNCTION("""COMPUTED_VALUE"""),"F")</f>
        <v>F</v>
      </c>
      <c r="F324" s="80" t="str">
        <f ca="1">IFERROR(__xludf.DUMMYFUNCTION("""COMPUTED_VALUE"""),"J")</f>
        <v>J</v>
      </c>
      <c r="G324" s="80">
        <f ca="1">IFERROR(__xludf.DUMMYFUNCTION("""COMPUTED_VALUE"""),4)</f>
        <v>4</v>
      </c>
      <c r="H324" s="80" t="str">
        <f ca="1">IFERROR(__xludf.DUMMYFUNCTION("""COMPUTED_VALUE"""),"DH")</f>
        <v>DH</v>
      </c>
      <c r="I324" s="80">
        <f ca="1">IFERROR(__xludf.DUMMYFUNCTION("""COMPUTED_VALUE"""),2)</f>
        <v>2</v>
      </c>
      <c r="J324" s="81">
        <f ca="1">IFERROR(__xludf.DUMMYFUNCTION("""COMPUTED_VALUE"""),3)</f>
        <v>3</v>
      </c>
      <c r="K324" s="81">
        <f ca="1">IFERROR(__xludf.DUMMYFUNCTION("""COMPUTED_VALUE"""),47.25)</f>
        <v>47.25</v>
      </c>
      <c r="L324" s="81">
        <f ca="1">IFERROR(__xludf.DUMMYFUNCTION("""COMPUTED_VALUE"""),0)</f>
        <v>0</v>
      </c>
      <c r="M324" s="81"/>
      <c r="N324" s="81">
        <f ca="1">IFERROR(__xludf.DUMMYFUNCTION("""COMPUTED_VALUE"""),47.25)</f>
        <v>47.25</v>
      </c>
      <c r="O324" s="81"/>
      <c r="P324" s="81">
        <f ca="1">IFERROR(__xludf.DUMMYFUNCTION("""COMPUTED_VALUE"""),39.4)</f>
        <v>39.4</v>
      </c>
      <c r="Q324" s="81"/>
      <c r="R324" s="81">
        <f ca="1">IFERROR(__xludf.DUMMYFUNCTION("""COMPUTED_VALUE"""),0)</f>
        <v>0</v>
      </c>
      <c r="S324" s="81"/>
      <c r="T324" s="81"/>
      <c r="U324" s="82"/>
      <c r="V324" s="82"/>
      <c r="W324" s="83"/>
      <c r="X324" s="83"/>
      <c r="Y324" s="83"/>
    </row>
    <row r="325" spans="1:25" ht="13.8">
      <c r="A325" s="78" t="str">
        <f ca="1">IFERROR(__xludf.DUMMYFUNCTION("""COMPUTED_VALUE"""),"DH")</f>
        <v>DH</v>
      </c>
      <c r="B325" s="79" t="str">
        <f ca="1">IFERROR(__xludf.DUMMYFUNCTION("""COMPUTED_VALUE"""),"Eleanor Goehring")</f>
        <v>Eleanor Goehring</v>
      </c>
      <c r="C325" s="78">
        <f ca="1">IFERROR(__xludf.DUMMYFUNCTION("""COMPUTED_VALUE"""),9)</f>
        <v>9</v>
      </c>
      <c r="D325" s="78" t="str">
        <f ca="1">IFERROR(__xludf.DUMMYFUNCTION("""COMPUTED_VALUE"""),"G")</f>
        <v>G</v>
      </c>
      <c r="E325" s="80" t="str">
        <f ca="1">IFERROR(__xludf.DUMMYFUNCTION("""COMPUTED_VALUE"""),"F")</f>
        <v>F</v>
      </c>
      <c r="F325" s="80" t="str">
        <f ca="1">IFERROR(__xludf.DUMMYFUNCTION("""COMPUTED_VALUE"""),"J")</f>
        <v>J</v>
      </c>
      <c r="G325" s="80">
        <f ca="1">IFERROR(__xludf.DUMMYFUNCTION("""COMPUTED_VALUE"""),4)</f>
        <v>4</v>
      </c>
      <c r="H325" s="80" t="str">
        <f ca="1">IFERROR(__xludf.DUMMYFUNCTION("""COMPUTED_VALUE"""),"DH")</f>
        <v>DH</v>
      </c>
      <c r="I325" s="80">
        <f ca="1">IFERROR(__xludf.DUMMYFUNCTION("""COMPUTED_VALUE"""),2)</f>
        <v>2</v>
      </c>
      <c r="J325" s="81">
        <f ca="1">IFERROR(__xludf.DUMMYFUNCTION("""COMPUTED_VALUE"""),3)</f>
        <v>3</v>
      </c>
      <c r="K325" s="81">
        <f ca="1">IFERROR(__xludf.DUMMYFUNCTION("""COMPUTED_VALUE"""),52.5)</f>
        <v>52.5</v>
      </c>
      <c r="L325" s="81">
        <f ca="1">IFERROR(__xludf.DUMMYFUNCTION("""COMPUTED_VALUE"""),0)</f>
        <v>0</v>
      </c>
      <c r="M325" s="81"/>
      <c r="N325" s="81">
        <f ca="1">IFERROR(__xludf.DUMMYFUNCTION("""COMPUTED_VALUE"""),49.85)</f>
        <v>49.85</v>
      </c>
      <c r="O325" s="81"/>
      <c r="P325" s="81">
        <f ca="1">IFERROR(__xludf.DUMMYFUNCTION("""COMPUTED_VALUE"""),0)</f>
        <v>0</v>
      </c>
      <c r="Q325" s="81"/>
      <c r="R325" s="81">
        <f ca="1">IFERROR(__xludf.DUMMYFUNCTION("""COMPUTED_VALUE"""),52.5)</f>
        <v>52.5</v>
      </c>
      <c r="S325" s="81"/>
      <c r="T325" s="81"/>
      <c r="U325" s="82"/>
      <c r="V325" s="82"/>
      <c r="W325" s="83"/>
      <c r="X325" s="83"/>
      <c r="Y325" s="83"/>
    </row>
    <row r="326" spans="1:25" ht="13.8">
      <c r="A326" s="78" t="str">
        <f ca="1">IFERROR(__xludf.DUMMYFUNCTION("""COMPUTED_VALUE"""),"DH")</f>
        <v>DH</v>
      </c>
      <c r="B326" s="79" t="str">
        <f ca="1">IFERROR(__xludf.DUMMYFUNCTION("""COMPUTED_VALUE"""),"Alexis Locke")</f>
        <v>Alexis Locke</v>
      </c>
      <c r="C326" s="78">
        <f ca="1">IFERROR(__xludf.DUMMYFUNCTION("""COMPUTED_VALUE"""),9)</f>
        <v>9</v>
      </c>
      <c r="D326" s="78" t="str">
        <f ca="1">IFERROR(__xludf.DUMMYFUNCTION("""COMPUTED_VALUE"""),"G")</f>
        <v>G</v>
      </c>
      <c r="E326" s="80" t="str">
        <f ca="1">IFERROR(__xludf.DUMMYFUNCTION("""COMPUTED_VALUE"""),"F")</f>
        <v>F</v>
      </c>
      <c r="F326" s="80" t="str">
        <f ca="1">IFERROR(__xludf.DUMMYFUNCTION("""COMPUTED_VALUE"""),"J")</f>
        <v>J</v>
      </c>
      <c r="G326" s="80">
        <f ca="1">IFERROR(__xludf.DUMMYFUNCTION("""COMPUTED_VALUE"""),4)</f>
        <v>4</v>
      </c>
      <c r="H326" s="80" t="str">
        <f ca="1">IFERROR(__xludf.DUMMYFUNCTION("""COMPUTED_VALUE"""),"DH")</f>
        <v>DH</v>
      </c>
      <c r="I326" s="80">
        <f ca="1">IFERROR(__xludf.DUMMYFUNCTION("""COMPUTED_VALUE"""),2)</f>
        <v>2</v>
      </c>
      <c r="J326" s="81">
        <f ca="1">IFERROR(__xludf.DUMMYFUNCTION("""COMPUTED_VALUE"""),1)</f>
        <v>1</v>
      </c>
      <c r="K326" s="81">
        <f ca="1">IFERROR(__xludf.DUMMYFUNCTION("""COMPUTED_VALUE"""),0)</f>
        <v>0</v>
      </c>
      <c r="L326" s="81">
        <f ca="1">IFERROR(__xludf.DUMMYFUNCTION("""COMPUTED_VALUE"""),0)</f>
        <v>0</v>
      </c>
      <c r="M326" s="81"/>
      <c r="N326" s="81">
        <f ca="1">IFERROR(__xludf.DUMMYFUNCTION("""COMPUTED_VALUE"""),0)</f>
        <v>0</v>
      </c>
      <c r="O326" s="81"/>
      <c r="P326" s="81">
        <f ca="1">IFERROR(__xludf.DUMMYFUNCTION("""COMPUTED_VALUE"""),0)</f>
        <v>0</v>
      </c>
      <c r="Q326" s="81"/>
      <c r="R326" s="81">
        <f ca="1">IFERROR(__xludf.DUMMYFUNCTION("""COMPUTED_VALUE"""),0)</f>
        <v>0</v>
      </c>
      <c r="S326" s="81"/>
      <c r="T326" s="81"/>
      <c r="U326" s="82"/>
      <c r="V326" s="82"/>
      <c r="W326" s="83"/>
      <c r="X326" s="83"/>
      <c r="Y326" s="83"/>
    </row>
    <row r="327" spans="1:25" ht="13.8">
      <c r="A327" s="78" t="str">
        <f ca="1">IFERROR(__xludf.DUMMYFUNCTION("""COMPUTED_VALUE"""),"DH")</f>
        <v>DH</v>
      </c>
      <c r="B327" s="79" t="str">
        <f ca="1">IFERROR(__xludf.DUMMYFUNCTION("""COMPUTED_VALUE"""),"Olivia Maco")</f>
        <v>Olivia Maco</v>
      </c>
      <c r="C327" s="78">
        <f ca="1">IFERROR(__xludf.DUMMYFUNCTION("""COMPUTED_VALUE"""),10)</f>
        <v>10</v>
      </c>
      <c r="D327" s="78" t="str">
        <f ca="1">IFERROR(__xludf.DUMMYFUNCTION("""COMPUTED_VALUE"""),"G")</f>
        <v>G</v>
      </c>
      <c r="E327" s="80" t="str">
        <f ca="1">IFERROR(__xludf.DUMMYFUNCTION("""COMPUTED_VALUE"""),"F")</f>
        <v>F</v>
      </c>
      <c r="F327" s="80" t="str">
        <f ca="1">IFERROR(__xludf.DUMMYFUNCTION("""COMPUTED_VALUE"""),"J")</f>
        <v>J</v>
      </c>
      <c r="G327" s="80">
        <f ca="1">IFERROR(__xludf.DUMMYFUNCTION("""COMPUTED_VALUE"""),4)</f>
        <v>4</v>
      </c>
      <c r="H327" s="80" t="str">
        <f ca="1">IFERROR(__xludf.DUMMYFUNCTION("""COMPUTED_VALUE"""),"DH")</f>
        <v>DH</v>
      </c>
      <c r="I327" s="80">
        <f ca="1">IFERROR(__xludf.DUMMYFUNCTION("""COMPUTED_VALUE"""),2)</f>
        <v>2</v>
      </c>
      <c r="J327" s="81">
        <f ca="1">IFERROR(__xludf.DUMMYFUNCTION("""COMPUTED_VALUE"""),3)</f>
        <v>3</v>
      </c>
      <c r="K327" s="81">
        <f ca="1">IFERROR(__xludf.DUMMYFUNCTION("""COMPUTED_VALUE"""),0)</f>
        <v>0</v>
      </c>
      <c r="L327" s="81">
        <f ca="1">IFERROR(__xludf.DUMMYFUNCTION("""COMPUTED_VALUE"""),-84.1)</f>
        <v>-84.1</v>
      </c>
      <c r="M327" s="81"/>
      <c r="N327" s="81">
        <f ca="1">IFERROR(__xludf.DUMMYFUNCTION("""COMPUTED_VALUE"""),0)</f>
        <v>0</v>
      </c>
      <c r="O327" s="81"/>
      <c r="P327" s="81">
        <f ca="1">IFERROR(__xludf.DUMMYFUNCTION("""COMPUTED_VALUE"""),-67.8)</f>
        <v>-67.8</v>
      </c>
      <c r="Q327" s="81"/>
      <c r="R327" s="81">
        <f ca="1">IFERROR(__xludf.DUMMYFUNCTION("""COMPUTED_VALUE"""),0)</f>
        <v>0</v>
      </c>
      <c r="S327" s="81"/>
      <c r="T327" s="81"/>
      <c r="U327" s="82"/>
      <c r="V327" s="82"/>
      <c r="W327" s="83"/>
      <c r="X327" s="83"/>
      <c r="Y327" s="83"/>
    </row>
    <row r="328" spans="1:25" ht="13.8">
      <c r="A328" s="78" t="str">
        <f ca="1">IFERROR(__xludf.DUMMYFUNCTION("""COMPUTED_VALUE"""),"DH")</f>
        <v>DH</v>
      </c>
      <c r="B328" s="79" t="str">
        <f ca="1">IFERROR(__xludf.DUMMYFUNCTION("""COMPUTED_VALUE"""),"Jane Perry")</f>
        <v>Jane Perry</v>
      </c>
      <c r="C328" s="78">
        <f ca="1">IFERROR(__xludf.DUMMYFUNCTION("""COMPUTED_VALUE"""),10)</f>
        <v>10</v>
      </c>
      <c r="D328" s="78" t="str">
        <f ca="1">IFERROR(__xludf.DUMMYFUNCTION("""COMPUTED_VALUE"""),"G")</f>
        <v>G</v>
      </c>
      <c r="E328" s="80" t="str">
        <f ca="1">IFERROR(__xludf.DUMMYFUNCTION("""COMPUTED_VALUE"""),"F")</f>
        <v>F</v>
      </c>
      <c r="F328" s="80" t="str">
        <f ca="1">IFERROR(__xludf.DUMMYFUNCTION("""COMPUTED_VALUE"""),"J")</f>
        <v>J</v>
      </c>
      <c r="G328" s="80">
        <f ca="1">IFERROR(__xludf.DUMMYFUNCTION("""COMPUTED_VALUE"""),4)</f>
        <v>4</v>
      </c>
      <c r="H328" s="80" t="str">
        <f ca="1">IFERROR(__xludf.DUMMYFUNCTION("""COMPUTED_VALUE"""),"DH")</f>
        <v>DH</v>
      </c>
      <c r="I328" s="80">
        <f ca="1">IFERROR(__xludf.DUMMYFUNCTION("""COMPUTED_VALUE"""),2)</f>
        <v>2</v>
      </c>
      <c r="J328" s="81">
        <f ca="1">IFERROR(__xludf.DUMMYFUNCTION("""COMPUTED_VALUE"""),2)</f>
        <v>2</v>
      </c>
      <c r="K328" s="81">
        <f ca="1">IFERROR(__xludf.DUMMYFUNCTION("""COMPUTED_VALUE"""),56.4)</f>
        <v>56.4</v>
      </c>
      <c r="L328" s="81">
        <f ca="1">IFERROR(__xludf.DUMMYFUNCTION("""COMPUTED_VALUE"""),0)</f>
        <v>0</v>
      </c>
      <c r="M328" s="81"/>
      <c r="N328" s="81">
        <f ca="1">IFERROR(__xludf.DUMMYFUNCTION("""COMPUTED_VALUE"""),56.4)</f>
        <v>56.4</v>
      </c>
      <c r="O328" s="81"/>
      <c r="P328" s="81">
        <f ca="1">IFERROR(__xludf.DUMMYFUNCTION("""COMPUTED_VALUE"""),0)</f>
        <v>0</v>
      </c>
      <c r="Q328" s="81"/>
      <c r="R328" s="81">
        <f ca="1">IFERROR(__xludf.DUMMYFUNCTION("""COMPUTED_VALUE"""),54.25)</f>
        <v>54.25</v>
      </c>
      <c r="S328" s="81"/>
      <c r="T328" s="81"/>
      <c r="U328" s="82"/>
      <c r="V328" s="82"/>
      <c r="W328" s="83"/>
      <c r="X328" s="83"/>
      <c r="Y328" s="83"/>
    </row>
    <row r="329" spans="1:25" ht="13.8">
      <c r="A329" s="78" t="str">
        <f ca="1">IFERROR(__xludf.DUMMYFUNCTION("""COMPUTED_VALUE"""),"DH")</f>
        <v>DH</v>
      </c>
      <c r="B329" s="79" t="str">
        <f ca="1">IFERROR(__xludf.DUMMYFUNCTION("""COMPUTED_VALUE"""),"Kat Pickett")</f>
        <v>Kat Pickett</v>
      </c>
      <c r="C329" s="78">
        <f ca="1">IFERROR(__xludf.DUMMYFUNCTION("""COMPUTED_VALUE"""),10)</f>
        <v>10</v>
      </c>
      <c r="D329" s="78" t="str">
        <f ca="1">IFERROR(__xludf.DUMMYFUNCTION("""COMPUTED_VALUE"""),"G")</f>
        <v>G</v>
      </c>
      <c r="E329" s="80" t="str">
        <f ca="1">IFERROR(__xludf.DUMMYFUNCTION("""COMPUTED_VALUE"""),"F")</f>
        <v>F</v>
      </c>
      <c r="F329" s="80" t="str">
        <f ca="1">IFERROR(__xludf.DUMMYFUNCTION("""COMPUTED_VALUE"""),"J")</f>
        <v>J</v>
      </c>
      <c r="G329" s="80">
        <f ca="1">IFERROR(__xludf.DUMMYFUNCTION("""COMPUTED_VALUE"""),4)</f>
        <v>4</v>
      </c>
      <c r="H329" s="80" t="str">
        <f ca="1">IFERROR(__xludf.DUMMYFUNCTION("""COMPUTED_VALUE"""),"DH")</f>
        <v>DH</v>
      </c>
      <c r="I329" s="80">
        <f ca="1">IFERROR(__xludf.DUMMYFUNCTION("""COMPUTED_VALUE"""),2)</f>
        <v>2</v>
      </c>
      <c r="J329" s="81">
        <f ca="1">IFERROR(__xludf.DUMMYFUNCTION("""COMPUTED_VALUE"""),0)</f>
        <v>0</v>
      </c>
      <c r="K329" s="81">
        <f ca="1">IFERROR(__xludf.DUMMYFUNCTION("""COMPUTED_VALUE"""),0)</f>
        <v>0</v>
      </c>
      <c r="L329" s="81">
        <f ca="1">IFERROR(__xludf.DUMMYFUNCTION("""COMPUTED_VALUE"""),0)</f>
        <v>0</v>
      </c>
      <c r="M329" s="81"/>
      <c r="N329" s="81">
        <f ca="1">IFERROR(__xludf.DUMMYFUNCTION("""COMPUTED_VALUE"""),0)</f>
        <v>0</v>
      </c>
      <c r="O329" s="81"/>
      <c r="P329" s="81">
        <f ca="1">IFERROR(__xludf.DUMMYFUNCTION("""COMPUTED_VALUE"""),0)</f>
        <v>0</v>
      </c>
      <c r="Q329" s="81"/>
      <c r="R329" s="81">
        <f ca="1">IFERROR(__xludf.DUMMYFUNCTION("""COMPUTED_VALUE"""),0)</f>
        <v>0</v>
      </c>
      <c r="S329" s="81"/>
      <c r="T329" s="81"/>
      <c r="U329" s="82"/>
      <c r="V329" s="82"/>
      <c r="W329" s="83"/>
      <c r="X329" s="83"/>
      <c r="Y329" s="83"/>
    </row>
    <row r="330" spans="1:25" ht="13.8">
      <c r="A330" s="78" t="str">
        <f ca="1">IFERROR(__xludf.DUMMYFUNCTION("""COMPUTED_VALUE"""),"DH")</f>
        <v>DH</v>
      </c>
      <c r="B330" s="79" t="str">
        <f ca="1">IFERROR(__xludf.DUMMYFUNCTION("""COMPUTED_VALUE"""),"Lark Pickett")</f>
        <v>Lark Pickett</v>
      </c>
      <c r="C330" s="78">
        <f ca="1">IFERROR(__xludf.DUMMYFUNCTION("""COMPUTED_VALUE"""),8)</f>
        <v>8</v>
      </c>
      <c r="D330" s="78" t="str">
        <f ca="1">IFERROR(__xludf.DUMMYFUNCTION("""COMPUTED_VALUE"""),"G")</f>
        <v>G</v>
      </c>
      <c r="E330" s="80" t="str">
        <f ca="1">IFERROR(__xludf.DUMMYFUNCTION("""COMPUTED_VALUE"""),"F")</f>
        <v>F</v>
      </c>
      <c r="F330" s="80" t="str">
        <f ca="1">IFERROR(__xludf.DUMMYFUNCTION("""COMPUTED_VALUE"""),"J")</f>
        <v>J</v>
      </c>
      <c r="G330" s="80">
        <f ca="1">IFERROR(__xludf.DUMMYFUNCTION("""COMPUTED_VALUE"""),4)</f>
        <v>4</v>
      </c>
      <c r="H330" s="80" t="str">
        <f ca="1">IFERROR(__xludf.DUMMYFUNCTION("""COMPUTED_VALUE"""),"DH")</f>
        <v>DH</v>
      </c>
      <c r="I330" s="80">
        <f ca="1">IFERROR(__xludf.DUMMYFUNCTION("""COMPUTED_VALUE"""),2)</f>
        <v>2</v>
      </c>
      <c r="J330" s="81">
        <f ca="1">IFERROR(__xludf.DUMMYFUNCTION("""COMPUTED_VALUE"""),0)</f>
        <v>0</v>
      </c>
      <c r="K330" s="81">
        <f ca="1">IFERROR(__xludf.DUMMYFUNCTION("""COMPUTED_VALUE"""),0)</f>
        <v>0</v>
      </c>
      <c r="L330" s="81">
        <f ca="1">IFERROR(__xludf.DUMMYFUNCTION("""COMPUTED_VALUE"""),0)</f>
        <v>0</v>
      </c>
      <c r="M330" s="81"/>
      <c r="N330" s="81">
        <f ca="1">IFERROR(__xludf.DUMMYFUNCTION("""COMPUTED_VALUE"""),0)</f>
        <v>0</v>
      </c>
      <c r="O330" s="81"/>
      <c r="P330" s="81">
        <f ca="1">IFERROR(__xludf.DUMMYFUNCTION("""COMPUTED_VALUE"""),0)</f>
        <v>0</v>
      </c>
      <c r="Q330" s="81"/>
      <c r="R330" s="81">
        <f ca="1">IFERROR(__xludf.DUMMYFUNCTION("""COMPUTED_VALUE"""),0)</f>
        <v>0</v>
      </c>
      <c r="S330" s="81"/>
      <c r="T330" s="81"/>
      <c r="U330" s="82"/>
      <c r="V330" s="82"/>
      <c r="W330" s="83"/>
      <c r="X330" s="83"/>
      <c r="Y330" s="83"/>
    </row>
    <row r="331" spans="1:25" ht="13.8">
      <c r="A331" s="78" t="str">
        <f ca="1">IFERROR(__xludf.DUMMYFUNCTION("""COMPUTED_VALUE"""),"DH")</f>
        <v>DH</v>
      </c>
      <c r="B331" s="79" t="str">
        <f ca="1">IFERROR(__xludf.DUMMYFUNCTION("""COMPUTED_VALUE"""),"Maia Shattuck")</f>
        <v>Maia Shattuck</v>
      </c>
      <c r="C331" s="78">
        <f ca="1">IFERROR(__xludf.DUMMYFUNCTION("""COMPUTED_VALUE"""),10)</f>
        <v>10</v>
      </c>
      <c r="D331" s="78" t="str">
        <f ca="1">IFERROR(__xludf.DUMMYFUNCTION("""COMPUTED_VALUE"""),"G")</f>
        <v>G</v>
      </c>
      <c r="E331" s="80" t="str">
        <f ca="1">IFERROR(__xludf.DUMMYFUNCTION("""COMPUTED_VALUE"""),"F")</f>
        <v>F</v>
      </c>
      <c r="F331" s="80" t="str">
        <f ca="1">IFERROR(__xludf.DUMMYFUNCTION("""COMPUTED_VALUE"""),"J")</f>
        <v>J</v>
      </c>
      <c r="G331" s="80">
        <f ca="1">IFERROR(__xludf.DUMMYFUNCTION("""COMPUTED_VALUE"""),4)</f>
        <v>4</v>
      </c>
      <c r="H331" s="80" t="str">
        <f ca="1">IFERROR(__xludf.DUMMYFUNCTION("""COMPUTED_VALUE"""),"DH")</f>
        <v>DH</v>
      </c>
      <c r="I331" s="80">
        <f ca="1">IFERROR(__xludf.DUMMYFUNCTION("""COMPUTED_VALUE"""),2)</f>
        <v>2</v>
      </c>
      <c r="J331" s="81">
        <f ca="1">IFERROR(__xludf.DUMMYFUNCTION("""COMPUTED_VALUE"""),3)</f>
        <v>3</v>
      </c>
      <c r="K331" s="81">
        <f ca="1">IFERROR(__xludf.DUMMYFUNCTION("""COMPUTED_VALUE"""),48.55)</f>
        <v>48.55</v>
      </c>
      <c r="L331" s="81">
        <f ca="1">IFERROR(__xludf.DUMMYFUNCTION("""COMPUTED_VALUE"""),42.6)</f>
        <v>42.6</v>
      </c>
      <c r="M331" s="81"/>
      <c r="N331" s="81">
        <f ca="1">IFERROR(__xludf.DUMMYFUNCTION("""COMPUTED_VALUE"""),48.55)</f>
        <v>48.55</v>
      </c>
      <c r="O331" s="81"/>
      <c r="P331" s="81">
        <f ca="1">IFERROR(__xludf.DUMMYFUNCTION("""COMPUTED_VALUE"""),0)</f>
        <v>0</v>
      </c>
      <c r="Q331" s="81"/>
      <c r="R331" s="81">
        <f ca="1">IFERROR(__xludf.DUMMYFUNCTION("""COMPUTED_VALUE"""),0)</f>
        <v>0</v>
      </c>
      <c r="S331" s="81"/>
      <c r="T331" s="81"/>
      <c r="U331" s="82"/>
      <c r="V331" s="82"/>
      <c r="W331" s="83"/>
      <c r="X331" s="83"/>
      <c r="Y331" s="83"/>
    </row>
    <row r="332" spans="1:25" ht="13.8">
      <c r="A332" s="78" t="str">
        <f ca="1">IFERROR(__xludf.DUMMYFUNCTION("""COMPUTED_VALUE"""),"DH")</f>
        <v>DH</v>
      </c>
      <c r="B332" s="79" t="str">
        <f ca="1">IFERROR(__xludf.DUMMYFUNCTION("""COMPUTED_VALUE"""),"Sophia Teisl")</f>
        <v>Sophia Teisl</v>
      </c>
      <c r="C332" s="78">
        <f ca="1">IFERROR(__xludf.DUMMYFUNCTION("""COMPUTED_VALUE"""),10)</f>
        <v>10</v>
      </c>
      <c r="D332" s="78" t="str">
        <f ca="1">IFERROR(__xludf.DUMMYFUNCTION("""COMPUTED_VALUE"""),"G")</f>
        <v>G</v>
      </c>
      <c r="E332" s="80" t="str">
        <f ca="1">IFERROR(__xludf.DUMMYFUNCTION("""COMPUTED_VALUE"""),"F")</f>
        <v>F</v>
      </c>
      <c r="F332" s="80" t="str">
        <f ca="1">IFERROR(__xludf.DUMMYFUNCTION("""COMPUTED_VALUE"""),"J")</f>
        <v>J</v>
      </c>
      <c r="G332" s="80">
        <f ca="1">IFERROR(__xludf.DUMMYFUNCTION("""COMPUTED_VALUE"""),4)</f>
        <v>4</v>
      </c>
      <c r="H332" s="80" t="str">
        <f ca="1">IFERROR(__xludf.DUMMYFUNCTION("""COMPUTED_VALUE"""),"DH")</f>
        <v>DH</v>
      </c>
      <c r="I332" s="80">
        <f ca="1">IFERROR(__xludf.DUMMYFUNCTION("""COMPUTED_VALUE"""),2)</f>
        <v>2</v>
      </c>
      <c r="J332" s="81">
        <f ca="1">IFERROR(__xludf.DUMMYFUNCTION("""COMPUTED_VALUE"""),0)</f>
        <v>0</v>
      </c>
      <c r="K332" s="81">
        <f ca="1">IFERROR(__xludf.DUMMYFUNCTION("""COMPUTED_VALUE"""),0)</f>
        <v>0</v>
      </c>
      <c r="L332" s="81">
        <f ca="1">IFERROR(__xludf.DUMMYFUNCTION("""COMPUTED_VALUE"""),0)</f>
        <v>0</v>
      </c>
      <c r="M332" s="81"/>
      <c r="N332" s="81">
        <f ca="1">IFERROR(__xludf.DUMMYFUNCTION("""COMPUTED_VALUE"""),0)</f>
        <v>0</v>
      </c>
      <c r="O332" s="81"/>
      <c r="P332" s="81">
        <f ca="1">IFERROR(__xludf.DUMMYFUNCTION("""COMPUTED_VALUE"""),0)</f>
        <v>0</v>
      </c>
      <c r="Q332" s="81"/>
      <c r="R332" s="81">
        <f ca="1">IFERROR(__xludf.DUMMYFUNCTION("""COMPUTED_VALUE"""),0)</f>
        <v>0</v>
      </c>
      <c r="S332" s="81"/>
      <c r="T332" s="81"/>
      <c r="U332" s="82"/>
      <c r="V332" s="82"/>
      <c r="W332" s="83"/>
      <c r="X332" s="83"/>
      <c r="Y332" s="83"/>
    </row>
    <row r="333" spans="1:25" ht="13.8">
      <c r="A333" s="78" t="str">
        <f ca="1">IFERROR(__xludf.DUMMYFUNCTION("""COMPUTED_VALUE"""),"DH")</f>
        <v>DH</v>
      </c>
      <c r="B333" s="79" t="str">
        <f ca="1">IFERROR(__xludf.DUMMYFUNCTION("""COMPUTED_VALUE"""),"Audrey Wheeler")</f>
        <v>Audrey Wheeler</v>
      </c>
      <c r="C333" s="78">
        <f ca="1">IFERROR(__xludf.DUMMYFUNCTION("""COMPUTED_VALUE"""),10)</f>
        <v>10</v>
      </c>
      <c r="D333" s="78" t="str">
        <f ca="1">IFERROR(__xludf.DUMMYFUNCTION("""COMPUTED_VALUE"""),"G")</f>
        <v>G</v>
      </c>
      <c r="E333" s="80" t="str">
        <f ca="1">IFERROR(__xludf.DUMMYFUNCTION("""COMPUTED_VALUE"""),"F")</f>
        <v>F</v>
      </c>
      <c r="F333" s="80" t="str">
        <f ca="1">IFERROR(__xludf.DUMMYFUNCTION("""COMPUTED_VALUE"""),"J")</f>
        <v>J</v>
      </c>
      <c r="G333" s="80">
        <f ca="1">IFERROR(__xludf.DUMMYFUNCTION("""COMPUTED_VALUE"""),4)</f>
        <v>4</v>
      </c>
      <c r="H333" s="80" t="str">
        <f ca="1">IFERROR(__xludf.DUMMYFUNCTION("""COMPUTED_VALUE"""),"DH")</f>
        <v>DH</v>
      </c>
      <c r="I333" s="80">
        <f ca="1">IFERROR(__xludf.DUMMYFUNCTION("""COMPUTED_VALUE"""),2)</f>
        <v>2</v>
      </c>
      <c r="J333" s="81">
        <f ca="1">IFERROR(__xludf.DUMMYFUNCTION("""COMPUTED_VALUE"""),4)</f>
        <v>4</v>
      </c>
      <c r="K333" s="81">
        <f ca="1">IFERROR(__xludf.DUMMYFUNCTION("""COMPUTED_VALUE"""),52)</f>
        <v>52</v>
      </c>
      <c r="L333" s="81">
        <f ca="1">IFERROR(__xludf.DUMMYFUNCTION("""COMPUTED_VALUE"""),47.95)</f>
        <v>47.95</v>
      </c>
      <c r="M333" s="81"/>
      <c r="N333" s="81">
        <f ca="1">IFERROR(__xludf.DUMMYFUNCTION("""COMPUTED_VALUE"""),0)</f>
        <v>0</v>
      </c>
      <c r="O333" s="81"/>
      <c r="P333" s="81">
        <f ca="1">IFERROR(__xludf.DUMMYFUNCTION("""COMPUTED_VALUE"""),47.55)</f>
        <v>47.55</v>
      </c>
      <c r="Q333" s="81"/>
      <c r="R333" s="81">
        <f ca="1">IFERROR(__xludf.DUMMYFUNCTION("""COMPUTED_VALUE"""),52)</f>
        <v>52</v>
      </c>
      <c r="S333" s="81"/>
      <c r="T333" s="81"/>
      <c r="U333" s="82"/>
      <c r="V333" s="82"/>
      <c r="W333" s="83"/>
      <c r="X333" s="83"/>
      <c r="Y333" s="83"/>
    </row>
    <row r="334" spans="1:25" ht="13.8">
      <c r="A334" s="78" t="str">
        <f ca="1">IFERROR(__xludf.DUMMYFUNCTION("""COMPUTED_VALUE"""),"DH")</f>
        <v>DH</v>
      </c>
      <c r="B334" s="79" t="str">
        <f ca="1">IFERROR(__xludf.DUMMYFUNCTION("""COMPUTED_VALUE"""),"Andrew Aldonas")</f>
        <v>Andrew Aldonas</v>
      </c>
      <c r="C334" s="78">
        <f ca="1">IFERROR(__xludf.DUMMYFUNCTION("""COMPUTED_VALUE"""),5)</f>
        <v>5</v>
      </c>
      <c r="D334" s="78" t="str">
        <f ca="1">IFERROR(__xludf.DUMMYFUNCTION("""COMPUTED_VALUE"""),"B")</f>
        <v>B</v>
      </c>
      <c r="E334" s="80" t="str">
        <f ca="1">IFERROR(__xludf.DUMMYFUNCTION("""COMPUTED_VALUE"""),"F")</f>
        <v>F</v>
      </c>
      <c r="F334" s="80" t="str">
        <f ca="1">IFERROR(__xludf.DUMMYFUNCTION("""COMPUTED_VALUE"""),"J")</f>
        <v>J</v>
      </c>
      <c r="G334" s="80">
        <f ca="1">IFERROR(__xludf.DUMMYFUNCTION("""COMPUTED_VALUE"""),4)</f>
        <v>4</v>
      </c>
      <c r="H334" s="80" t="str">
        <f ca="1">IFERROR(__xludf.DUMMYFUNCTION("""COMPUTED_VALUE"""),"DH")</f>
        <v>DH</v>
      </c>
      <c r="I334" s="80">
        <f ca="1">IFERROR(__xludf.DUMMYFUNCTION("""COMPUTED_VALUE"""),3)</f>
        <v>3</v>
      </c>
      <c r="J334" s="81">
        <f ca="1">IFERROR(__xludf.DUMMYFUNCTION("""COMPUTED_VALUE"""),3)</f>
        <v>3</v>
      </c>
      <c r="K334" s="81">
        <f ca="1">IFERROR(__xludf.DUMMYFUNCTION("""COMPUTED_VALUE"""),28.4)</f>
        <v>28.4</v>
      </c>
      <c r="L334" s="81">
        <f ca="1">IFERROR(__xludf.DUMMYFUNCTION("""COMPUTED_VALUE"""),0)</f>
        <v>0</v>
      </c>
      <c r="M334" s="81"/>
      <c r="N334" s="81">
        <f ca="1">IFERROR(__xludf.DUMMYFUNCTION("""COMPUTED_VALUE"""),0)</f>
        <v>0</v>
      </c>
      <c r="O334" s="81"/>
      <c r="P334" s="81">
        <f ca="1">IFERROR(__xludf.DUMMYFUNCTION("""COMPUTED_VALUE"""),28.4)</f>
        <v>28.4</v>
      </c>
      <c r="Q334" s="81"/>
      <c r="R334" s="81">
        <f ca="1">IFERROR(__xludf.DUMMYFUNCTION("""COMPUTED_VALUE"""),27.4)</f>
        <v>27.4</v>
      </c>
      <c r="S334" s="81"/>
      <c r="T334" s="81"/>
      <c r="U334" s="82"/>
      <c r="V334" s="82"/>
      <c r="W334" s="83"/>
      <c r="X334" s="83"/>
      <c r="Y334" s="83"/>
    </row>
    <row r="335" spans="1:25" ht="13.8">
      <c r="A335" s="78" t="str">
        <f ca="1">IFERROR(__xludf.DUMMYFUNCTION("""COMPUTED_VALUE"""),"DH")</f>
        <v>DH</v>
      </c>
      <c r="B335" s="79" t="str">
        <f ca="1">IFERROR(__xludf.DUMMYFUNCTION("""COMPUTED_VALUE"""),"John Aldonas")</f>
        <v>John Aldonas</v>
      </c>
      <c r="C335" s="78">
        <f ca="1">IFERROR(__xludf.DUMMYFUNCTION("""COMPUTED_VALUE"""),8)</f>
        <v>8</v>
      </c>
      <c r="D335" s="78" t="str">
        <f ca="1">IFERROR(__xludf.DUMMYFUNCTION("""COMPUTED_VALUE"""),"B")</f>
        <v>B</v>
      </c>
      <c r="E335" s="80" t="str">
        <f ca="1">IFERROR(__xludf.DUMMYFUNCTION("""COMPUTED_VALUE"""),"F")</f>
        <v>F</v>
      </c>
      <c r="F335" s="80" t="str">
        <f ca="1">IFERROR(__xludf.DUMMYFUNCTION("""COMPUTED_VALUE"""),"J")</f>
        <v>J</v>
      </c>
      <c r="G335" s="80">
        <f ca="1">IFERROR(__xludf.DUMMYFUNCTION("""COMPUTED_VALUE"""),4)</f>
        <v>4</v>
      </c>
      <c r="H335" s="80" t="str">
        <f ca="1">IFERROR(__xludf.DUMMYFUNCTION("""COMPUTED_VALUE"""),"DH")</f>
        <v>DH</v>
      </c>
      <c r="I335" s="80">
        <f ca="1">IFERROR(__xludf.DUMMYFUNCTION("""COMPUTED_VALUE"""),3)</f>
        <v>3</v>
      </c>
      <c r="J335" s="81">
        <f ca="1">IFERROR(__xludf.DUMMYFUNCTION("""COMPUTED_VALUE"""),0)</f>
        <v>0</v>
      </c>
      <c r="K335" s="81">
        <f ca="1">IFERROR(__xludf.DUMMYFUNCTION("""COMPUTED_VALUE"""),0)</f>
        <v>0</v>
      </c>
      <c r="L335" s="81">
        <f ca="1">IFERROR(__xludf.DUMMYFUNCTION("""COMPUTED_VALUE"""),0)</f>
        <v>0</v>
      </c>
      <c r="M335" s="81"/>
      <c r="N335" s="81">
        <f ca="1">IFERROR(__xludf.DUMMYFUNCTION("""COMPUTED_VALUE"""),0)</f>
        <v>0</v>
      </c>
      <c r="O335" s="81"/>
      <c r="P335" s="81">
        <f ca="1">IFERROR(__xludf.DUMMYFUNCTION("""COMPUTED_VALUE"""),0)</f>
        <v>0</v>
      </c>
      <c r="Q335" s="81"/>
      <c r="R335" s="81">
        <f ca="1">IFERROR(__xludf.DUMMYFUNCTION("""COMPUTED_VALUE"""),0)</f>
        <v>0</v>
      </c>
      <c r="S335" s="81"/>
      <c r="T335" s="81"/>
      <c r="U335" s="82"/>
      <c r="V335" s="82"/>
      <c r="W335" s="83"/>
      <c r="X335" s="83"/>
      <c r="Y335" s="83"/>
    </row>
    <row r="336" spans="1:25" ht="13.8">
      <c r="A336" s="78" t="str">
        <f ca="1">IFERROR(__xludf.DUMMYFUNCTION("""COMPUTED_VALUE"""),"DH")</f>
        <v>DH</v>
      </c>
      <c r="B336" s="79" t="str">
        <f ca="1">IFERROR(__xludf.DUMMYFUNCTION("""COMPUTED_VALUE"""),"Luke Baltatzis")</f>
        <v>Luke Baltatzis</v>
      </c>
      <c r="C336" s="78">
        <f ca="1">IFERROR(__xludf.DUMMYFUNCTION("""COMPUTED_VALUE"""),10)</f>
        <v>10</v>
      </c>
      <c r="D336" s="78" t="str">
        <f ca="1">IFERROR(__xludf.DUMMYFUNCTION("""COMPUTED_VALUE"""),"B")</f>
        <v>B</v>
      </c>
      <c r="E336" s="80" t="str">
        <f ca="1">IFERROR(__xludf.DUMMYFUNCTION("""COMPUTED_VALUE"""),"F")</f>
        <v>F</v>
      </c>
      <c r="F336" s="80" t="str">
        <f ca="1">IFERROR(__xludf.DUMMYFUNCTION("""COMPUTED_VALUE"""),"J")</f>
        <v>J</v>
      </c>
      <c r="G336" s="80">
        <f ca="1">IFERROR(__xludf.DUMMYFUNCTION("""COMPUTED_VALUE"""),4)</f>
        <v>4</v>
      </c>
      <c r="H336" s="80" t="str">
        <f ca="1">IFERROR(__xludf.DUMMYFUNCTION("""COMPUTED_VALUE"""),"DH")</f>
        <v>DH</v>
      </c>
      <c r="I336" s="80">
        <f ca="1">IFERROR(__xludf.DUMMYFUNCTION("""COMPUTED_VALUE"""),3)</f>
        <v>3</v>
      </c>
      <c r="J336" s="81">
        <f ca="1">IFERROR(__xludf.DUMMYFUNCTION("""COMPUTED_VALUE"""),0)</f>
        <v>0</v>
      </c>
      <c r="K336" s="81">
        <f ca="1">IFERROR(__xludf.DUMMYFUNCTION("""COMPUTED_VALUE"""),0)</f>
        <v>0</v>
      </c>
      <c r="L336" s="81">
        <f ca="1">IFERROR(__xludf.DUMMYFUNCTION("""COMPUTED_VALUE"""),0)</f>
        <v>0</v>
      </c>
      <c r="M336" s="81"/>
      <c r="N336" s="81">
        <f ca="1">IFERROR(__xludf.DUMMYFUNCTION("""COMPUTED_VALUE"""),0)</f>
        <v>0</v>
      </c>
      <c r="O336" s="81"/>
      <c r="P336" s="81">
        <f ca="1">IFERROR(__xludf.DUMMYFUNCTION("""COMPUTED_VALUE"""),0)</f>
        <v>0</v>
      </c>
      <c r="Q336" s="81"/>
      <c r="R336" s="81">
        <f ca="1">IFERROR(__xludf.DUMMYFUNCTION("""COMPUTED_VALUE"""),0)</f>
        <v>0</v>
      </c>
      <c r="S336" s="81"/>
      <c r="T336" s="81"/>
      <c r="U336" s="82"/>
      <c r="V336" s="82"/>
      <c r="W336" s="83"/>
      <c r="X336" s="83"/>
      <c r="Y336" s="83"/>
    </row>
    <row r="337" spans="1:25" ht="13.8">
      <c r="A337" s="78" t="str">
        <f ca="1">IFERROR(__xludf.DUMMYFUNCTION("""COMPUTED_VALUE"""),"DH")</f>
        <v>DH</v>
      </c>
      <c r="B337" s="79" t="str">
        <f ca="1">IFERROR(__xludf.DUMMYFUNCTION("""COMPUTED_VALUE"""),"Ian Bradley")</f>
        <v>Ian Bradley</v>
      </c>
      <c r="C337" s="78">
        <f ca="1">IFERROR(__xludf.DUMMYFUNCTION("""COMPUTED_VALUE"""),9)</f>
        <v>9</v>
      </c>
      <c r="D337" s="78" t="str">
        <f ca="1">IFERROR(__xludf.DUMMYFUNCTION("""COMPUTED_VALUE"""),"B")</f>
        <v>B</v>
      </c>
      <c r="E337" s="80" t="str">
        <f ca="1">IFERROR(__xludf.DUMMYFUNCTION("""COMPUTED_VALUE"""),"F")</f>
        <v>F</v>
      </c>
      <c r="F337" s="80" t="str">
        <f ca="1">IFERROR(__xludf.DUMMYFUNCTION("""COMPUTED_VALUE"""),"J")</f>
        <v>J</v>
      </c>
      <c r="G337" s="80">
        <f ca="1">IFERROR(__xludf.DUMMYFUNCTION("""COMPUTED_VALUE"""),4)</f>
        <v>4</v>
      </c>
      <c r="H337" s="80" t="str">
        <f ca="1">IFERROR(__xludf.DUMMYFUNCTION("""COMPUTED_VALUE"""),"DH")</f>
        <v>DH</v>
      </c>
      <c r="I337" s="80">
        <f ca="1">IFERROR(__xludf.DUMMYFUNCTION("""COMPUTED_VALUE"""),3)</f>
        <v>3</v>
      </c>
      <c r="J337" s="81">
        <f ca="1">IFERROR(__xludf.DUMMYFUNCTION("""COMPUTED_VALUE"""),0)</f>
        <v>0</v>
      </c>
      <c r="K337" s="81">
        <f ca="1">IFERROR(__xludf.DUMMYFUNCTION("""COMPUTED_VALUE"""),0)</f>
        <v>0</v>
      </c>
      <c r="L337" s="81">
        <f ca="1">IFERROR(__xludf.DUMMYFUNCTION("""COMPUTED_VALUE"""),0)</f>
        <v>0</v>
      </c>
      <c r="M337" s="81"/>
      <c r="N337" s="81">
        <f ca="1">IFERROR(__xludf.DUMMYFUNCTION("""COMPUTED_VALUE"""),0)</f>
        <v>0</v>
      </c>
      <c r="O337" s="81"/>
      <c r="P337" s="81">
        <f ca="1">IFERROR(__xludf.DUMMYFUNCTION("""COMPUTED_VALUE"""),0)</f>
        <v>0</v>
      </c>
      <c r="Q337" s="81"/>
      <c r="R337" s="81">
        <f ca="1">IFERROR(__xludf.DUMMYFUNCTION("""COMPUTED_VALUE"""),0)</f>
        <v>0</v>
      </c>
      <c r="S337" s="81"/>
      <c r="T337" s="81"/>
      <c r="U337" s="82"/>
      <c r="V337" s="82"/>
      <c r="W337" s="83"/>
      <c r="X337" s="83"/>
      <c r="Y337" s="83"/>
    </row>
    <row r="338" spans="1:25" ht="13.8">
      <c r="A338" s="78" t="str">
        <f ca="1">IFERROR(__xludf.DUMMYFUNCTION("""COMPUTED_VALUE"""),"DH")</f>
        <v>DH</v>
      </c>
      <c r="B338" s="79" t="str">
        <f ca="1">IFERROR(__xludf.DUMMYFUNCTION("""COMPUTED_VALUE"""),"Maki Bush")</f>
        <v>Maki Bush</v>
      </c>
      <c r="C338" s="78">
        <f ca="1">IFERROR(__xludf.DUMMYFUNCTION("""COMPUTED_VALUE"""),9)</f>
        <v>9</v>
      </c>
      <c r="D338" s="78" t="str">
        <f ca="1">IFERROR(__xludf.DUMMYFUNCTION("""COMPUTED_VALUE"""),"B")</f>
        <v>B</v>
      </c>
      <c r="E338" s="80" t="str">
        <f ca="1">IFERROR(__xludf.DUMMYFUNCTION("""COMPUTED_VALUE"""),"F")</f>
        <v>F</v>
      </c>
      <c r="F338" s="80" t="str">
        <f ca="1">IFERROR(__xludf.DUMMYFUNCTION("""COMPUTED_VALUE"""),"J")</f>
        <v>J</v>
      </c>
      <c r="G338" s="80">
        <f ca="1">IFERROR(__xludf.DUMMYFUNCTION("""COMPUTED_VALUE"""),4)</f>
        <v>4</v>
      </c>
      <c r="H338" s="80" t="str">
        <f ca="1">IFERROR(__xludf.DUMMYFUNCTION("""COMPUTED_VALUE"""),"DH")</f>
        <v>DH</v>
      </c>
      <c r="I338" s="80">
        <f ca="1">IFERROR(__xludf.DUMMYFUNCTION("""COMPUTED_VALUE"""),3)</f>
        <v>3</v>
      </c>
      <c r="J338" s="81">
        <f ca="1">IFERROR(__xludf.DUMMYFUNCTION("""COMPUTED_VALUE"""),1)</f>
        <v>1</v>
      </c>
      <c r="K338" s="81">
        <f ca="1">IFERROR(__xludf.DUMMYFUNCTION("""COMPUTED_VALUE"""),0)</f>
        <v>0</v>
      </c>
      <c r="L338" s="81">
        <f ca="1">IFERROR(__xludf.DUMMYFUNCTION("""COMPUTED_VALUE"""),0)</f>
        <v>0</v>
      </c>
      <c r="M338" s="81"/>
      <c r="N338" s="81">
        <f ca="1">IFERROR(__xludf.DUMMYFUNCTION("""COMPUTED_VALUE"""),0)</f>
        <v>0</v>
      </c>
      <c r="O338" s="81"/>
      <c r="P338" s="81">
        <f ca="1">IFERROR(__xludf.DUMMYFUNCTION("""COMPUTED_VALUE"""),0)</f>
        <v>0</v>
      </c>
      <c r="Q338" s="81"/>
      <c r="R338" s="81">
        <f ca="1">IFERROR(__xludf.DUMMYFUNCTION("""COMPUTED_VALUE"""),0)</f>
        <v>0</v>
      </c>
      <c r="S338" s="81"/>
      <c r="T338" s="81"/>
      <c r="U338" s="82"/>
      <c r="V338" s="82"/>
      <c r="W338" s="83"/>
      <c r="X338" s="83"/>
      <c r="Y338" s="83"/>
    </row>
    <row r="339" spans="1:25" ht="13.8">
      <c r="A339" s="78" t="str">
        <f ca="1">IFERROR(__xludf.DUMMYFUNCTION("""COMPUTED_VALUE"""),"DH")</f>
        <v>DH</v>
      </c>
      <c r="B339" s="79" t="str">
        <f ca="1">IFERROR(__xludf.DUMMYFUNCTION("""COMPUTED_VALUE"""),"Logan DiBenigno")</f>
        <v>Logan DiBenigno</v>
      </c>
      <c r="C339" s="78">
        <f ca="1">IFERROR(__xludf.DUMMYFUNCTION("""COMPUTED_VALUE"""),10)</f>
        <v>10</v>
      </c>
      <c r="D339" s="78" t="str">
        <f ca="1">IFERROR(__xludf.DUMMYFUNCTION("""COMPUTED_VALUE"""),"B")</f>
        <v>B</v>
      </c>
      <c r="E339" s="80" t="str">
        <f ca="1">IFERROR(__xludf.DUMMYFUNCTION("""COMPUTED_VALUE"""),"F")</f>
        <v>F</v>
      </c>
      <c r="F339" s="80" t="str">
        <f ca="1">IFERROR(__xludf.DUMMYFUNCTION("""COMPUTED_VALUE"""),"J")</f>
        <v>J</v>
      </c>
      <c r="G339" s="80">
        <f ca="1">IFERROR(__xludf.DUMMYFUNCTION("""COMPUTED_VALUE"""),4)</f>
        <v>4</v>
      </c>
      <c r="H339" s="80" t="str">
        <f ca="1">IFERROR(__xludf.DUMMYFUNCTION("""COMPUTED_VALUE"""),"DH")</f>
        <v>DH</v>
      </c>
      <c r="I339" s="80">
        <f ca="1">IFERROR(__xludf.DUMMYFUNCTION("""COMPUTED_VALUE"""),3)</f>
        <v>3</v>
      </c>
      <c r="J339" s="81">
        <f ca="1">IFERROR(__xludf.DUMMYFUNCTION("""COMPUTED_VALUE"""),5)</f>
        <v>5</v>
      </c>
      <c r="K339" s="81">
        <f ca="1">IFERROR(__xludf.DUMMYFUNCTION("""COMPUTED_VALUE"""),83.65)</f>
        <v>83.65</v>
      </c>
      <c r="L339" s="81">
        <f ca="1">IFERROR(__xludf.DUMMYFUNCTION("""COMPUTED_VALUE"""),77.1)</f>
        <v>77.099999999999994</v>
      </c>
      <c r="M339" s="81"/>
      <c r="N339" s="81">
        <f ca="1">IFERROR(__xludf.DUMMYFUNCTION("""COMPUTED_VALUE"""),81.15)</f>
        <v>81.150000000000006</v>
      </c>
      <c r="O339" s="81"/>
      <c r="P339" s="81">
        <f ca="1">IFERROR(__xludf.DUMMYFUNCTION("""COMPUTED_VALUE"""),74.75)</f>
        <v>74.75</v>
      </c>
      <c r="Q339" s="81"/>
      <c r="R339" s="81">
        <f ca="1">IFERROR(__xludf.DUMMYFUNCTION("""COMPUTED_VALUE"""),83.65)</f>
        <v>83.65</v>
      </c>
      <c r="S339" s="81"/>
      <c r="T339" s="81"/>
      <c r="U339" s="82"/>
      <c r="V339" s="82"/>
      <c r="W339" s="83"/>
      <c r="X339" s="83"/>
      <c r="Y339" s="83"/>
    </row>
    <row r="340" spans="1:25" ht="13.8">
      <c r="A340" s="78" t="str">
        <f ca="1">IFERROR(__xludf.DUMMYFUNCTION("""COMPUTED_VALUE"""),"DH")</f>
        <v>DH</v>
      </c>
      <c r="B340" s="79" t="str">
        <f ca="1">IFERROR(__xludf.DUMMYFUNCTION("""COMPUTED_VALUE"""),"Thomas Dombrowski")</f>
        <v>Thomas Dombrowski</v>
      </c>
      <c r="C340" s="78">
        <f ca="1">IFERROR(__xludf.DUMMYFUNCTION("""COMPUTED_VALUE"""),8)</f>
        <v>8</v>
      </c>
      <c r="D340" s="78" t="str">
        <f ca="1">IFERROR(__xludf.DUMMYFUNCTION("""COMPUTED_VALUE"""),"B")</f>
        <v>B</v>
      </c>
      <c r="E340" s="80" t="str">
        <f ca="1">IFERROR(__xludf.DUMMYFUNCTION("""COMPUTED_VALUE"""),"F")</f>
        <v>F</v>
      </c>
      <c r="F340" s="80" t="str">
        <f ca="1">IFERROR(__xludf.DUMMYFUNCTION("""COMPUTED_VALUE"""),"J")</f>
        <v>J</v>
      </c>
      <c r="G340" s="80">
        <f ca="1">IFERROR(__xludf.DUMMYFUNCTION("""COMPUTED_VALUE"""),4)</f>
        <v>4</v>
      </c>
      <c r="H340" s="80" t="str">
        <f ca="1">IFERROR(__xludf.DUMMYFUNCTION("""COMPUTED_VALUE"""),"DH")</f>
        <v>DH</v>
      </c>
      <c r="I340" s="80">
        <f ca="1">IFERROR(__xludf.DUMMYFUNCTION("""COMPUTED_VALUE"""),3)</f>
        <v>3</v>
      </c>
      <c r="J340" s="81">
        <f ca="1">IFERROR(__xludf.DUMMYFUNCTION("""COMPUTED_VALUE"""),4)</f>
        <v>4</v>
      </c>
      <c r="K340" s="81">
        <f ca="1">IFERROR(__xludf.DUMMYFUNCTION("""COMPUTED_VALUE"""),44.9)</f>
        <v>44.9</v>
      </c>
      <c r="L340" s="81">
        <f ca="1">IFERROR(__xludf.DUMMYFUNCTION("""COMPUTED_VALUE"""),0)</f>
        <v>0</v>
      </c>
      <c r="M340" s="81"/>
      <c r="N340" s="81">
        <f ca="1">IFERROR(__xludf.DUMMYFUNCTION("""COMPUTED_VALUE"""),36.85)</f>
        <v>36.85</v>
      </c>
      <c r="O340" s="81"/>
      <c r="P340" s="81">
        <f ca="1">IFERROR(__xludf.DUMMYFUNCTION("""COMPUTED_VALUE"""),44.9)</f>
        <v>44.9</v>
      </c>
      <c r="Q340" s="81"/>
      <c r="R340" s="81">
        <f ca="1">IFERROR(__xludf.DUMMYFUNCTION("""COMPUTED_VALUE"""),43.7)</f>
        <v>43.7</v>
      </c>
      <c r="S340" s="81"/>
      <c r="T340" s="81"/>
      <c r="U340" s="82"/>
      <c r="V340" s="82"/>
      <c r="W340" s="83"/>
      <c r="X340" s="83"/>
      <c r="Y340" s="83"/>
    </row>
    <row r="341" spans="1:25" ht="13.8">
      <c r="A341" s="78" t="str">
        <f ca="1">IFERROR(__xludf.DUMMYFUNCTION("""COMPUTED_VALUE"""),"DH")</f>
        <v>DH</v>
      </c>
      <c r="B341" s="79" t="str">
        <f ca="1">IFERROR(__xludf.DUMMYFUNCTION("""COMPUTED_VALUE"""),"Cameron Kirchoff-Johnson")</f>
        <v>Cameron Kirchoff-Johnson</v>
      </c>
      <c r="C341" s="78">
        <f ca="1">IFERROR(__xludf.DUMMYFUNCTION("""COMPUTED_VALUE"""),9)</f>
        <v>9</v>
      </c>
      <c r="D341" s="78" t="str">
        <f ca="1">IFERROR(__xludf.DUMMYFUNCTION("""COMPUTED_VALUE"""),"B")</f>
        <v>B</v>
      </c>
      <c r="E341" s="80" t="str">
        <f ca="1">IFERROR(__xludf.DUMMYFUNCTION("""COMPUTED_VALUE"""),"F")</f>
        <v>F</v>
      </c>
      <c r="F341" s="80" t="str">
        <f ca="1">IFERROR(__xludf.DUMMYFUNCTION("""COMPUTED_VALUE"""),"J")</f>
        <v>J</v>
      </c>
      <c r="G341" s="80">
        <f ca="1">IFERROR(__xludf.DUMMYFUNCTION("""COMPUTED_VALUE"""),4)</f>
        <v>4</v>
      </c>
      <c r="H341" s="80" t="str">
        <f ca="1">IFERROR(__xludf.DUMMYFUNCTION("""COMPUTED_VALUE"""),"DH")</f>
        <v>DH</v>
      </c>
      <c r="I341" s="80">
        <f ca="1">IFERROR(__xludf.DUMMYFUNCTION("""COMPUTED_VALUE"""),3)</f>
        <v>3</v>
      </c>
      <c r="J341" s="81">
        <f ca="1">IFERROR(__xludf.DUMMYFUNCTION("""COMPUTED_VALUE"""),0)</f>
        <v>0</v>
      </c>
      <c r="K341" s="81">
        <f ca="1">IFERROR(__xludf.DUMMYFUNCTION("""COMPUTED_VALUE"""),0)</f>
        <v>0</v>
      </c>
      <c r="L341" s="81">
        <f ca="1">IFERROR(__xludf.DUMMYFUNCTION("""COMPUTED_VALUE"""),0)</f>
        <v>0</v>
      </c>
      <c r="M341" s="81"/>
      <c r="N341" s="81">
        <f ca="1">IFERROR(__xludf.DUMMYFUNCTION("""COMPUTED_VALUE"""),0)</f>
        <v>0</v>
      </c>
      <c r="O341" s="81"/>
      <c r="P341" s="81">
        <f ca="1">IFERROR(__xludf.DUMMYFUNCTION("""COMPUTED_VALUE"""),0)</f>
        <v>0</v>
      </c>
      <c r="Q341" s="81"/>
      <c r="R341" s="81">
        <f ca="1">IFERROR(__xludf.DUMMYFUNCTION("""COMPUTED_VALUE"""),0)</f>
        <v>0</v>
      </c>
      <c r="S341" s="81"/>
      <c r="T341" s="81"/>
      <c r="U341" s="82"/>
      <c r="V341" s="82"/>
      <c r="W341" s="83"/>
      <c r="X341" s="83"/>
      <c r="Y341" s="83"/>
    </row>
    <row r="342" spans="1:25" ht="13.8">
      <c r="A342" s="78" t="str">
        <f ca="1">IFERROR(__xludf.DUMMYFUNCTION("""COMPUTED_VALUE"""),"DH")</f>
        <v>DH</v>
      </c>
      <c r="B342" s="79" t="str">
        <f ca="1">IFERROR(__xludf.DUMMYFUNCTION("""COMPUTED_VALUE"""),"Harry Larsen")</f>
        <v>Harry Larsen</v>
      </c>
      <c r="C342" s="78">
        <f ca="1">IFERROR(__xludf.DUMMYFUNCTION("""COMPUTED_VALUE"""),10)</f>
        <v>10</v>
      </c>
      <c r="D342" s="78" t="str">
        <f ca="1">IFERROR(__xludf.DUMMYFUNCTION("""COMPUTED_VALUE"""),"B")</f>
        <v>B</v>
      </c>
      <c r="E342" s="80" t="str">
        <f ca="1">IFERROR(__xludf.DUMMYFUNCTION("""COMPUTED_VALUE"""),"F")</f>
        <v>F</v>
      </c>
      <c r="F342" s="80" t="str">
        <f ca="1">IFERROR(__xludf.DUMMYFUNCTION("""COMPUTED_VALUE"""),"J")</f>
        <v>J</v>
      </c>
      <c r="G342" s="80">
        <f ca="1">IFERROR(__xludf.DUMMYFUNCTION("""COMPUTED_VALUE"""),4)</f>
        <v>4</v>
      </c>
      <c r="H342" s="80" t="str">
        <f ca="1">IFERROR(__xludf.DUMMYFUNCTION("""COMPUTED_VALUE"""),"DH")</f>
        <v>DH</v>
      </c>
      <c r="I342" s="80">
        <f ca="1">IFERROR(__xludf.DUMMYFUNCTION("""COMPUTED_VALUE"""),3)</f>
        <v>3</v>
      </c>
      <c r="J342" s="81">
        <f ca="1">IFERROR(__xludf.DUMMYFUNCTION("""COMPUTED_VALUE"""),0)</f>
        <v>0</v>
      </c>
      <c r="K342" s="81">
        <f ca="1">IFERROR(__xludf.DUMMYFUNCTION("""COMPUTED_VALUE"""),0)</f>
        <v>0</v>
      </c>
      <c r="L342" s="81">
        <f ca="1">IFERROR(__xludf.DUMMYFUNCTION("""COMPUTED_VALUE"""),0)</f>
        <v>0</v>
      </c>
      <c r="M342" s="81"/>
      <c r="N342" s="81">
        <f ca="1">IFERROR(__xludf.DUMMYFUNCTION("""COMPUTED_VALUE"""),0)</f>
        <v>0</v>
      </c>
      <c r="O342" s="81"/>
      <c r="P342" s="81">
        <f ca="1">IFERROR(__xludf.DUMMYFUNCTION("""COMPUTED_VALUE"""),0)</f>
        <v>0</v>
      </c>
      <c r="Q342" s="81"/>
      <c r="R342" s="81">
        <f ca="1">IFERROR(__xludf.DUMMYFUNCTION("""COMPUTED_VALUE"""),0)</f>
        <v>0</v>
      </c>
      <c r="S342" s="81"/>
      <c r="T342" s="81"/>
      <c r="U342" s="82"/>
      <c r="V342" s="82"/>
      <c r="W342" s="83"/>
      <c r="X342" s="83"/>
      <c r="Y342" s="83"/>
    </row>
    <row r="343" spans="1:25" ht="13.8">
      <c r="A343" s="78" t="str">
        <f ca="1">IFERROR(__xludf.DUMMYFUNCTION("""COMPUTED_VALUE"""),"DH")</f>
        <v>DH</v>
      </c>
      <c r="B343" s="79" t="str">
        <f ca="1">IFERROR(__xludf.DUMMYFUNCTION("""COMPUTED_VALUE"""),"Joe Mathieson")</f>
        <v>Joe Mathieson</v>
      </c>
      <c r="C343" s="78">
        <f ca="1">IFERROR(__xludf.DUMMYFUNCTION("""COMPUTED_VALUE"""),9)</f>
        <v>9</v>
      </c>
      <c r="D343" s="78" t="str">
        <f ca="1">IFERROR(__xludf.DUMMYFUNCTION("""COMPUTED_VALUE"""),"B")</f>
        <v>B</v>
      </c>
      <c r="E343" s="80" t="str">
        <f ca="1">IFERROR(__xludf.DUMMYFUNCTION("""COMPUTED_VALUE"""),"F")</f>
        <v>F</v>
      </c>
      <c r="F343" s="80" t="str">
        <f ca="1">IFERROR(__xludf.DUMMYFUNCTION("""COMPUTED_VALUE"""),"J")</f>
        <v>J</v>
      </c>
      <c r="G343" s="80">
        <f ca="1">IFERROR(__xludf.DUMMYFUNCTION("""COMPUTED_VALUE"""),4)</f>
        <v>4</v>
      </c>
      <c r="H343" s="80" t="str">
        <f ca="1">IFERROR(__xludf.DUMMYFUNCTION("""COMPUTED_VALUE"""),"DH")</f>
        <v>DH</v>
      </c>
      <c r="I343" s="80">
        <f ca="1">IFERROR(__xludf.DUMMYFUNCTION("""COMPUTED_VALUE"""),3)</f>
        <v>3</v>
      </c>
      <c r="J343" s="81">
        <f ca="1">IFERROR(__xludf.DUMMYFUNCTION("""COMPUTED_VALUE"""),4)</f>
        <v>4</v>
      </c>
      <c r="K343" s="81">
        <f ca="1">IFERROR(__xludf.DUMMYFUNCTION("""COMPUTED_VALUE"""),59.85)</f>
        <v>59.85</v>
      </c>
      <c r="L343" s="81">
        <f ca="1">IFERROR(__xludf.DUMMYFUNCTION("""COMPUTED_VALUE"""),59.85)</f>
        <v>59.85</v>
      </c>
      <c r="M343" s="81"/>
      <c r="N343" s="81">
        <f ca="1">IFERROR(__xludf.DUMMYFUNCTION("""COMPUTED_VALUE"""),44.65)</f>
        <v>44.65</v>
      </c>
      <c r="O343" s="81"/>
      <c r="P343" s="81">
        <f ca="1">IFERROR(__xludf.DUMMYFUNCTION("""COMPUTED_VALUE"""),53.55)</f>
        <v>53.55</v>
      </c>
      <c r="Q343" s="81"/>
      <c r="R343" s="81">
        <f ca="1">IFERROR(__xludf.DUMMYFUNCTION("""COMPUTED_VALUE"""),0)</f>
        <v>0</v>
      </c>
      <c r="S343" s="81"/>
      <c r="T343" s="81"/>
      <c r="U343" s="82"/>
      <c r="V343" s="82"/>
      <c r="W343" s="83"/>
      <c r="X343" s="83"/>
      <c r="Y343" s="83"/>
    </row>
    <row r="344" spans="1:25" ht="13.8">
      <c r="A344" s="78" t="str">
        <f ca="1">IFERROR(__xludf.DUMMYFUNCTION("""COMPUTED_VALUE"""),"DH")</f>
        <v>DH</v>
      </c>
      <c r="B344" s="79" t="str">
        <f ca="1">IFERROR(__xludf.DUMMYFUNCTION("""COMPUTED_VALUE"""),"Zach Mathieson")</f>
        <v>Zach Mathieson</v>
      </c>
      <c r="C344" s="78">
        <f ca="1">IFERROR(__xludf.DUMMYFUNCTION("""COMPUTED_VALUE"""),7)</f>
        <v>7</v>
      </c>
      <c r="D344" s="78" t="str">
        <f ca="1">IFERROR(__xludf.DUMMYFUNCTION("""COMPUTED_VALUE"""),"B")</f>
        <v>B</v>
      </c>
      <c r="E344" s="80" t="str">
        <f ca="1">IFERROR(__xludf.DUMMYFUNCTION("""COMPUTED_VALUE"""),"F")</f>
        <v>F</v>
      </c>
      <c r="F344" s="80" t="str">
        <f ca="1">IFERROR(__xludf.DUMMYFUNCTION("""COMPUTED_VALUE"""),"J")</f>
        <v>J</v>
      </c>
      <c r="G344" s="80">
        <f ca="1">IFERROR(__xludf.DUMMYFUNCTION("""COMPUTED_VALUE"""),4)</f>
        <v>4</v>
      </c>
      <c r="H344" s="80" t="str">
        <f ca="1">IFERROR(__xludf.DUMMYFUNCTION("""COMPUTED_VALUE"""),"DH")</f>
        <v>DH</v>
      </c>
      <c r="I344" s="80">
        <f ca="1">IFERROR(__xludf.DUMMYFUNCTION("""COMPUTED_VALUE"""),3)</f>
        <v>3</v>
      </c>
      <c r="J344" s="81">
        <f ca="1">IFERROR(__xludf.DUMMYFUNCTION("""COMPUTED_VALUE"""),2)</f>
        <v>2</v>
      </c>
      <c r="K344" s="81">
        <f ca="1">IFERROR(__xludf.DUMMYFUNCTION("""COMPUTED_VALUE"""),35.4)</f>
        <v>35.4</v>
      </c>
      <c r="L344" s="81">
        <f ca="1">IFERROR(__xludf.DUMMYFUNCTION("""COMPUTED_VALUE"""),0)</f>
        <v>0</v>
      </c>
      <c r="M344" s="81"/>
      <c r="N344" s="81">
        <f ca="1">IFERROR(__xludf.DUMMYFUNCTION("""COMPUTED_VALUE"""),0)</f>
        <v>0</v>
      </c>
      <c r="O344" s="81"/>
      <c r="P344" s="81">
        <f ca="1">IFERROR(__xludf.DUMMYFUNCTION("""COMPUTED_VALUE"""),0)</f>
        <v>0</v>
      </c>
      <c r="Q344" s="81"/>
      <c r="R344" s="81">
        <f ca="1">IFERROR(__xludf.DUMMYFUNCTION("""COMPUTED_VALUE"""),35.4)</f>
        <v>35.4</v>
      </c>
      <c r="S344" s="81"/>
      <c r="T344" s="81"/>
      <c r="U344" s="82"/>
      <c r="V344" s="82"/>
      <c r="W344" s="83"/>
      <c r="X344" s="83"/>
      <c r="Y344" s="83"/>
    </row>
    <row r="345" spans="1:25" ht="13.8">
      <c r="A345" s="78" t="str">
        <f ca="1">IFERROR(__xludf.DUMMYFUNCTION("""COMPUTED_VALUE"""),"DH")</f>
        <v>DH</v>
      </c>
      <c r="B345" s="79" t="str">
        <f ca="1">IFERROR(__xludf.DUMMYFUNCTION("""COMPUTED_VALUE"""),"Connor Myers")</f>
        <v>Connor Myers</v>
      </c>
      <c r="C345" s="78">
        <f ca="1">IFERROR(__xludf.DUMMYFUNCTION("""COMPUTED_VALUE"""),8)</f>
        <v>8</v>
      </c>
      <c r="D345" s="78" t="str">
        <f ca="1">IFERROR(__xludf.DUMMYFUNCTION("""COMPUTED_VALUE"""),"B")</f>
        <v>B</v>
      </c>
      <c r="E345" s="80" t="str">
        <f ca="1">IFERROR(__xludf.DUMMYFUNCTION("""COMPUTED_VALUE"""),"F")</f>
        <v>F</v>
      </c>
      <c r="F345" s="80" t="str">
        <f ca="1">IFERROR(__xludf.DUMMYFUNCTION("""COMPUTED_VALUE"""),"J")</f>
        <v>J</v>
      </c>
      <c r="G345" s="80">
        <f ca="1">IFERROR(__xludf.DUMMYFUNCTION("""COMPUTED_VALUE"""),4)</f>
        <v>4</v>
      </c>
      <c r="H345" s="80" t="str">
        <f ca="1">IFERROR(__xludf.DUMMYFUNCTION("""COMPUTED_VALUE"""),"DH")</f>
        <v>DH</v>
      </c>
      <c r="I345" s="80">
        <f ca="1">IFERROR(__xludf.DUMMYFUNCTION("""COMPUTED_VALUE"""),3)</f>
        <v>3</v>
      </c>
      <c r="J345" s="81">
        <f ca="1">IFERROR(__xludf.DUMMYFUNCTION("""COMPUTED_VALUE"""),0)</f>
        <v>0</v>
      </c>
      <c r="K345" s="81">
        <f ca="1">IFERROR(__xludf.DUMMYFUNCTION("""COMPUTED_VALUE"""),0)</f>
        <v>0</v>
      </c>
      <c r="L345" s="81">
        <f ca="1">IFERROR(__xludf.DUMMYFUNCTION("""COMPUTED_VALUE"""),0)</f>
        <v>0</v>
      </c>
      <c r="M345" s="81"/>
      <c r="N345" s="81">
        <f ca="1">IFERROR(__xludf.DUMMYFUNCTION("""COMPUTED_VALUE"""),0)</f>
        <v>0</v>
      </c>
      <c r="O345" s="81"/>
      <c r="P345" s="81">
        <f ca="1">IFERROR(__xludf.DUMMYFUNCTION("""COMPUTED_VALUE"""),0)</f>
        <v>0</v>
      </c>
      <c r="Q345" s="81"/>
      <c r="R345" s="81">
        <f ca="1">IFERROR(__xludf.DUMMYFUNCTION("""COMPUTED_VALUE"""),0)</f>
        <v>0</v>
      </c>
      <c r="S345" s="81"/>
      <c r="T345" s="81"/>
      <c r="U345" s="82"/>
      <c r="V345" s="82"/>
      <c r="W345" s="83"/>
      <c r="X345" s="83"/>
      <c r="Y345" s="83"/>
    </row>
    <row r="346" spans="1:25" ht="13.8">
      <c r="A346" s="78" t="str">
        <f ca="1">IFERROR(__xludf.DUMMYFUNCTION("""COMPUTED_VALUE"""),"DH")</f>
        <v>DH</v>
      </c>
      <c r="B346" s="79" t="str">
        <f ca="1">IFERROR(__xludf.DUMMYFUNCTION("""COMPUTED_VALUE"""),"Parker Myers")</f>
        <v>Parker Myers</v>
      </c>
      <c r="C346" s="78">
        <f ca="1">IFERROR(__xludf.DUMMYFUNCTION("""COMPUTED_VALUE"""),10)</f>
        <v>10</v>
      </c>
      <c r="D346" s="78" t="str">
        <f ca="1">IFERROR(__xludf.DUMMYFUNCTION("""COMPUTED_VALUE"""),"B")</f>
        <v>B</v>
      </c>
      <c r="E346" s="80" t="str">
        <f ca="1">IFERROR(__xludf.DUMMYFUNCTION("""COMPUTED_VALUE"""),"F")</f>
        <v>F</v>
      </c>
      <c r="F346" s="80" t="str">
        <f ca="1">IFERROR(__xludf.DUMMYFUNCTION("""COMPUTED_VALUE"""),"J")</f>
        <v>J</v>
      </c>
      <c r="G346" s="80">
        <f ca="1">IFERROR(__xludf.DUMMYFUNCTION("""COMPUTED_VALUE"""),4)</f>
        <v>4</v>
      </c>
      <c r="H346" s="80" t="str">
        <f ca="1">IFERROR(__xludf.DUMMYFUNCTION("""COMPUTED_VALUE"""),"DH")</f>
        <v>DH</v>
      </c>
      <c r="I346" s="80">
        <f ca="1">IFERROR(__xludf.DUMMYFUNCTION("""COMPUTED_VALUE"""),3)</f>
        <v>3</v>
      </c>
      <c r="J346" s="81">
        <f ca="1">IFERROR(__xludf.DUMMYFUNCTION("""COMPUTED_VALUE"""),0)</f>
        <v>0</v>
      </c>
      <c r="K346" s="81">
        <f ca="1">IFERROR(__xludf.DUMMYFUNCTION("""COMPUTED_VALUE"""),0)</f>
        <v>0</v>
      </c>
      <c r="L346" s="81">
        <f ca="1">IFERROR(__xludf.DUMMYFUNCTION("""COMPUTED_VALUE"""),0)</f>
        <v>0</v>
      </c>
      <c r="M346" s="81"/>
      <c r="N346" s="81">
        <f ca="1">IFERROR(__xludf.DUMMYFUNCTION("""COMPUTED_VALUE"""),0)</f>
        <v>0</v>
      </c>
      <c r="O346" s="81"/>
      <c r="P346" s="81">
        <f ca="1">IFERROR(__xludf.DUMMYFUNCTION("""COMPUTED_VALUE"""),0)</f>
        <v>0</v>
      </c>
      <c r="Q346" s="81"/>
      <c r="R346" s="81">
        <f ca="1">IFERROR(__xludf.DUMMYFUNCTION("""COMPUTED_VALUE"""),0)</f>
        <v>0</v>
      </c>
      <c r="S346" s="81"/>
      <c r="T346" s="81"/>
      <c r="U346" s="82"/>
      <c r="V346" s="82"/>
      <c r="W346" s="83"/>
      <c r="X346" s="83"/>
      <c r="Y346" s="83"/>
    </row>
    <row r="347" spans="1:25" ht="13.8">
      <c r="A347" s="78" t="str">
        <f ca="1">IFERROR(__xludf.DUMMYFUNCTION("""COMPUTED_VALUE"""),"DH")</f>
        <v>DH</v>
      </c>
      <c r="B347" s="79" t="str">
        <f ca="1">IFERROR(__xludf.DUMMYFUNCTION("""COMPUTED_VALUE"""),"Zane Neckel")</f>
        <v>Zane Neckel</v>
      </c>
      <c r="C347" s="78">
        <f ca="1">IFERROR(__xludf.DUMMYFUNCTION("""COMPUTED_VALUE"""),9)</f>
        <v>9</v>
      </c>
      <c r="D347" s="78" t="str">
        <f ca="1">IFERROR(__xludf.DUMMYFUNCTION("""COMPUTED_VALUE"""),"B")</f>
        <v>B</v>
      </c>
      <c r="E347" s="80" t="str">
        <f ca="1">IFERROR(__xludf.DUMMYFUNCTION("""COMPUTED_VALUE"""),"F")</f>
        <v>F</v>
      </c>
      <c r="F347" s="80" t="str">
        <f ca="1">IFERROR(__xludf.DUMMYFUNCTION("""COMPUTED_VALUE"""),"J")</f>
        <v>J</v>
      </c>
      <c r="G347" s="80">
        <f ca="1">IFERROR(__xludf.DUMMYFUNCTION("""COMPUTED_VALUE"""),4)</f>
        <v>4</v>
      </c>
      <c r="H347" s="80" t="str">
        <f ca="1">IFERROR(__xludf.DUMMYFUNCTION("""COMPUTED_VALUE"""),"DH")</f>
        <v>DH</v>
      </c>
      <c r="I347" s="80">
        <f ca="1">IFERROR(__xludf.DUMMYFUNCTION("""COMPUTED_VALUE"""),3)</f>
        <v>3</v>
      </c>
      <c r="J347" s="81">
        <f ca="1">IFERROR(__xludf.DUMMYFUNCTION("""COMPUTED_VALUE"""),0)</f>
        <v>0</v>
      </c>
      <c r="K347" s="81">
        <f ca="1">IFERROR(__xludf.DUMMYFUNCTION("""COMPUTED_VALUE"""),0)</f>
        <v>0</v>
      </c>
      <c r="L347" s="81">
        <f ca="1">IFERROR(__xludf.DUMMYFUNCTION("""COMPUTED_VALUE"""),0)</f>
        <v>0</v>
      </c>
      <c r="M347" s="81"/>
      <c r="N347" s="81">
        <f ca="1">IFERROR(__xludf.DUMMYFUNCTION("""COMPUTED_VALUE"""),0)</f>
        <v>0</v>
      </c>
      <c r="O347" s="81"/>
      <c r="P347" s="81">
        <f ca="1">IFERROR(__xludf.DUMMYFUNCTION("""COMPUTED_VALUE"""),0)</f>
        <v>0</v>
      </c>
      <c r="Q347" s="81"/>
      <c r="R347" s="81">
        <f ca="1">IFERROR(__xludf.DUMMYFUNCTION("""COMPUTED_VALUE"""),0)</f>
        <v>0</v>
      </c>
      <c r="S347" s="81"/>
      <c r="T347" s="81"/>
      <c r="U347" s="82"/>
      <c r="V347" s="82"/>
      <c r="W347" s="83"/>
      <c r="X347" s="83"/>
      <c r="Y347" s="83"/>
    </row>
    <row r="348" spans="1:25" ht="13.8">
      <c r="A348" s="78" t="str">
        <f ca="1">IFERROR(__xludf.DUMMYFUNCTION("""COMPUTED_VALUE"""),"DH")</f>
        <v>DH</v>
      </c>
      <c r="B348" s="79" t="str">
        <f ca="1">IFERROR(__xludf.DUMMYFUNCTION("""COMPUTED_VALUE"""),"Aiden Robinson")</f>
        <v>Aiden Robinson</v>
      </c>
      <c r="C348" s="78">
        <f ca="1">IFERROR(__xludf.DUMMYFUNCTION("""COMPUTED_VALUE"""),9)</f>
        <v>9</v>
      </c>
      <c r="D348" s="78" t="str">
        <f ca="1">IFERROR(__xludf.DUMMYFUNCTION("""COMPUTED_VALUE"""),"B")</f>
        <v>B</v>
      </c>
      <c r="E348" s="80" t="str">
        <f ca="1">IFERROR(__xludf.DUMMYFUNCTION("""COMPUTED_VALUE"""),"F")</f>
        <v>F</v>
      </c>
      <c r="F348" s="80" t="str">
        <f ca="1">IFERROR(__xludf.DUMMYFUNCTION("""COMPUTED_VALUE"""),"J")</f>
        <v>J</v>
      </c>
      <c r="G348" s="80">
        <f ca="1">IFERROR(__xludf.DUMMYFUNCTION("""COMPUTED_VALUE"""),4)</f>
        <v>4</v>
      </c>
      <c r="H348" s="80" t="str">
        <f ca="1">IFERROR(__xludf.DUMMYFUNCTION("""COMPUTED_VALUE"""),"DH")</f>
        <v>DH</v>
      </c>
      <c r="I348" s="80">
        <f ca="1">IFERROR(__xludf.DUMMYFUNCTION("""COMPUTED_VALUE"""),3)</f>
        <v>3</v>
      </c>
      <c r="J348" s="81">
        <f ca="1">IFERROR(__xludf.DUMMYFUNCTION("""COMPUTED_VALUE"""),0)</f>
        <v>0</v>
      </c>
      <c r="K348" s="81">
        <f ca="1">IFERROR(__xludf.DUMMYFUNCTION("""COMPUTED_VALUE"""),0)</f>
        <v>0</v>
      </c>
      <c r="L348" s="81">
        <f ca="1">IFERROR(__xludf.DUMMYFUNCTION("""COMPUTED_VALUE"""),0)</f>
        <v>0</v>
      </c>
      <c r="M348" s="81"/>
      <c r="N348" s="81">
        <f ca="1">IFERROR(__xludf.DUMMYFUNCTION("""COMPUTED_VALUE"""),0)</f>
        <v>0</v>
      </c>
      <c r="O348" s="81"/>
      <c r="P348" s="81">
        <f ca="1">IFERROR(__xludf.DUMMYFUNCTION("""COMPUTED_VALUE"""),0)</f>
        <v>0</v>
      </c>
      <c r="Q348" s="81"/>
      <c r="R348" s="81">
        <f ca="1">IFERROR(__xludf.DUMMYFUNCTION("""COMPUTED_VALUE"""),0)</f>
        <v>0</v>
      </c>
      <c r="S348" s="81"/>
      <c r="T348" s="81"/>
      <c r="U348" s="82"/>
      <c r="V348" s="82"/>
      <c r="W348" s="83"/>
      <c r="X348" s="83"/>
      <c r="Y348" s="83"/>
    </row>
    <row r="349" spans="1:25" ht="13.8">
      <c r="A349" s="78" t="str">
        <f ca="1">IFERROR(__xludf.DUMMYFUNCTION("""COMPUTED_VALUE"""),"DH")</f>
        <v>DH</v>
      </c>
      <c r="B349" s="79" t="str">
        <f ca="1">IFERROR(__xludf.DUMMYFUNCTION("""COMPUTED_VALUE"""),"Nicholas Teisl")</f>
        <v>Nicholas Teisl</v>
      </c>
      <c r="C349" s="78">
        <f ca="1">IFERROR(__xludf.DUMMYFUNCTION("""COMPUTED_VALUE"""),8)</f>
        <v>8</v>
      </c>
      <c r="D349" s="78" t="str">
        <f ca="1">IFERROR(__xludf.DUMMYFUNCTION("""COMPUTED_VALUE"""),"B")</f>
        <v>B</v>
      </c>
      <c r="E349" s="80" t="str">
        <f ca="1">IFERROR(__xludf.DUMMYFUNCTION("""COMPUTED_VALUE"""),"F")</f>
        <v>F</v>
      </c>
      <c r="F349" s="80" t="str">
        <f ca="1">IFERROR(__xludf.DUMMYFUNCTION("""COMPUTED_VALUE"""),"J")</f>
        <v>J</v>
      </c>
      <c r="G349" s="80">
        <f ca="1">IFERROR(__xludf.DUMMYFUNCTION("""COMPUTED_VALUE"""),4)</f>
        <v>4</v>
      </c>
      <c r="H349" s="80" t="str">
        <f ca="1">IFERROR(__xludf.DUMMYFUNCTION("""COMPUTED_VALUE"""),"DH")</f>
        <v>DH</v>
      </c>
      <c r="I349" s="80">
        <f ca="1">IFERROR(__xludf.DUMMYFUNCTION("""COMPUTED_VALUE"""),3)</f>
        <v>3</v>
      </c>
      <c r="J349" s="81">
        <f ca="1">IFERROR(__xludf.DUMMYFUNCTION("""COMPUTED_VALUE"""),0)</f>
        <v>0</v>
      </c>
      <c r="K349" s="81">
        <f ca="1">IFERROR(__xludf.DUMMYFUNCTION("""COMPUTED_VALUE"""),0)</f>
        <v>0</v>
      </c>
      <c r="L349" s="81">
        <f ca="1">IFERROR(__xludf.DUMMYFUNCTION("""COMPUTED_VALUE"""),0)</f>
        <v>0</v>
      </c>
      <c r="M349" s="81"/>
      <c r="N349" s="81">
        <f ca="1">IFERROR(__xludf.DUMMYFUNCTION("""COMPUTED_VALUE"""),0)</f>
        <v>0</v>
      </c>
      <c r="O349" s="81"/>
      <c r="P349" s="81">
        <f ca="1">IFERROR(__xludf.DUMMYFUNCTION("""COMPUTED_VALUE"""),0)</f>
        <v>0</v>
      </c>
      <c r="Q349" s="81"/>
      <c r="R349" s="81">
        <f ca="1">IFERROR(__xludf.DUMMYFUNCTION("""COMPUTED_VALUE"""),0)</f>
        <v>0</v>
      </c>
      <c r="S349" s="81"/>
      <c r="T349" s="81"/>
      <c r="U349" s="82"/>
      <c r="V349" s="82"/>
      <c r="W349" s="83"/>
      <c r="X349" s="83"/>
      <c r="Y349" s="83"/>
    </row>
    <row r="350" spans="1:25" ht="13.8">
      <c r="A350" s="78" t="str">
        <f ca="1">IFERROR(__xludf.DUMMYFUNCTION("""COMPUTED_VALUE"""),"DH")</f>
        <v>DH</v>
      </c>
      <c r="B350" s="79" t="str">
        <f ca="1">IFERROR(__xludf.DUMMYFUNCTION("""COMPUTED_VALUE"""),"Hannah Ax")</f>
        <v>Hannah Ax</v>
      </c>
      <c r="C350" s="78">
        <f ca="1">IFERROR(__xludf.DUMMYFUNCTION("""COMPUTED_VALUE"""),11)</f>
        <v>11</v>
      </c>
      <c r="D350" s="78" t="str">
        <f ca="1">IFERROR(__xludf.DUMMYFUNCTION("""COMPUTED_VALUE"""),"G")</f>
        <v>G</v>
      </c>
      <c r="E350" s="80" t="str">
        <f ca="1">IFERROR(__xludf.DUMMYFUNCTION("""COMPUTED_VALUE"""),"J")</f>
        <v>J</v>
      </c>
      <c r="F350" s="80" t="str">
        <f ca="1">IFERROR(__xludf.DUMMYFUNCTION("""COMPUTED_VALUE"""),"I")</f>
        <v>I</v>
      </c>
      <c r="G350" s="80">
        <f ca="1">IFERROR(__xludf.DUMMYFUNCTION("""COMPUTED_VALUE"""),4)</f>
        <v>4</v>
      </c>
      <c r="H350" s="80" t="str">
        <f ca="1">IFERROR(__xludf.DUMMYFUNCTION("""COMPUTED_VALUE"""),"DH")</f>
        <v>DH</v>
      </c>
      <c r="I350" s="80">
        <f ca="1">IFERROR(__xludf.DUMMYFUNCTION("""COMPUTED_VALUE"""),4)</f>
        <v>4</v>
      </c>
      <c r="J350" s="81">
        <f ca="1">IFERROR(__xludf.DUMMYFUNCTION("""COMPUTED_VALUE"""),3)</f>
        <v>3</v>
      </c>
      <c r="K350" s="81">
        <f ca="1">IFERROR(__xludf.DUMMYFUNCTION("""COMPUTED_VALUE"""),89.5)</f>
        <v>89.5</v>
      </c>
      <c r="L350" s="81">
        <f ca="1">IFERROR(__xludf.DUMMYFUNCTION("""COMPUTED_VALUE"""),0)</f>
        <v>0</v>
      </c>
      <c r="M350" s="81"/>
      <c r="N350" s="81">
        <f ca="1">IFERROR(__xludf.DUMMYFUNCTION("""COMPUTED_VALUE"""),0)</f>
        <v>0</v>
      </c>
      <c r="O350" s="81"/>
      <c r="P350" s="81">
        <f ca="1">IFERROR(__xludf.DUMMYFUNCTION("""COMPUTED_VALUE"""),53.05)</f>
        <v>53.05</v>
      </c>
      <c r="Q350" s="81"/>
      <c r="R350" s="81">
        <f ca="1">IFERROR(__xludf.DUMMYFUNCTION("""COMPUTED_VALUE"""),89.5)</f>
        <v>89.5</v>
      </c>
      <c r="S350" s="81"/>
      <c r="T350" s="81"/>
      <c r="U350" s="82"/>
      <c r="V350" s="82"/>
      <c r="W350" s="83"/>
      <c r="X350" s="83"/>
      <c r="Y350" s="83"/>
    </row>
    <row r="351" spans="1:25" ht="13.8">
      <c r="A351" s="78" t="str">
        <f ca="1">IFERROR(__xludf.DUMMYFUNCTION("""COMPUTED_VALUE"""),"DH")</f>
        <v>DH</v>
      </c>
      <c r="B351" s="79" t="str">
        <f ca="1">IFERROR(__xludf.DUMMYFUNCTION("""COMPUTED_VALUE"""),"Leah Kinder")</f>
        <v>Leah Kinder</v>
      </c>
      <c r="C351" s="78">
        <f ca="1">IFERROR(__xludf.DUMMYFUNCTION("""COMPUTED_VALUE"""),11)</f>
        <v>11</v>
      </c>
      <c r="D351" s="78" t="str">
        <f ca="1">IFERROR(__xludf.DUMMYFUNCTION("""COMPUTED_VALUE"""),"G")</f>
        <v>G</v>
      </c>
      <c r="E351" s="80" t="str">
        <f ca="1">IFERROR(__xludf.DUMMYFUNCTION("""COMPUTED_VALUE"""),"J")</f>
        <v>J</v>
      </c>
      <c r="F351" s="80" t="str">
        <f ca="1">IFERROR(__xludf.DUMMYFUNCTION("""COMPUTED_VALUE"""),"I")</f>
        <v>I</v>
      </c>
      <c r="G351" s="80">
        <f ca="1">IFERROR(__xludf.DUMMYFUNCTION("""COMPUTED_VALUE"""),4)</f>
        <v>4</v>
      </c>
      <c r="H351" s="80" t="str">
        <f ca="1">IFERROR(__xludf.DUMMYFUNCTION("""COMPUTED_VALUE"""),"DH")</f>
        <v>DH</v>
      </c>
      <c r="I351" s="80">
        <f ca="1">IFERROR(__xludf.DUMMYFUNCTION("""COMPUTED_VALUE"""),4)</f>
        <v>4</v>
      </c>
      <c r="J351" s="81">
        <f ca="1">IFERROR(__xludf.DUMMYFUNCTION("""COMPUTED_VALUE"""),0)</f>
        <v>0</v>
      </c>
      <c r="K351" s="81">
        <f ca="1">IFERROR(__xludf.DUMMYFUNCTION("""COMPUTED_VALUE"""),0)</f>
        <v>0</v>
      </c>
      <c r="L351" s="81">
        <f ca="1">IFERROR(__xludf.DUMMYFUNCTION("""COMPUTED_VALUE"""),0)</f>
        <v>0</v>
      </c>
      <c r="M351" s="81"/>
      <c r="N351" s="81">
        <f ca="1">IFERROR(__xludf.DUMMYFUNCTION("""COMPUTED_VALUE"""),0)</f>
        <v>0</v>
      </c>
      <c r="O351" s="81"/>
      <c r="P351" s="81">
        <f ca="1">IFERROR(__xludf.DUMMYFUNCTION("""COMPUTED_VALUE"""),0)</f>
        <v>0</v>
      </c>
      <c r="Q351" s="81"/>
      <c r="R351" s="81">
        <f ca="1">IFERROR(__xludf.DUMMYFUNCTION("""COMPUTED_VALUE"""),0)</f>
        <v>0</v>
      </c>
      <c r="S351" s="81"/>
      <c r="T351" s="81"/>
      <c r="U351" s="82"/>
      <c r="V351" s="82"/>
      <c r="W351" s="83"/>
      <c r="X351" s="83"/>
      <c r="Y351" s="83"/>
    </row>
    <row r="352" spans="1:25" ht="13.8">
      <c r="A352" s="78" t="str">
        <f ca="1">IFERROR(__xludf.DUMMYFUNCTION("""COMPUTED_VALUE"""),"DH")</f>
        <v>DH</v>
      </c>
      <c r="B352" s="79" t="str">
        <f ca="1">IFERROR(__xludf.DUMMYFUNCTION("""COMPUTED_VALUE"""),"Natalie Maco")</f>
        <v>Natalie Maco</v>
      </c>
      <c r="C352" s="78">
        <f ca="1">IFERROR(__xludf.DUMMYFUNCTION("""COMPUTED_VALUE"""),11)</f>
        <v>11</v>
      </c>
      <c r="D352" s="78" t="str">
        <f ca="1">IFERROR(__xludf.DUMMYFUNCTION("""COMPUTED_VALUE"""),"G")</f>
        <v>G</v>
      </c>
      <c r="E352" s="80" t="str">
        <f ca="1">IFERROR(__xludf.DUMMYFUNCTION("""COMPUTED_VALUE"""),"J")</f>
        <v>J</v>
      </c>
      <c r="F352" s="80" t="str">
        <f ca="1">IFERROR(__xludf.DUMMYFUNCTION("""COMPUTED_VALUE"""),"I")</f>
        <v>I</v>
      </c>
      <c r="G352" s="80">
        <f ca="1">IFERROR(__xludf.DUMMYFUNCTION("""COMPUTED_VALUE"""),4)</f>
        <v>4</v>
      </c>
      <c r="H352" s="80" t="str">
        <f ca="1">IFERROR(__xludf.DUMMYFUNCTION("""COMPUTED_VALUE"""),"DH")</f>
        <v>DH</v>
      </c>
      <c r="I352" s="80">
        <f ca="1">IFERROR(__xludf.DUMMYFUNCTION("""COMPUTED_VALUE"""),4)</f>
        <v>4</v>
      </c>
      <c r="J352" s="81">
        <f ca="1">IFERROR(__xludf.DUMMYFUNCTION("""COMPUTED_VALUE"""),0)</f>
        <v>0</v>
      </c>
      <c r="K352" s="81">
        <f ca="1">IFERROR(__xludf.DUMMYFUNCTION("""COMPUTED_VALUE"""),0)</f>
        <v>0</v>
      </c>
      <c r="L352" s="81">
        <f ca="1">IFERROR(__xludf.DUMMYFUNCTION("""COMPUTED_VALUE"""),0)</f>
        <v>0</v>
      </c>
      <c r="M352" s="81"/>
      <c r="N352" s="81">
        <f ca="1">IFERROR(__xludf.DUMMYFUNCTION("""COMPUTED_VALUE"""),0)</f>
        <v>0</v>
      </c>
      <c r="O352" s="81"/>
      <c r="P352" s="81">
        <f ca="1">IFERROR(__xludf.DUMMYFUNCTION("""COMPUTED_VALUE"""),0)</f>
        <v>0</v>
      </c>
      <c r="Q352" s="81"/>
      <c r="R352" s="81">
        <f ca="1">IFERROR(__xludf.DUMMYFUNCTION("""COMPUTED_VALUE"""),0)</f>
        <v>0</v>
      </c>
      <c r="S352" s="81"/>
      <c r="T352" s="81"/>
      <c r="U352" s="82"/>
      <c r="V352" s="82"/>
      <c r="W352" s="83"/>
      <c r="X352" s="83"/>
      <c r="Y352" s="83"/>
    </row>
    <row r="353" spans="1:25" ht="13.8">
      <c r="A353" s="78" t="str">
        <f ca="1">IFERROR(__xludf.DUMMYFUNCTION("""COMPUTED_VALUE"""),"DH")</f>
        <v>DH</v>
      </c>
      <c r="B353" s="79" t="str">
        <f ca="1">IFERROR(__xludf.DUMMYFUNCTION("""COMPUTED_VALUE"""),"Elena Rizzo")</f>
        <v>Elena Rizzo</v>
      </c>
      <c r="C353" s="78">
        <f ca="1">IFERROR(__xludf.DUMMYFUNCTION("""COMPUTED_VALUE"""),12)</f>
        <v>12</v>
      </c>
      <c r="D353" s="78" t="str">
        <f ca="1">IFERROR(__xludf.DUMMYFUNCTION("""COMPUTED_VALUE"""),"G")</f>
        <v>G</v>
      </c>
      <c r="E353" s="80" t="str">
        <f ca="1">IFERROR(__xludf.DUMMYFUNCTION("""COMPUTED_VALUE"""),"J")</f>
        <v>J</v>
      </c>
      <c r="F353" s="80" t="str">
        <f ca="1">IFERROR(__xludf.DUMMYFUNCTION("""COMPUTED_VALUE"""),"I")</f>
        <v>I</v>
      </c>
      <c r="G353" s="80">
        <f ca="1">IFERROR(__xludf.DUMMYFUNCTION("""COMPUTED_VALUE"""),4)</f>
        <v>4</v>
      </c>
      <c r="H353" s="80" t="str">
        <f ca="1">IFERROR(__xludf.DUMMYFUNCTION("""COMPUTED_VALUE"""),"DH")</f>
        <v>DH</v>
      </c>
      <c r="I353" s="80">
        <f ca="1">IFERROR(__xludf.DUMMYFUNCTION("""COMPUTED_VALUE"""),4)</f>
        <v>4</v>
      </c>
      <c r="J353" s="81">
        <f ca="1">IFERROR(__xludf.DUMMYFUNCTION("""COMPUTED_VALUE"""),0)</f>
        <v>0</v>
      </c>
      <c r="K353" s="81">
        <f ca="1">IFERROR(__xludf.DUMMYFUNCTION("""COMPUTED_VALUE"""),0)</f>
        <v>0</v>
      </c>
      <c r="L353" s="81">
        <f ca="1">IFERROR(__xludf.DUMMYFUNCTION("""COMPUTED_VALUE"""),0)</f>
        <v>0</v>
      </c>
      <c r="M353" s="81"/>
      <c r="N353" s="81">
        <f ca="1">IFERROR(__xludf.DUMMYFUNCTION("""COMPUTED_VALUE"""),0)</f>
        <v>0</v>
      </c>
      <c r="O353" s="81"/>
      <c r="P353" s="81">
        <f ca="1">IFERROR(__xludf.DUMMYFUNCTION("""COMPUTED_VALUE"""),0)</f>
        <v>0</v>
      </c>
      <c r="Q353" s="81"/>
      <c r="R353" s="81">
        <f ca="1">IFERROR(__xludf.DUMMYFUNCTION("""COMPUTED_VALUE"""),0)</f>
        <v>0</v>
      </c>
      <c r="S353" s="81"/>
      <c r="T353" s="81"/>
      <c r="U353" s="82"/>
      <c r="V353" s="82"/>
      <c r="W353" s="83"/>
      <c r="X353" s="83"/>
      <c r="Y353" s="83"/>
    </row>
    <row r="354" spans="1:25" ht="13.8">
      <c r="A354" s="78" t="str">
        <f ca="1">IFERROR(__xludf.DUMMYFUNCTION("""COMPUTED_VALUE"""),"DH")</f>
        <v>DH</v>
      </c>
      <c r="B354" s="79" t="str">
        <f ca="1">IFERROR(__xludf.DUMMYFUNCTION("""COMPUTED_VALUE"""),"Heili Shattuck")</f>
        <v>Heili Shattuck</v>
      </c>
      <c r="C354" s="78">
        <f ca="1">IFERROR(__xludf.DUMMYFUNCTION("""COMPUTED_VALUE"""),12)</f>
        <v>12</v>
      </c>
      <c r="D354" s="78" t="str">
        <f ca="1">IFERROR(__xludf.DUMMYFUNCTION("""COMPUTED_VALUE"""),"G")</f>
        <v>G</v>
      </c>
      <c r="E354" s="80" t="str">
        <f ca="1">IFERROR(__xludf.DUMMYFUNCTION("""COMPUTED_VALUE"""),"J")</f>
        <v>J</v>
      </c>
      <c r="F354" s="80" t="str">
        <f ca="1">IFERROR(__xludf.DUMMYFUNCTION("""COMPUTED_VALUE"""),"I")</f>
        <v>I</v>
      </c>
      <c r="G354" s="80">
        <f ca="1">IFERROR(__xludf.DUMMYFUNCTION("""COMPUTED_VALUE"""),4)</f>
        <v>4</v>
      </c>
      <c r="H354" s="80" t="str">
        <f ca="1">IFERROR(__xludf.DUMMYFUNCTION("""COMPUTED_VALUE"""),"DH")</f>
        <v>DH</v>
      </c>
      <c r="I354" s="80">
        <f ca="1">IFERROR(__xludf.DUMMYFUNCTION("""COMPUTED_VALUE"""),4)</f>
        <v>4</v>
      </c>
      <c r="J354" s="81">
        <f ca="1">IFERROR(__xludf.DUMMYFUNCTION("""COMPUTED_VALUE"""),1)</f>
        <v>1</v>
      </c>
      <c r="K354" s="81">
        <f ca="1">IFERROR(__xludf.DUMMYFUNCTION("""COMPUTED_VALUE"""),0)</f>
        <v>0</v>
      </c>
      <c r="L354" s="81">
        <f ca="1">IFERROR(__xludf.DUMMYFUNCTION("""COMPUTED_VALUE"""),0)</f>
        <v>0</v>
      </c>
      <c r="M354" s="81"/>
      <c r="N354" s="81">
        <f ca="1">IFERROR(__xludf.DUMMYFUNCTION("""COMPUTED_VALUE"""),0)</f>
        <v>0</v>
      </c>
      <c r="O354" s="81"/>
      <c r="P354" s="81">
        <f ca="1">IFERROR(__xludf.DUMMYFUNCTION("""COMPUTED_VALUE"""),0)</f>
        <v>0</v>
      </c>
      <c r="Q354" s="81"/>
      <c r="R354" s="81">
        <f ca="1">IFERROR(__xludf.DUMMYFUNCTION("""COMPUTED_VALUE"""),0)</f>
        <v>0</v>
      </c>
      <c r="S354" s="81"/>
      <c r="T354" s="81"/>
      <c r="U354" s="82"/>
      <c r="V354" s="82"/>
      <c r="W354" s="83"/>
      <c r="X354" s="83"/>
      <c r="Y354" s="83"/>
    </row>
    <row r="355" spans="1:25" ht="13.8">
      <c r="A355" s="78" t="str">
        <f ca="1">IFERROR(__xludf.DUMMYFUNCTION("""COMPUTED_VALUE"""),"DH")</f>
        <v>DH</v>
      </c>
      <c r="B355" s="79" t="str">
        <f ca="1">IFERROR(__xludf.DUMMYFUNCTION("""COMPUTED_VALUE"""),"Hayden Shelton")</f>
        <v>Hayden Shelton</v>
      </c>
      <c r="C355" s="78">
        <f ca="1">IFERROR(__xludf.DUMMYFUNCTION("""COMPUTED_VALUE"""),11)</f>
        <v>11</v>
      </c>
      <c r="D355" s="78" t="str">
        <f ca="1">IFERROR(__xludf.DUMMYFUNCTION("""COMPUTED_VALUE"""),"G")</f>
        <v>G</v>
      </c>
      <c r="E355" s="80" t="str">
        <f ca="1">IFERROR(__xludf.DUMMYFUNCTION("""COMPUTED_VALUE"""),"J")</f>
        <v>J</v>
      </c>
      <c r="F355" s="80" t="str">
        <f ca="1">IFERROR(__xludf.DUMMYFUNCTION("""COMPUTED_VALUE"""),"I")</f>
        <v>I</v>
      </c>
      <c r="G355" s="80">
        <f ca="1">IFERROR(__xludf.DUMMYFUNCTION("""COMPUTED_VALUE"""),4)</f>
        <v>4</v>
      </c>
      <c r="H355" s="80" t="str">
        <f ca="1">IFERROR(__xludf.DUMMYFUNCTION("""COMPUTED_VALUE"""),"DH")</f>
        <v>DH</v>
      </c>
      <c r="I355" s="80">
        <f ca="1">IFERROR(__xludf.DUMMYFUNCTION("""COMPUTED_VALUE"""),4)</f>
        <v>4</v>
      </c>
      <c r="J355" s="81">
        <f ca="1">IFERROR(__xludf.DUMMYFUNCTION("""COMPUTED_VALUE"""),4)</f>
        <v>4</v>
      </c>
      <c r="K355" s="81">
        <f ca="1">IFERROR(__xludf.DUMMYFUNCTION("""COMPUTED_VALUE"""),59.9)</f>
        <v>59.9</v>
      </c>
      <c r="L355" s="81">
        <f ca="1">IFERROR(__xludf.DUMMYFUNCTION("""COMPUTED_VALUE"""),0)</f>
        <v>0</v>
      </c>
      <c r="M355" s="81"/>
      <c r="N355" s="81">
        <f ca="1">IFERROR(__xludf.DUMMYFUNCTION("""COMPUTED_VALUE"""),47)</f>
        <v>47</v>
      </c>
      <c r="O355" s="81"/>
      <c r="P355" s="81">
        <f ca="1">IFERROR(__xludf.DUMMYFUNCTION("""COMPUTED_VALUE"""),48.1)</f>
        <v>48.1</v>
      </c>
      <c r="Q355" s="81"/>
      <c r="R355" s="81">
        <f ca="1">IFERROR(__xludf.DUMMYFUNCTION("""COMPUTED_VALUE"""),59.9)</f>
        <v>59.9</v>
      </c>
      <c r="S355" s="81"/>
      <c r="T355" s="81"/>
      <c r="U355" s="82"/>
      <c r="V355" s="82"/>
      <c r="W355" s="83"/>
      <c r="X355" s="83"/>
      <c r="Y355" s="83"/>
    </row>
    <row r="356" spans="1:25" ht="13.8">
      <c r="A356" s="78" t="str">
        <f ca="1">IFERROR(__xludf.DUMMYFUNCTION("""COMPUTED_VALUE"""),"DH")</f>
        <v>DH</v>
      </c>
      <c r="B356" s="79" t="str">
        <f ca="1">IFERROR(__xludf.DUMMYFUNCTION("""COMPUTED_VALUE"""),"Olivia Tighe")</f>
        <v>Olivia Tighe</v>
      </c>
      <c r="C356" s="78">
        <f ca="1">IFERROR(__xludf.DUMMYFUNCTION("""COMPUTED_VALUE"""),12)</f>
        <v>12</v>
      </c>
      <c r="D356" s="78" t="str">
        <f ca="1">IFERROR(__xludf.DUMMYFUNCTION("""COMPUTED_VALUE"""),"G")</f>
        <v>G</v>
      </c>
      <c r="E356" s="80" t="str">
        <f ca="1">IFERROR(__xludf.DUMMYFUNCTION("""COMPUTED_VALUE"""),"J")</f>
        <v>J</v>
      </c>
      <c r="F356" s="80" t="str">
        <f ca="1">IFERROR(__xludf.DUMMYFUNCTION("""COMPUTED_VALUE"""),"I")</f>
        <v>I</v>
      </c>
      <c r="G356" s="80">
        <f ca="1">IFERROR(__xludf.DUMMYFUNCTION("""COMPUTED_VALUE"""),4)</f>
        <v>4</v>
      </c>
      <c r="H356" s="80" t="str">
        <f ca="1">IFERROR(__xludf.DUMMYFUNCTION("""COMPUTED_VALUE"""),"DH")</f>
        <v>DH</v>
      </c>
      <c r="I356" s="80">
        <f ca="1">IFERROR(__xludf.DUMMYFUNCTION("""COMPUTED_VALUE"""),4)</f>
        <v>4</v>
      </c>
      <c r="J356" s="81">
        <f ca="1">IFERROR(__xludf.DUMMYFUNCTION("""COMPUTED_VALUE"""),0)</f>
        <v>0</v>
      </c>
      <c r="K356" s="81">
        <f ca="1">IFERROR(__xludf.DUMMYFUNCTION("""COMPUTED_VALUE"""),0)</f>
        <v>0</v>
      </c>
      <c r="L356" s="81">
        <f ca="1">IFERROR(__xludf.DUMMYFUNCTION("""COMPUTED_VALUE"""),0)</f>
        <v>0</v>
      </c>
      <c r="M356" s="81"/>
      <c r="N356" s="81">
        <f ca="1">IFERROR(__xludf.DUMMYFUNCTION("""COMPUTED_VALUE"""),0)</f>
        <v>0</v>
      </c>
      <c r="O356" s="81"/>
      <c r="P356" s="81">
        <f ca="1">IFERROR(__xludf.DUMMYFUNCTION("""COMPUTED_VALUE"""),0)</f>
        <v>0</v>
      </c>
      <c r="Q356" s="81"/>
      <c r="R356" s="81">
        <f ca="1">IFERROR(__xludf.DUMMYFUNCTION("""COMPUTED_VALUE"""),0)</f>
        <v>0</v>
      </c>
      <c r="S356" s="81"/>
      <c r="T356" s="81"/>
      <c r="U356" s="82"/>
      <c r="V356" s="82"/>
      <c r="W356" s="83"/>
      <c r="X356" s="83"/>
      <c r="Y356" s="83"/>
    </row>
    <row r="357" spans="1:25" ht="13.8">
      <c r="A357" s="78" t="str">
        <f ca="1">IFERROR(__xludf.DUMMYFUNCTION("""COMPUTED_VALUE"""),"DH")</f>
        <v>DH</v>
      </c>
      <c r="B357" s="79" t="str">
        <f ca="1">IFERROR(__xludf.DUMMYFUNCTION("""COMPUTED_VALUE"""),"Henry Gould")</f>
        <v>Henry Gould</v>
      </c>
      <c r="C357" s="78">
        <f ca="1">IFERROR(__xludf.DUMMYFUNCTION("""COMPUTED_VALUE"""),12)</f>
        <v>12</v>
      </c>
      <c r="D357" s="78" t="str">
        <f ca="1">IFERROR(__xludf.DUMMYFUNCTION("""COMPUTED_VALUE"""),"B")</f>
        <v>B</v>
      </c>
      <c r="E357" s="80" t="str">
        <f ca="1">IFERROR(__xludf.DUMMYFUNCTION("""COMPUTED_VALUE"""),"J")</f>
        <v>J</v>
      </c>
      <c r="F357" s="80" t="str">
        <f ca="1">IFERROR(__xludf.DUMMYFUNCTION("""COMPUTED_VALUE"""),"I")</f>
        <v>I</v>
      </c>
      <c r="G357" s="80">
        <f ca="1">IFERROR(__xludf.DUMMYFUNCTION("""COMPUTED_VALUE"""),4)</f>
        <v>4</v>
      </c>
      <c r="H357" s="80" t="str">
        <f ca="1">IFERROR(__xludf.DUMMYFUNCTION("""COMPUTED_VALUE"""),"DH")</f>
        <v>DH</v>
      </c>
      <c r="I357" s="80">
        <f ca="1">IFERROR(__xludf.DUMMYFUNCTION("""COMPUTED_VALUE"""),5)</f>
        <v>5</v>
      </c>
      <c r="J357" s="81">
        <f ca="1">IFERROR(__xludf.DUMMYFUNCTION("""COMPUTED_VALUE"""),0)</f>
        <v>0</v>
      </c>
      <c r="K357" s="81">
        <f ca="1">IFERROR(__xludf.DUMMYFUNCTION("""COMPUTED_VALUE"""),0)</f>
        <v>0</v>
      </c>
      <c r="L357" s="81">
        <f ca="1">IFERROR(__xludf.DUMMYFUNCTION("""COMPUTED_VALUE"""),0)</f>
        <v>0</v>
      </c>
      <c r="M357" s="81"/>
      <c r="N357" s="81">
        <f ca="1">IFERROR(__xludf.DUMMYFUNCTION("""COMPUTED_VALUE"""),0)</f>
        <v>0</v>
      </c>
      <c r="O357" s="81"/>
      <c r="P357" s="81">
        <f ca="1">IFERROR(__xludf.DUMMYFUNCTION("""COMPUTED_VALUE"""),0)</f>
        <v>0</v>
      </c>
      <c r="Q357" s="81"/>
      <c r="R357" s="81">
        <f ca="1">IFERROR(__xludf.DUMMYFUNCTION("""COMPUTED_VALUE"""),0)</f>
        <v>0</v>
      </c>
      <c r="S357" s="81"/>
      <c r="T357" s="81"/>
      <c r="U357" s="82"/>
      <c r="V357" s="82"/>
      <c r="W357" s="83"/>
      <c r="X357" s="83"/>
      <c r="Y357" s="83"/>
    </row>
    <row r="358" spans="1:25" ht="13.8">
      <c r="A358" s="78" t="str">
        <f ca="1">IFERROR(__xludf.DUMMYFUNCTION("""COMPUTED_VALUE"""),"DH")</f>
        <v>DH</v>
      </c>
      <c r="B358" s="79" t="str">
        <f ca="1">IFERROR(__xludf.DUMMYFUNCTION("""COMPUTED_VALUE"""),"Caleb Havert")</f>
        <v>Caleb Havert</v>
      </c>
      <c r="C358" s="78">
        <f ca="1">IFERROR(__xludf.DUMMYFUNCTION("""COMPUTED_VALUE"""),11)</f>
        <v>11</v>
      </c>
      <c r="D358" s="78" t="str">
        <f ca="1">IFERROR(__xludf.DUMMYFUNCTION("""COMPUTED_VALUE"""),"B")</f>
        <v>B</v>
      </c>
      <c r="E358" s="80" t="str">
        <f ca="1">IFERROR(__xludf.DUMMYFUNCTION("""COMPUTED_VALUE"""),"J")</f>
        <v>J</v>
      </c>
      <c r="F358" s="80" t="str">
        <f ca="1">IFERROR(__xludf.DUMMYFUNCTION("""COMPUTED_VALUE"""),"I")</f>
        <v>I</v>
      </c>
      <c r="G358" s="80">
        <f ca="1">IFERROR(__xludf.DUMMYFUNCTION("""COMPUTED_VALUE"""),4)</f>
        <v>4</v>
      </c>
      <c r="H358" s="80" t="str">
        <f ca="1">IFERROR(__xludf.DUMMYFUNCTION("""COMPUTED_VALUE"""),"DH")</f>
        <v>DH</v>
      </c>
      <c r="I358" s="80">
        <f ca="1">IFERROR(__xludf.DUMMYFUNCTION("""COMPUTED_VALUE"""),5)</f>
        <v>5</v>
      </c>
      <c r="J358" s="81">
        <f ca="1">IFERROR(__xludf.DUMMYFUNCTION("""COMPUTED_VALUE"""),0)</f>
        <v>0</v>
      </c>
      <c r="K358" s="81">
        <f ca="1">IFERROR(__xludf.DUMMYFUNCTION("""COMPUTED_VALUE"""),0)</f>
        <v>0</v>
      </c>
      <c r="L358" s="81">
        <f ca="1">IFERROR(__xludf.DUMMYFUNCTION("""COMPUTED_VALUE"""),0)</f>
        <v>0</v>
      </c>
      <c r="M358" s="81"/>
      <c r="N358" s="81">
        <f ca="1">IFERROR(__xludf.DUMMYFUNCTION("""COMPUTED_VALUE"""),0)</f>
        <v>0</v>
      </c>
      <c r="O358" s="81"/>
      <c r="P358" s="81">
        <f ca="1">IFERROR(__xludf.DUMMYFUNCTION("""COMPUTED_VALUE"""),0)</f>
        <v>0</v>
      </c>
      <c r="Q358" s="81"/>
      <c r="R358" s="81">
        <f ca="1">IFERROR(__xludf.DUMMYFUNCTION("""COMPUTED_VALUE"""),0)</f>
        <v>0</v>
      </c>
      <c r="S358" s="81"/>
      <c r="T358" s="81"/>
      <c r="U358" s="82"/>
      <c r="V358" s="82"/>
      <c r="W358" s="83"/>
      <c r="X358" s="83"/>
      <c r="Y358" s="83"/>
    </row>
    <row r="359" spans="1:25" ht="13.8">
      <c r="A359" s="78" t="str">
        <f ca="1">IFERROR(__xludf.DUMMYFUNCTION("""COMPUTED_VALUE"""),"DH")</f>
        <v>DH</v>
      </c>
      <c r="B359" s="79" t="str">
        <f ca="1">IFERROR(__xludf.DUMMYFUNCTION("""COMPUTED_VALUE"""),"Charlie Morrison")</f>
        <v>Charlie Morrison</v>
      </c>
      <c r="C359" s="78">
        <f ca="1">IFERROR(__xludf.DUMMYFUNCTION("""COMPUTED_VALUE"""),11)</f>
        <v>11</v>
      </c>
      <c r="D359" s="78" t="str">
        <f ca="1">IFERROR(__xludf.DUMMYFUNCTION("""COMPUTED_VALUE"""),"B")</f>
        <v>B</v>
      </c>
      <c r="E359" s="80" t="str">
        <f ca="1">IFERROR(__xludf.DUMMYFUNCTION("""COMPUTED_VALUE"""),"J")</f>
        <v>J</v>
      </c>
      <c r="F359" s="80" t="str">
        <f ca="1">IFERROR(__xludf.DUMMYFUNCTION("""COMPUTED_VALUE"""),"I")</f>
        <v>I</v>
      </c>
      <c r="G359" s="80">
        <f ca="1">IFERROR(__xludf.DUMMYFUNCTION("""COMPUTED_VALUE"""),4)</f>
        <v>4</v>
      </c>
      <c r="H359" s="80" t="str">
        <f ca="1">IFERROR(__xludf.DUMMYFUNCTION("""COMPUTED_VALUE"""),"DH")</f>
        <v>DH</v>
      </c>
      <c r="I359" s="80">
        <f ca="1">IFERROR(__xludf.DUMMYFUNCTION("""COMPUTED_VALUE"""),5)</f>
        <v>5</v>
      </c>
      <c r="J359" s="81">
        <f ca="1">IFERROR(__xludf.DUMMYFUNCTION("""COMPUTED_VALUE"""),1)</f>
        <v>1</v>
      </c>
      <c r="K359" s="81">
        <f ca="1">IFERROR(__xludf.DUMMYFUNCTION("""COMPUTED_VALUE"""),79.75)</f>
        <v>79.75</v>
      </c>
      <c r="L359" s="81">
        <f ca="1">IFERROR(__xludf.DUMMYFUNCTION("""COMPUTED_VALUE"""),0)</f>
        <v>0</v>
      </c>
      <c r="M359" s="81"/>
      <c r="N359" s="81">
        <f ca="1">IFERROR(__xludf.DUMMYFUNCTION("""COMPUTED_VALUE"""),0)</f>
        <v>0</v>
      </c>
      <c r="O359" s="81"/>
      <c r="P359" s="81">
        <f ca="1">IFERROR(__xludf.DUMMYFUNCTION("""COMPUTED_VALUE"""),0)</f>
        <v>0</v>
      </c>
      <c r="Q359" s="81"/>
      <c r="R359" s="81">
        <f ca="1">IFERROR(__xludf.DUMMYFUNCTION("""COMPUTED_VALUE"""),79.75)</f>
        <v>79.75</v>
      </c>
      <c r="S359" s="81"/>
      <c r="T359" s="81"/>
      <c r="U359" s="82"/>
      <c r="V359" s="82"/>
      <c r="W359" s="83"/>
      <c r="X359" s="83"/>
      <c r="Y359" s="83"/>
    </row>
    <row r="360" spans="1:25" ht="13.8">
      <c r="A360" s="78" t="str">
        <f ca="1">IFERROR(__xludf.DUMMYFUNCTION("""COMPUTED_VALUE"""),"DH")</f>
        <v>DH</v>
      </c>
      <c r="B360" s="79" t="str">
        <f ca="1">IFERROR(__xludf.DUMMYFUNCTION("""COMPUTED_VALUE"""),"Declan Neckel")</f>
        <v>Declan Neckel</v>
      </c>
      <c r="C360" s="78">
        <f ca="1">IFERROR(__xludf.DUMMYFUNCTION("""COMPUTED_VALUE"""),11)</f>
        <v>11</v>
      </c>
      <c r="D360" s="78" t="str">
        <f ca="1">IFERROR(__xludf.DUMMYFUNCTION("""COMPUTED_VALUE"""),"B")</f>
        <v>B</v>
      </c>
      <c r="E360" s="80" t="str">
        <f ca="1">IFERROR(__xludf.DUMMYFUNCTION("""COMPUTED_VALUE"""),"J")</f>
        <v>J</v>
      </c>
      <c r="F360" s="80" t="str">
        <f ca="1">IFERROR(__xludf.DUMMYFUNCTION("""COMPUTED_VALUE"""),"I")</f>
        <v>I</v>
      </c>
      <c r="G360" s="80">
        <f ca="1">IFERROR(__xludf.DUMMYFUNCTION("""COMPUTED_VALUE"""),4)</f>
        <v>4</v>
      </c>
      <c r="H360" s="80" t="str">
        <f ca="1">IFERROR(__xludf.DUMMYFUNCTION("""COMPUTED_VALUE"""),"DH")</f>
        <v>DH</v>
      </c>
      <c r="I360" s="80">
        <f ca="1">IFERROR(__xludf.DUMMYFUNCTION("""COMPUTED_VALUE"""),5)</f>
        <v>5</v>
      </c>
      <c r="J360" s="81">
        <f ca="1">IFERROR(__xludf.DUMMYFUNCTION("""COMPUTED_VALUE"""),0)</f>
        <v>0</v>
      </c>
      <c r="K360" s="81">
        <f ca="1">IFERROR(__xludf.DUMMYFUNCTION("""COMPUTED_VALUE"""),0)</f>
        <v>0</v>
      </c>
      <c r="L360" s="81">
        <f ca="1">IFERROR(__xludf.DUMMYFUNCTION("""COMPUTED_VALUE"""),0)</f>
        <v>0</v>
      </c>
      <c r="M360" s="81"/>
      <c r="N360" s="81">
        <f ca="1">IFERROR(__xludf.DUMMYFUNCTION("""COMPUTED_VALUE"""),0)</f>
        <v>0</v>
      </c>
      <c r="O360" s="81"/>
      <c r="P360" s="81">
        <f ca="1">IFERROR(__xludf.DUMMYFUNCTION("""COMPUTED_VALUE"""),0)</f>
        <v>0</v>
      </c>
      <c r="Q360" s="81"/>
      <c r="R360" s="81">
        <f ca="1">IFERROR(__xludf.DUMMYFUNCTION("""COMPUTED_VALUE"""),0)</f>
        <v>0</v>
      </c>
      <c r="S360" s="81"/>
      <c r="T360" s="81"/>
      <c r="U360" s="82"/>
      <c r="V360" s="82"/>
      <c r="W360" s="83"/>
      <c r="X360" s="83"/>
      <c r="Y360" s="83"/>
    </row>
    <row r="361" spans="1:25" ht="13.8">
      <c r="A361" s="78" t="str">
        <f ca="1">IFERROR(__xludf.DUMMYFUNCTION("""COMPUTED_VALUE"""),"DH")</f>
        <v>DH</v>
      </c>
      <c r="B361" s="79" t="str">
        <f ca="1">IFERROR(__xludf.DUMMYFUNCTION("""COMPUTED_VALUE"""),"Reid Schwartz")</f>
        <v>Reid Schwartz</v>
      </c>
      <c r="C361" s="78">
        <f ca="1">IFERROR(__xludf.DUMMYFUNCTION("""COMPUTED_VALUE"""),12)</f>
        <v>12</v>
      </c>
      <c r="D361" s="78" t="str">
        <f ca="1">IFERROR(__xludf.DUMMYFUNCTION("""COMPUTED_VALUE"""),"B")</f>
        <v>B</v>
      </c>
      <c r="E361" s="80" t="str">
        <f ca="1">IFERROR(__xludf.DUMMYFUNCTION("""COMPUTED_VALUE"""),"J")</f>
        <v>J</v>
      </c>
      <c r="F361" s="80" t="str">
        <f ca="1">IFERROR(__xludf.DUMMYFUNCTION("""COMPUTED_VALUE"""),"I")</f>
        <v>I</v>
      </c>
      <c r="G361" s="80">
        <f ca="1">IFERROR(__xludf.DUMMYFUNCTION("""COMPUTED_VALUE"""),4)</f>
        <v>4</v>
      </c>
      <c r="H361" s="80" t="str">
        <f ca="1">IFERROR(__xludf.DUMMYFUNCTION("""COMPUTED_VALUE"""),"DH")</f>
        <v>DH</v>
      </c>
      <c r="I361" s="80">
        <f ca="1">IFERROR(__xludf.DUMMYFUNCTION("""COMPUTED_VALUE"""),5)</f>
        <v>5</v>
      </c>
      <c r="J361" s="81">
        <f ca="1">IFERROR(__xludf.DUMMYFUNCTION("""COMPUTED_VALUE"""),4)</f>
        <v>4</v>
      </c>
      <c r="K361" s="81">
        <f ca="1">IFERROR(__xludf.DUMMYFUNCTION("""COMPUTED_VALUE"""),108.2)</f>
        <v>108.2</v>
      </c>
      <c r="L361" s="81">
        <f ca="1">IFERROR(__xludf.DUMMYFUNCTION("""COMPUTED_VALUE"""),104)</f>
        <v>104</v>
      </c>
      <c r="M361" s="81"/>
      <c r="N361" s="81">
        <f ca="1">IFERROR(__xludf.DUMMYFUNCTION("""COMPUTED_VALUE"""),108.2)</f>
        <v>108.2</v>
      </c>
      <c r="O361" s="81"/>
      <c r="P361" s="81">
        <f ca="1">IFERROR(__xludf.DUMMYFUNCTION("""COMPUTED_VALUE"""),94.55)</f>
        <v>94.55</v>
      </c>
      <c r="Q361" s="81"/>
      <c r="R361" s="81">
        <f ca="1">IFERROR(__xludf.DUMMYFUNCTION("""COMPUTED_VALUE"""),0)</f>
        <v>0</v>
      </c>
      <c r="S361" s="81"/>
      <c r="T361" s="81"/>
      <c r="U361" s="82"/>
      <c r="V361" s="82"/>
      <c r="W361" s="83"/>
      <c r="X361" s="83"/>
      <c r="Y361" s="83"/>
    </row>
    <row r="362" spans="1:25" ht="13.8">
      <c r="A362" s="78" t="str">
        <f ca="1">IFERROR(__xludf.DUMMYFUNCTION("""COMPUTED_VALUE"""),"DH")</f>
        <v>DH</v>
      </c>
      <c r="B362" s="79" t="str">
        <f ca="1">IFERROR(__xludf.DUMMYFUNCTION("""COMPUTED_VALUE"""),"Mia Carbone")</f>
        <v>Mia Carbone</v>
      </c>
      <c r="C362" s="78">
        <f ca="1">IFERROR(__xludf.DUMMYFUNCTION("""COMPUTED_VALUE"""),13)</f>
        <v>13</v>
      </c>
      <c r="D362" s="78" t="str">
        <f ca="1">IFERROR(__xludf.DUMMYFUNCTION("""COMPUTED_VALUE"""),"G")</f>
        <v>G</v>
      </c>
      <c r="E362" s="80" t="str">
        <f ca="1">IFERROR(__xludf.DUMMYFUNCTION("""COMPUTED_VALUE"""),"I")</f>
        <v>I</v>
      </c>
      <c r="F362" s="80" t="str">
        <f ca="1">IFERROR(__xludf.DUMMYFUNCTION("""COMPUTED_VALUE"""),"S")</f>
        <v>S</v>
      </c>
      <c r="G362" s="80">
        <f ca="1">IFERROR(__xludf.DUMMYFUNCTION("""COMPUTED_VALUE"""),4)</f>
        <v>4</v>
      </c>
      <c r="H362" s="80" t="str">
        <f ca="1">IFERROR(__xludf.DUMMYFUNCTION("""COMPUTED_VALUE"""),"DH")</f>
        <v>DH</v>
      </c>
      <c r="I362" s="80">
        <f ca="1">IFERROR(__xludf.DUMMYFUNCTION("""COMPUTED_VALUE"""),6)</f>
        <v>6</v>
      </c>
      <c r="J362" s="81">
        <f ca="1">IFERROR(__xludf.DUMMYFUNCTION("""COMPUTED_VALUE"""),0)</f>
        <v>0</v>
      </c>
      <c r="K362" s="81">
        <f ca="1">IFERROR(__xludf.DUMMYFUNCTION("""COMPUTED_VALUE"""),0)</f>
        <v>0</v>
      </c>
      <c r="L362" s="81">
        <f ca="1">IFERROR(__xludf.DUMMYFUNCTION("""COMPUTED_VALUE"""),0)</f>
        <v>0</v>
      </c>
      <c r="M362" s="81"/>
      <c r="N362" s="81">
        <f ca="1">IFERROR(__xludf.DUMMYFUNCTION("""COMPUTED_VALUE"""),0)</f>
        <v>0</v>
      </c>
      <c r="O362" s="81"/>
      <c r="P362" s="81">
        <f ca="1">IFERROR(__xludf.DUMMYFUNCTION("""COMPUTED_VALUE"""),0)</f>
        <v>0</v>
      </c>
      <c r="Q362" s="81"/>
      <c r="R362" s="81">
        <f ca="1">IFERROR(__xludf.DUMMYFUNCTION("""COMPUTED_VALUE"""),0)</f>
        <v>0</v>
      </c>
      <c r="S362" s="81"/>
      <c r="T362" s="81"/>
      <c r="U362" s="82"/>
      <c r="V362" s="82"/>
      <c r="W362" s="83"/>
      <c r="X362" s="83"/>
      <c r="Y362" s="83"/>
    </row>
    <row r="363" spans="1:25" ht="13.8">
      <c r="A363" s="78" t="str">
        <f ca="1">IFERROR(__xludf.DUMMYFUNCTION("""COMPUTED_VALUE"""),"DH")</f>
        <v>DH</v>
      </c>
      <c r="B363" s="79" t="str">
        <f ca="1">IFERROR(__xludf.DUMMYFUNCTION("""COMPUTED_VALUE"""),"Bella DeFilippi")</f>
        <v>Bella DeFilippi</v>
      </c>
      <c r="C363" s="78">
        <f ca="1">IFERROR(__xludf.DUMMYFUNCTION("""COMPUTED_VALUE"""),13)</f>
        <v>13</v>
      </c>
      <c r="D363" s="78" t="str">
        <f ca="1">IFERROR(__xludf.DUMMYFUNCTION("""COMPUTED_VALUE"""),"G")</f>
        <v>G</v>
      </c>
      <c r="E363" s="80" t="str">
        <f ca="1">IFERROR(__xludf.DUMMYFUNCTION("""COMPUTED_VALUE"""),"I")</f>
        <v>I</v>
      </c>
      <c r="F363" s="80" t="str">
        <f ca="1">IFERROR(__xludf.DUMMYFUNCTION("""COMPUTED_VALUE"""),"S")</f>
        <v>S</v>
      </c>
      <c r="G363" s="80">
        <f ca="1">IFERROR(__xludf.DUMMYFUNCTION("""COMPUTED_VALUE"""),4)</f>
        <v>4</v>
      </c>
      <c r="H363" s="80" t="str">
        <f ca="1">IFERROR(__xludf.DUMMYFUNCTION("""COMPUTED_VALUE"""),"DH")</f>
        <v>DH</v>
      </c>
      <c r="I363" s="80">
        <f ca="1">IFERROR(__xludf.DUMMYFUNCTION("""COMPUTED_VALUE"""),6)</f>
        <v>6</v>
      </c>
      <c r="J363" s="81">
        <f ca="1">IFERROR(__xludf.DUMMYFUNCTION("""COMPUTED_VALUE"""),0)</f>
        <v>0</v>
      </c>
      <c r="K363" s="81">
        <f ca="1">IFERROR(__xludf.DUMMYFUNCTION("""COMPUTED_VALUE"""),0)</f>
        <v>0</v>
      </c>
      <c r="L363" s="81">
        <f ca="1">IFERROR(__xludf.DUMMYFUNCTION("""COMPUTED_VALUE"""),0)</f>
        <v>0</v>
      </c>
      <c r="M363" s="81"/>
      <c r="N363" s="81">
        <f ca="1">IFERROR(__xludf.DUMMYFUNCTION("""COMPUTED_VALUE"""),0)</f>
        <v>0</v>
      </c>
      <c r="O363" s="81"/>
      <c r="P363" s="81">
        <f ca="1">IFERROR(__xludf.DUMMYFUNCTION("""COMPUTED_VALUE"""),0)</f>
        <v>0</v>
      </c>
      <c r="Q363" s="81"/>
      <c r="R363" s="81">
        <f ca="1">IFERROR(__xludf.DUMMYFUNCTION("""COMPUTED_VALUE"""),0)</f>
        <v>0</v>
      </c>
      <c r="S363" s="81"/>
      <c r="T363" s="81"/>
      <c r="U363" s="82"/>
      <c r="V363" s="82"/>
      <c r="W363" s="83"/>
      <c r="X363" s="83"/>
      <c r="Y363" s="83"/>
    </row>
    <row r="364" spans="1:25" ht="13.8">
      <c r="A364" s="78" t="str">
        <f ca="1">IFERROR(__xludf.DUMMYFUNCTION("""COMPUTED_VALUE"""),"DH")</f>
        <v>DH</v>
      </c>
      <c r="B364" s="79" t="str">
        <f ca="1">IFERROR(__xludf.DUMMYFUNCTION("""COMPUTED_VALUE"""),"Greta Kirchoff-Johnson")</f>
        <v>Greta Kirchoff-Johnson</v>
      </c>
      <c r="C364" s="78">
        <f ca="1">IFERROR(__xludf.DUMMYFUNCTION("""COMPUTED_VALUE"""),14)</f>
        <v>14</v>
      </c>
      <c r="D364" s="78" t="str">
        <f ca="1">IFERROR(__xludf.DUMMYFUNCTION("""COMPUTED_VALUE"""),"G")</f>
        <v>G</v>
      </c>
      <c r="E364" s="80" t="str">
        <f ca="1">IFERROR(__xludf.DUMMYFUNCTION("""COMPUTED_VALUE"""),"I")</f>
        <v>I</v>
      </c>
      <c r="F364" s="80" t="str">
        <f ca="1">IFERROR(__xludf.DUMMYFUNCTION("""COMPUTED_VALUE"""),"S")</f>
        <v>S</v>
      </c>
      <c r="G364" s="80">
        <f ca="1">IFERROR(__xludf.DUMMYFUNCTION("""COMPUTED_VALUE"""),4)</f>
        <v>4</v>
      </c>
      <c r="H364" s="80" t="str">
        <f ca="1">IFERROR(__xludf.DUMMYFUNCTION("""COMPUTED_VALUE"""),"DH")</f>
        <v>DH</v>
      </c>
      <c r="I364" s="80">
        <f ca="1">IFERROR(__xludf.DUMMYFUNCTION("""COMPUTED_VALUE"""),6)</f>
        <v>6</v>
      </c>
      <c r="J364" s="81">
        <f ca="1">IFERROR(__xludf.DUMMYFUNCTION("""COMPUTED_VALUE"""),0)</f>
        <v>0</v>
      </c>
      <c r="K364" s="81">
        <f ca="1">IFERROR(__xludf.DUMMYFUNCTION("""COMPUTED_VALUE"""),0)</f>
        <v>0</v>
      </c>
      <c r="L364" s="81">
        <f ca="1">IFERROR(__xludf.DUMMYFUNCTION("""COMPUTED_VALUE"""),0)</f>
        <v>0</v>
      </c>
      <c r="M364" s="81"/>
      <c r="N364" s="81">
        <f ca="1">IFERROR(__xludf.DUMMYFUNCTION("""COMPUTED_VALUE"""),0)</f>
        <v>0</v>
      </c>
      <c r="O364" s="81"/>
      <c r="P364" s="81">
        <f ca="1">IFERROR(__xludf.DUMMYFUNCTION("""COMPUTED_VALUE"""),0)</f>
        <v>0</v>
      </c>
      <c r="Q364" s="81"/>
      <c r="R364" s="81">
        <f ca="1">IFERROR(__xludf.DUMMYFUNCTION("""COMPUTED_VALUE"""),0)</f>
        <v>0</v>
      </c>
      <c r="S364" s="81"/>
      <c r="T364" s="81"/>
      <c r="U364" s="82"/>
      <c r="V364" s="82"/>
      <c r="W364" s="83"/>
      <c r="X364" s="83"/>
      <c r="Y364" s="83"/>
    </row>
    <row r="365" spans="1:25" ht="13.8">
      <c r="A365" s="78" t="str">
        <f ca="1">IFERROR(__xludf.DUMMYFUNCTION("""COMPUTED_VALUE"""),"DH")</f>
        <v>DH</v>
      </c>
      <c r="B365" s="79" t="str">
        <f ca="1">IFERROR(__xludf.DUMMYFUNCTION("""COMPUTED_VALUE"""),"Abby Putnam")</f>
        <v>Abby Putnam</v>
      </c>
      <c r="C365" s="78">
        <f ca="1">IFERROR(__xludf.DUMMYFUNCTION("""COMPUTED_VALUE"""),14)</f>
        <v>14</v>
      </c>
      <c r="D365" s="78" t="str">
        <f ca="1">IFERROR(__xludf.DUMMYFUNCTION("""COMPUTED_VALUE"""),"G")</f>
        <v>G</v>
      </c>
      <c r="E365" s="80" t="str">
        <f ca="1">IFERROR(__xludf.DUMMYFUNCTION("""COMPUTED_VALUE"""),"I")</f>
        <v>I</v>
      </c>
      <c r="F365" s="80" t="str">
        <f ca="1">IFERROR(__xludf.DUMMYFUNCTION("""COMPUTED_VALUE"""),"S")</f>
        <v>S</v>
      </c>
      <c r="G365" s="80">
        <f ca="1">IFERROR(__xludf.DUMMYFUNCTION("""COMPUTED_VALUE"""),4)</f>
        <v>4</v>
      </c>
      <c r="H365" s="80" t="str">
        <f ca="1">IFERROR(__xludf.DUMMYFUNCTION("""COMPUTED_VALUE"""),"DH")</f>
        <v>DH</v>
      </c>
      <c r="I365" s="80">
        <f ca="1">IFERROR(__xludf.DUMMYFUNCTION("""COMPUTED_VALUE"""),6)</f>
        <v>6</v>
      </c>
      <c r="J365" s="81">
        <f ca="1">IFERROR(__xludf.DUMMYFUNCTION("""COMPUTED_VALUE"""),4)</f>
        <v>4</v>
      </c>
      <c r="K365" s="81">
        <f ca="1">IFERROR(__xludf.DUMMYFUNCTION("""COMPUTED_VALUE"""),93.4)</f>
        <v>93.4</v>
      </c>
      <c r="L365" s="81">
        <f ca="1">IFERROR(__xludf.DUMMYFUNCTION("""COMPUTED_VALUE"""),79.95)</f>
        <v>79.95</v>
      </c>
      <c r="M365" s="81"/>
      <c r="N365" s="81">
        <f ca="1">IFERROR(__xludf.DUMMYFUNCTION("""COMPUTED_VALUE"""),0)</f>
        <v>0</v>
      </c>
      <c r="O365" s="81"/>
      <c r="P365" s="81">
        <f ca="1">IFERROR(__xludf.DUMMYFUNCTION("""COMPUTED_VALUE"""),66.2)</f>
        <v>66.2</v>
      </c>
      <c r="Q365" s="81"/>
      <c r="R365" s="81">
        <f ca="1">IFERROR(__xludf.DUMMYFUNCTION("""COMPUTED_VALUE"""),93.4)</f>
        <v>93.4</v>
      </c>
      <c r="S365" s="81"/>
      <c r="T365" s="81"/>
      <c r="U365" s="82"/>
      <c r="V365" s="82"/>
      <c r="W365" s="83"/>
      <c r="X365" s="83"/>
      <c r="Y365" s="83"/>
    </row>
    <row r="366" spans="1:25" ht="13.8">
      <c r="A366" s="78" t="str">
        <f ca="1">IFERROR(__xludf.DUMMYFUNCTION("""COMPUTED_VALUE"""),"DH")</f>
        <v>DH</v>
      </c>
      <c r="B366" s="79" t="str">
        <f ca="1">IFERROR(__xludf.DUMMYFUNCTION("""COMPUTED_VALUE"""),"Chloe Schwartz")</f>
        <v>Chloe Schwartz</v>
      </c>
      <c r="C366" s="78">
        <f ca="1">IFERROR(__xludf.DUMMYFUNCTION("""COMPUTED_VALUE"""),14)</f>
        <v>14</v>
      </c>
      <c r="D366" s="78" t="str">
        <f ca="1">IFERROR(__xludf.DUMMYFUNCTION("""COMPUTED_VALUE"""),"G")</f>
        <v>G</v>
      </c>
      <c r="E366" s="80" t="str">
        <f ca="1">IFERROR(__xludf.DUMMYFUNCTION("""COMPUTED_VALUE"""),"I")</f>
        <v>I</v>
      </c>
      <c r="F366" s="80" t="str">
        <f ca="1">IFERROR(__xludf.DUMMYFUNCTION("""COMPUTED_VALUE"""),"S")</f>
        <v>S</v>
      </c>
      <c r="G366" s="80">
        <f ca="1">IFERROR(__xludf.DUMMYFUNCTION("""COMPUTED_VALUE"""),4)</f>
        <v>4</v>
      </c>
      <c r="H366" s="80" t="str">
        <f ca="1">IFERROR(__xludf.DUMMYFUNCTION("""COMPUTED_VALUE"""),"DH")</f>
        <v>DH</v>
      </c>
      <c r="I366" s="80">
        <f ca="1">IFERROR(__xludf.DUMMYFUNCTION("""COMPUTED_VALUE"""),6)</f>
        <v>6</v>
      </c>
      <c r="J366" s="81">
        <f ca="1">IFERROR(__xludf.DUMMYFUNCTION("""COMPUTED_VALUE"""),2)</f>
        <v>2</v>
      </c>
      <c r="K366" s="81">
        <f ca="1">IFERROR(__xludf.DUMMYFUNCTION("""COMPUTED_VALUE"""),98.75)</f>
        <v>98.75</v>
      </c>
      <c r="L366" s="81">
        <f ca="1">IFERROR(__xludf.DUMMYFUNCTION("""COMPUTED_VALUE"""),0)</f>
        <v>0</v>
      </c>
      <c r="M366" s="81"/>
      <c r="N366" s="81">
        <f ca="1">IFERROR(__xludf.DUMMYFUNCTION("""COMPUTED_VALUE"""),98.75)</f>
        <v>98.75</v>
      </c>
      <c r="O366" s="81"/>
      <c r="P366" s="81">
        <f ca="1">IFERROR(__xludf.DUMMYFUNCTION("""COMPUTED_VALUE"""),83.05)</f>
        <v>83.05</v>
      </c>
      <c r="Q366" s="81"/>
      <c r="R366" s="81">
        <f ca="1">IFERROR(__xludf.DUMMYFUNCTION("""COMPUTED_VALUE"""),0)</f>
        <v>0</v>
      </c>
      <c r="S366" s="81"/>
      <c r="T366" s="81"/>
      <c r="U366" s="82"/>
      <c r="V366" s="82"/>
      <c r="W366" s="83"/>
      <c r="X366" s="83"/>
      <c r="Y366" s="83"/>
    </row>
    <row r="367" spans="1:25" ht="13.8">
      <c r="A367" s="78" t="str">
        <f ca="1">IFERROR(__xludf.DUMMYFUNCTION("""COMPUTED_VALUE"""),"DH")</f>
        <v>DH</v>
      </c>
      <c r="B367" s="79" t="str">
        <f ca="1">IFERROR(__xludf.DUMMYFUNCTION("""COMPUTED_VALUE"""),"Morgan Shelton")</f>
        <v>Morgan Shelton</v>
      </c>
      <c r="C367" s="78">
        <f ca="1">IFERROR(__xludf.DUMMYFUNCTION("""COMPUTED_VALUE"""),13)</f>
        <v>13</v>
      </c>
      <c r="D367" s="78" t="str">
        <f ca="1">IFERROR(__xludf.DUMMYFUNCTION("""COMPUTED_VALUE"""),"G")</f>
        <v>G</v>
      </c>
      <c r="E367" s="80" t="str">
        <f ca="1">IFERROR(__xludf.DUMMYFUNCTION("""COMPUTED_VALUE"""),"I")</f>
        <v>I</v>
      </c>
      <c r="F367" s="80" t="str">
        <f ca="1">IFERROR(__xludf.DUMMYFUNCTION("""COMPUTED_VALUE"""),"S")</f>
        <v>S</v>
      </c>
      <c r="G367" s="80">
        <f ca="1">IFERROR(__xludf.DUMMYFUNCTION("""COMPUTED_VALUE"""),4)</f>
        <v>4</v>
      </c>
      <c r="H367" s="80" t="str">
        <f ca="1">IFERROR(__xludf.DUMMYFUNCTION("""COMPUTED_VALUE"""),"DH")</f>
        <v>DH</v>
      </c>
      <c r="I367" s="80">
        <f ca="1">IFERROR(__xludf.DUMMYFUNCTION("""COMPUTED_VALUE"""),6)</f>
        <v>6</v>
      </c>
      <c r="J367" s="81">
        <f ca="1">IFERROR(__xludf.DUMMYFUNCTION("""COMPUTED_VALUE"""),4)</f>
        <v>4</v>
      </c>
      <c r="K367" s="81">
        <f ca="1">IFERROR(__xludf.DUMMYFUNCTION("""COMPUTED_VALUE"""),82.45)</f>
        <v>82.45</v>
      </c>
      <c r="L367" s="81">
        <f ca="1">IFERROR(__xludf.DUMMYFUNCTION("""COMPUTED_VALUE"""),64.65)</f>
        <v>64.650000000000006</v>
      </c>
      <c r="M367" s="81"/>
      <c r="N367" s="81">
        <f ca="1">IFERROR(__xludf.DUMMYFUNCTION("""COMPUTED_VALUE"""),82.45)</f>
        <v>82.45</v>
      </c>
      <c r="O367" s="81"/>
      <c r="P367" s="81">
        <f ca="1">IFERROR(__xludf.DUMMYFUNCTION("""COMPUTED_VALUE"""),80.05)</f>
        <v>80.05</v>
      </c>
      <c r="Q367" s="81"/>
      <c r="R367" s="81">
        <f ca="1">IFERROR(__xludf.DUMMYFUNCTION("""COMPUTED_VALUE"""),0)</f>
        <v>0</v>
      </c>
      <c r="S367" s="81"/>
      <c r="T367" s="81"/>
      <c r="U367" s="82"/>
      <c r="V367" s="82"/>
      <c r="W367" s="83"/>
      <c r="X367" s="83"/>
      <c r="Y367" s="83"/>
    </row>
    <row r="368" spans="1:25" ht="13.8">
      <c r="A368" s="78" t="str">
        <f ca="1">IFERROR(__xludf.DUMMYFUNCTION("""COMPUTED_VALUE"""),"DH")</f>
        <v>DH</v>
      </c>
      <c r="B368" s="79" t="str">
        <f ca="1">IFERROR(__xludf.DUMMYFUNCTION("""COMPUTED_VALUE"""),"Paige Shelton")</f>
        <v>Paige Shelton</v>
      </c>
      <c r="C368" s="78">
        <f ca="1">IFERROR(__xludf.DUMMYFUNCTION("""COMPUTED_VALUE"""),14)</f>
        <v>14</v>
      </c>
      <c r="D368" s="78" t="str">
        <f ca="1">IFERROR(__xludf.DUMMYFUNCTION("""COMPUTED_VALUE"""),"G")</f>
        <v>G</v>
      </c>
      <c r="E368" s="80" t="str">
        <f ca="1">IFERROR(__xludf.DUMMYFUNCTION("""COMPUTED_VALUE"""),"I")</f>
        <v>I</v>
      </c>
      <c r="F368" s="80" t="str">
        <f ca="1">IFERROR(__xludf.DUMMYFUNCTION("""COMPUTED_VALUE"""),"S")</f>
        <v>S</v>
      </c>
      <c r="G368" s="80">
        <f ca="1">IFERROR(__xludf.DUMMYFUNCTION("""COMPUTED_VALUE"""),4)</f>
        <v>4</v>
      </c>
      <c r="H368" s="80" t="str">
        <f ca="1">IFERROR(__xludf.DUMMYFUNCTION("""COMPUTED_VALUE"""),"DH")</f>
        <v>DH</v>
      </c>
      <c r="I368" s="80">
        <f ca="1">IFERROR(__xludf.DUMMYFUNCTION("""COMPUTED_VALUE"""),6)</f>
        <v>6</v>
      </c>
      <c r="J368" s="81">
        <f ca="1">IFERROR(__xludf.DUMMYFUNCTION("""COMPUTED_VALUE"""),4)</f>
        <v>4</v>
      </c>
      <c r="K368" s="81">
        <f ca="1">IFERROR(__xludf.DUMMYFUNCTION("""COMPUTED_VALUE"""),95.6)</f>
        <v>95.6</v>
      </c>
      <c r="L368" s="81">
        <f ca="1">IFERROR(__xludf.DUMMYFUNCTION("""COMPUTED_VALUE"""),0)</f>
        <v>0</v>
      </c>
      <c r="M368" s="81"/>
      <c r="N368" s="81">
        <f ca="1">IFERROR(__xludf.DUMMYFUNCTION("""COMPUTED_VALUE"""),85)</f>
        <v>85</v>
      </c>
      <c r="O368" s="81"/>
      <c r="P368" s="81">
        <f ca="1">IFERROR(__xludf.DUMMYFUNCTION("""COMPUTED_VALUE"""),73.65)</f>
        <v>73.650000000000006</v>
      </c>
      <c r="Q368" s="81"/>
      <c r="R368" s="81">
        <f ca="1">IFERROR(__xludf.DUMMYFUNCTION("""COMPUTED_VALUE"""),95.6)</f>
        <v>95.6</v>
      </c>
      <c r="S368" s="81"/>
      <c r="T368" s="81"/>
      <c r="U368" s="82"/>
      <c r="V368" s="82"/>
      <c r="W368" s="83"/>
      <c r="X368" s="83"/>
      <c r="Y368" s="83"/>
    </row>
    <row r="369" spans="1:25" ht="13.8">
      <c r="A369" s="78" t="str">
        <f ca="1">IFERROR(__xludf.DUMMYFUNCTION("""COMPUTED_VALUE"""),"DH")</f>
        <v>DH</v>
      </c>
      <c r="B369" s="79" t="str">
        <f ca="1">IFERROR(__xludf.DUMMYFUNCTION("""COMPUTED_VALUE"""),"Charlie Gent")</f>
        <v>Charlie Gent</v>
      </c>
      <c r="C369" s="78">
        <f ca="1">IFERROR(__xludf.DUMMYFUNCTION("""COMPUTED_VALUE"""),13)</f>
        <v>13</v>
      </c>
      <c r="D369" s="78" t="str">
        <f ca="1">IFERROR(__xludf.DUMMYFUNCTION("""COMPUTED_VALUE"""),"B")</f>
        <v>B</v>
      </c>
      <c r="E369" s="80" t="str">
        <f ca="1">IFERROR(__xludf.DUMMYFUNCTION("""COMPUTED_VALUE"""),"I")</f>
        <v>I</v>
      </c>
      <c r="F369" s="80" t="str">
        <f ca="1">IFERROR(__xludf.DUMMYFUNCTION("""COMPUTED_VALUE"""),"S")</f>
        <v>S</v>
      </c>
      <c r="G369" s="80">
        <f ca="1">IFERROR(__xludf.DUMMYFUNCTION("""COMPUTED_VALUE"""),4)</f>
        <v>4</v>
      </c>
      <c r="H369" s="80" t="str">
        <f ca="1">IFERROR(__xludf.DUMMYFUNCTION("""COMPUTED_VALUE"""),"DH")</f>
        <v>DH</v>
      </c>
      <c r="I369" s="80">
        <f ca="1">IFERROR(__xludf.DUMMYFUNCTION("""COMPUTED_VALUE"""),7)</f>
        <v>7</v>
      </c>
      <c r="J369" s="81">
        <f ca="1">IFERROR(__xludf.DUMMYFUNCTION("""COMPUTED_VALUE"""),2)</f>
        <v>2</v>
      </c>
      <c r="K369" s="81">
        <f ca="1">IFERROR(__xludf.DUMMYFUNCTION("""COMPUTED_VALUE"""),154.75)</f>
        <v>154.75</v>
      </c>
      <c r="L369" s="81">
        <f ca="1">IFERROR(__xludf.DUMMYFUNCTION("""COMPUTED_VALUE"""),154.75)</f>
        <v>154.75</v>
      </c>
      <c r="M369" s="81"/>
      <c r="N369" s="81">
        <f ca="1">IFERROR(__xludf.DUMMYFUNCTION("""COMPUTED_VALUE"""),0)</f>
        <v>0</v>
      </c>
      <c r="O369" s="81"/>
      <c r="P369" s="81">
        <f ca="1">IFERROR(__xludf.DUMMYFUNCTION("""COMPUTED_VALUE"""),0)</f>
        <v>0</v>
      </c>
      <c r="Q369" s="81"/>
      <c r="R369" s="81">
        <f ca="1">IFERROR(__xludf.DUMMYFUNCTION("""COMPUTED_VALUE"""),-166.9)</f>
        <v>-166.9</v>
      </c>
      <c r="S369" s="81"/>
      <c r="T369" s="81"/>
      <c r="U369" s="82"/>
      <c r="V369" s="82"/>
      <c r="W369" s="83"/>
      <c r="X369" s="83"/>
      <c r="Y369" s="83"/>
    </row>
    <row r="370" spans="1:25" ht="13.8">
      <c r="A370" s="78" t="str">
        <f ca="1">IFERROR(__xludf.DUMMYFUNCTION("""COMPUTED_VALUE"""),"DH")</f>
        <v>DH</v>
      </c>
      <c r="B370" s="79" t="str">
        <f ca="1">IFERROR(__xludf.DUMMYFUNCTION("""COMPUTED_VALUE"""),"Kian McMahon")</f>
        <v>Kian McMahon</v>
      </c>
      <c r="C370" s="78">
        <f ca="1">IFERROR(__xludf.DUMMYFUNCTION("""COMPUTED_VALUE"""),14)</f>
        <v>14</v>
      </c>
      <c r="D370" s="78" t="str">
        <f ca="1">IFERROR(__xludf.DUMMYFUNCTION("""COMPUTED_VALUE"""),"B")</f>
        <v>B</v>
      </c>
      <c r="E370" s="80" t="str">
        <f ca="1">IFERROR(__xludf.DUMMYFUNCTION("""COMPUTED_VALUE"""),"I")</f>
        <v>I</v>
      </c>
      <c r="F370" s="80" t="str">
        <f ca="1">IFERROR(__xludf.DUMMYFUNCTION("""COMPUTED_VALUE"""),"S")</f>
        <v>S</v>
      </c>
      <c r="G370" s="80">
        <f ca="1">IFERROR(__xludf.DUMMYFUNCTION("""COMPUTED_VALUE"""),4)</f>
        <v>4</v>
      </c>
      <c r="H370" s="80" t="str">
        <f ca="1">IFERROR(__xludf.DUMMYFUNCTION("""COMPUTED_VALUE"""),"DH")</f>
        <v>DH</v>
      </c>
      <c r="I370" s="80">
        <f ca="1">IFERROR(__xludf.DUMMYFUNCTION("""COMPUTED_VALUE"""),7)</f>
        <v>7</v>
      </c>
      <c r="J370" s="81">
        <f ca="1">IFERROR(__xludf.DUMMYFUNCTION("""COMPUTED_VALUE"""),2)</f>
        <v>2</v>
      </c>
      <c r="K370" s="81">
        <f ca="1">IFERROR(__xludf.DUMMYFUNCTION("""COMPUTED_VALUE"""),98.35)</f>
        <v>98.35</v>
      </c>
      <c r="L370" s="81">
        <f ca="1">IFERROR(__xludf.DUMMYFUNCTION("""COMPUTED_VALUE"""),0)</f>
        <v>0</v>
      </c>
      <c r="M370" s="81"/>
      <c r="N370" s="81">
        <f ca="1">IFERROR(__xludf.DUMMYFUNCTION("""COMPUTED_VALUE"""),88.2)</f>
        <v>88.2</v>
      </c>
      <c r="O370" s="81"/>
      <c r="P370" s="81">
        <f ca="1">IFERROR(__xludf.DUMMYFUNCTION("""COMPUTED_VALUE"""),0)</f>
        <v>0</v>
      </c>
      <c r="Q370" s="81"/>
      <c r="R370" s="81">
        <f ca="1">IFERROR(__xludf.DUMMYFUNCTION("""COMPUTED_VALUE"""),98.35)</f>
        <v>98.35</v>
      </c>
      <c r="S370" s="81"/>
      <c r="T370" s="81"/>
      <c r="U370" s="82"/>
      <c r="V370" s="82"/>
      <c r="W370" s="83"/>
      <c r="X370" s="83"/>
      <c r="Y370" s="83"/>
    </row>
    <row r="371" spans="1:25" ht="13.8">
      <c r="A371" s="78" t="str">
        <f ca="1">IFERROR(__xludf.DUMMYFUNCTION("""COMPUTED_VALUE"""),"DH")</f>
        <v>DH</v>
      </c>
      <c r="B371" s="79" t="str">
        <f ca="1">IFERROR(__xludf.DUMMYFUNCTION("""COMPUTED_VALUE"""),"Gavin Simpson")</f>
        <v>Gavin Simpson</v>
      </c>
      <c r="C371" s="78">
        <f ca="1">IFERROR(__xludf.DUMMYFUNCTION("""COMPUTED_VALUE"""),14)</f>
        <v>14</v>
      </c>
      <c r="D371" s="78" t="str">
        <f ca="1">IFERROR(__xludf.DUMMYFUNCTION("""COMPUTED_VALUE"""),"B")</f>
        <v>B</v>
      </c>
      <c r="E371" s="80" t="str">
        <f ca="1">IFERROR(__xludf.DUMMYFUNCTION("""COMPUTED_VALUE"""),"I")</f>
        <v>I</v>
      </c>
      <c r="F371" s="80" t="str">
        <f ca="1">IFERROR(__xludf.DUMMYFUNCTION("""COMPUTED_VALUE"""),"S")</f>
        <v>S</v>
      </c>
      <c r="G371" s="80">
        <f ca="1">IFERROR(__xludf.DUMMYFUNCTION("""COMPUTED_VALUE"""),4)</f>
        <v>4</v>
      </c>
      <c r="H371" s="80" t="str">
        <f ca="1">IFERROR(__xludf.DUMMYFUNCTION("""COMPUTED_VALUE"""),"DH")</f>
        <v>DH</v>
      </c>
      <c r="I371" s="80">
        <f ca="1">IFERROR(__xludf.DUMMYFUNCTION("""COMPUTED_VALUE"""),7)</f>
        <v>7</v>
      </c>
      <c r="J371" s="81">
        <f ca="1">IFERROR(__xludf.DUMMYFUNCTION("""COMPUTED_VALUE"""),1)</f>
        <v>1</v>
      </c>
      <c r="K371" s="81">
        <f ca="1">IFERROR(__xludf.DUMMYFUNCTION("""COMPUTED_VALUE"""),124.6)</f>
        <v>124.6</v>
      </c>
      <c r="L371" s="81">
        <f ca="1">IFERROR(__xludf.DUMMYFUNCTION("""COMPUTED_VALUE"""),0)</f>
        <v>0</v>
      </c>
      <c r="M371" s="81"/>
      <c r="N371" s="81">
        <f ca="1">IFERROR(__xludf.DUMMYFUNCTION("""COMPUTED_VALUE"""),0)</f>
        <v>0</v>
      </c>
      <c r="O371" s="81"/>
      <c r="P371" s="81">
        <f ca="1">IFERROR(__xludf.DUMMYFUNCTION("""COMPUTED_VALUE"""),124.6)</f>
        <v>124.6</v>
      </c>
      <c r="Q371" s="81"/>
      <c r="R371" s="81">
        <f ca="1">IFERROR(__xludf.DUMMYFUNCTION("""COMPUTED_VALUE"""),0)</f>
        <v>0</v>
      </c>
      <c r="S371" s="81"/>
      <c r="T371" s="81"/>
      <c r="U371" s="82"/>
      <c r="V371" s="82"/>
      <c r="W371" s="83"/>
      <c r="X371" s="83"/>
      <c r="Y371" s="83"/>
    </row>
    <row r="372" spans="1:25" ht="13.8">
      <c r="A372" s="78" t="str">
        <f ca="1">IFERROR(__xludf.DUMMYFUNCTION("""COMPUTED_VALUE"""),"DH")</f>
        <v>DH</v>
      </c>
      <c r="B372" s="79" t="str">
        <f ca="1">IFERROR(__xludf.DUMMYFUNCTION("""COMPUTED_VALUE"""),"Sandis Walker")</f>
        <v>Sandis Walker</v>
      </c>
      <c r="C372" s="78">
        <f ca="1">IFERROR(__xludf.DUMMYFUNCTION("""COMPUTED_VALUE"""),13)</f>
        <v>13</v>
      </c>
      <c r="D372" s="78" t="str">
        <f ca="1">IFERROR(__xludf.DUMMYFUNCTION("""COMPUTED_VALUE"""),"B")</f>
        <v>B</v>
      </c>
      <c r="E372" s="80" t="str">
        <f ca="1">IFERROR(__xludf.DUMMYFUNCTION("""COMPUTED_VALUE"""),"I")</f>
        <v>I</v>
      </c>
      <c r="F372" s="80" t="str">
        <f ca="1">IFERROR(__xludf.DUMMYFUNCTION("""COMPUTED_VALUE"""),"S")</f>
        <v>S</v>
      </c>
      <c r="G372" s="80">
        <f ca="1">IFERROR(__xludf.DUMMYFUNCTION("""COMPUTED_VALUE"""),4)</f>
        <v>4</v>
      </c>
      <c r="H372" s="80" t="str">
        <f ca="1">IFERROR(__xludf.DUMMYFUNCTION("""COMPUTED_VALUE"""),"DH")</f>
        <v>DH</v>
      </c>
      <c r="I372" s="80">
        <f ca="1">IFERROR(__xludf.DUMMYFUNCTION("""COMPUTED_VALUE"""),7)</f>
        <v>7</v>
      </c>
      <c r="J372" s="81">
        <f ca="1">IFERROR(__xludf.DUMMYFUNCTION("""COMPUTED_VALUE"""),3)</f>
        <v>3</v>
      </c>
      <c r="K372" s="81">
        <f ca="1">IFERROR(__xludf.DUMMYFUNCTION("""COMPUTED_VALUE"""),74.2)</f>
        <v>74.2</v>
      </c>
      <c r="L372" s="81">
        <f ca="1">IFERROR(__xludf.DUMMYFUNCTION("""COMPUTED_VALUE"""),72.15)</f>
        <v>72.150000000000006</v>
      </c>
      <c r="M372" s="81"/>
      <c r="N372" s="81">
        <f ca="1">IFERROR(__xludf.DUMMYFUNCTION("""COMPUTED_VALUE"""),0)</f>
        <v>0</v>
      </c>
      <c r="O372" s="81"/>
      <c r="P372" s="81">
        <f ca="1">IFERROR(__xludf.DUMMYFUNCTION("""COMPUTED_VALUE"""),74.2)</f>
        <v>74.2</v>
      </c>
      <c r="Q372" s="81"/>
      <c r="R372" s="81">
        <f ca="1">IFERROR(__xludf.DUMMYFUNCTION("""COMPUTED_VALUE"""),0)</f>
        <v>0</v>
      </c>
      <c r="S372" s="81"/>
      <c r="T372" s="81"/>
      <c r="U372" s="82"/>
      <c r="V372" s="82"/>
      <c r="W372" s="83"/>
      <c r="X372" s="83"/>
      <c r="Y372" s="83"/>
    </row>
    <row r="373" spans="1:25" ht="13.8">
      <c r="A373" s="78" t="str">
        <f ca="1">IFERROR(__xludf.DUMMYFUNCTION("""COMPUTED_VALUE"""),"DH")</f>
        <v>DH</v>
      </c>
      <c r="B373" s="79" t="str">
        <f ca="1">IFERROR(__xludf.DUMMYFUNCTION("""COMPUTED_VALUE"""),"Dakota Bannach")</f>
        <v>Dakota Bannach</v>
      </c>
      <c r="C373" s="78">
        <f ca="1">IFERROR(__xludf.DUMMYFUNCTION("""COMPUTED_VALUE"""),15)</f>
        <v>15</v>
      </c>
      <c r="D373" s="78" t="str">
        <f ca="1">IFERROR(__xludf.DUMMYFUNCTION("""COMPUTED_VALUE"""),"G")</f>
        <v>G</v>
      </c>
      <c r="E373" s="80" t="str">
        <f ca="1">IFERROR(__xludf.DUMMYFUNCTION("""COMPUTED_VALUE"""),"S")</f>
        <v>S</v>
      </c>
      <c r="F373" s="80" t="str">
        <f ca="1">IFERROR(__xludf.DUMMYFUNCTION("""COMPUTED_VALUE"""),"S")</f>
        <v>S</v>
      </c>
      <c r="G373" s="80">
        <f ca="1">IFERROR(__xludf.DUMMYFUNCTION("""COMPUTED_VALUE"""),4)</f>
        <v>4</v>
      </c>
      <c r="H373" s="80" t="str">
        <f ca="1">IFERROR(__xludf.DUMMYFUNCTION("""COMPUTED_VALUE"""),"DH")</f>
        <v>DH</v>
      </c>
      <c r="I373" s="80">
        <f ca="1">IFERROR(__xludf.DUMMYFUNCTION("""COMPUTED_VALUE"""),8)</f>
        <v>8</v>
      </c>
      <c r="J373" s="81">
        <f ca="1">IFERROR(__xludf.DUMMYFUNCTION("""COMPUTED_VALUE"""),4)</f>
        <v>4</v>
      </c>
      <c r="K373" s="81">
        <f ca="1">IFERROR(__xludf.DUMMYFUNCTION("""COMPUTED_VALUE"""),134.75)</f>
        <v>134.75</v>
      </c>
      <c r="L373" s="81">
        <f ca="1">IFERROR(__xludf.DUMMYFUNCTION("""COMPUTED_VALUE"""),134.75)</f>
        <v>134.75</v>
      </c>
      <c r="M373" s="81"/>
      <c r="N373" s="81">
        <f ca="1">IFERROR(__xludf.DUMMYFUNCTION("""COMPUTED_VALUE"""),0)</f>
        <v>0</v>
      </c>
      <c r="O373" s="81"/>
      <c r="P373" s="81">
        <f ca="1">IFERROR(__xludf.DUMMYFUNCTION("""COMPUTED_VALUE"""),111.35)</f>
        <v>111.35</v>
      </c>
      <c r="Q373" s="81"/>
      <c r="R373" s="81">
        <f ca="1">IFERROR(__xludf.DUMMYFUNCTION("""COMPUTED_VALUE"""),121.25)</f>
        <v>121.25</v>
      </c>
      <c r="S373" s="81"/>
      <c r="T373" s="81"/>
      <c r="U373" s="82"/>
      <c r="V373" s="82"/>
      <c r="W373" s="83"/>
      <c r="X373" s="83"/>
      <c r="Y373" s="83"/>
    </row>
    <row r="374" spans="1:25" ht="13.8">
      <c r="A374" s="78" t="str">
        <f ca="1">IFERROR(__xludf.DUMMYFUNCTION("""COMPUTED_VALUE"""),"DH")</f>
        <v>DH</v>
      </c>
      <c r="B374" s="79" t="str">
        <f ca="1">IFERROR(__xludf.DUMMYFUNCTION("""COMPUTED_VALUE"""),"Grace Dennis")</f>
        <v>Grace Dennis</v>
      </c>
      <c r="C374" s="78">
        <f ca="1">IFERROR(__xludf.DUMMYFUNCTION("""COMPUTED_VALUE"""),17)</f>
        <v>17</v>
      </c>
      <c r="D374" s="78" t="str">
        <f ca="1">IFERROR(__xludf.DUMMYFUNCTION("""COMPUTED_VALUE"""),"G")</f>
        <v>G</v>
      </c>
      <c r="E374" s="80" t="str">
        <f ca="1">IFERROR(__xludf.DUMMYFUNCTION("""COMPUTED_VALUE"""),"S")</f>
        <v>S</v>
      </c>
      <c r="F374" s="80" t="str">
        <f ca="1">IFERROR(__xludf.DUMMYFUNCTION("""COMPUTED_VALUE"""),"S")</f>
        <v>S</v>
      </c>
      <c r="G374" s="80">
        <f ca="1">IFERROR(__xludf.DUMMYFUNCTION("""COMPUTED_VALUE"""),4)</f>
        <v>4</v>
      </c>
      <c r="H374" s="80" t="str">
        <f ca="1">IFERROR(__xludf.DUMMYFUNCTION("""COMPUTED_VALUE"""),"DH")</f>
        <v>DH</v>
      </c>
      <c r="I374" s="80">
        <f ca="1">IFERROR(__xludf.DUMMYFUNCTION("""COMPUTED_VALUE"""),8)</f>
        <v>8</v>
      </c>
      <c r="J374" s="81">
        <f ca="1">IFERROR(__xludf.DUMMYFUNCTION("""COMPUTED_VALUE"""),0)</f>
        <v>0</v>
      </c>
      <c r="K374" s="81">
        <f ca="1">IFERROR(__xludf.DUMMYFUNCTION("""COMPUTED_VALUE"""),0)</f>
        <v>0</v>
      </c>
      <c r="L374" s="81">
        <f ca="1">IFERROR(__xludf.DUMMYFUNCTION("""COMPUTED_VALUE"""),0)</f>
        <v>0</v>
      </c>
      <c r="M374" s="81"/>
      <c r="N374" s="81">
        <f ca="1">IFERROR(__xludf.DUMMYFUNCTION("""COMPUTED_VALUE"""),0)</f>
        <v>0</v>
      </c>
      <c r="O374" s="81"/>
      <c r="P374" s="81">
        <f ca="1">IFERROR(__xludf.DUMMYFUNCTION("""COMPUTED_VALUE"""),0)</f>
        <v>0</v>
      </c>
      <c r="Q374" s="81"/>
      <c r="R374" s="81">
        <f ca="1">IFERROR(__xludf.DUMMYFUNCTION("""COMPUTED_VALUE"""),0)</f>
        <v>0</v>
      </c>
      <c r="S374" s="81"/>
      <c r="T374" s="81"/>
      <c r="U374" s="82"/>
      <c r="V374" s="82"/>
      <c r="W374" s="83"/>
      <c r="X374" s="83"/>
      <c r="Y374" s="83"/>
    </row>
    <row r="375" spans="1:25" ht="13.8">
      <c r="A375" s="78" t="str">
        <f ca="1">IFERROR(__xludf.DUMMYFUNCTION("""COMPUTED_VALUE"""),"DH")</f>
        <v>DH</v>
      </c>
      <c r="B375" s="79" t="str">
        <f ca="1">IFERROR(__xludf.DUMMYFUNCTION("""COMPUTED_VALUE"""),"Ellie Joyce")</f>
        <v>Ellie Joyce</v>
      </c>
      <c r="C375" s="78">
        <f ca="1">IFERROR(__xludf.DUMMYFUNCTION("""COMPUTED_VALUE"""),15)</f>
        <v>15</v>
      </c>
      <c r="D375" s="78" t="str">
        <f ca="1">IFERROR(__xludf.DUMMYFUNCTION("""COMPUTED_VALUE"""),"G")</f>
        <v>G</v>
      </c>
      <c r="E375" s="80" t="str">
        <f ca="1">IFERROR(__xludf.DUMMYFUNCTION("""COMPUTED_VALUE"""),"S")</f>
        <v>S</v>
      </c>
      <c r="F375" s="80" t="str">
        <f ca="1">IFERROR(__xludf.DUMMYFUNCTION("""COMPUTED_VALUE"""),"S")</f>
        <v>S</v>
      </c>
      <c r="G375" s="80">
        <f ca="1">IFERROR(__xludf.DUMMYFUNCTION("""COMPUTED_VALUE"""),4)</f>
        <v>4</v>
      </c>
      <c r="H375" s="80" t="str">
        <f ca="1">IFERROR(__xludf.DUMMYFUNCTION("""COMPUTED_VALUE"""),"DH")</f>
        <v>DH</v>
      </c>
      <c r="I375" s="80">
        <f ca="1">IFERROR(__xludf.DUMMYFUNCTION("""COMPUTED_VALUE"""),8)</f>
        <v>8</v>
      </c>
      <c r="J375" s="81">
        <f ca="1">IFERROR(__xludf.DUMMYFUNCTION("""COMPUTED_VALUE"""),4)</f>
        <v>4</v>
      </c>
      <c r="K375" s="81">
        <f ca="1">IFERROR(__xludf.DUMMYFUNCTION("""COMPUTED_VALUE"""),254.9)</f>
        <v>254.9</v>
      </c>
      <c r="L375" s="81">
        <f ca="1">IFERROR(__xludf.DUMMYFUNCTION("""COMPUTED_VALUE"""),254.9)</f>
        <v>254.9</v>
      </c>
      <c r="M375" s="81"/>
      <c r="N375" s="81">
        <f ca="1">IFERROR(__xludf.DUMMYFUNCTION("""COMPUTED_VALUE"""),0)</f>
        <v>0</v>
      </c>
      <c r="O375" s="81"/>
      <c r="P375" s="81">
        <f ca="1">IFERROR(__xludf.DUMMYFUNCTION("""COMPUTED_VALUE"""),235.3)</f>
        <v>235.3</v>
      </c>
      <c r="Q375" s="81"/>
      <c r="R375" s="81">
        <f ca="1">IFERROR(__xludf.DUMMYFUNCTION("""COMPUTED_VALUE"""),253.3)</f>
        <v>253.3</v>
      </c>
      <c r="S375" s="81"/>
      <c r="T375" s="81"/>
      <c r="U375" s="82"/>
      <c r="V375" s="82"/>
      <c r="W375" s="83"/>
      <c r="X375" s="83"/>
      <c r="Y375" s="83"/>
    </row>
    <row r="376" spans="1:25" ht="13.8">
      <c r="A376" s="78" t="str">
        <f ca="1">IFERROR(__xludf.DUMMYFUNCTION("""COMPUTED_VALUE"""),"DH")</f>
        <v>DH</v>
      </c>
      <c r="B376" s="79" t="str">
        <f ca="1">IFERROR(__xludf.DUMMYFUNCTION("""COMPUTED_VALUE"""),"Morgan Leathwood")</f>
        <v>Morgan Leathwood</v>
      </c>
      <c r="C376" s="78">
        <f ca="1">IFERROR(__xludf.DUMMYFUNCTION("""COMPUTED_VALUE"""),15)</f>
        <v>15</v>
      </c>
      <c r="D376" s="78" t="str">
        <f ca="1">IFERROR(__xludf.DUMMYFUNCTION("""COMPUTED_VALUE"""),"G")</f>
        <v>G</v>
      </c>
      <c r="E376" s="80" t="str">
        <f ca="1">IFERROR(__xludf.DUMMYFUNCTION("""COMPUTED_VALUE"""),"S")</f>
        <v>S</v>
      </c>
      <c r="F376" s="80" t="str">
        <f ca="1">IFERROR(__xludf.DUMMYFUNCTION("""COMPUTED_VALUE"""),"S")</f>
        <v>S</v>
      </c>
      <c r="G376" s="80">
        <f ca="1">IFERROR(__xludf.DUMMYFUNCTION("""COMPUTED_VALUE"""),4)</f>
        <v>4</v>
      </c>
      <c r="H376" s="80" t="str">
        <f ca="1">IFERROR(__xludf.DUMMYFUNCTION("""COMPUTED_VALUE"""),"DH")</f>
        <v>DH</v>
      </c>
      <c r="I376" s="80">
        <f ca="1">IFERROR(__xludf.DUMMYFUNCTION("""COMPUTED_VALUE"""),8)</f>
        <v>8</v>
      </c>
      <c r="J376" s="81">
        <f ca="1">IFERROR(__xludf.DUMMYFUNCTION("""COMPUTED_VALUE"""),1)</f>
        <v>1</v>
      </c>
      <c r="K376" s="81">
        <f ca="1">IFERROR(__xludf.DUMMYFUNCTION("""COMPUTED_VALUE"""),89.1)</f>
        <v>89.1</v>
      </c>
      <c r="L376" s="81">
        <f ca="1">IFERROR(__xludf.DUMMYFUNCTION("""COMPUTED_VALUE"""),0)</f>
        <v>0</v>
      </c>
      <c r="M376" s="81"/>
      <c r="N376" s="81">
        <f ca="1">IFERROR(__xludf.DUMMYFUNCTION("""COMPUTED_VALUE"""),89.1)</f>
        <v>89.1</v>
      </c>
      <c r="O376" s="81"/>
      <c r="P376" s="81">
        <f ca="1">IFERROR(__xludf.DUMMYFUNCTION("""COMPUTED_VALUE"""),0)</f>
        <v>0</v>
      </c>
      <c r="Q376" s="81"/>
      <c r="R376" s="81">
        <f ca="1">IFERROR(__xludf.DUMMYFUNCTION("""COMPUTED_VALUE"""),0)</f>
        <v>0</v>
      </c>
      <c r="S376" s="81"/>
      <c r="T376" s="81"/>
      <c r="U376" s="82"/>
      <c r="V376" s="82"/>
      <c r="W376" s="83"/>
      <c r="X376" s="83"/>
      <c r="Y376" s="83"/>
    </row>
    <row r="377" spans="1:25" ht="13.8">
      <c r="A377" s="78" t="str">
        <f ca="1">IFERROR(__xludf.DUMMYFUNCTION("""COMPUTED_VALUE"""),"DH")</f>
        <v>DH</v>
      </c>
      <c r="B377" s="79" t="str">
        <f ca="1">IFERROR(__xludf.DUMMYFUNCTION("""COMPUTED_VALUE"""),"Sarah Low")</f>
        <v>Sarah Low</v>
      </c>
      <c r="C377" s="78">
        <f ca="1">IFERROR(__xludf.DUMMYFUNCTION("""COMPUTED_VALUE"""),17)</f>
        <v>17</v>
      </c>
      <c r="D377" s="78" t="str">
        <f ca="1">IFERROR(__xludf.DUMMYFUNCTION("""COMPUTED_VALUE"""),"G")</f>
        <v>G</v>
      </c>
      <c r="E377" s="80" t="str">
        <f ca="1">IFERROR(__xludf.DUMMYFUNCTION("""COMPUTED_VALUE"""),"S")</f>
        <v>S</v>
      </c>
      <c r="F377" s="80" t="str">
        <f ca="1">IFERROR(__xludf.DUMMYFUNCTION("""COMPUTED_VALUE"""),"S")</f>
        <v>S</v>
      </c>
      <c r="G377" s="80">
        <f ca="1">IFERROR(__xludf.DUMMYFUNCTION("""COMPUTED_VALUE"""),4)</f>
        <v>4</v>
      </c>
      <c r="H377" s="80" t="str">
        <f ca="1">IFERROR(__xludf.DUMMYFUNCTION("""COMPUTED_VALUE"""),"DH")</f>
        <v>DH</v>
      </c>
      <c r="I377" s="80">
        <f ca="1">IFERROR(__xludf.DUMMYFUNCTION("""COMPUTED_VALUE"""),8)</f>
        <v>8</v>
      </c>
      <c r="J377" s="81">
        <f ca="1">IFERROR(__xludf.DUMMYFUNCTION("""COMPUTED_VALUE"""),0)</f>
        <v>0</v>
      </c>
      <c r="K377" s="81">
        <f ca="1">IFERROR(__xludf.DUMMYFUNCTION("""COMPUTED_VALUE"""),0)</f>
        <v>0</v>
      </c>
      <c r="L377" s="81">
        <f ca="1">IFERROR(__xludf.DUMMYFUNCTION("""COMPUTED_VALUE"""),0)</f>
        <v>0</v>
      </c>
      <c r="M377" s="81"/>
      <c r="N377" s="81">
        <f ca="1">IFERROR(__xludf.DUMMYFUNCTION("""COMPUTED_VALUE"""),0)</f>
        <v>0</v>
      </c>
      <c r="O377" s="81"/>
      <c r="P377" s="81">
        <f ca="1">IFERROR(__xludf.DUMMYFUNCTION("""COMPUTED_VALUE"""),0)</f>
        <v>0</v>
      </c>
      <c r="Q377" s="81"/>
      <c r="R377" s="81">
        <f ca="1">IFERROR(__xludf.DUMMYFUNCTION("""COMPUTED_VALUE"""),0)</f>
        <v>0</v>
      </c>
      <c r="S377" s="81"/>
      <c r="T377" s="81"/>
      <c r="U377" s="82"/>
      <c r="V377" s="82"/>
      <c r="W377" s="83"/>
      <c r="X377" s="83"/>
      <c r="Y377" s="83"/>
    </row>
    <row r="378" spans="1:25" ht="13.8">
      <c r="A378" s="78" t="str">
        <f ca="1">IFERROR(__xludf.DUMMYFUNCTION("""COMPUTED_VALUE"""),"DH")</f>
        <v>DH</v>
      </c>
      <c r="B378" s="79" t="str">
        <f ca="1">IFERROR(__xludf.DUMMYFUNCTION("""COMPUTED_VALUE"""),"Ellie Potts")</f>
        <v>Ellie Potts</v>
      </c>
      <c r="C378" s="78">
        <f ca="1">IFERROR(__xludf.DUMMYFUNCTION("""COMPUTED_VALUE"""),16)</f>
        <v>16</v>
      </c>
      <c r="D378" s="78" t="str">
        <f ca="1">IFERROR(__xludf.DUMMYFUNCTION("""COMPUTED_VALUE"""),"G")</f>
        <v>G</v>
      </c>
      <c r="E378" s="80" t="str">
        <f ca="1">IFERROR(__xludf.DUMMYFUNCTION("""COMPUTED_VALUE"""),"S")</f>
        <v>S</v>
      </c>
      <c r="F378" s="80" t="str">
        <f ca="1">IFERROR(__xludf.DUMMYFUNCTION("""COMPUTED_VALUE"""),"S")</f>
        <v>S</v>
      </c>
      <c r="G378" s="80">
        <f ca="1">IFERROR(__xludf.DUMMYFUNCTION("""COMPUTED_VALUE"""),4)</f>
        <v>4</v>
      </c>
      <c r="H378" s="80" t="str">
        <f ca="1">IFERROR(__xludf.DUMMYFUNCTION("""COMPUTED_VALUE"""),"DH")</f>
        <v>DH</v>
      </c>
      <c r="I378" s="80">
        <f ca="1">IFERROR(__xludf.DUMMYFUNCTION("""COMPUTED_VALUE"""),8)</f>
        <v>8</v>
      </c>
      <c r="J378" s="81">
        <f ca="1">IFERROR(__xludf.DUMMYFUNCTION("""COMPUTED_VALUE"""),5)</f>
        <v>5</v>
      </c>
      <c r="K378" s="81">
        <f ca="1">IFERROR(__xludf.DUMMYFUNCTION("""COMPUTED_VALUE"""),141.05)</f>
        <v>141.05000000000001</v>
      </c>
      <c r="L378" s="81">
        <f ca="1">IFERROR(__xludf.DUMMYFUNCTION("""COMPUTED_VALUE"""),141.05)</f>
        <v>141.05000000000001</v>
      </c>
      <c r="M378" s="81"/>
      <c r="N378" s="81">
        <f ca="1">IFERROR(__xludf.DUMMYFUNCTION("""COMPUTED_VALUE"""),131.85)</f>
        <v>131.85</v>
      </c>
      <c r="O378" s="81"/>
      <c r="P378" s="81">
        <f ca="1">IFERROR(__xludf.DUMMYFUNCTION("""COMPUTED_VALUE"""),115.8)</f>
        <v>115.8</v>
      </c>
      <c r="Q378" s="81"/>
      <c r="R378" s="81">
        <f ca="1">IFERROR(__xludf.DUMMYFUNCTION("""COMPUTED_VALUE"""),136.85)</f>
        <v>136.85</v>
      </c>
      <c r="S378" s="81"/>
      <c r="T378" s="81"/>
      <c r="U378" s="82"/>
      <c r="V378" s="82"/>
      <c r="W378" s="83"/>
      <c r="X378" s="83"/>
      <c r="Y378" s="83"/>
    </row>
    <row r="379" spans="1:25" ht="13.8">
      <c r="A379" s="78" t="str">
        <f ca="1">IFERROR(__xludf.DUMMYFUNCTION("""COMPUTED_VALUE"""),"DH")</f>
        <v>DH</v>
      </c>
      <c r="B379" s="79" t="str">
        <f ca="1">IFERROR(__xludf.DUMMYFUNCTION("""COMPUTED_VALUE"""),"Amelia Rizzo")</f>
        <v>Amelia Rizzo</v>
      </c>
      <c r="C379" s="78">
        <f ca="1">IFERROR(__xludf.DUMMYFUNCTION("""COMPUTED_VALUE"""),15)</f>
        <v>15</v>
      </c>
      <c r="D379" s="78" t="str">
        <f ca="1">IFERROR(__xludf.DUMMYFUNCTION("""COMPUTED_VALUE"""),"G")</f>
        <v>G</v>
      </c>
      <c r="E379" s="80" t="str">
        <f ca="1">IFERROR(__xludf.DUMMYFUNCTION("""COMPUTED_VALUE"""),"S")</f>
        <v>S</v>
      </c>
      <c r="F379" s="80" t="str">
        <f ca="1">IFERROR(__xludf.DUMMYFUNCTION("""COMPUTED_VALUE"""),"S")</f>
        <v>S</v>
      </c>
      <c r="G379" s="80">
        <f ca="1">IFERROR(__xludf.DUMMYFUNCTION("""COMPUTED_VALUE"""),4)</f>
        <v>4</v>
      </c>
      <c r="H379" s="80" t="str">
        <f ca="1">IFERROR(__xludf.DUMMYFUNCTION("""COMPUTED_VALUE"""),"DH")</f>
        <v>DH</v>
      </c>
      <c r="I379" s="80">
        <f ca="1">IFERROR(__xludf.DUMMYFUNCTION("""COMPUTED_VALUE"""),8)</f>
        <v>8</v>
      </c>
      <c r="J379" s="81">
        <f ca="1">IFERROR(__xludf.DUMMYFUNCTION("""COMPUTED_VALUE"""),0)</f>
        <v>0</v>
      </c>
      <c r="K379" s="81">
        <f ca="1">IFERROR(__xludf.DUMMYFUNCTION("""COMPUTED_VALUE"""),0)</f>
        <v>0</v>
      </c>
      <c r="L379" s="81">
        <f ca="1">IFERROR(__xludf.DUMMYFUNCTION("""COMPUTED_VALUE"""),0)</f>
        <v>0</v>
      </c>
      <c r="M379" s="81"/>
      <c r="N379" s="81">
        <f ca="1">IFERROR(__xludf.DUMMYFUNCTION("""COMPUTED_VALUE"""),0)</f>
        <v>0</v>
      </c>
      <c r="O379" s="81"/>
      <c r="P379" s="81">
        <f ca="1">IFERROR(__xludf.DUMMYFUNCTION("""COMPUTED_VALUE"""),0)</f>
        <v>0</v>
      </c>
      <c r="Q379" s="81"/>
      <c r="R379" s="81">
        <f ca="1">IFERROR(__xludf.DUMMYFUNCTION("""COMPUTED_VALUE"""),0)</f>
        <v>0</v>
      </c>
      <c r="S379" s="81"/>
      <c r="T379" s="81"/>
      <c r="U379" s="82"/>
      <c r="V379" s="82"/>
      <c r="W379" s="83"/>
      <c r="X379" s="83"/>
      <c r="Y379" s="83"/>
    </row>
    <row r="380" spans="1:25" ht="13.8">
      <c r="A380" s="78" t="str">
        <f ca="1">IFERROR(__xludf.DUMMYFUNCTION("""COMPUTED_VALUE"""),"DH")</f>
        <v>DH</v>
      </c>
      <c r="B380" s="79" t="str">
        <f ca="1">IFERROR(__xludf.DUMMYFUNCTION("""COMPUTED_VALUE"""),"Riley Shelton")</f>
        <v>Riley Shelton</v>
      </c>
      <c r="C380" s="78">
        <f ca="1">IFERROR(__xludf.DUMMYFUNCTION("""COMPUTED_VALUE"""),16)</f>
        <v>16</v>
      </c>
      <c r="D380" s="78" t="str">
        <f ca="1">IFERROR(__xludf.DUMMYFUNCTION("""COMPUTED_VALUE"""),"G")</f>
        <v>G</v>
      </c>
      <c r="E380" s="80" t="str">
        <f ca="1">IFERROR(__xludf.DUMMYFUNCTION("""COMPUTED_VALUE"""),"S")</f>
        <v>S</v>
      </c>
      <c r="F380" s="80" t="str">
        <f ca="1">IFERROR(__xludf.DUMMYFUNCTION("""COMPUTED_VALUE"""),"S")</f>
        <v>S</v>
      </c>
      <c r="G380" s="80">
        <f ca="1">IFERROR(__xludf.DUMMYFUNCTION("""COMPUTED_VALUE"""),4)</f>
        <v>4</v>
      </c>
      <c r="H380" s="80" t="str">
        <f ca="1">IFERROR(__xludf.DUMMYFUNCTION("""COMPUTED_VALUE"""),"DH")</f>
        <v>DH</v>
      </c>
      <c r="I380" s="80">
        <f ca="1">IFERROR(__xludf.DUMMYFUNCTION("""COMPUTED_VALUE"""),8)</f>
        <v>8</v>
      </c>
      <c r="J380" s="81">
        <f ca="1">IFERROR(__xludf.DUMMYFUNCTION("""COMPUTED_VALUE"""),4)</f>
        <v>4</v>
      </c>
      <c r="K380" s="81">
        <f ca="1">IFERROR(__xludf.DUMMYFUNCTION("""COMPUTED_VALUE"""),140.4)</f>
        <v>140.4</v>
      </c>
      <c r="L380" s="81">
        <f ca="1">IFERROR(__xludf.DUMMYFUNCTION("""COMPUTED_VALUE"""),0)</f>
        <v>0</v>
      </c>
      <c r="M380" s="81"/>
      <c r="N380" s="81">
        <f ca="1">IFERROR(__xludf.DUMMYFUNCTION("""COMPUTED_VALUE"""),140.4)</f>
        <v>140.4</v>
      </c>
      <c r="O380" s="81"/>
      <c r="P380" s="81">
        <f ca="1">IFERROR(__xludf.DUMMYFUNCTION("""COMPUTED_VALUE"""),125.65)</f>
        <v>125.65</v>
      </c>
      <c r="Q380" s="81"/>
      <c r="R380" s="81">
        <f ca="1">IFERROR(__xludf.DUMMYFUNCTION("""COMPUTED_VALUE"""),137.85)</f>
        <v>137.85</v>
      </c>
      <c r="S380" s="81"/>
      <c r="T380" s="81"/>
      <c r="U380" s="82"/>
      <c r="V380" s="82"/>
      <c r="W380" s="83"/>
      <c r="X380" s="83"/>
      <c r="Y380" s="83"/>
    </row>
    <row r="381" spans="1:25" ht="13.8">
      <c r="A381" s="78" t="str">
        <f ca="1">IFERROR(__xludf.DUMMYFUNCTION("""COMPUTED_VALUE"""),"DH")</f>
        <v>DH</v>
      </c>
      <c r="B381" s="79" t="str">
        <f ca="1">IFERROR(__xludf.DUMMYFUNCTION("""COMPUTED_VALUE"""),"Luke Dangel")</f>
        <v>Luke Dangel</v>
      </c>
      <c r="C381" s="78">
        <f ca="1">IFERROR(__xludf.DUMMYFUNCTION("""COMPUTED_VALUE"""),18)</f>
        <v>18</v>
      </c>
      <c r="D381" s="78" t="str">
        <f ca="1">IFERROR(__xludf.DUMMYFUNCTION("""COMPUTED_VALUE"""),"B")</f>
        <v>B</v>
      </c>
      <c r="E381" s="80" t="str">
        <f ca="1">IFERROR(__xludf.DUMMYFUNCTION("""COMPUTED_VALUE"""),"S")</f>
        <v>S</v>
      </c>
      <c r="F381" s="80" t="str">
        <f ca="1">IFERROR(__xludf.DUMMYFUNCTION("""COMPUTED_VALUE"""),"S")</f>
        <v>S</v>
      </c>
      <c r="G381" s="80">
        <f ca="1">IFERROR(__xludf.DUMMYFUNCTION("""COMPUTED_VALUE"""),4)</f>
        <v>4</v>
      </c>
      <c r="H381" s="80" t="str">
        <f ca="1">IFERROR(__xludf.DUMMYFUNCTION("""COMPUTED_VALUE"""),"DH")</f>
        <v>DH</v>
      </c>
      <c r="I381" s="80">
        <f ca="1">IFERROR(__xludf.DUMMYFUNCTION("""COMPUTED_VALUE"""),9)</f>
        <v>9</v>
      </c>
      <c r="J381" s="81">
        <f ca="1">IFERROR(__xludf.DUMMYFUNCTION("""COMPUTED_VALUE"""),5)</f>
        <v>5</v>
      </c>
      <c r="K381" s="81">
        <f ca="1">IFERROR(__xludf.DUMMYFUNCTION("""COMPUTED_VALUE"""),165.1)</f>
        <v>165.1</v>
      </c>
      <c r="L381" s="81">
        <f ca="1">IFERROR(__xludf.DUMMYFUNCTION("""COMPUTED_VALUE"""),120.85)</f>
        <v>120.85</v>
      </c>
      <c r="M381" s="81"/>
      <c r="N381" s="81">
        <f ca="1">IFERROR(__xludf.DUMMYFUNCTION("""COMPUTED_VALUE"""),124.15)</f>
        <v>124.15</v>
      </c>
      <c r="O381" s="81"/>
      <c r="P381" s="81">
        <f ca="1">IFERROR(__xludf.DUMMYFUNCTION("""COMPUTED_VALUE"""),138.95)</f>
        <v>138.94999999999999</v>
      </c>
      <c r="Q381" s="81"/>
      <c r="R381" s="81">
        <f ca="1">IFERROR(__xludf.DUMMYFUNCTION("""COMPUTED_VALUE"""),165.1)</f>
        <v>165.1</v>
      </c>
      <c r="S381" s="81"/>
      <c r="T381" s="81"/>
      <c r="U381" s="82"/>
      <c r="V381" s="82"/>
      <c r="W381" s="83"/>
      <c r="X381" s="83"/>
      <c r="Y381" s="83"/>
    </row>
    <row r="382" spans="1:25" ht="13.8">
      <c r="A382" s="78" t="str">
        <f ca="1">IFERROR(__xludf.DUMMYFUNCTION("""COMPUTED_VALUE"""),"DH")</f>
        <v>DH</v>
      </c>
      <c r="B382" s="79" t="str">
        <f ca="1">IFERROR(__xludf.DUMMYFUNCTION("""COMPUTED_VALUE"""),"Luke DiBenigno")</f>
        <v>Luke DiBenigno</v>
      </c>
      <c r="C382" s="78">
        <f ca="1">IFERROR(__xludf.DUMMYFUNCTION("""COMPUTED_VALUE"""),16)</f>
        <v>16</v>
      </c>
      <c r="D382" s="78" t="str">
        <f ca="1">IFERROR(__xludf.DUMMYFUNCTION("""COMPUTED_VALUE"""),"B")</f>
        <v>B</v>
      </c>
      <c r="E382" s="80" t="str">
        <f ca="1">IFERROR(__xludf.DUMMYFUNCTION("""COMPUTED_VALUE"""),"S")</f>
        <v>S</v>
      </c>
      <c r="F382" s="80" t="str">
        <f ca="1">IFERROR(__xludf.DUMMYFUNCTION("""COMPUTED_VALUE"""),"S")</f>
        <v>S</v>
      </c>
      <c r="G382" s="80">
        <f ca="1">IFERROR(__xludf.DUMMYFUNCTION("""COMPUTED_VALUE"""),4)</f>
        <v>4</v>
      </c>
      <c r="H382" s="80" t="str">
        <f ca="1">IFERROR(__xludf.DUMMYFUNCTION("""COMPUTED_VALUE"""),"DH")</f>
        <v>DH</v>
      </c>
      <c r="I382" s="80">
        <f ca="1">IFERROR(__xludf.DUMMYFUNCTION("""COMPUTED_VALUE"""),9)</f>
        <v>9</v>
      </c>
      <c r="J382" s="81">
        <f ca="1">IFERROR(__xludf.DUMMYFUNCTION("""COMPUTED_VALUE"""),5)</f>
        <v>5</v>
      </c>
      <c r="K382" s="81">
        <f ca="1">IFERROR(__xludf.DUMMYFUNCTION("""COMPUTED_VALUE"""),189.25)</f>
        <v>189.25</v>
      </c>
      <c r="L382" s="81">
        <f ca="1">IFERROR(__xludf.DUMMYFUNCTION("""COMPUTED_VALUE"""),150.55)</f>
        <v>150.55000000000001</v>
      </c>
      <c r="M382" s="81"/>
      <c r="N382" s="81">
        <f ca="1">IFERROR(__xludf.DUMMYFUNCTION("""COMPUTED_VALUE"""),174.65)</f>
        <v>174.65</v>
      </c>
      <c r="O382" s="81"/>
      <c r="P382" s="81">
        <f ca="1">IFERROR(__xludf.DUMMYFUNCTION("""COMPUTED_VALUE"""),145.25)</f>
        <v>145.25</v>
      </c>
      <c r="Q382" s="81"/>
      <c r="R382" s="81">
        <f ca="1">IFERROR(__xludf.DUMMYFUNCTION("""COMPUTED_VALUE"""),189.25)</f>
        <v>189.25</v>
      </c>
      <c r="S382" s="81"/>
      <c r="T382" s="81"/>
      <c r="U382" s="82"/>
      <c r="V382" s="82"/>
      <c r="W382" s="83"/>
      <c r="X382" s="83"/>
      <c r="Y382" s="83"/>
    </row>
    <row r="383" spans="1:25" ht="13.8">
      <c r="A383" s="78" t="str">
        <f ca="1">IFERROR(__xludf.DUMMYFUNCTION("""COMPUTED_VALUE"""),"DH")</f>
        <v>DH</v>
      </c>
      <c r="B383" s="79" t="str">
        <f ca="1">IFERROR(__xludf.DUMMYFUNCTION("""COMPUTED_VALUE"""),"Joseph Nixon")</f>
        <v>Joseph Nixon</v>
      </c>
      <c r="C383" s="78">
        <f ca="1">IFERROR(__xludf.DUMMYFUNCTION("""COMPUTED_VALUE"""),15)</f>
        <v>15</v>
      </c>
      <c r="D383" s="78" t="str">
        <f ca="1">IFERROR(__xludf.DUMMYFUNCTION("""COMPUTED_VALUE"""),"B")</f>
        <v>B</v>
      </c>
      <c r="E383" s="80" t="str">
        <f ca="1">IFERROR(__xludf.DUMMYFUNCTION("""COMPUTED_VALUE"""),"S")</f>
        <v>S</v>
      </c>
      <c r="F383" s="80" t="str">
        <f ca="1">IFERROR(__xludf.DUMMYFUNCTION("""COMPUTED_VALUE"""),"S")</f>
        <v>S</v>
      </c>
      <c r="G383" s="80">
        <f ca="1">IFERROR(__xludf.DUMMYFUNCTION("""COMPUTED_VALUE"""),4)</f>
        <v>4</v>
      </c>
      <c r="H383" s="80" t="str">
        <f ca="1">IFERROR(__xludf.DUMMYFUNCTION("""COMPUTED_VALUE"""),"DH")</f>
        <v>DH</v>
      </c>
      <c r="I383" s="80">
        <f ca="1">IFERROR(__xludf.DUMMYFUNCTION("""COMPUTED_VALUE"""),9)</f>
        <v>9</v>
      </c>
      <c r="J383" s="81">
        <f ca="1">IFERROR(__xludf.DUMMYFUNCTION("""COMPUTED_VALUE"""),3)</f>
        <v>3</v>
      </c>
      <c r="K383" s="81">
        <f ca="1">IFERROR(__xludf.DUMMYFUNCTION("""COMPUTED_VALUE"""),126.6)</f>
        <v>126.6</v>
      </c>
      <c r="L383" s="81">
        <f ca="1">IFERROR(__xludf.DUMMYFUNCTION("""COMPUTED_VALUE"""),0)</f>
        <v>0</v>
      </c>
      <c r="M383" s="81"/>
      <c r="N383" s="81">
        <f ca="1">IFERROR(__xludf.DUMMYFUNCTION("""COMPUTED_VALUE"""),0)</f>
        <v>0</v>
      </c>
      <c r="O383" s="81"/>
      <c r="P383" s="81">
        <f ca="1">IFERROR(__xludf.DUMMYFUNCTION("""COMPUTED_VALUE"""),102.7)</f>
        <v>102.7</v>
      </c>
      <c r="Q383" s="81"/>
      <c r="R383" s="81">
        <f ca="1">IFERROR(__xludf.DUMMYFUNCTION("""COMPUTED_VALUE"""),126.6)</f>
        <v>126.6</v>
      </c>
      <c r="S383" s="81"/>
      <c r="T383" s="81"/>
      <c r="U383" s="82"/>
      <c r="V383" s="82"/>
      <c r="W383" s="83"/>
      <c r="X383" s="83"/>
      <c r="Y383" s="83"/>
    </row>
    <row r="384" spans="1:25" ht="13.8">
      <c r="A384" s="78" t="str">
        <f ca="1">IFERROR(__xludf.DUMMYFUNCTION("""COMPUTED_VALUE"""),"DL")</f>
        <v>DL</v>
      </c>
      <c r="B384" s="79" t="str">
        <f ca="1">IFERROR(__xludf.DUMMYFUNCTION("""COMPUTED_VALUE"""),"Emma Ahasan")</f>
        <v>Emma Ahasan</v>
      </c>
      <c r="C384" s="78">
        <f ca="1">IFERROR(__xludf.DUMMYFUNCTION("""COMPUTED_VALUE"""),9)</f>
        <v>9</v>
      </c>
      <c r="D384" s="78" t="str">
        <f ca="1">IFERROR(__xludf.DUMMYFUNCTION("""COMPUTED_VALUE"""),"G")</f>
        <v>G</v>
      </c>
      <c r="E384" s="80" t="str">
        <f ca="1">IFERROR(__xludf.DUMMYFUNCTION("""COMPUTED_VALUE"""),"F")</f>
        <v>F</v>
      </c>
      <c r="F384" s="80" t="str">
        <f ca="1">IFERROR(__xludf.DUMMYFUNCTION("""COMPUTED_VALUE"""),"J")</f>
        <v>J</v>
      </c>
      <c r="G384" s="80">
        <f ca="1">IFERROR(__xludf.DUMMYFUNCTION("""COMPUTED_VALUE"""),1)</f>
        <v>1</v>
      </c>
      <c r="H384" s="80" t="str">
        <f ca="1">IFERROR(__xludf.DUMMYFUNCTION("""COMPUTED_VALUE"""),"DL")</f>
        <v>DL</v>
      </c>
      <c r="I384" s="80">
        <f ca="1">IFERROR(__xludf.DUMMYFUNCTION("""COMPUTED_VALUE"""),2)</f>
        <v>2</v>
      </c>
      <c r="J384" s="81">
        <f ca="1">IFERROR(__xludf.DUMMYFUNCTION("""COMPUTED_VALUE"""),0)</f>
        <v>0</v>
      </c>
      <c r="K384" s="81">
        <f ca="1">IFERROR(__xludf.DUMMYFUNCTION("""COMPUTED_VALUE"""),0)</f>
        <v>0</v>
      </c>
      <c r="L384" s="81">
        <f ca="1">IFERROR(__xludf.DUMMYFUNCTION("""COMPUTED_VALUE"""),0)</f>
        <v>0</v>
      </c>
      <c r="M384" s="81"/>
      <c r="N384" s="81">
        <f ca="1">IFERROR(__xludf.DUMMYFUNCTION("""COMPUTED_VALUE"""),0)</f>
        <v>0</v>
      </c>
      <c r="O384" s="81"/>
      <c r="P384" s="81">
        <f ca="1">IFERROR(__xludf.DUMMYFUNCTION("""COMPUTED_VALUE"""),0)</f>
        <v>0</v>
      </c>
      <c r="Q384" s="81"/>
      <c r="R384" s="81">
        <f ca="1">IFERROR(__xludf.DUMMYFUNCTION("""COMPUTED_VALUE"""),0)</f>
        <v>0</v>
      </c>
      <c r="S384" s="81"/>
      <c r="T384" s="81"/>
      <c r="U384" s="82"/>
      <c r="V384" s="82"/>
      <c r="W384" s="83"/>
      <c r="X384" s="83"/>
      <c r="Y384" s="83"/>
    </row>
    <row r="385" spans="1:25" ht="13.8">
      <c r="A385" s="78" t="str">
        <f ca="1">IFERROR(__xludf.DUMMYFUNCTION("""COMPUTED_VALUE"""),"DL")</f>
        <v>DL</v>
      </c>
      <c r="B385" s="79" t="str">
        <f ca="1">IFERROR(__xludf.DUMMYFUNCTION("""COMPUTED_VALUE"""),"Sophie Al-Douri")</f>
        <v>Sophie Al-Douri</v>
      </c>
      <c r="C385" s="78">
        <f ca="1">IFERROR(__xludf.DUMMYFUNCTION("""COMPUTED_VALUE"""),8)</f>
        <v>8</v>
      </c>
      <c r="D385" s="78" t="str">
        <f ca="1">IFERROR(__xludf.DUMMYFUNCTION("""COMPUTED_VALUE"""),"G")</f>
        <v>G</v>
      </c>
      <c r="E385" s="80" t="str">
        <f ca="1">IFERROR(__xludf.DUMMYFUNCTION("""COMPUTED_VALUE"""),"F")</f>
        <v>F</v>
      </c>
      <c r="F385" s="80" t="str">
        <f ca="1">IFERROR(__xludf.DUMMYFUNCTION("""COMPUTED_VALUE"""),"J")</f>
        <v>J</v>
      </c>
      <c r="G385" s="80">
        <f ca="1">IFERROR(__xludf.DUMMYFUNCTION("""COMPUTED_VALUE"""),1)</f>
        <v>1</v>
      </c>
      <c r="H385" s="80" t="str">
        <f ca="1">IFERROR(__xludf.DUMMYFUNCTION("""COMPUTED_VALUE"""),"DL")</f>
        <v>DL</v>
      </c>
      <c r="I385" s="80">
        <f ca="1">IFERROR(__xludf.DUMMYFUNCTION("""COMPUTED_VALUE"""),2)</f>
        <v>2</v>
      </c>
      <c r="J385" s="81">
        <f ca="1">IFERROR(__xludf.DUMMYFUNCTION("""COMPUTED_VALUE"""),0)</f>
        <v>0</v>
      </c>
      <c r="K385" s="81">
        <f ca="1">IFERROR(__xludf.DUMMYFUNCTION("""COMPUTED_VALUE"""),0)</f>
        <v>0</v>
      </c>
      <c r="L385" s="81">
        <f ca="1">IFERROR(__xludf.DUMMYFUNCTION("""COMPUTED_VALUE"""),0)</f>
        <v>0</v>
      </c>
      <c r="M385" s="81"/>
      <c r="N385" s="81">
        <f ca="1">IFERROR(__xludf.DUMMYFUNCTION("""COMPUTED_VALUE"""),0)</f>
        <v>0</v>
      </c>
      <c r="O385" s="81"/>
      <c r="P385" s="81">
        <f ca="1">IFERROR(__xludf.DUMMYFUNCTION("""COMPUTED_VALUE"""),0)</f>
        <v>0</v>
      </c>
      <c r="Q385" s="81"/>
      <c r="R385" s="81">
        <f ca="1">IFERROR(__xludf.DUMMYFUNCTION("""COMPUTED_VALUE"""),0)</f>
        <v>0</v>
      </c>
      <c r="S385" s="81"/>
      <c r="T385" s="81"/>
      <c r="U385" s="82"/>
      <c r="V385" s="82"/>
      <c r="W385" s="83"/>
      <c r="X385" s="83"/>
      <c r="Y385" s="83"/>
    </row>
    <row r="386" spans="1:25" ht="13.8">
      <c r="A386" s="78" t="str">
        <f ca="1">IFERROR(__xludf.DUMMYFUNCTION("""COMPUTED_VALUE"""),"DL")</f>
        <v>DL</v>
      </c>
      <c r="B386" s="79" t="str">
        <f ca="1">IFERROR(__xludf.DUMMYFUNCTION("""COMPUTED_VALUE"""),"Quinn Baskett")</f>
        <v>Quinn Baskett</v>
      </c>
      <c r="C386" s="78">
        <f ca="1">IFERROR(__xludf.DUMMYFUNCTION("""COMPUTED_VALUE"""),10)</f>
        <v>10</v>
      </c>
      <c r="D386" s="78" t="str">
        <f ca="1">IFERROR(__xludf.DUMMYFUNCTION("""COMPUTED_VALUE"""),"G")</f>
        <v>G</v>
      </c>
      <c r="E386" s="80" t="str">
        <f ca="1">IFERROR(__xludf.DUMMYFUNCTION("""COMPUTED_VALUE"""),"F")</f>
        <v>F</v>
      </c>
      <c r="F386" s="80" t="str">
        <f ca="1">IFERROR(__xludf.DUMMYFUNCTION("""COMPUTED_VALUE"""),"J")</f>
        <v>J</v>
      </c>
      <c r="G386" s="80">
        <f ca="1">IFERROR(__xludf.DUMMYFUNCTION("""COMPUTED_VALUE"""),1)</f>
        <v>1</v>
      </c>
      <c r="H386" s="80" t="str">
        <f ca="1">IFERROR(__xludf.DUMMYFUNCTION("""COMPUTED_VALUE"""),"DL")</f>
        <v>DL</v>
      </c>
      <c r="I386" s="80">
        <f ca="1">IFERROR(__xludf.DUMMYFUNCTION("""COMPUTED_VALUE"""),2)</f>
        <v>2</v>
      </c>
      <c r="J386" s="81">
        <f ca="1">IFERROR(__xludf.DUMMYFUNCTION("""COMPUTED_VALUE"""),3)</f>
        <v>3</v>
      </c>
      <c r="K386" s="81">
        <f ca="1">IFERROR(__xludf.DUMMYFUNCTION("""COMPUTED_VALUE"""),31.8)</f>
        <v>31.8</v>
      </c>
      <c r="L386" s="81">
        <f ca="1">IFERROR(__xludf.DUMMYFUNCTION("""COMPUTED_VALUE"""),31.5)</f>
        <v>31.5</v>
      </c>
      <c r="M386" s="81"/>
      <c r="N386" s="81">
        <f ca="1">IFERROR(__xludf.DUMMYFUNCTION("""COMPUTED_VALUE"""),0)</f>
        <v>0</v>
      </c>
      <c r="O386" s="81"/>
      <c r="P386" s="81">
        <f ca="1">IFERROR(__xludf.DUMMYFUNCTION("""COMPUTED_VALUE"""),31.8)</f>
        <v>31.8</v>
      </c>
      <c r="Q386" s="81"/>
      <c r="R386" s="81">
        <f ca="1">IFERROR(__xludf.DUMMYFUNCTION("""COMPUTED_VALUE"""),0)</f>
        <v>0</v>
      </c>
      <c r="S386" s="81"/>
      <c r="T386" s="81"/>
      <c r="U386" s="82"/>
      <c r="V386" s="82"/>
      <c r="W386" s="83"/>
      <c r="X386" s="83"/>
      <c r="Y386" s="83"/>
    </row>
    <row r="387" spans="1:25" ht="13.8">
      <c r="A387" s="78" t="str">
        <f ca="1">IFERROR(__xludf.DUMMYFUNCTION("""COMPUTED_VALUE"""),"DL")</f>
        <v>DL</v>
      </c>
      <c r="B387" s="79" t="str">
        <f ca="1">IFERROR(__xludf.DUMMYFUNCTION("""COMPUTED_VALUE"""),"Clara Beatty")</f>
        <v>Clara Beatty</v>
      </c>
      <c r="C387" s="78">
        <f ca="1">IFERROR(__xludf.DUMMYFUNCTION("""COMPUTED_VALUE"""),9)</f>
        <v>9</v>
      </c>
      <c r="D387" s="78" t="str">
        <f ca="1">IFERROR(__xludf.DUMMYFUNCTION("""COMPUTED_VALUE"""),"G")</f>
        <v>G</v>
      </c>
      <c r="E387" s="80" t="str">
        <f ca="1">IFERROR(__xludf.DUMMYFUNCTION("""COMPUTED_VALUE"""),"F")</f>
        <v>F</v>
      </c>
      <c r="F387" s="80" t="str">
        <f ca="1">IFERROR(__xludf.DUMMYFUNCTION("""COMPUTED_VALUE"""),"J")</f>
        <v>J</v>
      </c>
      <c r="G387" s="80">
        <f ca="1">IFERROR(__xludf.DUMMYFUNCTION("""COMPUTED_VALUE"""),1)</f>
        <v>1</v>
      </c>
      <c r="H387" s="80" t="str">
        <f ca="1">IFERROR(__xludf.DUMMYFUNCTION("""COMPUTED_VALUE"""),"DL")</f>
        <v>DL</v>
      </c>
      <c r="I387" s="80">
        <f ca="1">IFERROR(__xludf.DUMMYFUNCTION("""COMPUTED_VALUE"""),2)</f>
        <v>2</v>
      </c>
      <c r="J387" s="81">
        <f ca="1">IFERROR(__xludf.DUMMYFUNCTION("""COMPUTED_VALUE"""),3)</f>
        <v>3</v>
      </c>
      <c r="K387" s="81">
        <f ca="1">IFERROR(__xludf.DUMMYFUNCTION("""COMPUTED_VALUE"""),50.3)</f>
        <v>50.3</v>
      </c>
      <c r="L387" s="81">
        <f ca="1">IFERROR(__xludf.DUMMYFUNCTION("""COMPUTED_VALUE"""),0)</f>
        <v>0</v>
      </c>
      <c r="M387" s="81"/>
      <c r="N387" s="81">
        <f ca="1">IFERROR(__xludf.DUMMYFUNCTION("""COMPUTED_VALUE"""),36)</f>
        <v>36</v>
      </c>
      <c r="O387" s="81"/>
      <c r="P387" s="81">
        <f ca="1">IFERROR(__xludf.DUMMYFUNCTION("""COMPUTED_VALUE"""),0)</f>
        <v>0</v>
      </c>
      <c r="Q387" s="81"/>
      <c r="R387" s="81">
        <f ca="1">IFERROR(__xludf.DUMMYFUNCTION("""COMPUTED_VALUE"""),50.3)</f>
        <v>50.3</v>
      </c>
      <c r="S387" s="81"/>
      <c r="T387" s="81"/>
      <c r="U387" s="82"/>
      <c r="V387" s="82"/>
      <c r="W387" s="83"/>
      <c r="X387" s="83"/>
      <c r="Y387" s="83"/>
    </row>
    <row r="388" spans="1:25" ht="13.8">
      <c r="A388" s="78" t="str">
        <f ca="1">IFERROR(__xludf.DUMMYFUNCTION("""COMPUTED_VALUE"""),"DL")</f>
        <v>DL</v>
      </c>
      <c r="B388" s="79" t="str">
        <f ca="1">IFERROR(__xludf.DUMMYFUNCTION("""COMPUTED_VALUE"""),"marie Eisele")</f>
        <v>marie Eisele</v>
      </c>
      <c r="C388" s="78">
        <f ca="1">IFERROR(__xludf.DUMMYFUNCTION("""COMPUTED_VALUE"""),10)</f>
        <v>10</v>
      </c>
      <c r="D388" s="78" t="str">
        <f ca="1">IFERROR(__xludf.DUMMYFUNCTION("""COMPUTED_VALUE"""),"G")</f>
        <v>G</v>
      </c>
      <c r="E388" s="80" t="str">
        <f ca="1">IFERROR(__xludf.DUMMYFUNCTION("""COMPUTED_VALUE"""),"F")</f>
        <v>F</v>
      </c>
      <c r="F388" s="80" t="str">
        <f ca="1">IFERROR(__xludf.DUMMYFUNCTION("""COMPUTED_VALUE"""),"J")</f>
        <v>J</v>
      </c>
      <c r="G388" s="80">
        <f ca="1">IFERROR(__xludf.DUMMYFUNCTION("""COMPUTED_VALUE"""),1)</f>
        <v>1</v>
      </c>
      <c r="H388" s="80" t="str">
        <f ca="1">IFERROR(__xludf.DUMMYFUNCTION("""COMPUTED_VALUE"""),"DL")</f>
        <v>DL</v>
      </c>
      <c r="I388" s="80">
        <f ca="1">IFERROR(__xludf.DUMMYFUNCTION("""COMPUTED_VALUE"""),2)</f>
        <v>2</v>
      </c>
      <c r="J388" s="81">
        <f ca="1">IFERROR(__xludf.DUMMYFUNCTION("""COMPUTED_VALUE"""),3)</f>
        <v>3</v>
      </c>
      <c r="K388" s="81">
        <f ca="1">IFERROR(__xludf.DUMMYFUNCTION("""COMPUTED_VALUE"""),56.5)</f>
        <v>56.5</v>
      </c>
      <c r="L388" s="81">
        <f ca="1">IFERROR(__xludf.DUMMYFUNCTION("""COMPUTED_VALUE"""),0)</f>
        <v>0</v>
      </c>
      <c r="M388" s="81"/>
      <c r="N388" s="81">
        <f ca="1">IFERROR(__xludf.DUMMYFUNCTION("""COMPUTED_VALUE"""),0)</f>
        <v>0</v>
      </c>
      <c r="O388" s="81"/>
      <c r="P388" s="81">
        <f ca="1">IFERROR(__xludf.DUMMYFUNCTION("""COMPUTED_VALUE"""),56.5)</f>
        <v>56.5</v>
      </c>
      <c r="Q388" s="81"/>
      <c r="R388" s="81">
        <f ca="1">IFERROR(__xludf.DUMMYFUNCTION("""COMPUTED_VALUE"""),49.6)</f>
        <v>49.6</v>
      </c>
      <c r="S388" s="81"/>
      <c r="T388" s="81"/>
      <c r="U388" s="82"/>
      <c r="V388" s="82"/>
      <c r="W388" s="83"/>
      <c r="X388" s="83"/>
      <c r="Y388" s="83"/>
    </row>
    <row r="389" spans="1:25" ht="13.8">
      <c r="A389" s="78" t="str">
        <f ca="1">IFERROR(__xludf.DUMMYFUNCTION("""COMPUTED_VALUE"""),"DL")</f>
        <v>DL</v>
      </c>
      <c r="B389" s="79" t="str">
        <f ca="1">IFERROR(__xludf.DUMMYFUNCTION("""COMPUTED_VALUE"""),"Elise Esquivel")</f>
        <v>Elise Esquivel</v>
      </c>
      <c r="C389" s="78">
        <f ca="1">IFERROR(__xludf.DUMMYFUNCTION("""COMPUTED_VALUE"""),7)</f>
        <v>7</v>
      </c>
      <c r="D389" s="78" t="str">
        <f ca="1">IFERROR(__xludf.DUMMYFUNCTION("""COMPUTED_VALUE"""),"G")</f>
        <v>G</v>
      </c>
      <c r="E389" s="80" t="str">
        <f ca="1">IFERROR(__xludf.DUMMYFUNCTION("""COMPUTED_VALUE"""),"F")</f>
        <v>F</v>
      </c>
      <c r="F389" s="80" t="str">
        <f ca="1">IFERROR(__xludf.DUMMYFUNCTION("""COMPUTED_VALUE"""),"J")</f>
        <v>J</v>
      </c>
      <c r="G389" s="80">
        <f ca="1">IFERROR(__xludf.DUMMYFUNCTION("""COMPUTED_VALUE"""),1)</f>
        <v>1</v>
      </c>
      <c r="H389" s="80" t="str">
        <f ca="1">IFERROR(__xludf.DUMMYFUNCTION("""COMPUTED_VALUE"""),"DL")</f>
        <v>DL</v>
      </c>
      <c r="I389" s="80">
        <f ca="1">IFERROR(__xludf.DUMMYFUNCTION("""COMPUTED_VALUE"""),2)</f>
        <v>2</v>
      </c>
      <c r="J389" s="81">
        <f ca="1">IFERROR(__xludf.DUMMYFUNCTION("""COMPUTED_VALUE"""),5)</f>
        <v>5</v>
      </c>
      <c r="K389" s="81">
        <f ca="1">IFERROR(__xludf.DUMMYFUNCTION("""COMPUTED_VALUE"""),31.95)</f>
        <v>31.95</v>
      </c>
      <c r="L389" s="81">
        <f ca="1">IFERROR(__xludf.DUMMYFUNCTION("""COMPUTED_VALUE"""),25.5)</f>
        <v>25.5</v>
      </c>
      <c r="M389" s="81"/>
      <c r="N389" s="81">
        <f ca="1">IFERROR(__xludf.DUMMYFUNCTION("""COMPUTED_VALUE"""),25.5)</f>
        <v>25.5</v>
      </c>
      <c r="O389" s="81"/>
      <c r="P389" s="81">
        <f ca="1">IFERROR(__xludf.DUMMYFUNCTION("""COMPUTED_VALUE"""),31.95)</f>
        <v>31.95</v>
      </c>
      <c r="Q389" s="81"/>
      <c r="R389" s="81">
        <f ca="1">IFERROR(__xludf.DUMMYFUNCTION("""COMPUTED_VALUE"""),28.6)</f>
        <v>28.6</v>
      </c>
      <c r="S389" s="81"/>
      <c r="T389" s="81"/>
      <c r="U389" s="82"/>
      <c r="V389" s="82"/>
      <c r="W389" s="83"/>
      <c r="X389" s="83"/>
      <c r="Y389" s="83"/>
    </row>
    <row r="390" spans="1:25" ht="13.8">
      <c r="A390" s="78" t="str">
        <f ca="1">IFERROR(__xludf.DUMMYFUNCTION("""COMPUTED_VALUE"""),"DL")</f>
        <v>DL</v>
      </c>
      <c r="B390" s="79" t="str">
        <f ca="1">IFERROR(__xludf.DUMMYFUNCTION("""COMPUTED_VALUE"""),"Isabella Falsone")</f>
        <v>Isabella Falsone</v>
      </c>
      <c r="C390" s="78">
        <f ca="1">IFERROR(__xludf.DUMMYFUNCTION("""COMPUTED_VALUE"""),6)</f>
        <v>6</v>
      </c>
      <c r="D390" s="78" t="str">
        <f ca="1">IFERROR(__xludf.DUMMYFUNCTION("""COMPUTED_VALUE"""),"G")</f>
        <v>G</v>
      </c>
      <c r="E390" s="80" t="str">
        <f ca="1">IFERROR(__xludf.DUMMYFUNCTION("""COMPUTED_VALUE"""),"F")</f>
        <v>F</v>
      </c>
      <c r="F390" s="80" t="str">
        <f ca="1">IFERROR(__xludf.DUMMYFUNCTION("""COMPUTED_VALUE"""),"J")</f>
        <v>J</v>
      </c>
      <c r="G390" s="80">
        <f ca="1">IFERROR(__xludf.DUMMYFUNCTION("""COMPUTED_VALUE"""),1)</f>
        <v>1</v>
      </c>
      <c r="H390" s="80" t="str">
        <f ca="1">IFERROR(__xludf.DUMMYFUNCTION("""COMPUTED_VALUE"""),"DL")</f>
        <v>DL</v>
      </c>
      <c r="I390" s="80">
        <f ca="1">IFERROR(__xludf.DUMMYFUNCTION("""COMPUTED_VALUE"""),2)</f>
        <v>2</v>
      </c>
      <c r="J390" s="81">
        <f ca="1">IFERROR(__xludf.DUMMYFUNCTION("""COMPUTED_VALUE"""),4)</f>
        <v>4</v>
      </c>
      <c r="K390" s="81">
        <f ca="1">IFERROR(__xludf.DUMMYFUNCTION("""COMPUTED_VALUE"""),30.65)</f>
        <v>30.65</v>
      </c>
      <c r="L390" s="81">
        <f ca="1">IFERROR(__xludf.DUMMYFUNCTION("""COMPUTED_VALUE"""),0)</f>
        <v>0</v>
      </c>
      <c r="M390" s="81"/>
      <c r="N390" s="81">
        <f ca="1">IFERROR(__xludf.DUMMYFUNCTION("""COMPUTED_VALUE"""),26.3)</f>
        <v>26.3</v>
      </c>
      <c r="O390" s="81"/>
      <c r="P390" s="81">
        <f ca="1">IFERROR(__xludf.DUMMYFUNCTION("""COMPUTED_VALUE"""),30.65)</f>
        <v>30.65</v>
      </c>
      <c r="Q390" s="81"/>
      <c r="R390" s="81">
        <f ca="1">IFERROR(__xludf.DUMMYFUNCTION("""COMPUTED_VALUE"""),28.4)</f>
        <v>28.4</v>
      </c>
      <c r="S390" s="81"/>
      <c r="T390" s="81"/>
      <c r="U390" s="82"/>
      <c r="V390" s="82"/>
      <c r="W390" s="83"/>
      <c r="X390" s="83"/>
      <c r="Y390" s="83"/>
    </row>
    <row r="391" spans="1:25" ht="13.8">
      <c r="A391" s="78" t="str">
        <f ca="1">IFERROR(__xludf.DUMMYFUNCTION("""COMPUTED_VALUE"""),"DL")</f>
        <v>DL</v>
      </c>
      <c r="B391" s="79" t="str">
        <f ca="1">IFERROR(__xludf.DUMMYFUNCTION("""COMPUTED_VALUE"""),"Rafi Fernandez")</f>
        <v>Rafi Fernandez</v>
      </c>
      <c r="C391" s="78">
        <f ca="1">IFERROR(__xludf.DUMMYFUNCTION("""COMPUTED_VALUE"""),10)</f>
        <v>10</v>
      </c>
      <c r="D391" s="78" t="str">
        <f ca="1">IFERROR(__xludf.DUMMYFUNCTION("""COMPUTED_VALUE"""),"G")</f>
        <v>G</v>
      </c>
      <c r="E391" s="80" t="str">
        <f ca="1">IFERROR(__xludf.DUMMYFUNCTION("""COMPUTED_VALUE"""),"F")</f>
        <v>F</v>
      </c>
      <c r="F391" s="80" t="str">
        <f ca="1">IFERROR(__xludf.DUMMYFUNCTION("""COMPUTED_VALUE"""),"J")</f>
        <v>J</v>
      </c>
      <c r="G391" s="80">
        <f ca="1">IFERROR(__xludf.DUMMYFUNCTION("""COMPUTED_VALUE"""),1)</f>
        <v>1</v>
      </c>
      <c r="H391" s="80" t="str">
        <f ca="1">IFERROR(__xludf.DUMMYFUNCTION("""COMPUTED_VALUE"""),"DL")</f>
        <v>DL</v>
      </c>
      <c r="I391" s="80">
        <f ca="1">IFERROR(__xludf.DUMMYFUNCTION("""COMPUTED_VALUE"""),2)</f>
        <v>2</v>
      </c>
      <c r="J391" s="81">
        <f ca="1">IFERROR(__xludf.DUMMYFUNCTION("""COMPUTED_VALUE"""),0)</f>
        <v>0</v>
      </c>
      <c r="K391" s="81">
        <f ca="1">IFERROR(__xludf.DUMMYFUNCTION("""COMPUTED_VALUE"""),0)</f>
        <v>0</v>
      </c>
      <c r="L391" s="81">
        <f ca="1">IFERROR(__xludf.DUMMYFUNCTION("""COMPUTED_VALUE"""),0)</f>
        <v>0</v>
      </c>
      <c r="M391" s="81"/>
      <c r="N391" s="81">
        <f ca="1">IFERROR(__xludf.DUMMYFUNCTION("""COMPUTED_VALUE"""),0)</f>
        <v>0</v>
      </c>
      <c r="O391" s="81"/>
      <c r="P391" s="81">
        <f ca="1">IFERROR(__xludf.DUMMYFUNCTION("""COMPUTED_VALUE"""),0)</f>
        <v>0</v>
      </c>
      <c r="Q391" s="81"/>
      <c r="R391" s="81">
        <f ca="1">IFERROR(__xludf.DUMMYFUNCTION("""COMPUTED_VALUE"""),0)</f>
        <v>0</v>
      </c>
      <c r="S391" s="81"/>
      <c r="T391" s="81"/>
      <c r="U391" s="82"/>
      <c r="V391" s="82"/>
      <c r="W391" s="83"/>
      <c r="X391" s="83"/>
      <c r="Y391" s="83"/>
    </row>
    <row r="392" spans="1:25" ht="13.8">
      <c r="A392" s="78" t="str">
        <f ca="1">IFERROR(__xludf.DUMMYFUNCTION("""COMPUTED_VALUE"""),"DL")</f>
        <v>DL</v>
      </c>
      <c r="B392" s="79" t="str">
        <f ca="1">IFERROR(__xludf.DUMMYFUNCTION("""COMPUTED_VALUE"""),"Sylee Gupta")</f>
        <v>Sylee Gupta</v>
      </c>
      <c r="C392" s="78">
        <f ca="1">IFERROR(__xludf.DUMMYFUNCTION("""COMPUTED_VALUE"""),8)</f>
        <v>8</v>
      </c>
      <c r="D392" s="78" t="str">
        <f ca="1">IFERROR(__xludf.DUMMYFUNCTION("""COMPUTED_VALUE"""),"G")</f>
        <v>G</v>
      </c>
      <c r="E392" s="80" t="str">
        <f ca="1">IFERROR(__xludf.DUMMYFUNCTION("""COMPUTED_VALUE"""),"F")</f>
        <v>F</v>
      </c>
      <c r="F392" s="80" t="str">
        <f ca="1">IFERROR(__xludf.DUMMYFUNCTION("""COMPUTED_VALUE"""),"J")</f>
        <v>J</v>
      </c>
      <c r="G392" s="80">
        <f ca="1">IFERROR(__xludf.DUMMYFUNCTION("""COMPUTED_VALUE"""),1)</f>
        <v>1</v>
      </c>
      <c r="H392" s="80" t="str">
        <f ca="1">IFERROR(__xludf.DUMMYFUNCTION("""COMPUTED_VALUE"""),"DL")</f>
        <v>DL</v>
      </c>
      <c r="I392" s="80">
        <f ca="1">IFERROR(__xludf.DUMMYFUNCTION("""COMPUTED_VALUE"""),2)</f>
        <v>2</v>
      </c>
      <c r="J392" s="81">
        <f ca="1">IFERROR(__xludf.DUMMYFUNCTION("""COMPUTED_VALUE"""),0)</f>
        <v>0</v>
      </c>
      <c r="K392" s="81">
        <f ca="1">IFERROR(__xludf.DUMMYFUNCTION("""COMPUTED_VALUE"""),0)</f>
        <v>0</v>
      </c>
      <c r="L392" s="81">
        <f ca="1">IFERROR(__xludf.DUMMYFUNCTION("""COMPUTED_VALUE"""),0)</f>
        <v>0</v>
      </c>
      <c r="M392" s="81"/>
      <c r="N392" s="81">
        <f ca="1">IFERROR(__xludf.DUMMYFUNCTION("""COMPUTED_VALUE"""),0)</f>
        <v>0</v>
      </c>
      <c r="O392" s="81"/>
      <c r="P392" s="81">
        <f ca="1">IFERROR(__xludf.DUMMYFUNCTION("""COMPUTED_VALUE"""),0)</f>
        <v>0</v>
      </c>
      <c r="Q392" s="81"/>
      <c r="R392" s="81">
        <f ca="1">IFERROR(__xludf.DUMMYFUNCTION("""COMPUTED_VALUE"""),0)</f>
        <v>0</v>
      </c>
      <c r="S392" s="81"/>
      <c r="T392" s="81"/>
      <c r="U392" s="82"/>
      <c r="V392" s="82"/>
      <c r="W392" s="83"/>
      <c r="X392" s="83"/>
      <c r="Y392" s="83"/>
    </row>
    <row r="393" spans="1:25" ht="13.8">
      <c r="A393" s="78" t="str">
        <f ca="1">IFERROR(__xludf.DUMMYFUNCTION("""COMPUTED_VALUE"""),"DL")</f>
        <v>DL</v>
      </c>
      <c r="B393" s="79" t="str">
        <f ca="1">IFERROR(__xludf.DUMMYFUNCTION("""COMPUTED_VALUE"""),"Ishti Jain")</f>
        <v>Ishti Jain</v>
      </c>
      <c r="C393" s="78">
        <f ca="1">IFERROR(__xludf.DUMMYFUNCTION("""COMPUTED_VALUE"""),8)</f>
        <v>8</v>
      </c>
      <c r="D393" s="78" t="str">
        <f ca="1">IFERROR(__xludf.DUMMYFUNCTION("""COMPUTED_VALUE"""),"G")</f>
        <v>G</v>
      </c>
      <c r="E393" s="80" t="str">
        <f ca="1">IFERROR(__xludf.DUMMYFUNCTION("""COMPUTED_VALUE"""),"F")</f>
        <v>F</v>
      </c>
      <c r="F393" s="80" t="str">
        <f ca="1">IFERROR(__xludf.DUMMYFUNCTION("""COMPUTED_VALUE"""),"J")</f>
        <v>J</v>
      </c>
      <c r="G393" s="80">
        <f ca="1">IFERROR(__xludf.DUMMYFUNCTION("""COMPUTED_VALUE"""),1)</f>
        <v>1</v>
      </c>
      <c r="H393" s="80" t="str">
        <f ca="1">IFERROR(__xludf.DUMMYFUNCTION("""COMPUTED_VALUE"""),"DL")</f>
        <v>DL</v>
      </c>
      <c r="I393" s="80">
        <f ca="1">IFERROR(__xludf.DUMMYFUNCTION("""COMPUTED_VALUE"""),2)</f>
        <v>2</v>
      </c>
      <c r="J393" s="81">
        <f ca="1">IFERROR(__xludf.DUMMYFUNCTION("""COMPUTED_VALUE"""),0)</f>
        <v>0</v>
      </c>
      <c r="K393" s="81">
        <f ca="1">IFERROR(__xludf.DUMMYFUNCTION("""COMPUTED_VALUE"""),0)</f>
        <v>0</v>
      </c>
      <c r="L393" s="81">
        <f ca="1">IFERROR(__xludf.DUMMYFUNCTION("""COMPUTED_VALUE"""),0)</f>
        <v>0</v>
      </c>
      <c r="M393" s="81"/>
      <c r="N393" s="81">
        <f ca="1">IFERROR(__xludf.DUMMYFUNCTION("""COMPUTED_VALUE"""),0)</f>
        <v>0</v>
      </c>
      <c r="O393" s="81"/>
      <c r="P393" s="81">
        <f ca="1">IFERROR(__xludf.DUMMYFUNCTION("""COMPUTED_VALUE"""),0)</f>
        <v>0</v>
      </c>
      <c r="Q393" s="81"/>
      <c r="R393" s="81">
        <f ca="1">IFERROR(__xludf.DUMMYFUNCTION("""COMPUTED_VALUE"""),0)</f>
        <v>0</v>
      </c>
      <c r="S393" s="81"/>
      <c r="T393" s="81"/>
      <c r="U393" s="82"/>
      <c r="V393" s="82"/>
      <c r="W393" s="83"/>
      <c r="X393" s="83"/>
      <c r="Y393" s="83"/>
    </row>
    <row r="394" spans="1:25" ht="13.8">
      <c r="A394" s="78" t="str">
        <f ca="1">IFERROR(__xludf.DUMMYFUNCTION("""COMPUTED_VALUE"""),"DL")</f>
        <v>DL</v>
      </c>
      <c r="B394" s="79" t="str">
        <f ca="1">IFERROR(__xludf.DUMMYFUNCTION("""COMPUTED_VALUE"""),"Amelia Koch")</f>
        <v>Amelia Koch</v>
      </c>
      <c r="C394" s="78">
        <f ca="1">IFERROR(__xludf.DUMMYFUNCTION("""COMPUTED_VALUE"""),9)</f>
        <v>9</v>
      </c>
      <c r="D394" s="78" t="str">
        <f ca="1">IFERROR(__xludf.DUMMYFUNCTION("""COMPUTED_VALUE"""),"G")</f>
        <v>G</v>
      </c>
      <c r="E394" s="80" t="str">
        <f ca="1">IFERROR(__xludf.DUMMYFUNCTION("""COMPUTED_VALUE"""),"F")</f>
        <v>F</v>
      </c>
      <c r="F394" s="80" t="str">
        <f ca="1">IFERROR(__xludf.DUMMYFUNCTION("""COMPUTED_VALUE"""),"J")</f>
        <v>J</v>
      </c>
      <c r="G394" s="80">
        <f ca="1">IFERROR(__xludf.DUMMYFUNCTION("""COMPUTED_VALUE"""),1)</f>
        <v>1</v>
      </c>
      <c r="H394" s="80" t="str">
        <f ca="1">IFERROR(__xludf.DUMMYFUNCTION("""COMPUTED_VALUE"""),"DL")</f>
        <v>DL</v>
      </c>
      <c r="I394" s="80">
        <f ca="1">IFERROR(__xludf.DUMMYFUNCTION("""COMPUTED_VALUE"""),2)</f>
        <v>2</v>
      </c>
      <c r="J394" s="81">
        <f ca="1">IFERROR(__xludf.DUMMYFUNCTION("""COMPUTED_VALUE"""),2)</f>
        <v>2</v>
      </c>
      <c r="K394" s="81">
        <f ca="1">IFERROR(__xludf.DUMMYFUNCTION("""COMPUTED_VALUE"""),42.55)</f>
        <v>42.55</v>
      </c>
      <c r="L394" s="81">
        <f ca="1">IFERROR(__xludf.DUMMYFUNCTION("""COMPUTED_VALUE"""),42.55)</f>
        <v>42.55</v>
      </c>
      <c r="M394" s="81"/>
      <c r="N394" s="81">
        <f ca="1">IFERROR(__xludf.DUMMYFUNCTION("""COMPUTED_VALUE"""),18.65)</f>
        <v>18.649999999999999</v>
      </c>
      <c r="O394" s="81"/>
      <c r="P394" s="81">
        <f ca="1">IFERROR(__xludf.DUMMYFUNCTION("""COMPUTED_VALUE"""),0)</f>
        <v>0</v>
      </c>
      <c r="Q394" s="81"/>
      <c r="R394" s="81">
        <f ca="1">IFERROR(__xludf.DUMMYFUNCTION("""COMPUTED_VALUE"""),0)</f>
        <v>0</v>
      </c>
      <c r="S394" s="81"/>
      <c r="T394" s="81"/>
      <c r="U394" s="82"/>
      <c r="V394" s="82"/>
      <c r="W394" s="83"/>
      <c r="X394" s="83"/>
      <c r="Y394" s="83"/>
    </row>
    <row r="395" spans="1:25" ht="13.8">
      <c r="A395" s="78" t="str">
        <f ca="1">IFERROR(__xludf.DUMMYFUNCTION("""COMPUTED_VALUE"""),"DL")</f>
        <v>DL</v>
      </c>
      <c r="B395" s="79" t="str">
        <f ca="1">IFERROR(__xludf.DUMMYFUNCTION("""COMPUTED_VALUE"""),"Lila Kottmeier")</f>
        <v>Lila Kottmeier</v>
      </c>
      <c r="C395" s="78">
        <f ca="1">IFERROR(__xludf.DUMMYFUNCTION("""COMPUTED_VALUE"""),8)</f>
        <v>8</v>
      </c>
      <c r="D395" s="78" t="str">
        <f ca="1">IFERROR(__xludf.DUMMYFUNCTION("""COMPUTED_VALUE"""),"G")</f>
        <v>G</v>
      </c>
      <c r="E395" s="80" t="str">
        <f ca="1">IFERROR(__xludf.DUMMYFUNCTION("""COMPUTED_VALUE"""),"F")</f>
        <v>F</v>
      </c>
      <c r="F395" s="80" t="str">
        <f ca="1">IFERROR(__xludf.DUMMYFUNCTION("""COMPUTED_VALUE"""),"J")</f>
        <v>J</v>
      </c>
      <c r="G395" s="80">
        <f ca="1">IFERROR(__xludf.DUMMYFUNCTION("""COMPUTED_VALUE"""),1)</f>
        <v>1</v>
      </c>
      <c r="H395" s="80" t="str">
        <f ca="1">IFERROR(__xludf.DUMMYFUNCTION("""COMPUTED_VALUE"""),"DL")</f>
        <v>DL</v>
      </c>
      <c r="I395" s="80">
        <f ca="1">IFERROR(__xludf.DUMMYFUNCTION("""COMPUTED_VALUE"""),2)</f>
        <v>2</v>
      </c>
      <c r="J395" s="81">
        <f ca="1">IFERROR(__xludf.DUMMYFUNCTION("""COMPUTED_VALUE"""),0)</f>
        <v>0</v>
      </c>
      <c r="K395" s="81">
        <f ca="1">IFERROR(__xludf.DUMMYFUNCTION("""COMPUTED_VALUE"""),0)</f>
        <v>0</v>
      </c>
      <c r="L395" s="81">
        <f ca="1">IFERROR(__xludf.DUMMYFUNCTION("""COMPUTED_VALUE"""),0)</f>
        <v>0</v>
      </c>
      <c r="M395" s="81"/>
      <c r="N395" s="81">
        <f ca="1">IFERROR(__xludf.DUMMYFUNCTION("""COMPUTED_VALUE"""),0)</f>
        <v>0</v>
      </c>
      <c r="O395" s="81"/>
      <c r="P395" s="81">
        <f ca="1">IFERROR(__xludf.DUMMYFUNCTION("""COMPUTED_VALUE"""),0)</f>
        <v>0</v>
      </c>
      <c r="Q395" s="81"/>
      <c r="R395" s="81">
        <f ca="1">IFERROR(__xludf.DUMMYFUNCTION("""COMPUTED_VALUE"""),0)</f>
        <v>0</v>
      </c>
      <c r="S395" s="81"/>
      <c r="T395" s="81"/>
      <c r="U395" s="82"/>
      <c r="V395" s="82"/>
      <c r="W395" s="83"/>
      <c r="X395" s="83"/>
      <c r="Y395" s="83"/>
    </row>
    <row r="396" spans="1:25" ht="13.8">
      <c r="A396" s="78" t="str">
        <f ca="1">IFERROR(__xludf.DUMMYFUNCTION("""COMPUTED_VALUE"""),"DL")</f>
        <v>DL</v>
      </c>
      <c r="B396" s="79" t="str">
        <f ca="1">IFERROR(__xludf.DUMMYFUNCTION("""COMPUTED_VALUE"""),"Megan Lam")</f>
        <v>Megan Lam</v>
      </c>
      <c r="C396" s="78">
        <f ca="1">IFERROR(__xludf.DUMMYFUNCTION("""COMPUTED_VALUE"""),9)</f>
        <v>9</v>
      </c>
      <c r="D396" s="78" t="str">
        <f ca="1">IFERROR(__xludf.DUMMYFUNCTION("""COMPUTED_VALUE"""),"G")</f>
        <v>G</v>
      </c>
      <c r="E396" s="80" t="str">
        <f ca="1">IFERROR(__xludf.DUMMYFUNCTION("""COMPUTED_VALUE"""),"F")</f>
        <v>F</v>
      </c>
      <c r="F396" s="80" t="str">
        <f ca="1">IFERROR(__xludf.DUMMYFUNCTION("""COMPUTED_VALUE"""),"J")</f>
        <v>J</v>
      </c>
      <c r="G396" s="80">
        <f ca="1">IFERROR(__xludf.DUMMYFUNCTION("""COMPUTED_VALUE"""),1)</f>
        <v>1</v>
      </c>
      <c r="H396" s="80" t="str">
        <f ca="1">IFERROR(__xludf.DUMMYFUNCTION("""COMPUTED_VALUE"""),"DL")</f>
        <v>DL</v>
      </c>
      <c r="I396" s="80">
        <f ca="1">IFERROR(__xludf.DUMMYFUNCTION("""COMPUTED_VALUE"""),2)</f>
        <v>2</v>
      </c>
      <c r="J396" s="81">
        <f ca="1">IFERROR(__xludf.DUMMYFUNCTION("""COMPUTED_VALUE"""),0)</f>
        <v>0</v>
      </c>
      <c r="K396" s="81">
        <f ca="1">IFERROR(__xludf.DUMMYFUNCTION("""COMPUTED_VALUE"""),0)</f>
        <v>0</v>
      </c>
      <c r="L396" s="81">
        <f ca="1">IFERROR(__xludf.DUMMYFUNCTION("""COMPUTED_VALUE"""),0)</f>
        <v>0</v>
      </c>
      <c r="M396" s="81"/>
      <c r="N396" s="81">
        <f ca="1">IFERROR(__xludf.DUMMYFUNCTION("""COMPUTED_VALUE"""),0)</f>
        <v>0</v>
      </c>
      <c r="O396" s="81"/>
      <c r="P396" s="81">
        <f ca="1">IFERROR(__xludf.DUMMYFUNCTION("""COMPUTED_VALUE"""),0)</f>
        <v>0</v>
      </c>
      <c r="Q396" s="81"/>
      <c r="R396" s="81">
        <f ca="1">IFERROR(__xludf.DUMMYFUNCTION("""COMPUTED_VALUE"""),0)</f>
        <v>0</v>
      </c>
      <c r="S396" s="81"/>
      <c r="T396" s="81"/>
      <c r="U396" s="82"/>
      <c r="V396" s="82"/>
      <c r="W396" s="83"/>
      <c r="X396" s="83"/>
      <c r="Y396" s="83"/>
    </row>
    <row r="397" spans="1:25" ht="13.8">
      <c r="A397" s="78" t="str">
        <f ca="1">IFERROR(__xludf.DUMMYFUNCTION("""COMPUTED_VALUE"""),"DL")</f>
        <v>DL</v>
      </c>
      <c r="B397" s="79" t="str">
        <f ca="1">IFERROR(__xludf.DUMMYFUNCTION("""COMPUTED_VALUE"""),"Erin Martonik")</f>
        <v>Erin Martonik</v>
      </c>
      <c r="C397" s="78">
        <f ca="1">IFERROR(__xludf.DUMMYFUNCTION("""COMPUTED_VALUE"""),9)</f>
        <v>9</v>
      </c>
      <c r="D397" s="78" t="str">
        <f ca="1">IFERROR(__xludf.DUMMYFUNCTION("""COMPUTED_VALUE"""),"G")</f>
        <v>G</v>
      </c>
      <c r="E397" s="80" t="str">
        <f ca="1">IFERROR(__xludf.DUMMYFUNCTION("""COMPUTED_VALUE"""),"F")</f>
        <v>F</v>
      </c>
      <c r="F397" s="80" t="str">
        <f ca="1">IFERROR(__xludf.DUMMYFUNCTION("""COMPUTED_VALUE"""),"J")</f>
        <v>J</v>
      </c>
      <c r="G397" s="80">
        <f ca="1">IFERROR(__xludf.DUMMYFUNCTION("""COMPUTED_VALUE"""),1)</f>
        <v>1</v>
      </c>
      <c r="H397" s="80" t="str">
        <f ca="1">IFERROR(__xludf.DUMMYFUNCTION("""COMPUTED_VALUE"""),"DL")</f>
        <v>DL</v>
      </c>
      <c r="I397" s="80">
        <f ca="1">IFERROR(__xludf.DUMMYFUNCTION("""COMPUTED_VALUE"""),2)</f>
        <v>2</v>
      </c>
      <c r="J397" s="81">
        <f ca="1">IFERROR(__xludf.DUMMYFUNCTION("""COMPUTED_VALUE"""),5)</f>
        <v>5</v>
      </c>
      <c r="K397" s="81">
        <f ca="1">IFERROR(__xludf.DUMMYFUNCTION("""COMPUTED_VALUE"""),67.4)</f>
        <v>67.400000000000006</v>
      </c>
      <c r="L397" s="81">
        <f ca="1">IFERROR(__xludf.DUMMYFUNCTION("""COMPUTED_VALUE"""),55.4)</f>
        <v>55.4</v>
      </c>
      <c r="M397" s="81"/>
      <c r="N397" s="81">
        <f ca="1">IFERROR(__xludf.DUMMYFUNCTION("""COMPUTED_VALUE"""),54.15)</f>
        <v>54.15</v>
      </c>
      <c r="O397" s="81"/>
      <c r="P397" s="81">
        <f ca="1">IFERROR(__xludf.DUMMYFUNCTION("""COMPUTED_VALUE"""),67.05)</f>
        <v>67.05</v>
      </c>
      <c r="Q397" s="81"/>
      <c r="R397" s="81">
        <f ca="1">IFERROR(__xludf.DUMMYFUNCTION("""COMPUTED_VALUE"""),67.4)</f>
        <v>67.400000000000006</v>
      </c>
      <c r="S397" s="81"/>
      <c r="T397" s="81"/>
      <c r="U397" s="82"/>
      <c r="V397" s="82"/>
      <c r="W397" s="83"/>
      <c r="X397" s="83"/>
      <c r="Y397" s="83"/>
    </row>
    <row r="398" spans="1:25" ht="13.8">
      <c r="A398" s="78" t="str">
        <f ca="1">IFERROR(__xludf.DUMMYFUNCTION("""COMPUTED_VALUE"""),"DL")</f>
        <v>DL</v>
      </c>
      <c r="B398" s="79" t="str">
        <f ca="1">IFERROR(__xludf.DUMMYFUNCTION("""COMPUTED_VALUE"""),"Addison Morgan")</f>
        <v>Addison Morgan</v>
      </c>
      <c r="C398" s="78">
        <f ca="1">IFERROR(__xludf.DUMMYFUNCTION("""COMPUTED_VALUE"""),8)</f>
        <v>8</v>
      </c>
      <c r="D398" s="78" t="str">
        <f ca="1">IFERROR(__xludf.DUMMYFUNCTION("""COMPUTED_VALUE"""),"G")</f>
        <v>G</v>
      </c>
      <c r="E398" s="80" t="str">
        <f ca="1">IFERROR(__xludf.DUMMYFUNCTION("""COMPUTED_VALUE"""),"F")</f>
        <v>F</v>
      </c>
      <c r="F398" s="80" t="str">
        <f ca="1">IFERROR(__xludf.DUMMYFUNCTION("""COMPUTED_VALUE"""),"J")</f>
        <v>J</v>
      </c>
      <c r="G398" s="80">
        <f ca="1">IFERROR(__xludf.DUMMYFUNCTION("""COMPUTED_VALUE"""),1)</f>
        <v>1</v>
      </c>
      <c r="H398" s="80" t="str">
        <f ca="1">IFERROR(__xludf.DUMMYFUNCTION("""COMPUTED_VALUE"""),"DL")</f>
        <v>DL</v>
      </c>
      <c r="I398" s="80">
        <f ca="1">IFERROR(__xludf.DUMMYFUNCTION("""COMPUTED_VALUE"""),2)</f>
        <v>2</v>
      </c>
      <c r="J398" s="81">
        <f ca="1">IFERROR(__xludf.DUMMYFUNCTION("""COMPUTED_VALUE"""),0)</f>
        <v>0</v>
      </c>
      <c r="K398" s="81">
        <f ca="1">IFERROR(__xludf.DUMMYFUNCTION("""COMPUTED_VALUE"""),0)</f>
        <v>0</v>
      </c>
      <c r="L398" s="81">
        <f ca="1">IFERROR(__xludf.DUMMYFUNCTION("""COMPUTED_VALUE"""),0)</f>
        <v>0</v>
      </c>
      <c r="M398" s="81"/>
      <c r="N398" s="81">
        <f ca="1">IFERROR(__xludf.DUMMYFUNCTION("""COMPUTED_VALUE"""),0)</f>
        <v>0</v>
      </c>
      <c r="O398" s="81"/>
      <c r="P398" s="81">
        <f ca="1">IFERROR(__xludf.DUMMYFUNCTION("""COMPUTED_VALUE"""),0)</f>
        <v>0</v>
      </c>
      <c r="Q398" s="81"/>
      <c r="R398" s="81">
        <f ca="1">IFERROR(__xludf.DUMMYFUNCTION("""COMPUTED_VALUE"""),0)</f>
        <v>0</v>
      </c>
      <c r="S398" s="81"/>
      <c r="T398" s="81"/>
      <c r="U398" s="82"/>
      <c r="V398" s="82"/>
      <c r="W398" s="83"/>
      <c r="X398" s="83"/>
      <c r="Y398" s="83"/>
    </row>
    <row r="399" spans="1:25" ht="13.8">
      <c r="A399" s="78" t="str">
        <f ca="1">IFERROR(__xludf.DUMMYFUNCTION("""COMPUTED_VALUE"""),"DL")</f>
        <v>DL</v>
      </c>
      <c r="B399" s="79" t="str">
        <f ca="1">IFERROR(__xludf.DUMMYFUNCTION("""COMPUTED_VALUE"""),"Sydney Motyleski")</f>
        <v>Sydney Motyleski</v>
      </c>
      <c r="C399" s="78">
        <f ca="1">IFERROR(__xludf.DUMMYFUNCTION("""COMPUTED_VALUE"""),6)</f>
        <v>6</v>
      </c>
      <c r="D399" s="78" t="str">
        <f ca="1">IFERROR(__xludf.DUMMYFUNCTION("""COMPUTED_VALUE"""),"G")</f>
        <v>G</v>
      </c>
      <c r="E399" s="80" t="str">
        <f ca="1">IFERROR(__xludf.DUMMYFUNCTION("""COMPUTED_VALUE"""),"F")</f>
        <v>F</v>
      </c>
      <c r="F399" s="80" t="str">
        <f ca="1">IFERROR(__xludf.DUMMYFUNCTION("""COMPUTED_VALUE"""),"J")</f>
        <v>J</v>
      </c>
      <c r="G399" s="80">
        <f ca="1">IFERROR(__xludf.DUMMYFUNCTION("""COMPUTED_VALUE"""),1)</f>
        <v>1</v>
      </c>
      <c r="H399" s="80" t="str">
        <f ca="1">IFERROR(__xludf.DUMMYFUNCTION("""COMPUTED_VALUE"""),"DL")</f>
        <v>DL</v>
      </c>
      <c r="I399" s="80">
        <f ca="1">IFERROR(__xludf.DUMMYFUNCTION("""COMPUTED_VALUE"""),2)</f>
        <v>2</v>
      </c>
      <c r="J399" s="81">
        <f ca="1">IFERROR(__xludf.DUMMYFUNCTION("""COMPUTED_VALUE"""),0)</f>
        <v>0</v>
      </c>
      <c r="K399" s="81">
        <f ca="1">IFERROR(__xludf.DUMMYFUNCTION("""COMPUTED_VALUE"""),0)</f>
        <v>0</v>
      </c>
      <c r="L399" s="81">
        <f ca="1">IFERROR(__xludf.DUMMYFUNCTION("""COMPUTED_VALUE"""),0)</f>
        <v>0</v>
      </c>
      <c r="M399" s="81"/>
      <c r="N399" s="81">
        <f ca="1">IFERROR(__xludf.DUMMYFUNCTION("""COMPUTED_VALUE"""),0)</f>
        <v>0</v>
      </c>
      <c r="O399" s="81"/>
      <c r="P399" s="81">
        <f ca="1">IFERROR(__xludf.DUMMYFUNCTION("""COMPUTED_VALUE"""),0)</f>
        <v>0</v>
      </c>
      <c r="Q399" s="81"/>
      <c r="R399" s="81">
        <f ca="1">IFERROR(__xludf.DUMMYFUNCTION("""COMPUTED_VALUE"""),0)</f>
        <v>0</v>
      </c>
      <c r="S399" s="81"/>
      <c r="T399" s="81"/>
      <c r="U399" s="82"/>
      <c r="V399" s="82"/>
      <c r="W399" s="83"/>
      <c r="X399" s="83"/>
      <c r="Y399" s="83"/>
    </row>
    <row r="400" spans="1:25" ht="13.8">
      <c r="A400" s="78" t="str">
        <f ca="1">IFERROR(__xludf.DUMMYFUNCTION("""COMPUTED_VALUE"""),"DL")</f>
        <v>DL</v>
      </c>
      <c r="B400" s="79" t="str">
        <f ca="1">IFERROR(__xludf.DUMMYFUNCTION("""COMPUTED_VALUE"""),"Alaina Ramella")</f>
        <v>Alaina Ramella</v>
      </c>
      <c r="C400" s="78">
        <f ca="1">IFERROR(__xludf.DUMMYFUNCTION("""COMPUTED_VALUE"""),8)</f>
        <v>8</v>
      </c>
      <c r="D400" s="78" t="str">
        <f ca="1">IFERROR(__xludf.DUMMYFUNCTION("""COMPUTED_VALUE"""),"G")</f>
        <v>G</v>
      </c>
      <c r="E400" s="80" t="str">
        <f ca="1">IFERROR(__xludf.DUMMYFUNCTION("""COMPUTED_VALUE"""),"F")</f>
        <v>F</v>
      </c>
      <c r="F400" s="80" t="str">
        <f ca="1">IFERROR(__xludf.DUMMYFUNCTION("""COMPUTED_VALUE"""),"J")</f>
        <v>J</v>
      </c>
      <c r="G400" s="80">
        <f ca="1">IFERROR(__xludf.DUMMYFUNCTION("""COMPUTED_VALUE"""),1)</f>
        <v>1</v>
      </c>
      <c r="H400" s="80" t="str">
        <f ca="1">IFERROR(__xludf.DUMMYFUNCTION("""COMPUTED_VALUE"""),"DL")</f>
        <v>DL</v>
      </c>
      <c r="I400" s="80">
        <f ca="1">IFERROR(__xludf.DUMMYFUNCTION("""COMPUTED_VALUE"""),2)</f>
        <v>2</v>
      </c>
      <c r="J400" s="81">
        <f ca="1">IFERROR(__xludf.DUMMYFUNCTION("""COMPUTED_VALUE"""),3)</f>
        <v>3</v>
      </c>
      <c r="K400" s="81">
        <f ca="1">IFERROR(__xludf.DUMMYFUNCTION("""COMPUTED_VALUE"""),33.55)</f>
        <v>33.549999999999997</v>
      </c>
      <c r="L400" s="81">
        <f ca="1">IFERROR(__xludf.DUMMYFUNCTION("""COMPUTED_VALUE"""),30.4)</f>
        <v>30.4</v>
      </c>
      <c r="M400" s="81"/>
      <c r="N400" s="81">
        <f ca="1">IFERROR(__xludf.DUMMYFUNCTION("""COMPUTED_VALUE"""),22.4)</f>
        <v>22.4</v>
      </c>
      <c r="O400" s="81"/>
      <c r="P400" s="81">
        <f ca="1">IFERROR(__xludf.DUMMYFUNCTION("""COMPUTED_VALUE"""),33.55)</f>
        <v>33.549999999999997</v>
      </c>
      <c r="Q400" s="81"/>
      <c r="R400" s="81">
        <f ca="1">IFERROR(__xludf.DUMMYFUNCTION("""COMPUTED_VALUE"""),0)</f>
        <v>0</v>
      </c>
      <c r="S400" s="81"/>
      <c r="T400" s="81"/>
      <c r="U400" s="82"/>
      <c r="V400" s="82"/>
      <c r="W400" s="83"/>
      <c r="X400" s="83"/>
      <c r="Y400" s="83"/>
    </row>
    <row r="401" spans="1:25" ht="13.8">
      <c r="A401" s="78" t="str">
        <f ca="1">IFERROR(__xludf.DUMMYFUNCTION("""COMPUTED_VALUE"""),"DL")</f>
        <v>DL</v>
      </c>
      <c r="B401" s="79" t="str">
        <f ca="1">IFERROR(__xludf.DUMMYFUNCTION("""COMPUTED_VALUE"""),"Ava Ramella")</f>
        <v>Ava Ramella</v>
      </c>
      <c r="C401" s="78">
        <f ca="1">IFERROR(__xludf.DUMMYFUNCTION("""COMPUTED_VALUE"""),8)</f>
        <v>8</v>
      </c>
      <c r="D401" s="78" t="str">
        <f ca="1">IFERROR(__xludf.DUMMYFUNCTION("""COMPUTED_VALUE"""),"G")</f>
        <v>G</v>
      </c>
      <c r="E401" s="80" t="str">
        <f ca="1">IFERROR(__xludf.DUMMYFUNCTION("""COMPUTED_VALUE"""),"F")</f>
        <v>F</v>
      </c>
      <c r="F401" s="80" t="str">
        <f ca="1">IFERROR(__xludf.DUMMYFUNCTION("""COMPUTED_VALUE"""),"J")</f>
        <v>J</v>
      </c>
      <c r="G401" s="80">
        <f ca="1">IFERROR(__xludf.DUMMYFUNCTION("""COMPUTED_VALUE"""),1)</f>
        <v>1</v>
      </c>
      <c r="H401" s="80" t="str">
        <f ca="1">IFERROR(__xludf.DUMMYFUNCTION("""COMPUTED_VALUE"""),"DL")</f>
        <v>DL</v>
      </c>
      <c r="I401" s="80">
        <f ca="1">IFERROR(__xludf.DUMMYFUNCTION("""COMPUTED_VALUE"""),2)</f>
        <v>2</v>
      </c>
      <c r="J401" s="81">
        <f ca="1">IFERROR(__xludf.DUMMYFUNCTION("""COMPUTED_VALUE"""),4)</f>
        <v>4</v>
      </c>
      <c r="K401" s="81">
        <f ca="1">IFERROR(__xludf.DUMMYFUNCTION("""COMPUTED_VALUE"""),35.45)</f>
        <v>35.450000000000003</v>
      </c>
      <c r="L401" s="81">
        <f ca="1">IFERROR(__xludf.DUMMYFUNCTION("""COMPUTED_VALUE"""),27.5)</f>
        <v>27.5</v>
      </c>
      <c r="M401" s="81"/>
      <c r="N401" s="81">
        <f ca="1">IFERROR(__xludf.DUMMYFUNCTION("""COMPUTED_VALUE"""),29.25)</f>
        <v>29.25</v>
      </c>
      <c r="O401" s="81"/>
      <c r="P401" s="81">
        <f ca="1">IFERROR(__xludf.DUMMYFUNCTION("""COMPUTED_VALUE"""),27.25)</f>
        <v>27.25</v>
      </c>
      <c r="Q401" s="81"/>
      <c r="R401" s="81">
        <f ca="1">IFERROR(__xludf.DUMMYFUNCTION("""COMPUTED_VALUE"""),35.45)</f>
        <v>35.450000000000003</v>
      </c>
      <c r="S401" s="81"/>
      <c r="T401" s="81"/>
      <c r="U401" s="82"/>
      <c r="V401" s="82"/>
      <c r="W401" s="83"/>
      <c r="X401" s="83"/>
      <c r="Y401" s="83"/>
    </row>
    <row r="402" spans="1:25" ht="13.8">
      <c r="A402" s="78" t="str">
        <f ca="1">IFERROR(__xludf.DUMMYFUNCTION("""COMPUTED_VALUE"""),"DL")</f>
        <v>DL</v>
      </c>
      <c r="B402" s="79" t="str">
        <f ca="1">IFERROR(__xludf.DUMMYFUNCTION("""COMPUTED_VALUE"""),"Elizabeth Rokita")</f>
        <v>Elizabeth Rokita</v>
      </c>
      <c r="C402" s="78">
        <f ca="1">IFERROR(__xludf.DUMMYFUNCTION("""COMPUTED_VALUE"""),10)</f>
        <v>10</v>
      </c>
      <c r="D402" s="78" t="str">
        <f ca="1">IFERROR(__xludf.DUMMYFUNCTION("""COMPUTED_VALUE"""),"G")</f>
        <v>G</v>
      </c>
      <c r="E402" s="80" t="str">
        <f ca="1">IFERROR(__xludf.DUMMYFUNCTION("""COMPUTED_VALUE"""),"F")</f>
        <v>F</v>
      </c>
      <c r="F402" s="80" t="str">
        <f ca="1">IFERROR(__xludf.DUMMYFUNCTION("""COMPUTED_VALUE"""),"J")</f>
        <v>J</v>
      </c>
      <c r="G402" s="80">
        <f ca="1">IFERROR(__xludf.DUMMYFUNCTION("""COMPUTED_VALUE"""),1)</f>
        <v>1</v>
      </c>
      <c r="H402" s="80" t="str">
        <f ca="1">IFERROR(__xludf.DUMMYFUNCTION("""COMPUTED_VALUE"""),"DL")</f>
        <v>DL</v>
      </c>
      <c r="I402" s="80">
        <f ca="1">IFERROR(__xludf.DUMMYFUNCTION("""COMPUTED_VALUE"""),2)</f>
        <v>2</v>
      </c>
      <c r="J402" s="81">
        <f ca="1">IFERROR(__xludf.DUMMYFUNCTION("""COMPUTED_VALUE"""),0)</f>
        <v>0</v>
      </c>
      <c r="K402" s="81">
        <f ca="1">IFERROR(__xludf.DUMMYFUNCTION("""COMPUTED_VALUE"""),0)</f>
        <v>0</v>
      </c>
      <c r="L402" s="81">
        <f ca="1">IFERROR(__xludf.DUMMYFUNCTION("""COMPUTED_VALUE"""),0)</f>
        <v>0</v>
      </c>
      <c r="M402" s="81"/>
      <c r="N402" s="81">
        <f ca="1">IFERROR(__xludf.DUMMYFUNCTION("""COMPUTED_VALUE"""),0)</f>
        <v>0</v>
      </c>
      <c r="O402" s="81"/>
      <c r="P402" s="81">
        <f ca="1">IFERROR(__xludf.DUMMYFUNCTION("""COMPUTED_VALUE"""),0)</f>
        <v>0</v>
      </c>
      <c r="Q402" s="81"/>
      <c r="R402" s="81">
        <f ca="1">IFERROR(__xludf.DUMMYFUNCTION("""COMPUTED_VALUE"""),0)</f>
        <v>0</v>
      </c>
      <c r="S402" s="81"/>
      <c r="T402" s="81"/>
      <c r="U402" s="82"/>
      <c r="V402" s="82"/>
      <c r="W402" s="83"/>
      <c r="X402" s="83"/>
      <c r="Y402" s="83"/>
    </row>
    <row r="403" spans="1:25" ht="13.8">
      <c r="A403" s="78" t="str">
        <f ca="1">IFERROR(__xludf.DUMMYFUNCTION("""COMPUTED_VALUE"""),"DL")</f>
        <v>DL</v>
      </c>
      <c r="B403" s="79" t="str">
        <f ca="1">IFERROR(__xludf.DUMMYFUNCTION("""COMPUTED_VALUE"""),"Oriana Samaniego")</f>
        <v>Oriana Samaniego</v>
      </c>
      <c r="C403" s="78">
        <f ca="1">IFERROR(__xludf.DUMMYFUNCTION("""COMPUTED_VALUE"""),10)</f>
        <v>10</v>
      </c>
      <c r="D403" s="78" t="str">
        <f ca="1">IFERROR(__xludf.DUMMYFUNCTION("""COMPUTED_VALUE"""),"G")</f>
        <v>G</v>
      </c>
      <c r="E403" s="80" t="str">
        <f ca="1">IFERROR(__xludf.DUMMYFUNCTION("""COMPUTED_VALUE"""),"F")</f>
        <v>F</v>
      </c>
      <c r="F403" s="80" t="str">
        <f ca="1">IFERROR(__xludf.DUMMYFUNCTION("""COMPUTED_VALUE"""),"J")</f>
        <v>J</v>
      </c>
      <c r="G403" s="80">
        <f ca="1">IFERROR(__xludf.DUMMYFUNCTION("""COMPUTED_VALUE"""),1)</f>
        <v>1</v>
      </c>
      <c r="H403" s="80" t="str">
        <f ca="1">IFERROR(__xludf.DUMMYFUNCTION("""COMPUTED_VALUE"""),"DL")</f>
        <v>DL</v>
      </c>
      <c r="I403" s="80">
        <f ca="1">IFERROR(__xludf.DUMMYFUNCTION("""COMPUTED_VALUE"""),2)</f>
        <v>2</v>
      </c>
      <c r="J403" s="81">
        <f ca="1">IFERROR(__xludf.DUMMYFUNCTION("""COMPUTED_VALUE"""),0)</f>
        <v>0</v>
      </c>
      <c r="K403" s="81">
        <f ca="1">IFERROR(__xludf.DUMMYFUNCTION("""COMPUTED_VALUE"""),0)</f>
        <v>0</v>
      </c>
      <c r="L403" s="81">
        <f ca="1">IFERROR(__xludf.DUMMYFUNCTION("""COMPUTED_VALUE"""),0)</f>
        <v>0</v>
      </c>
      <c r="M403" s="81"/>
      <c r="N403" s="81">
        <f ca="1">IFERROR(__xludf.DUMMYFUNCTION("""COMPUTED_VALUE"""),0)</f>
        <v>0</v>
      </c>
      <c r="O403" s="81"/>
      <c r="P403" s="81">
        <f ca="1">IFERROR(__xludf.DUMMYFUNCTION("""COMPUTED_VALUE"""),0)</f>
        <v>0</v>
      </c>
      <c r="Q403" s="81"/>
      <c r="R403" s="81">
        <f ca="1">IFERROR(__xludf.DUMMYFUNCTION("""COMPUTED_VALUE"""),0)</f>
        <v>0</v>
      </c>
      <c r="S403" s="81"/>
      <c r="T403" s="81"/>
      <c r="U403" s="82"/>
      <c r="V403" s="82"/>
      <c r="W403" s="83"/>
      <c r="X403" s="83"/>
      <c r="Y403" s="83"/>
    </row>
    <row r="404" spans="1:25" ht="13.8">
      <c r="A404" s="78" t="str">
        <f ca="1">IFERROR(__xludf.DUMMYFUNCTION("""COMPUTED_VALUE"""),"DL")</f>
        <v>DL</v>
      </c>
      <c r="B404" s="79" t="str">
        <f ca="1">IFERROR(__xludf.DUMMYFUNCTION("""COMPUTED_VALUE"""),"Barbara Santley")</f>
        <v>Barbara Santley</v>
      </c>
      <c r="C404" s="78">
        <f ca="1">IFERROR(__xludf.DUMMYFUNCTION("""COMPUTED_VALUE"""),9)</f>
        <v>9</v>
      </c>
      <c r="D404" s="78" t="str">
        <f ca="1">IFERROR(__xludf.DUMMYFUNCTION("""COMPUTED_VALUE"""),"G")</f>
        <v>G</v>
      </c>
      <c r="E404" s="80" t="str">
        <f ca="1">IFERROR(__xludf.DUMMYFUNCTION("""COMPUTED_VALUE"""),"F")</f>
        <v>F</v>
      </c>
      <c r="F404" s="80" t="str">
        <f ca="1">IFERROR(__xludf.DUMMYFUNCTION("""COMPUTED_VALUE"""),"J")</f>
        <v>J</v>
      </c>
      <c r="G404" s="80">
        <f ca="1">IFERROR(__xludf.DUMMYFUNCTION("""COMPUTED_VALUE"""),1)</f>
        <v>1</v>
      </c>
      <c r="H404" s="80" t="str">
        <f ca="1">IFERROR(__xludf.DUMMYFUNCTION("""COMPUTED_VALUE"""),"DL")</f>
        <v>DL</v>
      </c>
      <c r="I404" s="80">
        <f ca="1">IFERROR(__xludf.DUMMYFUNCTION("""COMPUTED_VALUE"""),2)</f>
        <v>2</v>
      </c>
      <c r="J404" s="81">
        <f ca="1">IFERROR(__xludf.DUMMYFUNCTION("""COMPUTED_VALUE"""),0)</f>
        <v>0</v>
      </c>
      <c r="K404" s="81">
        <f ca="1">IFERROR(__xludf.DUMMYFUNCTION("""COMPUTED_VALUE"""),0)</f>
        <v>0</v>
      </c>
      <c r="L404" s="81">
        <f ca="1">IFERROR(__xludf.DUMMYFUNCTION("""COMPUTED_VALUE"""),0)</f>
        <v>0</v>
      </c>
      <c r="M404" s="81"/>
      <c r="N404" s="81">
        <f ca="1">IFERROR(__xludf.DUMMYFUNCTION("""COMPUTED_VALUE"""),0)</f>
        <v>0</v>
      </c>
      <c r="O404" s="81"/>
      <c r="P404" s="81">
        <f ca="1">IFERROR(__xludf.DUMMYFUNCTION("""COMPUTED_VALUE"""),0)</f>
        <v>0</v>
      </c>
      <c r="Q404" s="81"/>
      <c r="R404" s="81">
        <f ca="1">IFERROR(__xludf.DUMMYFUNCTION("""COMPUTED_VALUE"""),0)</f>
        <v>0</v>
      </c>
      <c r="S404" s="81"/>
      <c r="T404" s="81"/>
      <c r="U404" s="82"/>
      <c r="V404" s="82"/>
      <c r="W404" s="83"/>
      <c r="X404" s="83"/>
      <c r="Y404" s="83"/>
    </row>
    <row r="405" spans="1:25" ht="13.8">
      <c r="A405" s="78" t="str">
        <f ca="1">IFERROR(__xludf.DUMMYFUNCTION("""COMPUTED_VALUE"""),"DL")</f>
        <v>DL</v>
      </c>
      <c r="B405" s="79" t="str">
        <f ca="1">IFERROR(__xludf.DUMMYFUNCTION("""COMPUTED_VALUE"""),"Charlotte Scott")</f>
        <v>Charlotte Scott</v>
      </c>
      <c r="C405" s="78">
        <f ca="1">IFERROR(__xludf.DUMMYFUNCTION("""COMPUTED_VALUE"""),8)</f>
        <v>8</v>
      </c>
      <c r="D405" s="78" t="str">
        <f ca="1">IFERROR(__xludf.DUMMYFUNCTION("""COMPUTED_VALUE"""),"G")</f>
        <v>G</v>
      </c>
      <c r="E405" s="80" t="str">
        <f ca="1">IFERROR(__xludf.DUMMYFUNCTION("""COMPUTED_VALUE"""),"F")</f>
        <v>F</v>
      </c>
      <c r="F405" s="80" t="str">
        <f ca="1">IFERROR(__xludf.DUMMYFUNCTION("""COMPUTED_VALUE"""),"J")</f>
        <v>J</v>
      </c>
      <c r="G405" s="80">
        <f ca="1">IFERROR(__xludf.DUMMYFUNCTION("""COMPUTED_VALUE"""),1)</f>
        <v>1</v>
      </c>
      <c r="H405" s="80" t="str">
        <f ca="1">IFERROR(__xludf.DUMMYFUNCTION("""COMPUTED_VALUE"""),"DL")</f>
        <v>DL</v>
      </c>
      <c r="I405" s="80">
        <f ca="1">IFERROR(__xludf.DUMMYFUNCTION("""COMPUTED_VALUE"""),2)</f>
        <v>2</v>
      </c>
      <c r="J405" s="81">
        <f ca="1">IFERROR(__xludf.DUMMYFUNCTION("""COMPUTED_VALUE"""),0)</f>
        <v>0</v>
      </c>
      <c r="K405" s="81">
        <f ca="1">IFERROR(__xludf.DUMMYFUNCTION("""COMPUTED_VALUE"""),0)</f>
        <v>0</v>
      </c>
      <c r="L405" s="81">
        <f ca="1">IFERROR(__xludf.DUMMYFUNCTION("""COMPUTED_VALUE"""),0)</f>
        <v>0</v>
      </c>
      <c r="M405" s="81"/>
      <c r="N405" s="81">
        <f ca="1">IFERROR(__xludf.DUMMYFUNCTION("""COMPUTED_VALUE"""),0)</f>
        <v>0</v>
      </c>
      <c r="O405" s="81"/>
      <c r="P405" s="81">
        <f ca="1">IFERROR(__xludf.DUMMYFUNCTION("""COMPUTED_VALUE"""),0)</f>
        <v>0</v>
      </c>
      <c r="Q405" s="81"/>
      <c r="R405" s="81">
        <f ca="1">IFERROR(__xludf.DUMMYFUNCTION("""COMPUTED_VALUE"""),0)</f>
        <v>0</v>
      </c>
      <c r="S405" s="81"/>
      <c r="T405" s="81"/>
      <c r="U405" s="82"/>
      <c r="V405" s="82"/>
      <c r="W405" s="83"/>
      <c r="X405" s="83"/>
      <c r="Y405" s="83"/>
    </row>
    <row r="406" spans="1:25" ht="13.8">
      <c r="A406" s="78" t="str">
        <f ca="1">IFERROR(__xludf.DUMMYFUNCTION("""COMPUTED_VALUE"""),"DL")</f>
        <v>DL</v>
      </c>
      <c r="B406" s="79" t="str">
        <f ca="1">IFERROR(__xludf.DUMMYFUNCTION("""COMPUTED_VALUE"""),"Mara Zulauf")</f>
        <v>Mara Zulauf</v>
      </c>
      <c r="C406" s="78">
        <f ca="1">IFERROR(__xludf.DUMMYFUNCTION("""COMPUTED_VALUE"""),10)</f>
        <v>10</v>
      </c>
      <c r="D406" s="78" t="str">
        <f ca="1">IFERROR(__xludf.DUMMYFUNCTION("""COMPUTED_VALUE"""),"G")</f>
        <v>G</v>
      </c>
      <c r="E406" s="80" t="str">
        <f ca="1">IFERROR(__xludf.DUMMYFUNCTION("""COMPUTED_VALUE"""),"F")</f>
        <v>F</v>
      </c>
      <c r="F406" s="80" t="str">
        <f ca="1">IFERROR(__xludf.DUMMYFUNCTION("""COMPUTED_VALUE"""),"J")</f>
        <v>J</v>
      </c>
      <c r="G406" s="80">
        <f ca="1">IFERROR(__xludf.DUMMYFUNCTION("""COMPUTED_VALUE"""),1)</f>
        <v>1</v>
      </c>
      <c r="H406" s="80" t="str">
        <f ca="1">IFERROR(__xludf.DUMMYFUNCTION("""COMPUTED_VALUE"""),"DL")</f>
        <v>DL</v>
      </c>
      <c r="I406" s="80">
        <f ca="1">IFERROR(__xludf.DUMMYFUNCTION("""COMPUTED_VALUE"""),2)</f>
        <v>2</v>
      </c>
      <c r="J406" s="81">
        <f ca="1">IFERROR(__xludf.DUMMYFUNCTION("""COMPUTED_VALUE"""),0)</f>
        <v>0</v>
      </c>
      <c r="K406" s="81">
        <f ca="1">IFERROR(__xludf.DUMMYFUNCTION("""COMPUTED_VALUE"""),0)</f>
        <v>0</v>
      </c>
      <c r="L406" s="81">
        <f ca="1">IFERROR(__xludf.DUMMYFUNCTION("""COMPUTED_VALUE"""),0)</f>
        <v>0</v>
      </c>
      <c r="M406" s="81"/>
      <c r="N406" s="81">
        <f ca="1">IFERROR(__xludf.DUMMYFUNCTION("""COMPUTED_VALUE"""),0)</f>
        <v>0</v>
      </c>
      <c r="O406" s="81"/>
      <c r="P406" s="81">
        <f ca="1">IFERROR(__xludf.DUMMYFUNCTION("""COMPUTED_VALUE"""),0)</f>
        <v>0</v>
      </c>
      <c r="Q406" s="81"/>
      <c r="R406" s="81">
        <f ca="1">IFERROR(__xludf.DUMMYFUNCTION("""COMPUTED_VALUE"""),0)</f>
        <v>0</v>
      </c>
      <c r="S406" s="81"/>
      <c r="T406" s="81"/>
      <c r="U406" s="82"/>
      <c r="V406" s="82"/>
      <c r="W406" s="83"/>
      <c r="X406" s="83"/>
      <c r="Y406" s="83"/>
    </row>
    <row r="407" spans="1:25" ht="13.8">
      <c r="A407" s="78" t="str">
        <f ca="1">IFERROR(__xludf.DUMMYFUNCTION("""COMPUTED_VALUE"""),"DL")</f>
        <v>DL</v>
      </c>
      <c r="B407" s="79" t="str">
        <f ca="1">IFERROR(__xludf.DUMMYFUNCTION("""COMPUTED_VALUE"""),"Ethan Ahasan")</f>
        <v>Ethan Ahasan</v>
      </c>
      <c r="C407" s="78">
        <f ca="1">IFERROR(__xludf.DUMMYFUNCTION("""COMPUTED_VALUE"""),7)</f>
        <v>7</v>
      </c>
      <c r="D407" s="78" t="str">
        <f ca="1">IFERROR(__xludf.DUMMYFUNCTION("""COMPUTED_VALUE"""),"B")</f>
        <v>B</v>
      </c>
      <c r="E407" s="80" t="str">
        <f ca="1">IFERROR(__xludf.DUMMYFUNCTION("""COMPUTED_VALUE"""),"F")</f>
        <v>F</v>
      </c>
      <c r="F407" s="80" t="str">
        <f ca="1">IFERROR(__xludf.DUMMYFUNCTION("""COMPUTED_VALUE"""),"J")</f>
        <v>J</v>
      </c>
      <c r="G407" s="80">
        <f ca="1">IFERROR(__xludf.DUMMYFUNCTION("""COMPUTED_VALUE"""),1)</f>
        <v>1</v>
      </c>
      <c r="H407" s="80" t="str">
        <f ca="1">IFERROR(__xludf.DUMMYFUNCTION("""COMPUTED_VALUE"""),"DL")</f>
        <v>DL</v>
      </c>
      <c r="I407" s="80">
        <f ca="1">IFERROR(__xludf.DUMMYFUNCTION("""COMPUTED_VALUE"""),3)</f>
        <v>3</v>
      </c>
      <c r="J407" s="81">
        <f ca="1">IFERROR(__xludf.DUMMYFUNCTION("""COMPUTED_VALUE"""),0)</f>
        <v>0</v>
      </c>
      <c r="K407" s="81">
        <f ca="1">IFERROR(__xludf.DUMMYFUNCTION("""COMPUTED_VALUE"""),0)</f>
        <v>0</v>
      </c>
      <c r="L407" s="81">
        <f ca="1">IFERROR(__xludf.DUMMYFUNCTION("""COMPUTED_VALUE"""),0)</f>
        <v>0</v>
      </c>
      <c r="M407" s="81"/>
      <c r="N407" s="81">
        <f ca="1">IFERROR(__xludf.DUMMYFUNCTION("""COMPUTED_VALUE"""),0)</f>
        <v>0</v>
      </c>
      <c r="O407" s="81"/>
      <c r="P407" s="81">
        <f ca="1">IFERROR(__xludf.DUMMYFUNCTION("""COMPUTED_VALUE"""),0)</f>
        <v>0</v>
      </c>
      <c r="Q407" s="81"/>
      <c r="R407" s="81">
        <f ca="1">IFERROR(__xludf.DUMMYFUNCTION("""COMPUTED_VALUE"""),0)</f>
        <v>0</v>
      </c>
      <c r="S407" s="81"/>
      <c r="T407" s="81"/>
      <c r="U407" s="82"/>
      <c r="V407" s="82"/>
      <c r="W407" s="83"/>
      <c r="X407" s="83"/>
      <c r="Y407" s="83"/>
    </row>
    <row r="408" spans="1:25" ht="13.8">
      <c r="A408" s="78" t="str">
        <f ca="1">IFERROR(__xludf.DUMMYFUNCTION("""COMPUTED_VALUE"""),"DL")</f>
        <v>DL</v>
      </c>
      <c r="B408" s="79" t="str">
        <f ca="1">IFERROR(__xludf.DUMMYFUNCTION("""COMPUTED_VALUE"""),"Zouli Alexandratos")</f>
        <v>Zouli Alexandratos</v>
      </c>
      <c r="C408" s="78">
        <f ca="1">IFERROR(__xludf.DUMMYFUNCTION("""COMPUTED_VALUE"""),10)</f>
        <v>10</v>
      </c>
      <c r="D408" s="78" t="str">
        <f ca="1">IFERROR(__xludf.DUMMYFUNCTION("""COMPUTED_VALUE"""),"B")</f>
        <v>B</v>
      </c>
      <c r="E408" s="80" t="str">
        <f ca="1">IFERROR(__xludf.DUMMYFUNCTION("""COMPUTED_VALUE"""),"F")</f>
        <v>F</v>
      </c>
      <c r="F408" s="80" t="str">
        <f ca="1">IFERROR(__xludf.DUMMYFUNCTION("""COMPUTED_VALUE"""),"J")</f>
        <v>J</v>
      </c>
      <c r="G408" s="80">
        <f ca="1">IFERROR(__xludf.DUMMYFUNCTION("""COMPUTED_VALUE"""),1)</f>
        <v>1</v>
      </c>
      <c r="H408" s="80" t="str">
        <f ca="1">IFERROR(__xludf.DUMMYFUNCTION("""COMPUTED_VALUE"""),"DL")</f>
        <v>DL</v>
      </c>
      <c r="I408" s="80">
        <f ca="1">IFERROR(__xludf.DUMMYFUNCTION("""COMPUTED_VALUE"""),3)</f>
        <v>3</v>
      </c>
      <c r="J408" s="81">
        <f ca="1">IFERROR(__xludf.DUMMYFUNCTION("""COMPUTED_VALUE"""),3)</f>
        <v>3</v>
      </c>
      <c r="K408" s="81">
        <f ca="1">IFERROR(__xludf.DUMMYFUNCTION("""COMPUTED_VALUE"""),33.05)</f>
        <v>33.049999999999997</v>
      </c>
      <c r="L408" s="81">
        <f ca="1">IFERROR(__xludf.DUMMYFUNCTION("""COMPUTED_VALUE"""),0)</f>
        <v>0</v>
      </c>
      <c r="M408" s="81"/>
      <c r="N408" s="81">
        <f ca="1">IFERROR(__xludf.DUMMYFUNCTION("""COMPUTED_VALUE"""),0)</f>
        <v>0</v>
      </c>
      <c r="O408" s="81"/>
      <c r="P408" s="81">
        <f ca="1">IFERROR(__xludf.DUMMYFUNCTION("""COMPUTED_VALUE"""),33.05)</f>
        <v>33.049999999999997</v>
      </c>
      <c r="Q408" s="81"/>
      <c r="R408" s="81">
        <f ca="1">IFERROR(__xludf.DUMMYFUNCTION("""COMPUTED_VALUE"""),30.8)</f>
        <v>30.8</v>
      </c>
      <c r="S408" s="81"/>
      <c r="T408" s="81"/>
      <c r="U408" s="82"/>
      <c r="V408" s="82"/>
      <c r="W408" s="83"/>
      <c r="X408" s="83"/>
      <c r="Y408" s="83"/>
    </row>
    <row r="409" spans="1:25" ht="13.8">
      <c r="A409" s="78" t="str">
        <f ca="1">IFERROR(__xludf.DUMMYFUNCTION("""COMPUTED_VALUE"""),"DL")</f>
        <v>DL</v>
      </c>
      <c r="B409" s="79" t="str">
        <f ca="1">IFERROR(__xludf.DUMMYFUNCTION("""COMPUTED_VALUE"""),"Kalyan Choksi")</f>
        <v>Kalyan Choksi</v>
      </c>
      <c r="C409" s="78">
        <f ca="1">IFERROR(__xludf.DUMMYFUNCTION("""COMPUTED_VALUE"""),10)</f>
        <v>10</v>
      </c>
      <c r="D409" s="78" t="str">
        <f ca="1">IFERROR(__xludf.DUMMYFUNCTION("""COMPUTED_VALUE"""),"B")</f>
        <v>B</v>
      </c>
      <c r="E409" s="80" t="str">
        <f ca="1">IFERROR(__xludf.DUMMYFUNCTION("""COMPUTED_VALUE"""),"F")</f>
        <v>F</v>
      </c>
      <c r="F409" s="80" t="str">
        <f ca="1">IFERROR(__xludf.DUMMYFUNCTION("""COMPUTED_VALUE"""),"J")</f>
        <v>J</v>
      </c>
      <c r="G409" s="80">
        <f ca="1">IFERROR(__xludf.DUMMYFUNCTION("""COMPUTED_VALUE"""),1)</f>
        <v>1</v>
      </c>
      <c r="H409" s="80" t="str">
        <f ca="1">IFERROR(__xludf.DUMMYFUNCTION("""COMPUTED_VALUE"""),"DL")</f>
        <v>DL</v>
      </c>
      <c r="I409" s="80">
        <f ca="1">IFERROR(__xludf.DUMMYFUNCTION("""COMPUTED_VALUE"""),3)</f>
        <v>3</v>
      </c>
      <c r="J409" s="81">
        <f ca="1">IFERROR(__xludf.DUMMYFUNCTION("""COMPUTED_VALUE"""),0)</f>
        <v>0</v>
      </c>
      <c r="K409" s="81">
        <f ca="1">IFERROR(__xludf.DUMMYFUNCTION("""COMPUTED_VALUE"""),0)</f>
        <v>0</v>
      </c>
      <c r="L409" s="81">
        <f ca="1">IFERROR(__xludf.DUMMYFUNCTION("""COMPUTED_VALUE"""),0)</f>
        <v>0</v>
      </c>
      <c r="M409" s="81"/>
      <c r="N409" s="81">
        <f ca="1">IFERROR(__xludf.DUMMYFUNCTION("""COMPUTED_VALUE"""),0)</f>
        <v>0</v>
      </c>
      <c r="O409" s="81"/>
      <c r="P409" s="81">
        <f ca="1">IFERROR(__xludf.DUMMYFUNCTION("""COMPUTED_VALUE"""),0)</f>
        <v>0</v>
      </c>
      <c r="Q409" s="81"/>
      <c r="R409" s="81">
        <f ca="1">IFERROR(__xludf.DUMMYFUNCTION("""COMPUTED_VALUE"""),0)</f>
        <v>0</v>
      </c>
      <c r="S409" s="81"/>
      <c r="T409" s="81"/>
      <c r="U409" s="82"/>
      <c r="V409" s="82"/>
      <c r="W409" s="83"/>
      <c r="X409" s="83"/>
      <c r="Y409" s="83"/>
    </row>
    <row r="410" spans="1:25" ht="13.8">
      <c r="A410" s="78" t="str">
        <f ca="1">IFERROR(__xludf.DUMMYFUNCTION("""COMPUTED_VALUE"""),"DL")</f>
        <v>DL</v>
      </c>
      <c r="B410" s="79" t="str">
        <f ca="1">IFERROR(__xludf.DUMMYFUNCTION("""COMPUTED_VALUE"""),"TJ DeSando")</f>
        <v>TJ DeSando</v>
      </c>
      <c r="C410" s="78">
        <f ca="1">IFERROR(__xludf.DUMMYFUNCTION("""COMPUTED_VALUE"""),8)</f>
        <v>8</v>
      </c>
      <c r="D410" s="78" t="str">
        <f ca="1">IFERROR(__xludf.DUMMYFUNCTION("""COMPUTED_VALUE"""),"B")</f>
        <v>B</v>
      </c>
      <c r="E410" s="80" t="str">
        <f ca="1">IFERROR(__xludf.DUMMYFUNCTION("""COMPUTED_VALUE"""),"F")</f>
        <v>F</v>
      </c>
      <c r="F410" s="80" t="str">
        <f ca="1">IFERROR(__xludf.DUMMYFUNCTION("""COMPUTED_VALUE"""),"J")</f>
        <v>J</v>
      </c>
      <c r="G410" s="80">
        <f ca="1">IFERROR(__xludf.DUMMYFUNCTION("""COMPUTED_VALUE"""),1)</f>
        <v>1</v>
      </c>
      <c r="H410" s="80" t="str">
        <f ca="1">IFERROR(__xludf.DUMMYFUNCTION("""COMPUTED_VALUE"""),"DL")</f>
        <v>DL</v>
      </c>
      <c r="I410" s="80">
        <f ca="1">IFERROR(__xludf.DUMMYFUNCTION("""COMPUTED_VALUE"""),3)</f>
        <v>3</v>
      </c>
      <c r="J410" s="81">
        <f ca="1">IFERROR(__xludf.DUMMYFUNCTION("""COMPUTED_VALUE"""),2)</f>
        <v>2</v>
      </c>
      <c r="K410" s="81">
        <f ca="1">IFERROR(__xludf.DUMMYFUNCTION("""COMPUTED_VALUE"""),43.05)</f>
        <v>43.05</v>
      </c>
      <c r="L410" s="81">
        <f ca="1">IFERROR(__xludf.DUMMYFUNCTION("""COMPUTED_VALUE"""),0)</f>
        <v>0</v>
      </c>
      <c r="M410" s="81"/>
      <c r="N410" s="81">
        <f ca="1">IFERROR(__xludf.DUMMYFUNCTION("""COMPUTED_VALUE"""),0)</f>
        <v>0</v>
      </c>
      <c r="O410" s="81"/>
      <c r="P410" s="81">
        <f ca="1">IFERROR(__xludf.DUMMYFUNCTION("""COMPUTED_VALUE"""),0)</f>
        <v>0</v>
      </c>
      <c r="Q410" s="81"/>
      <c r="R410" s="81">
        <f ca="1">IFERROR(__xludf.DUMMYFUNCTION("""COMPUTED_VALUE"""),43.05)</f>
        <v>43.05</v>
      </c>
      <c r="S410" s="81"/>
      <c r="T410" s="81"/>
      <c r="U410" s="82"/>
      <c r="V410" s="82"/>
      <c r="W410" s="83"/>
      <c r="X410" s="83"/>
      <c r="Y410" s="83"/>
    </row>
    <row r="411" spans="1:25" ht="13.8">
      <c r="A411" s="78" t="str">
        <f ca="1">IFERROR(__xludf.DUMMYFUNCTION("""COMPUTED_VALUE"""),"DL")</f>
        <v>DL</v>
      </c>
      <c r="B411" s="79" t="str">
        <f ca="1">IFERROR(__xludf.DUMMYFUNCTION("""COMPUTED_VALUE"""),"Owen Eastep")</f>
        <v>Owen Eastep</v>
      </c>
      <c r="C411" s="78">
        <f ca="1">IFERROR(__xludf.DUMMYFUNCTION("""COMPUTED_VALUE"""),9)</f>
        <v>9</v>
      </c>
      <c r="D411" s="78" t="str">
        <f ca="1">IFERROR(__xludf.DUMMYFUNCTION("""COMPUTED_VALUE"""),"B")</f>
        <v>B</v>
      </c>
      <c r="E411" s="80" t="str">
        <f ca="1">IFERROR(__xludf.DUMMYFUNCTION("""COMPUTED_VALUE"""),"F")</f>
        <v>F</v>
      </c>
      <c r="F411" s="80" t="str">
        <f ca="1">IFERROR(__xludf.DUMMYFUNCTION("""COMPUTED_VALUE"""),"J")</f>
        <v>J</v>
      </c>
      <c r="G411" s="80">
        <f ca="1">IFERROR(__xludf.DUMMYFUNCTION("""COMPUTED_VALUE"""),1)</f>
        <v>1</v>
      </c>
      <c r="H411" s="80" t="str">
        <f ca="1">IFERROR(__xludf.DUMMYFUNCTION("""COMPUTED_VALUE"""),"DL")</f>
        <v>DL</v>
      </c>
      <c r="I411" s="80">
        <f ca="1">IFERROR(__xludf.DUMMYFUNCTION("""COMPUTED_VALUE"""),3)</f>
        <v>3</v>
      </c>
      <c r="J411" s="81">
        <f ca="1">IFERROR(__xludf.DUMMYFUNCTION("""COMPUTED_VALUE"""),1)</f>
        <v>1</v>
      </c>
      <c r="K411" s="81">
        <f ca="1">IFERROR(__xludf.DUMMYFUNCTION("""COMPUTED_VALUE"""),0)</f>
        <v>0</v>
      </c>
      <c r="L411" s="81">
        <f ca="1">IFERROR(__xludf.DUMMYFUNCTION("""COMPUTED_VALUE"""),0)</f>
        <v>0</v>
      </c>
      <c r="M411" s="81"/>
      <c r="N411" s="81">
        <f ca="1">IFERROR(__xludf.DUMMYFUNCTION("""COMPUTED_VALUE"""),0)</f>
        <v>0</v>
      </c>
      <c r="O411" s="81"/>
      <c r="P411" s="81">
        <f ca="1">IFERROR(__xludf.DUMMYFUNCTION("""COMPUTED_VALUE"""),0)</f>
        <v>0</v>
      </c>
      <c r="Q411" s="81"/>
      <c r="R411" s="81">
        <f ca="1">IFERROR(__xludf.DUMMYFUNCTION("""COMPUTED_VALUE"""),0)</f>
        <v>0</v>
      </c>
      <c r="S411" s="81"/>
      <c r="T411" s="81"/>
      <c r="U411" s="82"/>
      <c r="V411" s="82"/>
      <c r="W411" s="83"/>
      <c r="X411" s="83"/>
      <c r="Y411" s="83"/>
    </row>
    <row r="412" spans="1:25" ht="13.8">
      <c r="A412" s="78" t="str">
        <f ca="1">IFERROR(__xludf.DUMMYFUNCTION("""COMPUTED_VALUE"""),"DL")</f>
        <v>DL</v>
      </c>
      <c r="B412" s="79" t="str">
        <f ca="1">IFERROR(__xludf.DUMMYFUNCTION("""COMPUTED_VALUE"""),"Braeden Epley")</f>
        <v>Braeden Epley</v>
      </c>
      <c r="C412" s="78">
        <f ca="1">IFERROR(__xludf.DUMMYFUNCTION("""COMPUTED_VALUE"""),8)</f>
        <v>8</v>
      </c>
      <c r="D412" s="78" t="str">
        <f ca="1">IFERROR(__xludf.DUMMYFUNCTION("""COMPUTED_VALUE"""),"B")</f>
        <v>B</v>
      </c>
      <c r="E412" s="80" t="str">
        <f ca="1">IFERROR(__xludf.DUMMYFUNCTION("""COMPUTED_VALUE"""),"F")</f>
        <v>F</v>
      </c>
      <c r="F412" s="80" t="str">
        <f ca="1">IFERROR(__xludf.DUMMYFUNCTION("""COMPUTED_VALUE"""),"J")</f>
        <v>J</v>
      </c>
      <c r="G412" s="80">
        <f ca="1">IFERROR(__xludf.DUMMYFUNCTION("""COMPUTED_VALUE"""),1)</f>
        <v>1</v>
      </c>
      <c r="H412" s="80" t="str">
        <f ca="1">IFERROR(__xludf.DUMMYFUNCTION("""COMPUTED_VALUE"""),"DL")</f>
        <v>DL</v>
      </c>
      <c r="I412" s="80">
        <f ca="1">IFERROR(__xludf.DUMMYFUNCTION("""COMPUTED_VALUE"""),3)</f>
        <v>3</v>
      </c>
      <c r="J412" s="81">
        <f ca="1">IFERROR(__xludf.DUMMYFUNCTION("""COMPUTED_VALUE"""),0)</f>
        <v>0</v>
      </c>
      <c r="K412" s="81">
        <f ca="1">IFERROR(__xludf.DUMMYFUNCTION("""COMPUTED_VALUE"""),0)</f>
        <v>0</v>
      </c>
      <c r="L412" s="81">
        <f ca="1">IFERROR(__xludf.DUMMYFUNCTION("""COMPUTED_VALUE"""),0)</f>
        <v>0</v>
      </c>
      <c r="M412" s="81"/>
      <c r="N412" s="81">
        <f ca="1">IFERROR(__xludf.DUMMYFUNCTION("""COMPUTED_VALUE"""),0)</f>
        <v>0</v>
      </c>
      <c r="O412" s="81"/>
      <c r="P412" s="81">
        <f ca="1">IFERROR(__xludf.DUMMYFUNCTION("""COMPUTED_VALUE"""),0)</f>
        <v>0</v>
      </c>
      <c r="Q412" s="81"/>
      <c r="R412" s="81">
        <f ca="1">IFERROR(__xludf.DUMMYFUNCTION("""COMPUTED_VALUE"""),0)</f>
        <v>0</v>
      </c>
      <c r="S412" s="81"/>
      <c r="T412" s="81"/>
      <c r="U412" s="82"/>
      <c r="V412" s="82"/>
      <c r="W412" s="83"/>
      <c r="X412" s="83"/>
      <c r="Y412" s="83"/>
    </row>
    <row r="413" spans="1:25" ht="13.8">
      <c r="A413" s="78" t="str">
        <f ca="1">IFERROR(__xludf.DUMMYFUNCTION("""COMPUTED_VALUE"""),"DL")</f>
        <v>DL</v>
      </c>
      <c r="B413" s="79" t="str">
        <f ca="1">IFERROR(__xludf.DUMMYFUNCTION("""COMPUTED_VALUE"""),"Kai Jones")</f>
        <v>Kai Jones</v>
      </c>
      <c r="C413" s="78">
        <f ca="1">IFERROR(__xludf.DUMMYFUNCTION("""COMPUTED_VALUE"""),8)</f>
        <v>8</v>
      </c>
      <c r="D413" s="78" t="str">
        <f ca="1">IFERROR(__xludf.DUMMYFUNCTION("""COMPUTED_VALUE"""),"B")</f>
        <v>B</v>
      </c>
      <c r="E413" s="80" t="str">
        <f ca="1">IFERROR(__xludf.DUMMYFUNCTION("""COMPUTED_VALUE"""),"F")</f>
        <v>F</v>
      </c>
      <c r="F413" s="80" t="str">
        <f ca="1">IFERROR(__xludf.DUMMYFUNCTION("""COMPUTED_VALUE"""),"J")</f>
        <v>J</v>
      </c>
      <c r="G413" s="80">
        <f ca="1">IFERROR(__xludf.DUMMYFUNCTION("""COMPUTED_VALUE"""),1)</f>
        <v>1</v>
      </c>
      <c r="H413" s="80" t="str">
        <f ca="1">IFERROR(__xludf.DUMMYFUNCTION("""COMPUTED_VALUE"""),"DL")</f>
        <v>DL</v>
      </c>
      <c r="I413" s="80">
        <f ca="1">IFERROR(__xludf.DUMMYFUNCTION("""COMPUTED_VALUE"""),3)</f>
        <v>3</v>
      </c>
      <c r="J413" s="81">
        <f ca="1">IFERROR(__xludf.DUMMYFUNCTION("""COMPUTED_VALUE"""),0)</f>
        <v>0</v>
      </c>
      <c r="K413" s="81">
        <f ca="1">IFERROR(__xludf.DUMMYFUNCTION("""COMPUTED_VALUE"""),0)</f>
        <v>0</v>
      </c>
      <c r="L413" s="81">
        <f ca="1">IFERROR(__xludf.DUMMYFUNCTION("""COMPUTED_VALUE"""),0)</f>
        <v>0</v>
      </c>
      <c r="M413" s="81"/>
      <c r="N413" s="81">
        <f ca="1">IFERROR(__xludf.DUMMYFUNCTION("""COMPUTED_VALUE"""),0)</f>
        <v>0</v>
      </c>
      <c r="O413" s="81"/>
      <c r="P413" s="81">
        <f ca="1">IFERROR(__xludf.DUMMYFUNCTION("""COMPUTED_VALUE"""),0)</f>
        <v>0</v>
      </c>
      <c r="Q413" s="81"/>
      <c r="R413" s="81">
        <f ca="1">IFERROR(__xludf.DUMMYFUNCTION("""COMPUTED_VALUE"""),0)</f>
        <v>0</v>
      </c>
      <c r="S413" s="81"/>
      <c r="T413" s="81"/>
      <c r="U413" s="82"/>
      <c r="V413" s="82"/>
      <c r="W413" s="83"/>
      <c r="X413" s="83"/>
      <c r="Y413" s="83"/>
    </row>
    <row r="414" spans="1:25" ht="13.8">
      <c r="A414" s="78" t="str">
        <f ca="1">IFERROR(__xludf.DUMMYFUNCTION("""COMPUTED_VALUE"""),"DL")</f>
        <v>DL</v>
      </c>
      <c r="B414" s="79" t="str">
        <f ca="1">IFERROR(__xludf.DUMMYFUNCTION("""COMPUTED_VALUE"""),"Shaan Krishnan")</f>
        <v>Shaan Krishnan</v>
      </c>
      <c r="C414" s="78">
        <f ca="1">IFERROR(__xludf.DUMMYFUNCTION("""COMPUTED_VALUE"""),8)</f>
        <v>8</v>
      </c>
      <c r="D414" s="78" t="str">
        <f ca="1">IFERROR(__xludf.DUMMYFUNCTION("""COMPUTED_VALUE"""),"B")</f>
        <v>B</v>
      </c>
      <c r="E414" s="80" t="str">
        <f ca="1">IFERROR(__xludf.DUMMYFUNCTION("""COMPUTED_VALUE"""),"F")</f>
        <v>F</v>
      </c>
      <c r="F414" s="80" t="str">
        <f ca="1">IFERROR(__xludf.DUMMYFUNCTION("""COMPUTED_VALUE"""),"J")</f>
        <v>J</v>
      </c>
      <c r="G414" s="80">
        <f ca="1">IFERROR(__xludf.DUMMYFUNCTION("""COMPUTED_VALUE"""),1)</f>
        <v>1</v>
      </c>
      <c r="H414" s="80" t="str">
        <f ca="1">IFERROR(__xludf.DUMMYFUNCTION("""COMPUTED_VALUE"""),"DL")</f>
        <v>DL</v>
      </c>
      <c r="I414" s="80">
        <f ca="1">IFERROR(__xludf.DUMMYFUNCTION("""COMPUTED_VALUE"""),3)</f>
        <v>3</v>
      </c>
      <c r="J414" s="81">
        <f ca="1">IFERROR(__xludf.DUMMYFUNCTION("""COMPUTED_VALUE"""),0)</f>
        <v>0</v>
      </c>
      <c r="K414" s="81">
        <f ca="1">IFERROR(__xludf.DUMMYFUNCTION("""COMPUTED_VALUE"""),0)</f>
        <v>0</v>
      </c>
      <c r="L414" s="81">
        <f ca="1">IFERROR(__xludf.DUMMYFUNCTION("""COMPUTED_VALUE"""),0)</f>
        <v>0</v>
      </c>
      <c r="M414" s="81"/>
      <c r="N414" s="81">
        <f ca="1">IFERROR(__xludf.DUMMYFUNCTION("""COMPUTED_VALUE"""),0)</f>
        <v>0</v>
      </c>
      <c r="O414" s="81"/>
      <c r="P414" s="81">
        <f ca="1">IFERROR(__xludf.DUMMYFUNCTION("""COMPUTED_VALUE"""),0)</f>
        <v>0</v>
      </c>
      <c r="Q414" s="81"/>
      <c r="R414" s="81">
        <f ca="1">IFERROR(__xludf.DUMMYFUNCTION("""COMPUTED_VALUE"""),0)</f>
        <v>0</v>
      </c>
      <c r="S414" s="81"/>
      <c r="T414" s="81"/>
      <c r="U414" s="82"/>
      <c r="V414" s="82"/>
      <c r="W414" s="83"/>
      <c r="X414" s="83"/>
      <c r="Y414" s="83"/>
    </row>
    <row r="415" spans="1:25" ht="13.8">
      <c r="A415" s="78" t="str">
        <f ca="1">IFERROR(__xludf.DUMMYFUNCTION("""COMPUTED_VALUE"""),"DL")</f>
        <v>DL</v>
      </c>
      <c r="B415" s="79" t="str">
        <f ca="1">IFERROR(__xludf.DUMMYFUNCTION("""COMPUTED_VALUE"""),"Teagan Lavin")</f>
        <v>Teagan Lavin</v>
      </c>
      <c r="C415" s="78">
        <f ca="1">IFERROR(__xludf.DUMMYFUNCTION("""COMPUTED_VALUE"""),8)</f>
        <v>8</v>
      </c>
      <c r="D415" s="78" t="str">
        <f ca="1">IFERROR(__xludf.DUMMYFUNCTION("""COMPUTED_VALUE"""),"B")</f>
        <v>B</v>
      </c>
      <c r="E415" s="80" t="str">
        <f ca="1">IFERROR(__xludf.DUMMYFUNCTION("""COMPUTED_VALUE"""),"F")</f>
        <v>F</v>
      </c>
      <c r="F415" s="80" t="str">
        <f ca="1">IFERROR(__xludf.DUMMYFUNCTION("""COMPUTED_VALUE"""),"J")</f>
        <v>J</v>
      </c>
      <c r="G415" s="80">
        <f ca="1">IFERROR(__xludf.DUMMYFUNCTION("""COMPUTED_VALUE"""),1)</f>
        <v>1</v>
      </c>
      <c r="H415" s="80" t="str">
        <f ca="1">IFERROR(__xludf.DUMMYFUNCTION("""COMPUTED_VALUE"""),"DL")</f>
        <v>DL</v>
      </c>
      <c r="I415" s="80">
        <f ca="1">IFERROR(__xludf.DUMMYFUNCTION("""COMPUTED_VALUE"""),3)</f>
        <v>3</v>
      </c>
      <c r="J415" s="81">
        <f ca="1">IFERROR(__xludf.DUMMYFUNCTION("""COMPUTED_VALUE"""),0)</f>
        <v>0</v>
      </c>
      <c r="K415" s="81">
        <f ca="1">IFERROR(__xludf.DUMMYFUNCTION("""COMPUTED_VALUE"""),0)</f>
        <v>0</v>
      </c>
      <c r="L415" s="81">
        <f ca="1">IFERROR(__xludf.DUMMYFUNCTION("""COMPUTED_VALUE"""),0)</f>
        <v>0</v>
      </c>
      <c r="M415" s="81"/>
      <c r="N415" s="81">
        <f ca="1">IFERROR(__xludf.DUMMYFUNCTION("""COMPUTED_VALUE"""),0)</f>
        <v>0</v>
      </c>
      <c r="O415" s="81"/>
      <c r="P415" s="81">
        <f ca="1">IFERROR(__xludf.DUMMYFUNCTION("""COMPUTED_VALUE"""),0)</f>
        <v>0</v>
      </c>
      <c r="Q415" s="81"/>
      <c r="R415" s="81">
        <f ca="1">IFERROR(__xludf.DUMMYFUNCTION("""COMPUTED_VALUE"""),0)</f>
        <v>0</v>
      </c>
      <c r="S415" s="81"/>
      <c r="T415" s="81"/>
      <c r="U415" s="82"/>
      <c r="V415" s="82"/>
      <c r="W415" s="83"/>
      <c r="X415" s="83"/>
      <c r="Y415" s="83"/>
    </row>
    <row r="416" spans="1:25" ht="13.8">
      <c r="A416" s="78" t="str">
        <f ca="1">IFERROR(__xludf.DUMMYFUNCTION("""COMPUTED_VALUE"""),"DL")</f>
        <v>DL</v>
      </c>
      <c r="B416" s="79" t="str">
        <f ca="1">IFERROR(__xludf.DUMMYFUNCTION("""COMPUTED_VALUE"""),"Ryan Linegang")</f>
        <v>Ryan Linegang</v>
      </c>
      <c r="C416" s="78">
        <f ca="1">IFERROR(__xludf.DUMMYFUNCTION("""COMPUTED_VALUE"""),7)</f>
        <v>7</v>
      </c>
      <c r="D416" s="78" t="str">
        <f ca="1">IFERROR(__xludf.DUMMYFUNCTION("""COMPUTED_VALUE"""),"B")</f>
        <v>B</v>
      </c>
      <c r="E416" s="80" t="str">
        <f ca="1">IFERROR(__xludf.DUMMYFUNCTION("""COMPUTED_VALUE"""),"F")</f>
        <v>F</v>
      </c>
      <c r="F416" s="80" t="str">
        <f ca="1">IFERROR(__xludf.DUMMYFUNCTION("""COMPUTED_VALUE"""),"J")</f>
        <v>J</v>
      </c>
      <c r="G416" s="80">
        <f ca="1">IFERROR(__xludf.DUMMYFUNCTION("""COMPUTED_VALUE"""),1)</f>
        <v>1</v>
      </c>
      <c r="H416" s="80" t="str">
        <f ca="1">IFERROR(__xludf.DUMMYFUNCTION("""COMPUTED_VALUE"""),"DL")</f>
        <v>DL</v>
      </c>
      <c r="I416" s="80">
        <f ca="1">IFERROR(__xludf.DUMMYFUNCTION("""COMPUTED_VALUE"""),3)</f>
        <v>3</v>
      </c>
      <c r="J416" s="81">
        <f ca="1">IFERROR(__xludf.DUMMYFUNCTION("""COMPUTED_VALUE"""),0)</f>
        <v>0</v>
      </c>
      <c r="K416" s="81">
        <f ca="1">IFERROR(__xludf.DUMMYFUNCTION("""COMPUTED_VALUE"""),0)</f>
        <v>0</v>
      </c>
      <c r="L416" s="81">
        <f ca="1">IFERROR(__xludf.DUMMYFUNCTION("""COMPUTED_VALUE"""),0)</f>
        <v>0</v>
      </c>
      <c r="M416" s="81"/>
      <c r="N416" s="81">
        <f ca="1">IFERROR(__xludf.DUMMYFUNCTION("""COMPUTED_VALUE"""),0)</f>
        <v>0</v>
      </c>
      <c r="O416" s="81"/>
      <c r="P416" s="81">
        <f ca="1">IFERROR(__xludf.DUMMYFUNCTION("""COMPUTED_VALUE"""),0)</f>
        <v>0</v>
      </c>
      <c r="Q416" s="81"/>
      <c r="R416" s="81">
        <f ca="1">IFERROR(__xludf.DUMMYFUNCTION("""COMPUTED_VALUE"""),0)</f>
        <v>0</v>
      </c>
      <c r="S416" s="81"/>
      <c r="T416" s="81"/>
      <c r="U416" s="82"/>
      <c r="V416" s="82"/>
      <c r="W416" s="83"/>
      <c r="X416" s="83"/>
      <c r="Y416" s="83"/>
    </row>
    <row r="417" spans="1:25" ht="13.8">
      <c r="A417" s="78" t="str">
        <f ca="1">IFERROR(__xludf.DUMMYFUNCTION("""COMPUTED_VALUE"""),"DL")</f>
        <v>DL</v>
      </c>
      <c r="B417" s="79" t="str">
        <f ca="1">IFERROR(__xludf.DUMMYFUNCTION("""COMPUTED_VALUE"""),"Ryan Martonik")</f>
        <v>Ryan Martonik</v>
      </c>
      <c r="C417" s="78">
        <f ca="1">IFERROR(__xludf.DUMMYFUNCTION("""COMPUTED_VALUE"""),7)</f>
        <v>7</v>
      </c>
      <c r="D417" s="78" t="str">
        <f ca="1">IFERROR(__xludf.DUMMYFUNCTION("""COMPUTED_VALUE"""),"B")</f>
        <v>B</v>
      </c>
      <c r="E417" s="80" t="str">
        <f ca="1">IFERROR(__xludf.DUMMYFUNCTION("""COMPUTED_VALUE"""),"F")</f>
        <v>F</v>
      </c>
      <c r="F417" s="80" t="str">
        <f ca="1">IFERROR(__xludf.DUMMYFUNCTION("""COMPUTED_VALUE"""),"J")</f>
        <v>J</v>
      </c>
      <c r="G417" s="80">
        <f ca="1">IFERROR(__xludf.DUMMYFUNCTION("""COMPUTED_VALUE"""),1)</f>
        <v>1</v>
      </c>
      <c r="H417" s="80" t="str">
        <f ca="1">IFERROR(__xludf.DUMMYFUNCTION("""COMPUTED_VALUE"""),"DL")</f>
        <v>DL</v>
      </c>
      <c r="I417" s="80">
        <f ca="1">IFERROR(__xludf.DUMMYFUNCTION("""COMPUTED_VALUE"""),3)</f>
        <v>3</v>
      </c>
      <c r="J417" s="81">
        <f ca="1">IFERROR(__xludf.DUMMYFUNCTION("""COMPUTED_VALUE"""),0)</f>
        <v>0</v>
      </c>
      <c r="K417" s="81">
        <f ca="1">IFERROR(__xludf.DUMMYFUNCTION("""COMPUTED_VALUE"""),0)</f>
        <v>0</v>
      </c>
      <c r="L417" s="81">
        <f ca="1">IFERROR(__xludf.DUMMYFUNCTION("""COMPUTED_VALUE"""),0)</f>
        <v>0</v>
      </c>
      <c r="M417" s="81"/>
      <c r="N417" s="81">
        <f ca="1">IFERROR(__xludf.DUMMYFUNCTION("""COMPUTED_VALUE"""),0)</f>
        <v>0</v>
      </c>
      <c r="O417" s="81"/>
      <c r="P417" s="81">
        <f ca="1">IFERROR(__xludf.DUMMYFUNCTION("""COMPUTED_VALUE"""),0)</f>
        <v>0</v>
      </c>
      <c r="Q417" s="81"/>
      <c r="R417" s="81">
        <f ca="1">IFERROR(__xludf.DUMMYFUNCTION("""COMPUTED_VALUE"""),0)</f>
        <v>0</v>
      </c>
      <c r="S417" s="81"/>
      <c r="T417" s="81"/>
      <c r="U417" s="82"/>
      <c r="V417" s="82"/>
      <c r="W417" s="83"/>
      <c r="X417" s="83"/>
      <c r="Y417" s="83"/>
    </row>
    <row r="418" spans="1:25" ht="13.8">
      <c r="A418" s="78" t="str">
        <f ca="1">IFERROR(__xludf.DUMMYFUNCTION("""COMPUTED_VALUE"""),"DL")</f>
        <v>DL</v>
      </c>
      <c r="B418" s="79" t="str">
        <f ca="1">IFERROR(__xludf.DUMMYFUNCTION("""COMPUTED_VALUE"""),"Laszlo Matias")</f>
        <v>Laszlo Matias</v>
      </c>
      <c r="C418" s="78">
        <f ca="1">IFERROR(__xludf.DUMMYFUNCTION("""COMPUTED_VALUE"""),8)</f>
        <v>8</v>
      </c>
      <c r="D418" s="78" t="str">
        <f ca="1">IFERROR(__xludf.DUMMYFUNCTION("""COMPUTED_VALUE"""),"B")</f>
        <v>B</v>
      </c>
      <c r="E418" s="80" t="str">
        <f ca="1">IFERROR(__xludf.DUMMYFUNCTION("""COMPUTED_VALUE"""),"F")</f>
        <v>F</v>
      </c>
      <c r="F418" s="80" t="str">
        <f ca="1">IFERROR(__xludf.DUMMYFUNCTION("""COMPUTED_VALUE"""),"J")</f>
        <v>J</v>
      </c>
      <c r="G418" s="80">
        <f ca="1">IFERROR(__xludf.DUMMYFUNCTION("""COMPUTED_VALUE"""),1)</f>
        <v>1</v>
      </c>
      <c r="H418" s="80" t="str">
        <f ca="1">IFERROR(__xludf.DUMMYFUNCTION("""COMPUTED_VALUE"""),"DL")</f>
        <v>DL</v>
      </c>
      <c r="I418" s="80">
        <f ca="1">IFERROR(__xludf.DUMMYFUNCTION("""COMPUTED_VALUE"""),3)</f>
        <v>3</v>
      </c>
      <c r="J418" s="81">
        <f ca="1">IFERROR(__xludf.DUMMYFUNCTION("""COMPUTED_VALUE"""),0)</f>
        <v>0</v>
      </c>
      <c r="K418" s="81">
        <f ca="1">IFERROR(__xludf.DUMMYFUNCTION("""COMPUTED_VALUE"""),0)</f>
        <v>0</v>
      </c>
      <c r="L418" s="81">
        <f ca="1">IFERROR(__xludf.DUMMYFUNCTION("""COMPUTED_VALUE"""),0)</f>
        <v>0</v>
      </c>
      <c r="M418" s="81"/>
      <c r="N418" s="81">
        <f ca="1">IFERROR(__xludf.DUMMYFUNCTION("""COMPUTED_VALUE"""),0)</f>
        <v>0</v>
      </c>
      <c r="O418" s="81"/>
      <c r="P418" s="81">
        <f ca="1">IFERROR(__xludf.DUMMYFUNCTION("""COMPUTED_VALUE"""),0)</f>
        <v>0</v>
      </c>
      <c r="Q418" s="81"/>
      <c r="R418" s="81">
        <f ca="1">IFERROR(__xludf.DUMMYFUNCTION("""COMPUTED_VALUE"""),0)</f>
        <v>0</v>
      </c>
      <c r="S418" s="81"/>
      <c r="T418" s="81"/>
      <c r="U418" s="82"/>
      <c r="V418" s="82"/>
      <c r="W418" s="83"/>
      <c r="X418" s="83"/>
      <c r="Y418" s="83"/>
    </row>
    <row r="419" spans="1:25" ht="13.8">
      <c r="A419" s="78" t="str">
        <f ca="1">IFERROR(__xludf.DUMMYFUNCTION("""COMPUTED_VALUE"""),"DL")</f>
        <v>DL</v>
      </c>
      <c r="B419" s="79" t="str">
        <f ca="1">IFERROR(__xludf.DUMMYFUNCTION("""COMPUTED_VALUE"""),"Salvatore Matias")</f>
        <v>Salvatore Matias</v>
      </c>
      <c r="C419" s="78">
        <f ca="1">IFERROR(__xludf.DUMMYFUNCTION("""COMPUTED_VALUE"""),7)</f>
        <v>7</v>
      </c>
      <c r="D419" s="78" t="str">
        <f ca="1">IFERROR(__xludf.DUMMYFUNCTION("""COMPUTED_VALUE"""),"B")</f>
        <v>B</v>
      </c>
      <c r="E419" s="80" t="str">
        <f ca="1">IFERROR(__xludf.DUMMYFUNCTION("""COMPUTED_VALUE"""),"F")</f>
        <v>F</v>
      </c>
      <c r="F419" s="80" t="str">
        <f ca="1">IFERROR(__xludf.DUMMYFUNCTION("""COMPUTED_VALUE"""),"J")</f>
        <v>J</v>
      </c>
      <c r="G419" s="80">
        <f ca="1">IFERROR(__xludf.DUMMYFUNCTION("""COMPUTED_VALUE"""),1)</f>
        <v>1</v>
      </c>
      <c r="H419" s="80" t="str">
        <f ca="1">IFERROR(__xludf.DUMMYFUNCTION("""COMPUTED_VALUE"""),"DL")</f>
        <v>DL</v>
      </c>
      <c r="I419" s="80">
        <f ca="1">IFERROR(__xludf.DUMMYFUNCTION("""COMPUTED_VALUE"""),3)</f>
        <v>3</v>
      </c>
      <c r="J419" s="81">
        <f ca="1">IFERROR(__xludf.DUMMYFUNCTION("""COMPUTED_VALUE"""),0)</f>
        <v>0</v>
      </c>
      <c r="K419" s="81">
        <f ca="1">IFERROR(__xludf.DUMMYFUNCTION("""COMPUTED_VALUE"""),0)</f>
        <v>0</v>
      </c>
      <c r="L419" s="81">
        <f ca="1">IFERROR(__xludf.DUMMYFUNCTION("""COMPUTED_VALUE"""),0)</f>
        <v>0</v>
      </c>
      <c r="M419" s="81"/>
      <c r="N419" s="81">
        <f ca="1">IFERROR(__xludf.DUMMYFUNCTION("""COMPUTED_VALUE"""),0)</f>
        <v>0</v>
      </c>
      <c r="O419" s="81"/>
      <c r="P419" s="81">
        <f ca="1">IFERROR(__xludf.DUMMYFUNCTION("""COMPUTED_VALUE"""),0)</f>
        <v>0</v>
      </c>
      <c r="Q419" s="81"/>
      <c r="R419" s="81">
        <f ca="1">IFERROR(__xludf.DUMMYFUNCTION("""COMPUTED_VALUE"""),0)</f>
        <v>0</v>
      </c>
      <c r="S419" s="81"/>
      <c r="T419" s="81"/>
      <c r="U419" s="82"/>
      <c r="V419" s="82"/>
      <c r="W419" s="83"/>
      <c r="X419" s="83"/>
      <c r="Y419" s="83"/>
    </row>
    <row r="420" spans="1:25" ht="13.8">
      <c r="A420" s="78" t="str">
        <f ca="1">IFERROR(__xludf.DUMMYFUNCTION("""COMPUTED_VALUE"""),"DL")</f>
        <v>DL</v>
      </c>
      <c r="B420" s="79" t="str">
        <f ca="1">IFERROR(__xludf.DUMMYFUNCTION("""COMPUTED_VALUE"""),"George Miller")</f>
        <v>George Miller</v>
      </c>
      <c r="C420" s="78">
        <f ca="1">IFERROR(__xludf.DUMMYFUNCTION("""COMPUTED_VALUE"""),10)</f>
        <v>10</v>
      </c>
      <c r="D420" s="78" t="str">
        <f ca="1">IFERROR(__xludf.DUMMYFUNCTION("""COMPUTED_VALUE"""),"B")</f>
        <v>B</v>
      </c>
      <c r="E420" s="80" t="str">
        <f ca="1">IFERROR(__xludf.DUMMYFUNCTION("""COMPUTED_VALUE"""),"F")</f>
        <v>F</v>
      </c>
      <c r="F420" s="80" t="str">
        <f ca="1">IFERROR(__xludf.DUMMYFUNCTION("""COMPUTED_VALUE"""),"J")</f>
        <v>J</v>
      </c>
      <c r="G420" s="80">
        <f ca="1">IFERROR(__xludf.DUMMYFUNCTION("""COMPUTED_VALUE"""),1)</f>
        <v>1</v>
      </c>
      <c r="H420" s="80" t="str">
        <f ca="1">IFERROR(__xludf.DUMMYFUNCTION("""COMPUTED_VALUE"""),"DL")</f>
        <v>DL</v>
      </c>
      <c r="I420" s="80">
        <f ca="1">IFERROR(__xludf.DUMMYFUNCTION("""COMPUTED_VALUE"""),3)</f>
        <v>3</v>
      </c>
      <c r="J420" s="81">
        <f ca="1">IFERROR(__xludf.DUMMYFUNCTION("""COMPUTED_VALUE"""),5)</f>
        <v>5</v>
      </c>
      <c r="K420" s="81">
        <f ca="1">IFERROR(__xludf.DUMMYFUNCTION("""COMPUTED_VALUE"""),81.15)</f>
        <v>81.150000000000006</v>
      </c>
      <c r="L420" s="81">
        <f ca="1">IFERROR(__xludf.DUMMYFUNCTION("""COMPUTED_VALUE"""),74.4)</f>
        <v>74.400000000000006</v>
      </c>
      <c r="M420" s="81"/>
      <c r="N420" s="81">
        <f ca="1">IFERROR(__xludf.DUMMYFUNCTION("""COMPUTED_VALUE"""),69.9)</f>
        <v>69.900000000000006</v>
      </c>
      <c r="O420" s="81"/>
      <c r="P420" s="81">
        <f ca="1">IFERROR(__xludf.DUMMYFUNCTION("""COMPUTED_VALUE"""),81.15)</f>
        <v>81.150000000000006</v>
      </c>
      <c r="Q420" s="81"/>
      <c r="R420" s="81">
        <f ca="1">IFERROR(__xludf.DUMMYFUNCTION("""COMPUTED_VALUE"""),74.95)</f>
        <v>74.95</v>
      </c>
      <c r="S420" s="81"/>
      <c r="T420" s="81"/>
      <c r="U420" s="82"/>
      <c r="V420" s="82"/>
      <c r="W420" s="83"/>
      <c r="X420" s="83"/>
      <c r="Y420" s="83"/>
    </row>
    <row r="421" spans="1:25" ht="13.8">
      <c r="A421" s="78" t="str">
        <f ca="1">IFERROR(__xludf.DUMMYFUNCTION("""COMPUTED_VALUE"""),"DL")</f>
        <v>DL</v>
      </c>
      <c r="B421" s="79" t="str">
        <f ca="1">IFERROR(__xludf.DUMMYFUNCTION("""COMPUTED_VALUE"""),"Xander Miner")</f>
        <v>Xander Miner</v>
      </c>
      <c r="C421" s="78">
        <f ca="1">IFERROR(__xludf.DUMMYFUNCTION("""COMPUTED_VALUE"""),10)</f>
        <v>10</v>
      </c>
      <c r="D421" s="78" t="str">
        <f ca="1">IFERROR(__xludf.DUMMYFUNCTION("""COMPUTED_VALUE"""),"B")</f>
        <v>B</v>
      </c>
      <c r="E421" s="80" t="str">
        <f ca="1">IFERROR(__xludf.DUMMYFUNCTION("""COMPUTED_VALUE"""),"F")</f>
        <v>F</v>
      </c>
      <c r="F421" s="80" t="str">
        <f ca="1">IFERROR(__xludf.DUMMYFUNCTION("""COMPUTED_VALUE"""),"J")</f>
        <v>J</v>
      </c>
      <c r="G421" s="80">
        <f ca="1">IFERROR(__xludf.DUMMYFUNCTION("""COMPUTED_VALUE"""),1)</f>
        <v>1</v>
      </c>
      <c r="H421" s="80" t="str">
        <f ca="1">IFERROR(__xludf.DUMMYFUNCTION("""COMPUTED_VALUE"""),"DL")</f>
        <v>DL</v>
      </c>
      <c r="I421" s="80">
        <f ca="1">IFERROR(__xludf.DUMMYFUNCTION("""COMPUTED_VALUE"""),3)</f>
        <v>3</v>
      </c>
      <c r="J421" s="81">
        <f ca="1">IFERROR(__xludf.DUMMYFUNCTION("""COMPUTED_VALUE"""),0)</f>
        <v>0</v>
      </c>
      <c r="K421" s="81">
        <f ca="1">IFERROR(__xludf.DUMMYFUNCTION("""COMPUTED_VALUE"""),0)</f>
        <v>0</v>
      </c>
      <c r="L421" s="81">
        <f ca="1">IFERROR(__xludf.DUMMYFUNCTION("""COMPUTED_VALUE"""),0)</f>
        <v>0</v>
      </c>
      <c r="M421" s="81"/>
      <c r="N421" s="81">
        <f ca="1">IFERROR(__xludf.DUMMYFUNCTION("""COMPUTED_VALUE"""),0)</f>
        <v>0</v>
      </c>
      <c r="O421" s="81"/>
      <c r="P421" s="81">
        <f ca="1">IFERROR(__xludf.DUMMYFUNCTION("""COMPUTED_VALUE"""),0)</f>
        <v>0</v>
      </c>
      <c r="Q421" s="81"/>
      <c r="R421" s="81">
        <f ca="1">IFERROR(__xludf.DUMMYFUNCTION("""COMPUTED_VALUE"""),0)</f>
        <v>0</v>
      </c>
      <c r="S421" s="81"/>
      <c r="T421" s="81"/>
      <c r="U421" s="82"/>
      <c r="V421" s="82"/>
      <c r="W421" s="83"/>
      <c r="X421" s="83"/>
      <c r="Y421" s="83"/>
    </row>
    <row r="422" spans="1:25" ht="13.8">
      <c r="A422" s="78" t="str">
        <f ca="1">IFERROR(__xludf.DUMMYFUNCTION("""COMPUTED_VALUE"""),"DL")</f>
        <v>DL</v>
      </c>
      <c r="B422" s="79" t="str">
        <f ca="1">IFERROR(__xludf.DUMMYFUNCTION("""COMPUTED_VALUE"""),"Demir Ross")</f>
        <v>Demir Ross</v>
      </c>
      <c r="C422" s="78">
        <f ca="1">IFERROR(__xludf.DUMMYFUNCTION("""COMPUTED_VALUE"""),10)</f>
        <v>10</v>
      </c>
      <c r="D422" s="78" t="str">
        <f ca="1">IFERROR(__xludf.DUMMYFUNCTION("""COMPUTED_VALUE"""),"B")</f>
        <v>B</v>
      </c>
      <c r="E422" s="80" t="str">
        <f ca="1">IFERROR(__xludf.DUMMYFUNCTION("""COMPUTED_VALUE"""),"F")</f>
        <v>F</v>
      </c>
      <c r="F422" s="80" t="str">
        <f ca="1">IFERROR(__xludf.DUMMYFUNCTION("""COMPUTED_VALUE"""),"J")</f>
        <v>J</v>
      </c>
      <c r="G422" s="80">
        <f ca="1">IFERROR(__xludf.DUMMYFUNCTION("""COMPUTED_VALUE"""),1)</f>
        <v>1</v>
      </c>
      <c r="H422" s="80" t="str">
        <f ca="1">IFERROR(__xludf.DUMMYFUNCTION("""COMPUTED_VALUE"""),"DL")</f>
        <v>DL</v>
      </c>
      <c r="I422" s="80">
        <f ca="1">IFERROR(__xludf.DUMMYFUNCTION("""COMPUTED_VALUE"""),3)</f>
        <v>3</v>
      </c>
      <c r="J422" s="81">
        <f ca="1">IFERROR(__xludf.DUMMYFUNCTION("""COMPUTED_VALUE"""),0)</f>
        <v>0</v>
      </c>
      <c r="K422" s="81">
        <f ca="1">IFERROR(__xludf.DUMMYFUNCTION("""COMPUTED_VALUE"""),0)</f>
        <v>0</v>
      </c>
      <c r="L422" s="81">
        <f ca="1">IFERROR(__xludf.DUMMYFUNCTION("""COMPUTED_VALUE"""),0)</f>
        <v>0</v>
      </c>
      <c r="M422" s="81"/>
      <c r="N422" s="81">
        <f ca="1">IFERROR(__xludf.DUMMYFUNCTION("""COMPUTED_VALUE"""),0)</f>
        <v>0</v>
      </c>
      <c r="O422" s="81"/>
      <c r="P422" s="81">
        <f ca="1">IFERROR(__xludf.DUMMYFUNCTION("""COMPUTED_VALUE"""),0)</f>
        <v>0</v>
      </c>
      <c r="Q422" s="81"/>
      <c r="R422" s="81">
        <f ca="1">IFERROR(__xludf.DUMMYFUNCTION("""COMPUTED_VALUE"""),0)</f>
        <v>0</v>
      </c>
      <c r="S422" s="81"/>
      <c r="T422" s="81"/>
      <c r="U422" s="82"/>
      <c r="V422" s="82"/>
      <c r="W422" s="83"/>
      <c r="X422" s="83"/>
      <c r="Y422" s="83"/>
    </row>
    <row r="423" spans="1:25" ht="13.8">
      <c r="A423" s="78" t="str">
        <f ca="1">IFERROR(__xludf.DUMMYFUNCTION("""COMPUTED_VALUE"""),"DL")</f>
        <v>DL</v>
      </c>
      <c r="B423" s="79" t="str">
        <f ca="1">IFERROR(__xludf.DUMMYFUNCTION("""COMPUTED_VALUE"""),"Webb Stewart")</f>
        <v>Webb Stewart</v>
      </c>
      <c r="C423" s="78">
        <f ca="1">IFERROR(__xludf.DUMMYFUNCTION("""COMPUTED_VALUE"""),10)</f>
        <v>10</v>
      </c>
      <c r="D423" s="78" t="str">
        <f ca="1">IFERROR(__xludf.DUMMYFUNCTION("""COMPUTED_VALUE"""),"B")</f>
        <v>B</v>
      </c>
      <c r="E423" s="80" t="str">
        <f ca="1">IFERROR(__xludf.DUMMYFUNCTION("""COMPUTED_VALUE"""),"F")</f>
        <v>F</v>
      </c>
      <c r="F423" s="80" t="str">
        <f ca="1">IFERROR(__xludf.DUMMYFUNCTION("""COMPUTED_VALUE"""),"J")</f>
        <v>J</v>
      </c>
      <c r="G423" s="80">
        <f ca="1">IFERROR(__xludf.DUMMYFUNCTION("""COMPUTED_VALUE"""),1)</f>
        <v>1</v>
      </c>
      <c r="H423" s="80" t="str">
        <f ca="1">IFERROR(__xludf.DUMMYFUNCTION("""COMPUTED_VALUE"""),"DL")</f>
        <v>DL</v>
      </c>
      <c r="I423" s="80">
        <f ca="1">IFERROR(__xludf.DUMMYFUNCTION("""COMPUTED_VALUE"""),3)</f>
        <v>3</v>
      </c>
      <c r="J423" s="81">
        <f ca="1">IFERROR(__xludf.DUMMYFUNCTION("""COMPUTED_VALUE"""),2)</f>
        <v>2</v>
      </c>
      <c r="K423" s="81">
        <f ca="1">IFERROR(__xludf.DUMMYFUNCTION("""COMPUTED_VALUE"""),37.55)</f>
        <v>37.549999999999997</v>
      </c>
      <c r="L423" s="81">
        <f ca="1">IFERROR(__xludf.DUMMYFUNCTION("""COMPUTED_VALUE"""),0)</f>
        <v>0</v>
      </c>
      <c r="M423" s="81"/>
      <c r="N423" s="81">
        <f ca="1">IFERROR(__xludf.DUMMYFUNCTION("""COMPUTED_VALUE"""),0)</f>
        <v>0</v>
      </c>
      <c r="O423" s="81"/>
      <c r="P423" s="81">
        <f ca="1">IFERROR(__xludf.DUMMYFUNCTION("""COMPUTED_VALUE"""),0)</f>
        <v>0</v>
      </c>
      <c r="Q423" s="81"/>
      <c r="R423" s="81">
        <f ca="1">IFERROR(__xludf.DUMMYFUNCTION("""COMPUTED_VALUE"""),37.55)</f>
        <v>37.549999999999997</v>
      </c>
      <c r="S423" s="81"/>
      <c r="T423" s="81"/>
      <c r="U423" s="82"/>
      <c r="V423" s="82"/>
      <c r="W423" s="83"/>
      <c r="X423" s="83"/>
      <c r="Y423" s="83"/>
    </row>
    <row r="424" spans="1:25" ht="13.8">
      <c r="A424" s="78" t="str">
        <f ca="1">IFERROR(__xludf.DUMMYFUNCTION("""COMPUTED_VALUE"""),"DL")</f>
        <v>DL</v>
      </c>
      <c r="B424" s="79" t="str">
        <f ca="1">IFERROR(__xludf.DUMMYFUNCTION("""COMPUTED_VALUE"""),"Jacob Yang")</f>
        <v>Jacob Yang</v>
      </c>
      <c r="C424" s="78">
        <f ca="1">IFERROR(__xludf.DUMMYFUNCTION("""COMPUTED_VALUE"""),9)</f>
        <v>9</v>
      </c>
      <c r="D424" s="78" t="str">
        <f ca="1">IFERROR(__xludf.DUMMYFUNCTION("""COMPUTED_VALUE"""),"B")</f>
        <v>B</v>
      </c>
      <c r="E424" s="80" t="str">
        <f ca="1">IFERROR(__xludf.DUMMYFUNCTION("""COMPUTED_VALUE"""),"F")</f>
        <v>F</v>
      </c>
      <c r="F424" s="80" t="str">
        <f ca="1">IFERROR(__xludf.DUMMYFUNCTION("""COMPUTED_VALUE"""),"J")</f>
        <v>J</v>
      </c>
      <c r="G424" s="80">
        <f ca="1">IFERROR(__xludf.DUMMYFUNCTION("""COMPUTED_VALUE"""),1)</f>
        <v>1</v>
      </c>
      <c r="H424" s="80" t="str">
        <f ca="1">IFERROR(__xludf.DUMMYFUNCTION("""COMPUTED_VALUE"""),"DL")</f>
        <v>DL</v>
      </c>
      <c r="I424" s="80">
        <f ca="1">IFERROR(__xludf.DUMMYFUNCTION("""COMPUTED_VALUE"""),3)</f>
        <v>3</v>
      </c>
      <c r="J424" s="81">
        <f ca="1">IFERROR(__xludf.DUMMYFUNCTION("""COMPUTED_VALUE"""),5)</f>
        <v>5</v>
      </c>
      <c r="K424" s="81">
        <f ca="1">IFERROR(__xludf.DUMMYFUNCTION("""COMPUTED_VALUE"""),40.75)</f>
        <v>40.75</v>
      </c>
      <c r="L424" s="81">
        <f ca="1">IFERROR(__xludf.DUMMYFUNCTION("""COMPUTED_VALUE"""),40.75)</f>
        <v>40.75</v>
      </c>
      <c r="M424" s="81"/>
      <c r="N424" s="81">
        <f ca="1">IFERROR(__xludf.DUMMYFUNCTION("""COMPUTED_VALUE"""),36.05)</f>
        <v>36.049999999999997</v>
      </c>
      <c r="O424" s="81"/>
      <c r="P424" s="81">
        <f ca="1">IFERROR(__xludf.DUMMYFUNCTION("""COMPUTED_VALUE"""),34)</f>
        <v>34</v>
      </c>
      <c r="Q424" s="81"/>
      <c r="R424" s="81">
        <f ca="1">IFERROR(__xludf.DUMMYFUNCTION("""COMPUTED_VALUE"""),30.05)</f>
        <v>30.05</v>
      </c>
      <c r="S424" s="81"/>
      <c r="T424" s="81"/>
      <c r="U424" s="82"/>
      <c r="V424" s="82"/>
      <c r="W424" s="83"/>
      <c r="X424" s="83"/>
      <c r="Y424" s="83"/>
    </row>
    <row r="425" spans="1:25" ht="13.8">
      <c r="A425" s="78" t="str">
        <f ca="1">IFERROR(__xludf.DUMMYFUNCTION("""COMPUTED_VALUE"""),"DL")</f>
        <v>DL</v>
      </c>
      <c r="B425" s="79" t="str">
        <f ca="1">IFERROR(__xludf.DUMMYFUNCTION("""COMPUTED_VALUE"""),"Jeremy Yang")</f>
        <v>Jeremy Yang</v>
      </c>
      <c r="C425" s="78">
        <f ca="1">IFERROR(__xludf.DUMMYFUNCTION("""COMPUTED_VALUE"""),7)</f>
        <v>7</v>
      </c>
      <c r="D425" s="78" t="str">
        <f ca="1">IFERROR(__xludf.DUMMYFUNCTION("""COMPUTED_VALUE"""),"B")</f>
        <v>B</v>
      </c>
      <c r="E425" s="80" t="str">
        <f ca="1">IFERROR(__xludf.DUMMYFUNCTION("""COMPUTED_VALUE"""),"F")</f>
        <v>F</v>
      </c>
      <c r="F425" s="80" t="str">
        <f ca="1">IFERROR(__xludf.DUMMYFUNCTION("""COMPUTED_VALUE"""),"J")</f>
        <v>J</v>
      </c>
      <c r="G425" s="80">
        <f ca="1">IFERROR(__xludf.DUMMYFUNCTION("""COMPUTED_VALUE"""),1)</f>
        <v>1</v>
      </c>
      <c r="H425" s="80" t="str">
        <f ca="1">IFERROR(__xludf.DUMMYFUNCTION("""COMPUTED_VALUE"""),"DL")</f>
        <v>DL</v>
      </c>
      <c r="I425" s="80">
        <f ca="1">IFERROR(__xludf.DUMMYFUNCTION("""COMPUTED_VALUE"""),3)</f>
        <v>3</v>
      </c>
      <c r="J425" s="81">
        <f ca="1">IFERROR(__xludf.DUMMYFUNCTION("""COMPUTED_VALUE"""),4)</f>
        <v>4</v>
      </c>
      <c r="K425" s="81">
        <f ca="1">IFERROR(__xludf.DUMMYFUNCTION("""COMPUTED_VALUE"""),37.3)</f>
        <v>37.299999999999997</v>
      </c>
      <c r="L425" s="81">
        <f ca="1">IFERROR(__xludf.DUMMYFUNCTION("""COMPUTED_VALUE"""),0)</f>
        <v>0</v>
      </c>
      <c r="M425" s="81"/>
      <c r="N425" s="81">
        <f ca="1">IFERROR(__xludf.DUMMYFUNCTION("""COMPUTED_VALUE"""),22.5)</f>
        <v>22.5</v>
      </c>
      <c r="O425" s="81"/>
      <c r="P425" s="81">
        <f ca="1">IFERROR(__xludf.DUMMYFUNCTION("""COMPUTED_VALUE"""),33.45)</f>
        <v>33.450000000000003</v>
      </c>
      <c r="Q425" s="81"/>
      <c r="R425" s="81">
        <f ca="1">IFERROR(__xludf.DUMMYFUNCTION("""COMPUTED_VALUE"""),37.3)</f>
        <v>37.299999999999997</v>
      </c>
      <c r="S425" s="81"/>
      <c r="T425" s="81"/>
      <c r="U425" s="82"/>
      <c r="V425" s="82"/>
      <c r="W425" s="83"/>
      <c r="X425" s="83"/>
      <c r="Y425" s="83"/>
    </row>
    <row r="426" spans="1:25" ht="13.8">
      <c r="A426" s="78" t="str">
        <f ca="1">IFERROR(__xludf.DUMMYFUNCTION("""COMPUTED_VALUE"""),"DL")</f>
        <v>DL</v>
      </c>
      <c r="B426" s="79" t="str">
        <f ca="1">IFERROR(__xludf.DUMMYFUNCTION("""COMPUTED_VALUE"""),"Juliana Esen")</f>
        <v>Juliana Esen</v>
      </c>
      <c r="C426" s="78">
        <f ca="1">IFERROR(__xludf.DUMMYFUNCTION("""COMPUTED_VALUE"""),12)</f>
        <v>12</v>
      </c>
      <c r="D426" s="78" t="str">
        <f ca="1">IFERROR(__xludf.DUMMYFUNCTION("""COMPUTED_VALUE"""),"G")</f>
        <v>G</v>
      </c>
      <c r="E426" s="80" t="str">
        <f ca="1">IFERROR(__xludf.DUMMYFUNCTION("""COMPUTED_VALUE"""),"J")</f>
        <v>J</v>
      </c>
      <c r="F426" s="80" t="str">
        <f ca="1">IFERROR(__xludf.DUMMYFUNCTION("""COMPUTED_VALUE"""),"I")</f>
        <v>I</v>
      </c>
      <c r="G426" s="80">
        <f ca="1">IFERROR(__xludf.DUMMYFUNCTION("""COMPUTED_VALUE"""),1)</f>
        <v>1</v>
      </c>
      <c r="H426" s="80" t="str">
        <f ca="1">IFERROR(__xludf.DUMMYFUNCTION("""COMPUTED_VALUE"""),"DL")</f>
        <v>DL</v>
      </c>
      <c r="I426" s="80">
        <f ca="1">IFERROR(__xludf.DUMMYFUNCTION("""COMPUTED_VALUE"""),4)</f>
        <v>4</v>
      </c>
      <c r="J426" s="81">
        <f ca="1">IFERROR(__xludf.DUMMYFUNCTION("""COMPUTED_VALUE"""),0)</f>
        <v>0</v>
      </c>
      <c r="K426" s="81">
        <f ca="1">IFERROR(__xludf.DUMMYFUNCTION("""COMPUTED_VALUE"""),0)</f>
        <v>0</v>
      </c>
      <c r="L426" s="81">
        <f ca="1">IFERROR(__xludf.DUMMYFUNCTION("""COMPUTED_VALUE"""),0)</f>
        <v>0</v>
      </c>
      <c r="M426" s="81"/>
      <c r="N426" s="81">
        <f ca="1">IFERROR(__xludf.DUMMYFUNCTION("""COMPUTED_VALUE"""),0)</f>
        <v>0</v>
      </c>
      <c r="O426" s="81"/>
      <c r="P426" s="81">
        <f ca="1">IFERROR(__xludf.DUMMYFUNCTION("""COMPUTED_VALUE"""),0)</f>
        <v>0</v>
      </c>
      <c r="Q426" s="81"/>
      <c r="R426" s="81">
        <f ca="1">IFERROR(__xludf.DUMMYFUNCTION("""COMPUTED_VALUE"""),0)</f>
        <v>0</v>
      </c>
      <c r="S426" s="81"/>
      <c r="T426" s="81"/>
      <c r="U426" s="82"/>
      <c r="V426" s="82"/>
      <c r="W426" s="83"/>
      <c r="X426" s="83"/>
      <c r="Y426" s="83"/>
    </row>
    <row r="427" spans="1:25" ht="13.8">
      <c r="A427" s="78" t="str">
        <f ca="1">IFERROR(__xludf.DUMMYFUNCTION("""COMPUTED_VALUE"""),"DL")</f>
        <v>DL</v>
      </c>
      <c r="B427" s="79" t="str">
        <f ca="1">IFERROR(__xludf.DUMMYFUNCTION("""COMPUTED_VALUE"""),"Sofia Falsone")</f>
        <v>Sofia Falsone</v>
      </c>
      <c r="C427" s="78">
        <f ca="1">IFERROR(__xludf.DUMMYFUNCTION("""COMPUTED_VALUE"""),11)</f>
        <v>11</v>
      </c>
      <c r="D427" s="78" t="str">
        <f ca="1">IFERROR(__xludf.DUMMYFUNCTION("""COMPUTED_VALUE"""),"G")</f>
        <v>G</v>
      </c>
      <c r="E427" s="80" t="str">
        <f ca="1">IFERROR(__xludf.DUMMYFUNCTION("""COMPUTED_VALUE"""),"J")</f>
        <v>J</v>
      </c>
      <c r="F427" s="80" t="str">
        <f ca="1">IFERROR(__xludf.DUMMYFUNCTION("""COMPUTED_VALUE"""),"I")</f>
        <v>I</v>
      </c>
      <c r="G427" s="80">
        <f ca="1">IFERROR(__xludf.DUMMYFUNCTION("""COMPUTED_VALUE"""),1)</f>
        <v>1</v>
      </c>
      <c r="H427" s="80" t="str">
        <f ca="1">IFERROR(__xludf.DUMMYFUNCTION("""COMPUTED_VALUE"""),"DL")</f>
        <v>DL</v>
      </c>
      <c r="I427" s="80">
        <f ca="1">IFERROR(__xludf.DUMMYFUNCTION("""COMPUTED_VALUE"""),4)</f>
        <v>4</v>
      </c>
      <c r="J427" s="81">
        <f ca="1">IFERROR(__xludf.DUMMYFUNCTION("""COMPUTED_VALUE"""),0)</f>
        <v>0</v>
      </c>
      <c r="K427" s="81">
        <f ca="1">IFERROR(__xludf.DUMMYFUNCTION("""COMPUTED_VALUE"""),0)</f>
        <v>0</v>
      </c>
      <c r="L427" s="81">
        <f ca="1">IFERROR(__xludf.DUMMYFUNCTION("""COMPUTED_VALUE"""),0)</f>
        <v>0</v>
      </c>
      <c r="M427" s="81"/>
      <c r="N427" s="81">
        <f ca="1">IFERROR(__xludf.DUMMYFUNCTION("""COMPUTED_VALUE"""),0)</f>
        <v>0</v>
      </c>
      <c r="O427" s="81"/>
      <c r="P427" s="81">
        <f ca="1">IFERROR(__xludf.DUMMYFUNCTION("""COMPUTED_VALUE"""),0)</f>
        <v>0</v>
      </c>
      <c r="Q427" s="81"/>
      <c r="R427" s="81">
        <f ca="1">IFERROR(__xludf.DUMMYFUNCTION("""COMPUTED_VALUE"""),0)</f>
        <v>0</v>
      </c>
      <c r="S427" s="81"/>
      <c r="T427" s="81"/>
      <c r="U427" s="82"/>
      <c r="V427" s="82"/>
      <c r="W427" s="83"/>
      <c r="X427" s="83"/>
      <c r="Y427" s="83"/>
    </row>
    <row r="428" spans="1:25" ht="13.8">
      <c r="A428" s="78" t="str">
        <f ca="1">IFERROR(__xludf.DUMMYFUNCTION("""COMPUTED_VALUE"""),"DL")</f>
        <v>DL</v>
      </c>
      <c r="B428" s="79" t="str">
        <f ca="1">IFERROR(__xludf.DUMMYFUNCTION("""COMPUTED_VALUE"""),"Rianna Krishnan")</f>
        <v>Rianna Krishnan</v>
      </c>
      <c r="C428" s="78">
        <f ca="1">IFERROR(__xludf.DUMMYFUNCTION("""COMPUTED_VALUE"""),12)</f>
        <v>12</v>
      </c>
      <c r="D428" s="78" t="str">
        <f ca="1">IFERROR(__xludf.DUMMYFUNCTION("""COMPUTED_VALUE"""),"G")</f>
        <v>G</v>
      </c>
      <c r="E428" s="80" t="str">
        <f ca="1">IFERROR(__xludf.DUMMYFUNCTION("""COMPUTED_VALUE"""),"J")</f>
        <v>J</v>
      </c>
      <c r="F428" s="80" t="str">
        <f ca="1">IFERROR(__xludf.DUMMYFUNCTION("""COMPUTED_VALUE"""),"I")</f>
        <v>I</v>
      </c>
      <c r="G428" s="80">
        <f ca="1">IFERROR(__xludf.DUMMYFUNCTION("""COMPUTED_VALUE"""),1)</f>
        <v>1</v>
      </c>
      <c r="H428" s="80" t="str">
        <f ca="1">IFERROR(__xludf.DUMMYFUNCTION("""COMPUTED_VALUE"""),"DL")</f>
        <v>DL</v>
      </c>
      <c r="I428" s="80">
        <f ca="1">IFERROR(__xludf.DUMMYFUNCTION("""COMPUTED_VALUE"""),4)</f>
        <v>4</v>
      </c>
      <c r="J428" s="81">
        <f ca="1">IFERROR(__xludf.DUMMYFUNCTION("""COMPUTED_VALUE"""),0)</f>
        <v>0</v>
      </c>
      <c r="K428" s="81">
        <f ca="1">IFERROR(__xludf.DUMMYFUNCTION("""COMPUTED_VALUE"""),0)</f>
        <v>0</v>
      </c>
      <c r="L428" s="81">
        <f ca="1">IFERROR(__xludf.DUMMYFUNCTION("""COMPUTED_VALUE"""),0)</f>
        <v>0</v>
      </c>
      <c r="M428" s="81"/>
      <c r="N428" s="81">
        <f ca="1">IFERROR(__xludf.DUMMYFUNCTION("""COMPUTED_VALUE"""),0)</f>
        <v>0</v>
      </c>
      <c r="O428" s="81"/>
      <c r="P428" s="81">
        <f ca="1">IFERROR(__xludf.DUMMYFUNCTION("""COMPUTED_VALUE"""),0)</f>
        <v>0</v>
      </c>
      <c r="Q428" s="81"/>
      <c r="R428" s="81">
        <f ca="1">IFERROR(__xludf.DUMMYFUNCTION("""COMPUTED_VALUE"""),0)</f>
        <v>0</v>
      </c>
      <c r="S428" s="81"/>
      <c r="T428" s="81"/>
      <c r="U428" s="82"/>
      <c r="V428" s="82"/>
      <c r="W428" s="83"/>
      <c r="X428" s="83"/>
      <c r="Y428" s="83"/>
    </row>
    <row r="429" spans="1:25" ht="13.8">
      <c r="A429" s="78" t="str">
        <f ca="1">IFERROR(__xludf.DUMMYFUNCTION("""COMPUTED_VALUE"""),"DL")</f>
        <v>DL</v>
      </c>
      <c r="B429" s="79" t="str">
        <f ca="1">IFERROR(__xludf.DUMMYFUNCTION("""COMPUTED_VALUE"""),"sophie Ratner")</f>
        <v>sophie Ratner</v>
      </c>
      <c r="C429" s="78">
        <f ca="1">IFERROR(__xludf.DUMMYFUNCTION("""COMPUTED_VALUE"""),11)</f>
        <v>11</v>
      </c>
      <c r="D429" s="78" t="str">
        <f ca="1">IFERROR(__xludf.DUMMYFUNCTION("""COMPUTED_VALUE"""),"G")</f>
        <v>G</v>
      </c>
      <c r="E429" s="80" t="str">
        <f ca="1">IFERROR(__xludf.DUMMYFUNCTION("""COMPUTED_VALUE"""),"J")</f>
        <v>J</v>
      </c>
      <c r="F429" s="80" t="str">
        <f ca="1">IFERROR(__xludf.DUMMYFUNCTION("""COMPUTED_VALUE"""),"I")</f>
        <v>I</v>
      </c>
      <c r="G429" s="80">
        <f ca="1">IFERROR(__xludf.DUMMYFUNCTION("""COMPUTED_VALUE"""),1)</f>
        <v>1</v>
      </c>
      <c r="H429" s="80" t="str">
        <f ca="1">IFERROR(__xludf.DUMMYFUNCTION("""COMPUTED_VALUE"""),"DL")</f>
        <v>DL</v>
      </c>
      <c r="I429" s="80">
        <f ca="1">IFERROR(__xludf.DUMMYFUNCTION("""COMPUTED_VALUE"""),4)</f>
        <v>4</v>
      </c>
      <c r="J429" s="81">
        <f ca="1">IFERROR(__xludf.DUMMYFUNCTION("""COMPUTED_VALUE"""),5)</f>
        <v>5</v>
      </c>
      <c r="K429" s="81">
        <f ca="1">IFERROR(__xludf.DUMMYFUNCTION("""COMPUTED_VALUE"""),89.3)</f>
        <v>89.3</v>
      </c>
      <c r="L429" s="81">
        <f ca="1">IFERROR(__xludf.DUMMYFUNCTION("""COMPUTED_VALUE"""),82.85)</f>
        <v>82.85</v>
      </c>
      <c r="M429" s="81"/>
      <c r="N429" s="81">
        <f ca="1">IFERROR(__xludf.DUMMYFUNCTION("""COMPUTED_VALUE"""),78.5)</f>
        <v>78.5</v>
      </c>
      <c r="O429" s="81"/>
      <c r="P429" s="81">
        <f ca="1">IFERROR(__xludf.DUMMYFUNCTION("""COMPUTED_VALUE"""),89.3)</f>
        <v>89.3</v>
      </c>
      <c r="Q429" s="81"/>
      <c r="R429" s="81">
        <f ca="1">IFERROR(__xludf.DUMMYFUNCTION("""COMPUTED_VALUE"""),88.1)</f>
        <v>88.1</v>
      </c>
      <c r="S429" s="81"/>
      <c r="T429" s="81"/>
      <c r="U429" s="82"/>
      <c r="V429" s="82"/>
      <c r="W429" s="83"/>
      <c r="X429" s="83"/>
      <c r="Y429" s="83"/>
    </row>
    <row r="430" spans="1:25" ht="13.8">
      <c r="A430" s="78" t="str">
        <f ca="1">IFERROR(__xludf.DUMMYFUNCTION("""COMPUTED_VALUE"""),"DL")</f>
        <v>DL</v>
      </c>
      <c r="B430" s="79" t="str">
        <f ca="1">IFERROR(__xludf.DUMMYFUNCTION("""COMPUTED_VALUE"""),"Allison Rokita")</f>
        <v>Allison Rokita</v>
      </c>
      <c r="C430" s="78">
        <f ca="1">IFERROR(__xludf.DUMMYFUNCTION("""COMPUTED_VALUE"""),12)</f>
        <v>12</v>
      </c>
      <c r="D430" s="78" t="str">
        <f ca="1">IFERROR(__xludf.DUMMYFUNCTION("""COMPUTED_VALUE"""),"G")</f>
        <v>G</v>
      </c>
      <c r="E430" s="80" t="str">
        <f ca="1">IFERROR(__xludf.DUMMYFUNCTION("""COMPUTED_VALUE"""),"J")</f>
        <v>J</v>
      </c>
      <c r="F430" s="80" t="str">
        <f ca="1">IFERROR(__xludf.DUMMYFUNCTION("""COMPUTED_VALUE"""),"I")</f>
        <v>I</v>
      </c>
      <c r="G430" s="80">
        <f ca="1">IFERROR(__xludf.DUMMYFUNCTION("""COMPUTED_VALUE"""),1)</f>
        <v>1</v>
      </c>
      <c r="H430" s="80" t="str">
        <f ca="1">IFERROR(__xludf.DUMMYFUNCTION("""COMPUTED_VALUE"""),"DL")</f>
        <v>DL</v>
      </c>
      <c r="I430" s="80">
        <f ca="1">IFERROR(__xludf.DUMMYFUNCTION("""COMPUTED_VALUE"""),4)</f>
        <v>4</v>
      </c>
      <c r="J430" s="81">
        <f ca="1">IFERROR(__xludf.DUMMYFUNCTION("""COMPUTED_VALUE"""),0)</f>
        <v>0</v>
      </c>
      <c r="K430" s="81">
        <f ca="1">IFERROR(__xludf.DUMMYFUNCTION("""COMPUTED_VALUE"""),0)</f>
        <v>0</v>
      </c>
      <c r="L430" s="81">
        <f ca="1">IFERROR(__xludf.DUMMYFUNCTION("""COMPUTED_VALUE"""),0)</f>
        <v>0</v>
      </c>
      <c r="M430" s="81"/>
      <c r="N430" s="81">
        <f ca="1">IFERROR(__xludf.DUMMYFUNCTION("""COMPUTED_VALUE"""),0)</f>
        <v>0</v>
      </c>
      <c r="O430" s="81"/>
      <c r="P430" s="81">
        <f ca="1">IFERROR(__xludf.DUMMYFUNCTION("""COMPUTED_VALUE"""),0)</f>
        <v>0</v>
      </c>
      <c r="Q430" s="81"/>
      <c r="R430" s="81">
        <f ca="1">IFERROR(__xludf.DUMMYFUNCTION("""COMPUTED_VALUE"""),0)</f>
        <v>0</v>
      </c>
      <c r="S430" s="81"/>
      <c r="T430" s="81"/>
      <c r="U430" s="82"/>
      <c r="V430" s="82"/>
      <c r="W430" s="83"/>
      <c r="X430" s="83"/>
      <c r="Y430" s="83"/>
    </row>
    <row r="431" spans="1:25" ht="13.8">
      <c r="A431" s="78" t="str">
        <f ca="1">IFERROR(__xludf.DUMMYFUNCTION("""COMPUTED_VALUE"""),"DL")</f>
        <v>DL</v>
      </c>
      <c r="B431" s="79" t="str">
        <f ca="1">IFERROR(__xludf.DUMMYFUNCTION("""COMPUTED_VALUE"""),"Asha Stewart")</f>
        <v>Asha Stewart</v>
      </c>
      <c r="C431" s="78">
        <f ca="1">IFERROR(__xludf.DUMMYFUNCTION("""COMPUTED_VALUE"""),12)</f>
        <v>12</v>
      </c>
      <c r="D431" s="78" t="str">
        <f ca="1">IFERROR(__xludf.DUMMYFUNCTION("""COMPUTED_VALUE"""),"G")</f>
        <v>G</v>
      </c>
      <c r="E431" s="80" t="str">
        <f ca="1">IFERROR(__xludf.DUMMYFUNCTION("""COMPUTED_VALUE"""),"J")</f>
        <v>J</v>
      </c>
      <c r="F431" s="80" t="str">
        <f ca="1">IFERROR(__xludf.DUMMYFUNCTION("""COMPUTED_VALUE"""),"I")</f>
        <v>I</v>
      </c>
      <c r="G431" s="80">
        <f ca="1">IFERROR(__xludf.DUMMYFUNCTION("""COMPUTED_VALUE"""),1)</f>
        <v>1</v>
      </c>
      <c r="H431" s="80" t="str">
        <f ca="1">IFERROR(__xludf.DUMMYFUNCTION("""COMPUTED_VALUE"""),"DL")</f>
        <v>DL</v>
      </c>
      <c r="I431" s="80">
        <f ca="1">IFERROR(__xludf.DUMMYFUNCTION("""COMPUTED_VALUE"""),4)</f>
        <v>4</v>
      </c>
      <c r="J431" s="81">
        <f ca="1">IFERROR(__xludf.DUMMYFUNCTION("""COMPUTED_VALUE"""),5)</f>
        <v>5</v>
      </c>
      <c r="K431" s="81">
        <f ca="1">IFERROR(__xludf.DUMMYFUNCTION("""COMPUTED_VALUE"""),91.75)</f>
        <v>91.75</v>
      </c>
      <c r="L431" s="81">
        <f ca="1">IFERROR(__xludf.DUMMYFUNCTION("""COMPUTED_VALUE"""),80.6)</f>
        <v>80.599999999999994</v>
      </c>
      <c r="M431" s="81"/>
      <c r="N431" s="81">
        <f ca="1">IFERROR(__xludf.DUMMYFUNCTION("""COMPUTED_VALUE"""),69.55)</f>
        <v>69.55</v>
      </c>
      <c r="O431" s="81"/>
      <c r="P431" s="81">
        <f ca="1">IFERROR(__xludf.DUMMYFUNCTION("""COMPUTED_VALUE"""),84.95)</f>
        <v>84.95</v>
      </c>
      <c r="Q431" s="81"/>
      <c r="R431" s="81">
        <f ca="1">IFERROR(__xludf.DUMMYFUNCTION("""COMPUTED_VALUE"""),91.75)</f>
        <v>91.75</v>
      </c>
      <c r="S431" s="81"/>
      <c r="T431" s="81"/>
      <c r="U431" s="82"/>
      <c r="V431" s="82"/>
      <c r="W431" s="83"/>
      <c r="X431" s="83"/>
      <c r="Y431" s="83"/>
    </row>
    <row r="432" spans="1:25" ht="13.8">
      <c r="A432" s="78" t="str">
        <f ca="1">IFERROR(__xludf.DUMMYFUNCTION("""COMPUTED_VALUE"""),"DL")</f>
        <v>DL</v>
      </c>
      <c r="B432" s="79" t="str">
        <f ca="1">IFERROR(__xludf.DUMMYFUNCTION("""COMPUTED_VALUE"""),"Kiran Vasudevan")</f>
        <v>Kiran Vasudevan</v>
      </c>
      <c r="C432" s="78">
        <f ca="1">IFERROR(__xludf.DUMMYFUNCTION("""COMPUTED_VALUE"""),12)</f>
        <v>12</v>
      </c>
      <c r="D432" s="78" t="str">
        <f ca="1">IFERROR(__xludf.DUMMYFUNCTION("""COMPUTED_VALUE"""),"G")</f>
        <v>G</v>
      </c>
      <c r="E432" s="80" t="str">
        <f ca="1">IFERROR(__xludf.DUMMYFUNCTION("""COMPUTED_VALUE"""),"J")</f>
        <v>J</v>
      </c>
      <c r="F432" s="80" t="str">
        <f ca="1">IFERROR(__xludf.DUMMYFUNCTION("""COMPUTED_VALUE"""),"I")</f>
        <v>I</v>
      </c>
      <c r="G432" s="80">
        <f ca="1">IFERROR(__xludf.DUMMYFUNCTION("""COMPUTED_VALUE"""),1)</f>
        <v>1</v>
      </c>
      <c r="H432" s="80" t="str">
        <f ca="1">IFERROR(__xludf.DUMMYFUNCTION("""COMPUTED_VALUE"""),"DL")</f>
        <v>DL</v>
      </c>
      <c r="I432" s="80">
        <f ca="1">IFERROR(__xludf.DUMMYFUNCTION("""COMPUTED_VALUE"""),4)</f>
        <v>4</v>
      </c>
      <c r="J432" s="81">
        <f ca="1">IFERROR(__xludf.DUMMYFUNCTION("""COMPUTED_VALUE"""),4)</f>
        <v>4</v>
      </c>
      <c r="K432" s="81">
        <f ca="1">IFERROR(__xludf.DUMMYFUNCTION("""COMPUTED_VALUE"""),104.2)</f>
        <v>104.2</v>
      </c>
      <c r="L432" s="81">
        <f ca="1">IFERROR(__xludf.DUMMYFUNCTION("""COMPUTED_VALUE"""),0)</f>
        <v>0</v>
      </c>
      <c r="M432" s="81"/>
      <c r="N432" s="81">
        <f ca="1">IFERROR(__xludf.DUMMYFUNCTION("""COMPUTED_VALUE"""),103.75)</f>
        <v>103.75</v>
      </c>
      <c r="O432" s="81"/>
      <c r="P432" s="81">
        <f ca="1">IFERROR(__xludf.DUMMYFUNCTION("""COMPUTED_VALUE"""),98.4)</f>
        <v>98.4</v>
      </c>
      <c r="Q432" s="81"/>
      <c r="R432" s="81">
        <f ca="1">IFERROR(__xludf.DUMMYFUNCTION("""COMPUTED_VALUE"""),104.2)</f>
        <v>104.2</v>
      </c>
      <c r="S432" s="81"/>
      <c r="T432" s="81"/>
      <c r="U432" s="82"/>
      <c r="V432" s="82"/>
      <c r="W432" s="83"/>
      <c r="X432" s="83"/>
      <c r="Y432" s="83"/>
    </row>
    <row r="433" spans="1:25" ht="13.8">
      <c r="A433" s="78" t="str">
        <f ca="1">IFERROR(__xludf.DUMMYFUNCTION("""COMPUTED_VALUE"""),"DL")</f>
        <v>DL</v>
      </c>
      <c r="B433" s="79" t="str">
        <f ca="1">IFERROR(__xludf.DUMMYFUNCTION("""COMPUTED_VALUE"""),"Peter Beatty")</f>
        <v>Peter Beatty</v>
      </c>
      <c r="C433" s="78">
        <f ca="1">IFERROR(__xludf.DUMMYFUNCTION("""COMPUTED_VALUE"""),11)</f>
        <v>11</v>
      </c>
      <c r="D433" s="78" t="str">
        <f ca="1">IFERROR(__xludf.DUMMYFUNCTION("""COMPUTED_VALUE"""),"B")</f>
        <v>B</v>
      </c>
      <c r="E433" s="80" t="str">
        <f ca="1">IFERROR(__xludf.DUMMYFUNCTION("""COMPUTED_VALUE"""),"J")</f>
        <v>J</v>
      </c>
      <c r="F433" s="80" t="str">
        <f ca="1">IFERROR(__xludf.DUMMYFUNCTION("""COMPUTED_VALUE"""),"I")</f>
        <v>I</v>
      </c>
      <c r="G433" s="80">
        <f ca="1">IFERROR(__xludf.DUMMYFUNCTION("""COMPUTED_VALUE"""),1)</f>
        <v>1</v>
      </c>
      <c r="H433" s="80" t="str">
        <f ca="1">IFERROR(__xludf.DUMMYFUNCTION("""COMPUTED_VALUE"""),"DL")</f>
        <v>DL</v>
      </c>
      <c r="I433" s="80">
        <f ca="1">IFERROR(__xludf.DUMMYFUNCTION("""COMPUTED_VALUE"""),5)</f>
        <v>5</v>
      </c>
      <c r="J433" s="81">
        <f ca="1">IFERROR(__xludf.DUMMYFUNCTION("""COMPUTED_VALUE"""),2)</f>
        <v>2</v>
      </c>
      <c r="K433" s="81">
        <f ca="1">IFERROR(__xludf.DUMMYFUNCTION("""COMPUTED_VALUE"""),70.35)</f>
        <v>70.349999999999994</v>
      </c>
      <c r="L433" s="81">
        <f ca="1">IFERROR(__xludf.DUMMYFUNCTION("""COMPUTED_VALUE"""),0)</f>
        <v>0</v>
      </c>
      <c r="M433" s="81"/>
      <c r="N433" s="81">
        <f ca="1">IFERROR(__xludf.DUMMYFUNCTION("""COMPUTED_VALUE"""),70.35)</f>
        <v>70.349999999999994</v>
      </c>
      <c r="O433" s="81"/>
      <c r="P433" s="81">
        <f ca="1">IFERROR(__xludf.DUMMYFUNCTION("""COMPUTED_VALUE"""),0)</f>
        <v>0</v>
      </c>
      <c r="Q433" s="81"/>
      <c r="R433" s="81">
        <f ca="1">IFERROR(__xludf.DUMMYFUNCTION("""COMPUTED_VALUE"""),0)</f>
        <v>0</v>
      </c>
      <c r="S433" s="81"/>
      <c r="T433" s="81"/>
      <c r="U433" s="82"/>
      <c r="V433" s="82"/>
      <c r="W433" s="83"/>
      <c r="X433" s="83"/>
      <c r="Y433" s="83"/>
    </row>
    <row r="434" spans="1:25" ht="13.8">
      <c r="A434" s="78" t="str">
        <f ca="1">IFERROR(__xludf.DUMMYFUNCTION("""COMPUTED_VALUE"""),"DL")</f>
        <v>DL</v>
      </c>
      <c r="B434" s="79" t="str">
        <f ca="1">IFERROR(__xludf.DUMMYFUNCTION("""COMPUTED_VALUE"""),"Lex Brucker")</f>
        <v>Lex Brucker</v>
      </c>
      <c r="C434" s="78">
        <f ca="1">IFERROR(__xludf.DUMMYFUNCTION("""COMPUTED_VALUE"""),11)</f>
        <v>11</v>
      </c>
      <c r="D434" s="78" t="str">
        <f ca="1">IFERROR(__xludf.DUMMYFUNCTION("""COMPUTED_VALUE"""),"B")</f>
        <v>B</v>
      </c>
      <c r="E434" s="80" t="str">
        <f ca="1">IFERROR(__xludf.DUMMYFUNCTION("""COMPUTED_VALUE"""),"J")</f>
        <v>J</v>
      </c>
      <c r="F434" s="80" t="str">
        <f ca="1">IFERROR(__xludf.DUMMYFUNCTION("""COMPUTED_VALUE"""),"I")</f>
        <v>I</v>
      </c>
      <c r="G434" s="80">
        <f ca="1">IFERROR(__xludf.DUMMYFUNCTION("""COMPUTED_VALUE"""),1)</f>
        <v>1</v>
      </c>
      <c r="H434" s="80" t="str">
        <f ca="1">IFERROR(__xludf.DUMMYFUNCTION("""COMPUTED_VALUE"""),"DL")</f>
        <v>DL</v>
      </c>
      <c r="I434" s="80">
        <f ca="1">IFERROR(__xludf.DUMMYFUNCTION("""COMPUTED_VALUE"""),5)</f>
        <v>5</v>
      </c>
      <c r="J434" s="81">
        <f ca="1">IFERROR(__xludf.DUMMYFUNCTION("""COMPUTED_VALUE"""),3)</f>
        <v>3</v>
      </c>
      <c r="K434" s="81">
        <f ca="1">IFERROR(__xludf.DUMMYFUNCTION("""COMPUTED_VALUE"""),89.2)</f>
        <v>89.2</v>
      </c>
      <c r="L434" s="81">
        <f ca="1">IFERROR(__xludf.DUMMYFUNCTION("""COMPUTED_VALUE"""),0)</f>
        <v>0</v>
      </c>
      <c r="M434" s="81"/>
      <c r="N434" s="81">
        <f ca="1">IFERROR(__xludf.DUMMYFUNCTION("""COMPUTED_VALUE"""),75.4)</f>
        <v>75.400000000000006</v>
      </c>
      <c r="O434" s="81"/>
      <c r="P434" s="81">
        <f ca="1">IFERROR(__xludf.DUMMYFUNCTION("""COMPUTED_VALUE"""),0)</f>
        <v>0</v>
      </c>
      <c r="Q434" s="81"/>
      <c r="R434" s="81">
        <f ca="1">IFERROR(__xludf.DUMMYFUNCTION("""COMPUTED_VALUE"""),89.2)</f>
        <v>89.2</v>
      </c>
      <c r="S434" s="81"/>
      <c r="T434" s="81"/>
      <c r="U434" s="82"/>
      <c r="V434" s="82"/>
      <c r="W434" s="83"/>
      <c r="X434" s="83"/>
      <c r="Y434" s="83"/>
    </row>
    <row r="435" spans="1:25" ht="13.8">
      <c r="A435" s="78" t="str">
        <f ca="1">IFERROR(__xludf.DUMMYFUNCTION("""COMPUTED_VALUE"""),"DL")</f>
        <v>DL</v>
      </c>
      <c r="B435" s="79" t="str">
        <f ca="1">IFERROR(__xludf.DUMMYFUNCTION("""COMPUTED_VALUE"""),"Will Depaz")</f>
        <v>Will Depaz</v>
      </c>
      <c r="C435" s="78">
        <f ca="1">IFERROR(__xludf.DUMMYFUNCTION("""COMPUTED_VALUE"""),12)</f>
        <v>12</v>
      </c>
      <c r="D435" s="78" t="str">
        <f ca="1">IFERROR(__xludf.DUMMYFUNCTION("""COMPUTED_VALUE"""),"B")</f>
        <v>B</v>
      </c>
      <c r="E435" s="80" t="str">
        <f ca="1">IFERROR(__xludf.DUMMYFUNCTION("""COMPUTED_VALUE"""),"J")</f>
        <v>J</v>
      </c>
      <c r="F435" s="80" t="str">
        <f ca="1">IFERROR(__xludf.DUMMYFUNCTION("""COMPUTED_VALUE"""),"I")</f>
        <v>I</v>
      </c>
      <c r="G435" s="80">
        <f ca="1">IFERROR(__xludf.DUMMYFUNCTION("""COMPUTED_VALUE"""),1)</f>
        <v>1</v>
      </c>
      <c r="H435" s="80" t="str">
        <f ca="1">IFERROR(__xludf.DUMMYFUNCTION("""COMPUTED_VALUE"""),"DL")</f>
        <v>DL</v>
      </c>
      <c r="I435" s="80">
        <f ca="1">IFERROR(__xludf.DUMMYFUNCTION("""COMPUTED_VALUE"""),5)</f>
        <v>5</v>
      </c>
      <c r="J435" s="81">
        <f ca="1">IFERROR(__xludf.DUMMYFUNCTION("""COMPUTED_VALUE"""),0)</f>
        <v>0</v>
      </c>
      <c r="K435" s="81">
        <f ca="1">IFERROR(__xludf.DUMMYFUNCTION("""COMPUTED_VALUE"""),0)</f>
        <v>0</v>
      </c>
      <c r="L435" s="81">
        <f ca="1">IFERROR(__xludf.DUMMYFUNCTION("""COMPUTED_VALUE"""),0)</f>
        <v>0</v>
      </c>
      <c r="M435" s="81"/>
      <c r="N435" s="81">
        <f ca="1">IFERROR(__xludf.DUMMYFUNCTION("""COMPUTED_VALUE"""),0)</f>
        <v>0</v>
      </c>
      <c r="O435" s="81"/>
      <c r="P435" s="81">
        <f ca="1">IFERROR(__xludf.DUMMYFUNCTION("""COMPUTED_VALUE"""),0)</f>
        <v>0</v>
      </c>
      <c r="Q435" s="81"/>
      <c r="R435" s="81">
        <f ca="1">IFERROR(__xludf.DUMMYFUNCTION("""COMPUTED_VALUE"""),0)</f>
        <v>0</v>
      </c>
      <c r="S435" s="81"/>
      <c r="T435" s="81"/>
      <c r="U435" s="82"/>
      <c r="V435" s="82"/>
      <c r="W435" s="83"/>
      <c r="X435" s="83"/>
      <c r="Y435" s="83"/>
    </row>
    <row r="436" spans="1:25" ht="13.8">
      <c r="A436" s="78" t="str">
        <f ca="1">IFERROR(__xludf.DUMMYFUNCTION("""COMPUTED_VALUE"""),"DL")</f>
        <v>DL</v>
      </c>
      <c r="B436" s="79" t="str">
        <f ca="1">IFERROR(__xludf.DUMMYFUNCTION("""COMPUTED_VALUE"""),"Sean Esen")</f>
        <v>Sean Esen</v>
      </c>
      <c r="C436" s="78">
        <f ca="1">IFERROR(__xludf.DUMMYFUNCTION("""COMPUTED_VALUE"""),12)</f>
        <v>12</v>
      </c>
      <c r="D436" s="78" t="str">
        <f ca="1">IFERROR(__xludf.DUMMYFUNCTION("""COMPUTED_VALUE"""),"B")</f>
        <v>B</v>
      </c>
      <c r="E436" s="80" t="str">
        <f ca="1">IFERROR(__xludf.DUMMYFUNCTION("""COMPUTED_VALUE"""),"J")</f>
        <v>J</v>
      </c>
      <c r="F436" s="80" t="str">
        <f ca="1">IFERROR(__xludf.DUMMYFUNCTION("""COMPUTED_VALUE"""),"I")</f>
        <v>I</v>
      </c>
      <c r="G436" s="80">
        <f ca="1">IFERROR(__xludf.DUMMYFUNCTION("""COMPUTED_VALUE"""),1)</f>
        <v>1</v>
      </c>
      <c r="H436" s="80" t="str">
        <f ca="1">IFERROR(__xludf.DUMMYFUNCTION("""COMPUTED_VALUE"""),"DL")</f>
        <v>DL</v>
      </c>
      <c r="I436" s="80">
        <f ca="1">IFERROR(__xludf.DUMMYFUNCTION("""COMPUTED_VALUE"""),5)</f>
        <v>5</v>
      </c>
      <c r="J436" s="81">
        <f ca="1">IFERROR(__xludf.DUMMYFUNCTION("""COMPUTED_VALUE"""),2)</f>
        <v>2</v>
      </c>
      <c r="K436" s="81">
        <f ca="1">IFERROR(__xludf.DUMMYFUNCTION("""COMPUTED_VALUE"""),78.95)</f>
        <v>78.95</v>
      </c>
      <c r="L436" s="81">
        <f ca="1">IFERROR(__xludf.DUMMYFUNCTION("""COMPUTED_VALUE"""),0)</f>
        <v>0</v>
      </c>
      <c r="M436" s="81"/>
      <c r="N436" s="81">
        <f ca="1">IFERROR(__xludf.DUMMYFUNCTION("""COMPUTED_VALUE"""),0)</f>
        <v>0</v>
      </c>
      <c r="O436" s="81"/>
      <c r="P436" s="81">
        <f ca="1">IFERROR(__xludf.DUMMYFUNCTION("""COMPUTED_VALUE"""),0)</f>
        <v>0</v>
      </c>
      <c r="Q436" s="81"/>
      <c r="R436" s="81">
        <f ca="1">IFERROR(__xludf.DUMMYFUNCTION("""COMPUTED_VALUE"""),78.95)</f>
        <v>78.95</v>
      </c>
      <c r="S436" s="81"/>
      <c r="T436" s="81"/>
      <c r="U436" s="82"/>
      <c r="V436" s="82"/>
      <c r="W436" s="83"/>
      <c r="X436" s="83"/>
      <c r="Y436" s="83"/>
    </row>
    <row r="437" spans="1:25" ht="13.8">
      <c r="A437" s="78" t="str">
        <f ca="1">IFERROR(__xludf.DUMMYFUNCTION("""COMPUTED_VALUE"""),"DL")</f>
        <v>DL</v>
      </c>
      <c r="B437" s="79" t="str">
        <f ca="1">IFERROR(__xludf.DUMMYFUNCTION("""COMPUTED_VALUE"""),"Sam Himmel")</f>
        <v>Sam Himmel</v>
      </c>
      <c r="C437" s="78">
        <f ca="1">IFERROR(__xludf.DUMMYFUNCTION("""COMPUTED_VALUE"""),11)</f>
        <v>11</v>
      </c>
      <c r="D437" s="78" t="str">
        <f ca="1">IFERROR(__xludf.DUMMYFUNCTION("""COMPUTED_VALUE"""),"B")</f>
        <v>B</v>
      </c>
      <c r="E437" s="80" t="str">
        <f ca="1">IFERROR(__xludf.DUMMYFUNCTION("""COMPUTED_VALUE"""),"J")</f>
        <v>J</v>
      </c>
      <c r="F437" s="80" t="str">
        <f ca="1">IFERROR(__xludf.DUMMYFUNCTION("""COMPUTED_VALUE"""),"I")</f>
        <v>I</v>
      </c>
      <c r="G437" s="80">
        <f ca="1">IFERROR(__xludf.DUMMYFUNCTION("""COMPUTED_VALUE"""),1)</f>
        <v>1</v>
      </c>
      <c r="H437" s="80" t="str">
        <f ca="1">IFERROR(__xludf.DUMMYFUNCTION("""COMPUTED_VALUE"""),"DL")</f>
        <v>DL</v>
      </c>
      <c r="I437" s="80">
        <f ca="1">IFERROR(__xludf.DUMMYFUNCTION("""COMPUTED_VALUE"""),5)</f>
        <v>5</v>
      </c>
      <c r="J437" s="81">
        <f ca="1">IFERROR(__xludf.DUMMYFUNCTION("""COMPUTED_VALUE"""),0)</f>
        <v>0</v>
      </c>
      <c r="K437" s="81">
        <f ca="1">IFERROR(__xludf.DUMMYFUNCTION("""COMPUTED_VALUE"""),0)</f>
        <v>0</v>
      </c>
      <c r="L437" s="81">
        <f ca="1">IFERROR(__xludf.DUMMYFUNCTION("""COMPUTED_VALUE"""),0)</f>
        <v>0</v>
      </c>
      <c r="M437" s="81"/>
      <c r="N437" s="81">
        <f ca="1">IFERROR(__xludf.DUMMYFUNCTION("""COMPUTED_VALUE"""),0)</f>
        <v>0</v>
      </c>
      <c r="O437" s="81"/>
      <c r="P437" s="81">
        <f ca="1">IFERROR(__xludf.DUMMYFUNCTION("""COMPUTED_VALUE"""),0)</f>
        <v>0</v>
      </c>
      <c r="Q437" s="81"/>
      <c r="R437" s="81">
        <f ca="1">IFERROR(__xludf.DUMMYFUNCTION("""COMPUTED_VALUE"""),0)</f>
        <v>0</v>
      </c>
      <c r="S437" s="81"/>
      <c r="T437" s="81"/>
      <c r="U437" s="82"/>
      <c r="V437" s="82"/>
      <c r="W437" s="83"/>
      <c r="X437" s="83"/>
      <c r="Y437" s="83"/>
    </row>
    <row r="438" spans="1:25" ht="13.8">
      <c r="A438" s="78" t="str">
        <f ca="1">IFERROR(__xludf.DUMMYFUNCTION("""COMPUTED_VALUE"""),"DL")</f>
        <v>DL</v>
      </c>
      <c r="B438" s="79" t="str">
        <f ca="1">IFERROR(__xludf.DUMMYFUNCTION("""COMPUTED_VALUE"""),"Owen Koch")</f>
        <v>Owen Koch</v>
      </c>
      <c r="C438" s="78">
        <f ca="1">IFERROR(__xludf.DUMMYFUNCTION("""COMPUTED_VALUE"""),11)</f>
        <v>11</v>
      </c>
      <c r="D438" s="78" t="str">
        <f ca="1">IFERROR(__xludf.DUMMYFUNCTION("""COMPUTED_VALUE"""),"B")</f>
        <v>B</v>
      </c>
      <c r="E438" s="80" t="str">
        <f ca="1">IFERROR(__xludf.DUMMYFUNCTION("""COMPUTED_VALUE"""),"J")</f>
        <v>J</v>
      </c>
      <c r="F438" s="80" t="str">
        <f ca="1">IFERROR(__xludf.DUMMYFUNCTION("""COMPUTED_VALUE"""),"I")</f>
        <v>I</v>
      </c>
      <c r="G438" s="80">
        <f ca="1">IFERROR(__xludf.DUMMYFUNCTION("""COMPUTED_VALUE"""),1)</f>
        <v>1</v>
      </c>
      <c r="H438" s="80" t="str">
        <f ca="1">IFERROR(__xludf.DUMMYFUNCTION("""COMPUTED_VALUE"""),"DL")</f>
        <v>DL</v>
      </c>
      <c r="I438" s="80">
        <f ca="1">IFERROR(__xludf.DUMMYFUNCTION("""COMPUTED_VALUE"""),5)</f>
        <v>5</v>
      </c>
      <c r="J438" s="81">
        <f ca="1">IFERROR(__xludf.DUMMYFUNCTION("""COMPUTED_VALUE"""),0)</f>
        <v>0</v>
      </c>
      <c r="K438" s="81">
        <f ca="1">IFERROR(__xludf.DUMMYFUNCTION("""COMPUTED_VALUE"""),0)</f>
        <v>0</v>
      </c>
      <c r="L438" s="81">
        <f ca="1">IFERROR(__xludf.DUMMYFUNCTION("""COMPUTED_VALUE"""),0)</f>
        <v>0</v>
      </c>
      <c r="M438" s="81"/>
      <c r="N438" s="81">
        <f ca="1">IFERROR(__xludf.DUMMYFUNCTION("""COMPUTED_VALUE"""),0)</f>
        <v>0</v>
      </c>
      <c r="O438" s="81"/>
      <c r="P438" s="81">
        <f ca="1">IFERROR(__xludf.DUMMYFUNCTION("""COMPUTED_VALUE"""),0)</f>
        <v>0</v>
      </c>
      <c r="Q438" s="81"/>
      <c r="R438" s="81">
        <f ca="1">IFERROR(__xludf.DUMMYFUNCTION("""COMPUTED_VALUE"""),0)</f>
        <v>0</v>
      </c>
      <c r="S438" s="81"/>
      <c r="T438" s="81"/>
      <c r="U438" s="82"/>
      <c r="V438" s="82"/>
      <c r="W438" s="83"/>
      <c r="X438" s="83"/>
      <c r="Y438" s="83"/>
    </row>
    <row r="439" spans="1:25" ht="13.8">
      <c r="A439" s="78" t="str">
        <f ca="1">IFERROR(__xludf.DUMMYFUNCTION("""COMPUTED_VALUE"""),"DL")</f>
        <v>DL</v>
      </c>
      <c r="B439" s="79" t="str">
        <f ca="1">IFERROR(__xludf.DUMMYFUNCTION("""COMPUTED_VALUE"""),"Elliott Lam")</f>
        <v>Elliott Lam</v>
      </c>
      <c r="C439" s="78">
        <f ca="1">IFERROR(__xludf.DUMMYFUNCTION("""COMPUTED_VALUE"""),12)</f>
        <v>12</v>
      </c>
      <c r="D439" s="78" t="str">
        <f ca="1">IFERROR(__xludf.DUMMYFUNCTION("""COMPUTED_VALUE"""),"B")</f>
        <v>B</v>
      </c>
      <c r="E439" s="80" t="str">
        <f ca="1">IFERROR(__xludf.DUMMYFUNCTION("""COMPUTED_VALUE"""),"J")</f>
        <v>J</v>
      </c>
      <c r="F439" s="80" t="str">
        <f ca="1">IFERROR(__xludf.DUMMYFUNCTION("""COMPUTED_VALUE"""),"I")</f>
        <v>I</v>
      </c>
      <c r="G439" s="80">
        <f ca="1">IFERROR(__xludf.DUMMYFUNCTION("""COMPUTED_VALUE"""),1)</f>
        <v>1</v>
      </c>
      <c r="H439" s="80" t="str">
        <f ca="1">IFERROR(__xludf.DUMMYFUNCTION("""COMPUTED_VALUE"""),"DL")</f>
        <v>DL</v>
      </c>
      <c r="I439" s="80">
        <f ca="1">IFERROR(__xludf.DUMMYFUNCTION("""COMPUTED_VALUE"""),5)</f>
        <v>5</v>
      </c>
      <c r="J439" s="81">
        <f ca="1">IFERROR(__xludf.DUMMYFUNCTION("""COMPUTED_VALUE"""),4)</f>
        <v>4</v>
      </c>
      <c r="K439" s="81">
        <f ca="1">IFERROR(__xludf.DUMMYFUNCTION("""COMPUTED_VALUE"""),75.8)</f>
        <v>75.8</v>
      </c>
      <c r="L439" s="81">
        <f ca="1">IFERROR(__xludf.DUMMYFUNCTION("""COMPUTED_VALUE"""),0)</f>
        <v>0</v>
      </c>
      <c r="M439" s="81"/>
      <c r="N439" s="81">
        <f ca="1">IFERROR(__xludf.DUMMYFUNCTION("""COMPUTED_VALUE"""),50)</f>
        <v>50</v>
      </c>
      <c r="O439" s="81"/>
      <c r="P439" s="81">
        <f ca="1">IFERROR(__xludf.DUMMYFUNCTION("""COMPUTED_VALUE"""),75.8)</f>
        <v>75.8</v>
      </c>
      <c r="Q439" s="81"/>
      <c r="R439" s="81">
        <f ca="1">IFERROR(__xludf.DUMMYFUNCTION("""COMPUTED_VALUE"""),65.65)</f>
        <v>65.650000000000006</v>
      </c>
      <c r="S439" s="81"/>
      <c r="T439" s="81"/>
      <c r="U439" s="82"/>
      <c r="V439" s="82"/>
      <c r="W439" s="83"/>
      <c r="X439" s="83"/>
      <c r="Y439" s="83"/>
    </row>
    <row r="440" spans="1:25" ht="13.8">
      <c r="A440" s="78" t="str">
        <f ca="1">IFERROR(__xludf.DUMMYFUNCTION("""COMPUTED_VALUE"""),"DL")</f>
        <v>DL</v>
      </c>
      <c r="B440" s="79" t="str">
        <f ca="1">IFERROR(__xludf.DUMMYFUNCTION("""COMPUTED_VALUE"""),"Peyton Reed")</f>
        <v>Peyton Reed</v>
      </c>
      <c r="C440" s="78">
        <f ca="1">IFERROR(__xludf.DUMMYFUNCTION("""COMPUTED_VALUE"""),11)</f>
        <v>11</v>
      </c>
      <c r="D440" s="78" t="str">
        <f ca="1">IFERROR(__xludf.DUMMYFUNCTION("""COMPUTED_VALUE"""),"B")</f>
        <v>B</v>
      </c>
      <c r="E440" s="80" t="str">
        <f ca="1">IFERROR(__xludf.DUMMYFUNCTION("""COMPUTED_VALUE"""),"J")</f>
        <v>J</v>
      </c>
      <c r="F440" s="80" t="str">
        <f ca="1">IFERROR(__xludf.DUMMYFUNCTION("""COMPUTED_VALUE"""),"I")</f>
        <v>I</v>
      </c>
      <c r="G440" s="80">
        <f ca="1">IFERROR(__xludf.DUMMYFUNCTION("""COMPUTED_VALUE"""),1)</f>
        <v>1</v>
      </c>
      <c r="H440" s="80" t="str">
        <f ca="1">IFERROR(__xludf.DUMMYFUNCTION("""COMPUTED_VALUE"""),"DL")</f>
        <v>DL</v>
      </c>
      <c r="I440" s="80">
        <f ca="1">IFERROR(__xludf.DUMMYFUNCTION("""COMPUTED_VALUE"""),5)</f>
        <v>5</v>
      </c>
      <c r="J440" s="81">
        <f ca="1">IFERROR(__xludf.DUMMYFUNCTION("""COMPUTED_VALUE"""),4)</f>
        <v>4</v>
      </c>
      <c r="K440" s="81">
        <f ca="1">IFERROR(__xludf.DUMMYFUNCTION("""COMPUTED_VALUE"""),137.55)</f>
        <v>137.55000000000001</v>
      </c>
      <c r="L440" s="81">
        <f ca="1">IFERROR(__xludf.DUMMYFUNCTION("""COMPUTED_VALUE"""),-164.2)</f>
        <v>-164.2</v>
      </c>
      <c r="M440" s="81"/>
      <c r="N440" s="81">
        <f ca="1">IFERROR(__xludf.DUMMYFUNCTION("""COMPUTED_VALUE"""),0)</f>
        <v>0</v>
      </c>
      <c r="O440" s="81"/>
      <c r="P440" s="81">
        <f ca="1">IFERROR(__xludf.DUMMYFUNCTION("""COMPUTED_VALUE"""),132.7)</f>
        <v>132.69999999999999</v>
      </c>
      <c r="Q440" s="81"/>
      <c r="R440" s="81">
        <f ca="1">IFERROR(__xludf.DUMMYFUNCTION("""COMPUTED_VALUE"""),137.55)</f>
        <v>137.55000000000001</v>
      </c>
      <c r="S440" s="81"/>
      <c r="T440" s="81"/>
      <c r="U440" s="82"/>
      <c r="V440" s="82"/>
      <c r="W440" s="83"/>
      <c r="X440" s="83"/>
      <c r="Y440" s="83"/>
    </row>
    <row r="441" spans="1:25" ht="13.8">
      <c r="A441" s="78" t="str">
        <f ca="1">IFERROR(__xludf.DUMMYFUNCTION("""COMPUTED_VALUE"""),"DL")</f>
        <v>DL</v>
      </c>
      <c r="B441" s="79" t="str">
        <f ca="1">IFERROR(__xludf.DUMMYFUNCTION("""COMPUTED_VALUE"""),"andre Smallcorn")</f>
        <v>andre Smallcorn</v>
      </c>
      <c r="C441" s="78">
        <f ca="1">IFERROR(__xludf.DUMMYFUNCTION("""COMPUTED_VALUE"""),12)</f>
        <v>12</v>
      </c>
      <c r="D441" s="78" t="str">
        <f ca="1">IFERROR(__xludf.DUMMYFUNCTION("""COMPUTED_VALUE"""),"B")</f>
        <v>B</v>
      </c>
      <c r="E441" s="80" t="str">
        <f ca="1">IFERROR(__xludf.DUMMYFUNCTION("""COMPUTED_VALUE"""),"J")</f>
        <v>J</v>
      </c>
      <c r="F441" s="80" t="str">
        <f ca="1">IFERROR(__xludf.DUMMYFUNCTION("""COMPUTED_VALUE"""),"I")</f>
        <v>I</v>
      </c>
      <c r="G441" s="80">
        <f ca="1">IFERROR(__xludf.DUMMYFUNCTION("""COMPUTED_VALUE"""),1)</f>
        <v>1</v>
      </c>
      <c r="H441" s="80" t="str">
        <f ca="1">IFERROR(__xludf.DUMMYFUNCTION("""COMPUTED_VALUE"""),"DL")</f>
        <v>DL</v>
      </c>
      <c r="I441" s="80">
        <f ca="1">IFERROR(__xludf.DUMMYFUNCTION("""COMPUTED_VALUE"""),5)</f>
        <v>5</v>
      </c>
      <c r="J441" s="81">
        <f ca="1">IFERROR(__xludf.DUMMYFUNCTION("""COMPUTED_VALUE"""),0)</f>
        <v>0</v>
      </c>
      <c r="K441" s="81">
        <f ca="1">IFERROR(__xludf.DUMMYFUNCTION("""COMPUTED_VALUE"""),0)</f>
        <v>0</v>
      </c>
      <c r="L441" s="81">
        <f ca="1">IFERROR(__xludf.DUMMYFUNCTION("""COMPUTED_VALUE"""),0)</f>
        <v>0</v>
      </c>
      <c r="M441" s="81"/>
      <c r="N441" s="81">
        <f ca="1">IFERROR(__xludf.DUMMYFUNCTION("""COMPUTED_VALUE"""),0)</f>
        <v>0</v>
      </c>
      <c r="O441" s="81"/>
      <c r="P441" s="81">
        <f ca="1">IFERROR(__xludf.DUMMYFUNCTION("""COMPUTED_VALUE"""),0)</f>
        <v>0</v>
      </c>
      <c r="Q441" s="81"/>
      <c r="R441" s="81">
        <f ca="1">IFERROR(__xludf.DUMMYFUNCTION("""COMPUTED_VALUE"""),0)</f>
        <v>0</v>
      </c>
      <c r="S441" s="81"/>
      <c r="T441" s="81"/>
      <c r="U441" s="82"/>
      <c r="V441" s="82"/>
      <c r="W441" s="83"/>
      <c r="X441" s="83"/>
      <c r="Y441" s="83"/>
    </row>
    <row r="442" spans="1:25" ht="13.8">
      <c r="A442" s="78" t="str">
        <f ca="1">IFERROR(__xludf.DUMMYFUNCTION("""COMPUTED_VALUE"""),"DL")</f>
        <v>DL</v>
      </c>
      <c r="B442" s="79" t="str">
        <f ca="1">IFERROR(__xludf.DUMMYFUNCTION("""COMPUTED_VALUE"""),"Joshua Taliaferro")</f>
        <v>Joshua Taliaferro</v>
      </c>
      <c r="C442" s="78">
        <f ca="1">IFERROR(__xludf.DUMMYFUNCTION("""COMPUTED_VALUE"""),12)</f>
        <v>12</v>
      </c>
      <c r="D442" s="78" t="str">
        <f ca="1">IFERROR(__xludf.DUMMYFUNCTION("""COMPUTED_VALUE"""),"B")</f>
        <v>B</v>
      </c>
      <c r="E442" s="80" t="str">
        <f ca="1">IFERROR(__xludf.DUMMYFUNCTION("""COMPUTED_VALUE"""),"J")</f>
        <v>J</v>
      </c>
      <c r="F442" s="80" t="str">
        <f ca="1">IFERROR(__xludf.DUMMYFUNCTION("""COMPUTED_VALUE"""),"I")</f>
        <v>I</v>
      </c>
      <c r="G442" s="80">
        <f ca="1">IFERROR(__xludf.DUMMYFUNCTION("""COMPUTED_VALUE"""),1)</f>
        <v>1</v>
      </c>
      <c r="H442" s="80" t="str">
        <f ca="1">IFERROR(__xludf.DUMMYFUNCTION("""COMPUTED_VALUE"""),"DL")</f>
        <v>DL</v>
      </c>
      <c r="I442" s="80">
        <f ca="1">IFERROR(__xludf.DUMMYFUNCTION("""COMPUTED_VALUE"""),5)</f>
        <v>5</v>
      </c>
      <c r="J442" s="81">
        <f ca="1">IFERROR(__xludf.DUMMYFUNCTION("""COMPUTED_VALUE"""),4)</f>
        <v>4</v>
      </c>
      <c r="K442" s="81">
        <f ca="1">IFERROR(__xludf.DUMMYFUNCTION("""COMPUTED_VALUE"""),92.65)</f>
        <v>92.65</v>
      </c>
      <c r="L442" s="81">
        <f ca="1">IFERROR(__xludf.DUMMYFUNCTION("""COMPUTED_VALUE"""),87.75)</f>
        <v>87.75</v>
      </c>
      <c r="M442" s="81"/>
      <c r="N442" s="81">
        <f ca="1">IFERROR(__xludf.DUMMYFUNCTION("""COMPUTED_VALUE"""),0)</f>
        <v>0</v>
      </c>
      <c r="O442" s="81"/>
      <c r="P442" s="81">
        <f ca="1">IFERROR(__xludf.DUMMYFUNCTION("""COMPUTED_VALUE"""),88.3)</f>
        <v>88.3</v>
      </c>
      <c r="Q442" s="81"/>
      <c r="R442" s="81">
        <f ca="1">IFERROR(__xludf.DUMMYFUNCTION("""COMPUTED_VALUE"""),92.65)</f>
        <v>92.65</v>
      </c>
      <c r="S442" s="81"/>
      <c r="T442" s="81"/>
      <c r="U442" s="82"/>
      <c r="V442" s="82"/>
      <c r="W442" s="83"/>
      <c r="X442" s="83"/>
      <c r="Y442" s="83"/>
    </row>
    <row r="443" spans="1:25" ht="13.8">
      <c r="A443" s="78" t="str">
        <f ca="1">IFERROR(__xludf.DUMMYFUNCTION("""COMPUTED_VALUE"""),"DL")</f>
        <v>DL</v>
      </c>
      <c r="B443" s="79" t="str">
        <f ca="1">IFERROR(__xludf.DUMMYFUNCTION("""COMPUTED_VALUE"""),"Lee Vanstory")</f>
        <v>Lee Vanstory</v>
      </c>
      <c r="C443" s="78">
        <f ca="1">IFERROR(__xludf.DUMMYFUNCTION("""COMPUTED_VALUE"""),12)</f>
        <v>12</v>
      </c>
      <c r="D443" s="78" t="str">
        <f ca="1">IFERROR(__xludf.DUMMYFUNCTION("""COMPUTED_VALUE"""),"B")</f>
        <v>B</v>
      </c>
      <c r="E443" s="80" t="str">
        <f ca="1">IFERROR(__xludf.DUMMYFUNCTION("""COMPUTED_VALUE"""),"J")</f>
        <v>J</v>
      </c>
      <c r="F443" s="80" t="str">
        <f ca="1">IFERROR(__xludf.DUMMYFUNCTION("""COMPUTED_VALUE"""),"I")</f>
        <v>I</v>
      </c>
      <c r="G443" s="80">
        <f ca="1">IFERROR(__xludf.DUMMYFUNCTION("""COMPUTED_VALUE"""),1)</f>
        <v>1</v>
      </c>
      <c r="H443" s="80" t="str">
        <f ca="1">IFERROR(__xludf.DUMMYFUNCTION("""COMPUTED_VALUE"""),"DL")</f>
        <v>DL</v>
      </c>
      <c r="I443" s="80">
        <f ca="1">IFERROR(__xludf.DUMMYFUNCTION("""COMPUTED_VALUE"""),5)</f>
        <v>5</v>
      </c>
      <c r="J443" s="81">
        <f ca="1">IFERROR(__xludf.DUMMYFUNCTION("""COMPUTED_VALUE"""),0)</f>
        <v>0</v>
      </c>
      <c r="K443" s="81">
        <f ca="1">IFERROR(__xludf.DUMMYFUNCTION("""COMPUTED_VALUE"""),0)</f>
        <v>0</v>
      </c>
      <c r="L443" s="81">
        <f ca="1">IFERROR(__xludf.DUMMYFUNCTION("""COMPUTED_VALUE"""),0)</f>
        <v>0</v>
      </c>
      <c r="M443" s="81"/>
      <c r="N443" s="81">
        <f ca="1">IFERROR(__xludf.DUMMYFUNCTION("""COMPUTED_VALUE"""),0)</f>
        <v>0</v>
      </c>
      <c r="O443" s="81"/>
      <c r="P443" s="81">
        <f ca="1">IFERROR(__xludf.DUMMYFUNCTION("""COMPUTED_VALUE"""),0)</f>
        <v>0</v>
      </c>
      <c r="Q443" s="81"/>
      <c r="R443" s="81">
        <f ca="1">IFERROR(__xludf.DUMMYFUNCTION("""COMPUTED_VALUE"""),0)</f>
        <v>0</v>
      </c>
      <c r="S443" s="81"/>
      <c r="T443" s="81"/>
      <c r="U443" s="82"/>
      <c r="V443" s="82"/>
      <c r="W443" s="83"/>
      <c r="X443" s="83"/>
      <c r="Y443" s="83"/>
    </row>
    <row r="444" spans="1:25" ht="13.8">
      <c r="A444" s="78" t="str">
        <f ca="1">IFERROR(__xludf.DUMMYFUNCTION("""COMPUTED_VALUE"""),"DL")</f>
        <v>DL</v>
      </c>
      <c r="B444" s="79" t="str">
        <f ca="1">IFERROR(__xludf.DUMMYFUNCTION("""COMPUTED_VALUE"""),"Reid Woltman")</f>
        <v>Reid Woltman</v>
      </c>
      <c r="C444" s="78">
        <f ca="1">IFERROR(__xludf.DUMMYFUNCTION("""COMPUTED_VALUE"""),11)</f>
        <v>11</v>
      </c>
      <c r="D444" s="78" t="str">
        <f ca="1">IFERROR(__xludf.DUMMYFUNCTION("""COMPUTED_VALUE"""),"B")</f>
        <v>B</v>
      </c>
      <c r="E444" s="80" t="str">
        <f ca="1">IFERROR(__xludf.DUMMYFUNCTION("""COMPUTED_VALUE"""),"J")</f>
        <v>J</v>
      </c>
      <c r="F444" s="80" t="str">
        <f ca="1">IFERROR(__xludf.DUMMYFUNCTION("""COMPUTED_VALUE"""),"I")</f>
        <v>I</v>
      </c>
      <c r="G444" s="80">
        <f ca="1">IFERROR(__xludf.DUMMYFUNCTION("""COMPUTED_VALUE"""),1)</f>
        <v>1</v>
      </c>
      <c r="H444" s="80" t="str">
        <f ca="1">IFERROR(__xludf.DUMMYFUNCTION("""COMPUTED_VALUE"""),"DL")</f>
        <v>DL</v>
      </c>
      <c r="I444" s="80">
        <f ca="1">IFERROR(__xludf.DUMMYFUNCTION("""COMPUTED_VALUE"""),5)</f>
        <v>5</v>
      </c>
      <c r="J444" s="81">
        <f ca="1">IFERROR(__xludf.DUMMYFUNCTION("""COMPUTED_VALUE"""),0)</f>
        <v>0</v>
      </c>
      <c r="K444" s="81">
        <f ca="1">IFERROR(__xludf.DUMMYFUNCTION("""COMPUTED_VALUE"""),0)</f>
        <v>0</v>
      </c>
      <c r="L444" s="81">
        <f ca="1">IFERROR(__xludf.DUMMYFUNCTION("""COMPUTED_VALUE"""),0)</f>
        <v>0</v>
      </c>
      <c r="M444" s="81"/>
      <c r="N444" s="81">
        <f ca="1">IFERROR(__xludf.DUMMYFUNCTION("""COMPUTED_VALUE"""),0)</f>
        <v>0</v>
      </c>
      <c r="O444" s="81"/>
      <c r="P444" s="81">
        <f ca="1">IFERROR(__xludf.DUMMYFUNCTION("""COMPUTED_VALUE"""),0)</f>
        <v>0</v>
      </c>
      <c r="Q444" s="81"/>
      <c r="R444" s="81">
        <f ca="1">IFERROR(__xludf.DUMMYFUNCTION("""COMPUTED_VALUE"""),0)</f>
        <v>0</v>
      </c>
      <c r="S444" s="81"/>
      <c r="T444" s="81"/>
      <c r="U444" s="82"/>
      <c r="V444" s="82"/>
      <c r="W444" s="83"/>
      <c r="X444" s="83"/>
      <c r="Y444" s="83"/>
    </row>
    <row r="445" spans="1:25" ht="13.8">
      <c r="A445" s="78" t="str">
        <f ca="1">IFERROR(__xludf.DUMMYFUNCTION("""COMPUTED_VALUE"""),"DL")</f>
        <v>DL</v>
      </c>
      <c r="B445" s="79" t="str">
        <f ca="1">IFERROR(__xludf.DUMMYFUNCTION("""COMPUTED_VALUE"""),"Lennon Brucker")</f>
        <v>Lennon Brucker</v>
      </c>
      <c r="C445" s="78">
        <f ca="1">IFERROR(__xludf.DUMMYFUNCTION("""COMPUTED_VALUE"""),13)</f>
        <v>13</v>
      </c>
      <c r="D445" s="78" t="str">
        <f ca="1">IFERROR(__xludf.DUMMYFUNCTION("""COMPUTED_VALUE"""),"G")</f>
        <v>G</v>
      </c>
      <c r="E445" s="80" t="str">
        <f ca="1">IFERROR(__xludf.DUMMYFUNCTION("""COMPUTED_VALUE"""),"I")</f>
        <v>I</v>
      </c>
      <c r="F445" s="80" t="str">
        <f ca="1">IFERROR(__xludf.DUMMYFUNCTION("""COMPUTED_VALUE"""),"S")</f>
        <v>S</v>
      </c>
      <c r="G445" s="80">
        <f ca="1">IFERROR(__xludf.DUMMYFUNCTION("""COMPUTED_VALUE"""),1)</f>
        <v>1</v>
      </c>
      <c r="H445" s="80" t="str">
        <f ca="1">IFERROR(__xludf.DUMMYFUNCTION("""COMPUTED_VALUE"""),"DL")</f>
        <v>DL</v>
      </c>
      <c r="I445" s="80">
        <f ca="1">IFERROR(__xludf.DUMMYFUNCTION("""COMPUTED_VALUE"""),6)</f>
        <v>6</v>
      </c>
      <c r="J445" s="81">
        <f ca="1">IFERROR(__xludf.DUMMYFUNCTION("""COMPUTED_VALUE"""),0)</f>
        <v>0</v>
      </c>
      <c r="K445" s="81">
        <f ca="1">IFERROR(__xludf.DUMMYFUNCTION("""COMPUTED_VALUE"""),0)</f>
        <v>0</v>
      </c>
      <c r="L445" s="81">
        <f ca="1">IFERROR(__xludf.DUMMYFUNCTION("""COMPUTED_VALUE"""),0)</f>
        <v>0</v>
      </c>
      <c r="M445" s="81"/>
      <c r="N445" s="81">
        <f ca="1">IFERROR(__xludf.DUMMYFUNCTION("""COMPUTED_VALUE"""),0)</f>
        <v>0</v>
      </c>
      <c r="O445" s="81"/>
      <c r="P445" s="81">
        <f ca="1">IFERROR(__xludf.DUMMYFUNCTION("""COMPUTED_VALUE"""),0)</f>
        <v>0</v>
      </c>
      <c r="Q445" s="81"/>
      <c r="R445" s="81">
        <f ca="1">IFERROR(__xludf.DUMMYFUNCTION("""COMPUTED_VALUE"""),0)</f>
        <v>0</v>
      </c>
      <c r="S445" s="81"/>
      <c r="T445" s="81"/>
      <c r="U445" s="82"/>
      <c r="V445" s="82"/>
      <c r="W445" s="83"/>
      <c r="X445" s="83"/>
      <c r="Y445" s="83"/>
    </row>
    <row r="446" spans="1:25" ht="13.8">
      <c r="A446" s="78" t="str">
        <f ca="1">IFERROR(__xludf.DUMMYFUNCTION("""COMPUTED_VALUE"""),"DL")</f>
        <v>DL</v>
      </c>
      <c r="B446" s="79" t="str">
        <f ca="1">IFERROR(__xludf.DUMMYFUNCTION("""COMPUTED_VALUE"""),"Audrey Burns")</f>
        <v>Audrey Burns</v>
      </c>
      <c r="C446" s="78">
        <f ca="1">IFERROR(__xludf.DUMMYFUNCTION("""COMPUTED_VALUE"""),13)</f>
        <v>13</v>
      </c>
      <c r="D446" s="78" t="str">
        <f ca="1">IFERROR(__xludf.DUMMYFUNCTION("""COMPUTED_VALUE"""),"G")</f>
        <v>G</v>
      </c>
      <c r="E446" s="80" t="str">
        <f ca="1">IFERROR(__xludf.DUMMYFUNCTION("""COMPUTED_VALUE"""),"I")</f>
        <v>I</v>
      </c>
      <c r="F446" s="80" t="str">
        <f ca="1">IFERROR(__xludf.DUMMYFUNCTION("""COMPUTED_VALUE"""),"S")</f>
        <v>S</v>
      </c>
      <c r="G446" s="80">
        <f ca="1">IFERROR(__xludf.DUMMYFUNCTION("""COMPUTED_VALUE"""),1)</f>
        <v>1</v>
      </c>
      <c r="H446" s="80" t="str">
        <f ca="1">IFERROR(__xludf.DUMMYFUNCTION("""COMPUTED_VALUE"""),"DL")</f>
        <v>DL</v>
      </c>
      <c r="I446" s="80">
        <f ca="1">IFERROR(__xludf.DUMMYFUNCTION("""COMPUTED_VALUE"""),6)</f>
        <v>6</v>
      </c>
      <c r="J446" s="81">
        <f ca="1">IFERROR(__xludf.DUMMYFUNCTION("""COMPUTED_VALUE"""),3)</f>
        <v>3</v>
      </c>
      <c r="K446" s="81">
        <f ca="1">IFERROR(__xludf.DUMMYFUNCTION("""COMPUTED_VALUE"""),100.4)</f>
        <v>100.4</v>
      </c>
      <c r="L446" s="81">
        <f ca="1">IFERROR(__xludf.DUMMYFUNCTION("""COMPUTED_VALUE"""),0)</f>
        <v>0</v>
      </c>
      <c r="M446" s="81"/>
      <c r="N446" s="81">
        <f ca="1">IFERROR(__xludf.DUMMYFUNCTION("""COMPUTED_VALUE"""),0)</f>
        <v>0</v>
      </c>
      <c r="O446" s="81"/>
      <c r="P446" s="81">
        <f ca="1">IFERROR(__xludf.DUMMYFUNCTION("""COMPUTED_VALUE"""),100.4)</f>
        <v>100.4</v>
      </c>
      <c r="Q446" s="81"/>
      <c r="R446" s="81">
        <f ca="1">IFERROR(__xludf.DUMMYFUNCTION("""COMPUTED_VALUE"""),93.4)</f>
        <v>93.4</v>
      </c>
      <c r="S446" s="81"/>
      <c r="T446" s="81"/>
      <c r="U446" s="82"/>
      <c r="V446" s="82"/>
      <c r="W446" s="83"/>
      <c r="X446" s="83"/>
      <c r="Y446" s="83"/>
    </row>
    <row r="447" spans="1:25" ht="13.8">
      <c r="A447" s="78" t="str">
        <f ca="1">IFERROR(__xludf.DUMMYFUNCTION("""COMPUTED_VALUE"""),"DL")</f>
        <v>DL</v>
      </c>
      <c r="B447" s="79" t="str">
        <f ca="1">IFERROR(__xludf.DUMMYFUNCTION("""COMPUTED_VALUE"""),"Sophia Khan")</f>
        <v>Sophia Khan</v>
      </c>
      <c r="C447" s="78">
        <f ca="1">IFERROR(__xludf.DUMMYFUNCTION("""COMPUTED_VALUE"""),13)</f>
        <v>13</v>
      </c>
      <c r="D447" s="78" t="str">
        <f ca="1">IFERROR(__xludf.DUMMYFUNCTION("""COMPUTED_VALUE"""),"G")</f>
        <v>G</v>
      </c>
      <c r="E447" s="80" t="str">
        <f ca="1">IFERROR(__xludf.DUMMYFUNCTION("""COMPUTED_VALUE"""),"I")</f>
        <v>I</v>
      </c>
      <c r="F447" s="80" t="str">
        <f ca="1">IFERROR(__xludf.DUMMYFUNCTION("""COMPUTED_VALUE"""),"S")</f>
        <v>S</v>
      </c>
      <c r="G447" s="80">
        <f ca="1">IFERROR(__xludf.DUMMYFUNCTION("""COMPUTED_VALUE"""),1)</f>
        <v>1</v>
      </c>
      <c r="H447" s="80" t="str">
        <f ca="1">IFERROR(__xludf.DUMMYFUNCTION("""COMPUTED_VALUE"""),"DL")</f>
        <v>DL</v>
      </c>
      <c r="I447" s="80">
        <f ca="1">IFERROR(__xludf.DUMMYFUNCTION("""COMPUTED_VALUE"""),6)</f>
        <v>6</v>
      </c>
      <c r="J447" s="81">
        <f ca="1">IFERROR(__xludf.DUMMYFUNCTION("""COMPUTED_VALUE"""),0)</f>
        <v>0</v>
      </c>
      <c r="K447" s="81">
        <f ca="1">IFERROR(__xludf.DUMMYFUNCTION("""COMPUTED_VALUE"""),0)</f>
        <v>0</v>
      </c>
      <c r="L447" s="81">
        <f ca="1">IFERROR(__xludf.DUMMYFUNCTION("""COMPUTED_VALUE"""),0)</f>
        <v>0</v>
      </c>
      <c r="M447" s="81"/>
      <c r="N447" s="81">
        <f ca="1">IFERROR(__xludf.DUMMYFUNCTION("""COMPUTED_VALUE"""),0)</f>
        <v>0</v>
      </c>
      <c r="O447" s="81"/>
      <c r="P447" s="81">
        <f ca="1">IFERROR(__xludf.DUMMYFUNCTION("""COMPUTED_VALUE"""),0)</f>
        <v>0</v>
      </c>
      <c r="Q447" s="81"/>
      <c r="R447" s="81">
        <f ca="1">IFERROR(__xludf.DUMMYFUNCTION("""COMPUTED_VALUE"""),0)</f>
        <v>0</v>
      </c>
      <c r="S447" s="81"/>
      <c r="T447" s="81"/>
      <c r="U447" s="82"/>
      <c r="V447" s="82"/>
      <c r="W447" s="83"/>
      <c r="X447" s="83"/>
      <c r="Y447" s="83"/>
    </row>
    <row r="448" spans="1:25" ht="13.8">
      <c r="A448" s="78" t="str">
        <f ca="1">IFERROR(__xludf.DUMMYFUNCTION("""COMPUTED_VALUE"""),"DL")</f>
        <v>DL</v>
      </c>
      <c r="B448" s="79" t="str">
        <f ca="1">IFERROR(__xludf.DUMMYFUNCTION("""COMPUTED_VALUE"""),"Ronica Krishnan")</f>
        <v>Ronica Krishnan</v>
      </c>
      <c r="C448" s="78">
        <f ca="1">IFERROR(__xludf.DUMMYFUNCTION("""COMPUTED_VALUE"""),13)</f>
        <v>13</v>
      </c>
      <c r="D448" s="78" t="str">
        <f ca="1">IFERROR(__xludf.DUMMYFUNCTION("""COMPUTED_VALUE"""),"G")</f>
        <v>G</v>
      </c>
      <c r="E448" s="80" t="str">
        <f ca="1">IFERROR(__xludf.DUMMYFUNCTION("""COMPUTED_VALUE"""),"I")</f>
        <v>I</v>
      </c>
      <c r="F448" s="80" t="str">
        <f ca="1">IFERROR(__xludf.DUMMYFUNCTION("""COMPUTED_VALUE"""),"S")</f>
        <v>S</v>
      </c>
      <c r="G448" s="80">
        <f ca="1">IFERROR(__xludf.DUMMYFUNCTION("""COMPUTED_VALUE"""),1)</f>
        <v>1</v>
      </c>
      <c r="H448" s="80" t="str">
        <f ca="1">IFERROR(__xludf.DUMMYFUNCTION("""COMPUTED_VALUE"""),"DL")</f>
        <v>DL</v>
      </c>
      <c r="I448" s="80">
        <f ca="1">IFERROR(__xludf.DUMMYFUNCTION("""COMPUTED_VALUE"""),6)</f>
        <v>6</v>
      </c>
      <c r="J448" s="81">
        <f ca="1">IFERROR(__xludf.DUMMYFUNCTION("""COMPUTED_VALUE"""),0)</f>
        <v>0</v>
      </c>
      <c r="K448" s="81">
        <f ca="1">IFERROR(__xludf.DUMMYFUNCTION("""COMPUTED_VALUE"""),0)</f>
        <v>0</v>
      </c>
      <c r="L448" s="81">
        <f ca="1">IFERROR(__xludf.DUMMYFUNCTION("""COMPUTED_VALUE"""),0)</f>
        <v>0</v>
      </c>
      <c r="M448" s="81"/>
      <c r="N448" s="81">
        <f ca="1">IFERROR(__xludf.DUMMYFUNCTION("""COMPUTED_VALUE"""),0)</f>
        <v>0</v>
      </c>
      <c r="O448" s="81"/>
      <c r="P448" s="81">
        <f ca="1">IFERROR(__xludf.DUMMYFUNCTION("""COMPUTED_VALUE"""),0)</f>
        <v>0</v>
      </c>
      <c r="Q448" s="81"/>
      <c r="R448" s="81">
        <f ca="1">IFERROR(__xludf.DUMMYFUNCTION("""COMPUTED_VALUE"""),0)</f>
        <v>0</v>
      </c>
      <c r="S448" s="81"/>
      <c r="T448" s="81"/>
      <c r="U448" s="82"/>
      <c r="V448" s="82"/>
      <c r="W448" s="83"/>
      <c r="X448" s="83"/>
      <c r="Y448" s="83"/>
    </row>
    <row r="449" spans="1:25" ht="13.8">
      <c r="A449" s="78" t="str">
        <f ca="1">IFERROR(__xludf.DUMMYFUNCTION("""COMPUTED_VALUE"""),"DL")</f>
        <v>DL</v>
      </c>
      <c r="B449" s="79" t="str">
        <f ca="1">IFERROR(__xludf.DUMMYFUNCTION("""COMPUTED_VALUE"""),"Ashley Scinto")</f>
        <v>Ashley Scinto</v>
      </c>
      <c r="C449" s="78">
        <f ca="1">IFERROR(__xludf.DUMMYFUNCTION("""COMPUTED_VALUE"""),14)</f>
        <v>14</v>
      </c>
      <c r="D449" s="78" t="str">
        <f ca="1">IFERROR(__xludf.DUMMYFUNCTION("""COMPUTED_VALUE"""),"G")</f>
        <v>G</v>
      </c>
      <c r="E449" s="80" t="str">
        <f ca="1">IFERROR(__xludf.DUMMYFUNCTION("""COMPUTED_VALUE"""),"I")</f>
        <v>I</v>
      </c>
      <c r="F449" s="80" t="str">
        <f ca="1">IFERROR(__xludf.DUMMYFUNCTION("""COMPUTED_VALUE"""),"S")</f>
        <v>S</v>
      </c>
      <c r="G449" s="80">
        <f ca="1">IFERROR(__xludf.DUMMYFUNCTION("""COMPUTED_VALUE"""),1)</f>
        <v>1</v>
      </c>
      <c r="H449" s="80" t="str">
        <f ca="1">IFERROR(__xludf.DUMMYFUNCTION("""COMPUTED_VALUE"""),"DL")</f>
        <v>DL</v>
      </c>
      <c r="I449" s="80">
        <f ca="1">IFERROR(__xludf.DUMMYFUNCTION("""COMPUTED_VALUE"""),6)</f>
        <v>6</v>
      </c>
      <c r="J449" s="81">
        <f ca="1">IFERROR(__xludf.DUMMYFUNCTION("""COMPUTED_VALUE"""),1)</f>
        <v>1</v>
      </c>
      <c r="K449" s="81">
        <f ca="1">IFERROR(__xludf.DUMMYFUNCTION("""COMPUTED_VALUE"""),100.6)</f>
        <v>100.6</v>
      </c>
      <c r="L449" s="81">
        <f ca="1">IFERROR(__xludf.DUMMYFUNCTION("""COMPUTED_VALUE"""),0)</f>
        <v>0</v>
      </c>
      <c r="M449" s="81"/>
      <c r="N449" s="81">
        <f ca="1">IFERROR(__xludf.DUMMYFUNCTION("""COMPUTED_VALUE"""),0)</f>
        <v>0</v>
      </c>
      <c r="O449" s="81"/>
      <c r="P449" s="81">
        <f ca="1">IFERROR(__xludf.DUMMYFUNCTION("""COMPUTED_VALUE"""),100.6)</f>
        <v>100.6</v>
      </c>
      <c r="Q449" s="81"/>
      <c r="R449" s="81">
        <f ca="1">IFERROR(__xludf.DUMMYFUNCTION("""COMPUTED_VALUE"""),0)</f>
        <v>0</v>
      </c>
      <c r="S449" s="81"/>
      <c r="T449" s="81"/>
      <c r="U449" s="82"/>
      <c r="V449" s="82"/>
      <c r="W449" s="83"/>
      <c r="X449" s="83"/>
      <c r="Y449" s="83"/>
    </row>
    <row r="450" spans="1:25" ht="13.8">
      <c r="A450" s="78" t="str">
        <f ca="1">IFERROR(__xludf.DUMMYFUNCTION("""COMPUTED_VALUE"""),"DL")</f>
        <v>DL</v>
      </c>
      <c r="B450" s="79" t="str">
        <f ca="1">IFERROR(__xludf.DUMMYFUNCTION("""COMPUTED_VALUE"""),"Millie Vanstory")</f>
        <v>Millie Vanstory</v>
      </c>
      <c r="C450" s="78">
        <f ca="1">IFERROR(__xludf.DUMMYFUNCTION("""COMPUTED_VALUE"""),13)</f>
        <v>13</v>
      </c>
      <c r="D450" s="78" t="str">
        <f ca="1">IFERROR(__xludf.DUMMYFUNCTION("""COMPUTED_VALUE"""),"G")</f>
        <v>G</v>
      </c>
      <c r="E450" s="80" t="str">
        <f ca="1">IFERROR(__xludf.DUMMYFUNCTION("""COMPUTED_VALUE"""),"I")</f>
        <v>I</v>
      </c>
      <c r="F450" s="80" t="str">
        <f ca="1">IFERROR(__xludf.DUMMYFUNCTION("""COMPUTED_VALUE"""),"S")</f>
        <v>S</v>
      </c>
      <c r="G450" s="80">
        <f ca="1">IFERROR(__xludf.DUMMYFUNCTION("""COMPUTED_VALUE"""),1)</f>
        <v>1</v>
      </c>
      <c r="H450" s="80" t="str">
        <f ca="1">IFERROR(__xludf.DUMMYFUNCTION("""COMPUTED_VALUE"""),"DL")</f>
        <v>DL</v>
      </c>
      <c r="I450" s="80">
        <f ca="1">IFERROR(__xludf.DUMMYFUNCTION("""COMPUTED_VALUE"""),6)</f>
        <v>6</v>
      </c>
      <c r="J450" s="81">
        <f ca="1">IFERROR(__xludf.DUMMYFUNCTION("""COMPUTED_VALUE"""),0)</f>
        <v>0</v>
      </c>
      <c r="K450" s="81">
        <f ca="1">IFERROR(__xludf.DUMMYFUNCTION("""COMPUTED_VALUE"""),0)</f>
        <v>0</v>
      </c>
      <c r="L450" s="81">
        <f ca="1">IFERROR(__xludf.DUMMYFUNCTION("""COMPUTED_VALUE"""),0)</f>
        <v>0</v>
      </c>
      <c r="M450" s="81"/>
      <c r="N450" s="81">
        <f ca="1">IFERROR(__xludf.DUMMYFUNCTION("""COMPUTED_VALUE"""),0)</f>
        <v>0</v>
      </c>
      <c r="O450" s="81"/>
      <c r="P450" s="81">
        <f ca="1">IFERROR(__xludf.DUMMYFUNCTION("""COMPUTED_VALUE"""),0)</f>
        <v>0</v>
      </c>
      <c r="Q450" s="81"/>
      <c r="R450" s="81">
        <f ca="1">IFERROR(__xludf.DUMMYFUNCTION("""COMPUTED_VALUE"""),0)</f>
        <v>0</v>
      </c>
      <c r="S450" s="81"/>
      <c r="T450" s="81"/>
      <c r="U450" s="82"/>
      <c r="V450" s="82"/>
      <c r="W450" s="83"/>
      <c r="X450" s="83"/>
      <c r="Y450" s="83"/>
    </row>
    <row r="451" spans="1:25" ht="13.8">
      <c r="A451" s="78" t="str">
        <f ca="1">IFERROR(__xludf.DUMMYFUNCTION("""COMPUTED_VALUE"""),"DL")</f>
        <v>DL</v>
      </c>
      <c r="B451" s="79" t="str">
        <f ca="1">IFERROR(__xludf.DUMMYFUNCTION("""COMPUTED_VALUE"""),"Mike DeSando")</f>
        <v>Mike DeSando</v>
      </c>
      <c r="C451" s="78">
        <f ca="1">IFERROR(__xludf.DUMMYFUNCTION("""COMPUTED_VALUE"""),13)</f>
        <v>13</v>
      </c>
      <c r="D451" s="78" t="str">
        <f ca="1">IFERROR(__xludf.DUMMYFUNCTION("""COMPUTED_VALUE"""),"B")</f>
        <v>B</v>
      </c>
      <c r="E451" s="80" t="str">
        <f ca="1">IFERROR(__xludf.DUMMYFUNCTION("""COMPUTED_VALUE"""),"I")</f>
        <v>I</v>
      </c>
      <c r="F451" s="80" t="str">
        <f ca="1">IFERROR(__xludf.DUMMYFUNCTION("""COMPUTED_VALUE"""),"S")</f>
        <v>S</v>
      </c>
      <c r="G451" s="80">
        <f ca="1">IFERROR(__xludf.DUMMYFUNCTION("""COMPUTED_VALUE"""),1)</f>
        <v>1</v>
      </c>
      <c r="H451" s="80" t="str">
        <f ca="1">IFERROR(__xludf.DUMMYFUNCTION("""COMPUTED_VALUE"""),"DL")</f>
        <v>DL</v>
      </c>
      <c r="I451" s="80">
        <f ca="1">IFERROR(__xludf.DUMMYFUNCTION("""COMPUTED_VALUE"""),7)</f>
        <v>7</v>
      </c>
      <c r="J451" s="81">
        <f ca="1">IFERROR(__xludf.DUMMYFUNCTION("""COMPUTED_VALUE"""),5)</f>
        <v>5</v>
      </c>
      <c r="K451" s="81">
        <f ca="1">IFERROR(__xludf.DUMMYFUNCTION("""COMPUTED_VALUE"""),124.8)</f>
        <v>124.8</v>
      </c>
      <c r="L451" s="81">
        <f ca="1">IFERROR(__xludf.DUMMYFUNCTION("""COMPUTED_VALUE"""),124.8)</f>
        <v>124.8</v>
      </c>
      <c r="M451" s="81"/>
      <c r="N451" s="81">
        <f ca="1">IFERROR(__xludf.DUMMYFUNCTION("""COMPUTED_VALUE"""),115.2)</f>
        <v>115.2</v>
      </c>
      <c r="O451" s="81"/>
      <c r="P451" s="81">
        <f ca="1">IFERROR(__xludf.DUMMYFUNCTION("""COMPUTED_VALUE"""),114.9)</f>
        <v>114.9</v>
      </c>
      <c r="Q451" s="81"/>
      <c r="R451" s="81">
        <f ca="1">IFERROR(__xludf.DUMMYFUNCTION("""COMPUTED_VALUE"""),119.15)</f>
        <v>119.15</v>
      </c>
      <c r="S451" s="81"/>
      <c r="T451" s="81"/>
      <c r="U451" s="82"/>
      <c r="V451" s="82"/>
      <c r="W451" s="83"/>
      <c r="X451" s="83"/>
      <c r="Y451" s="83"/>
    </row>
    <row r="452" spans="1:25" ht="13.8">
      <c r="A452" s="78" t="str">
        <f ca="1">IFERROR(__xludf.DUMMYFUNCTION("""COMPUTED_VALUE"""),"DL")</f>
        <v>DL</v>
      </c>
      <c r="B452" s="79" t="str">
        <f ca="1">IFERROR(__xludf.DUMMYFUNCTION("""COMPUTED_VALUE"""),"John Hatchl")</f>
        <v>John Hatchl</v>
      </c>
      <c r="C452" s="78">
        <f ca="1">IFERROR(__xludf.DUMMYFUNCTION("""COMPUTED_VALUE"""),14)</f>
        <v>14</v>
      </c>
      <c r="D452" s="78" t="str">
        <f ca="1">IFERROR(__xludf.DUMMYFUNCTION("""COMPUTED_VALUE"""),"B")</f>
        <v>B</v>
      </c>
      <c r="E452" s="80" t="str">
        <f ca="1">IFERROR(__xludf.DUMMYFUNCTION("""COMPUTED_VALUE"""),"I")</f>
        <v>I</v>
      </c>
      <c r="F452" s="80" t="str">
        <f ca="1">IFERROR(__xludf.DUMMYFUNCTION("""COMPUTED_VALUE"""),"S")</f>
        <v>S</v>
      </c>
      <c r="G452" s="80">
        <f ca="1">IFERROR(__xludf.DUMMYFUNCTION("""COMPUTED_VALUE"""),1)</f>
        <v>1</v>
      </c>
      <c r="H452" s="80" t="str">
        <f ca="1">IFERROR(__xludf.DUMMYFUNCTION("""COMPUTED_VALUE"""),"DL")</f>
        <v>DL</v>
      </c>
      <c r="I452" s="80">
        <f ca="1">IFERROR(__xludf.DUMMYFUNCTION("""COMPUTED_VALUE"""),7)</f>
        <v>7</v>
      </c>
      <c r="J452" s="81">
        <f ca="1">IFERROR(__xludf.DUMMYFUNCTION("""COMPUTED_VALUE"""),4)</f>
        <v>4</v>
      </c>
      <c r="K452" s="81">
        <f ca="1">IFERROR(__xludf.DUMMYFUNCTION("""COMPUTED_VALUE"""),111.55)</f>
        <v>111.55</v>
      </c>
      <c r="L452" s="81">
        <f ca="1">IFERROR(__xludf.DUMMYFUNCTION("""COMPUTED_VALUE"""),0)</f>
        <v>0</v>
      </c>
      <c r="M452" s="81"/>
      <c r="N452" s="81">
        <f ca="1">IFERROR(__xludf.DUMMYFUNCTION("""COMPUTED_VALUE"""),94.85)</f>
        <v>94.85</v>
      </c>
      <c r="O452" s="81"/>
      <c r="P452" s="81">
        <f ca="1">IFERROR(__xludf.DUMMYFUNCTION("""COMPUTED_VALUE"""),111.55)</f>
        <v>111.55</v>
      </c>
      <c r="Q452" s="81"/>
      <c r="R452" s="81">
        <f ca="1">IFERROR(__xludf.DUMMYFUNCTION("""COMPUTED_VALUE"""),104.1)</f>
        <v>104.1</v>
      </c>
      <c r="S452" s="81"/>
      <c r="T452" s="81"/>
      <c r="U452" s="82"/>
      <c r="V452" s="82"/>
      <c r="W452" s="83"/>
      <c r="X452" s="83"/>
      <c r="Y452" s="83"/>
    </row>
    <row r="453" spans="1:25" ht="13.8">
      <c r="A453" s="78" t="str">
        <f ca="1">IFERROR(__xludf.DUMMYFUNCTION("""COMPUTED_VALUE"""),"DL")</f>
        <v>DL</v>
      </c>
      <c r="B453" s="79" t="str">
        <f ca="1">IFERROR(__xludf.DUMMYFUNCTION("""COMPUTED_VALUE"""),"Joey Loethen")</f>
        <v>Joey Loethen</v>
      </c>
      <c r="C453" s="78">
        <f ca="1">IFERROR(__xludf.DUMMYFUNCTION("""COMPUTED_VALUE"""),14)</f>
        <v>14</v>
      </c>
      <c r="D453" s="78" t="str">
        <f ca="1">IFERROR(__xludf.DUMMYFUNCTION("""COMPUTED_VALUE"""),"B")</f>
        <v>B</v>
      </c>
      <c r="E453" s="80" t="str">
        <f ca="1">IFERROR(__xludf.DUMMYFUNCTION("""COMPUTED_VALUE"""),"I")</f>
        <v>I</v>
      </c>
      <c r="F453" s="80" t="str">
        <f ca="1">IFERROR(__xludf.DUMMYFUNCTION("""COMPUTED_VALUE"""),"S")</f>
        <v>S</v>
      </c>
      <c r="G453" s="80">
        <f ca="1">IFERROR(__xludf.DUMMYFUNCTION("""COMPUTED_VALUE"""),1)</f>
        <v>1</v>
      </c>
      <c r="H453" s="80" t="str">
        <f ca="1">IFERROR(__xludf.DUMMYFUNCTION("""COMPUTED_VALUE"""),"DL")</f>
        <v>DL</v>
      </c>
      <c r="I453" s="80">
        <f ca="1">IFERROR(__xludf.DUMMYFUNCTION("""COMPUTED_VALUE"""),7)</f>
        <v>7</v>
      </c>
      <c r="J453" s="81">
        <f ca="1">IFERROR(__xludf.DUMMYFUNCTION("""COMPUTED_VALUE"""),3)</f>
        <v>3</v>
      </c>
      <c r="K453" s="81">
        <f ca="1">IFERROR(__xludf.DUMMYFUNCTION("""COMPUTED_VALUE"""),90.5)</f>
        <v>90.5</v>
      </c>
      <c r="L453" s="81">
        <f ca="1">IFERROR(__xludf.DUMMYFUNCTION("""COMPUTED_VALUE"""),0)</f>
        <v>0</v>
      </c>
      <c r="M453" s="81"/>
      <c r="N453" s="81">
        <f ca="1">IFERROR(__xludf.DUMMYFUNCTION("""COMPUTED_VALUE"""),50.95)</f>
        <v>50.95</v>
      </c>
      <c r="O453" s="81"/>
      <c r="P453" s="81">
        <f ca="1">IFERROR(__xludf.DUMMYFUNCTION("""COMPUTED_VALUE"""),0)</f>
        <v>0</v>
      </c>
      <c r="Q453" s="81"/>
      <c r="R453" s="81">
        <f ca="1">IFERROR(__xludf.DUMMYFUNCTION("""COMPUTED_VALUE"""),90.5)</f>
        <v>90.5</v>
      </c>
      <c r="S453" s="81"/>
      <c r="T453" s="81"/>
      <c r="U453" s="82"/>
      <c r="V453" s="82"/>
      <c r="W453" s="83"/>
      <c r="X453" s="83"/>
      <c r="Y453" s="83"/>
    </row>
    <row r="454" spans="1:25" ht="13.8">
      <c r="A454" s="78" t="str">
        <f ca="1">IFERROR(__xludf.DUMMYFUNCTION("""COMPUTED_VALUE"""),"DL")</f>
        <v>DL</v>
      </c>
      <c r="B454" s="79" t="str">
        <f ca="1">IFERROR(__xludf.DUMMYFUNCTION("""COMPUTED_VALUE"""),"Kyle Ratner")</f>
        <v>Kyle Ratner</v>
      </c>
      <c r="C454" s="78">
        <f ca="1">IFERROR(__xludf.DUMMYFUNCTION("""COMPUTED_VALUE"""),13)</f>
        <v>13</v>
      </c>
      <c r="D454" s="78" t="str">
        <f ca="1">IFERROR(__xludf.DUMMYFUNCTION("""COMPUTED_VALUE"""),"B")</f>
        <v>B</v>
      </c>
      <c r="E454" s="80" t="str">
        <f ca="1">IFERROR(__xludf.DUMMYFUNCTION("""COMPUTED_VALUE"""),"I")</f>
        <v>I</v>
      </c>
      <c r="F454" s="80" t="str">
        <f ca="1">IFERROR(__xludf.DUMMYFUNCTION("""COMPUTED_VALUE"""),"S")</f>
        <v>S</v>
      </c>
      <c r="G454" s="80">
        <f ca="1">IFERROR(__xludf.DUMMYFUNCTION("""COMPUTED_VALUE"""),1)</f>
        <v>1</v>
      </c>
      <c r="H454" s="80" t="str">
        <f ca="1">IFERROR(__xludf.DUMMYFUNCTION("""COMPUTED_VALUE"""),"DL")</f>
        <v>DL</v>
      </c>
      <c r="I454" s="80">
        <f ca="1">IFERROR(__xludf.DUMMYFUNCTION("""COMPUTED_VALUE"""),7)</f>
        <v>7</v>
      </c>
      <c r="J454" s="81">
        <f ca="1">IFERROR(__xludf.DUMMYFUNCTION("""COMPUTED_VALUE"""),0)</f>
        <v>0</v>
      </c>
      <c r="K454" s="81">
        <f ca="1">IFERROR(__xludf.DUMMYFUNCTION("""COMPUTED_VALUE"""),0)</f>
        <v>0</v>
      </c>
      <c r="L454" s="81">
        <f ca="1">IFERROR(__xludf.DUMMYFUNCTION("""COMPUTED_VALUE"""),0)</f>
        <v>0</v>
      </c>
      <c r="M454" s="81"/>
      <c r="N454" s="81">
        <f ca="1">IFERROR(__xludf.DUMMYFUNCTION("""COMPUTED_VALUE"""),0)</f>
        <v>0</v>
      </c>
      <c r="O454" s="81"/>
      <c r="P454" s="81">
        <f ca="1">IFERROR(__xludf.DUMMYFUNCTION("""COMPUTED_VALUE"""),0)</f>
        <v>0</v>
      </c>
      <c r="Q454" s="81"/>
      <c r="R454" s="81">
        <f ca="1">IFERROR(__xludf.DUMMYFUNCTION("""COMPUTED_VALUE"""),0)</f>
        <v>0</v>
      </c>
      <c r="S454" s="81"/>
      <c r="T454" s="81"/>
      <c r="U454" s="82"/>
      <c r="V454" s="82"/>
      <c r="W454" s="83"/>
      <c r="X454" s="83"/>
      <c r="Y454" s="83"/>
    </row>
    <row r="455" spans="1:25" ht="13.8">
      <c r="A455" s="78" t="str">
        <f ca="1">IFERROR(__xludf.DUMMYFUNCTION("""COMPUTED_VALUE"""),"DL")</f>
        <v>DL</v>
      </c>
      <c r="B455" s="79" t="str">
        <f ca="1">IFERROR(__xludf.DUMMYFUNCTION("""COMPUTED_VALUE"""),"Olivia Bloom")</f>
        <v>Olivia Bloom</v>
      </c>
      <c r="C455" s="78">
        <f ca="1">IFERROR(__xludf.DUMMYFUNCTION("""COMPUTED_VALUE"""),15)</f>
        <v>15</v>
      </c>
      <c r="D455" s="78" t="str">
        <f ca="1">IFERROR(__xludf.DUMMYFUNCTION("""COMPUTED_VALUE"""),"G")</f>
        <v>G</v>
      </c>
      <c r="E455" s="80" t="str">
        <f ca="1">IFERROR(__xludf.DUMMYFUNCTION("""COMPUTED_VALUE"""),"S")</f>
        <v>S</v>
      </c>
      <c r="F455" s="80" t="str">
        <f ca="1">IFERROR(__xludf.DUMMYFUNCTION("""COMPUTED_VALUE"""),"S")</f>
        <v>S</v>
      </c>
      <c r="G455" s="80">
        <f ca="1">IFERROR(__xludf.DUMMYFUNCTION("""COMPUTED_VALUE"""),1)</f>
        <v>1</v>
      </c>
      <c r="H455" s="80" t="str">
        <f ca="1">IFERROR(__xludf.DUMMYFUNCTION("""COMPUTED_VALUE"""),"DL")</f>
        <v>DL</v>
      </c>
      <c r="I455" s="80">
        <f ca="1">IFERROR(__xludf.DUMMYFUNCTION("""COMPUTED_VALUE"""),8)</f>
        <v>8</v>
      </c>
      <c r="J455" s="81">
        <f ca="1">IFERROR(__xludf.DUMMYFUNCTION("""COMPUTED_VALUE"""),4)</f>
        <v>4</v>
      </c>
      <c r="K455" s="81">
        <f ca="1">IFERROR(__xludf.DUMMYFUNCTION("""COMPUTED_VALUE"""),142.3)</f>
        <v>142.30000000000001</v>
      </c>
      <c r="L455" s="81">
        <f ca="1">IFERROR(__xludf.DUMMYFUNCTION("""COMPUTED_VALUE"""),142.3)</f>
        <v>142.30000000000001</v>
      </c>
      <c r="M455" s="81"/>
      <c r="N455" s="81">
        <f ca="1">IFERROR(__xludf.DUMMYFUNCTION("""COMPUTED_VALUE"""),0)</f>
        <v>0</v>
      </c>
      <c r="O455" s="81"/>
      <c r="P455" s="81">
        <f ca="1">IFERROR(__xludf.DUMMYFUNCTION("""COMPUTED_VALUE"""),141)</f>
        <v>141</v>
      </c>
      <c r="Q455" s="81"/>
      <c r="R455" s="81">
        <f ca="1">IFERROR(__xludf.DUMMYFUNCTION("""COMPUTED_VALUE"""),128.95)</f>
        <v>128.94999999999999</v>
      </c>
      <c r="S455" s="81"/>
      <c r="T455" s="81"/>
      <c r="U455" s="82"/>
      <c r="V455" s="82"/>
      <c r="W455" s="83"/>
      <c r="X455" s="83"/>
      <c r="Y455" s="83"/>
    </row>
    <row r="456" spans="1:25" ht="13.8">
      <c r="A456" s="78" t="str">
        <f ca="1">IFERROR(__xludf.DUMMYFUNCTION("""COMPUTED_VALUE"""),"DL")</f>
        <v>DL</v>
      </c>
      <c r="B456" s="79" t="str">
        <f ca="1">IFERROR(__xludf.DUMMYFUNCTION("""COMPUTED_VALUE"""),"Evelyn Burns")</f>
        <v>Evelyn Burns</v>
      </c>
      <c r="C456" s="78">
        <f ca="1">IFERROR(__xludf.DUMMYFUNCTION("""COMPUTED_VALUE"""),17)</f>
        <v>17</v>
      </c>
      <c r="D456" s="78" t="str">
        <f ca="1">IFERROR(__xludf.DUMMYFUNCTION("""COMPUTED_VALUE"""),"G")</f>
        <v>G</v>
      </c>
      <c r="E456" s="80" t="str">
        <f ca="1">IFERROR(__xludf.DUMMYFUNCTION("""COMPUTED_VALUE"""),"S")</f>
        <v>S</v>
      </c>
      <c r="F456" s="80" t="str">
        <f ca="1">IFERROR(__xludf.DUMMYFUNCTION("""COMPUTED_VALUE"""),"S")</f>
        <v>S</v>
      </c>
      <c r="G456" s="80">
        <f ca="1">IFERROR(__xludf.DUMMYFUNCTION("""COMPUTED_VALUE"""),1)</f>
        <v>1</v>
      </c>
      <c r="H456" s="80" t="str">
        <f ca="1">IFERROR(__xludf.DUMMYFUNCTION("""COMPUTED_VALUE"""),"DL")</f>
        <v>DL</v>
      </c>
      <c r="I456" s="80">
        <f ca="1">IFERROR(__xludf.DUMMYFUNCTION("""COMPUTED_VALUE"""),8)</f>
        <v>8</v>
      </c>
      <c r="J456" s="81">
        <f ca="1">IFERROR(__xludf.DUMMYFUNCTION("""COMPUTED_VALUE"""),3)</f>
        <v>3</v>
      </c>
      <c r="K456" s="81">
        <f ca="1">IFERROR(__xludf.DUMMYFUNCTION("""COMPUTED_VALUE"""),144.15)</f>
        <v>144.15</v>
      </c>
      <c r="L456" s="81">
        <f ca="1">IFERROR(__xludf.DUMMYFUNCTION("""COMPUTED_VALUE"""),144.15)</f>
        <v>144.15</v>
      </c>
      <c r="M456" s="81"/>
      <c r="N456" s="81">
        <f ca="1">IFERROR(__xludf.DUMMYFUNCTION("""COMPUTED_VALUE"""),108.5)</f>
        <v>108.5</v>
      </c>
      <c r="O456" s="81"/>
      <c r="P456" s="81">
        <f ca="1">IFERROR(__xludf.DUMMYFUNCTION("""COMPUTED_VALUE"""),0)</f>
        <v>0</v>
      </c>
      <c r="Q456" s="81"/>
      <c r="R456" s="81">
        <f ca="1">IFERROR(__xludf.DUMMYFUNCTION("""COMPUTED_VALUE"""),0)</f>
        <v>0</v>
      </c>
      <c r="S456" s="81"/>
      <c r="T456" s="81"/>
      <c r="U456" s="82"/>
      <c r="V456" s="82"/>
      <c r="W456" s="83"/>
      <c r="X456" s="83"/>
      <c r="Y456" s="83"/>
    </row>
    <row r="457" spans="1:25" ht="13.8">
      <c r="A457" s="78" t="str">
        <f ca="1">IFERROR(__xludf.DUMMYFUNCTION("""COMPUTED_VALUE"""),"DL")</f>
        <v>DL</v>
      </c>
      <c r="B457" s="79" t="str">
        <f ca="1">IFERROR(__xludf.DUMMYFUNCTION("""COMPUTED_VALUE"""),"Alanna Korff")</f>
        <v>Alanna Korff</v>
      </c>
      <c r="C457" s="78">
        <f ca="1">IFERROR(__xludf.DUMMYFUNCTION("""COMPUTED_VALUE"""),17)</f>
        <v>17</v>
      </c>
      <c r="D457" s="78" t="str">
        <f ca="1">IFERROR(__xludf.DUMMYFUNCTION("""COMPUTED_VALUE"""),"G")</f>
        <v>G</v>
      </c>
      <c r="E457" s="80" t="str">
        <f ca="1">IFERROR(__xludf.DUMMYFUNCTION("""COMPUTED_VALUE"""),"S")</f>
        <v>S</v>
      </c>
      <c r="F457" s="80" t="str">
        <f ca="1">IFERROR(__xludf.DUMMYFUNCTION("""COMPUTED_VALUE"""),"S")</f>
        <v>S</v>
      </c>
      <c r="G457" s="80">
        <f ca="1">IFERROR(__xludf.DUMMYFUNCTION("""COMPUTED_VALUE"""),1)</f>
        <v>1</v>
      </c>
      <c r="H457" s="80" t="str">
        <f ca="1">IFERROR(__xludf.DUMMYFUNCTION("""COMPUTED_VALUE"""),"DL")</f>
        <v>DL</v>
      </c>
      <c r="I457" s="80">
        <f ca="1">IFERROR(__xludf.DUMMYFUNCTION("""COMPUTED_VALUE"""),8)</f>
        <v>8</v>
      </c>
      <c r="J457" s="81">
        <f ca="1">IFERROR(__xludf.DUMMYFUNCTION("""COMPUTED_VALUE"""),5)</f>
        <v>5</v>
      </c>
      <c r="K457" s="81">
        <f ca="1">IFERROR(__xludf.DUMMYFUNCTION("""COMPUTED_VALUE"""),176.25)</f>
        <v>176.25</v>
      </c>
      <c r="L457" s="81">
        <f ca="1">IFERROR(__xludf.DUMMYFUNCTION("""COMPUTED_VALUE"""),172.65)</f>
        <v>172.65</v>
      </c>
      <c r="M457" s="81"/>
      <c r="N457" s="81">
        <f ca="1">IFERROR(__xludf.DUMMYFUNCTION("""COMPUTED_VALUE"""),151.85)</f>
        <v>151.85</v>
      </c>
      <c r="O457" s="81"/>
      <c r="P457" s="81">
        <f ca="1">IFERROR(__xludf.DUMMYFUNCTION("""COMPUTED_VALUE"""),176.25)</f>
        <v>176.25</v>
      </c>
      <c r="Q457" s="81"/>
      <c r="R457" s="81">
        <f ca="1">IFERROR(__xludf.DUMMYFUNCTION("""COMPUTED_VALUE"""),167.1)</f>
        <v>167.1</v>
      </c>
      <c r="S457" s="81"/>
      <c r="T457" s="81"/>
      <c r="U457" s="82"/>
      <c r="V457" s="82"/>
      <c r="W457" s="83"/>
      <c r="X457" s="83"/>
      <c r="Y457" s="83"/>
    </row>
    <row r="458" spans="1:25" ht="13.8">
      <c r="A458" s="78" t="str">
        <f ca="1">IFERROR(__xludf.DUMMYFUNCTION("""COMPUTED_VALUE"""),"DL")</f>
        <v>DL</v>
      </c>
      <c r="B458" s="79" t="str">
        <f ca="1">IFERROR(__xludf.DUMMYFUNCTION("""COMPUTED_VALUE"""),"Vera Korff")</f>
        <v>Vera Korff</v>
      </c>
      <c r="C458" s="78">
        <f ca="1">IFERROR(__xludf.DUMMYFUNCTION("""COMPUTED_VALUE"""),16)</f>
        <v>16</v>
      </c>
      <c r="D458" s="78" t="str">
        <f ca="1">IFERROR(__xludf.DUMMYFUNCTION("""COMPUTED_VALUE"""),"G")</f>
        <v>G</v>
      </c>
      <c r="E458" s="80" t="str">
        <f ca="1">IFERROR(__xludf.DUMMYFUNCTION("""COMPUTED_VALUE"""),"S")</f>
        <v>S</v>
      </c>
      <c r="F458" s="80" t="str">
        <f ca="1">IFERROR(__xludf.DUMMYFUNCTION("""COMPUTED_VALUE"""),"S")</f>
        <v>S</v>
      </c>
      <c r="G458" s="80">
        <f ca="1">IFERROR(__xludf.DUMMYFUNCTION("""COMPUTED_VALUE"""),1)</f>
        <v>1</v>
      </c>
      <c r="H458" s="80" t="str">
        <f ca="1">IFERROR(__xludf.DUMMYFUNCTION("""COMPUTED_VALUE"""),"DL")</f>
        <v>DL</v>
      </c>
      <c r="I458" s="80">
        <f ca="1">IFERROR(__xludf.DUMMYFUNCTION("""COMPUTED_VALUE"""),8)</f>
        <v>8</v>
      </c>
      <c r="J458" s="81">
        <f ca="1">IFERROR(__xludf.DUMMYFUNCTION("""COMPUTED_VALUE"""),1)</f>
        <v>1</v>
      </c>
      <c r="K458" s="81">
        <f ca="1">IFERROR(__xludf.DUMMYFUNCTION("""COMPUTED_VALUE"""),141.55)</f>
        <v>141.55000000000001</v>
      </c>
      <c r="L458" s="81">
        <f ca="1">IFERROR(__xludf.DUMMYFUNCTION("""COMPUTED_VALUE"""),141.55)</f>
        <v>141.55000000000001</v>
      </c>
      <c r="M458" s="81"/>
      <c r="N458" s="81">
        <f ca="1">IFERROR(__xludf.DUMMYFUNCTION("""COMPUTED_VALUE"""),0)</f>
        <v>0</v>
      </c>
      <c r="O458" s="81"/>
      <c r="P458" s="81">
        <f ca="1">IFERROR(__xludf.DUMMYFUNCTION("""COMPUTED_VALUE"""),0)</f>
        <v>0</v>
      </c>
      <c r="Q458" s="81"/>
      <c r="R458" s="81">
        <f ca="1">IFERROR(__xludf.DUMMYFUNCTION("""COMPUTED_VALUE"""),0)</f>
        <v>0</v>
      </c>
      <c r="S458" s="81"/>
      <c r="T458" s="81"/>
      <c r="U458" s="82"/>
      <c r="V458" s="82"/>
      <c r="W458" s="83"/>
      <c r="X458" s="83"/>
      <c r="Y458" s="83"/>
    </row>
    <row r="459" spans="1:25" ht="13.8">
      <c r="A459" s="78" t="str">
        <f ca="1">IFERROR(__xludf.DUMMYFUNCTION("""COMPUTED_VALUE"""),"DL")</f>
        <v>DL</v>
      </c>
      <c r="B459" s="79" t="str">
        <f ca="1">IFERROR(__xludf.DUMMYFUNCTION("""COMPUTED_VALUE"""),"Elsa Marsden")</f>
        <v>Elsa Marsden</v>
      </c>
      <c r="C459" s="78">
        <f ca="1">IFERROR(__xludf.DUMMYFUNCTION("""COMPUTED_VALUE"""),16)</f>
        <v>16</v>
      </c>
      <c r="D459" s="78" t="str">
        <f ca="1">IFERROR(__xludf.DUMMYFUNCTION("""COMPUTED_VALUE"""),"G")</f>
        <v>G</v>
      </c>
      <c r="E459" s="80" t="str">
        <f ca="1">IFERROR(__xludf.DUMMYFUNCTION("""COMPUTED_VALUE"""),"S")</f>
        <v>S</v>
      </c>
      <c r="F459" s="80" t="str">
        <f ca="1">IFERROR(__xludf.DUMMYFUNCTION("""COMPUTED_VALUE"""),"S")</f>
        <v>S</v>
      </c>
      <c r="G459" s="80">
        <f ca="1">IFERROR(__xludf.DUMMYFUNCTION("""COMPUTED_VALUE"""),1)</f>
        <v>1</v>
      </c>
      <c r="H459" s="80" t="str">
        <f ca="1">IFERROR(__xludf.DUMMYFUNCTION("""COMPUTED_VALUE"""),"DL")</f>
        <v>DL</v>
      </c>
      <c r="I459" s="80">
        <f ca="1">IFERROR(__xludf.DUMMYFUNCTION("""COMPUTED_VALUE"""),8)</f>
        <v>8</v>
      </c>
      <c r="J459" s="81">
        <f ca="1">IFERROR(__xludf.DUMMYFUNCTION("""COMPUTED_VALUE"""),3)</f>
        <v>3</v>
      </c>
      <c r="K459" s="81">
        <f ca="1">IFERROR(__xludf.DUMMYFUNCTION("""COMPUTED_VALUE"""),197.65)</f>
        <v>197.65</v>
      </c>
      <c r="L459" s="81">
        <f ca="1">IFERROR(__xludf.DUMMYFUNCTION("""COMPUTED_VALUE"""),197.65)</f>
        <v>197.65</v>
      </c>
      <c r="M459" s="81"/>
      <c r="N459" s="81">
        <f ca="1">IFERROR(__xludf.DUMMYFUNCTION("""COMPUTED_VALUE"""),176.9)</f>
        <v>176.9</v>
      </c>
      <c r="O459" s="81"/>
      <c r="P459" s="81">
        <f ca="1">IFERROR(__xludf.DUMMYFUNCTION("""COMPUTED_VALUE"""),185.25)</f>
        <v>185.25</v>
      </c>
      <c r="Q459" s="81"/>
      <c r="R459" s="81">
        <f ca="1">IFERROR(__xludf.DUMMYFUNCTION("""COMPUTED_VALUE"""),0)</f>
        <v>0</v>
      </c>
      <c r="S459" s="81"/>
      <c r="T459" s="81"/>
      <c r="U459" s="82"/>
      <c r="V459" s="82"/>
      <c r="W459" s="83"/>
      <c r="X459" s="83"/>
      <c r="Y459" s="83"/>
    </row>
    <row r="460" spans="1:25" ht="13.8">
      <c r="A460" s="78" t="str">
        <f ca="1">IFERROR(__xludf.DUMMYFUNCTION("""COMPUTED_VALUE"""),"DL")</f>
        <v>DL</v>
      </c>
      <c r="B460" s="79" t="str">
        <f ca="1">IFERROR(__xludf.DUMMYFUNCTION("""COMPUTED_VALUE"""),"Spencer Bloom")</f>
        <v>Spencer Bloom</v>
      </c>
      <c r="C460" s="78">
        <f ca="1">IFERROR(__xludf.DUMMYFUNCTION("""COMPUTED_VALUE"""),17)</f>
        <v>17</v>
      </c>
      <c r="D460" s="78" t="str">
        <f ca="1">IFERROR(__xludf.DUMMYFUNCTION("""COMPUTED_VALUE"""),"B")</f>
        <v>B</v>
      </c>
      <c r="E460" s="80" t="str">
        <f ca="1">IFERROR(__xludf.DUMMYFUNCTION("""COMPUTED_VALUE"""),"S")</f>
        <v>S</v>
      </c>
      <c r="F460" s="80" t="str">
        <f ca="1">IFERROR(__xludf.DUMMYFUNCTION("""COMPUTED_VALUE"""),"S")</f>
        <v>S</v>
      </c>
      <c r="G460" s="80">
        <f ca="1">IFERROR(__xludf.DUMMYFUNCTION("""COMPUTED_VALUE"""),1)</f>
        <v>1</v>
      </c>
      <c r="H460" s="80" t="str">
        <f ca="1">IFERROR(__xludf.DUMMYFUNCTION("""COMPUTED_VALUE"""),"DL")</f>
        <v>DL</v>
      </c>
      <c r="I460" s="80">
        <f ca="1">IFERROR(__xludf.DUMMYFUNCTION("""COMPUTED_VALUE"""),9)</f>
        <v>9</v>
      </c>
      <c r="J460" s="81">
        <f ca="1">IFERROR(__xludf.DUMMYFUNCTION("""COMPUTED_VALUE"""),4)</f>
        <v>4</v>
      </c>
      <c r="K460" s="81">
        <f ca="1">IFERROR(__xludf.DUMMYFUNCTION("""COMPUTED_VALUE"""),258.1)</f>
        <v>258.10000000000002</v>
      </c>
      <c r="L460" s="81">
        <f ca="1">IFERROR(__xludf.DUMMYFUNCTION("""COMPUTED_VALUE"""),250.55)</f>
        <v>250.55</v>
      </c>
      <c r="M460" s="81"/>
      <c r="N460" s="81">
        <f ca="1">IFERROR(__xludf.DUMMYFUNCTION("""COMPUTED_VALUE"""),0)</f>
        <v>0</v>
      </c>
      <c r="O460" s="81"/>
      <c r="P460" s="81">
        <f ca="1">IFERROR(__xludf.DUMMYFUNCTION("""COMPUTED_VALUE"""),251.7)</f>
        <v>251.7</v>
      </c>
      <c r="Q460" s="81"/>
      <c r="R460" s="81">
        <f ca="1">IFERROR(__xludf.DUMMYFUNCTION("""COMPUTED_VALUE"""),258.1)</f>
        <v>258.10000000000002</v>
      </c>
      <c r="S460" s="81"/>
      <c r="T460" s="81"/>
      <c r="U460" s="82"/>
      <c r="V460" s="82"/>
      <c r="W460" s="83"/>
      <c r="X460" s="83"/>
      <c r="Y460" s="83"/>
    </row>
    <row r="461" spans="1:25" ht="13.8">
      <c r="A461" s="78" t="str">
        <f ca="1">IFERROR(__xludf.DUMMYFUNCTION("""COMPUTED_VALUE"""),"DL")</f>
        <v>DL</v>
      </c>
      <c r="B461" s="79" t="str">
        <f ca="1">IFERROR(__xludf.DUMMYFUNCTION("""COMPUTED_VALUE"""),"Rishi Vasudevan")</f>
        <v>Rishi Vasudevan</v>
      </c>
      <c r="C461" s="78">
        <f ca="1">IFERROR(__xludf.DUMMYFUNCTION("""COMPUTED_VALUE"""),17)</f>
        <v>17</v>
      </c>
      <c r="D461" s="78" t="str">
        <f ca="1">IFERROR(__xludf.DUMMYFUNCTION("""COMPUTED_VALUE"""),"B")</f>
        <v>B</v>
      </c>
      <c r="E461" s="80" t="str">
        <f ca="1">IFERROR(__xludf.DUMMYFUNCTION("""COMPUTED_VALUE"""),"S")</f>
        <v>S</v>
      </c>
      <c r="F461" s="80" t="str">
        <f ca="1">IFERROR(__xludf.DUMMYFUNCTION("""COMPUTED_VALUE"""),"S")</f>
        <v>S</v>
      </c>
      <c r="G461" s="80">
        <f ca="1">IFERROR(__xludf.DUMMYFUNCTION("""COMPUTED_VALUE"""),1)</f>
        <v>1</v>
      </c>
      <c r="H461" s="80" t="str">
        <f ca="1">IFERROR(__xludf.DUMMYFUNCTION("""COMPUTED_VALUE"""),"DL")</f>
        <v>DL</v>
      </c>
      <c r="I461" s="80">
        <f ca="1">IFERROR(__xludf.DUMMYFUNCTION("""COMPUTED_VALUE"""),9)</f>
        <v>9</v>
      </c>
      <c r="J461" s="81">
        <f ca="1">IFERROR(__xludf.DUMMYFUNCTION("""COMPUTED_VALUE"""),4)</f>
        <v>4</v>
      </c>
      <c r="K461" s="81">
        <f ca="1">IFERROR(__xludf.DUMMYFUNCTION("""COMPUTED_VALUE"""),158.6)</f>
        <v>158.6</v>
      </c>
      <c r="L461" s="81">
        <f ca="1">IFERROR(__xludf.DUMMYFUNCTION("""COMPUTED_VALUE"""),0)</f>
        <v>0</v>
      </c>
      <c r="M461" s="81"/>
      <c r="N461" s="81">
        <f ca="1">IFERROR(__xludf.DUMMYFUNCTION("""COMPUTED_VALUE"""),154.25)</f>
        <v>154.25</v>
      </c>
      <c r="O461" s="81"/>
      <c r="P461" s="81">
        <f ca="1">IFERROR(__xludf.DUMMYFUNCTION("""COMPUTED_VALUE"""),157.45)</f>
        <v>157.44999999999999</v>
      </c>
      <c r="Q461" s="81"/>
      <c r="R461" s="81">
        <f ca="1">IFERROR(__xludf.DUMMYFUNCTION("""COMPUTED_VALUE"""),158.6)</f>
        <v>158.6</v>
      </c>
      <c r="S461" s="81"/>
      <c r="T461" s="81"/>
      <c r="U461" s="82"/>
      <c r="V461" s="82"/>
      <c r="W461" s="83"/>
      <c r="X461" s="83"/>
      <c r="Y461" s="83"/>
    </row>
    <row r="462" spans="1:25" ht="13.8">
      <c r="A462" s="78" t="str">
        <f ca="1">IFERROR(__xludf.DUMMYFUNCTION("""COMPUTED_VALUE"""),"DR")</f>
        <v>DR</v>
      </c>
      <c r="B462" s="79" t="str">
        <f ca="1">IFERROR(__xludf.DUMMYFUNCTION("""COMPUTED_VALUE"""),"Livy Jane Abbey")</f>
        <v>Livy Jane Abbey</v>
      </c>
      <c r="C462" s="78">
        <f ca="1">IFERROR(__xludf.DUMMYFUNCTION("""COMPUTED_VALUE"""),8)</f>
        <v>8</v>
      </c>
      <c r="D462" s="78" t="str">
        <f ca="1">IFERROR(__xludf.DUMMYFUNCTION("""COMPUTED_VALUE"""),"G")</f>
        <v>G</v>
      </c>
      <c r="E462" s="80" t="str">
        <f ca="1">IFERROR(__xludf.DUMMYFUNCTION("""COMPUTED_VALUE"""),"F")</f>
        <v>F</v>
      </c>
      <c r="F462" s="80" t="str">
        <f ca="1">IFERROR(__xludf.DUMMYFUNCTION("""COMPUTED_VALUE"""),"J")</f>
        <v>J</v>
      </c>
      <c r="G462" s="80">
        <f ca="1">IFERROR(__xludf.DUMMYFUNCTION("""COMPUTED_VALUE"""),3)</f>
        <v>3</v>
      </c>
      <c r="H462" s="80" t="str">
        <f ca="1">IFERROR(__xludf.DUMMYFUNCTION("""COMPUTED_VALUE"""),"DR")</f>
        <v>DR</v>
      </c>
      <c r="I462" s="80">
        <f ca="1">IFERROR(__xludf.DUMMYFUNCTION("""COMPUTED_VALUE"""),2)</f>
        <v>2</v>
      </c>
      <c r="J462" s="81">
        <f ca="1">IFERROR(__xludf.DUMMYFUNCTION("""COMPUTED_VALUE"""),0)</f>
        <v>0</v>
      </c>
      <c r="K462" s="81">
        <f ca="1">IFERROR(__xludf.DUMMYFUNCTION("""COMPUTED_VALUE"""),0)</f>
        <v>0</v>
      </c>
      <c r="L462" s="81">
        <f ca="1">IFERROR(__xludf.DUMMYFUNCTION("""COMPUTED_VALUE"""),0)</f>
        <v>0</v>
      </c>
      <c r="M462" s="81"/>
      <c r="N462" s="81">
        <f ca="1">IFERROR(__xludf.DUMMYFUNCTION("""COMPUTED_VALUE"""),0)</f>
        <v>0</v>
      </c>
      <c r="O462" s="81"/>
      <c r="P462" s="81">
        <f ca="1">IFERROR(__xludf.DUMMYFUNCTION("""COMPUTED_VALUE"""),0)</f>
        <v>0</v>
      </c>
      <c r="Q462" s="81"/>
      <c r="R462" s="81">
        <f ca="1">IFERROR(__xludf.DUMMYFUNCTION("""COMPUTED_VALUE"""),0)</f>
        <v>0</v>
      </c>
      <c r="S462" s="81"/>
      <c r="T462" s="81"/>
      <c r="U462" s="82"/>
      <c r="V462" s="82"/>
      <c r="W462" s="83"/>
      <c r="X462" s="83"/>
      <c r="Y462" s="83"/>
    </row>
    <row r="463" spans="1:25" ht="13.8">
      <c r="A463" s="78" t="str">
        <f ca="1">IFERROR(__xludf.DUMMYFUNCTION("""COMPUTED_VALUE"""),"DR")</f>
        <v>DR</v>
      </c>
      <c r="B463" s="79" t="str">
        <f ca="1">IFERROR(__xludf.DUMMYFUNCTION("""COMPUTED_VALUE"""),"Liya Adenaw")</f>
        <v>Liya Adenaw</v>
      </c>
      <c r="C463" s="78">
        <f ca="1">IFERROR(__xludf.DUMMYFUNCTION("""COMPUTED_VALUE"""),8)</f>
        <v>8</v>
      </c>
      <c r="D463" s="78" t="str">
        <f ca="1">IFERROR(__xludf.DUMMYFUNCTION("""COMPUTED_VALUE"""),"G")</f>
        <v>G</v>
      </c>
      <c r="E463" s="80" t="str">
        <f ca="1">IFERROR(__xludf.DUMMYFUNCTION("""COMPUTED_VALUE"""),"F")</f>
        <v>F</v>
      </c>
      <c r="F463" s="80" t="str">
        <f ca="1">IFERROR(__xludf.DUMMYFUNCTION("""COMPUTED_VALUE"""),"J")</f>
        <v>J</v>
      </c>
      <c r="G463" s="80">
        <f ca="1">IFERROR(__xludf.DUMMYFUNCTION("""COMPUTED_VALUE"""),3)</f>
        <v>3</v>
      </c>
      <c r="H463" s="80" t="str">
        <f ca="1">IFERROR(__xludf.DUMMYFUNCTION("""COMPUTED_VALUE"""),"DR")</f>
        <v>DR</v>
      </c>
      <c r="I463" s="80">
        <f ca="1">IFERROR(__xludf.DUMMYFUNCTION("""COMPUTED_VALUE"""),2)</f>
        <v>2</v>
      </c>
      <c r="J463" s="81">
        <f ca="1">IFERROR(__xludf.DUMMYFUNCTION("""COMPUTED_VALUE"""),0)</f>
        <v>0</v>
      </c>
      <c r="K463" s="81">
        <f ca="1">IFERROR(__xludf.DUMMYFUNCTION("""COMPUTED_VALUE"""),0)</f>
        <v>0</v>
      </c>
      <c r="L463" s="81">
        <f ca="1">IFERROR(__xludf.DUMMYFUNCTION("""COMPUTED_VALUE"""),0)</f>
        <v>0</v>
      </c>
      <c r="M463" s="81"/>
      <c r="N463" s="81">
        <f ca="1">IFERROR(__xludf.DUMMYFUNCTION("""COMPUTED_VALUE"""),0)</f>
        <v>0</v>
      </c>
      <c r="O463" s="81"/>
      <c r="P463" s="81">
        <f ca="1">IFERROR(__xludf.DUMMYFUNCTION("""COMPUTED_VALUE"""),0)</f>
        <v>0</v>
      </c>
      <c r="Q463" s="81"/>
      <c r="R463" s="81">
        <f ca="1">IFERROR(__xludf.DUMMYFUNCTION("""COMPUTED_VALUE"""),0)</f>
        <v>0</v>
      </c>
      <c r="S463" s="81"/>
      <c r="T463" s="81"/>
      <c r="U463" s="82"/>
      <c r="V463" s="82"/>
      <c r="W463" s="83"/>
      <c r="X463" s="83"/>
      <c r="Y463" s="83"/>
    </row>
    <row r="464" spans="1:25" ht="13.8">
      <c r="A464" s="78" t="str">
        <f ca="1">IFERROR(__xludf.DUMMYFUNCTION("""COMPUTED_VALUE"""),"DR")</f>
        <v>DR</v>
      </c>
      <c r="B464" s="79" t="str">
        <f ca="1">IFERROR(__xludf.DUMMYFUNCTION("""COMPUTED_VALUE"""),"Caroline Baca")</f>
        <v>Caroline Baca</v>
      </c>
      <c r="C464" s="78">
        <f ca="1">IFERROR(__xludf.DUMMYFUNCTION("""COMPUTED_VALUE"""),7)</f>
        <v>7</v>
      </c>
      <c r="D464" s="78" t="str">
        <f ca="1">IFERROR(__xludf.DUMMYFUNCTION("""COMPUTED_VALUE"""),"G")</f>
        <v>G</v>
      </c>
      <c r="E464" s="80" t="str">
        <f ca="1">IFERROR(__xludf.DUMMYFUNCTION("""COMPUTED_VALUE"""),"F")</f>
        <v>F</v>
      </c>
      <c r="F464" s="80" t="str">
        <f ca="1">IFERROR(__xludf.DUMMYFUNCTION("""COMPUTED_VALUE"""),"J")</f>
        <v>J</v>
      </c>
      <c r="G464" s="80">
        <f ca="1">IFERROR(__xludf.DUMMYFUNCTION("""COMPUTED_VALUE"""),3)</f>
        <v>3</v>
      </c>
      <c r="H464" s="80" t="str">
        <f ca="1">IFERROR(__xludf.DUMMYFUNCTION("""COMPUTED_VALUE"""),"DR")</f>
        <v>DR</v>
      </c>
      <c r="I464" s="80">
        <f ca="1">IFERROR(__xludf.DUMMYFUNCTION("""COMPUTED_VALUE"""),2)</f>
        <v>2</v>
      </c>
      <c r="J464" s="81">
        <f ca="1">IFERROR(__xludf.DUMMYFUNCTION("""COMPUTED_VALUE"""),0)</f>
        <v>0</v>
      </c>
      <c r="K464" s="81">
        <f ca="1">IFERROR(__xludf.DUMMYFUNCTION("""COMPUTED_VALUE"""),0)</f>
        <v>0</v>
      </c>
      <c r="L464" s="81">
        <f ca="1">IFERROR(__xludf.DUMMYFUNCTION("""COMPUTED_VALUE"""),0)</f>
        <v>0</v>
      </c>
      <c r="M464" s="81"/>
      <c r="N464" s="81">
        <f ca="1">IFERROR(__xludf.DUMMYFUNCTION("""COMPUTED_VALUE"""),0)</f>
        <v>0</v>
      </c>
      <c r="O464" s="81"/>
      <c r="P464" s="81">
        <f ca="1">IFERROR(__xludf.DUMMYFUNCTION("""COMPUTED_VALUE"""),0)</f>
        <v>0</v>
      </c>
      <c r="Q464" s="81"/>
      <c r="R464" s="81">
        <f ca="1">IFERROR(__xludf.DUMMYFUNCTION("""COMPUTED_VALUE"""),0)</f>
        <v>0</v>
      </c>
      <c r="S464" s="81"/>
      <c r="T464" s="81"/>
      <c r="U464" s="82"/>
      <c r="V464" s="82"/>
      <c r="W464" s="83"/>
      <c r="X464" s="83"/>
      <c r="Y464" s="83"/>
    </row>
    <row r="465" spans="1:25" ht="13.8">
      <c r="A465" s="78" t="str">
        <f ca="1">IFERROR(__xludf.DUMMYFUNCTION("""COMPUTED_VALUE"""),"DR")</f>
        <v>DR</v>
      </c>
      <c r="B465" s="79" t="str">
        <f ca="1">IFERROR(__xludf.DUMMYFUNCTION("""COMPUTED_VALUE"""),"Syona Chandy")</f>
        <v>Syona Chandy</v>
      </c>
      <c r="C465" s="78">
        <f ca="1">IFERROR(__xludf.DUMMYFUNCTION("""COMPUTED_VALUE"""),8)</f>
        <v>8</v>
      </c>
      <c r="D465" s="78" t="str">
        <f ca="1">IFERROR(__xludf.DUMMYFUNCTION("""COMPUTED_VALUE"""),"G")</f>
        <v>G</v>
      </c>
      <c r="E465" s="80" t="str">
        <f ca="1">IFERROR(__xludf.DUMMYFUNCTION("""COMPUTED_VALUE"""),"F")</f>
        <v>F</v>
      </c>
      <c r="F465" s="80" t="str">
        <f ca="1">IFERROR(__xludf.DUMMYFUNCTION("""COMPUTED_VALUE"""),"J")</f>
        <v>J</v>
      </c>
      <c r="G465" s="80">
        <f ca="1">IFERROR(__xludf.DUMMYFUNCTION("""COMPUTED_VALUE"""),3)</f>
        <v>3</v>
      </c>
      <c r="H465" s="80" t="str">
        <f ca="1">IFERROR(__xludf.DUMMYFUNCTION("""COMPUTED_VALUE"""),"DR")</f>
        <v>DR</v>
      </c>
      <c r="I465" s="80">
        <f ca="1">IFERROR(__xludf.DUMMYFUNCTION("""COMPUTED_VALUE"""),2)</f>
        <v>2</v>
      </c>
      <c r="J465" s="81">
        <f ca="1">IFERROR(__xludf.DUMMYFUNCTION("""COMPUTED_VALUE"""),0)</f>
        <v>0</v>
      </c>
      <c r="K465" s="81">
        <f ca="1">IFERROR(__xludf.DUMMYFUNCTION("""COMPUTED_VALUE"""),0)</f>
        <v>0</v>
      </c>
      <c r="L465" s="81">
        <f ca="1">IFERROR(__xludf.DUMMYFUNCTION("""COMPUTED_VALUE"""),0)</f>
        <v>0</v>
      </c>
      <c r="M465" s="81"/>
      <c r="N465" s="81">
        <f ca="1">IFERROR(__xludf.DUMMYFUNCTION("""COMPUTED_VALUE"""),0)</f>
        <v>0</v>
      </c>
      <c r="O465" s="81"/>
      <c r="P465" s="81">
        <f ca="1">IFERROR(__xludf.DUMMYFUNCTION("""COMPUTED_VALUE"""),0)</f>
        <v>0</v>
      </c>
      <c r="Q465" s="81"/>
      <c r="R465" s="81">
        <f ca="1">IFERROR(__xludf.DUMMYFUNCTION("""COMPUTED_VALUE"""),0)</f>
        <v>0</v>
      </c>
      <c r="S465" s="81"/>
      <c r="T465" s="81"/>
      <c r="U465" s="82"/>
      <c r="V465" s="82"/>
      <c r="W465" s="83"/>
      <c r="X465" s="83"/>
      <c r="Y465" s="83"/>
    </row>
    <row r="466" spans="1:25" ht="13.8">
      <c r="A466" s="78" t="str">
        <f ca="1">IFERROR(__xludf.DUMMYFUNCTION("""COMPUTED_VALUE"""),"DR")</f>
        <v>DR</v>
      </c>
      <c r="B466" s="79" t="str">
        <f ca="1">IFERROR(__xludf.DUMMYFUNCTION("""COMPUTED_VALUE"""),"Keegan Clark")</f>
        <v>Keegan Clark</v>
      </c>
      <c r="C466" s="78">
        <f ca="1">IFERROR(__xludf.DUMMYFUNCTION("""COMPUTED_VALUE"""),10)</f>
        <v>10</v>
      </c>
      <c r="D466" s="78" t="str">
        <f ca="1">IFERROR(__xludf.DUMMYFUNCTION("""COMPUTED_VALUE"""),"G")</f>
        <v>G</v>
      </c>
      <c r="E466" s="80" t="str">
        <f ca="1">IFERROR(__xludf.DUMMYFUNCTION("""COMPUTED_VALUE"""),"F")</f>
        <v>F</v>
      </c>
      <c r="F466" s="80" t="str">
        <f ca="1">IFERROR(__xludf.DUMMYFUNCTION("""COMPUTED_VALUE"""),"J")</f>
        <v>J</v>
      </c>
      <c r="G466" s="80">
        <f ca="1">IFERROR(__xludf.DUMMYFUNCTION("""COMPUTED_VALUE"""),3)</f>
        <v>3</v>
      </c>
      <c r="H466" s="80" t="str">
        <f ca="1">IFERROR(__xludf.DUMMYFUNCTION("""COMPUTED_VALUE"""),"DR")</f>
        <v>DR</v>
      </c>
      <c r="I466" s="80">
        <f ca="1">IFERROR(__xludf.DUMMYFUNCTION("""COMPUTED_VALUE"""),2)</f>
        <v>2</v>
      </c>
      <c r="J466" s="81">
        <f ca="1">IFERROR(__xludf.DUMMYFUNCTION("""COMPUTED_VALUE"""),0)</f>
        <v>0</v>
      </c>
      <c r="K466" s="81">
        <f ca="1">IFERROR(__xludf.DUMMYFUNCTION("""COMPUTED_VALUE"""),0)</f>
        <v>0</v>
      </c>
      <c r="L466" s="81">
        <f ca="1">IFERROR(__xludf.DUMMYFUNCTION("""COMPUTED_VALUE"""),0)</f>
        <v>0</v>
      </c>
      <c r="M466" s="81"/>
      <c r="N466" s="81">
        <f ca="1">IFERROR(__xludf.DUMMYFUNCTION("""COMPUTED_VALUE"""),0)</f>
        <v>0</v>
      </c>
      <c r="O466" s="81"/>
      <c r="P466" s="81">
        <f ca="1">IFERROR(__xludf.DUMMYFUNCTION("""COMPUTED_VALUE"""),0)</f>
        <v>0</v>
      </c>
      <c r="Q466" s="81"/>
      <c r="R466" s="81">
        <f ca="1">IFERROR(__xludf.DUMMYFUNCTION("""COMPUTED_VALUE"""),0)</f>
        <v>0</v>
      </c>
      <c r="S466" s="81"/>
      <c r="T466" s="81"/>
      <c r="U466" s="82"/>
      <c r="V466" s="82"/>
      <c r="W466" s="83"/>
      <c r="X466" s="83"/>
      <c r="Y466" s="83"/>
    </row>
    <row r="467" spans="1:25" ht="13.8">
      <c r="A467" s="78" t="str">
        <f ca="1">IFERROR(__xludf.DUMMYFUNCTION("""COMPUTED_VALUE"""),"DR")</f>
        <v>DR</v>
      </c>
      <c r="B467" s="79" t="str">
        <f ca="1">IFERROR(__xludf.DUMMYFUNCTION("""COMPUTED_VALUE"""),"Anna Edgerton")</f>
        <v>Anna Edgerton</v>
      </c>
      <c r="C467" s="78">
        <f ca="1">IFERROR(__xludf.DUMMYFUNCTION("""COMPUTED_VALUE"""),10)</f>
        <v>10</v>
      </c>
      <c r="D467" s="78" t="str">
        <f ca="1">IFERROR(__xludf.DUMMYFUNCTION("""COMPUTED_VALUE"""),"G")</f>
        <v>G</v>
      </c>
      <c r="E467" s="80" t="str">
        <f ca="1">IFERROR(__xludf.DUMMYFUNCTION("""COMPUTED_VALUE"""),"F")</f>
        <v>F</v>
      </c>
      <c r="F467" s="80" t="str">
        <f ca="1">IFERROR(__xludf.DUMMYFUNCTION("""COMPUTED_VALUE"""),"J")</f>
        <v>J</v>
      </c>
      <c r="G467" s="80">
        <f ca="1">IFERROR(__xludf.DUMMYFUNCTION("""COMPUTED_VALUE"""),3)</f>
        <v>3</v>
      </c>
      <c r="H467" s="80" t="str">
        <f ca="1">IFERROR(__xludf.DUMMYFUNCTION("""COMPUTED_VALUE"""),"DR")</f>
        <v>DR</v>
      </c>
      <c r="I467" s="80">
        <f ca="1">IFERROR(__xludf.DUMMYFUNCTION("""COMPUTED_VALUE"""),2)</f>
        <v>2</v>
      </c>
      <c r="J467" s="81">
        <f ca="1">IFERROR(__xludf.DUMMYFUNCTION("""COMPUTED_VALUE"""),1)</f>
        <v>1</v>
      </c>
      <c r="K467" s="81">
        <f ca="1">IFERROR(__xludf.DUMMYFUNCTION("""COMPUTED_VALUE"""),34.35)</f>
        <v>34.35</v>
      </c>
      <c r="L467" s="81">
        <f ca="1">IFERROR(__xludf.DUMMYFUNCTION("""COMPUTED_VALUE"""),34.35)</f>
        <v>34.35</v>
      </c>
      <c r="M467" s="81"/>
      <c r="N467" s="81">
        <f ca="1">IFERROR(__xludf.DUMMYFUNCTION("""COMPUTED_VALUE"""),0)</f>
        <v>0</v>
      </c>
      <c r="O467" s="81"/>
      <c r="P467" s="81">
        <f ca="1">IFERROR(__xludf.DUMMYFUNCTION("""COMPUTED_VALUE"""),0)</f>
        <v>0</v>
      </c>
      <c r="Q467" s="81"/>
      <c r="R467" s="81">
        <f ca="1">IFERROR(__xludf.DUMMYFUNCTION("""COMPUTED_VALUE"""),0)</f>
        <v>0</v>
      </c>
      <c r="S467" s="81"/>
      <c r="T467" s="81"/>
      <c r="U467" s="82"/>
      <c r="V467" s="82"/>
      <c r="W467" s="83"/>
      <c r="X467" s="83"/>
      <c r="Y467" s="83"/>
    </row>
    <row r="468" spans="1:25" ht="13.8">
      <c r="A468" s="78" t="str">
        <f ca="1">IFERROR(__xludf.DUMMYFUNCTION("""COMPUTED_VALUE"""),"DR")</f>
        <v>DR</v>
      </c>
      <c r="B468" s="79" t="str">
        <f ca="1">IFERROR(__xludf.DUMMYFUNCTION("""COMPUTED_VALUE"""),"Lila Epstein")</f>
        <v>Lila Epstein</v>
      </c>
      <c r="C468" s="78">
        <f ca="1">IFERROR(__xludf.DUMMYFUNCTION("""COMPUTED_VALUE"""),10)</f>
        <v>10</v>
      </c>
      <c r="D468" s="78" t="str">
        <f ca="1">IFERROR(__xludf.DUMMYFUNCTION("""COMPUTED_VALUE"""),"G")</f>
        <v>G</v>
      </c>
      <c r="E468" s="80" t="str">
        <f ca="1">IFERROR(__xludf.DUMMYFUNCTION("""COMPUTED_VALUE"""),"F")</f>
        <v>F</v>
      </c>
      <c r="F468" s="80" t="str">
        <f ca="1">IFERROR(__xludf.DUMMYFUNCTION("""COMPUTED_VALUE"""),"J")</f>
        <v>J</v>
      </c>
      <c r="G468" s="80">
        <f ca="1">IFERROR(__xludf.DUMMYFUNCTION("""COMPUTED_VALUE"""),3)</f>
        <v>3</v>
      </c>
      <c r="H468" s="80" t="str">
        <f ca="1">IFERROR(__xludf.DUMMYFUNCTION("""COMPUTED_VALUE"""),"DR")</f>
        <v>DR</v>
      </c>
      <c r="I468" s="80">
        <f ca="1">IFERROR(__xludf.DUMMYFUNCTION("""COMPUTED_VALUE"""),2)</f>
        <v>2</v>
      </c>
      <c r="J468" s="81">
        <f ca="1">IFERROR(__xludf.DUMMYFUNCTION("""COMPUTED_VALUE"""),0)</f>
        <v>0</v>
      </c>
      <c r="K468" s="81">
        <f ca="1">IFERROR(__xludf.DUMMYFUNCTION("""COMPUTED_VALUE"""),0)</f>
        <v>0</v>
      </c>
      <c r="L468" s="81">
        <f ca="1">IFERROR(__xludf.DUMMYFUNCTION("""COMPUTED_VALUE"""),0)</f>
        <v>0</v>
      </c>
      <c r="M468" s="81"/>
      <c r="N468" s="81">
        <f ca="1">IFERROR(__xludf.DUMMYFUNCTION("""COMPUTED_VALUE"""),0)</f>
        <v>0</v>
      </c>
      <c r="O468" s="81"/>
      <c r="P468" s="81">
        <f ca="1">IFERROR(__xludf.DUMMYFUNCTION("""COMPUTED_VALUE"""),0)</f>
        <v>0</v>
      </c>
      <c r="Q468" s="81"/>
      <c r="R468" s="81">
        <f ca="1">IFERROR(__xludf.DUMMYFUNCTION("""COMPUTED_VALUE"""),0)</f>
        <v>0</v>
      </c>
      <c r="S468" s="81"/>
      <c r="T468" s="81"/>
      <c r="U468" s="82"/>
      <c r="V468" s="82"/>
      <c r="W468" s="83"/>
      <c r="X468" s="83"/>
      <c r="Y468" s="83"/>
    </row>
    <row r="469" spans="1:25" ht="13.8">
      <c r="A469" s="78" t="str">
        <f ca="1">IFERROR(__xludf.DUMMYFUNCTION("""COMPUTED_VALUE"""),"DR")</f>
        <v>DR</v>
      </c>
      <c r="B469" s="79" t="str">
        <f ca="1">IFERROR(__xludf.DUMMYFUNCTION("""COMPUTED_VALUE"""),"Stella Epstein")</f>
        <v>Stella Epstein</v>
      </c>
      <c r="C469" s="78">
        <f ca="1">IFERROR(__xludf.DUMMYFUNCTION("""COMPUTED_VALUE"""),9)</f>
        <v>9</v>
      </c>
      <c r="D469" s="78" t="str">
        <f ca="1">IFERROR(__xludf.DUMMYFUNCTION("""COMPUTED_VALUE"""),"G")</f>
        <v>G</v>
      </c>
      <c r="E469" s="80" t="str">
        <f ca="1">IFERROR(__xludf.DUMMYFUNCTION("""COMPUTED_VALUE"""),"F")</f>
        <v>F</v>
      </c>
      <c r="F469" s="80" t="str">
        <f ca="1">IFERROR(__xludf.DUMMYFUNCTION("""COMPUTED_VALUE"""),"J")</f>
        <v>J</v>
      </c>
      <c r="G469" s="80">
        <f ca="1">IFERROR(__xludf.DUMMYFUNCTION("""COMPUTED_VALUE"""),3)</f>
        <v>3</v>
      </c>
      <c r="H469" s="80" t="str">
        <f ca="1">IFERROR(__xludf.DUMMYFUNCTION("""COMPUTED_VALUE"""),"DR")</f>
        <v>DR</v>
      </c>
      <c r="I469" s="80">
        <f ca="1">IFERROR(__xludf.DUMMYFUNCTION("""COMPUTED_VALUE"""),2)</f>
        <v>2</v>
      </c>
      <c r="J469" s="81">
        <f ca="1">IFERROR(__xludf.DUMMYFUNCTION("""COMPUTED_VALUE"""),0)</f>
        <v>0</v>
      </c>
      <c r="K469" s="81">
        <f ca="1">IFERROR(__xludf.DUMMYFUNCTION("""COMPUTED_VALUE"""),0)</f>
        <v>0</v>
      </c>
      <c r="L469" s="81">
        <f ca="1">IFERROR(__xludf.DUMMYFUNCTION("""COMPUTED_VALUE"""),0)</f>
        <v>0</v>
      </c>
      <c r="M469" s="81"/>
      <c r="N469" s="81">
        <f ca="1">IFERROR(__xludf.DUMMYFUNCTION("""COMPUTED_VALUE"""),0)</f>
        <v>0</v>
      </c>
      <c r="O469" s="81"/>
      <c r="P469" s="81">
        <f ca="1">IFERROR(__xludf.DUMMYFUNCTION("""COMPUTED_VALUE"""),0)</f>
        <v>0</v>
      </c>
      <c r="Q469" s="81"/>
      <c r="R469" s="81">
        <f ca="1">IFERROR(__xludf.DUMMYFUNCTION("""COMPUTED_VALUE"""),0)</f>
        <v>0</v>
      </c>
      <c r="S469" s="81"/>
      <c r="T469" s="81"/>
      <c r="U469" s="82"/>
      <c r="V469" s="82"/>
      <c r="W469" s="83"/>
      <c r="X469" s="83"/>
      <c r="Y469" s="83"/>
    </row>
    <row r="470" spans="1:25" ht="13.8">
      <c r="A470" s="78" t="str">
        <f ca="1">IFERROR(__xludf.DUMMYFUNCTION("""COMPUTED_VALUE"""),"DR")</f>
        <v>DR</v>
      </c>
      <c r="B470" s="79" t="str">
        <f ca="1">IFERROR(__xludf.DUMMYFUNCTION("""COMPUTED_VALUE"""),"Austin Johnson")</f>
        <v>Austin Johnson</v>
      </c>
      <c r="C470" s="78">
        <f ca="1">IFERROR(__xludf.DUMMYFUNCTION("""COMPUTED_VALUE"""),9)</f>
        <v>9</v>
      </c>
      <c r="D470" s="78" t="str">
        <f ca="1">IFERROR(__xludf.DUMMYFUNCTION("""COMPUTED_VALUE"""),"G")</f>
        <v>G</v>
      </c>
      <c r="E470" s="80" t="str">
        <f ca="1">IFERROR(__xludf.DUMMYFUNCTION("""COMPUTED_VALUE"""),"F")</f>
        <v>F</v>
      </c>
      <c r="F470" s="80" t="str">
        <f ca="1">IFERROR(__xludf.DUMMYFUNCTION("""COMPUTED_VALUE"""),"J")</f>
        <v>J</v>
      </c>
      <c r="G470" s="80">
        <f ca="1">IFERROR(__xludf.DUMMYFUNCTION("""COMPUTED_VALUE"""),3)</f>
        <v>3</v>
      </c>
      <c r="H470" s="80" t="str">
        <f ca="1">IFERROR(__xludf.DUMMYFUNCTION("""COMPUTED_VALUE"""),"DR")</f>
        <v>DR</v>
      </c>
      <c r="I470" s="80">
        <f ca="1">IFERROR(__xludf.DUMMYFUNCTION("""COMPUTED_VALUE"""),2)</f>
        <v>2</v>
      </c>
      <c r="J470" s="81">
        <f ca="1">IFERROR(__xludf.DUMMYFUNCTION("""COMPUTED_VALUE"""),0)</f>
        <v>0</v>
      </c>
      <c r="K470" s="81">
        <f ca="1">IFERROR(__xludf.DUMMYFUNCTION("""COMPUTED_VALUE"""),0)</f>
        <v>0</v>
      </c>
      <c r="L470" s="81">
        <f ca="1">IFERROR(__xludf.DUMMYFUNCTION("""COMPUTED_VALUE"""),0)</f>
        <v>0</v>
      </c>
      <c r="M470" s="81"/>
      <c r="N470" s="81">
        <f ca="1">IFERROR(__xludf.DUMMYFUNCTION("""COMPUTED_VALUE"""),0)</f>
        <v>0</v>
      </c>
      <c r="O470" s="81"/>
      <c r="P470" s="81">
        <f ca="1">IFERROR(__xludf.DUMMYFUNCTION("""COMPUTED_VALUE"""),0)</f>
        <v>0</v>
      </c>
      <c r="Q470" s="81"/>
      <c r="R470" s="81">
        <f ca="1">IFERROR(__xludf.DUMMYFUNCTION("""COMPUTED_VALUE"""),0)</f>
        <v>0</v>
      </c>
      <c r="S470" s="81"/>
      <c r="T470" s="81"/>
      <c r="U470" s="82"/>
      <c r="V470" s="82"/>
      <c r="W470" s="83"/>
      <c r="X470" s="83"/>
      <c r="Y470" s="83"/>
    </row>
    <row r="471" spans="1:25" ht="13.8">
      <c r="A471" s="78" t="str">
        <f ca="1">IFERROR(__xludf.DUMMYFUNCTION("""COMPUTED_VALUE"""),"DR")</f>
        <v>DR</v>
      </c>
      <c r="B471" s="79" t="str">
        <f ca="1">IFERROR(__xludf.DUMMYFUNCTION("""COMPUTED_VALUE"""),"Lily Klein")</f>
        <v>Lily Klein</v>
      </c>
      <c r="C471" s="78">
        <f ca="1">IFERROR(__xludf.DUMMYFUNCTION("""COMPUTED_VALUE"""),9)</f>
        <v>9</v>
      </c>
      <c r="D471" s="78" t="str">
        <f ca="1">IFERROR(__xludf.DUMMYFUNCTION("""COMPUTED_VALUE"""),"G")</f>
        <v>G</v>
      </c>
      <c r="E471" s="80" t="str">
        <f ca="1">IFERROR(__xludf.DUMMYFUNCTION("""COMPUTED_VALUE"""),"F")</f>
        <v>F</v>
      </c>
      <c r="F471" s="80" t="str">
        <f ca="1">IFERROR(__xludf.DUMMYFUNCTION("""COMPUTED_VALUE"""),"J")</f>
        <v>J</v>
      </c>
      <c r="G471" s="80">
        <f ca="1">IFERROR(__xludf.DUMMYFUNCTION("""COMPUTED_VALUE"""),3)</f>
        <v>3</v>
      </c>
      <c r="H471" s="80" t="str">
        <f ca="1">IFERROR(__xludf.DUMMYFUNCTION("""COMPUTED_VALUE"""),"DR")</f>
        <v>DR</v>
      </c>
      <c r="I471" s="80">
        <f ca="1">IFERROR(__xludf.DUMMYFUNCTION("""COMPUTED_VALUE"""),2)</f>
        <v>2</v>
      </c>
      <c r="J471" s="81">
        <f ca="1">IFERROR(__xludf.DUMMYFUNCTION("""COMPUTED_VALUE"""),3)</f>
        <v>3</v>
      </c>
      <c r="K471" s="81">
        <f ca="1">IFERROR(__xludf.DUMMYFUNCTION("""COMPUTED_VALUE"""),63.6)</f>
        <v>63.6</v>
      </c>
      <c r="L471" s="81">
        <f ca="1">IFERROR(__xludf.DUMMYFUNCTION("""COMPUTED_VALUE"""),0)</f>
        <v>0</v>
      </c>
      <c r="M471" s="81"/>
      <c r="N471" s="81">
        <f ca="1">IFERROR(__xludf.DUMMYFUNCTION("""COMPUTED_VALUE"""),63.6)</f>
        <v>63.6</v>
      </c>
      <c r="O471" s="81"/>
      <c r="P471" s="81">
        <f ca="1">IFERROR(__xludf.DUMMYFUNCTION("""COMPUTED_VALUE"""),55.95)</f>
        <v>55.95</v>
      </c>
      <c r="Q471" s="81"/>
      <c r="R471" s="81">
        <f ca="1">IFERROR(__xludf.DUMMYFUNCTION("""COMPUTED_VALUE"""),49)</f>
        <v>49</v>
      </c>
      <c r="S471" s="81"/>
      <c r="T471" s="81"/>
      <c r="U471" s="82"/>
      <c r="V471" s="82"/>
      <c r="W471" s="83"/>
      <c r="X471" s="83"/>
      <c r="Y471" s="83"/>
    </row>
    <row r="472" spans="1:25" ht="13.8">
      <c r="A472" s="78" t="str">
        <f ca="1">IFERROR(__xludf.DUMMYFUNCTION("""COMPUTED_VALUE"""),"DR")</f>
        <v>DR</v>
      </c>
      <c r="B472" s="79" t="str">
        <f ca="1">IFERROR(__xludf.DUMMYFUNCTION("""COMPUTED_VALUE"""),"Alexandra Klimek")</f>
        <v>Alexandra Klimek</v>
      </c>
      <c r="C472" s="78">
        <f ca="1">IFERROR(__xludf.DUMMYFUNCTION("""COMPUTED_VALUE"""),8)</f>
        <v>8</v>
      </c>
      <c r="D472" s="78" t="str">
        <f ca="1">IFERROR(__xludf.DUMMYFUNCTION("""COMPUTED_VALUE"""),"G")</f>
        <v>G</v>
      </c>
      <c r="E472" s="80" t="str">
        <f ca="1">IFERROR(__xludf.DUMMYFUNCTION("""COMPUTED_VALUE"""),"F")</f>
        <v>F</v>
      </c>
      <c r="F472" s="80" t="str">
        <f ca="1">IFERROR(__xludf.DUMMYFUNCTION("""COMPUTED_VALUE"""),"J")</f>
        <v>J</v>
      </c>
      <c r="G472" s="80">
        <f ca="1">IFERROR(__xludf.DUMMYFUNCTION("""COMPUTED_VALUE"""),3)</f>
        <v>3</v>
      </c>
      <c r="H472" s="80" t="str">
        <f ca="1">IFERROR(__xludf.DUMMYFUNCTION("""COMPUTED_VALUE"""),"DR")</f>
        <v>DR</v>
      </c>
      <c r="I472" s="80">
        <f ca="1">IFERROR(__xludf.DUMMYFUNCTION("""COMPUTED_VALUE"""),2)</f>
        <v>2</v>
      </c>
      <c r="J472" s="81">
        <f ca="1">IFERROR(__xludf.DUMMYFUNCTION("""COMPUTED_VALUE"""),0)</f>
        <v>0</v>
      </c>
      <c r="K472" s="81">
        <f ca="1">IFERROR(__xludf.DUMMYFUNCTION("""COMPUTED_VALUE"""),0)</f>
        <v>0</v>
      </c>
      <c r="L472" s="81">
        <f ca="1">IFERROR(__xludf.DUMMYFUNCTION("""COMPUTED_VALUE"""),0)</f>
        <v>0</v>
      </c>
      <c r="M472" s="81"/>
      <c r="N472" s="81">
        <f ca="1">IFERROR(__xludf.DUMMYFUNCTION("""COMPUTED_VALUE"""),0)</f>
        <v>0</v>
      </c>
      <c r="O472" s="81"/>
      <c r="P472" s="81">
        <f ca="1">IFERROR(__xludf.DUMMYFUNCTION("""COMPUTED_VALUE"""),0)</f>
        <v>0</v>
      </c>
      <c r="Q472" s="81"/>
      <c r="R472" s="81">
        <f ca="1">IFERROR(__xludf.DUMMYFUNCTION("""COMPUTED_VALUE"""),0)</f>
        <v>0</v>
      </c>
      <c r="S472" s="81"/>
      <c r="T472" s="81"/>
      <c r="U472" s="82"/>
      <c r="V472" s="82"/>
      <c r="W472" s="83"/>
      <c r="X472" s="83"/>
      <c r="Y472" s="83"/>
    </row>
    <row r="473" spans="1:25" ht="13.8">
      <c r="A473" s="78" t="str">
        <f ca="1">IFERROR(__xludf.DUMMYFUNCTION("""COMPUTED_VALUE"""),"DR")</f>
        <v>DR</v>
      </c>
      <c r="B473" s="79" t="str">
        <f ca="1">IFERROR(__xludf.DUMMYFUNCTION("""COMPUTED_VALUE"""),"Leela Lakhani")</f>
        <v>Leela Lakhani</v>
      </c>
      <c r="C473" s="78">
        <f ca="1">IFERROR(__xludf.DUMMYFUNCTION("""COMPUTED_VALUE"""),8)</f>
        <v>8</v>
      </c>
      <c r="D473" s="78" t="str">
        <f ca="1">IFERROR(__xludf.DUMMYFUNCTION("""COMPUTED_VALUE"""),"G")</f>
        <v>G</v>
      </c>
      <c r="E473" s="80" t="str">
        <f ca="1">IFERROR(__xludf.DUMMYFUNCTION("""COMPUTED_VALUE"""),"F")</f>
        <v>F</v>
      </c>
      <c r="F473" s="80" t="str">
        <f ca="1">IFERROR(__xludf.DUMMYFUNCTION("""COMPUTED_VALUE"""),"J")</f>
        <v>J</v>
      </c>
      <c r="G473" s="80">
        <f ca="1">IFERROR(__xludf.DUMMYFUNCTION("""COMPUTED_VALUE"""),3)</f>
        <v>3</v>
      </c>
      <c r="H473" s="80" t="str">
        <f ca="1">IFERROR(__xludf.DUMMYFUNCTION("""COMPUTED_VALUE"""),"DR")</f>
        <v>DR</v>
      </c>
      <c r="I473" s="80">
        <f ca="1">IFERROR(__xludf.DUMMYFUNCTION("""COMPUTED_VALUE"""),2)</f>
        <v>2</v>
      </c>
      <c r="J473" s="81">
        <f ca="1">IFERROR(__xludf.DUMMYFUNCTION("""COMPUTED_VALUE"""),0)</f>
        <v>0</v>
      </c>
      <c r="K473" s="81">
        <f ca="1">IFERROR(__xludf.DUMMYFUNCTION("""COMPUTED_VALUE"""),0)</f>
        <v>0</v>
      </c>
      <c r="L473" s="81">
        <f ca="1">IFERROR(__xludf.DUMMYFUNCTION("""COMPUTED_VALUE"""),0)</f>
        <v>0</v>
      </c>
      <c r="M473" s="81"/>
      <c r="N473" s="81">
        <f ca="1">IFERROR(__xludf.DUMMYFUNCTION("""COMPUTED_VALUE"""),0)</f>
        <v>0</v>
      </c>
      <c r="O473" s="81"/>
      <c r="P473" s="81">
        <f ca="1">IFERROR(__xludf.DUMMYFUNCTION("""COMPUTED_VALUE"""),0)</f>
        <v>0</v>
      </c>
      <c r="Q473" s="81"/>
      <c r="R473" s="81">
        <f ca="1">IFERROR(__xludf.DUMMYFUNCTION("""COMPUTED_VALUE"""),0)</f>
        <v>0</v>
      </c>
      <c r="S473" s="81"/>
      <c r="T473" s="81"/>
      <c r="U473" s="82"/>
      <c r="V473" s="82"/>
      <c r="W473" s="83"/>
      <c r="X473" s="83"/>
      <c r="Y473" s="83"/>
    </row>
    <row r="474" spans="1:25" ht="13.8">
      <c r="A474" s="78" t="str">
        <f ca="1">IFERROR(__xludf.DUMMYFUNCTION("""COMPUTED_VALUE"""),"DR")</f>
        <v>DR</v>
      </c>
      <c r="B474" s="79" t="str">
        <f ca="1">IFERROR(__xludf.DUMMYFUNCTION("""COMPUTED_VALUE"""),"Ann Madden")</f>
        <v>Ann Madden</v>
      </c>
      <c r="C474" s="78">
        <f ca="1">IFERROR(__xludf.DUMMYFUNCTION("""COMPUTED_VALUE"""),7)</f>
        <v>7</v>
      </c>
      <c r="D474" s="78" t="str">
        <f ca="1">IFERROR(__xludf.DUMMYFUNCTION("""COMPUTED_VALUE"""),"G")</f>
        <v>G</v>
      </c>
      <c r="E474" s="80" t="str">
        <f ca="1">IFERROR(__xludf.DUMMYFUNCTION("""COMPUTED_VALUE"""),"F")</f>
        <v>F</v>
      </c>
      <c r="F474" s="80" t="str">
        <f ca="1">IFERROR(__xludf.DUMMYFUNCTION("""COMPUTED_VALUE"""),"J")</f>
        <v>J</v>
      </c>
      <c r="G474" s="80">
        <f ca="1">IFERROR(__xludf.DUMMYFUNCTION("""COMPUTED_VALUE"""),3)</f>
        <v>3</v>
      </c>
      <c r="H474" s="80" t="str">
        <f ca="1">IFERROR(__xludf.DUMMYFUNCTION("""COMPUTED_VALUE"""),"DR")</f>
        <v>DR</v>
      </c>
      <c r="I474" s="80">
        <f ca="1">IFERROR(__xludf.DUMMYFUNCTION("""COMPUTED_VALUE"""),2)</f>
        <v>2</v>
      </c>
      <c r="J474" s="81">
        <f ca="1">IFERROR(__xludf.DUMMYFUNCTION("""COMPUTED_VALUE"""),3)</f>
        <v>3</v>
      </c>
      <c r="K474" s="81">
        <f ca="1">IFERROR(__xludf.DUMMYFUNCTION("""COMPUTED_VALUE"""),53.75)</f>
        <v>53.75</v>
      </c>
      <c r="L474" s="81">
        <f ca="1">IFERROR(__xludf.DUMMYFUNCTION("""COMPUTED_VALUE"""),0)</f>
        <v>0</v>
      </c>
      <c r="M474" s="81"/>
      <c r="N474" s="81">
        <f ca="1">IFERROR(__xludf.DUMMYFUNCTION("""COMPUTED_VALUE"""),0)</f>
        <v>0</v>
      </c>
      <c r="O474" s="81"/>
      <c r="P474" s="81">
        <f ca="1">IFERROR(__xludf.DUMMYFUNCTION("""COMPUTED_VALUE"""),49.8)</f>
        <v>49.8</v>
      </c>
      <c r="Q474" s="81"/>
      <c r="R474" s="81">
        <f ca="1">IFERROR(__xludf.DUMMYFUNCTION("""COMPUTED_VALUE"""),53.75)</f>
        <v>53.75</v>
      </c>
      <c r="S474" s="81"/>
      <c r="T474" s="81"/>
      <c r="U474" s="82"/>
      <c r="V474" s="82"/>
      <c r="W474" s="83"/>
      <c r="X474" s="83"/>
      <c r="Y474" s="83"/>
    </row>
    <row r="475" spans="1:25" ht="13.8">
      <c r="A475" s="78" t="str">
        <f ca="1">IFERROR(__xludf.DUMMYFUNCTION("""COMPUTED_VALUE"""),"DR")</f>
        <v>DR</v>
      </c>
      <c r="B475" s="79" t="str">
        <f ca="1">IFERROR(__xludf.DUMMYFUNCTION("""COMPUTED_VALUE"""),"Claire McCool")</f>
        <v>Claire McCool</v>
      </c>
      <c r="C475" s="78">
        <f ca="1">IFERROR(__xludf.DUMMYFUNCTION("""COMPUTED_VALUE"""),9)</f>
        <v>9</v>
      </c>
      <c r="D475" s="78" t="str">
        <f ca="1">IFERROR(__xludf.DUMMYFUNCTION("""COMPUTED_VALUE"""),"G")</f>
        <v>G</v>
      </c>
      <c r="E475" s="80" t="str">
        <f ca="1">IFERROR(__xludf.DUMMYFUNCTION("""COMPUTED_VALUE"""),"F")</f>
        <v>F</v>
      </c>
      <c r="F475" s="80" t="str">
        <f ca="1">IFERROR(__xludf.DUMMYFUNCTION("""COMPUTED_VALUE"""),"J")</f>
        <v>J</v>
      </c>
      <c r="G475" s="80">
        <f ca="1">IFERROR(__xludf.DUMMYFUNCTION("""COMPUTED_VALUE"""),3)</f>
        <v>3</v>
      </c>
      <c r="H475" s="80" t="str">
        <f ca="1">IFERROR(__xludf.DUMMYFUNCTION("""COMPUTED_VALUE"""),"DR")</f>
        <v>DR</v>
      </c>
      <c r="I475" s="80">
        <f ca="1">IFERROR(__xludf.DUMMYFUNCTION("""COMPUTED_VALUE"""),2)</f>
        <v>2</v>
      </c>
      <c r="J475" s="81">
        <f ca="1">IFERROR(__xludf.DUMMYFUNCTION("""COMPUTED_VALUE"""),0)</f>
        <v>0</v>
      </c>
      <c r="K475" s="81">
        <f ca="1">IFERROR(__xludf.DUMMYFUNCTION("""COMPUTED_VALUE"""),0)</f>
        <v>0</v>
      </c>
      <c r="L475" s="81">
        <f ca="1">IFERROR(__xludf.DUMMYFUNCTION("""COMPUTED_VALUE"""),0)</f>
        <v>0</v>
      </c>
      <c r="M475" s="81"/>
      <c r="N475" s="81">
        <f ca="1">IFERROR(__xludf.DUMMYFUNCTION("""COMPUTED_VALUE"""),0)</f>
        <v>0</v>
      </c>
      <c r="O475" s="81"/>
      <c r="P475" s="81">
        <f ca="1">IFERROR(__xludf.DUMMYFUNCTION("""COMPUTED_VALUE"""),0)</f>
        <v>0</v>
      </c>
      <c r="Q475" s="81"/>
      <c r="R475" s="81">
        <f ca="1">IFERROR(__xludf.DUMMYFUNCTION("""COMPUTED_VALUE"""),0)</f>
        <v>0</v>
      </c>
      <c r="S475" s="81"/>
      <c r="T475" s="81"/>
      <c r="U475" s="82"/>
      <c r="V475" s="82"/>
      <c r="W475" s="83"/>
      <c r="X475" s="83"/>
      <c r="Y475" s="83"/>
    </row>
    <row r="476" spans="1:25" ht="13.8">
      <c r="A476" s="78" t="str">
        <f ca="1">IFERROR(__xludf.DUMMYFUNCTION("""COMPUTED_VALUE"""),"DR")</f>
        <v>DR</v>
      </c>
      <c r="B476" s="79" t="str">
        <f ca="1">IFERROR(__xludf.DUMMYFUNCTION("""COMPUTED_VALUE"""),"Finley McDonnell")</f>
        <v>Finley McDonnell</v>
      </c>
      <c r="C476" s="78">
        <f ca="1">IFERROR(__xludf.DUMMYFUNCTION("""COMPUTED_VALUE"""),7)</f>
        <v>7</v>
      </c>
      <c r="D476" s="78" t="str">
        <f ca="1">IFERROR(__xludf.DUMMYFUNCTION("""COMPUTED_VALUE"""),"G")</f>
        <v>G</v>
      </c>
      <c r="E476" s="80" t="str">
        <f ca="1">IFERROR(__xludf.DUMMYFUNCTION("""COMPUTED_VALUE"""),"F")</f>
        <v>F</v>
      </c>
      <c r="F476" s="80" t="str">
        <f ca="1">IFERROR(__xludf.DUMMYFUNCTION("""COMPUTED_VALUE"""),"J")</f>
        <v>J</v>
      </c>
      <c r="G476" s="80">
        <f ca="1">IFERROR(__xludf.DUMMYFUNCTION("""COMPUTED_VALUE"""),3)</f>
        <v>3</v>
      </c>
      <c r="H476" s="80" t="str">
        <f ca="1">IFERROR(__xludf.DUMMYFUNCTION("""COMPUTED_VALUE"""),"DR")</f>
        <v>DR</v>
      </c>
      <c r="I476" s="80">
        <f ca="1">IFERROR(__xludf.DUMMYFUNCTION("""COMPUTED_VALUE"""),2)</f>
        <v>2</v>
      </c>
      <c r="J476" s="81">
        <f ca="1">IFERROR(__xludf.DUMMYFUNCTION("""COMPUTED_VALUE"""),5)</f>
        <v>5</v>
      </c>
      <c r="K476" s="81">
        <f ca="1">IFERROR(__xludf.DUMMYFUNCTION("""COMPUTED_VALUE"""),55.95)</f>
        <v>55.95</v>
      </c>
      <c r="L476" s="81">
        <f ca="1">IFERROR(__xludf.DUMMYFUNCTION("""COMPUTED_VALUE"""),53.6)</f>
        <v>53.6</v>
      </c>
      <c r="M476" s="81"/>
      <c r="N476" s="81">
        <f ca="1">IFERROR(__xludf.DUMMYFUNCTION("""COMPUTED_VALUE"""),54.15)</f>
        <v>54.15</v>
      </c>
      <c r="O476" s="81"/>
      <c r="P476" s="81">
        <f ca="1">IFERROR(__xludf.DUMMYFUNCTION("""COMPUTED_VALUE"""),54.25)</f>
        <v>54.25</v>
      </c>
      <c r="Q476" s="81"/>
      <c r="R476" s="81">
        <f ca="1">IFERROR(__xludf.DUMMYFUNCTION("""COMPUTED_VALUE"""),55.95)</f>
        <v>55.95</v>
      </c>
      <c r="S476" s="81"/>
      <c r="T476" s="81"/>
      <c r="U476" s="82"/>
      <c r="V476" s="82"/>
      <c r="W476" s="83"/>
      <c r="X476" s="83"/>
      <c r="Y476" s="83"/>
    </row>
    <row r="477" spans="1:25" ht="13.8">
      <c r="A477" s="78" t="str">
        <f ca="1">IFERROR(__xludf.DUMMYFUNCTION("""COMPUTED_VALUE"""),"DR")</f>
        <v>DR</v>
      </c>
      <c r="B477" s="79" t="str">
        <f ca="1">IFERROR(__xludf.DUMMYFUNCTION("""COMPUTED_VALUE"""),"Taylor McDonnell")</f>
        <v>Taylor McDonnell</v>
      </c>
      <c r="C477" s="78">
        <f ca="1">IFERROR(__xludf.DUMMYFUNCTION("""COMPUTED_VALUE"""),10)</f>
        <v>10</v>
      </c>
      <c r="D477" s="78" t="str">
        <f ca="1">IFERROR(__xludf.DUMMYFUNCTION("""COMPUTED_VALUE"""),"G")</f>
        <v>G</v>
      </c>
      <c r="E477" s="80" t="str">
        <f ca="1">IFERROR(__xludf.DUMMYFUNCTION("""COMPUTED_VALUE"""),"F")</f>
        <v>F</v>
      </c>
      <c r="F477" s="80" t="str">
        <f ca="1">IFERROR(__xludf.DUMMYFUNCTION("""COMPUTED_VALUE"""),"J")</f>
        <v>J</v>
      </c>
      <c r="G477" s="80">
        <f ca="1">IFERROR(__xludf.DUMMYFUNCTION("""COMPUTED_VALUE"""),3)</f>
        <v>3</v>
      </c>
      <c r="H477" s="80" t="str">
        <f ca="1">IFERROR(__xludf.DUMMYFUNCTION("""COMPUTED_VALUE"""),"DR")</f>
        <v>DR</v>
      </c>
      <c r="I477" s="80">
        <f ca="1">IFERROR(__xludf.DUMMYFUNCTION("""COMPUTED_VALUE"""),2)</f>
        <v>2</v>
      </c>
      <c r="J477" s="81">
        <f ca="1">IFERROR(__xludf.DUMMYFUNCTION("""COMPUTED_VALUE"""),5)</f>
        <v>5</v>
      </c>
      <c r="K477" s="81">
        <f ca="1">IFERROR(__xludf.DUMMYFUNCTION("""COMPUTED_VALUE"""),76.95)</f>
        <v>76.95</v>
      </c>
      <c r="L477" s="81">
        <f ca="1">IFERROR(__xludf.DUMMYFUNCTION("""COMPUTED_VALUE"""),50.7)</f>
        <v>50.7</v>
      </c>
      <c r="M477" s="81"/>
      <c r="N477" s="81">
        <f ca="1">IFERROR(__xludf.DUMMYFUNCTION("""COMPUTED_VALUE"""),76.95)</f>
        <v>76.95</v>
      </c>
      <c r="O477" s="81"/>
      <c r="P477" s="81">
        <f ca="1">IFERROR(__xludf.DUMMYFUNCTION("""COMPUTED_VALUE"""),65.05)</f>
        <v>65.05</v>
      </c>
      <c r="Q477" s="81"/>
      <c r="R477" s="81">
        <f ca="1">IFERROR(__xludf.DUMMYFUNCTION("""COMPUTED_VALUE"""),69.8)</f>
        <v>69.8</v>
      </c>
      <c r="S477" s="81"/>
      <c r="T477" s="81"/>
      <c r="U477" s="82"/>
      <c r="V477" s="82"/>
      <c r="W477" s="83"/>
      <c r="X477" s="83"/>
      <c r="Y477" s="83"/>
    </row>
    <row r="478" spans="1:25" ht="13.8">
      <c r="A478" s="78" t="str">
        <f ca="1">IFERROR(__xludf.DUMMYFUNCTION("""COMPUTED_VALUE"""),"DR")</f>
        <v>DR</v>
      </c>
      <c r="B478" s="79" t="str">
        <f ca="1">IFERROR(__xludf.DUMMYFUNCTION("""COMPUTED_VALUE"""),"Hailey Mesack")</f>
        <v>Hailey Mesack</v>
      </c>
      <c r="C478" s="78">
        <f ca="1">IFERROR(__xludf.DUMMYFUNCTION("""COMPUTED_VALUE"""),9)</f>
        <v>9</v>
      </c>
      <c r="D478" s="78" t="str">
        <f ca="1">IFERROR(__xludf.DUMMYFUNCTION("""COMPUTED_VALUE"""),"G")</f>
        <v>G</v>
      </c>
      <c r="E478" s="80" t="str">
        <f ca="1">IFERROR(__xludf.DUMMYFUNCTION("""COMPUTED_VALUE"""),"F")</f>
        <v>F</v>
      </c>
      <c r="F478" s="80" t="str">
        <f ca="1">IFERROR(__xludf.DUMMYFUNCTION("""COMPUTED_VALUE"""),"J")</f>
        <v>J</v>
      </c>
      <c r="G478" s="80">
        <f ca="1">IFERROR(__xludf.DUMMYFUNCTION("""COMPUTED_VALUE"""),3)</f>
        <v>3</v>
      </c>
      <c r="H478" s="80" t="str">
        <f ca="1">IFERROR(__xludf.DUMMYFUNCTION("""COMPUTED_VALUE"""),"DR")</f>
        <v>DR</v>
      </c>
      <c r="I478" s="80">
        <f ca="1">IFERROR(__xludf.DUMMYFUNCTION("""COMPUTED_VALUE"""),2)</f>
        <v>2</v>
      </c>
      <c r="J478" s="81">
        <f ca="1">IFERROR(__xludf.DUMMYFUNCTION("""COMPUTED_VALUE"""),0)</f>
        <v>0</v>
      </c>
      <c r="K478" s="81">
        <f ca="1">IFERROR(__xludf.DUMMYFUNCTION("""COMPUTED_VALUE"""),0)</f>
        <v>0</v>
      </c>
      <c r="L478" s="81">
        <f ca="1">IFERROR(__xludf.DUMMYFUNCTION("""COMPUTED_VALUE"""),0)</f>
        <v>0</v>
      </c>
      <c r="M478" s="81"/>
      <c r="N478" s="81">
        <f ca="1">IFERROR(__xludf.DUMMYFUNCTION("""COMPUTED_VALUE"""),0)</f>
        <v>0</v>
      </c>
      <c r="O478" s="81"/>
      <c r="P478" s="81">
        <f ca="1">IFERROR(__xludf.DUMMYFUNCTION("""COMPUTED_VALUE"""),0)</f>
        <v>0</v>
      </c>
      <c r="Q478" s="81"/>
      <c r="R478" s="81">
        <f ca="1">IFERROR(__xludf.DUMMYFUNCTION("""COMPUTED_VALUE"""),0)</f>
        <v>0</v>
      </c>
      <c r="S478" s="81"/>
      <c r="T478" s="81"/>
      <c r="U478" s="82"/>
      <c r="V478" s="82"/>
      <c r="W478" s="83"/>
      <c r="X478" s="83"/>
      <c r="Y478" s="83"/>
    </row>
    <row r="479" spans="1:25" ht="13.8">
      <c r="A479" s="78" t="str">
        <f ca="1">IFERROR(__xludf.DUMMYFUNCTION("""COMPUTED_VALUE"""),"DR")</f>
        <v>DR</v>
      </c>
      <c r="B479" s="79" t="str">
        <f ca="1">IFERROR(__xludf.DUMMYFUNCTION("""COMPUTED_VALUE"""),"Margaret Nelson")</f>
        <v>Margaret Nelson</v>
      </c>
      <c r="C479" s="78">
        <f ca="1">IFERROR(__xludf.DUMMYFUNCTION("""COMPUTED_VALUE"""),10)</f>
        <v>10</v>
      </c>
      <c r="D479" s="78" t="str">
        <f ca="1">IFERROR(__xludf.DUMMYFUNCTION("""COMPUTED_VALUE"""),"G")</f>
        <v>G</v>
      </c>
      <c r="E479" s="80" t="str">
        <f ca="1">IFERROR(__xludf.DUMMYFUNCTION("""COMPUTED_VALUE"""),"F")</f>
        <v>F</v>
      </c>
      <c r="F479" s="80" t="str">
        <f ca="1">IFERROR(__xludf.DUMMYFUNCTION("""COMPUTED_VALUE"""),"J")</f>
        <v>J</v>
      </c>
      <c r="G479" s="80">
        <f ca="1">IFERROR(__xludf.DUMMYFUNCTION("""COMPUTED_VALUE"""),3)</f>
        <v>3</v>
      </c>
      <c r="H479" s="80" t="str">
        <f ca="1">IFERROR(__xludf.DUMMYFUNCTION("""COMPUTED_VALUE"""),"DR")</f>
        <v>DR</v>
      </c>
      <c r="I479" s="80">
        <f ca="1">IFERROR(__xludf.DUMMYFUNCTION("""COMPUTED_VALUE"""),2)</f>
        <v>2</v>
      </c>
      <c r="J479" s="81">
        <f ca="1">IFERROR(__xludf.DUMMYFUNCTION("""COMPUTED_VALUE"""),3)</f>
        <v>3</v>
      </c>
      <c r="K479" s="81">
        <f ca="1">IFERROR(__xludf.DUMMYFUNCTION("""COMPUTED_VALUE"""),61.75)</f>
        <v>61.75</v>
      </c>
      <c r="L479" s="81">
        <f ca="1">IFERROR(__xludf.DUMMYFUNCTION("""COMPUTED_VALUE"""),36.4)</f>
        <v>36.4</v>
      </c>
      <c r="M479" s="81"/>
      <c r="N479" s="81">
        <f ca="1">IFERROR(__xludf.DUMMYFUNCTION("""COMPUTED_VALUE"""),61.75)</f>
        <v>61.75</v>
      </c>
      <c r="O479" s="81"/>
      <c r="P479" s="81">
        <f ca="1">IFERROR(__xludf.DUMMYFUNCTION("""COMPUTED_VALUE"""),47.1)</f>
        <v>47.1</v>
      </c>
      <c r="Q479" s="81"/>
      <c r="R479" s="81">
        <f ca="1">IFERROR(__xludf.DUMMYFUNCTION("""COMPUTED_VALUE"""),0)</f>
        <v>0</v>
      </c>
      <c r="S479" s="81"/>
      <c r="T479" s="81"/>
      <c r="U479" s="82"/>
      <c r="V479" s="82"/>
      <c r="W479" s="83"/>
      <c r="X479" s="83"/>
      <c r="Y479" s="83"/>
    </row>
    <row r="480" spans="1:25" ht="13.8">
      <c r="A480" s="78" t="str">
        <f ca="1">IFERROR(__xludf.DUMMYFUNCTION("""COMPUTED_VALUE"""),"DR")</f>
        <v>DR</v>
      </c>
      <c r="B480" s="79" t="str">
        <f ca="1">IFERROR(__xludf.DUMMYFUNCTION("""COMPUTED_VALUE"""),"Elaine Stafford")</f>
        <v>Elaine Stafford</v>
      </c>
      <c r="C480" s="78">
        <f ca="1">IFERROR(__xludf.DUMMYFUNCTION("""COMPUTED_VALUE"""),9)</f>
        <v>9</v>
      </c>
      <c r="D480" s="78" t="str">
        <f ca="1">IFERROR(__xludf.DUMMYFUNCTION("""COMPUTED_VALUE"""),"G")</f>
        <v>G</v>
      </c>
      <c r="E480" s="80" t="str">
        <f ca="1">IFERROR(__xludf.DUMMYFUNCTION("""COMPUTED_VALUE"""),"F")</f>
        <v>F</v>
      </c>
      <c r="F480" s="80" t="str">
        <f ca="1">IFERROR(__xludf.DUMMYFUNCTION("""COMPUTED_VALUE"""),"J")</f>
        <v>J</v>
      </c>
      <c r="G480" s="80">
        <f ca="1">IFERROR(__xludf.DUMMYFUNCTION("""COMPUTED_VALUE"""),3)</f>
        <v>3</v>
      </c>
      <c r="H480" s="80" t="str">
        <f ca="1">IFERROR(__xludf.DUMMYFUNCTION("""COMPUTED_VALUE"""),"DR")</f>
        <v>DR</v>
      </c>
      <c r="I480" s="80">
        <f ca="1">IFERROR(__xludf.DUMMYFUNCTION("""COMPUTED_VALUE"""),2)</f>
        <v>2</v>
      </c>
      <c r="J480" s="81">
        <f ca="1">IFERROR(__xludf.DUMMYFUNCTION("""COMPUTED_VALUE"""),0)</f>
        <v>0</v>
      </c>
      <c r="K480" s="81">
        <f ca="1">IFERROR(__xludf.DUMMYFUNCTION("""COMPUTED_VALUE"""),0)</f>
        <v>0</v>
      </c>
      <c r="L480" s="81">
        <f ca="1">IFERROR(__xludf.DUMMYFUNCTION("""COMPUTED_VALUE"""),0)</f>
        <v>0</v>
      </c>
      <c r="M480" s="81"/>
      <c r="N480" s="81">
        <f ca="1">IFERROR(__xludf.DUMMYFUNCTION("""COMPUTED_VALUE"""),0)</f>
        <v>0</v>
      </c>
      <c r="O480" s="81"/>
      <c r="P480" s="81">
        <f ca="1">IFERROR(__xludf.DUMMYFUNCTION("""COMPUTED_VALUE"""),0)</f>
        <v>0</v>
      </c>
      <c r="Q480" s="81"/>
      <c r="R480" s="81">
        <f ca="1">IFERROR(__xludf.DUMMYFUNCTION("""COMPUTED_VALUE"""),0)</f>
        <v>0</v>
      </c>
      <c r="S480" s="81"/>
      <c r="T480" s="81"/>
      <c r="U480" s="82"/>
      <c r="V480" s="82"/>
      <c r="W480" s="83"/>
      <c r="X480" s="83"/>
      <c r="Y480" s="83"/>
    </row>
    <row r="481" spans="1:25" ht="13.8">
      <c r="A481" s="78" t="str">
        <f ca="1">IFERROR(__xludf.DUMMYFUNCTION("""COMPUTED_VALUE"""),"DR")</f>
        <v>DR</v>
      </c>
      <c r="B481" s="79" t="str">
        <f ca="1">IFERROR(__xludf.DUMMYFUNCTION("""COMPUTED_VALUE"""),"Ivy Thompson")</f>
        <v>Ivy Thompson</v>
      </c>
      <c r="C481" s="78">
        <f ca="1">IFERROR(__xludf.DUMMYFUNCTION("""COMPUTED_VALUE"""),8)</f>
        <v>8</v>
      </c>
      <c r="D481" s="78" t="str">
        <f ca="1">IFERROR(__xludf.DUMMYFUNCTION("""COMPUTED_VALUE"""),"G")</f>
        <v>G</v>
      </c>
      <c r="E481" s="80" t="str">
        <f ca="1">IFERROR(__xludf.DUMMYFUNCTION("""COMPUTED_VALUE"""),"F")</f>
        <v>F</v>
      </c>
      <c r="F481" s="80" t="str">
        <f ca="1">IFERROR(__xludf.DUMMYFUNCTION("""COMPUTED_VALUE"""),"J")</f>
        <v>J</v>
      </c>
      <c r="G481" s="80">
        <f ca="1">IFERROR(__xludf.DUMMYFUNCTION("""COMPUTED_VALUE"""),3)</f>
        <v>3</v>
      </c>
      <c r="H481" s="80" t="str">
        <f ca="1">IFERROR(__xludf.DUMMYFUNCTION("""COMPUTED_VALUE"""),"DR")</f>
        <v>DR</v>
      </c>
      <c r="I481" s="80">
        <f ca="1">IFERROR(__xludf.DUMMYFUNCTION("""COMPUTED_VALUE"""),2)</f>
        <v>2</v>
      </c>
      <c r="J481" s="81">
        <f ca="1">IFERROR(__xludf.DUMMYFUNCTION("""COMPUTED_VALUE"""),0)</f>
        <v>0</v>
      </c>
      <c r="K481" s="81">
        <f ca="1">IFERROR(__xludf.DUMMYFUNCTION("""COMPUTED_VALUE"""),0)</f>
        <v>0</v>
      </c>
      <c r="L481" s="81">
        <f ca="1">IFERROR(__xludf.DUMMYFUNCTION("""COMPUTED_VALUE"""),0)</f>
        <v>0</v>
      </c>
      <c r="M481" s="81"/>
      <c r="N481" s="81">
        <f ca="1">IFERROR(__xludf.DUMMYFUNCTION("""COMPUTED_VALUE"""),0)</f>
        <v>0</v>
      </c>
      <c r="O481" s="81"/>
      <c r="P481" s="81">
        <f ca="1">IFERROR(__xludf.DUMMYFUNCTION("""COMPUTED_VALUE"""),0)</f>
        <v>0</v>
      </c>
      <c r="Q481" s="81"/>
      <c r="R481" s="81">
        <f ca="1">IFERROR(__xludf.DUMMYFUNCTION("""COMPUTED_VALUE"""),0)</f>
        <v>0</v>
      </c>
      <c r="S481" s="81"/>
      <c r="T481" s="81"/>
      <c r="U481" s="82"/>
      <c r="V481" s="82"/>
      <c r="W481" s="83"/>
      <c r="X481" s="83"/>
      <c r="Y481" s="83"/>
    </row>
    <row r="482" spans="1:25" ht="13.8">
      <c r="A482" s="78" t="str">
        <f ca="1">IFERROR(__xludf.DUMMYFUNCTION("""COMPUTED_VALUE"""),"DR")</f>
        <v>DR</v>
      </c>
      <c r="B482" s="79" t="str">
        <f ca="1">IFERROR(__xludf.DUMMYFUNCTION("""COMPUTED_VALUE"""),"Emma Traille")</f>
        <v>Emma Traille</v>
      </c>
      <c r="C482" s="78">
        <f ca="1">IFERROR(__xludf.DUMMYFUNCTION("""COMPUTED_VALUE"""),10)</f>
        <v>10</v>
      </c>
      <c r="D482" s="78" t="str">
        <f ca="1">IFERROR(__xludf.DUMMYFUNCTION("""COMPUTED_VALUE"""),"G")</f>
        <v>G</v>
      </c>
      <c r="E482" s="80" t="str">
        <f ca="1">IFERROR(__xludf.DUMMYFUNCTION("""COMPUTED_VALUE"""),"F")</f>
        <v>F</v>
      </c>
      <c r="F482" s="80" t="str">
        <f ca="1">IFERROR(__xludf.DUMMYFUNCTION("""COMPUTED_VALUE"""),"J")</f>
        <v>J</v>
      </c>
      <c r="G482" s="80">
        <f ca="1">IFERROR(__xludf.DUMMYFUNCTION("""COMPUTED_VALUE"""),3)</f>
        <v>3</v>
      </c>
      <c r="H482" s="80" t="str">
        <f ca="1">IFERROR(__xludf.DUMMYFUNCTION("""COMPUTED_VALUE"""),"DR")</f>
        <v>DR</v>
      </c>
      <c r="I482" s="80">
        <f ca="1">IFERROR(__xludf.DUMMYFUNCTION("""COMPUTED_VALUE"""),2)</f>
        <v>2</v>
      </c>
      <c r="J482" s="81">
        <f ca="1">IFERROR(__xludf.DUMMYFUNCTION("""COMPUTED_VALUE"""),0)</f>
        <v>0</v>
      </c>
      <c r="K482" s="81">
        <f ca="1">IFERROR(__xludf.DUMMYFUNCTION("""COMPUTED_VALUE"""),0)</f>
        <v>0</v>
      </c>
      <c r="L482" s="81">
        <f ca="1">IFERROR(__xludf.DUMMYFUNCTION("""COMPUTED_VALUE"""),0)</f>
        <v>0</v>
      </c>
      <c r="M482" s="81"/>
      <c r="N482" s="81">
        <f ca="1">IFERROR(__xludf.DUMMYFUNCTION("""COMPUTED_VALUE"""),0)</f>
        <v>0</v>
      </c>
      <c r="O482" s="81"/>
      <c r="P482" s="81">
        <f ca="1">IFERROR(__xludf.DUMMYFUNCTION("""COMPUTED_VALUE"""),0)</f>
        <v>0</v>
      </c>
      <c r="Q482" s="81"/>
      <c r="R482" s="81">
        <f ca="1">IFERROR(__xludf.DUMMYFUNCTION("""COMPUTED_VALUE"""),0)</f>
        <v>0</v>
      </c>
      <c r="S482" s="81"/>
      <c r="T482" s="81"/>
      <c r="U482" s="82"/>
      <c r="V482" s="82"/>
      <c r="W482" s="83"/>
      <c r="X482" s="83"/>
      <c r="Y482" s="83"/>
    </row>
    <row r="483" spans="1:25" ht="13.8">
      <c r="A483" s="78" t="str">
        <f ca="1">IFERROR(__xludf.DUMMYFUNCTION("""COMPUTED_VALUE"""),"DR")</f>
        <v>DR</v>
      </c>
      <c r="B483" s="79" t="str">
        <f ca="1">IFERROR(__xludf.DUMMYFUNCTION("""COMPUTED_VALUE"""),"Everly Utz")</f>
        <v>Everly Utz</v>
      </c>
      <c r="C483" s="78">
        <f ca="1">IFERROR(__xludf.DUMMYFUNCTION("""COMPUTED_VALUE"""),9)</f>
        <v>9</v>
      </c>
      <c r="D483" s="78" t="str">
        <f ca="1">IFERROR(__xludf.DUMMYFUNCTION("""COMPUTED_VALUE"""),"G")</f>
        <v>G</v>
      </c>
      <c r="E483" s="80" t="str">
        <f ca="1">IFERROR(__xludf.DUMMYFUNCTION("""COMPUTED_VALUE"""),"F")</f>
        <v>F</v>
      </c>
      <c r="F483" s="80" t="str">
        <f ca="1">IFERROR(__xludf.DUMMYFUNCTION("""COMPUTED_VALUE"""),"J")</f>
        <v>J</v>
      </c>
      <c r="G483" s="80">
        <f ca="1">IFERROR(__xludf.DUMMYFUNCTION("""COMPUTED_VALUE"""),3)</f>
        <v>3</v>
      </c>
      <c r="H483" s="80" t="str">
        <f ca="1">IFERROR(__xludf.DUMMYFUNCTION("""COMPUTED_VALUE"""),"DR")</f>
        <v>DR</v>
      </c>
      <c r="I483" s="80">
        <f ca="1">IFERROR(__xludf.DUMMYFUNCTION("""COMPUTED_VALUE"""),2)</f>
        <v>2</v>
      </c>
      <c r="J483" s="81">
        <f ca="1">IFERROR(__xludf.DUMMYFUNCTION("""COMPUTED_VALUE"""),0)</f>
        <v>0</v>
      </c>
      <c r="K483" s="81">
        <f ca="1">IFERROR(__xludf.DUMMYFUNCTION("""COMPUTED_VALUE"""),0)</f>
        <v>0</v>
      </c>
      <c r="L483" s="81">
        <f ca="1">IFERROR(__xludf.DUMMYFUNCTION("""COMPUTED_VALUE"""),0)</f>
        <v>0</v>
      </c>
      <c r="M483" s="81"/>
      <c r="N483" s="81">
        <f ca="1">IFERROR(__xludf.DUMMYFUNCTION("""COMPUTED_VALUE"""),0)</f>
        <v>0</v>
      </c>
      <c r="O483" s="81"/>
      <c r="P483" s="81">
        <f ca="1">IFERROR(__xludf.DUMMYFUNCTION("""COMPUTED_VALUE"""),0)</f>
        <v>0</v>
      </c>
      <c r="Q483" s="81"/>
      <c r="R483" s="81">
        <f ca="1">IFERROR(__xludf.DUMMYFUNCTION("""COMPUTED_VALUE"""),0)</f>
        <v>0</v>
      </c>
      <c r="S483" s="81"/>
      <c r="T483" s="81"/>
      <c r="U483" s="82"/>
      <c r="V483" s="82"/>
      <c r="W483" s="83"/>
      <c r="X483" s="83"/>
      <c r="Y483" s="83"/>
    </row>
    <row r="484" spans="1:25" ht="13.8">
      <c r="A484" s="78" t="str">
        <f ca="1">IFERROR(__xludf.DUMMYFUNCTION("""COMPUTED_VALUE"""),"DR")</f>
        <v>DR</v>
      </c>
      <c r="B484" s="79" t="str">
        <f ca="1">IFERROR(__xludf.DUMMYFUNCTION("""COMPUTED_VALUE"""),"Grayson Wishneff")</f>
        <v>Grayson Wishneff</v>
      </c>
      <c r="C484" s="78">
        <f ca="1">IFERROR(__xludf.DUMMYFUNCTION("""COMPUTED_VALUE"""),9)</f>
        <v>9</v>
      </c>
      <c r="D484" s="78" t="str">
        <f ca="1">IFERROR(__xludf.DUMMYFUNCTION("""COMPUTED_VALUE"""),"G")</f>
        <v>G</v>
      </c>
      <c r="E484" s="80" t="str">
        <f ca="1">IFERROR(__xludf.DUMMYFUNCTION("""COMPUTED_VALUE"""),"F")</f>
        <v>F</v>
      </c>
      <c r="F484" s="80" t="str">
        <f ca="1">IFERROR(__xludf.DUMMYFUNCTION("""COMPUTED_VALUE"""),"J")</f>
        <v>J</v>
      </c>
      <c r="G484" s="80">
        <f ca="1">IFERROR(__xludf.DUMMYFUNCTION("""COMPUTED_VALUE"""),3)</f>
        <v>3</v>
      </c>
      <c r="H484" s="80" t="str">
        <f ca="1">IFERROR(__xludf.DUMMYFUNCTION("""COMPUTED_VALUE"""),"DR")</f>
        <v>DR</v>
      </c>
      <c r="I484" s="80">
        <f ca="1">IFERROR(__xludf.DUMMYFUNCTION("""COMPUTED_VALUE"""),2)</f>
        <v>2</v>
      </c>
      <c r="J484" s="81">
        <f ca="1">IFERROR(__xludf.DUMMYFUNCTION("""COMPUTED_VALUE"""),3)</f>
        <v>3</v>
      </c>
      <c r="K484" s="81">
        <f ca="1">IFERROR(__xludf.DUMMYFUNCTION("""COMPUTED_VALUE"""),38.65)</f>
        <v>38.65</v>
      </c>
      <c r="L484" s="81">
        <f ca="1">IFERROR(__xludf.DUMMYFUNCTION("""COMPUTED_VALUE"""),28.2)</f>
        <v>28.2</v>
      </c>
      <c r="M484" s="81"/>
      <c r="N484" s="81">
        <f ca="1">IFERROR(__xludf.DUMMYFUNCTION("""COMPUTED_VALUE"""),38.65)</f>
        <v>38.65</v>
      </c>
      <c r="O484" s="81"/>
      <c r="P484" s="81">
        <f ca="1">IFERROR(__xludf.DUMMYFUNCTION("""COMPUTED_VALUE"""),0)</f>
        <v>0</v>
      </c>
      <c r="Q484" s="81"/>
      <c r="R484" s="81">
        <f ca="1">IFERROR(__xludf.DUMMYFUNCTION("""COMPUTED_VALUE"""),0)</f>
        <v>0</v>
      </c>
      <c r="S484" s="81"/>
      <c r="T484" s="81"/>
      <c r="U484" s="82"/>
      <c r="V484" s="82"/>
      <c r="W484" s="83"/>
      <c r="X484" s="83"/>
      <c r="Y484" s="83"/>
    </row>
    <row r="485" spans="1:25" ht="13.8">
      <c r="A485" s="78" t="str">
        <f ca="1">IFERROR(__xludf.DUMMYFUNCTION("""COMPUTED_VALUE"""),"DR")</f>
        <v>DR</v>
      </c>
      <c r="B485" s="79" t="str">
        <f ca="1">IFERROR(__xludf.DUMMYFUNCTION("""COMPUTED_VALUE"""),"Fenner Abbey")</f>
        <v>Fenner Abbey</v>
      </c>
      <c r="C485" s="78">
        <f ca="1">IFERROR(__xludf.DUMMYFUNCTION("""COMPUTED_VALUE"""),10)</f>
        <v>10</v>
      </c>
      <c r="D485" s="78" t="str">
        <f ca="1">IFERROR(__xludf.DUMMYFUNCTION("""COMPUTED_VALUE"""),"B")</f>
        <v>B</v>
      </c>
      <c r="E485" s="80" t="str">
        <f ca="1">IFERROR(__xludf.DUMMYFUNCTION("""COMPUTED_VALUE"""),"F")</f>
        <v>F</v>
      </c>
      <c r="F485" s="80" t="str">
        <f ca="1">IFERROR(__xludf.DUMMYFUNCTION("""COMPUTED_VALUE"""),"J")</f>
        <v>J</v>
      </c>
      <c r="G485" s="80">
        <f ca="1">IFERROR(__xludf.DUMMYFUNCTION("""COMPUTED_VALUE"""),3)</f>
        <v>3</v>
      </c>
      <c r="H485" s="80" t="str">
        <f ca="1">IFERROR(__xludf.DUMMYFUNCTION("""COMPUTED_VALUE"""),"DR")</f>
        <v>DR</v>
      </c>
      <c r="I485" s="80">
        <f ca="1">IFERROR(__xludf.DUMMYFUNCTION("""COMPUTED_VALUE"""),3)</f>
        <v>3</v>
      </c>
      <c r="J485" s="81">
        <f ca="1">IFERROR(__xludf.DUMMYFUNCTION("""COMPUTED_VALUE"""),4)</f>
        <v>4</v>
      </c>
      <c r="K485" s="81">
        <f ca="1">IFERROR(__xludf.DUMMYFUNCTION("""COMPUTED_VALUE"""),56.85)</f>
        <v>56.85</v>
      </c>
      <c r="L485" s="81">
        <f ca="1">IFERROR(__xludf.DUMMYFUNCTION("""COMPUTED_VALUE"""),0)</f>
        <v>0</v>
      </c>
      <c r="M485" s="81"/>
      <c r="N485" s="81">
        <f ca="1">IFERROR(__xludf.DUMMYFUNCTION("""COMPUTED_VALUE"""),56.85)</f>
        <v>56.85</v>
      </c>
      <c r="O485" s="81"/>
      <c r="P485" s="81">
        <f ca="1">IFERROR(__xludf.DUMMYFUNCTION("""COMPUTED_VALUE"""),41.85)</f>
        <v>41.85</v>
      </c>
      <c r="Q485" s="81"/>
      <c r="R485" s="81">
        <f ca="1">IFERROR(__xludf.DUMMYFUNCTION("""COMPUTED_VALUE"""),55)</f>
        <v>55</v>
      </c>
      <c r="S485" s="81"/>
      <c r="T485" s="81"/>
      <c r="U485" s="82"/>
      <c r="V485" s="82"/>
      <c r="W485" s="83"/>
      <c r="X485" s="83"/>
      <c r="Y485" s="83"/>
    </row>
    <row r="486" spans="1:25" ht="13.8">
      <c r="A486" s="78" t="str">
        <f ca="1">IFERROR(__xludf.DUMMYFUNCTION("""COMPUTED_VALUE"""),"DR")</f>
        <v>DR</v>
      </c>
      <c r="B486" s="79" t="str">
        <f ca="1">IFERROR(__xludf.DUMMYFUNCTION("""COMPUTED_VALUE"""),"Henry Abouchar")</f>
        <v>Henry Abouchar</v>
      </c>
      <c r="C486" s="78">
        <f ca="1">IFERROR(__xludf.DUMMYFUNCTION("""COMPUTED_VALUE"""),9)</f>
        <v>9</v>
      </c>
      <c r="D486" s="78" t="str">
        <f ca="1">IFERROR(__xludf.DUMMYFUNCTION("""COMPUTED_VALUE"""),"B")</f>
        <v>B</v>
      </c>
      <c r="E486" s="80" t="str">
        <f ca="1">IFERROR(__xludf.DUMMYFUNCTION("""COMPUTED_VALUE"""),"F")</f>
        <v>F</v>
      </c>
      <c r="F486" s="80" t="str">
        <f ca="1">IFERROR(__xludf.DUMMYFUNCTION("""COMPUTED_VALUE"""),"J")</f>
        <v>J</v>
      </c>
      <c r="G486" s="80">
        <f ca="1">IFERROR(__xludf.DUMMYFUNCTION("""COMPUTED_VALUE"""),3)</f>
        <v>3</v>
      </c>
      <c r="H486" s="80" t="str">
        <f ca="1">IFERROR(__xludf.DUMMYFUNCTION("""COMPUTED_VALUE"""),"DR")</f>
        <v>DR</v>
      </c>
      <c r="I486" s="80">
        <f ca="1">IFERROR(__xludf.DUMMYFUNCTION("""COMPUTED_VALUE"""),3)</f>
        <v>3</v>
      </c>
      <c r="J486" s="81">
        <f ca="1">IFERROR(__xludf.DUMMYFUNCTION("""COMPUTED_VALUE"""),2)</f>
        <v>2</v>
      </c>
      <c r="K486" s="81">
        <f ca="1">IFERROR(__xludf.DUMMYFUNCTION("""COMPUTED_VALUE"""),38.1)</f>
        <v>38.1</v>
      </c>
      <c r="L486" s="81">
        <f ca="1">IFERROR(__xludf.DUMMYFUNCTION("""COMPUTED_VALUE"""),0)</f>
        <v>0</v>
      </c>
      <c r="M486" s="81"/>
      <c r="N486" s="81">
        <f ca="1">IFERROR(__xludf.DUMMYFUNCTION("""COMPUTED_VALUE"""),0)</f>
        <v>0</v>
      </c>
      <c r="O486" s="81"/>
      <c r="P486" s="81">
        <f ca="1">IFERROR(__xludf.DUMMYFUNCTION("""COMPUTED_VALUE"""),0)</f>
        <v>0</v>
      </c>
      <c r="Q486" s="81"/>
      <c r="R486" s="81">
        <f ca="1">IFERROR(__xludf.DUMMYFUNCTION("""COMPUTED_VALUE"""),38.1)</f>
        <v>38.1</v>
      </c>
      <c r="S486" s="81"/>
      <c r="T486" s="81"/>
      <c r="U486" s="82"/>
      <c r="V486" s="82"/>
      <c r="W486" s="83"/>
      <c r="X486" s="83"/>
      <c r="Y486" s="83"/>
    </row>
    <row r="487" spans="1:25" ht="13.8">
      <c r="A487" s="78" t="str">
        <f ca="1">IFERROR(__xludf.DUMMYFUNCTION("""COMPUTED_VALUE"""),"DR")</f>
        <v>DR</v>
      </c>
      <c r="B487" s="79" t="str">
        <f ca="1">IFERROR(__xludf.DUMMYFUNCTION("""COMPUTED_VALUE"""),"Philip Bastow")</f>
        <v>Philip Bastow</v>
      </c>
      <c r="C487" s="78">
        <f ca="1">IFERROR(__xludf.DUMMYFUNCTION("""COMPUTED_VALUE"""),8)</f>
        <v>8</v>
      </c>
      <c r="D487" s="78" t="str">
        <f ca="1">IFERROR(__xludf.DUMMYFUNCTION("""COMPUTED_VALUE"""),"B")</f>
        <v>B</v>
      </c>
      <c r="E487" s="80" t="str">
        <f ca="1">IFERROR(__xludf.DUMMYFUNCTION("""COMPUTED_VALUE"""),"F")</f>
        <v>F</v>
      </c>
      <c r="F487" s="80" t="str">
        <f ca="1">IFERROR(__xludf.DUMMYFUNCTION("""COMPUTED_VALUE"""),"J")</f>
        <v>J</v>
      </c>
      <c r="G487" s="80">
        <f ca="1">IFERROR(__xludf.DUMMYFUNCTION("""COMPUTED_VALUE"""),3)</f>
        <v>3</v>
      </c>
      <c r="H487" s="80" t="str">
        <f ca="1">IFERROR(__xludf.DUMMYFUNCTION("""COMPUTED_VALUE"""),"DR")</f>
        <v>DR</v>
      </c>
      <c r="I487" s="80">
        <f ca="1">IFERROR(__xludf.DUMMYFUNCTION("""COMPUTED_VALUE"""),3)</f>
        <v>3</v>
      </c>
      <c r="J487" s="81">
        <f ca="1">IFERROR(__xludf.DUMMYFUNCTION("""COMPUTED_VALUE"""),5)</f>
        <v>5</v>
      </c>
      <c r="K487" s="81">
        <f ca="1">IFERROR(__xludf.DUMMYFUNCTION("""COMPUTED_VALUE"""),52.35)</f>
        <v>52.35</v>
      </c>
      <c r="L487" s="81">
        <f ca="1">IFERROR(__xludf.DUMMYFUNCTION("""COMPUTED_VALUE"""),32.4)</f>
        <v>32.4</v>
      </c>
      <c r="M487" s="81"/>
      <c r="N487" s="81">
        <f ca="1">IFERROR(__xludf.DUMMYFUNCTION("""COMPUTED_VALUE"""),52.35)</f>
        <v>52.35</v>
      </c>
      <c r="O487" s="81"/>
      <c r="P487" s="81">
        <f ca="1">IFERROR(__xludf.DUMMYFUNCTION("""COMPUTED_VALUE"""),37.95)</f>
        <v>37.950000000000003</v>
      </c>
      <c r="Q487" s="81"/>
      <c r="R487" s="81">
        <f ca="1">IFERROR(__xludf.DUMMYFUNCTION("""COMPUTED_VALUE"""),43.3)</f>
        <v>43.3</v>
      </c>
      <c r="S487" s="81"/>
      <c r="T487" s="81"/>
      <c r="U487" s="82"/>
      <c r="V487" s="82"/>
      <c r="W487" s="83"/>
      <c r="X487" s="83"/>
      <c r="Y487" s="83"/>
    </row>
    <row r="488" spans="1:25" ht="13.8">
      <c r="A488" s="78" t="str">
        <f ca="1">IFERROR(__xludf.DUMMYFUNCTION("""COMPUTED_VALUE"""),"DR")</f>
        <v>DR</v>
      </c>
      <c r="B488" s="79" t="str">
        <f ca="1">IFERROR(__xludf.DUMMYFUNCTION("""COMPUTED_VALUE"""),"Liam Carr")</f>
        <v>Liam Carr</v>
      </c>
      <c r="C488" s="78">
        <f ca="1">IFERROR(__xludf.DUMMYFUNCTION("""COMPUTED_VALUE"""),9)</f>
        <v>9</v>
      </c>
      <c r="D488" s="78" t="str">
        <f ca="1">IFERROR(__xludf.DUMMYFUNCTION("""COMPUTED_VALUE"""),"B")</f>
        <v>B</v>
      </c>
      <c r="E488" s="80" t="str">
        <f ca="1">IFERROR(__xludf.DUMMYFUNCTION("""COMPUTED_VALUE"""),"F")</f>
        <v>F</v>
      </c>
      <c r="F488" s="80" t="str">
        <f ca="1">IFERROR(__xludf.DUMMYFUNCTION("""COMPUTED_VALUE"""),"J")</f>
        <v>J</v>
      </c>
      <c r="G488" s="80">
        <f ca="1">IFERROR(__xludf.DUMMYFUNCTION("""COMPUTED_VALUE"""),3)</f>
        <v>3</v>
      </c>
      <c r="H488" s="80" t="str">
        <f ca="1">IFERROR(__xludf.DUMMYFUNCTION("""COMPUTED_VALUE"""),"DR")</f>
        <v>DR</v>
      </c>
      <c r="I488" s="80">
        <f ca="1">IFERROR(__xludf.DUMMYFUNCTION("""COMPUTED_VALUE"""),3)</f>
        <v>3</v>
      </c>
      <c r="J488" s="81">
        <f ca="1">IFERROR(__xludf.DUMMYFUNCTION("""COMPUTED_VALUE"""),0)</f>
        <v>0</v>
      </c>
      <c r="K488" s="81">
        <f ca="1">IFERROR(__xludf.DUMMYFUNCTION("""COMPUTED_VALUE"""),0)</f>
        <v>0</v>
      </c>
      <c r="L488" s="81">
        <f ca="1">IFERROR(__xludf.DUMMYFUNCTION("""COMPUTED_VALUE"""),0)</f>
        <v>0</v>
      </c>
      <c r="M488" s="81"/>
      <c r="N488" s="81">
        <f ca="1">IFERROR(__xludf.DUMMYFUNCTION("""COMPUTED_VALUE"""),0)</f>
        <v>0</v>
      </c>
      <c r="O488" s="81"/>
      <c r="P488" s="81">
        <f ca="1">IFERROR(__xludf.DUMMYFUNCTION("""COMPUTED_VALUE"""),0)</f>
        <v>0</v>
      </c>
      <c r="Q488" s="81"/>
      <c r="R488" s="81">
        <f ca="1">IFERROR(__xludf.DUMMYFUNCTION("""COMPUTED_VALUE"""),0)</f>
        <v>0</v>
      </c>
      <c r="S488" s="81"/>
      <c r="T488" s="81"/>
      <c r="U488" s="82"/>
      <c r="V488" s="82"/>
      <c r="W488" s="83"/>
      <c r="X488" s="83"/>
      <c r="Y488" s="83"/>
    </row>
    <row r="489" spans="1:25" ht="13.8">
      <c r="A489" s="78" t="str">
        <f ca="1">IFERROR(__xludf.DUMMYFUNCTION("""COMPUTED_VALUE"""),"DR")</f>
        <v>DR</v>
      </c>
      <c r="B489" s="79" t="str">
        <f ca="1">IFERROR(__xludf.DUMMYFUNCTION("""COMPUTED_VALUE"""),"Sebastian Colvin")</f>
        <v>Sebastian Colvin</v>
      </c>
      <c r="C489" s="78">
        <f ca="1">IFERROR(__xludf.DUMMYFUNCTION("""COMPUTED_VALUE"""),10)</f>
        <v>10</v>
      </c>
      <c r="D489" s="78" t="str">
        <f ca="1">IFERROR(__xludf.DUMMYFUNCTION("""COMPUTED_VALUE"""),"B")</f>
        <v>B</v>
      </c>
      <c r="E489" s="80" t="str">
        <f ca="1">IFERROR(__xludf.DUMMYFUNCTION("""COMPUTED_VALUE"""),"F")</f>
        <v>F</v>
      </c>
      <c r="F489" s="80" t="str">
        <f ca="1">IFERROR(__xludf.DUMMYFUNCTION("""COMPUTED_VALUE"""),"J")</f>
        <v>J</v>
      </c>
      <c r="G489" s="80">
        <f ca="1">IFERROR(__xludf.DUMMYFUNCTION("""COMPUTED_VALUE"""),3)</f>
        <v>3</v>
      </c>
      <c r="H489" s="80" t="str">
        <f ca="1">IFERROR(__xludf.DUMMYFUNCTION("""COMPUTED_VALUE"""),"DR")</f>
        <v>DR</v>
      </c>
      <c r="I489" s="80">
        <f ca="1">IFERROR(__xludf.DUMMYFUNCTION("""COMPUTED_VALUE"""),3)</f>
        <v>3</v>
      </c>
      <c r="J489" s="81">
        <f ca="1">IFERROR(__xludf.DUMMYFUNCTION("""COMPUTED_VALUE"""),0)</f>
        <v>0</v>
      </c>
      <c r="K489" s="81">
        <f ca="1">IFERROR(__xludf.DUMMYFUNCTION("""COMPUTED_VALUE"""),0)</f>
        <v>0</v>
      </c>
      <c r="L489" s="81">
        <f ca="1">IFERROR(__xludf.DUMMYFUNCTION("""COMPUTED_VALUE"""),0)</f>
        <v>0</v>
      </c>
      <c r="M489" s="81"/>
      <c r="N489" s="81">
        <f ca="1">IFERROR(__xludf.DUMMYFUNCTION("""COMPUTED_VALUE"""),0)</f>
        <v>0</v>
      </c>
      <c r="O489" s="81"/>
      <c r="P489" s="81">
        <f ca="1">IFERROR(__xludf.DUMMYFUNCTION("""COMPUTED_VALUE"""),0)</f>
        <v>0</v>
      </c>
      <c r="Q489" s="81"/>
      <c r="R489" s="81">
        <f ca="1">IFERROR(__xludf.DUMMYFUNCTION("""COMPUTED_VALUE"""),0)</f>
        <v>0</v>
      </c>
      <c r="S489" s="81"/>
      <c r="T489" s="81"/>
      <c r="U489" s="82"/>
      <c r="V489" s="82"/>
      <c r="W489" s="83"/>
      <c r="X489" s="83"/>
      <c r="Y489" s="83"/>
    </row>
    <row r="490" spans="1:25" ht="13.8">
      <c r="A490" s="78" t="str">
        <f ca="1">IFERROR(__xludf.DUMMYFUNCTION("""COMPUTED_VALUE"""),"DR")</f>
        <v>DR</v>
      </c>
      <c r="B490" s="79" t="str">
        <f ca="1">IFERROR(__xludf.DUMMYFUNCTION("""COMPUTED_VALUE"""),"Charlie DeZee")</f>
        <v>Charlie DeZee</v>
      </c>
      <c r="C490" s="78">
        <f ca="1">IFERROR(__xludf.DUMMYFUNCTION("""COMPUTED_VALUE"""),9)</f>
        <v>9</v>
      </c>
      <c r="D490" s="78" t="str">
        <f ca="1">IFERROR(__xludf.DUMMYFUNCTION("""COMPUTED_VALUE"""),"B")</f>
        <v>B</v>
      </c>
      <c r="E490" s="80" t="str">
        <f ca="1">IFERROR(__xludf.DUMMYFUNCTION("""COMPUTED_VALUE"""),"F")</f>
        <v>F</v>
      </c>
      <c r="F490" s="80" t="str">
        <f ca="1">IFERROR(__xludf.DUMMYFUNCTION("""COMPUTED_VALUE"""),"J")</f>
        <v>J</v>
      </c>
      <c r="G490" s="80">
        <f ca="1">IFERROR(__xludf.DUMMYFUNCTION("""COMPUTED_VALUE"""),3)</f>
        <v>3</v>
      </c>
      <c r="H490" s="80" t="str">
        <f ca="1">IFERROR(__xludf.DUMMYFUNCTION("""COMPUTED_VALUE"""),"DR")</f>
        <v>DR</v>
      </c>
      <c r="I490" s="80">
        <f ca="1">IFERROR(__xludf.DUMMYFUNCTION("""COMPUTED_VALUE"""),3)</f>
        <v>3</v>
      </c>
      <c r="J490" s="81">
        <f ca="1">IFERROR(__xludf.DUMMYFUNCTION("""COMPUTED_VALUE"""),3)</f>
        <v>3</v>
      </c>
      <c r="K490" s="81">
        <f ca="1">IFERROR(__xludf.DUMMYFUNCTION("""COMPUTED_VALUE"""),66.4)</f>
        <v>66.400000000000006</v>
      </c>
      <c r="L490" s="81">
        <f ca="1">IFERROR(__xludf.DUMMYFUNCTION("""COMPUTED_VALUE"""),0)</f>
        <v>0</v>
      </c>
      <c r="M490" s="81"/>
      <c r="N490" s="81">
        <f ca="1">IFERROR(__xludf.DUMMYFUNCTION("""COMPUTED_VALUE"""),66.4)</f>
        <v>66.400000000000006</v>
      </c>
      <c r="O490" s="81"/>
      <c r="P490" s="81">
        <f ca="1">IFERROR(__xludf.DUMMYFUNCTION("""COMPUTED_VALUE"""),50.35)</f>
        <v>50.35</v>
      </c>
      <c r="Q490" s="81"/>
      <c r="R490" s="81">
        <f ca="1">IFERROR(__xludf.DUMMYFUNCTION("""COMPUTED_VALUE"""),50.15)</f>
        <v>50.15</v>
      </c>
      <c r="S490" s="81"/>
      <c r="T490" s="81"/>
      <c r="U490" s="82"/>
      <c r="V490" s="82"/>
      <c r="W490" s="83"/>
      <c r="X490" s="83"/>
      <c r="Y490" s="83"/>
    </row>
    <row r="491" spans="1:25" ht="13.8">
      <c r="A491" s="78" t="str">
        <f ca="1">IFERROR(__xludf.DUMMYFUNCTION("""COMPUTED_VALUE"""),"DR")</f>
        <v>DR</v>
      </c>
      <c r="B491" s="79" t="str">
        <f ca="1">IFERROR(__xludf.DUMMYFUNCTION("""COMPUTED_VALUE"""),"Henry DeZee")</f>
        <v>Henry DeZee</v>
      </c>
      <c r="C491" s="78">
        <f ca="1">IFERROR(__xludf.DUMMYFUNCTION("""COMPUTED_VALUE"""),6)</f>
        <v>6</v>
      </c>
      <c r="D491" s="78" t="str">
        <f ca="1">IFERROR(__xludf.DUMMYFUNCTION("""COMPUTED_VALUE"""),"B")</f>
        <v>B</v>
      </c>
      <c r="E491" s="80" t="str">
        <f ca="1">IFERROR(__xludf.DUMMYFUNCTION("""COMPUTED_VALUE"""),"F")</f>
        <v>F</v>
      </c>
      <c r="F491" s="80" t="str">
        <f ca="1">IFERROR(__xludf.DUMMYFUNCTION("""COMPUTED_VALUE"""),"J")</f>
        <v>J</v>
      </c>
      <c r="G491" s="80">
        <f ca="1">IFERROR(__xludf.DUMMYFUNCTION("""COMPUTED_VALUE"""),3)</f>
        <v>3</v>
      </c>
      <c r="H491" s="80" t="str">
        <f ca="1">IFERROR(__xludf.DUMMYFUNCTION("""COMPUTED_VALUE"""),"DR")</f>
        <v>DR</v>
      </c>
      <c r="I491" s="80">
        <f ca="1">IFERROR(__xludf.DUMMYFUNCTION("""COMPUTED_VALUE"""),3)</f>
        <v>3</v>
      </c>
      <c r="J491" s="81">
        <f ca="1">IFERROR(__xludf.DUMMYFUNCTION("""COMPUTED_VALUE"""),0)</f>
        <v>0</v>
      </c>
      <c r="K491" s="81">
        <f ca="1">IFERROR(__xludf.DUMMYFUNCTION("""COMPUTED_VALUE"""),0)</f>
        <v>0</v>
      </c>
      <c r="L491" s="81">
        <f ca="1">IFERROR(__xludf.DUMMYFUNCTION("""COMPUTED_VALUE"""),0)</f>
        <v>0</v>
      </c>
      <c r="M491" s="81"/>
      <c r="N491" s="81">
        <f ca="1">IFERROR(__xludf.DUMMYFUNCTION("""COMPUTED_VALUE"""),0)</f>
        <v>0</v>
      </c>
      <c r="O491" s="81"/>
      <c r="P491" s="81">
        <f ca="1">IFERROR(__xludf.DUMMYFUNCTION("""COMPUTED_VALUE"""),0)</f>
        <v>0</v>
      </c>
      <c r="Q491" s="81"/>
      <c r="R491" s="81">
        <f ca="1">IFERROR(__xludf.DUMMYFUNCTION("""COMPUTED_VALUE"""),0)</f>
        <v>0</v>
      </c>
      <c r="S491" s="81"/>
      <c r="T491" s="81"/>
      <c r="U491" s="82"/>
      <c r="V491" s="82"/>
      <c r="W491" s="83"/>
      <c r="X491" s="83"/>
      <c r="Y491" s="83"/>
    </row>
    <row r="492" spans="1:25" ht="13.8">
      <c r="A492" s="78" t="str">
        <f ca="1">IFERROR(__xludf.DUMMYFUNCTION("""COMPUTED_VALUE"""),"DR")</f>
        <v>DR</v>
      </c>
      <c r="B492" s="79" t="str">
        <f ca="1">IFERROR(__xludf.DUMMYFUNCTION("""COMPUTED_VALUE"""),"Thomas Edgerton")</f>
        <v>Thomas Edgerton</v>
      </c>
      <c r="C492" s="78">
        <f ca="1">IFERROR(__xludf.DUMMYFUNCTION("""COMPUTED_VALUE"""),8)</f>
        <v>8</v>
      </c>
      <c r="D492" s="78" t="str">
        <f ca="1">IFERROR(__xludf.DUMMYFUNCTION("""COMPUTED_VALUE"""),"B")</f>
        <v>B</v>
      </c>
      <c r="E492" s="80" t="str">
        <f ca="1">IFERROR(__xludf.DUMMYFUNCTION("""COMPUTED_VALUE"""),"F")</f>
        <v>F</v>
      </c>
      <c r="F492" s="80" t="str">
        <f ca="1">IFERROR(__xludf.DUMMYFUNCTION("""COMPUTED_VALUE"""),"J")</f>
        <v>J</v>
      </c>
      <c r="G492" s="80">
        <f ca="1">IFERROR(__xludf.DUMMYFUNCTION("""COMPUTED_VALUE"""),3)</f>
        <v>3</v>
      </c>
      <c r="H492" s="80" t="str">
        <f ca="1">IFERROR(__xludf.DUMMYFUNCTION("""COMPUTED_VALUE"""),"DR")</f>
        <v>DR</v>
      </c>
      <c r="I492" s="80">
        <f ca="1">IFERROR(__xludf.DUMMYFUNCTION("""COMPUTED_VALUE"""),3)</f>
        <v>3</v>
      </c>
      <c r="J492" s="81">
        <f ca="1">IFERROR(__xludf.DUMMYFUNCTION("""COMPUTED_VALUE"""),5)</f>
        <v>5</v>
      </c>
      <c r="K492" s="81">
        <f ca="1">IFERROR(__xludf.DUMMYFUNCTION("""COMPUTED_VALUE"""),46.7)</f>
        <v>46.7</v>
      </c>
      <c r="L492" s="81">
        <f ca="1">IFERROR(__xludf.DUMMYFUNCTION("""COMPUTED_VALUE"""),30.9)</f>
        <v>30.9</v>
      </c>
      <c r="M492" s="81"/>
      <c r="N492" s="81">
        <f ca="1">IFERROR(__xludf.DUMMYFUNCTION("""COMPUTED_VALUE"""),46.7)</f>
        <v>46.7</v>
      </c>
      <c r="O492" s="81"/>
      <c r="P492" s="81">
        <f ca="1">IFERROR(__xludf.DUMMYFUNCTION("""COMPUTED_VALUE"""),39.4)</f>
        <v>39.4</v>
      </c>
      <c r="Q492" s="81"/>
      <c r="R492" s="81">
        <f ca="1">IFERROR(__xludf.DUMMYFUNCTION("""COMPUTED_VALUE"""),32.8)</f>
        <v>32.799999999999997</v>
      </c>
      <c r="S492" s="81"/>
      <c r="T492" s="81"/>
      <c r="U492" s="82"/>
      <c r="V492" s="82"/>
      <c r="W492" s="83"/>
      <c r="X492" s="83"/>
      <c r="Y492" s="83"/>
    </row>
    <row r="493" spans="1:25" ht="13.8">
      <c r="A493" s="78" t="str">
        <f ca="1">IFERROR(__xludf.DUMMYFUNCTION("""COMPUTED_VALUE"""),"DR")</f>
        <v>DR</v>
      </c>
      <c r="B493" s="79" t="str">
        <f ca="1">IFERROR(__xludf.DUMMYFUNCTION("""COMPUTED_VALUE"""),"Parker Englerth")</f>
        <v>Parker Englerth</v>
      </c>
      <c r="C493" s="78">
        <f ca="1">IFERROR(__xludf.DUMMYFUNCTION("""COMPUTED_VALUE"""),9)</f>
        <v>9</v>
      </c>
      <c r="D493" s="78" t="str">
        <f ca="1">IFERROR(__xludf.DUMMYFUNCTION("""COMPUTED_VALUE"""),"B")</f>
        <v>B</v>
      </c>
      <c r="E493" s="80" t="str">
        <f ca="1">IFERROR(__xludf.DUMMYFUNCTION("""COMPUTED_VALUE"""),"F")</f>
        <v>F</v>
      </c>
      <c r="F493" s="80" t="str">
        <f ca="1">IFERROR(__xludf.DUMMYFUNCTION("""COMPUTED_VALUE"""),"J")</f>
        <v>J</v>
      </c>
      <c r="G493" s="80">
        <f ca="1">IFERROR(__xludf.DUMMYFUNCTION("""COMPUTED_VALUE"""),3)</f>
        <v>3</v>
      </c>
      <c r="H493" s="80" t="str">
        <f ca="1">IFERROR(__xludf.DUMMYFUNCTION("""COMPUTED_VALUE"""),"DR")</f>
        <v>DR</v>
      </c>
      <c r="I493" s="80">
        <f ca="1">IFERROR(__xludf.DUMMYFUNCTION("""COMPUTED_VALUE"""),3)</f>
        <v>3</v>
      </c>
      <c r="J493" s="81">
        <f ca="1">IFERROR(__xludf.DUMMYFUNCTION("""COMPUTED_VALUE"""),5)</f>
        <v>5</v>
      </c>
      <c r="K493" s="81">
        <f ca="1">IFERROR(__xludf.DUMMYFUNCTION("""COMPUTED_VALUE"""),44)</f>
        <v>44</v>
      </c>
      <c r="L493" s="81">
        <f ca="1">IFERROR(__xludf.DUMMYFUNCTION("""COMPUTED_VALUE"""),40.1)</f>
        <v>40.1</v>
      </c>
      <c r="M493" s="81"/>
      <c r="N493" s="81">
        <f ca="1">IFERROR(__xludf.DUMMYFUNCTION("""COMPUTED_VALUE"""),43.5)</f>
        <v>43.5</v>
      </c>
      <c r="O493" s="81"/>
      <c r="P493" s="81">
        <f ca="1">IFERROR(__xludf.DUMMYFUNCTION("""COMPUTED_VALUE"""),40.5)</f>
        <v>40.5</v>
      </c>
      <c r="Q493" s="81"/>
      <c r="R493" s="81">
        <f ca="1">IFERROR(__xludf.DUMMYFUNCTION("""COMPUTED_VALUE"""),44)</f>
        <v>44</v>
      </c>
      <c r="S493" s="81"/>
      <c r="T493" s="81"/>
      <c r="U493" s="82"/>
      <c r="V493" s="82"/>
      <c r="W493" s="83"/>
      <c r="X493" s="83"/>
      <c r="Y493" s="83"/>
    </row>
    <row r="494" spans="1:25" ht="13.8">
      <c r="A494" s="78" t="str">
        <f ca="1">IFERROR(__xludf.DUMMYFUNCTION("""COMPUTED_VALUE"""),"DR")</f>
        <v>DR</v>
      </c>
      <c r="B494" s="79" t="str">
        <f ca="1">IFERROR(__xludf.DUMMYFUNCTION("""COMPUTED_VALUE"""),"Lincoln Epstein")</f>
        <v>Lincoln Epstein</v>
      </c>
      <c r="C494" s="78">
        <f ca="1">IFERROR(__xludf.DUMMYFUNCTION("""COMPUTED_VALUE"""),9)</f>
        <v>9</v>
      </c>
      <c r="D494" s="78" t="str">
        <f ca="1">IFERROR(__xludf.DUMMYFUNCTION("""COMPUTED_VALUE"""),"B")</f>
        <v>B</v>
      </c>
      <c r="E494" s="80" t="str">
        <f ca="1">IFERROR(__xludf.DUMMYFUNCTION("""COMPUTED_VALUE"""),"F")</f>
        <v>F</v>
      </c>
      <c r="F494" s="80" t="str">
        <f ca="1">IFERROR(__xludf.DUMMYFUNCTION("""COMPUTED_VALUE"""),"J")</f>
        <v>J</v>
      </c>
      <c r="G494" s="80">
        <f ca="1">IFERROR(__xludf.DUMMYFUNCTION("""COMPUTED_VALUE"""),3)</f>
        <v>3</v>
      </c>
      <c r="H494" s="80" t="str">
        <f ca="1">IFERROR(__xludf.DUMMYFUNCTION("""COMPUTED_VALUE"""),"DR")</f>
        <v>DR</v>
      </c>
      <c r="I494" s="80">
        <f ca="1">IFERROR(__xludf.DUMMYFUNCTION("""COMPUTED_VALUE"""),3)</f>
        <v>3</v>
      </c>
      <c r="J494" s="81">
        <f ca="1">IFERROR(__xludf.DUMMYFUNCTION("""COMPUTED_VALUE"""),0)</f>
        <v>0</v>
      </c>
      <c r="K494" s="81">
        <f ca="1">IFERROR(__xludf.DUMMYFUNCTION("""COMPUTED_VALUE"""),0)</f>
        <v>0</v>
      </c>
      <c r="L494" s="81">
        <f ca="1">IFERROR(__xludf.DUMMYFUNCTION("""COMPUTED_VALUE"""),0)</f>
        <v>0</v>
      </c>
      <c r="M494" s="81"/>
      <c r="N494" s="81">
        <f ca="1">IFERROR(__xludf.DUMMYFUNCTION("""COMPUTED_VALUE"""),0)</f>
        <v>0</v>
      </c>
      <c r="O494" s="81"/>
      <c r="P494" s="81">
        <f ca="1">IFERROR(__xludf.DUMMYFUNCTION("""COMPUTED_VALUE"""),0)</f>
        <v>0</v>
      </c>
      <c r="Q494" s="81"/>
      <c r="R494" s="81">
        <f ca="1">IFERROR(__xludf.DUMMYFUNCTION("""COMPUTED_VALUE"""),0)</f>
        <v>0</v>
      </c>
      <c r="S494" s="81"/>
      <c r="T494" s="81"/>
      <c r="U494" s="82"/>
      <c r="V494" s="82"/>
      <c r="W494" s="83"/>
      <c r="X494" s="83"/>
      <c r="Y494" s="83"/>
    </row>
    <row r="495" spans="1:25" ht="13.8">
      <c r="A495" s="78" t="str">
        <f ca="1">IFERROR(__xludf.DUMMYFUNCTION("""COMPUTED_VALUE"""),"DR")</f>
        <v>DR</v>
      </c>
      <c r="B495" s="79" t="str">
        <f ca="1">IFERROR(__xludf.DUMMYFUNCTION("""COMPUTED_VALUE"""),"Luke Ezzeddin")</f>
        <v>Luke Ezzeddin</v>
      </c>
      <c r="C495" s="78">
        <f ca="1">IFERROR(__xludf.DUMMYFUNCTION("""COMPUTED_VALUE"""),9)</f>
        <v>9</v>
      </c>
      <c r="D495" s="78" t="str">
        <f ca="1">IFERROR(__xludf.DUMMYFUNCTION("""COMPUTED_VALUE"""),"B")</f>
        <v>B</v>
      </c>
      <c r="E495" s="80" t="str">
        <f ca="1">IFERROR(__xludf.DUMMYFUNCTION("""COMPUTED_VALUE"""),"F")</f>
        <v>F</v>
      </c>
      <c r="F495" s="80" t="str">
        <f ca="1">IFERROR(__xludf.DUMMYFUNCTION("""COMPUTED_VALUE"""),"J")</f>
        <v>J</v>
      </c>
      <c r="G495" s="80">
        <f ca="1">IFERROR(__xludf.DUMMYFUNCTION("""COMPUTED_VALUE"""),3)</f>
        <v>3</v>
      </c>
      <c r="H495" s="80" t="str">
        <f ca="1">IFERROR(__xludf.DUMMYFUNCTION("""COMPUTED_VALUE"""),"DR")</f>
        <v>DR</v>
      </c>
      <c r="I495" s="80">
        <f ca="1">IFERROR(__xludf.DUMMYFUNCTION("""COMPUTED_VALUE"""),3)</f>
        <v>3</v>
      </c>
      <c r="J495" s="81">
        <f ca="1">IFERROR(__xludf.DUMMYFUNCTION("""COMPUTED_VALUE"""),0)</f>
        <v>0</v>
      </c>
      <c r="K495" s="81">
        <f ca="1">IFERROR(__xludf.DUMMYFUNCTION("""COMPUTED_VALUE"""),0)</f>
        <v>0</v>
      </c>
      <c r="L495" s="81">
        <f ca="1">IFERROR(__xludf.DUMMYFUNCTION("""COMPUTED_VALUE"""),0)</f>
        <v>0</v>
      </c>
      <c r="M495" s="81"/>
      <c r="N495" s="81">
        <f ca="1">IFERROR(__xludf.DUMMYFUNCTION("""COMPUTED_VALUE"""),0)</f>
        <v>0</v>
      </c>
      <c r="O495" s="81"/>
      <c r="P495" s="81">
        <f ca="1">IFERROR(__xludf.DUMMYFUNCTION("""COMPUTED_VALUE"""),0)</f>
        <v>0</v>
      </c>
      <c r="Q495" s="81"/>
      <c r="R495" s="81">
        <f ca="1">IFERROR(__xludf.DUMMYFUNCTION("""COMPUTED_VALUE"""),0)</f>
        <v>0</v>
      </c>
      <c r="S495" s="81"/>
      <c r="T495" s="81"/>
      <c r="U495" s="82"/>
      <c r="V495" s="82"/>
      <c r="W495" s="83"/>
      <c r="X495" s="83"/>
      <c r="Y495" s="83"/>
    </row>
    <row r="496" spans="1:25" ht="13.8">
      <c r="A496" s="78" t="str">
        <f ca="1">IFERROR(__xludf.DUMMYFUNCTION("""COMPUTED_VALUE"""),"DR")</f>
        <v>DR</v>
      </c>
      <c r="B496" s="79" t="str">
        <f ca="1">IFERROR(__xludf.DUMMYFUNCTION("""COMPUTED_VALUE"""),"Desmond Gellie")</f>
        <v>Desmond Gellie</v>
      </c>
      <c r="C496" s="78">
        <f ca="1">IFERROR(__xludf.DUMMYFUNCTION("""COMPUTED_VALUE"""),7)</f>
        <v>7</v>
      </c>
      <c r="D496" s="78" t="str">
        <f ca="1">IFERROR(__xludf.DUMMYFUNCTION("""COMPUTED_VALUE"""),"B")</f>
        <v>B</v>
      </c>
      <c r="E496" s="80" t="str">
        <f ca="1">IFERROR(__xludf.DUMMYFUNCTION("""COMPUTED_VALUE"""),"F")</f>
        <v>F</v>
      </c>
      <c r="F496" s="80" t="str">
        <f ca="1">IFERROR(__xludf.DUMMYFUNCTION("""COMPUTED_VALUE"""),"J")</f>
        <v>J</v>
      </c>
      <c r="G496" s="80">
        <f ca="1">IFERROR(__xludf.DUMMYFUNCTION("""COMPUTED_VALUE"""),3)</f>
        <v>3</v>
      </c>
      <c r="H496" s="80" t="str">
        <f ca="1">IFERROR(__xludf.DUMMYFUNCTION("""COMPUTED_VALUE"""),"DR")</f>
        <v>DR</v>
      </c>
      <c r="I496" s="80">
        <f ca="1">IFERROR(__xludf.DUMMYFUNCTION("""COMPUTED_VALUE"""),3)</f>
        <v>3</v>
      </c>
      <c r="J496" s="81">
        <f ca="1">IFERROR(__xludf.DUMMYFUNCTION("""COMPUTED_VALUE"""),0)</f>
        <v>0</v>
      </c>
      <c r="K496" s="81">
        <f ca="1">IFERROR(__xludf.DUMMYFUNCTION("""COMPUTED_VALUE"""),0)</f>
        <v>0</v>
      </c>
      <c r="L496" s="81">
        <f ca="1">IFERROR(__xludf.DUMMYFUNCTION("""COMPUTED_VALUE"""),0)</f>
        <v>0</v>
      </c>
      <c r="M496" s="81"/>
      <c r="N496" s="81">
        <f ca="1">IFERROR(__xludf.DUMMYFUNCTION("""COMPUTED_VALUE"""),0)</f>
        <v>0</v>
      </c>
      <c r="O496" s="81"/>
      <c r="P496" s="81">
        <f ca="1">IFERROR(__xludf.DUMMYFUNCTION("""COMPUTED_VALUE"""),0)</f>
        <v>0</v>
      </c>
      <c r="Q496" s="81"/>
      <c r="R496" s="81">
        <f ca="1">IFERROR(__xludf.DUMMYFUNCTION("""COMPUTED_VALUE"""),0)</f>
        <v>0</v>
      </c>
      <c r="S496" s="81"/>
      <c r="T496" s="81"/>
      <c r="U496" s="82"/>
      <c r="V496" s="82"/>
      <c r="W496" s="83"/>
      <c r="X496" s="83"/>
      <c r="Y496" s="83"/>
    </row>
    <row r="497" spans="1:25" ht="13.8">
      <c r="A497" s="78" t="str">
        <f ca="1">IFERROR(__xludf.DUMMYFUNCTION("""COMPUTED_VALUE"""),"DR")</f>
        <v>DR</v>
      </c>
      <c r="B497" s="79" t="str">
        <f ca="1">IFERROR(__xludf.DUMMYFUNCTION("""COMPUTED_VALUE"""),"Krishnan Greenwood")</f>
        <v>Krishnan Greenwood</v>
      </c>
      <c r="C497" s="78">
        <f ca="1">IFERROR(__xludf.DUMMYFUNCTION("""COMPUTED_VALUE"""),10)</f>
        <v>10</v>
      </c>
      <c r="D497" s="78" t="str">
        <f ca="1">IFERROR(__xludf.DUMMYFUNCTION("""COMPUTED_VALUE"""),"B")</f>
        <v>B</v>
      </c>
      <c r="E497" s="80" t="str">
        <f ca="1">IFERROR(__xludf.DUMMYFUNCTION("""COMPUTED_VALUE"""),"F")</f>
        <v>F</v>
      </c>
      <c r="F497" s="80" t="str">
        <f ca="1">IFERROR(__xludf.DUMMYFUNCTION("""COMPUTED_VALUE"""),"J")</f>
        <v>J</v>
      </c>
      <c r="G497" s="80">
        <f ca="1">IFERROR(__xludf.DUMMYFUNCTION("""COMPUTED_VALUE"""),3)</f>
        <v>3</v>
      </c>
      <c r="H497" s="80" t="str">
        <f ca="1">IFERROR(__xludf.DUMMYFUNCTION("""COMPUTED_VALUE"""),"DR")</f>
        <v>DR</v>
      </c>
      <c r="I497" s="80">
        <f ca="1">IFERROR(__xludf.DUMMYFUNCTION("""COMPUTED_VALUE"""),3)</f>
        <v>3</v>
      </c>
      <c r="J497" s="81">
        <f ca="1">IFERROR(__xludf.DUMMYFUNCTION("""COMPUTED_VALUE"""),4)</f>
        <v>4</v>
      </c>
      <c r="K497" s="81">
        <f ca="1">IFERROR(__xludf.DUMMYFUNCTION("""COMPUTED_VALUE"""),80.05)</f>
        <v>80.05</v>
      </c>
      <c r="L497" s="81">
        <f ca="1">IFERROR(__xludf.DUMMYFUNCTION("""COMPUTED_VALUE"""),0)</f>
        <v>0</v>
      </c>
      <c r="M497" s="81"/>
      <c r="N497" s="81">
        <f ca="1">IFERROR(__xludf.DUMMYFUNCTION("""COMPUTED_VALUE"""),80.05)</f>
        <v>80.05</v>
      </c>
      <c r="O497" s="81"/>
      <c r="P497" s="81">
        <f ca="1">IFERROR(__xludf.DUMMYFUNCTION("""COMPUTED_VALUE"""),56.4)</f>
        <v>56.4</v>
      </c>
      <c r="Q497" s="81"/>
      <c r="R497" s="81">
        <f ca="1">IFERROR(__xludf.DUMMYFUNCTION("""COMPUTED_VALUE"""),58.65)</f>
        <v>58.65</v>
      </c>
      <c r="S497" s="81"/>
      <c r="T497" s="81"/>
      <c r="U497" s="82"/>
      <c r="V497" s="82"/>
      <c r="W497" s="83"/>
      <c r="X497" s="83"/>
      <c r="Y497" s="83"/>
    </row>
    <row r="498" spans="1:25" ht="13.8">
      <c r="A498" s="78" t="str">
        <f ca="1">IFERROR(__xludf.DUMMYFUNCTION("""COMPUTED_VALUE"""),"DR")</f>
        <v>DR</v>
      </c>
      <c r="B498" s="79" t="str">
        <f ca="1">IFERROR(__xludf.DUMMYFUNCTION("""COMPUTED_VALUE"""),"Graham Hill")</f>
        <v>Graham Hill</v>
      </c>
      <c r="C498" s="78">
        <f ca="1">IFERROR(__xludf.DUMMYFUNCTION("""COMPUTED_VALUE"""),8)</f>
        <v>8</v>
      </c>
      <c r="D498" s="78" t="str">
        <f ca="1">IFERROR(__xludf.DUMMYFUNCTION("""COMPUTED_VALUE"""),"B")</f>
        <v>B</v>
      </c>
      <c r="E498" s="80" t="str">
        <f ca="1">IFERROR(__xludf.DUMMYFUNCTION("""COMPUTED_VALUE"""),"F")</f>
        <v>F</v>
      </c>
      <c r="F498" s="80" t="str">
        <f ca="1">IFERROR(__xludf.DUMMYFUNCTION("""COMPUTED_VALUE"""),"J")</f>
        <v>J</v>
      </c>
      <c r="G498" s="80">
        <f ca="1">IFERROR(__xludf.DUMMYFUNCTION("""COMPUTED_VALUE"""),3)</f>
        <v>3</v>
      </c>
      <c r="H498" s="80" t="str">
        <f ca="1">IFERROR(__xludf.DUMMYFUNCTION("""COMPUTED_VALUE"""),"DR")</f>
        <v>DR</v>
      </c>
      <c r="I498" s="80">
        <f ca="1">IFERROR(__xludf.DUMMYFUNCTION("""COMPUTED_VALUE"""),3)</f>
        <v>3</v>
      </c>
      <c r="J498" s="81">
        <f ca="1">IFERROR(__xludf.DUMMYFUNCTION("""COMPUTED_VALUE"""),0)</f>
        <v>0</v>
      </c>
      <c r="K498" s="81">
        <f ca="1">IFERROR(__xludf.DUMMYFUNCTION("""COMPUTED_VALUE"""),0)</f>
        <v>0</v>
      </c>
      <c r="L498" s="81">
        <f ca="1">IFERROR(__xludf.DUMMYFUNCTION("""COMPUTED_VALUE"""),0)</f>
        <v>0</v>
      </c>
      <c r="M498" s="81"/>
      <c r="N498" s="81">
        <f ca="1">IFERROR(__xludf.DUMMYFUNCTION("""COMPUTED_VALUE"""),0)</f>
        <v>0</v>
      </c>
      <c r="O498" s="81"/>
      <c r="P498" s="81">
        <f ca="1">IFERROR(__xludf.DUMMYFUNCTION("""COMPUTED_VALUE"""),0)</f>
        <v>0</v>
      </c>
      <c r="Q498" s="81"/>
      <c r="R498" s="81">
        <f ca="1">IFERROR(__xludf.DUMMYFUNCTION("""COMPUTED_VALUE"""),0)</f>
        <v>0</v>
      </c>
      <c r="S498" s="81"/>
      <c r="T498" s="81"/>
      <c r="U498" s="82"/>
      <c r="V498" s="82"/>
      <c r="W498" s="83"/>
      <c r="X498" s="83"/>
      <c r="Y498" s="83"/>
    </row>
    <row r="499" spans="1:25" ht="13.8">
      <c r="A499" s="78" t="str">
        <f ca="1">IFERROR(__xludf.DUMMYFUNCTION("""COMPUTED_VALUE"""),"DR")</f>
        <v>DR</v>
      </c>
      <c r="B499" s="79" t="str">
        <f ca="1">IFERROR(__xludf.DUMMYFUNCTION("""COMPUTED_VALUE"""),"Oliver Hill")</f>
        <v>Oliver Hill</v>
      </c>
      <c r="C499" s="78">
        <f ca="1">IFERROR(__xludf.DUMMYFUNCTION("""COMPUTED_VALUE"""),10)</f>
        <v>10</v>
      </c>
      <c r="D499" s="78" t="str">
        <f ca="1">IFERROR(__xludf.DUMMYFUNCTION("""COMPUTED_VALUE"""),"B")</f>
        <v>B</v>
      </c>
      <c r="E499" s="80" t="str">
        <f ca="1">IFERROR(__xludf.DUMMYFUNCTION("""COMPUTED_VALUE"""),"F")</f>
        <v>F</v>
      </c>
      <c r="F499" s="80" t="str">
        <f ca="1">IFERROR(__xludf.DUMMYFUNCTION("""COMPUTED_VALUE"""),"J")</f>
        <v>J</v>
      </c>
      <c r="G499" s="80">
        <f ca="1">IFERROR(__xludf.DUMMYFUNCTION("""COMPUTED_VALUE"""),3)</f>
        <v>3</v>
      </c>
      <c r="H499" s="80" t="str">
        <f ca="1">IFERROR(__xludf.DUMMYFUNCTION("""COMPUTED_VALUE"""),"DR")</f>
        <v>DR</v>
      </c>
      <c r="I499" s="80">
        <f ca="1">IFERROR(__xludf.DUMMYFUNCTION("""COMPUTED_VALUE"""),3)</f>
        <v>3</v>
      </c>
      <c r="J499" s="81">
        <f ca="1">IFERROR(__xludf.DUMMYFUNCTION("""COMPUTED_VALUE"""),0)</f>
        <v>0</v>
      </c>
      <c r="K499" s="81">
        <f ca="1">IFERROR(__xludf.DUMMYFUNCTION("""COMPUTED_VALUE"""),0)</f>
        <v>0</v>
      </c>
      <c r="L499" s="81">
        <f ca="1">IFERROR(__xludf.DUMMYFUNCTION("""COMPUTED_VALUE"""),0)</f>
        <v>0</v>
      </c>
      <c r="M499" s="81"/>
      <c r="N499" s="81">
        <f ca="1">IFERROR(__xludf.DUMMYFUNCTION("""COMPUTED_VALUE"""),0)</f>
        <v>0</v>
      </c>
      <c r="O499" s="81"/>
      <c r="P499" s="81">
        <f ca="1">IFERROR(__xludf.DUMMYFUNCTION("""COMPUTED_VALUE"""),0)</f>
        <v>0</v>
      </c>
      <c r="Q499" s="81"/>
      <c r="R499" s="81">
        <f ca="1">IFERROR(__xludf.DUMMYFUNCTION("""COMPUTED_VALUE"""),0)</f>
        <v>0</v>
      </c>
      <c r="S499" s="81"/>
      <c r="T499" s="81"/>
      <c r="U499" s="82"/>
      <c r="V499" s="82"/>
      <c r="W499" s="83"/>
      <c r="X499" s="83"/>
      <c r="Y499" s="83"/>
    </row>
    <row r="500" spans="1:25" ht="13.8">
      <c r="A500" s="78" t="str">
        <f ca="1">IFERROR(__xludf.DUMMYFUNCTION("""COMPUTED_VALUE"""),"DR")</f>
        <v>DR</v>
      </c>
      <c r="B500" s="79" t="str">
        <f ca="1">IFERROR(__xludf.DUMMYFUNCTION("""COMPUTED_VALUE"""),"Allister Hovenburg")</f>
        <v>Allister Hovenburg</v>
      </c>
      <c r="C500" s="78">
        <f ca="1">IFERROR(__xludf.DUMMYFUNCTION("""COMPUTED_VALUE"""),9)</f>
        <v>9</v>
      </c>
      <c r="D500" s="78" t="str">
        <f ca="1">IFERROR(__xludf.DUMMYFUNCTION("""COMPUTED_VALUE"""),"B")</f>
        <v>B</v>
      </c>
      <c r="E500" s="80" t="str">
        <f ca="1">IFERROR(__xludf.DUMMYFUNCTION("""COMPUTED_VALUE"""),"F")</f>
        <v>F</v>
      </c>
      <c r="F500" s="80" t="str">
        <f ca="1">IFERROR(__xludf.DUMMYFUNCTION("""COMPUTED_VALUE"""),"J")</f>
        <v>J</v>
      </c>
      <c r="G500" s="80">
        <f ca="1">IFERROR(__xludf.DUMMYFUNCTION("""COMPUTED_VALUE"""),3)</f>
        <v>3</v>
      </c>
      <c r="H500" s="80" t="str">
        <f ca="1">IFERROR(__xludf.DUMMYFUNCTION("""COMPUTED_VALUE"""),"DR")</f>
        <v>DR</v>
      </c>
      <c r="I500" s="80">
        <f ca="1">IFERROR(__xludf.DUMMYFUNCTION("""COMPUTED_VALUE"""),3)</f>
        <v>3</v>
      </c>
      <c r="J500" s="81">
        <f ca="1">IFERROR(__xludf.DUMMYFUNCTION("""COMPUTED_VALUE"""),0)</f>
        <v>0</v>
      </c>
      <c r="K500" s="81">
        <f ca="1">IFERROR(__xludf.DUMMYFUNCTION("""COMPUTED_VALUE"""),0)</f>
        <v>0</v>
      </c>
      <c r="L500" s="81">
        <f ca="1">IFERROR(__xludf.DUMMYFUNCTION("""COMPUTED_VALUE"""),0)</f>
        <v>0</v>
      </c>
      <c r="M500" s="81"/>
      <c r="N500" s="81">
        <f ca="1">IFERROR(__xludf.DUMMYFUNCTION("""COMPUTED_VALUE"""),0)</f>
        <v>0</v>
      </c>
      <c r="O500" s="81"/>
      <c r="P500" s="81">
        <f ca="1">IFERROR(__xludf.DUMMYFUNCTION("""COMPUTED_VALUE"""),0)</f>
        <v>0</v>
      </c>
      <c r="Q500" s="81"/>
      <c r="R500" s="81">
        <f ca="1">IFERROR(__xludf.DUMMYFUNCTION("""COMPUTED_VALUE"""),0)</f>
        <v>0</v>
      </c>
      <c r="S500" s="81"/>
      <c r="T500" s="81"/>
      <c r="U500" s="82"/>
      <c r="V500" s="82"/>
      <c r="W500" s="83"/>
      <c r="X500" s="83"/>
      <c r="Y500" s="83"/>
    </row>
    <row r="501" spans="1:25" ht="13.8">
      <c r="A501" s="78" t="str">
        <f ca="1">IFERROR(__xludf.DUMMYFUNCTION("""COMPUTED_VALUE"""),"DR")</f>
        <v>DR</v>
      </c>
      <c r="B501" s="79" t="str">
        <f ca="1">IFERROR(__xludf.DUMMYFUNCTION("""COMPUTED_VALUE"""),"Niko Klimek")</f>
        <v>Niko Klimek</v>
      </c>
      <c r="C501" s="78">
        <f ca="1">IFERROR(__xludf.DUMMYFUNCTION("""COMPUTED_VALUE"""),10)</f>
        <v>10</v>
      </c>
      <c r="D501" s="78" t="str">
        <f ca="1">IFERROR(__xludf.DUMMYFUNCTION("""COMPUTED_VALUE"""),"B")</f>
        <v>B</v>
      </c>
      <c r="E501" s="80" t="str">
        <f ca="1">IFERROR(__xludf.DUMMYFUNCTION("""COMPUTED_VALUE"""),"F")</f>
        <v>F</v>
      </c>
      <c r="F501" s="80" t="str">
        <f ca="1">IFERROR(__xludf.DUMMYFUNCTION("""COMPUTED_VALUE"""),"J")</f>
        <v>J</v>
      </c>
      <c r="G501" s="80">
        <f ca="1">IFERROR(__xludf.DUMMYFUNCTION("""COMPUTED_VALUE"""),3)</f>
        <v>3</v>
      </c>
      <c r="H501" s="80" t="str">
        <f ca="1">IFERROR(__xludf.DUMMYFUNCTION("""COMPUTED_VALUE"""),"DR")</f>
        <v>DR</v>
      </c>
      <c r="I501" s="80">
        <f ca="1">IFERROR(__xludf.DUMMYFUNCTION("""COMPUTED_VALUE"""),3)</f>
        <v>3</v>
      </c>
      <c r="J501" s="81">
        <f ca="1">IFERROR(__xludf.DUMMYFUNCTION("""COMPUTED_VALUE"""),0)</f>
        <v>0</v>
      </c>
      <c r="K501" s="81">
        <f ca="1">IFERROR(__xludf.DUMMYFUNCTION("""COMPUTED_VALUE"""),0)</f>
        <v>0</v>
      </c>
      <c r="L501" s="81">
        <f ca="1">IFERROR(__xludf.DUMMYFUNCTION("""COMPUTED_VALUE"""),0)</f>
        <v>0</v>
      </c>
      <c r="M501" s="81"/>
      <c r="N501" s="81">
        <f ca="1">IFERROR(__xludf.DUMMYFUNCTION("""COMPUTED_VALUE"""),0)</f>
        <v>0</v>
      </c>
      <c r="O501" s="81"/>
      <c r="P501" s="81">
        <f ca="1">IFERROR(__xludf.DUMMYFUNCTION("""COMPUTED_VALUE"""),0)</f>
        <v>0</v>
      </c>
      <c r="Q501" s="81"/>
      <c r="R501" s="81">
        <f ca="1">IFERROR(__xludf.DUMMYFUNCTION("""COMPUTED_VALUE"""),0)</f>
        <v>0</v>
      </c>
      <c r="S501" s="81"/>
      <c r="T501" s="81"/>
      <c r="U501" s="82"/>
      <c r="V501" s="82"/>
      <c r="W501" s="83"/>
      <c r="X501" s="83"/>
      <c r="Y501" s="83"/>
    </row>
    <row r="502" spans="1:25" ht="13.8">
      <c r="A502" s="78" t="str">
        <f ca="1">IFERROR(__xludf.DUMMYFUNCTION("""COMPUTED_VALUE"""),"DR")</f>
        <v>DR</v>
      </c>
      <c r="B502" s="79" t="str">
        <f ca="1">IFERROR(__xludf.DUMMYFUNCTION("""COMPUTED_VALUE"""),"Markus Krumins")</f>
        <v>Markus Krumins</v>
      </c>
      <c r="C502" s="78">
        <f ca="1">IFERROR(__xludf.DUMMYFUNCTION("""COMPUTED_VALUE"""),6)</f>
        <v>6</v>
      </c>
      <c r="D502" s="78" t="str">
        <f ca="1">IFERROR(__xludf.DUMMYFUNCTION("""COMPUTED_VALUE"""),"B")</f>
        <v>B</v>
      </c>
      <c r="E502" s="80" t="str">
        <f ca="1">IFERROR(__xludf.DUMMYFUNCTION("""COMPUTED_VALUE"""),"F")</f>
        <v>F</v>
      </c>
      <c r="F502" s="80" t="str">
        <f ca="1">IFERROR(__xludf.DUMMYFUNCTION("""COMPUTED_VALUE"""),"J")</f>
        <v>J</v>
      </c>
      <c r="G502" s="80">
        <f ca="1">IFERROR(__xludf.DUMMYFUNCTION("""COMPUTED_VALUE"""),3)</f>
        <v>3</v>
      </c>
      <c r="H502" s="80" t="str">
        <f ca="1">IFERROR(__xludf.DUMMYFUNCTION("""COMPUTED_VALUE"""),"DR")</f>
        <v>DR</v>
      </c>
      <c r="I502" s="80">
        <f ca="1">IFERROR(__xludf.DUMMYFUNCTION("""COMPUTED_VALUE"""),3)</f>
        <v>3</v>
      </c>
      <c r="J502" s="81">
        <f ca="1">IFERROR(__xludf.DUMMYFUNCTION("""COMPUTED_VALUE"""),0)</f>
        <v>0</v>
      </c>
      <c r="K502" s="81">
        <f ca="1">IFERROR(__xludf.DUMMYFUNCTION("""COMPUTED_VALUE"""),0)</f>
        <v>0</v>
      </c>
      <c r="L502" s="81">
        <f ca="1">IFERROR(__xludf.DUMMYFUNCTION("""COMPUTED_VALUE"""),0)</f>
        <v>0</v>
      </c>
      <c r="M502" s="81"/>
      <c r="N502" s="81">
        <f ca="1">IFERROR(__xludf.DUMMYFUNCTION("""COMPUTED_VALUE"""),0)</f>
        <v>0</v>
      </c>
      <c r="O502" s="81"/>
      <c r="P502" s="81">
        <f ca="1">IFERROR(__xludf.DUMMYFUNCTION("""COMPUTED_VALUE"""),0)</f>
        <v>0</v>
      </c>
      <c r="Q502" s="81"/>
      <c r="R502" s="81">
        <f ca="1">IFERROR(__xludf.DUMMYFUNCTION("""COMPUTED_VALUE"""),0)</f>
        <v>0</v>
      </c>
      <c r="S502" s="81"/>
      <c r="T502" s="81"/>
      <c r="U502" s="82"/>
      <c r="V502" s="82"/>
      <c r="W502" s="83"/>
      <c r="X502" s="83"/>
      <c r="Y502" s="83"/>
    </row>
    <row r="503" spans="1:25" ht="13.8">
      <c r="A503" s="78" t="str">
        <f ca="1">IFERROR(__xludf.DUMMYFUNCTION("""COMPUTED_VALUE"""),"DR")</f>
        <v>DR</v>
      </c>
      <c r="B503" s="79" t="str">
        <f ca="1">IFERROR(__xludf.DUMMYFUNCTION("""COMPUTED_VALUE"""),"Felix Losos")</f>
        <v>Felix Losos</v>
      </c>
      <c r="C503" s="78">
        <f ca="1">IFERROR(__xludf.DUMMYFUNCTION("""COMPUTED_VALUE"""),8)</f>
        <v>8</v>
      </c>
      <c r="D503" s="78" t="str">
        <f ca="1">IFERROR(__xludf.DUMMYFUNCTION("""COMPUTED_VALUE"""),"B")</f>
        <v>B</v>
      </c>
      <c r="E503" s="80" t="str">
        <f ca="1">IFERROR(__xludf.DUMMYFUNCTION("""COMPUTED_VALUE"""),"F")</f>
        <v>F</v>
      </c>
      <c r="F503" s="80" t="str">
        <f ca="1">IFERROR(__xludf.DUMMYFUNCTION("""COMPUTED_VALUE"""),"J")</f>
        <v>J</v>
      </c>
      <c r="G503" s="80">
        <f ca="1">IFERROR(__xludf.DUMMYFUNCTION("""COMPUTED_VALUE"""),3)</f>
        <v>3</v>
      </c>
      <c r="H503" s="80" t="str">
        <f ca="1">IFERROR(__xludf.DUMMYFUNCTION("""COMPUTED_VALUE"""),"DR")</f>
        <v>DR</v>
      </c>
      <c r="I503" s="80">
        <f ca="1">IFERROR(__xludf.DUMMYFUNCTION("""COMPUTED_VALUE"""),3)</f>
        <v>3</v>
      </c>
      <c r="J503" s="81">
        <f ca="1">IFERROR(__xludf.DUMMYFUNCTION("""COMPUTED_VALUE"""),0)</f>
        <v>0</v>
      </c>
      <c r="K503" s="81">
        <f ca="1">IFERROR(__xludf.DUMMYFUNCTION("""COMPUTED_VALUE"""),0)</f>
        <v>0</v>
      </c>
      <c r="L503" s="81">
        <f ca="1">IFERROR(__xludf.DUMMYFUNCTION("""COMPUTED_VALUE"""),0)</f>
        <v>0</v>
      </c>
      <c r="M503" s="81"/>
      <c r="N503" s="81">
        <f ca="1">IFERROR(__xludf.DUMMYFUNCTION("""COMPUTED_VALUE"""),0)</f>
        <v>0</v>
      </c>
      <c r="O503" s="81"/>
      <c r="P503" s="81">
        <f ca="1">IFERROR(__xludf.DUMMYFUNCTION("""COMPUTED_VALUE"""),0)</f>
        <v>0</v>
      </c>
      <c r="Q503" s="81"/>
      <c r="R503" s="81">
        <f ca="1">IFERROR(__xludf.DUMMYFUNCTION("""COMPUTED_VALUE"""),0)</f>
        <v>0</v>
      </c>
      <c r="S503" s="81"/>
      <c r="T503" s="81"/>
      <c r="U503" s="82"/>
      <c r="V503" s="82"/>
      <c r="W503" s="83"/>
      <c r="X503" s="83"/>
      <c r="Y503" s="83"/>
    </row>
    <row r="504" spans="1:25" ht="13.8">
      <c r="A504" s="78" t="str">
        <f ca="1">IFERROR(__xludf.DUMMYFUNCTION("""COMPUTED_VALUE"""),"DR")</f>
        <v>DR</v>
      </c>
      <c r="B504" s="79" t="str">
        <f ca="1">IFERROR(__xludf.DUMMYFUNCTION("""COMPUTED_VALUE"""),"William McCool")</f>
        <v>William McCool</v>
      </c>
      <c r="C504" s="78">
        <f ca="1">IFERROR(__xludf.DUMMYFUNCTION("""COMPUTED_VALUE"""),7)</f>
        <v>7</v>
      </c>
      <c r="D504" s="78" t="str">
        <f ca="1">IFERROR(__xludf.DUMMYFUNCTION("""COMPUTED_VALUE"""),"B")</f>
        <v>B</v>
      </c>
      <c r="E504" s="80" t="str">
        <f ca="1">IFERROR(__xludf.DUMMYFUNCTION("""COMPUTED_VALUE"""),"F")</f>
        <v>F</v>
      </c>
      <c r="F504" s="80" t="str">
        <f ca="1">IFERROR(__xludf.DUMMYFUNCTION("""COMPUTED_VALUE"""),"J")</f>
        <v>J</v>
      </c>
      <c r="G504" s="80">
        <f ca="1">IFERROR(__xludf.DUMMYFUNCTION("""COMPUTED_VALUE"""),3)</f>
        <v>3</v>
      </c>
      <c r="H504" s="80" t="str">
        <f ca="1">IFERROR(__xludf.DUMMYFUNCTION("""COMPUTED_VALUE"""),"DR")</f>
        <v>DR</v>
      </c>
      <c r="I504" s="80">
        <f ca="1">IFERROR(__xludf.DUMMYFUNCTION("""COMPUTED_VALUE"""),3)</f>
        <v>3</v>
      </c>
      <c r="J504" s="81">
        <f ca="1">IFERROR(__xludf.DUMMYFUNCTION("""COMPUTED_VALUE"""),4)</f>
        <v>4</v>
      </c>
      <c r="K504" s="81">
        <f ca="1">IFERROR(__xludf.DUMMYFUNCTION("""COMPUTED_VALUE"""),66.75)</f>
        <v>66.75</v>
      </c>
      <c r="L504" s="81">
        <f ca="1">IFERROR(__xludf.DUMMYFUNCTION("""COMPUTED_VALUE"""),41)</f>
        <v>41</v>
      </c>
      <c r="M504" s="81"/>
      <c r="N504" s="81">
        <f ca="1">IFERROR(__xludf.DUMMYFUNCTION("""COMPUTED_VALUE"""),66.75)</f>
        <v>66.75</v>
      </c>
      <c r="O504" s="81"/>
      <c r="P504" s="81">
        <f ca="1">IFERROR(__xludf.DUMMYFUNCTION("""COMPUTED_VALUE"""),0)</f>
        <v>0</v>
      </c>
      <c r="Q504" s="81"/>
      <c r="R504" s="81">
        <f ca="1">IFERROR(__xludf.DUMMYFUNCTION("""COMPUTED_VALUE"""),51.4)</f>
        <v>51.4</v>
      </c>
      <c r="S504" s="81"/>
      <c r="T504" s="81"/>
      <c r="U504" s="82"/>
      <c r="V504" s="82"/>
      <c r="W504" s="83"/>
      <c r="X504" s="83"/>
      <c r="Y504" s="83"/>
    </row>
    <row r="505" spans="1:25" ht="13.8">
      <c r="A505" s="78" t="str">
        <f ca="1">IFERROR(__xludf.DUMMYFUNCTION("""COMPUTED_VALUE"""),"DR")</f>
        <v>DR</v>
      </c>
      <c r="B505" s="79" t="str">
        <f ca="1">IFERROR(__xludf.DUMMYFUNCTION("""COMPUTED_VALUE"""),"Conor Michalowski")</f>
        <v>Conor Michalowski</v>
      </c>
      <c r="C505" s="78">
        <f ca="1">IFERROR(__xludf.DUMMYFUNCTION("""COMPUTED_VALUE"""),8)</f>
        <v>8</v>
      </c>
      <c r="D505" s="78" t="str">
        <f ca="1">IFERROR(__xludf.DUMMYFUNCTION("""COMPUTED_VALUE"""),"B")</f>
        <v>B</v>
      </c>
      <c r="E505" s="80" t="str">
        <f ca="1">IFERROR(__xludf.DUMMYFUNCTION("""COMPUTED_VALUE"""),"F")</f>
        <v>F</v>
      </c>
      <c r="F505" s="80" t="str">
        <f ca="1">IFERROR(__xludf.DUMMYFUNCTION("""COMPUTED_VALUE"""),"J")</f>
        <v>J</v>
      </c>
      <c r="G505" s="80">
        <f ca="1">IFERROR(__xludf.DUMMYFUNCTION("""COMPUTED_VALUE"""),3)</f>
        <v>3</v>
      </c>
      <c r="H505" s="80" t="str">
        <f ca="1">IFERROR(__xludf.DUMMYFUNCTION("""COMPUTED_VALUE"""),"DR")</f>
        <v>DR</v>
      </c>
      <c r="I505" s="80">
        <f ca="1">IFERROR(__xludf.DUMMYFUNCTION("""COMPUTED_VALUE"""),3)</f>
        <v>3</v>
      </c>
      <c r="J505" s="81">
        <f ca="1">IFERROR(__xludf.DUMMYFUNCTION("""COMPUTED_VALUE"""),0)</f>
        <v>0</v>
      </c>
      <c r="K505" s="81">
        <f ca="1">IFERROR(__xludf.DUMMYFUNCTION("""COMPUTED_VALUE"""),0)</f>
        <v>0</v>
      </c>
      <c r="L505" s="81">
        <f ca="1">IFERROR(__xludf.DUMMYFUNCTION("""COMPUTED_VALUE"""),0)</f>
        <v>0</v>
      </c>
      <c r="M505" s="81"/>
      <c r="N505" s="81">
        <f ca="1">IFERROR(__xludf.DUMMYFUNCTION("""COMPUTED_VALUE"""),0)</f>
        <v>0</v>
      </c>
      <c r="O505" s="81"/>
      <c r="P505" s="81">
        <f ca="1">IFERROR(__xludf.DUMMYFUNCTION("""COMPUTED_VALUE"""),0)</f>
        <v>0</v>
      </c>
      <c r="Q505" s="81"/>
      <c r="R505" s="81">
        <f ca="1">IFERROR(__xludf.DUMMYFUNCTION("""COMPUTED_VALUE"""),0)</f>
        <v>0</v>
      </c>
      <c r="S505" s="81"/>
      <c r="T505" s="81"/>
      <c r="U505" s="82"/>
      <c r="V505" s="82"/>
      <c r="W505" s="83"/>
      <c r="X505" s="83"/>
      <c r="Y505" s="83"/>
    </row>
    <row r="506" spans="1:25" ht="13.8">
      <c r="A506" s="78" t="str">
        <f ca="1">IFERROR(__xludf.DUMMYFUNCTION("""COMPUTED_VALUE"""),"DR")</f>
        <v>DR</v>
      </c>
      <c r="B506" s="79" t="str">
        <f ca="1">IFERROR(__xludf.DUMMYFUNCTION("""COMPUTED_VALUE"""),"Todd Orvald")</f>
        <v>Todd Orvald</v>
      </c>
      <c r="C506" s="78">
        <f ca="1">IFERROR(__xludf.DUMMYFUNCTION("""COMPUTED_VALUE"""),10)</f>
        <v>10</v>
      </c>
      <c r="D506" s="78" t="str">
        <f ca="1">IFERROR(__xludf.DUMMYFUNCTION("""COMPUTED_VALUE"""),"B")</f>
        <v>B</v>
      </c>
      <c r="E506" s="80" t="str">
        <f ca="1">IFERROR(__xludf.DUMMYFUNCTION("""COMPUTED_VALUE"""),"F")</f>
        <v>F</v>
      </c>
      <c r="F506" s="80" t="str">
        <f ca="1">IFERROR(__xludf.DUMMYFUNCTION("""COMPUTED_VALUE"""),"J")</f>
        <v>J</v>
      </c>
      <c r="G506" s="80">
        <f ca="1">IFERROR(__xludf.DUMMYFUNCTION("""COMPUTED_VALUE"""),3)</f>
        <v>3</v>
      </c>
      <c r="H506" s="80" t="str">
        <f ca="1">IFERROR(__xludf.DUMMYFUNCTION("""COMPUTED_VALUE"""),"DR")</f>
        <v>DR</v>
      </c>
      <c r="I506" s="80">
        <f ca="1">IFERROR(__xludf.DUMMYFUNCTION("""COMPUTED_VALUE"""),3)</f>
        <v>3</v>
      </c>
      <c r="J506" s="81">
        <f ca="1">IFERROR(__xludf.DUMMYFUNCTION("""COMPUTED_VALUE"""),2)</f>
        <v>2</v>
      </c>
      <c r="K506" s="81">
        <f ca="1">IFERROR(__xludf.DUMMYFUNCTION("""COMPUTED_VALUE"""),46.95)</f>
        <v>46.95</v>
      </c>
      <c r="L506" s="81">
        <f ca="1">IFERROR(__xludf.DUMMYFUNCTION("""COMPUTED_VALUE"""),0)</f>
        <v>0</v>
      </c>
      <c r="M506" s="81"/>
      <c r="N506" s="81">
        <f ca="1">IFERROR(__xludf.DUMMYFUNCTION("""COMPUTED_VALUE"""),0)</f>
        <v>0</v>
      </c>
      <c r="O506" s="81"/>
      <c r="P506" s="81">
        <f ca="1">IFERROR(__xludf.DUMMYFUNCTION("""COMPUTED_VALUE"""),0)</f>
        <v>0</v>
      </c>
      <c r="Q506" s="81"/>
      <c r="R506" s="81">
        <f ca="1">IFERROR(__xludf.DUMMYFUNCTION("""COMPUTED_VALUE"""),46.95)</f>
        <v>46.95</v>
      </c>
      <c r="S506" s="81"/>
      <c r="T506" s="81"/>
      <c r="U506" s="82"/>
      <c r="V506" s="82"/>
      <c r="W506" s="83"/>
      <c r="X506" s="83"/>
      <c r="Y506" s="83"/>
    </row>
    <row r="507" spans="1:25" ht="13.8">
      <c r="A507" s="78" t="str">
        <f ca="1">IFERROR(__xludf.DUMMYFUNCTION("""COMPUTED_VALUE"""),"DR")</f>
        <v>DR</v>
      </c>
      <c r="B507" s="79" t="str">
        <f ca="1">IFERROR(__xludf.DUMMYFUNCTION("""COMPUTED_VALUE"""),"Miles Rubenstein")</f>
        <v>Miles Rubenstein</v>
      </c>
      <c r="C507" s="78">
        <f ca="1">IFERROR(__xludf.DUMMYFUNCTION("""COMPUTED_VALUE"""),10)</f>
        <v>10</v>
      </c>
      <c r="D507" s="78" t="str">
        <f ca="1">IFERROR(__xludf.DUMMYFUNCTION("""COMPUTED_VALUE"""),"B")</f>
        <v>B</v>
      </c>
      <c r="E507" s="80" t="str">
        <f ca="1">IFERROR(__xludf.DUMMYFUNCTION("""COMPUTED_VALUE"""),"F")</f>
        <v>F</v>
      </c>
      <c r="F507" s="80" t="str">
        <f ca="1">IFERROR(__xludf.DUMMYFUNCTION("""COMPUTED_VALUE"""),"J")</f>
        <v>J</v>
      </c>
      <c r="G507" s="80">
        <f ca="1">IFERROR(__xludf.DUMMYFUNCTION("""COMPUTED_VALUE"""),3)</f>
        <v>3</v>
      </c>
      <c r="H507" s="80" t="str">
        <f ca="1">IFERROR(__xludf.DUMMYFUNCTION("""COMPUTED_VALUE"""),"DR")</f>
        <v>DR</v>
      </c>
      <c r="I507" s="80">
        <f ca="1">IFERROR(__xludf.DUMMYFUNCTION("""COMPUTED_VALUE"""),3)</f>
        <v>3</v>
      </c>
      <c r="J507" s="81">
        <f ca="1">IFERROR(__xludf.DUMMYFUNCTION("""COMPUTED_VALUE"""),0)</f>
        <v>0</v>
      </c>
      <c r="K507" s="81">
        <f ca="1">IFERROR(__xludf.DUMMYFUNCTION("""COMPUTED_VALUE"""),0)</f>
        <v>0</v>
      </c>
      <c r="L507" s="81">
        <f ca="1">IFERROR(__xludf.DUMMYFUNCTION("""COMPUTED_VALUE"""),0)</f>
        <v>0</v>
      </c>
      <c r="M507" s="81"/>
      <c r="N507" s="81">
        <f ca="1">IFERROR(__xludf.DUMMYFUNCTION("""COMPUTED_VALUE"""),0)</f>
        <v>0</v>
      </c>
      <c r="O507" s="81"/>
      <c r="P507" s="81">
        <f ca="1">IFERROR(__xludf.DUMMYFUNCTION("""COMPUTED_VALUE"""),0)</f>
        <v>0</v>
      </c>
      <c r="Q507" s="81"/>
      <c r="R507" s="81">
        <f ca="1">IFERROR(__xludf.DUMMYFUNCTION("""COMPUTED_VALUE"""),0)</f>
        <v>0</v>
      </c>
      <c r="S507" s="81"/>
      <c r="T507" s="81"/>
      <c r="U507" s="82"/>
      <c r="V507" s="82"/>
      <c r="W507" s="83"/>
      <c r="X507" s="83"/>
      <c r="Y507" s="83"/>
    </row>
    <row r="508" spans="1:25" ht="13.8">
      <c r="A508" s="78" t="str">
        <f ca="1">IFERROR(__xludf.DUMMYFUNCTION("""COMPUTED_VALUE"""),"DR")</f>
        <v>DR</v>
      </c>
      <c r="B508" s="79" t="str">
        <f ca="1">IFERROR(__xludf.DUMMYFUNCTION("""COMPUTED_VALUE"""),"William Staren")</f>
        <v>William Staren</v>
      </c>
      <c r="C508" s="78">
        <f ca="1">IFERROR(__xludf.DUMMYFUNCTION("""COMPUTED_VALUE"""),9)</f>
        <v>9</v>
      </c>
      <c r="D508" s="78" t="str">
        <f ca="1">IFERROR(__xludf.DUMMYFUNCTION("""COMPUTED_VALUE"""),"B")</f>
        <v>B</v>
      </c>
      <c r="E508" s="80" t="str">
        <f ca="1">IFERROR(__xludf.DUMMYFUNCTION("""COMPUTED_VALUE"""),"F")</f>
        <v>F</v>
      </c>
      <c r="F508" s="80" t="str">
        <f ca="1">IFERROR(__xludf.DUMMYFUNCTION("""COMPUTED_VALUE"""),"J")</f>
        <v>J</v>
      </c>
      <c r="G508" s="80">
        <f ca="1">IFERROR(__xludf.DUMMYFUNCTION("""COMPUTED_VALUE"""),3)</f>
        <v>3</v>
      </c>
      <c r="H508" s="80" t="str">
        <f ca="1">IFERROR(__xludf.DUMMYFUNCTION("""COMPUTED_VALUE"""),"DR")</f>
        <v>DR</v>
      </c>
      <c r="I508" s="80">
        <f ca="1">IFERROR(__xludf.DUMMYFUNCTION("""COMPUTED_VALUE"""),3)</f>
        <v>3</v>
      </c>
      <c r="J508" s="81">
        <f ca="1">IFERROR(__xludf.DUMMYFUNCTION("""COMPUTED_VALUE"""),0)</f>
        <v>0</v>
      </c>
      <c r="K508" s="81">
        <f ca="1">IFERROR(__xludf.DUMMYFUNCTION("""COMPUTED_VALUE"""),0)</f>
        <v>0</v>
      </c>
      <c r="L508" s="81">
        <f ca="1">IFERROR(__xludf.DUMMYFUNCTION("""COMPUTED_VALUE"""),0)</f>
        <v>0</v>
      </c>
      <c r="M508" s="81"/>
      <c r="N508" s="81">
        <f ca="1">IFERROR(__xludf.DUMMYFUNCTION("""COMPUTED_VALUE"""),0)</f>
        <v>0</v>
      </c>
      <c r="O508" s="81"/>
      <c r="P508" s="81">
        <f ca="1">IFERROR(__xludf.DUMMYFUNCTION("""COMPUTED_VALUE"""),0)</f>
        <v>0</v>
      </c>
      <c r="Q508" s="81"/>
      <c r="R508" s="81">
        <f ca="1">IFERROR(__xludf.DUMMYFUNCTION("""COMPUTED_VALUE"""),0)</f>
        <v>0</v>
      </c>
      <c r="S508" s="81"/>
      <c r="T508" s="81"/>
      <c r="U508" s="82"/>
      <c r="V508" s="82"/>
      <c r="W508" s="83"/>
      <c r="X508" s="83"/>
      <c r="Y508" s="83"/>
    </row>
    <row r="509" spans="1:25" ht="13.8">
      <c r="A509" s="78" t="str">
        <f ca="1">IFERROR(__xludf.DUMMYFUNCTION("""COMPUTED_VALUE"""),"DR")</f>
        <v>DR</v>
      </c>
      <c r="B509" s="79" t="str">
        <f ca="1">IFERROR(__xludf.DUMMYFUNCTION("""COMPUTED_VALUE"""),"John Taylor")</f>
        <v>John Taylor</v>
      </c>
      <c r="C509" s="78">
        <f ca="1">IFERROR(__xludf.DUMMYFUNCTION("""COMPUTED_VALUE"""),9)</f>
        <v>9</v>
      </c>
      <c r="D509" s="78" t="str">
        <f ca="1">IFERROR(__xludf.DUMMYFUNCTION("""COMPUTED_VALUE"""),"B")</f>
        <v>B</v>
      </c>
      <c r="E509" s="80" t="str">
        <f ca="1">IFERROR(__xludf.DUMMYFUNCTION("""COMPUTED_VALUE"""),"F")</f>
        <v>F</v>
      </c>
      <c r="F509" s="80" t="str">
        <f ca="1">IFERROR(__xludf.DUMMYFUNCTION("""COMPUTED_VALUE"""),"J")</f>
        <v>J</v>
      </c>
      <c r="G509" s="80">
        <f ca="1">IFERROR(__xludf.DUMMYFUNCTION("""COMPUTED_VALUE"""),3)</f>
        <v>3</v>
      </c>
      <c r="H509" s="80" t="str">
        <f ca="1">IFERROR(__xludf.DUMMYFUNCTION("""COMPUTED_VALUE"""),"DR")</f>
        <v>DR</v>
      </c>
      <c r="I509" s="80">
        <f ca="1">IFERROR(__xludf.DUMMYFUNCTION("""COMPUTED_VALUE"""),3)</f>
        <v>3</v>
      </c>
      <c r="J509" s="81">
        <f ca="1">IFERROR(__xludf.DUMMYFUNCTION("""COMPUTED_VALUE"""),4)</f>
        <v>4</v>
      </c>
      <c r="K509" s="81">
        <f ca="1">IFERROR(__xludf.DUMMYFUNCTION("""COMPUTED_VALUE"""),45.25)</f>
        <v>45.25</v>
      </c>
      <c r="L509" s="81">
        <f ca="1">IFERROR(__xludf.DUMMYFUNCTION("""COMPUTED_VALUE"""),41.3)</f>
        <v>41.3</v>
      </c>
      <c r="M509" s="81"/>
      <c r="N509" s="81">
        <f ca="1">IFERROR(__xludf.DUMMYFUNCTION("""COMPUTED_VALUE"""),0)</f>
        <v>0</v>
      </c>
      <c r="O509" s="81"/>
      <c r="P509" s="81">
        <f ca="1">IFERROR(__xludf.DUMMYFUNCTION("""COMPUTED_VALUE"""),45.25)</f>
        <v>45.25</v>
      </c>
      <c r="Q509" s="81"/>
      <c r="R509" s="81">
        <f ca="1">IFERROR(__xludf.DUMMYFUNCTION("""COMPUTED_VALUE"""),43.75)</f>
        <v>43.75</v>
      </c>
      <c r="S509" s="81"/>
      <c r="T509" s="81"/>
      <c r="U509" s="82"/>
      <c r="V509" s="82"/>
      <c r="W509" s="83"/>
      <c r="X509" s="83"/>
      <c r="Y509" s="83"/>
    </row>
    <row r="510" spans="1:25" ht="13.8">
      <c r="A510" s="78" t="str">
        <f ca="1">IFERROR(__xludf.DUMMYFUNCTION("""COMPUTED_VALUE"""),"DR")</f>
        <v>DR</v>
      </c>
      <c r="B510" s="79" t="str">
        <f ca="1">IFERROR(__xludf.DUMMYFUNCTION("""COMPUTED_VALUE"""),"Eric Walter")</f>
        <v>Eric Walter</v>
      </c>
      <c r="C510" s="78">
        <f ca="1">IFERROR(__xludf.DUMMYFUNCTION("""COMPUTED_VALUE"""),8)</f>
        <v>8</v>
      </c>
      <c r="D510" s="78" t="str">
        <f ca="1">IFERROR(__xludf.DUMMYFUNCTION("""COMPUTED_VALUE"""),"B")</f>
        <v>B</v>
      </c>
      <c r="E510" s="80" t="str">
        <f ca="1">IFERROR(__xludf.DUMMYFUNCTION("""COMPUTED_VALUE"""),"F")</f>
        <v>F</v>
      </c>
      <c r="F510" s="80" t="str">
        <f ca="1">IFERROR(__xludf.DUMMYFUNCTION("""COMPUTED_VALUE"""),"J")</f>
        <v>J</v>
      </c>
      <c r="G510" s="80">
        <f ca="1">IFERROR(__xludf.DUMMYFUNCTION("""COMPUTED_VALUE"""),3)</f>
        <v>3</v>
      </c>
      <c r="H510" s="80" t="str">
        <f ca="1">IFERROR(__xludf.DUMMYFUNCTION("""COMPUTED_VALUE"""),"DR")</f>
        <v>DR</v>
      </c>
      <c r="I510" s="80">
        <f ca="1">IFERROR(__xludf.DUMMYFUNCTION("""COMPUTED_VALUE"""),3)</f>
        <v>3</v>
      </c>
      <c r="J510" s="81">
        <f ca="1">IFERROR(__xludf.DUMMYFUNCTION("""COMPUTED_VALUE"""),0)</f>
        <v>0</v>
      </c>
      <c r="K510" s="81">
        <f ca="1">IFERROR(__xludf.DUMMYFUNCTION("""COMPUTED_VALUE"""),0)</f>
        <v>0</v>
      </c>
      <c r="L510" s="81">
        <f ca="1">IFERROR(__xludf.DUMMYFUNCTION("""COMPUTED_VALUE"""),0)</f>
        <v>0</v>
      </c>
      <c r="M510" s="81"/>
      <c r="N510" s="81">
        <f ca="1">IFERROR(__xludf.DUMMYFUNCTION("""COMPUTED_VALUE"""),0)</f>
        <v>0</v>
      </c>
      <c r="O510" s="81"/>
      <c r="P510" s="81">
        <f ca="1">IFERROR(__xludf.DUMMYFUNCTION("""COMPUTED_VALUE"""),0)</f>
        <v>0</v>
      </c>
      <c r="Q510" s="81"/>
      <c r="R510" s="81">
        <f ca="1">IFERROR(__xludf.DUMMYFUNCTION("""COMPUTED_VALUE"""),0)</f>
        <v>0</v>
      </c>
      <c r="S510" s="81"/>
      <c r="T510" s="81"/>
      <c r="U510" s="82"/>
      <c r="V510" s="82"/>
      <c r="W510" s="83"/>
      <c r="X510" s="83"/>
      <c r="Y510" s="83"/>
    </row>
    <row r="511" spans="1:25" ht="13.8">
      <c r="A511" s="78" t="str">
        <f ca="1">IFERROR(__xludf.DUMMYFUNCTION("""COMPUTED_VALUE"""),"DR")</f>
        <v>DR</v>
      </c>
      <c r="B511" s="79" t="str">
        <f ca="1">IFERROR(__xludf.DUMMYFUNCTION("""COMPUTED_VALUE"""),"Dexter Weaver")</f>
        <v>Dexter Weaver</v>
      </c>
      <c r="C511" s="78">
        <f ca="1">IFERROR(__xludf.DUMMYFUNCTION("""COMPUTED_VALUE"""),6)</f>
        <v>6</v>
      </c>
      <c r="D511" s="78" t="str">
        <f ca="1">IFERROR(__xludf.DUMMYFUNCTION("""COMPUTED_VALUE"""),"B")</f>
        <v>B</v>
      </c>
      <c r="E511" s="80" t="str">
        <f ca="1">IFERROR(__xludf.DUMMYFUNCTION("""COMPUTED_VALUE"""),"F")</f>
        <v>F</v>
      </c>
      <c r="F511" s="80" t="str">
        <f ca="1">IFERROR(__xludf.DUMMYFUNCTION("""COMPUTED_VALUE"""),"J")</f>
        <v>J</v>
      </c>
      <c r="G511" s="80">
        <f ca="1">IFERROR(__xludf.DUMMYFUNCTION("""COMPUTED_VALUE"""),3)</f>
        <v>3</v>
      </c>
      <c r="H511" s="80" t="str">
        <f ca="1">IFERROR(__xludf.DUMMYFUNCTION("""COMPUTED_VALUE"""),"DR")</f>
        <v>DR</v>
      </c>
      <c r="I511" s="80">
        <f ca="1">IFERROR(__xludf.DUMMYFUNCTION("""COMPUTED_VALUE"""),3)</f>
        <v>3</v>
      </c>
      <c r="J511" s="81">
        <f ca="1">IFERROR(__xludf.DUMMYFUNCTION("""COMPUTED_VALUE"""),0)</f>
        <v>0</v>
      </c>
      <c r="K511" s="81">
        <f ca="1">IFERROR(__xludf.DUMMYFUNCTION("""COMPUTED_VALUE"""),0)</f>
        <v>0</v>
      </c>
      <c r="L511" s="81">
        <f ca="1">IFERROR(__xludf.DUMMYFUNCTION("""COMPUTED_VALUE"""),0)</f>
        <v>0</v>
      </c>
      <c r="M511" s="81"/>
      <c r="N511" s="81">
        <f ca="1">IFERROR(__xludf.DUMMYFUNCTION("""COMPUTED_VALUE"""),0)</f>
        <v>0</v>
      </c>
      <c r="O511" s="81"/>
      <c r="P511" s="81">
        <f ca="1">IFERROR(__xludf.DUMMYFUNCTION("""COMPUTED_VALUE"""),0)</f>
        <v>0</v>
      </c>
      <c r="Q511" s="81"/>
      <c r="R511" s="81">
        <f ca="1">IFERROR(__xludf.DUMMYFUNCTION("""COMPUTED_VALUE"""),0)</f>
        <v>0</v>
      </c>
      <c r="S511" s="81"/>
      <c r="T511" s="81"/>
      <c r="U511" s="82"/>
      <c r="V511" s="82"/>
      <c r="W511" s="83"/>
      <c r="X511" s="83"/>
      <c r="Y511" s="83"/>
    </row>
    <row r="512" spans="1:25" ht="13.8">
      <c r="A512" s="78" t="str">
        <f ca="1">IFERROR(__xludf.DUMMYFUNCTION("""COMPUTED_VALUE"""),"DR")</f>
        <v>DR</v>
      </c>
      <c r="B512" s="79" t="str">
        <f ca="1">IFERROR(__xludf.DUMMYFUNCTION("""COMPUTED_VALUE"""),"Oskar Winters")</f>
        <v>Oskar Winters</v>
      </c>
      <c r="C512" s="78">
        <f ca="1">IFERROR(__xludf.DUMMYFUNCTION("""COMPUTED_VALUE"""),8)</f>
        <v>8</v>
      </c>
      <c r="D512" s="78" t="str">
        <f ca="1">IFERROR(__xludf.DUMMYFUNCTION("""COMPUTED_VALUE"""),"B")</f>
        <v>B</v>
      </c>
      <c r="E512" s="80" t="str">
        <f ca="1">IFERROR(__xludf.DUMMYFUNCTION("""COMPUTED_VALUE"""),"F")</f>
        <v>F</v>
      </c>
      <c r="F512" s="80" t="str">
        <f ca="1">IFERROR(__xludf.DUMMYFUNCTION("""COMPUTED_VALUE"""),"J")</f>
        <v>J</v>
      </c>
      <c r="G512" s="80">
        <f ca="1">IFERROR(__xludf.DUMMYFUNCTION("""COMPUTED_VALUE"""),3)</f>
        <v>3</v>
      </c>
      <c r="H512" s="80" t="str">
        <f ca="1">IFERROR(__xludf.DUMMYFUNCTION("""COMPUTED_VALUE"""),"DR")</f>
        <v>DR</v>
      </c>
      <c r="I512" s="80">
        <f ca="1">IFERROR(__xludf.DUMMYFUNCTION("""COMPUTED_VALUE"""),3)</f>
        <v>3</v>
      </c>
      <c r="J512" s="81">
        <f ca="1">IFERROR(__xludf.DUMMYFUNCTION("""COMPUTED_VALUE"""),0)</f>
        <v>0</v>
      </c>
      <c r="K512" s="81">
        <f ca="1">IFERROR(__xludf.DUMMYFUNCTION("""COMPUTED_VALUE"""),0)</f>
        <v>0</v>
      </c>
      <c r="L512" s="81">
        <f ca="1">IFERROR(__xludf.DUMMYFUNCTION("""COMPUTED_VALUE"""),0)</f>
        <v>0</v>
      </c>
      <c r="M512" s="81"/>
      <c r="N512" s="81">
        <f ca="1">IFERROR(__xludf.DUMMYFUNCTION("""COMPUTED_VALUE"""),0)</f>
        <v>0</v>
      </c>
      <c r="O512" s="81"/>
      <c r="P512" s="81">
        <f ca="1">IFERROR(__xludf.DUMMYFUNCTION("""COMPUTED_VALUE"""),0)</f>
        <v>0</v>
      </c>
      <c r="Q512" s="81"/>
      <c r="R512" s="81">
        <f ca="1">IFERROR(__xludf.DUMMYFUNCTION("""COMPUTED_VALUE"""),0)</f>
        <v>0</v>
      </c>
      <c r="S512" s="81"/>
      <c r="T512" s="81"/>
      <c r="U512" s="82"/>
      <c r="V512" s="82"/>
      <c r="W512" s="83"/>
      <c r="X512" s="83"/>
      <c r="Y512" s="83"/>
    </row>
    <row r="513" spans="1:25" ht="13.8">
      <c r="A513" s="78" t="str">
        <f ca="1">IFERROR(__xludf.DUMMYFUNCTION("""COMPUTED_VALUE"""),"DR")</f>
        <v>DR</v>
      </c>
      <c r="B513" s="79" t="str">
        <f ca="1">IFERROR(__xludf.DUMMYFUNCTION("""COMPUTED_VALUE"""),"Theo Winters")</f>
        <v>Theo Winters</v>
      </c>
      <c r="C513" s="78">
        <f ca="1">IFERROR(__xludf.DUMMYFUNCTION("""COMPUTED_VALUE"""),5)</f>
        <v>5</v>
      </c>
      <c r="D513" s="78" t="str">
        <f ca="1">IFERROR(__xludf.DUMMYFUNCTION("""COMPUTED_VALUE"""),"B")</f>
        <v>B</v>
      </c>
      <c r="E513" s="80" t="str">
        <f ca="1">IFERROR(__xludf.DUMMYFUNCTION("""COMPUTED_VALUE"""),"F")</f>
        <v>F</v>
      </c>
      <c r="F513" s="80" t="str">
        <f ca="1">IFERROR(__xludf.DUMMYFUNCTION("""COMPUTED_VALUE"""),"J")</f>
        <v>J</v>
      </c>
      <c r="G513" s="80">
        <f ca="1">IFERROR(__xludf.DUMMYFUNCTION("""COMPUTED_VALUE"""),3)</f>
        <v>3</v>
      </c>
      <c r="H513" s="80" t="str">
        <f ca="1">IFERROR(__xludf.DUMMYFUNCTION("""COMPUTED_VALUE"""),"DR")</f>
        <v>DR</v>
      </c>
      <c r="I513" s="80">
        <f ca="1">IFERROR(__xludf.DUMMYFUNCTION("""COMPUTED_VALUE"""),3)</f>
        <v>3</v>
      </c>
      <c r="J513" s="81">
        <f ca="1">IFERROR(__xludf.DUMMYFUNCTION("""COMPUTED_VALUE"""),0)</f>
        <v>0</v>
      </c>
      <c r="K513" s="81">
        <f ca="1">IFERROR(__xludf.DUMMYFUNCTION("""COMPUTED_VALUE"""),0)</f>
        <v>0</v>
      </c>
      <c r="L513" s="81">
        <f ca="1">IFERROR(__xludf.DUMMYFUNCTION("""COMPUTED_VALUE"""),0)</f>
        <v>0</v>
      </c>
      <c r="M513" s="81"/>
      <c r="N513" s="81">
        <f ca="1">IFERROR(__xludf.DUMMYFUNCTION("""COMPUTED_VALUE"""),0)</f>
        <v>0</v>
      </c>
      <c r="O513" s="81"/>
      <c r="P513" s="81">
        <f ca="1">IFERROR(__xludf.DUMMYFUNCTION("""COMPUTED_VALUE"""),0)</f>
        <v>0</v>
      </c>
      <c r="Q513" s="81"/>
      <c r="R513" s="81">
        <f ca="1">IFERROR(__xludf.DUMMYFUNCTION("""COMPUTED_VALUE"""),0)</f>
        <v>0</v>
      </c>
      <c r="S513" s="81"/>
      <c r="T513" s="81"/>
      <c r="U513" s="82"/>
      <c r="V513" s="82"/>
      <c r="W513" s="83"/>
      <c r="X513" s="83"/>
      <c r="Y513" s="83"/>
    </row>
    <row r="514" spans="1:25" ht="13.8">
      <c r="A514" s="78" t="str">
        <f ca="1">IFERROR(__xludf.DUMMYFUNCTION("""COMPUTED_VALUE"""),"DR")</f>
        <v>DR</v>
      </c>
      <c r="B514" s="79" t="str">
        <f ca="1">IFERROR(__xludf.DUMMYFUNCTION("""COMPUTED_VALUE"""),"Adele Abouchar")</f>
        <v>Adele Abouchar</v>
      </c>
      <c r="C514" s="78">
        <f ca="1">IFERROR(__xludf.DUMMYFUNCTION("""COMPUTED_VALUE"""),12)</f>
        <v>12</v>
      </c>
      <c r="D514" s="78" t="str">
        <f ca="1">IFERROR(__xludf.DUMMYFUNCTION("""COMPUTED_VALUE"""),"G")</f>
        <v>G</v>
      </c>
      <c r="E514" s="80" t="str">
        <f ca="1">IFERROR(__xludf.DUMMYFUNCTION("""COMPUTED_VALUE"""),"J")</f>
        <v>J</v>
      </c>
      <c r="F514" s="80" t="str">
        <f ca="1">IFERROR(__xludf.DUMMYFUNCTION("""COMPUTED_VALUE"""),"I")</f>
        <v>I</v>
      </c>
      <c r="G514" s="80">
        <f ca="1">IFERROR(__xludf.DUMMYFUNCTION("""COMPUTED_VALUE"""),3)</f>
        <v>3</v>
      </c>
      <c r="H514" s="80" t="str">
        <f ca="1">IFERROR(__xludf.DUMMYFUNCTION("""COMPUTED_VALUE"""),"DR")</f>
        <v>DR</v>
      </c>
      <c r="I514" s="80">
        <f ca="1">IFERROR(__xludf.DUMMYFUNCTION("""COMPUTED_VALUE"""),4)</f>
        <v>4</v>
      </c>
      <c r="J514" s="81">
        <f ca="1">IFERROR(__xludf.DUMMYFUNCTION("""COMPUTED_VALUE"""),0)</f>
        <v>0</v>
      </c>
      <c r="K514" s="81">
        <f ca="1">IFERROR(__xludf.DUMMYFUNCTION("""COMPUTED_VALUE"""),0)</f>
        <v>0</v>
      </c>
      <c r="L514" s="81">
        <f ca="1">IFERROR(__xludf.DUMMYFUNCTION("""COMPUTED_VALUE"""),0)</f>
        <v>0</v>
      </c>
      <c r="M514" s="81"/>
      <c r="N514" s="81">
        <f ca="1">IFERROR(__xludf.DUMMYFUNCTION("""COMPUTED_VALUE"""),0)</f>
        <v>0</v>
      </c>
      <c r="O514" s="81"/>
      <c r="P514" s="81">
        <f ca="1">IFERROR(__xludf.DUMMYFUNCTION("""COMPUTED_VALUE"""),0)</f>
        <v>0</v>
      </c>
      <c r="Q514" s="81"/>
      <c r="R514" s="81">
        <f ca="1">IFERROR(__xludf.DUMMYFUNCTION("""COMPUTED_VALUE"""),0)</f>
        <v>0</v>
      </c>
      <c r="S514" s="81"/>
      <c r="T514" s="81"/>
      <c r="U514" s="82"/>
      <c r="V514" s="82"/>
      <c r="W514" s="83"/>
      <c r="X514" s="83"/>
      <c r="Y514" s="83"/>
    </row>
    <row r="515" spans="1:25" ht="13.8">
      <c r="A515" s="78" t="str">
        <f ca="1">IFERROR(__xludf.DUMMYFUNCTION("""COMPUTED_VALUE"""),"DR")</f>
        <v>DR</v>
      </c>
      <c r="B515" s="79" t="str">
        <f ca="1">IFERROR(__xludf.DUMMYFUNCTION("""COMPUTED_VALUE"""),"Audrey Bowman")</f>
        <v>Audrey Bowman</v>
      </c>
      <c r="C515" s="78">
        <f ca="1">IFERROR(__xludf.DUMMYFUNCTION("""COMPUTED_VALUE"""),12)</f>
        <v>12</v>
      </c>
      <c r="D515" s="78" t="str">
        <f ca="1">IFERROR(__xludf.DUMMYFUNCTION("""COMPUTED_VALUE"""),"G")</f>
        <v>G</v>
      </c>
      <c r="E515" s="80" t="str">
        <f ca="1">IFERROR(__xludf.DUMMYFUNCTION("""COMPUTED_VALUE"""),"J")</f>
        <v>J</v>
      </c>
      <c r="F515" s="80" t="str">
        <f ca="1">IFERROR(__xludf.DUMMYFUNCTION("""COMPUTED_VALUE"""),"I")</f>
        <v>I</v>
      </c>
      <c r="G515" s="80">
        <f ca="1">IFERROR(__xludf.DUMMYFUNCTION("""COMPUTED_VALUE"""),3)</f>
        <v>3</v>
      </c>
      <c r="H515" s="80" t="str">
        <f ca="1">IFERROR(__xludf.DUMMYFUNCTION("""COMPUTED_VALUE"""),"DR")</f>
        <v>DR</v>
      </c>
      <c r="I515" s="80">
        <f ca="1">IFERROR(__xludf.DUMMYFUNCTION("""COMPUTED_VALUE"""),4)</f>
        <v>4</v>
      </c>
      <c r="J515" s="81">
        <f ca="1">IFERROR(__xludf.DUMMYFUNCTION("""COMPUTED_VALUE"""),4)</f>
        <v>4</v>
      </c>
      <c r="K515" s="81">
        <f ca="1">IFERROR(__xludf.DUMMYFUNCTION("""COMPUTED_VALUE"""),90.1)</f>
        <v>90.1</v>
      </c>
      <c r="L515" s="81">
        <f ca="1">IFERROR(__xludf.DUMMYFUNCTION("""COMPUTED_VALUE"""),84.8)</f>
        <v>84.8</v>
      </c>
      <c r="M515" s="81"/>
      <c r="N515" s="81">
        <f ca="1">IFERROR(__xludf.DUMMYFUNCTION("""COMPUTED_VALUE"""),90.1)</f>
        <v>90.1</v>
      </c>
      <c r="O515" s="81"/>
      <c r="P515" s="81">
        <f ca="1">IFERROR(__xludf.DUMMYFUNCTION("""COMPUTED_VALUE"""),0)</f>
        <v>0</v>
      </c>
      <c r="Q515" s="81"/>
      <c r="R515" s="81">
        <f ca="1">IFERROR(__xludf.DUMMYFUNCTION("""COMPUTED_VALUE"""),75.6)</f>
        <v>75.599999999999994</v>
      </c>
      <c r="S515" s="81"/>
      <c r="T515" s="81"/>
      <c r="U515" s="82"/>
      <c r="V515" s="82"/>
      <c r="W515" s="83"/>
      <c r="X515" s="83"/>
      <c r="Y515" s="83"/>
    </row>
    <row r="516" spans="1:25" ht="13.8">
      <c r="A516" s="78" t="str">
        <f ca="1">IFERROR(__xludf.DUMMYFUNCTION("""COMPUTED_VALUE"""),"DR")</f>
        <v>DR</v>
      </c>
      <c r="B516" s="79" t="str">
        <f ca="1">IFERROR(__xludf.DUMMYFUNCTION("""COMPUTED_VALUE"""),"Amara Chandy")</f>
        <v>Amara Chandy</v>
      </c>
      <c r="C516" s="78">
        <f ca="1">IFERROR(__xludf.DUMMYFUNCTION("""COMPUTED_VALUE"""),11)</f>
        <v>11</v>
      </c>
      <c r="D516" s="78" t="str">
        <f ca="1">IFERROR(__xludf.DUMMYFUNCTION("""COMPUTED_VALUE"""),"G")</f>
        <v>G</v>
      </c>
      <c r="E516" s="80" t="str">
        <f ca="1">IFERROR(__xludf.DUMMYFUNCTION("""COMPUTED_VALUE"""),"J")</f>
        <v>J</v>
      </c>
      <c r="F516" s="80" t="str">
        <f ca="1">IFERROR(__xludf.DUMMYFUNCTION("""COMPUTED_VALUE"""),"I")</f>
        <v>I</v>
      </c>
      <c r="G516" s="80">
        <f ca="1">IFERROR(__xludf.DUMMYFUNCTION("""COMPUTED_VALUE"""),3)</f>
        <v>3</v>
      </c>
      <c r="H516" s="80" t="str">
        <f ca="1">IFERROR(__xludf.DUMMYFUNCTION("""COMPUTED_VALUE"""),"DR")</f>
        <v>DR</v>
      </c>
      <c r="I516" s="80">
        <f ca="1">IFERROR(__xludf.DUMMYFUNCTION("""COMPUTED_VALUE"""),4)</f>
        <v>4</v>
      </c>
      <c r="J516" s="81">
        <f ca="1">IFERROR(__xludf.DUMMYFUNCTION("""COMPUTED_VALUE"""),0)</f>
        <v>0</v>
      </c>
      <c r="K516" s="81">
        <f ca="1">IFERROR(__xludf.DUMMYFUNCTION("""COMPUTED_VALUE"""),0)</f>
        <v>0</v>
      </c>
      <c r="L516" s="81">
        <f ca="1">IFERROR(__xludf.DUMMYFUNCTION("""COMPUTED_VALUE"""),0)</f>
        <v>0</v>
      </c>
      <c r="M516" s="81"/>
      <c r="N516" s="81">
        <f ca="1">IFERROR(__xludf.DUMMYFUNCTION("""COMPUTED_VALUE"""),0)</f>
        <v>0</v>
      </c>
      <c r="O516" s="81"/>
      <c r="P516" s="81">
        <f ca="1">IFERROR(__xludf.DUMMYFUNCTION("""COMPUTED_VALUE"""),0)</f>
        <v>0</v>
      </c>
      <c r="Q516" s="81"/>
      <c r="R516" s="81">
        <f ca="1">IFERROR(__xludf.DUMMYFUNCTION("""COMPUTED_VALUE"""),0)</f>
        <v>0</v>
      </c>
      <c r="S516" s="81"/>
      <c r="T516" s="81"/>
      <c r="U516" s="82"/>
      <c r="V516" s="82"/>
      <c r="W516" s="83"/>
      <c r="X516" s="83"/>
      <c r="Y516" s="83"/>
    </row>
    <row r="517" spans="1:25" ht="13.8">
      <c r="A517" s="78" t="str">
        <f ca="1">IFERROR(__xludf.DUMMYFUNCTION("""COMPUTED_VALUE"""),"DR")</f>
        <v>DR</v>
      </c>
      <c r="B517" s="79" t="str">
        <f ca="1">IFERROR(__xludf.DUMMYFUNCTION("""COMPUTED_VALUE"""),"Keira Dunne")</f>
        <v>Keira Dunne</v>
      </c>
      <c r="C517" s="78">
        <f ca="1">IFERROR(__xludf.DUMMYFUNCTION("""COMPUTED_VALUE"""),11)</f>
        <v>11</v>
      </c>
      <c r="D517" s="78" t="str">
        <f ca="1">IFERROR(__xludf.DUMMYFUNCTION("""COMPUTED_VALUE"""),"G")</f>
        <v>G</v>
      </c>
      <c r="E517" s="80" t="str">
        <f ca="1">IFERROR(__xludf.DUMMYFUNCTION("""COMPUTED_VALUE"""),"J")</f>
        <v>J</v>
      </c>
      <c r="F517" s="80" t="str">
        <f ca="1">IFERROR(__xludf.DUMMYFUNCTION("""COMPUTED_VALUE"""),"I")</f>
        <v>I</v>
      </c>
      <c r="G517" s="80">
        <f ca="1">IFERROR(__xludf.DUMMYFUNCTION("""COMPUTED_VALUE"""),3)</f>
        <v>3</v>
      </c>
      <c r="H517" s="80" t="str">
        <f ca="1">IFERROR(__xludf.DUMMYFUNCTION("""COMPUTED_VALUE"""),"DR")</f>
        <v>DR</v>
      </c>
      <c r="I517" s="80">
        <f ca="1">IFERROR(__xludf.DUMMYFUNCTION("""COMPUTED_VALUE"""),4)</f>
        <v>4</v>
      </c>
      <c r="J517" s="81">
        <f ca="1">IFERROR(__xludf.DUMMYFUNCTION("""COMPUTED_VALUE"""),0)</f>
        <v>0</v>
      </c>
      <c r="K517" s="81">
        <f ca="1">IFERROR(__xludf.DUMMYFUNCTION("""COMPUTED_VALUE"""),0)</f>
        <v>0</v>
      </c>
      <c r="L517" s="81">
        <f ca="1">IFERROR(__xludf.DUMMYFUNCTION("""COMPUTED_VALUE"""),0)</f>
        <v>0</v>
      </c>
      <c r="M517" s="81"/>
      <c r="N517" s="81">
        <f ca="1">IFERROR(__xludf.DUMMYFUNCTION("""COMPUTED_VALUE"""),0)</f>
        <v>0</v>
      </c>
      <c r="O517" s="81"/>
      <c r="P517" s="81">
        <f ca="1">IFERROR(__xludf.DUMMYFUNCTION("""COMPUTED_VALUE"""),0)</f>
        <v>0</v>
      </c>
      <c r="Q517" s="81"/>
      <c r="R517" s="81">
        <f ca="1">IFERROR(__xludf.DUMMYFUNCTION("""COMPUTED_VALUE"""),0)</f>
        <v>0</v>
      </c>
      <c r="S517" s="81"/>
      <c r="T517" s="81"/>
      <c r="U517" s="82"/>
      <c r="V517" s="82"/>
      <c r="W517" s="83"/>
      <c r="X517" s="83"/>
      <c r="Y517" s="83"/>
    </row>
    <row r="518" spans="1:25" ht="13.8">
      <c r="A518" s="78" t="str">
        <f ca="1">IFERROR(__xludf.DUMMYFUNCTION("""COMPUTED_VALUE"""),"DR")</f>
        <v>DR</v>
      </c>
      <c r="B518" s="79" t="str">
        <f ca="1">IFERROR(__xludf.DUMMYFUNCTION("""COMPUTED_VALUE"""),"Madeline Duong")</f>
        <v>Madeline Duong</v>
      </c>
      <c r="C518" s="78">
        <f ca="1">IFERROR(__xludf.DUMMYFUNCTION("""COMPUTED_VALUE"""),12)</f>
        <v>12</v>
      </c>
      <c r="D518" s="78" t="str">
        <f ca="1">IFERROR(__xludf.DUMMYFUNCTION("""COMPUTED_VALUE"""),"G")</f>
        <v>G</v>
      </c>
      <c r="E518" s="80" t="str">
        <f ca="1">IFERROR(__xludf.DUMMYFUNCTION("""COMPUTED_VALUE"""),"J")</f>
        <v>J</v>
      </c>
      <c r="F518" s="80" t="str">
        <f ca="1">IFERROR(__xludf.DUMMYFUNCTION("""COMPUTED_VALUE"""),"I")</f>
        <v>I</v>
      </c>
      <c r="G518" s="80">
        <f ca="1">IFERROR(__xludf.DUMMYFUNCTION("""COMPUTED_VALUE"""),3)</f>
        <v>3</v>
      </c>
      <c r="H518" s="80" t="str">
        <f ca="1">IFERROR(__xludf.DUMMYFUNCTION("""COMPUTED_VALUE"""),"DR")</f>
        <v>DR</v>
      </c>
      <c r="I518" s="80">
        <f ca="1">IFERROR(__xludf.DUMMYFUNCTION("""COMPUTED_VALUE"""),4)</f>
        <v>4</v>
      </c>
      <c r="J518" s="81">
        <f ca="1">IFERROR(__xludf.DUMMYFUNCTION("""COMPUTED_VALUE"""),0)</f>
        <v>0</v>
      </c>
      <c r="K518" s="81">
        <f ca="1">IFERROR(__xludf.DUMMYFUNCTION("""COMPUTED_VALUE"""),0)</f>
        <v>0</v>
      </c>
      <c r="L518" s="81">
        <f ca="1">IFERROR(__xludf.DUMMYFUNCTION("""COMPUTED_VALUE"""),0)</f>
        <v>0</v>
      </c>
      <c r="M518" s="81"/>
      <c r="N518" s="81">
        <f ca="1">IFERROR(__xludf.DUMMYFUNCTION("""COMPUTED_VALUE"""),0)</f>
        <v>0</v>
      </c>
      <c r="O518" s="81"/>
      <c r="P518" s="81">
        <f ca="1">IFERROR(__xludf.DUMMYFUNCTION("""COMPUTED_VALUE"""),0)</f>
        <v>0</v>
      </c>
      <c r="Q518" s="81"/>
      <c r="R518" s="81">
        <f ca="1">IFERROR(__xludf.DUMMYFUNCTION("""COMPUTED_VALUE"""),0)</f>
        <v>0</v>
      </c>
      <c r="S518" s="81"/>
      <c r="T518" s="81"/>
      <c r="U518" s="82"/>
      <c r="V518" s="82"/>
      <c r="W518" s="83"/>
      <c r="X518" s="83"/>
      <c r="Y518" s="83"/>
    </row>
    <row r="519" spans="1:25" ht="13.8">
      <c r="A519" s="78" t="str">
        <f ca="1">IFERROR(__xludf.DUMMYFUNCTION("""COMPUTED_VALUE"""),"DR")</f>
        <v>DR</v>
      </c>
      <c r="B519" s="79" t="str">
        <f ca="1">IFERROR(__xludf.DUMMYFUNCTION("""COMPUTED_VALUE"""),"Nora Elder")</f>
        <v>Nora Elder</v>
      </c>
      <c r="C519" s="78">
        <f ca="1">IFERROR(__xludf.DUMMYFUNCTION("""COMPUTED_VALUE"""),11)</f>
        <v>11</v>
      </c>
      <c r="D519" s="78" t="str">
        <f ca="1">IFERROR(__xludf.DUMMYFUNCTION("""COMPUTED_VALUE"""),"G")</f>
        <v>G</v>
      </c>
      <c r="E519" s="80" t="str">
        <f ca="1">IFERROR(__xludf.DUMMYFUNCTION("""COMPUTED_VALUE"""),"J")</f>
        <v>J</v>
      </c>
      <c r="F519" s="80" t="str">
        <f ca="1">IFERROR(__xludf.DUMMYFUNCTION("""COMPUTED_VALUE"""),"I")</f>
        <v>I</v>
      </c>
      <c r="G519" s="80">
        <f ca="1">IFERROR(__xludf.DUMMYFUNCTION("""COMPUTED_VALUE"""),3)</f>
        <v>3</v>
      </c>
      <c r="H519" s="80" t="str">
        <f ca="1">IFERROR(__xludf.DUMMYFUNCTION("""COMPUTED_VALUE"""),"DR")</f>
        <v>DR</v>
      </c>
      <c r="I519" s="80">
        <f ca="1">IFERROR(__xludf.DUMMYFUNCTION("""COMPUTED_VALUE"""),4)</f>
        <v>4</v>
      </c>
      <c r="J519" s="81">
        <f ca="1">IFERROR(__xludf.DUMMYFUNCTION("""COMPUTED_VALUE"""),0)</f>
        <v>0</v>
      </c>
      <c r="K519" s="81">
        <f ca="1">IFERROR(__xludf.DUMMYFUNCTION("""COMPUTED_VALUE"""),0)</f>
        <v>0</v>
      </c>
      <c r="L519" s="81">
        <f ca="1">IFERROR(__xludf.DUMMYFUNCTION("""COMPUTED_VALUE"""),0)</f>
        <v>0</v>
      </c>
      <c r="M519" s="81"/>
      <c r="N519" s="81">
        <f ca="1">IFERROR(__xludf.DUMMYFUNCTION("""COMPUTED_VALUE"""),0)</f>
        <v>0</v>
      </c>
      <c r="O519" s="81"/>
      <c r="P519" s="81">
        <f ca="1">IFERROR(__xludf.DUMMYFUNCTION("""COMPUTED_VALUE"""),0)</f>
        <v>0</v>
      </c>
      <c r="Q519" s="81"/>
      <c r="R519" s="81">
        <f ca="1">IFERROR(__xludf.DUMMYFUNCTION("""COMPUTED_VALUE"""),0)</f>
        <v>0</v>
      </c>
      <c r="S519" s="81"/>
      <c r="T519" s="81"/>
      <c r="U519" s="82"/>
      <c r="V519" s="82"/>
      <c r="W519" s="83"/>
      <c r="X519" s="83"/>
      <c r="Y519" s="83"/>
    </row>
    <row r="520" spans="1:25" ht="13.8">
      <c r="A520" s="78" t="str">
        <f ca="1">IFERROR(__xludf.DUMMYFUNCTION("""COMPUTED_VALUE"""),"DR")</f>
        <v>DR</v>
      </c>
      <c r="B520" s="79" t="str">
        <f ca="1">IFERROR(__xludf.DUMMYFUNCTION("""COMPUTED_VALUE"""),"Ruth Eliot")</f>
        <v>Ruth Eliot</v>
      </c>
      <c r="C520" s="78">
        <f ca="1">IFERROR(__xludf.DUMMYFUNCTION("""COMPUTED_VALUE"""),11)</f>
        <v>11</v>
      </c>
      <c r="D520" s="78" t="str">
        <f ca="1">IFERROR(__xludf.DUMMYFUNCTION("""COMPUTED_VALUE"""),"G")</f>
        <v>G</v>
      </c>
      <c r="E520" s="80" t="str">
        <f ca="1">IFERROR(__xludf.DUMMYFUNCTION("""COMPUTED_VALUE"""),"J")</f>
        <v>J</v>
      </c>
      <c r="F520" s="80" t="str">
        <f ca="1">IFERROR(__xludf.DUMMYFUNCTION("""COMPUTED_VALUE"""),"I")</f>
        <v>I</v>
      </c>
      <c r="G520" s="80">
        <f ca="1">IFERROR(__xludf.DUMMYFUNCTION("""COMPUTED_VALUE"""),3)</f>
        <v>3</v>
      </c>
      <c r="H520" s="80" t="str">
        <f ca="1">IFERROR(__xludf.DUMMYFUNCTION("""COMPUTED_VALUE"""),"DR")</f>
        <v>DR</v>
      </c>
      <c r="I520" s="80">
        <f ca="1">IFERROR(__xludf.DUMMYFUNCTION("""COMPUTED_VALUE"""),4)</f>
        <v>4</v>
      </c>
      <c r="J520" s="81">
        <f ca="1">IFERROR(__xludf.DUMMYFUNCTION("""COMPUTED_VALUE"""),2)</f>
        <v>2</v>
      </c>
      <c r="K520" s="81">
        <f ca="1">IFERROR(__xludf.DUMMYFUNCTION("""COMPUTED_VALUE"""),60.55)</f>
        <v>60.55</v>
      </c>
      <c r="L520" s="81">
        <f ca="1">IFERROR(__xludf.DUMMYFUNCTION("""COMPUTED_VALUE"""),0)</f>
        <v>0</v>
      </c>
      <c r="M520" s="81"/>
      <c r="N520" s="81">
        <f ca="1">IFERROR(__xludf.DUMMYFUNCTION("""COMPUTED_VALUE"""),0)</f>
        <v>0</v>
      </c>
      <c r="O520" s="81"/>
      <c r="P520" s="81">
        <f ca="1">IFERROR(__xludf.DUMMYFUNCTION("""COMPUTED_VALUE"""),60.55)</f>
        <v>60.55</v>
      </c>
      <c r="Q520" s="81"/>
      <c r="R520" s="81">
        <f ca="1">IFERROR(__xludf.DUMMYFUNCTION("""COMPUTED_VALUE"""),56.1)</f>
        <v>56.1</v>
      </c>
      <c r="S520" s="81"/>
      <c r="T520" s="81"/>
      <c r="U520" s="82"/>
      <c r="V520" s="82"/>
      <c r="W520" s="83"/>
      <c r="X520" s="83"/>
      <c r="Y520" s="83"/>
    </row>
    <row r="521" spans="1:25" ht="13.8">
      <c r="A521" s="78" t="str">
        <f ca="1">IFERROR(__xludf.DUMMYFUNCTION("""COMPUTED_VALUE"""),"DR")</f>
        <v>DR</v>
      </c>
      <c r="B521" s="79" t="str">
        <f ca="1">IFERROR(__xludf.DUMMYFUNCTION("""COMPUTED_VALUE"""),"Arya Greenwood")</f>
        <v>Arya Greenwood</v>
      </c>
      <c r="C521" s="78">
        <f ca="1">IFERROR(__xludf.DUMMYFUNCTION("""COMPUTED_VALUE"""),11)</f>
        <v>11</v>
      </c>
      <c r="D521" s="78" t="str">
        <f ca="1">IFERROR(__xludf.DUMMYFUNCTION("""COMPUTED_VALUE"""),"G")</f>
        <v>G</v>
      </c>
      <c r="E521" s="80" t="str">
        <f ca="1">IFERROR(__xludf.DUMMYFUNCTION("""COMPUTED_VALUE"""),"J")</f>
        <v>J</v>
      </c>
      <c r="F521" s="80" t="str">
        <f ca="1">IFERROR(__xludf.DUMMYFUNCTION("""COMPUTED_VALUE"""),"I")</f>
        <v>I</v>
      </c>
      <c r="G521" s="80">
        <f ca="1">IFERROR(__xludf.DUMMYFUNCTION("""COMPUTED_VALUE"""),3)</f>
        <v>3</v>
      </c>
      <c r="H521" s="80" t="str">
        <f ca="1">IFERROR(__xludf.DUMMYFUNCTION("""COMPUTED_VALUE"""),"DR")</f>
        <v>DR</v>
      </c>
      <c r="I521" s="80">
        <f ca="1">IFERROR(__xludf.DUMMYFUNCTION("""COMPUTED_VALUE"""),4)</f>
        <v>4</v>
      </c>
      <c r="J521" s="81">
        <f ca="1">IFERROR(__xludf.DUMMYFUNCTION("""COMPUTED_VALUE"""),0)</f>
        <v>0</v>
      </c>
      <c r="K521" s="81">
        <f ca="1">IFERROR(__xludf.DUMMYFUNCTION("""COMPUTED_VALUE"""),0)</f>
        <v>0</v>
      </c>
      <c r="L521" s="81">
        <f ca="1">IFERROR(__xludf.DUMMYFUNCTION("""COMPUTED_VALUE"""),0)</f>
        <v>0</v>
      </c>
      <c r="M521" s="81"/>
      <c r="N521" s="81">
        <f ca="1">IFERROR(__xludf.DUMMYFUNCTION("""COMPUTED_VALUE"""),0)</f>
        <v>0</v>
      </c>
      <c r="O521" s="81"/>
      <c r="P521" s="81">
        <f ca="1">IFERROR(__xludf.DUMMYFUNCTION("""COMPUTED_VALUE"""),0)</f>
        <v>0</v>
      </c>
      <c r="Q521" s="81"/>
      <c r="R521" s="81">
        <f ca="1">IFERROR(__xludf.DUMMYFUNCTION("""COMPUTED_VALUE"""),0)</f>
        <v>0</v>
      </c>
      <c r="S521" s="81"/>
      <c r="T521" s="81"/>
      <c r="U521" s="82"/>
      <c r="V521" s="82"/>
      <c r="W521" s="83"/>
      <c r="X521" s="83"/>
      <c r="Y521" s="83"/>
    </row>
    <row r="522" spans="1:25" ht="13.8">
      <c r="A522" s="78" t="str">
        <f ca="1">IFERROR(__xludf.DUMMYFUNCTION("""COMPUTED_VALUE"""),"DR")</f>
        <v>DR</v>
      </c>
      <c r="B522" s="79" t="str">
        <f ca="1">IFERROR(__xludf.DUMMYFUNCTION("""COMPUTED_VALUE"""),"Nina Jaeckel")</f>
        <v>Nina Jaeckel</v>
      </c>
      <c r="C522" s="78">
        <f ca="1">IFERROR(__xludf.DUMMYFUNCTION("""COMPUTED_VALUE"""),11)</f>
        <v>11</v>
      </c>
      <c r="D522" s="78" t="str">
        <f ca="1">IFERROR(__xludf.DUMMYFUNCTION("""COMPUTED_VALUE"""),"G")</f>
        <v>G</v>
      </c>
      <c r="E522" s="80" t="str">
        <f ca="1">IFERROR(__xludf.DUMMYFUNCTION("""COMPUTED_VALUE"""),"J")</f>
        <v>J</v>
      </c>
      <c r="F522" s="80" t="str">
        <f ca="1">IFERROR(__xludf.DUMMYFUNCTION("""COMPUTED_VALUE"""),"I")</f>
        <v>I</v>
      </c>
      <c r="G522" s="80">
        <f ca="1">IFERROR(__xludf.DUMMYFUNCTION("""COMPUTED_VALUE"""),3)</f>
        <v>3</v>
      </c>
      <c r="H522" s="80" t="str">
        <f ca="1">IFERROR(__xludf.DUMMYFUNCTION("""COMPUTED_VALUE"""),"DR")</f>
        <v>DR</v>
      </c>
      <c r="I522" s="80">
        <f ca="1">IFERROR(__xludf.DUMMYFUNCTION("""COMPUTED_VALUE"""),4)</f>
        <v>4</v>
      </c>
      <c r="J522" s="81">
        <f ca="1">IFERROR(__xludf.DUMMYFUNCTION("""COMPUTED_VALUE"""),0)</f>
        <v>0</v>
      </c>
      <c r="K522" s="81">
        <f ca="1">IFERROR(__xludf.DUMMYFUNCTION("""COMPUTED_VALUE"""),0)</f>
        <v>0</v>
      </c>
      <c r="L522" s="81">
        <f ca="1">IFERROR(__xludf.DUMMYFUNCTION("""COMPUTED_VALUE"""),0)</f>
        <v>0</v>
      </c>
      <c r="M522" s="81"/>
      <c r="N522" s="81">
        <f ca="1">IFERROR(__xludf.DUMMYFUNCTION("""COMPUTED_VALUE"""),0)</f>
        <v>0</v>
      </c>
      <c r="O522" s="81"/>
      <c r="P522" s="81">
        <f ca="1">IFERROR(__xludf.DUMMYFUNCTION("""COMPUTED_VALUE"""),0)</f>
        <v>0</v>
      </c>
      <c r="Q522" s="81"/>
      <c r="R522" s="81">
        <f ca="1">IFERROR(__xludf.DUMMYFUNCTION("""COMPUTED_VALUE"""),0)</f>
        <v>0</v>
      </c>
      <c r="S522" s="81"/>
      <c r="T522" s="81"/>
      <c r="U522" s="82"/>
      <c r="V522" s="82"/>
      <c r="W522" s="83"/>
      <c r="X522" s="83"/>
      <c r="Y522" s="83"/>
    </row>
    <row r="523" spans="1:25" ht="13.8">
      <c r="A523" s="78" t="str">
        <f ca="1">IFERROR(__xludf.DUMMYFUNCTION("""COMPUTED_VALUE"""),"DR")</f>
        <v>DR</v>
      </c>
      <c r="B523" s="79" t="str">
        <f ca="1">IFERROR(__xludf.DUMMYFUNCTION("""COMPUTED_VALUE"""),"Addison Johnson")</f>
        <v>Addison Johnson</v>
      </c>
      <c r="C523" s="78">
        <f ca="1">IFERROR(__xludf.DUMMYFUNCTION("""COMPUTED_VALUE"""),12)</f>
        <v>12</v>
      </c>
      <c r="D523" s="78" t="str">
        <f ca="1">IFERROR(__xludf.DUMMYFUNCTION("""COMPUTED_VALUE"""),"G")</f>
        <v>G</v>
      </c>
      <c r="E523" s="80" t="str">
        <f ca="1">IFERROR(__xludf.DUMMYFUNCTION("""COMPUTED_VALUE"""),"J")</f>
        <v>J</v>
      </c>
      <c r="F523" s="80" t="str">
        <f ca="1">IFERROR(__xludf.DUMMYFUNCTION("""COMPUTED_VALUE"""),"I")</f>
        <v>I</v>
      </c>
      <c r="G523" s="80">
        <f ca="1">IFERROR(__xludf.DUMMYFUNCTION("""COMPUTED_VALUE"""),3)</f>
        <v>3</v>
      </c>
      <c r="H523" s="80" t="str">
        <f ca="1">IFERROR(__xludf.DUMMYFUNCTION("""COMPUTED_VALUE"""),"DR")</f>
        <v>DR</v>
      </c>
      <c r="I523" s="80">
        <f ca="1">IFERROR(__xludf.DUMMYFUNCTION("""COMPUTED_VALUE"""),4)</f>
        <v>4</v>
      </c>
      <c r="J523" s="81">
        <f ca="1">IFERROR(__xludf.DUMMYFUNCTION("""COMPUTED_VALUE"""),2)</f>
        <v>2</v>
      </c>
      <c r="K523" s="81">
        <f ca="1">IFERROR(__xludf.DUMMYFUNCTION("""COMPUTED_VALUE"""),92.25)</f>
        <v>92.25</v>
      </c>
      <c r="L523" s="81">
        <f ca="1">IFERROR(__xludf.DUMMYFUNCTION("""COMPUTED_VALUE"""),59.65)</f>
        <v>59.65</v>
      </c>
      <c r="M523" s="81"/>
      <c r="N523" s="81">
        <f ca="1">IFERROR(__xludf.DUMMYFUNCTION("""COMPUTED_VALUE"""),92.25)</f>
        <v>92.25</v>
      </c>
      <c r="O523" s="81"/>
      <c r="P523" s="81">
        <f ca="1">IFERROR(__xludf.DUMMYFUNCTION("""COMPUTED_VALUE"""),0)</f>
        <v>0</v>
      </c>
      <c r="Q523" s="81"/>
      <c r="R523" s="81">
        <f ca="1">IFERROR(__xludf.DUMMYFUNCTION("""COMPUTED_VALUE"""),0)</f>
        <v>0</v>
      </c>
      <c r="S523" s="81"/>
      <c r="T523" s="81"/>
      <c r="U523" s="82"/>
      <c r="V523" s="82"/>
      <c r="W523" s="83"/>
      <c r="X523" s="83"/>
      <c r="Y523" s="83"/>
    </row>
    <row r="524" spans="1:25" ht="13.8">
      <c r="A524" s="78" t="str">
        <f ca="1">IFERROR(__xludf.DUMMYFUNCTION("""COMPUTED_VALUE"""),"DR")</f>
        <v>DR</v>
      </c>
      <c r="B524" s="79" t="str">
        <f ca="1">IFERROR(__xludf.DUMMYFUNCTION("""COMPUTED_VALUE"""),"Anna Jungman")</f>
        <v>Anna Jungman</v>
      </c>
      <c r="C524" s="78">
        <f ca="1">IFERROR(__xludf.DUMMYFUNCTION("""COMPUTED_VALUE"""),11)</f>
        <v>11</v>
      </c>
      <c r="D524" s="78" t="str">
        <f ca="1">IFERROR(__xludf.DUMMYFUNCTION("""COMPUTED_VALUE"""),"G")</f>
        <v>G</v>
      </c>
      <c r="E524" s="80" t="str">
        <f ca="1">IFERROR(__xludf.DUMMYFUNCTION("""COMPUTED_VALUE"""),"J")</f>
        <v>J</v>
      </c>
      <c r="F524" s="80" t="str">
        <f ca="1">IFERROR(__xludf.DUMMYFUNCTION("""COMPUTED_VALUE"""),"I")</f>
        <v>I</v>
      </c>
      <c r="G524" s="80">
        <f ca="1">IFERROR(__xludf.DUMMYFUNCTION("""COMPUTED_VALUE"""),3)</f>
        <v>3</v>
      </c>
      <c r="H524" s="80" t="str">
        <f ca="1">IFERROR(__xludf.DUMMYFUNCTION("""COMPUTED_VALUE"""),"DR")</f>
        <v>DR</v>
      </c>
      <c r="I524" s="80">
        <f ca="1">IFERROR(__xludf.DUMMYFUNCTION("""COMPUTED_VALUE"""),4)</f>
        <v>4</v>
      </c>
      <c r="J524" s="81">
        <f ca="1">IFERROR(__xludf.DUMMYFUNCTION("""COMPUTED_VALUE"""),0)</f>
        <v>0</v>
      </c>
      <c r="K524" s="81">
        <f ca="1">IFERROR(__xludf.DUMMYFUNCTION("""COMPUTED_VALUE"""),0)</f>
        <v>0</v>
      </c>
      <c r="L524" s="81">
        <f ca="1">IFERROR(__xludf.DUMMYFUNCTION("""COMPUTED_VALUE"""),0)</f>
        <v>0</v>
      </c>
      <c r="M524" s="81"/>
      <c r="N524" s="81">
        <f ca="1">IFERROR(__xludf.DUMMYFUNCTION("""COMPUTED_VALUE"""),0)</f>
        <v>0</v>
      </c>
      <c r="O524" s="81"/>
      <c r="P524" s="81">
        <f ca="1">IFERROR(__xludf.DUMMYFUNCTION("""COMPUTED_VALUE"""),0)</f>
        <v>0</v>
      </c>
      <c r="Q524" s="81"/>
      <c r="R524" s="81">
        <f ca="1">IFERROR(__xludf.DUMMYFUNCTION("""COMPUTED_VALUE"""),0)</f>
        <v>0</v>
      </c>
      <c r="S524" s="81"/>
      <c r="T524" s="81"/>
      <c r="U524" s="82"/>
      <c r="V524" s="82"/>
      <c r="W524" s="83"/>
      <c r="X524" s="83"/>
      <c r="Y524" s="83"/>
    </row>
    <row r="525" spans="1:25" ht="13.8">
      <c r="A525" s="78" t="str">
        <f ca="1">IFERROR(__xludf.DUMMYFUNCTION("""COMPUTED_VALUE"""),"DR")</f>
        <v>DR</v>
      </c>
      <c r="B525" s="79" t="str">
        <f ca="1">IFERROR(__xludf.DUMMYFUNCTION("""COMPUTED_VALUE"""),"Riley McDonnell")</f>
        <v>Riley McDonnell</v>
      </c>
      <c r="C525" s="78">
        <f ca="1">IFERROR(__xludf.DUMMYFUNCTION("""COMPUTED_VALUE"""),12)</f>
        <v>12</v>
      </c>
      <c r="D525" s="78" t="str">
        <f ca="1">IFERROR(__xludf.DUMMYFUNCTION("""COMPUTED_VALUE"""),"G")</f>
        <v>G</v>
      </c>
      <c r="E525" s="80" t="str">
        <f ca="1">IFERROR(__xludf.DUMMYFUNCTION("""COMPUTED_VALUE"""),"J")</f>
        <v>J</v>
      </c>
      <c r="F525" s="80" t="str">
        <f ca="1">IFERROR(__xludf.DUMMYFUNCTION("""COMPUTED_VALUE"""),"I")</f>
        <v>I</v>
      </c>
      <c r="G525" s="80">
        <f ca="1">IFERROR(__xludf.DUMMYFUNCTION("""COMPUTED_VALUE"""),3)</f>
        <v>3</v>
      </c>
      <c r="H525" s="80" t="str">
        <f ca="1">IFERROR(__xludf.DUMMYFUNCTION("""COMPUTED_VALUE"""),"DR")</f>
        <v>DR</v>
      </c>
      <c r="I525" s="80">
        <f ca="1">IFERROR(__xludf.DUMMYFUNCTION("""COMPUTED_VALUE"""),4)</f>
        <v>4</v>
      </c>
      <c r="J525" s="81">
        <f ca="1">IFERROR(__xludf.DUMMYFUNCTION("""COMPUTED_VALUE"""),1)</f>
        <v>1</v>
      </c>
      <c r="K525" s="81">
        <f ca="1">IFERROR(__xludf.DUMMYFUNCTION("""COMPUTED_VALUE"""),46)</f>
        <v>46</v>
      </c>
      <c r="L525" s="81">
        <f ca="1">IFERROR(__xludf.DUMMYFUNCTION("""COMPUTED_VALUE"""),0)</f>
        <v>0</v>
      </c>
      <c r="M525" s="81"/>
      <c r="N525" s="81">
        <f ca="1">IFERROR(__xludf.DUMMYFUNCTION("""COMPUTED_VALUE"""),0)</f>
        <v>0</v>
      </c>
      <c r="O525" s="81"/>
      <c r="P525" s="81">
        <f ca="1">IFERROR(__xludf.DUMMYFUNCTION("""COMPUTED_VALUE"""),0)</f>
        <v>0</v>
      </c>
      <c r="Q525" s="81"/>
      <c r="R525" s="81">
        <f ca="1">IFERROR(__xludf.DUMMYFUNCTION("""COMPUTED_VALUE"""),46)</f>
        <v>46</v>
      </c>
      <c r="S525" s="81"/>
      <c r="T525" s="81"/>
      <c r="U525" s="82"/>
      <c r="V525" s="82"/>
      <c r="W525" s="83"/>
      <c r="X525" s="83"/>
      <c r="Y525" s="83"/>
    </row>
    <row r="526" spans="1:25" ht="13.8">
      <c r="A526" s="78" t="str">
        <f ca="1">IFERROR(__xludf.DUMMYFUNCTION("""COMPUTED_VALUE"""),"DR")</f>
        <v>DR</v>
      </c>
      <c r="B526" s="79" t="str">
        <f ca="1">IFERROR(__xludf.DUMMYFUNCTION("""COMPUTED_VALUE"""),"Charlotte Mount")</f>
        <v>Charlotte Mount</v>
      </c>
      <c r="C526" s="78">
        <f ca="1">IFERROR(__xludf.DUMMYFUNCTION("""COMPUTED_VALUE"""),11)</f>
        <v>11</v>
      </c>
      <c r="D526" s="78" t="str">
        <f ca="1">IFERROR(__xludf.DUMMYFUNCTION("""COMPUTED_VALUE"""),"G")</f>
        <v>G</v>
      </c>
      <c r="E526" s="80" t="str">
        <f ca="1">IFERROR(__xludf.DUMMYFUNCTION("""COMPUTED_VALUE"""),"J")</f>
        <v>J</v>
      </c>
      <c r="F526" s="80" t="str">
        <f ca="1">IFERROR(__xludf.DUMMYFUNCTION("""COMPUTED_VALUE"""),"I")</f>
        <v>I</v>
      </c>
      <c r="G526" s="80">
        <f ca="1">IFERROR(__xludf.DUMMYFUNCTION("""COMPUTED_VALUE"""),3)</f>
        <v>3</v>
      </c>
      <c r="H526" s="80" t="str">
        <f ca="1">IFERROR(__xludf.DUMMYFUNCTION("""COMPUTED_VALUE"""),"DR")</f>
        <v>DR</v>
      </c>
      <c r="I526" s="80">
        <f ca="1">IFERROR(__xludf.DUMMYFUNCTION("""COMPUTED_VALUE"""),4)</f>
        <v>4</v>
      </c>
      <c r="J526" s="81">
        <f ca="1">IFERROR(__xludf.DUMMYFUNCTION("""COMPUTED_VALUE"""),0)</f>
        <v>0</v>
      </c>
      <c r="K526" s="81">
        <f ca="1">IFERROR(__xludf.DUMMYFUNCTION("""COMPUTED_VALUE"""),0)</f>
        <v>0</v>
      </c>
      <c r="L526" s="81">
        <f ca="1">IFERROR(__xludf.DUMMYFUNCTION("""COMPUTED_VALUE"""),0)</f>
        <v>0</v>
      </c>
      <c r="M526" s="81"/>
      <c r="N526" s="81">
        <f ca="1">IFERROR(__xludf.DUMMYFUNCTION("""COMPUTED_VALUE"""),0)</f>
        <v>0</v>
      </c>
      <c r="O526" s="81"/>
      <c r="P526" s="81">
        <f ca="1">IFERROR(__xludf.DUMMYFUNCTION("""COMPUTED_VALUE"""),0)</f>
        <v>0</v>
      </c>
      <c r="Q526" s="81"/>
      <c r="R526" s="81">
        <f ca="1">IFERROR(__xludf.DUMMYFUNCTION("""COMPUTED_VALUE"""),0)</f>
        <v>0</v>
      </c>
      <c r="S526" s="81"/>
      <c r="T526" s="81"/>
      <c r="U526" s="82"/>
      <c r="V526" s="82"/>
      <c r="W526" s="83"/>
      <c r="X526" s="83"/>
      <c r="Y526" s="83"/>
    </row>
    <row r="527" spans="1:25" ht="13.8">
      <c r="A527" s="78" t="str">
        <f ca="1">IFERROR(__xludf.DUMMYFUNCTION("""COMPUTED_VALUE"""),"DR")</f>
        <v>DR</v>
      </c>
      <c r="B527" s="79" t="str">
        <f ca="1">IFERROR(__xludf.DUMMYFUNCTION("""COMPUTED_VALUE"""),"Chloe Samowich")</f>
        <v>Chloe Samowich</v>
      </c>
      <c r="C527" s="78">
        <f ca="1">IFERROR(__xludf.DUMMYFUNCTION("""COMPUTED_VALUE"""),12)</f>
        <v>12</v>
      </c>
      <c r="D527" s="78" t="str">
        <f ca="1">IFERROR(__xludf.DUMMYFUNCTION("""COMPUTED_VALUE"""),"G")</f>
        <v>G</v>
      </c>
      <c r="E527" s="80" t="str">
        <f ca="1">IFERROR(__xludf.DUMMYFUNCTION("""COMPUTED_VALUE"""),"J")</f>
        <v>J</v>
      </c>
      <c r="F527" s="80" t="str">
        <f ca="1">IFERROR(__xludf.DUMMYFUNCTION("""COMPUTED_VALUE"""),"I")</f>
        <v>I</v>
      </c>
      <c r="G527" s="80">
        <f ca="1">IFERROR(__xludf.DUMMYFUNCTION("""COMPUTED_VALUE"""),3)</f>
        <v>3</v>
      </c>
      <c r="H527" s="80" t="str">
        <f ca="1">IFERROR(__xludf.DUMMYFUNCTION("""COMPUTED_VALUE"""),"DR")</f>
        <v>DR</v>
      </c>
      <c r="I527" s="80">
        <f ca="1">IFERROR(__xludf.DUMMYFUNCTION("""COMPUTED_VALUE"""),4)</f>
        <v>4</v>
      </c>
      <c r="J527" s="81">
        <f ca="1">IFERROR(__xludf.DUMMYFUNCTION("""COMPUTED_VALUE"""),3)</f>
        <v>3</v>
      </c>
      <c r="K527" s="81">
        <f ca="1">IFERROR(__xludf.DUMMYFUNCTION("""COMPUTED_VALUE"""),92.7)</f>
        <v>92.7</v>
      </c>
      <c r="L527" s="81">
        <f ca="1">IFERROR(__xludf.DUMMYFUNCTION("""COMPUTED_VALUE"""),92.05)</f>
        <v>92.05</v>
      </c>
      <c r="M527" s="81"/>
      <c r="N527" s="81">
        <f ca="1">IFERROR(__xludf.DUMMYFUNCTION("""COMPUTED_VALUE"""),92.7)</f>
        <v>92.7</v>
      </c>
      <c r="O527" s="81"/>
      <c r="P527" s="81">
        <f ca="1">IFERROR(__xludf.DUMMYFUNCTION("""COMPUTED_VALUE"""),81.35)</f>
        <v>81.349999999999994</v>
      </c>
      <c r="Q527" s="81"/>
      <c r="R527" s="81">
        <f ca="1">IFERROR(__xludf.DUMMYFUNCTION("""COMPUTED_VALUE"""),0)</f>
        <v>0</v>
      </c>
      <c r="S527" s="81"/>
      <c r="T527" s="81"/>
      <c r="U527" s="82"/>
      <c r="V527" s="82"/>
      <c r="W527" s="83"/>
      <c r="X527" s="83"/>
      <c r="Y527" s="83"/>
    </row>
    <row r="528" spans="1:25" ht="13.8">
      <c r="A528" s="78" t="str">
        <f ca="1">IFERROR(__xludf.DUMMYFUNCTION("""COMPUTED_VALUE"""),"DR")</f>
        <v>DR</v>
      </c>
      <c r="B528" s="79" t="str">
        <f ca="1">IFERROR(__xludf.DUMMYFUNCTION("""COMPUTED_VALUE"""),"Riley Wishneff")</f>
        <v>Riley Wishneff</v>
      </c>
      <c r="C528" s="78">
        <f ca="1">IFERROR(__xludf.DUMMYFUNCTION("""COMPUTED_VALUE"""),11)</f>
        <v>11</v>
      </c>
      <c r="D528" s="78" t="str">
        <f ca="1">IFERROR(__xludf.DUMMYFUNCTION("""COMPUTED_VALUE"""),"G")</f>
        <v>G</v>
      </c>
      <c r="E528" s="80" t="str">
        <f ca="1">IFERROR(__xludf.DUMMYFUNCTION("""COMPUTED_VALUE"""),"J")</f>
        <v>J</v>
      </c>
      <c r="F528" s="80" t="str">
        <f ca="1">IFERROR(__xludf.DUMMYFUNCTION("""COMPUTED_VALUE"""),"I")</f>
        <v>I</v>
      </c>
      <c r="G528" s="80">
        <f ca="1">IFERROR(__xludf.DUMMYFUNCTION("""COMPUTED_VALUE"""),3)</f>
        <v>3</v>
      </c>
      <c r="H528" s="80" t="str">
        <f ca="1">IFERROR(__xludf.DUMMYFUNCTION("""COMPUTED_VALUE"""),"DR")</f>
        <v>DR</v>
      </c>
      <c r="I528" s="80">
        <f ca="1">IFERROR(__xludf.DUMMYFUNCTION("""COMPUTED_VALUE"""),4)</f>
        <v>4</v>
      </c>
      <c r="J528" s="81">
        <f ca="1">IFERROR(__xludf.DUMMYFUNCTION("""COMPUTED_VALUE"""),0)</f>
        <v>0</v>
      </c>
      <c r="K528" s="81">
        <f ca="1">IFERROR(__xludf.DUMMYFUNCTION("""COMPUTED_VALUE"""),0)</f>
        <v>0</v>
      </c>
      <c r="L528" s="81">
        <f ca="1">IFERROR(__xludf.DUMMYFUNCTION("""COMPUTED_VALUE"""),0)</f>
        <v>0</v>
      </c>
      <c r="M528" s="81"/>
      <c r="N528" s="81">
        <f ca="1">IFERROR(__xludf.DUMMYFUNCTION("""COMPUTED_VALUE"""),0)</f>
        <v>0</v>
      </c>
      <c r="O528" s="81"/>
      <c r="P528" s="81">
        <f ca="1">IFERROR(__xludf.DUMMYFUNCTION("""COMPUTED_VALUE"""),0)</f>
        <v>0</v>
      </c>
      <c r="Q528" s="81"/>
      <c r="R528" s="81">
        <f ca="1">IFERROR(__xludf.DUMMYFUNCTION("""COMPUTED_VALUE"""),0)</f>
        <v>0</v>
      </c>
      <c r="S528" s="81"/>
      <c r="T528" s="81"/>
      <c r="U528" s="82"/>
      <c r="V528" s="82"/>
      <c r="W528" s="83"/>
      <c r="X528" s="83"/>
      <c r="Y528" s="83"/>
    </row>
    <row r="529" spans="1:25" ht="13.8">
      <c r="A529" s="78" t="str">
        <f ca="1">IFERROR(__xludf.DUMMYFUNCTION("""COMPUTED_VALUE"""),"DR")</f>
        <v>DR</v>
      </c>
      <c r="B529" s="79" t="str">
        <f ca="1">IFERROR(__xludf.DUMMYFUNCTION("""COMPUTED_VALUE"""),"Jett Bastow")</f>
        <v>Jett Bastow</v>
      </c>
      <c r="C529" s="78">
        <f ca="1">IFERROR(__xludf.DUMMYFUNCTION("""COMPUTED_VALUE"""),11)</f>
        <v>11</v>
      </c>
      <c r="D529" s="78" t="str">
        <f ca="1">IFERROR(__xludf.DUMMYFUNCTION("""COMPUTED_VALUE"""),"B")</f>
        <v>B</v>
      </c>
      <c r="E529" s="80" t="str">
        <f ca="1">IFERROR(__xludf.DUMMYFUNCTION("""COMPUTED_VALUE"""),"J")</f>
        <v>J</v>
      </c>
      <c r="F529" s="80" t="str">
        <f ca="1">IFERROR(__xludf.DUMMYFUNCTION("""COMPUTED_VALUE"""),"I")</f>
        <v>I</v>
      </c>
      <c r="G529" s="80">
        <f ca="1">IFERROR(__xludf.DUMMYFUNCTION("""COMPUTED_VALUE"""),3)</f>
        <v>3</v>
      </c>
      <c r="H529" s="80" t="str">
        <f ca="1">IFERROR(__xludf.DUMMYFUNCTION("""COMPUTED_VALUE"""),"DR")</f>
        <v>DR</v>
      </c>
      <c r="I529" s="80">
        <f ca="1">IFERROR(__xludf.DUMMYFUNCTION("""COMPUTED_VALUE"""),5)</f>
        <v>5</v>
      </c>
      <c r="J529" s="81">
        <f ca="1">IFERROR(__xludf.DUMMYFUNCTION("""COMPUTED_VALUE"""),3)</f>
        <v>3</v>
      </c>
      <c r="K529" s="81">
        <f ca="1">IFERROR(__xludf.DUMMYFUNCTION("""COMPUTED_VALUE"""),85.25)</f>
        <v>85.25</v>
      </c>
      <c r="L529" s="81">
        <f ca="1">IFERROR(__xludf.DUMMYFUNCTION("""COMPUTED_VALUE"""),0)</f>
        <v>0</v>
      </c>
      <c r="M529" s="81"/>
      <c r="N529" s="81">
        <f ca="1">IFERROR(__xludf.DUMMYFUNCTION("""COMPUTED_VALUE"""),0)</f>
        <v>0</v>
      </c>
      <c r="O529" s="81"/>
      <c r="P529" s="81">
        <f ca="1">IFERROR(__xludf.DUMMYFUNCTION("""COMPUTED_VALUE"""),68.15)</f>
        <v>68.150000000000006</v>
      </c>
      <c r="Q529" s="81"/>
      <c r="R529" s="81">
        <f ca="1">IFERROR(__xludf.DUMMYFUNCTION("""COMPUTED_VALUE"""),85.25)</f>
        <v>85.25</v>
      </c>
      <c r="S529" s="81"/>
      <c r="T529" s="81"/>
      <c r="U529" s="82"/>
      <c r="V529" s="82"/>
      <c r="W529" s="83"/>
      <c r="X529" s="83"/>
      <c r="Y529" s="83"/>
    </row>
    <row r="530" spans="1:25" ht="13.8">
      <c r="A530" s="78" t="str">
        <f ca="1">IFERROR(__xludf.DUMMYFUNCTION("""COMPUTED_VALUE"""),"DR")</f>
        <v>DR</v>
      </c>
      <c r="B530" s="79" t="str">
        <f ca="1">IFERROR(__xludf.DUMMYFUNCTION("""COMPUTED_VALUE"""),"Gabriel Cohen")</f>
        <v>Gabriel Cohen</v>
      </c>
      <c r="C530" s="78">
        <f ca="1">IFERROR(__xludf.DUMMYFUNCTION("""COMPUTED_VALUE"""),12)</f>
        <v>12</v>
      </c>
      <c r="D530" s="78" t="str">
        <f ca="1">IFERROR(__xludf.DUMMYFUNCTION("""COMPUTED_VALUE"""),"B")</f>
        <v>B</v>
      </c>
      <c r="E530" s="80" t="str">
        <f ca="1">IFERROR(__xludf.DUMMYFUNCTION("""COMPUTED_VALUE"""),"J")</f>
        <v>J</v>
      </c>
      <c r="F530" s="80" t="str">
        <f ca="1">IFERROR(__xludf.DUMMYFUNCTION("""COMPUTED_VALUE"""),"I")</f>
        <v>I</v>
      </c>
      <c r="G530" s="80">
        <f ca="1">IFERROR(__xludf.DUMMYFUNCTION("""COMPUTED_VALUE"""),3)</f>
        <v>3</v>
      </c>
      <c r="H530" s="80" t="str">
        <f ca="1">IFERROR(__xludf.DUMMYFUNCTION("""COMPUTED_VALUE"""),"DR")</f>
        <v>DR</v>
      </c>
      <c r="I530" s="80">
        <f ca="1">IFERROR(__xludf.DUMMYFUNCTION("""COMPUTED_VALUE"""),5)</f>
        <v>5</v>
      </c>
      <c r="J530" s="81">
        <f ca="1">IFERROR(__xludf.DUMMYFUNCTION("""COMPUTED_VALUE"""),0)</f>
        <v>0</v>
      </c>
      <c r="K530" s="81">
        <f ca="1">IFERROR(__xludf.DUMMYFUNCTION("""COMPUTED_VALUE"""),0)</f>
        <v>0</v>
      </c>
      <c r="L530" s="81">
        <f ca="1">IFERROR(__xludf.DUMMYFUNCTION("""COMPUTED_VALUE"""),0)</f>
        <v>0</v>
      </c>
      <c r="M530" s="81"/>
      <c r="N530" s="81">
        <f ca="1">IFERROR(__xludf.DUMMYFUNCTION("""COMPUTED_VALUE"""),0)</f>
        <v>0</v>
      </c>
      <c r="O530" s="81"/>
      <c r="P530" s="81">
        <f ca="1">IFERROR(__xludf.DUMMYFUNCTION("""COMPUTED_VALUE"""),0)</f>
        <v>0</v>
      </c>
      <c r="Q530" s="81"/>
      <c r="R530" s="81">
        <f ca="1">IFERROR(__xludf.DUMMYFUNCTION("""COMPUTED_VALUE"""),0)</f>
        <v>0</v>
      </c>
      <c r="S530" s="81"/>
      <c r="T530" s="81"/>
      <c r="U530" s="82"/>
      <c r="V530" s="82"/>
      <c r="W530" s="83"/>
      <c r="X530" s="83"/>
      <c r="Y530" s="83"/>
    </row>
    <row r="531" spans="1:25" ht="13.8">
      <c r="A531" s="78" t="str">
        <f ca="1">IFERROR(__xludf.DUMMYFUNCTION("""COMPUTED_VALUE"""),"DR")</f>
        <v>DR</v>
      </c>
      <c r="B531" s="79" t="str">
        <f ca="1">IFERROR(__xludf.DUMMYFUNCTION("""COMPUTED_VALUE"""),"James Daniel")</f>
        <v>James Daniel</v>
      </c>
      <c r="C531" s="78">
        <f ca="1">IFERROR(__xludf.DUMMYFUNCTION("""COMPUTED_VALUE"""),12)</f>
        <v>12</v>
      </c>
      <c r="D531" s="78" t="str">
        <f ca="1">IFERROR(__xludf.DUMMYFUNCTION("""COMPUTED_VALUE"""),"B")</f>
        <v>B</v>
      </c>
      <c r="E531" s="80" t="str">
        <f ca="1">IFERROR(__xludf.DUMMYFUNCTION("""COMPUTED_VALUE"""),"J")</f>
        <v>J</v>
      </c>
      <c r="F531" s="80" t="str">
        <f ca="1">IFERROR(__xludf.DUMMYFUNCTION("""COMPUTED_VALUE"""),"I")</f>
        <v>I</v>
      </c>
      <c r="G531" s="80">
        <f ca="1">IFERROR(__xludf.DUMMYFUNCTION("""COMPUTED_VALUE"""),3)</f>
        <v>3</v>
      </c>
      <c r="H531" s="80" t="str">
        <f ca="1">IFERROR(__xludf.DUMMYFUNCTION("""COMPUTED_VALUE"""),"DR")</f>
        <v>DR</v>
      </c>
      <c r="I531" s="80">
        <f ca="1">IFERROR(__xludf.DUMMYFUNCTION("""COMPUTED_VALUE"""),5)</f>
        <v>5</v>
      </c>
      <c r="J531" s="81">
        <f ca="1">IFERROR(__xludf.DUMMYFUNCTION("""COMPUTED_VALUE"""),0)</f>
        <v>0</v>
      </c>
      <c r="K531" s="81">
        <f ca="1">IFERROR(__xludf.DUMMYFUNCTION("""COMPUTED_VALUE"""),0)</f>
        <v>0</v>
      </c>
      <c r="L531" s="81">
        <f ca="1">IFERROR(__xludf.DUMMYFUNCTION("""COMPUTED_VALUE"""),0)</f>
        <v>0</v>
      </c>
      <c r="M531" s="81"/>
      <c r="N531" s="81">
        <f ca="1">IFERROR(__xludf.DUMMYFUNCTION("""COMPUTED_VALUE"""),0)</f>
        <v>0</v>
      </c>
      <c r="O531" s="81"/>
      <c r="P531" s="81">
        <f ca="1">IFERROR(__xludf.DUMMYFUNCTION("""COMPUTED_VALUE"""),0)</f>
        <v>0</v>
      </c>
      <c r="Q531" s="81"/>
      <c r="R531" s="81">
        <f ca="1">IFERROR(__xludf.DUMMYFUNCTION("""COMPUTED_VALUE"""),0)</f>
        <v>0</v>
      </c>
      <c r="S531" s="81"/>
      <c r="T531" s="81"/>
      <c r="U531" s="82"/>
      <c r="V531" s="82"/>
      <c r="W531" s="83"/>
      <c r="X531" s="83"/>
      <c r="Y531" s="83"/>
    </row>
    <row r="532" spans="1:25" ht="13.8">
      <c r="A532" s="78" t="str">
        <f ca="1">IFERROR(__xludf.DUMMYFUNCTION("""COMPUTED_VALUE"""),"DR")</f>
        <v>DR</v>
      </c>
      <c r="B532" s="79" t="str">
        <f ca="1">IFERROR(__xludf.DUMMYFUNCTION("""COMPUTED_VALUE"""),"Jack Englerth")</f>
        <v>Jack Englerth</v>
      </c>
      <c r="C532" s="78">
        <f ca="1">IFERROR(__xludf.DUMMYFUNCTION("""COMPUTED_VALUE"""),11)</f>
        <v>11</v>
      </c>
      <c r="D532" s="78" t="str">
        <f ca="1">IFERROR(__xludf.DUMMYFUNCTION("""COMPUTED_VALUE"""),"B")</f>
        <v>B</v>
      </c>
      <c r="E532" s="80" t="str">
        <f ca="1">IFERROR(__xludf.DUMMYFUNCTION("""COMPUTED_VALUE"""),"J")</f>
        <v>J</v>
      </c>
      <c r="F532" s="80" t="str">
        <f ca="1">IFERROR(__xludf.DUMMYFUNCTION("""COMPUTED_VALUE"""),"I")</f>
        <v>I</v>
      </c>
      <c r="G532" s="80">
        <f ca="1">IFERROR(__xludf.DUMMYFUNCTION("""COMPUTED_VALUE"""),3)</f>
        <v>3</v>
      </c>
      <c r="H532" s="80" t="str">
        <f ca="1">IFERROR(__xludf.DUMMYFUNCTION("""COMPUTED_VALUE"""),"DR")</f>
        <v>DR</v>
      </c>
      <c r="I532" s="80">
        <f ca="1">IFERROR(__xludf.DUMMYFUNCTION("""COMPUTED_VALUE"""),5)</f>
        <v>5</v>
      </c>
      <c r="J532" s="81">
        <f ca="1">IFERROR(__xludf.DUMMYFUNCTION("""COMPUTED_VALUE"""),4)</f>
        <v>4</v>
      </c>
      <c r="K532" s="81">
        <f ca="1">IFERROR(__xludf.DUMMYFUNCTION("""COMPUTED_VALUE"""),101.05)</f>
        <v>101.05</v>
      </c>
      <c r="L532" s="81">
        <f ca="1">IFERROR(__xludf.DUMMYFUNCTION("""COMPUTED_VALUE"""),75.1)</f>
        <v>75.099999999999994</v>
      </c>
      <c r="M532" s="81"/>
      <c r="N532" s="81">
        <f ca="1">IFERROR(__xludf.DUMMYFUNCTION("""COMPUTED_VALUE"""),101.05)</f>
        <v>101.05</v>
      </c>
      <c r="O532" s="81"/>
      <c r="P532" s="81">
        <f ca="1">IFERROR(__xludf.DUMMYFUNCTION("""COMPUTED_VALUE"""),0)</f>
        <v>0</v>
      </c>
      <c r="Q532" s="81"/>
      <c r="R532" s="81">
        <f ca="1">IFERROR(__xludf.DUMMYFUNCTION("""COMPUTED_VALUE"""),83.8)</f>
        <v>83.8</v>
      </c>
      <c r="S532" s="81"/>
      <c r="T532" s="81"/>
      <c r="U532" s="82"/>
      <c r="V532" s="82"/>
      <c r="W532" s="83"/>
      <c r="X532" s="83"/>
      <c r="Y532" s="83"/>
    </row>
    <row r="533" spans="1:25" ht="13.8">
      <c r="A533" s="78" t="str">
        <f ca="1">IFERROR(__xludf.DUMMYFUNCTION("""COMPUTED_VALUE"""),"DR")</f>
        <v>DR</v>
      </c>
      <c r="B533" s="79" t="str">
        <f ca="1">IFERROR(__xludf.DUMMYFUNCTION("""COMPUTED_VALUE"""),"Andrew Hovenburg")</f>
        <v>Andrew Hovenburg</v>
      </c>
      <c r="C533" s="78">
        <f ca="1">IFERROR(__xludf.DUMMYFUNCTION("""COMPUTED_VALUE"""),12)</f>
        <v>12</v>
      </c>
      <c r="D533" s="78" t="str">
        <f ca="1">IFERROR(__xludf.DUMMYFUNCTION("""COMPUTED_VALUE"""),"B")</f>
        <v>B</v>
      </c>
      <c r="E533" s="80" t="str">
        <f ca="1">IFERROR(__xludf.DUMMYFUNCTION("""COMPUTED_VALUE"""),"J")</f>
        <v>J</v>
      </c>
      <c r="F533" s="80" t="str">
        <f ca="1">IFERROR(__xludf.DUMMYFUNCTION("""COMPUTED_VALUE"""),"I")</f>
        <v>I</v>
      </c>
      <c r="G533" s="80">
        <f ca="1">IFERROR(__xludf.DUMMYFUNCTION("""COMPUTED_VALUE"""),3)</f>
        <v>3</v>
      </c>
      <c r="H533" s="80" t="str">
        <f ca="1">IFERROR(__xludf.DUMMYFUNCTION("""COMPUTED_VALUE"""),"DR")</f>
        <v>DR</v>
      </c>
      <c r="I533" s="80">
        <f ca="1">IFERROR(__xludf.DUMMYFUNCTION("""COMPUTED_VALUE"""),5)</f>
        <v>5</v>
      </c>
      <c r="J533" s="81">
        <f ca="1">IFERROR(__xludf.DUMMYFUNCTION("""COMPUTED_VALUE"""),0)</f>
        <v>0</v>
      </c>
      <c r="K533" s="81">
        <f ca="1">IFERROR(__xludf.DUMMYFUNCTION("""COMPUTED_VALUE"""),0)</f>
        <v>0</v>
      </c>
      <c r="L533" s="81">
        <f ca="1">IFERROR(__xludf.DUMMYFUNCTION("""COMPUTED_VALUE"""),0)</f>
        <v>0</v>
      </c>
      <c r="M533" s="81"/>
      <c r="N533" s="81">
        <f ca="1">IFERROR(__xludf.DUMMYFUNCTION("""COMPUTED_VALUE"""),0)</f>
        <v>0</v>
      </c>
      <c r="O533" s="81"/>
      <c r="P533" s="81">
        <f ca="1">IFERROR(__xludf.DUMMYFUNCTION("""COMPUTED_VALUE"""),0)</f>
        <v>0</v>
      </c>
      <c r="Q533" s="81"/>
      <c r="R533" s="81">
        <f ca="1">IFERROR(__xludf.DUMMYFUNCTION("""COMPUTED_VALUE"""),0)</f>
        <v>0</v>
      </c>
      <c r="S533" s="81"/>
      <c r="T533" s="81"/>
      <c r="U533" s="82"/>
      <c r="V533" s="82"/>
      <c r="W533" s="83"/>
      <c r="X533" s="83"/>
      <c r="Y533" s="83"/>
    </row>
    <row r="534" spans="1:25" ht="13.8">
      <c r="A534" s="78" t="str">
        <f ca="1">IFERROR(__xludf.DUMMYFUNCTION("""COMPUTED_VALUE"""),"DR")</f>
        <v>DR</v>
      </c>
      <c r="B534" s="79" t="str">
        <f ca="1">IFERROR(__xludf.DUMMYFUNCTION("""COMPUTED_VALUE"""),"Matthew Kusel")</f>
        <v>Matthew Kusel</v>
      </c>
      <c r="C534" s="78">
        <f ca="1">IFERROR(__xludf.DUMMYFUNCTION("""COMPUTED_VALUE"""),11)</f>
        <v>11</v>
      </c>
      <c r="D534" s="78" t="str">
        <f ca="1">IFERROR(__xludf.DUMMYFUNCTION("""COMPUTED_VALUE"""),"B")</f>
        <v>B</v>
      </c>
      <c r="E534" s="80" t="str">
        <f ca="1">IFERROR(__xludf.DUMMYFUNCTION("""COMPUTED_VALUE"""),"J")</f>
        <v>J</v>
      </c>
      <c r="F534" s="80" t="str">
        <f ca="1">IFERROR(__xludf.DUMMYFUNCTION("""COMPUTED_VALUE"""),"I")</f>
        <v>I</v>
      </c>
      <c r="G534" s="80">
        <f ca="1">IFERROR(__xludf.DUMMYFUNCTION("""COMPUTED_VALUE"""),3)</f>
        <v>3</v>
      </c>
      <c r="H534" s="80" t="str">
        <f ca="1">IFERROR(__xludf.DUMMYFUNCTION("""COMPUTED_VALUE"""),"DR")</f>
        <v>DR</v>
      </c>
      <c r="I534" s="80">
        <f ca="1">IFERROR(__xludf.DUMMYFUNCTION("""COMPUTED_VALUE"""),5)</f>
        <v>5</v>
      </c>
      <c r="J534" s="81">
        <f ca="1">IFERROR(__xludf.DUMMYFUNCTION("""COMPUTED_VALUE"""),0)</f>
        <v>0</v>
      </c>
      <c r="K534" s="81">
        <f ca="1">IFERROR(__xludf.DUMMYFUNCTION("""COMPUTED_VALUE"""),0)</f>
        <v>0</v>
      </c>
      <c r="L534" s="81">
        <f ca="1">IFERROR(__xludf.DUMMYFUNCTION("""COMPUTED_VALUE"""),0)</f>
        <v>0</v>
      </c>
      <c r="M534" s="81"/>
      <c r="N534" s="81">
        <f ca="1">IFERROR(__xludf.DUMMYFUNCTION("""COMPUTED_VALUE"""),0)</f>
        <v>0</v>
      </c>
      <c r="O534" s="81"/>
      <c r="P534" s="81">
        <f ca="1">IFERROR(__xludf.DUMMYFUNCTION("""COMPUTED_VALUE"""),0)</f>
        <v>0</v>
      </c>
      <c r="Q534" s="81"/>
      <c r="R534" s="81">
        <f ca="1">IFERROR(__xludf.DUMMYFUNCTION("""COMPUTED_VALUE"""),0)</f>
        <v>0</v>
      </c>
      <c r="S534" s="81"/>
      <c r="T534" s="81"/>
      <c r="U534" s="82"/>
      <c r="V534" s="82"/>
      <c r="W534" s="83"/>
      <c r="X534" s="83"/>
      <c r="Y534" s="83"/>
    </row>
    <row r="535" spans="1:25" ht="13.8">
      <c r="A535" s="78" t="str">
        <f ca="1">IFERROR(__xludf.DUMMYFUNCTION("""COMPUTED_VALUE"""),"DR")</f>
        <v>DR</v>
      </c>
      <c r="B535" s="79" t="str">
        <f ca="1">IFERROR(__xludf.DUMMYFUNCTION("""COMPUTED_VALUE"""),"Samuel Mulchandani")</f>
        <v>Samuel Mulchandani</v>
      </c>
      <c r="C535" s="78">
        <f ca="1">IFERROR(__xludf.DUMMYFUNCTION("""COMPUTED_VALUE"""),12)</f>
        <v>12</v>
      </c>
      <c r="D535" s="78" t="str">
        <f ca="1">IFERROR(__xludf.DUMMYFUNCTION("""COMPUTED_VALUE"""),"B")</f>
        <v>B</v>
      </c>
      <c r="E535" s="80" t="str">
        <f ca="1">IFERROR(__xludf.DUMMYFUNCTION("""COMPUTED_VALUE"""),"J")</f>
        <v>J</v>
      </c>
      <c r="F535" s="80" t="str">
        <f ca="1">IFERROR(__xludf.DUMMYFUNCTION("""COMPUTED_VALUE"""),"I")</f>
        <v>I</v>
      </c>
      <c r="G535" s="80">
        <f ca="1">IFERROR(__xludf.DUMMYFUNCTION("""COMPUTED_VALUE"""),3)</f>
        <v>3</v>
      </c>
      <c r="H535" s="80" t="str">
        <f ca="1">IFERROR(__xludf.DUMMYFUNCTION("""COMPUTED_VALUE"""),"DR")</f>
        <v>DR</v>
      </c>
      <c r="I535" s="80">
        <f ca="1">IFERROR(__xludf.DUMMYFUNCTION("""COMPUTED_VALUE"""),5)</f>
        <v>5</v>
      </c>
      <c r="J535" s="81">
        <f ca="1">IFERROR(__xludf.DUMMYFUNCTION("""COMPUTED_VALUE"""),4)</f>
        <v>4</v>
      </c>
      <c r="K535" s="81">
        <f ca="1">IFERROR(__xludf.DUMMYFUNCTION("""COMPUTED_VALUE"""),83.1)</f>
        <v>83.1</v>
      </c>
      <c r="L535" s="81">
        <f ca="1">IFERROR(__xludf.DUMMYFUNCTION("""COMPUTED_VALUE"""),78.8)</f>
        <v>78.8</v>
      </c>
      <c r="M535" s="81"/>
      <c r="N535" s="81">
        <f ca="1">IFERROR(__xludf.DUMMYFUNCTION("""COMPUTED_VALUE"""),83.1)</f>
        <v>83.1</v>
      </c>
      <c r="O535" s="81"/>
      <c r="P535" s="81">
        <f ca="1">IFERROR(__xludf.DUMMYFUNCTION("""COMPUTED_VALUE"""),70.45)</f>
        <v>70.45</v>
      </c>
      <c r="Q535" s="81"/>
      <c r="R535" s="81">
        <f ca="1">IFERROR(__xludf.DUMMYFUNCTION("""COMPUTED_VALUE"""),0)</f>
        <v>0</v>
      </c>
      <c r="S535" s="81"/>
      <c r="T535" s="81"/>
      <c r="U535" s="82"/>
      <c r="V535" s="82"/>
      <c r="W535" s="83"/>
      <c r="X535" s="83"/>
      <c r="Y535" s="83"/>
    </row>
    <row r="536" spans="1:25" ht="13.8">
      <c r="A536" s="78" t="str">
        <f ca="1">IFERROR(__xludf.DUMMYFUNCTION("""COMPUTED_VALUE"""),"DR")</f>
        <v>DR</v>
      </c>
      <c r="B536" s="79" t="str">
        <f ca="1">IFERROR(__xludf.DUMMYFUNCTION("""COMPUTED_VALUE"""),"Michael Staren")</f>
        <v>Michael Staren</v>
      </c>
      <c r="C536" s="78">
        <f ca="1">IFERROR(__xludf.DUMMYFUNCTION("""COMPUTED_VALUE"""),11)</f>
        <v>11</v>
      </c>
      <c r="D536" s="78" t="str">
        <f ca="1">IFERROR(__xludf.DUMMYFUNCTION("""COMPUTED_VALUE"""),"B")</f>
        <v>B</v>
      </c>
      <c r="E536" s="80" t="str">
        <f ca="1">IFERROR(__xludf.DUMMYFUNCTION("""COMPUTED_VALUE"""),"J")</f>
        <v>J</v>
      </c>
      <c r="F536" s="80" t="str">
        <f ca="1">IFERROR(__xludf.DUMMYFUNCTION("""COMPUTED_VALUE"""),"I")</f>
        <v>I</v>
      </c>
      <c r="G536" s="80">
        <f ca="1">IFERROR(__xludf.DUMMYFUNCTION("""COMPUTED_VALUE"""),3)</f>
        <v>3</v>
      </c>
      <c r="H536" s="80" t="str">
        <f ca="1">IFERROR(__xludf.DUMMYFUNCTION("""COMPUTED_VALUE"""),"DR")</f>
        <v>DR</v>
      </c>
      <c r="I536" s="80">
        <f ca="1">IFERROR(__xludf.DUMMYFUNCTION("""COMPUTED_VALUE"""),5)</f>
        <v>5</v>
      </c>
      <c r="J536" s="81">
        <f ca="1">IFERROR(__xludf.DUMMYFUNCTION("""COMPUTED_VALUE"""),4)</f>
        <v>4</v>
      </c>
      <c r="K536" s="81">
        <f ca="1">IFERROR(__xludf.DUMMYFUNCTION("""COMPUTED_VALUE"""),96.85)</f>
        <v>96.85</v>
      </c>
      <c r="L536" s="81">
        <f ca="1">IFERROR(__xludf.DUMMYFUNCTION("""COMPUTED_VALUE"""),0)</f>
        <v>0</v>
      </c>
      <c r="M536" s="81"/>
      <c r="N536" s="81">
        <f ca="1">IFERROR(__xludf.DUMMYFUNCTION("""COMPUTED_VALUE"""),96.85)</f>
        <v>96.85</v>
      </c>
      <c r="O536" s="81"/>
      <c r="P536" s="81">
        <f ca="1">IFERROR(__xludf.DUMMYFUNCTION("""COMPUTED_VALUE"""),80.6)</f>
        <v>80.599999999999994</v>
      </c>
      <c r="Q536" s="81"/>
      <c r="R536" s="81">
        <f ca="1">IFERROR(__xludf.DUMMYFUNCTION("""COMPUTED_VALUE"""),81)</f>
        <v>81</v>
      </c>
      <c r="S536" s="81"/>
      <c r="T536" s="81"/>
      <c r="U536" s="82"/>
      <c r="V536" s="82"/>
      <c r="W536" s="83"/>
      <c r="X536" s="83"/>
      <c r="Y536" s="83"/>
    </row>
    <row r="537" spans="1:25" ht="13.8">
      <c r="A537" s="78" t="str">
        <f ca="1">IFERROR(__xludf.DUMMYFUNCTION("""COMPUTED_VALUE"""),"DR")</f>
        <v>DR</v>
      </c>
      <c r="B537" s="79" t="str">
        <f ca="1">IFERROR(__xludf.DUMMYFUNCTION("""COMPUTED_VALUE"""),"Sophie Adenaw")</f>
        <v>Sophie Adenaw</v>
      </c>
      <c r="C537" s="78">
        <f ca="1">IFERROR(__xludf.DUMMYFUNCTION("""COMPUTED_VALUE"""),13)</f>
        <v>13</v>
      </c>
      <c r="D537" s="78" t="str">
        <f ca="1">IFERROR(__xludf.DUMMYFUNCTION("""COMPUTED_VALUE"""),"G")</f>
        <v>G</v>
      </c>
      <c r="E537" s="80" t="str">
        <f ca="1">IFERROR(__xludf.DUMMYFUNCTION("""COMPUTED_VALUE"""),"I")</f>
        <v>I</v>
      </c>
      <c r="F537" s="80" t="str">
        <f ca="1">IFERROR(__xludf.DUMMYFUNCTION("""COMPUTED_VALUE"""),"S")</f>
        <v>S</v>
      </c>
      <c r="G537" s="80">
        <f ca="1">IFERROR(__xludf.DUMMYFUNCTION("""COMPUTED_VALUE"""),3)</f>
        <v>3</v>
      </c>
      <c r="H537" s="80" t="str">
        <f ca="1">IFERROR(__xludf.DUMMYFUNCTION("""COMPUTED_VALUE"""),"DR")</f>
        <v>DR</v>
      </c>
      <c r="I537" s="80">
        <f ca="1">IFERROR(__xludf.DUMMYFUNCTION("""COMPUTED_VALUE"""),6)</f>
        <v>6</v>
      </c>
      <c r="J537" s="81">
        <f ca="1">IFERROR(__xludf.DUMMYFUNCTION("""COMPUTED_VALUE"""),0)</f>
        <v>0</v>
      </c>
      <c r="K537" s="81">
        <f ca="1">IFERROR(__xludf.DUMMYFUNCTION("""COMPUTED_VALUE"""),0)</f>
        <v>0</v>
      </c>
      <c r="L537" s="81">
        <f ca="1">IFERROR(__xludf.DUMMYFUNCTION("""COMPUTED_VALUE"""),0)</f>
        <v>0</v>
      </c>
      <c r="M537" s="81"/>
      <c r="N537" s="81">
        <f ca="1">IFERROR(__xludf.DUMMYFUNCTION("""COMPUTED_VALUE"""),0)</f>
        <v>0</v>
      </c>
      <c r="O537" s="81"/>
      <c r="P537" s="81">
        <f ca="1">IFERROR(__xludf.DUMMYFUNCTION("""COMPUTED_VALUE"""),0)</f>
        <v>0</v>
      </c>
      <c r="Q537" s="81"/>
      <c r="R537" s="81">
        <f ca="1">IFERROR(__xludf.DUMMYFUNCTION("""COMPUTED_VALUE"""),0)</f>
        <v>0</v>
      </c>
      <c r="S537" s="81"/>
      <c r="T537" s="81"/>
      <c r="U537" s="82"/>
      <c r="V537" s="82"/>
      <c r="W537" s="83"/>
      <c r="X537" s="83"/>
      <c r="Y537" s="83"/>
    </row>
    <row r="538" spans="1:25" ht="13.8">
      <c r="A538" s="78" t="str">
        <f ca="1">IFERROR(__xludf.DUMMYFUNCTION("""COMPUTED_VALUE"""),"DR")</f>
        <v>DR</v>
      </c>
      <c r="B538" s="79" t="str">
        <f ca="1">IFERROR(__xludf.DUMMYFUNCTION("""COMPUTED_VALUE"""),"Emma Dunne")</f>
        <v>Emma Dunne</v>
      </c>
      <c r="C538" s="78">
        <f ca="1">IFERROR(__xludf.DUMMYFUNCTION("""COMPUTED_VALUE"""),13)</f>
        <v>13</v>
      </c>
      <c r="D538" s="78" t="str">
        <f ca="1">IFERROR(__xludf.DUMMYFUNCTION("""COMPUTED_VALUE"""),"G")</f>
        <v>G</v>
      </c>
      <c r="E538" s="80" t="str">
        <f ca="1">IFERROR(__xludf.DUMMYFUNCTION("""COMPUTED_VALUE"""),"I")</f>
        <v>I</v>
      </c>
      <c r="F538" s="80" t="str">
        <f ca="1">IFERROR(__xludf.DUMMYFUNCTION("""COMPUTED_VALUE"""),"S")</f>
        <v>S</v>
      </c>
      <c r="G538" s="80">
        <f ca="1">IFERROR(__xludf.DUMMYFUNCTION("""COMPUTED_VALUE"""),3)</f>
        <v>3</v>
      </c>
      <c r="H538" s="80" t="str">
        <f ca="1">IFERROR(__xludf.DUMMYFUNCTION("""COMPUTED_VALUE"""),"DR")</f>
        <v>DR</v>
      </c>
      <c r="I538" s="80">
        <f ca="1">IFERROR(__xludf.DUMMYFUNCTION("""COMPUTED_VALUE"""),6)</f>
        <v>6</v>
      </c>
      <c r="J538" s="81">
        <f ca="1">IFERROR(__xludf.DUMMYFUNCTION("""COMPUTED_VALUE"""),0)</f>
        <v>0</v>
      </c>
      <c r="K538" s="81">
        <f ca="1">IFERROR(__xludf.DUMMYFUNCTION("""COMPUTED_VALUE"""),0)</f>
        <v>0</v>
      </c>
      <c r="L538" s="81">
        <f ca="1">IFERROR(__xludf.DUMMYFUNCTION("""COMPUTED_VALUE"""),0)</f>
        <v>0</v>
      </c>
      <c r="M538" s="81"/>
      <c r="N538" s="81">
        <f ca="1">IFERROR(__xludf.DUMMYFUNCTION("""COMPUTED_VALUE"""),0)</f>
        <v>0</v>
      </c>
      <c r="O538" s="81"/>
      <c r="P538" s="81">
        <f ca="1">IFERROR(__xludf.DUMMYFUNCTION("""COMPUTED_VALUE"""),0)</f>
        <v>0</v>
      </c>
      <c r="Q538" s="81"/>
      <c r="R538" s="81">
        <f ca="1">IFERROR(__xludf.DUMMYFUNCTION("""COMPUTED_VALUE"""),0)</f>
        <v>0</v>
      </c>
      <c r="S538" s="81"/>
      <c r="T538" s="81"/>
      <c r="U538" s="82"/>
      <c r="V538" s="82"/>
      <c r="W538" s="83"/>
      <c r="X538" s="83"/>
      <c r="Y538" s="83"/>
    </row>
    <row r="539" spans="1:25" ht="13.8">
      <c r="A539" s="78" t="str">
        <f ca="1">IFERROR(__xludf.DUMMYFUNCTION("""COMPUTED_VALUE"""),"DR")</f>
        <v>DR</v>
      </c>
      <c r="B539" s="79" t="str">
        <f ca="1">IFERROR(__xludf.DUMMYFUNCTION("""COMPUTED_VALUE"""),"Nyla Elder")</f>
        <v>Nyla Elder</v>
      </c>
      <c r="C539" s="78">
        <f ca="1">IFERROR(__xludf.DUMMYFUNCTION("""COMPUTED_VALUE"""),14)</f>
        <v>14</v>
      </c>
      <c r="D539" s="78" t="str">
        <f ca="1">IFERROR(__xludf.DUMMYFUNCTION("""COMPUTED_VALUE"""),"G")</f>
        <v>G</v>
      </c>
      <c r="E539" s="80" t="str">
        <f ca="1">IFERROR(__xludf.DUMMYFUNCTION("""COMPUTED_VALUE"""),"I")</f>
        <v>I</v>
      </c>
      <c r="F539" s="80" t="str">
        <f ca="1">IFERROR(__xludf.DUMMYFUNCTION("""COMPUTED_VALUE"""),"S")</f>
        <v>S</v>
      </c>
      <c r="G539" s="80">
        <f ca="1">IFERROR(__xludf.DUMMYFUNCTION("""COMPUTED_VALUE"""),3)</f>
        <v>3</v>
      </c>
      <c r="H539" s="80" t="str">
        <f ca="1">IFERROR(__xludf.DUMMYFUNCTION("""COMPUTED_VALUE"""),"DR")</f>
        <v>DR</v>
      </c>
      <c r="I539" s="80">
        <f ca="1">IFERROR(__xludf.DUMMYFUNCTION("""COMPUTED_VALUE"""),6)</f>
        <v>6</v>
      </c>
      <c r="J539" s="81">
        <f ca="1">IFERROR(__xludf.DUMMYFUNCTION("""COMPUTED_VALUE"""),0)</f>
        <v>0</v>
      </c>
      <c r="K539" s="81">
        <f ca="1">IFERROR(__xludf.DUMMYFUNCTION("""COMPUTED_VALUE"""),0)</f>
        <v>0</v>
      </c>
      <c r="L539" s="81">
        <f ca="1">IFERROR(__xludf.DUMMYFUNCTION("""COMPUTED_VALUE"""),0)</f>
        <v>0</v>
      </c>
      <c r="M539" s="81"/>
      <c r="N539" s="81">
        <f ca="1">IFERROR(__xludf.DUMMYFUNCTION("""COMPUTED_VALUE"""),0)</f>
        <v>0</v>
      </c>
      <c r="O539" s="81"/>
      <c r="P539" s="81">
        <f ca="1">IFERROR(__xludf.DUMMYFUNCTION("""COMPUTED_VALUE"""),0)</f>
        <v>0</v>
      </c>
      <c r="Q539" s="81"/>
      <c r="R539" s="81">
        <f ca="1">IFERROR(__xludf.DUMMYFUNCTION("""COMPUTED_VALUE"""),0)</f>
        <v>0</v>
      </c>
      <c r="S539" s="81"/>
      <c r="T539" s="81"/>
      <c r="U539" s="82"/>
      <c r="V539" s="82"/>
      <c r="W539" s="83"/>
      <c r="X539" s="83"/>
      <c r="Y539" s="83"/>
    </row>
    <row r="540" spans="1:25" ht="13.8">
      <c r="A540" s="78" t="str">
        <f ca="1">IFERROR(__xludf.DUMMYFUNCTION("""COMPUTED_VALUE"""),"DR")</f>
        <v>DR</v>
      </c>
      <c r="B540" s="79" t="str">
        <f ca="1">IFERROR(__xludf.DUMMYFUNCTION("""COMPUTED_VALUE"""),"Valerie Engel")</f>
        <v>Valerie Engel</v>
      </c>
      <c r="C540" s="78">
        <f ca="1">IFERROR(__xludf.DUMMYFUNCTION("""COMPUTED_VALUE"""),14)</f>
        <v>14</v>
      </c>
      <c r="D540" s="78" t="str">
        <f ca="1">IFERROR(__xludf.DUMMYFUNCTION("""COMPUTED_VALUE"""),"G")</f>
        <v>G</v>
      </c>
      <c r="E540" s="80" t="str">
        <f ca="1">IFERROR(__xludf.DUMMYFUNCTION("""COMPUTED_VALUE"""),"I")</f>
        <v>I</v>
      </c>
      <c r="F540" s="80" t="str">
        <f ca="1">IFERROR(__xludf.DUMMYFUNCTION("""COMPUTED_VALUE"""),"S")</f>
        <v>S</v>
      </c>
      <c r="G540" s="80">
        <f ca="1">IFERROR(__xludf.DUMMYFUNCTION("""COMPUTED_VALUE"""),3)</f>
        <v>3</v>
      </c>
      <c r="H540" s="80" t="str">
        <f ca="1">IFERROR(__xludf.DUMMYFUNCTION("""COMPUTED_VALUE"""),"DR")</f>
        <v>DR</v>
      </c>
      <c r="I540" s="80">
        <f ca="1">IFERROR(__xludf.DUMMYFUNCTION("""COMPUTED_VALUE"""),6)</f>
        <v>6</v>
      </c>
      <c r="J540" s="81">
        <f ca="1">IFERROR(__xludf.DUMMYFUNCTION("""COMPUTED_VALUE"""),5)</f>
        <v>5</v>
      </c>
      <c r="K540" s="81">
        <f ca="1">IFERROR(__xludf.DUMMYFUNCTION("""COMPUTED_VALUE"""),109.25)</f>
        <v>109.25</v>
      </c>
      <c r="L540" s="81">
        <f ca="1">IFERROR(__xludf.DUMMYFUNCTION("""COMPUTED_VALUE"""),80.25)</f>
        <v>80.25</v>
      </c>
      <c r="M540" s="81"/>
      <c r="N540" s="81">
        <f ca="1">IFERROR(__xludf.DUMMYFUNCTION("""COMPUTED_VALUE"""),109.25)</f>
        <v>109.25</v>
      </c>
      <c r="O540" s="81"/>
      <c r="P540" s="81">
        <f ca="1">IFERROR(__xludf.DUMMYFUNCTION("""COMPUTED_VALUE"""),90.8)</f>
        <v>90.8</v>
      </c>
      <c r="Q540" s="81"/>
      <c r="R540" s="81">
        <f ca="1">IFERROR(__xludf.DUMMYFUNCTION("""COMPUTED_VALUE"""),103.3)</f>
        <v>103.3</v>
      </c>
      <c r="S540" s="81"/>
      <c r="T540" s="81"/>
      <c r="U540" s="82"/>
      <c r="V540" s="82"/>
      <c r="W540" s="83"/>
      <c r="X540" s="83"/>
      <c r="Y540" s="83"/>
    </row>
    <row r="541" spans="1:25" ht="13.8">
      <c r="A541" s="78" t="str">
        <f ca="1">IFERROR(__xludf.DUMMYFUNCTION("""COMPUTED_VALUE"""),"DR")</f>
        <v>DR</v>
      </c>
      <c r="B541" s="79" t="str">
        <f ca="1">IFERROR(__xludf.DUMMYFUNCTION("""COMPUTED_VALUE"""),"Charlotte Fletcher")</f>
        <v>Charlotte Fletcher</v>
      </c>
      <c r="C541" s="78">
        <f ca="1">IFERROR(__xludf.DUMMYFUNCTION("""COMPUTED_VALUE"""),13)</f>
        <v>13</v>
      </c>
      <c r="D541" s="78" t="str">
        <f ca="1">IFERROR(__xludf.DUMMYFUNCTION("""COMPUTED_VALUE"""),"G")</f>
        <v>G</v>
      </c>
      <c r="E541" s="80" t="str">
        <f ca="1">IFERROR(__xludf.DUMMYFUNCTION("""COMPUTED_VALUE"""),"I")</f>
        <v>I</v>
      </c>
      <c r="F541" s="80" t="str">
        <f ca="1">IFERROR(__xludf.DUMMYFUNCTION("""COMPUTED_VALUE"""),"S")</f>
        <v>S</v>
      </c>
      <c r="G541" s="80">
        <f ca="1">IFERROR(__xludf.DUMMYFUNCTION("""COMPUTED_VALUE"""),3)</f>
        <v>3</v>
      </c>
      <c r="H541" s="80" t="str">
        <f ca="1">IFERROR(__xludf.DUMMYFUNCTION("""COMPUTED_VALUE"""),"DR")</f>
        <v>DR</v>
      </c>
      <c r="I541" s="80">
        <f ca="1">IFERROR(__xludf.DUMMYFUNCTION("""COMPUTED_VALUE"""),6)</f>
        <v>6</v>
      </c>
      <c r="J541" s="81">
        <f ca="1">IFERROR(__xludf.DUMMYFUNCTION("""COMPUTED_VALUE"""),0)</f>
        <v>0</v>
      </c>
      <c r="K541" s="81">
        <f ca="1">IFERROR(__xludf.DUMMYFUNCTION("""COMPUTED_VALUE"""),0)</f>
        <v>0</v>
      </c>
      <c r="L541" s="81">
        <f ca="1">IFERROR(__xludf.DUMMYFUNCTION("""COMPUTED_VALUE"""),0)</f>
        <v>0</v>
      </c>
      <c r="M541" s="81"/>
      <c r="N541" s="81">
        <f ca="1">IFERROR(__xludf.DUMMYFUNCTION("""COMPUTED_VALUE"""),0)</f>
        <v>0</v>
      </c>
      <c r="O541" s="81"/>
      <c r="P541" s="81">
        <f ca="1">IFERROR(__xludf.DUMMYFUNCTION("""COMPUTED_VALUE"""),0)</f>
        <v>0</v>
      </c>
      <c r="Q541" s="81"/>
      <c r="R541" s="81">
        <f ca="1">IFERROR(__xludf.DUMMYFUNCTION("""COMPUTED_VALUE"""),0)</f>
        <v>0</v>
      </c>
      <c r="S541" s="81"/>
      <c r="T541" s="81"/>
      <c r="U541" s="82"/>
      <c r="V541" s="82"/>
      <c r="W541" s="83"/>
      <c r="X541" s="83"/>
      <c r="Y541" s="83"/>
    </row>
    <row r="542" spans="1:25" ht="13.8">
      <c r="A542" s="78" t="str">
        <f ca="1">IFERROR(__xludf.DUMMYFUNCTION("""COMPUTED_VALUE"""),"DR")</f>
        <v>DR</v>
      </c>
      <c r="B542" s="79" t="str">
        <f ca="1">IFERROR(__xludf.DUMMYFUNCTION("""COMPUTED_VALUE"""),"Sophie Frost")</f>
        <v>Sophie Frost</v>
      </c>
      <c r="C542" s="78">
        <f ca="1">IFERROR(__xludf.DUMMYFUNCTION("""COMPUTED_VALUE"""),13)</f>
        <v>13</v>
      </c>
      <c r="D542" s="78" t="str">
        <f ca="1">IFERROR(__xludf.DUMMYFUNCTION("""COMPUTED_VALUE"""),"G")</f>
        <v>G</v>
      </c>
      <c r="E542" s="80" t="str">
        <f ca="1">IFERROR(__xludf.DUMMYFUNCTION("""COMPUTED_VALUE"""),"I")</f>
        <v>I</v>
      </c>
      <c r="F542" s="80" t="str">
        <f ca="1">IFERROR(__xludf.DUMMYFUNCTION("""COMPUTED_VALUE"""),"S")</f>
        <v>S</v>
      </c>
      <c r="G542" s="80">
        <f ca="1">IFERROR(__xludf.DUMMYFUNCTION("""COMPUTED_VALUE"""),3)</f>
        <v>3</v>
      </c>
      <c r="H542" s="80" t="str">
        <f ca="1">IFERROR(__xludf.DUMMYFUNCTION("""COMPUTED_VALUE"""),"DR")</f>
        <v>DR</v>
      </c>
      <c r="I542" s="80">
        <f ca="1">IFERROR(__xludf.DUMMYFUNCTION("""COMPUTED_VALUE"""),6)</f>
        <v>6</v>
      </c>
      <c r="J542" s="81">
        <f ca="1">IFERROR(__xludf.DUMMYFUNCTION("""COMPUTED_VALUE"""),5)</f>
        <v>5</v>
      </c>
      <c r="K542" s="81">
        <f ca="1">IFERROR(__xludf.DUMMYFUNCTION("""COMPUTED_VALUE"""),139.05)</f>
        <v>139.05000000000001</v>
      </c>
      <c r="L542" s="81">
        <f ca="1">IFERROR(__xludf.DUMMYFUNCTION("""COMPUTED_VALUE"""),107.6)</f>
        <v>107.6</v>
      </c>
      <c r="M542" s="81"/>
      <c r="N542" s="81">
        <f ca="1">IFERROR(__xludf.DUMMYFUNCTION("""COMPUTED_VALUE"""),139.05)</f>
        <v>139.05000000000001</v>
      </c>
      <c r="O542" s="81"/>
      <c r="P542" s="81">
        <f ca="1">IFERROR(__xludf.DUMMYFUNCTION("""COMPUTED_VALUE"""),132.55)</f>
        <v>132.55000000000001</v>
      </c>
      <c r="Q542" s="81"/>
      <c r="R542" s="81">
        <f ca="1">IFERROR(__xludf.DUMMYFUNCTION("""COMPUTED_VALUE"""),130.1)</f>
        <v>130.1</v>
      </c>
      <c r="S542" s="81"/>
      <c r="T542" s="81"/>
      <c r="U542" s="82"/>
      <c r="V542" s="82"/>
      <c r="W542" s="83"/>
      <c r="X542" s="83"/>
      <c r="Y542" s="83"/>
    </row>
    <row r="543" spans="1:25" ht="13.8">
      <c r="A543" s="78" t="str">
        <f ca="1">IFERROR(__xludf.DUMMYFUNCTION("""COMPUTED_VALUE"""),"DR")</f>
        <v>DR</v>
      </c>
      <c r="B543" s="79" t="str">
        <f ca="1">IFERROR(__xludf.DUMMYFUNCTION("""COMPUTED_VALUE"""),"Eve Jungman")</f>
        <v>Eve Jungman</v>
      </c>
      <c r="C543" s="78">
        <f ca="1">IFERROR(__xludf.DUMMYFUNCTION("""COMPUTED_VALUE"""),13)</f>
        <v>13</v>
      </c>
      <c r="D543" s="78" t="str">
        <f ca="1">IFERROR(__xludf.DUMMYFUNCTION("""COMPUTED_VALUE"""),"G")</f>
        <v>G</v>
      </c>
      <c r="E543" s="80" t="str">
        <f ca="1">IFERROR(__xludf.DUMMYFUNCTION("""COMPUTED_VALUE"""),"I")</f>
        <v>I</v>
      </c>
      <c r="F543" s="80" t="str">
        <f ca="1">IFERROR(__xludf.DUMMYFUNCTION("""COMPUTED_VALUE"""),"S")</f>
        <v>S</v>
      </c>
      <c r="G543" s="80">
        <f ca="1">IFERROR(__xludf.DUMMYFUNCTION("""COMPUTED_VALUE"""),3)</f>
        <v>3</v>
      </c>
      <c r="H543" s="80" t="str">
        <f ca="1">IFERROR(__xludf.DUMMYFUNCTION("""COMPUTED_VALUE"""),"DR")</f>
        <v>DR</v>
      </c>
      <c r="I543" s="80">
        <f ca="1">IFERROR(__xludf.DUMMYFUNCTION("""COMPUTED_VALUE"""),6)</f>
        <v>6</v>
      </c>
      <c r="J543" s="81">
        <f ca="1">IFERROR(__xludf.DUMMYFUNCTION("""COMPUTED_VALUE"""),0)</f>
        <v>0</v>
      </c>
      <c r="K543" s="81">
        <f ca="1">IFERROR(__xludf.DUMMYFUNCTION("""COMPUTED_VALUE"""),0)</f>
        <v>0</v>
      </c>
      <c r="L543" s="81">
        <f ca="1">IFERROR(__xludf.DUMMYFUNCTION("""COMPUTED_VALUE"""),0)</f>
        <v>0</v>
      </c>
      <c r="M543" s="81"/>
      <c r="N543" s="81">
        <f ca="1">IFERROR(__xludf.DUMMYFUNCTION("""COMPUTED_VALUE"""),0)</f>
        <v>0</v>
      </c>
      <c r="O543" s="81"/>
      <c r="P543" s="81">
        <f ca="1">IFERROR(__xludf.DUMMYFUNCTION("""COMPUTED_VALUE"""),0)</f>
        <v>0</v>
      </c>
      <c r="Q543" s="81"/>
      <c r="R543" s="81">
        <f ca="1">IFERROR(__xludf.DUMMYFUNCTION("""COMPUTED_VALUE"""),0)</f>
        <v>0</v>
      </c>
      <c r="S543" s="81"/>
      <c r="T543" s="81"/>
      <c r="U543" s="82"/>
      <c r="V543" s="82"/>
      <c r="W543" s="83"/>
      <c r="X543" s="83"/>
      <c r="Y543" s="83"/>
    </row>
    <row r="544" spans="1:25" ht="13.8">
      <c r="A544" s="78" t="str">
        <f ca="1">IFERROR(__xludf.DUMMYFUNCTION("""COMPUTED_VALUE"""),"DR")</f>
        <v>DR</v>
      </c>
      <c r="B544" s="79" t="str">
        <f ca="1">IFERROR(__xludf.DUMMYFUNCTION("""COMPUTED_VALUE"""),"Ella Paris")</f>
        <v>Ella Paris</v>
      </c>
      <c r="C544" s="78">
        <f ca="1">IFERROR(__xludf.DUMMYFUNCTION("""COMPUTED_VALUE"""),13)</f>
        <v>13</v>
      </c>
      <c r="D544" s="78" t="str">
        <f ca="1">IFERROR(__xludf.DUMMYFUNCTION("""COMPUTED_VALUE"""),"G")</f>
        <v>G</v>
      </c>
      <c r="E544" s="80" t="str">
        <f ca="1">IFERROR(__xludf.DUMMYFUNCTION("""COMPUTED_VALUE"""),"I")</f>
        <v>I</v>
      </c>
      <c r="F544" s="80" t="str">
        <f ca="1">IFERROR(__xludf.DUMMYFUNCTION("""COMPUTED_VALUE"""),"S")</f>
        <v>S</v>
      </c>
      <c r="G544" s="80">
        <f ca="1">IFERROR(__xludf.DUMMYFUNCTION("""COMPUTED_VALUE"""),3)</f>
        <v>3</v>
      </c>
      <c r="H544" s="80" t="str">
        <f ca="1">IFERROR(__xludf.DUMMYFUNCTION("""COMPUTED_VALUE"""),"DR")</f>
        <v>DR</v>
      </c>
      <c r="I544" s="80">
        <f ca="1">IFERROR(__xludf.DUMMYFUNCTION("""COMPUTED_VALUE"""),6)</f>
        <v>6</v>
      </c>
      <c r="J544" s="81">
        <f ca="1">IFERROR(__xludf.DUMMYFUNCTION("""COMPUTED_VALUE"""),0)</f>
        <v>0</v>
      </c>
      <c r="K544" s="81">
        <f ca="1">IFERROR(__xludf.DUMMYFUNCTION("""COMPUTED_VALUE"""),0)</f>
        <v>0</v>
      </c>
      <c r="L544" s="81">
        <f ca="1">IFERROR(__xludf.DUMMYFUNCTION("""COMPUTED_VALUE"""),0)</f>
        <v>0</v>
      </c>
      <c r="M544" s="81"/>
      <c r="N544" s="81">
        <f ca="1">IFERROR(__xludf.DUMMYFUNCTION("""COMPUTED_VALUE"""),0)</f>
        <v>0</v>
      </c>
      <c r="O544" s="81"/>
      <c r="P544" s="81">
        <f ca="1">IFERROR(__xludf.DUMMYFUNCTION("""COMPUTED_VALUE"""),0)</f>
        <v>0</v>
      </c>
      <c r="Q544" s="81"/>
      <c r="R544" s="81">
        <f ca="1">IFERROR(__xludf.DUMMYFUNCTION("""COMPUTED_VALUE"""),0)</f>
        <v>0</v>
      </c>
      <c r="S544" s="81"/>
      <c r="T544" s="81"/>
      <c r="U544" s="82"/>
      <c r="V544" s="82"/>
      <c r="W544" s="83"/>
      <c r="X544" s="83"/>
      <c r="Y544" s="83"/>
    </row>
    <row r="545" spans="1:25" ht="13.8">
      <c r="A545" s="78" t="str">
        <f ca="1">IFERROR(__xludf.DUMMYFUNCTION("""COMPUTED_VALUE"""),"DR")</f>
        <v>DR</v>
      </c>
      <c r="B545" s="79" t="str">
        <f ca="1">IFERROR(__xludf.DUMMYFUNCTION("""COMPUTED_VALUE"""),"Lane Samowich")</f>
        <v>Lane Samowich</v>
      </c>
      <c r="C545" s="78">
        <f ca="1">IFERROR(__xludf.DUMMYFUNCTION("""COMPUTED_VALUE"""),14)</f>
        <v>14</v>
      </c>
      <c r="D545" s="78" t="str">
        <f ca="1">IFERROR(__xludf.DUMMYFUNCTION("""COMPUTED_VALUE"""),"G")</f>
        <v>G</v>
      </c>
      <c r="E545" s="80" t="str">
        <f ca="1">IFERROR(__xludf.DUMMYFUNCTION("""COMPUTED_VALUE"""),"I")</f>
        <v>I</v>
      </c>
      <c r="F545" s="80" t="str">
        <f ca="1">IFERROR(__xludf.DUMMYFUNCTION("""COMPUTED_VALUE"""),"S")</f>
        <v>S</v>
      </c>
      <c r="G545" s="80">
        <f ca="1">IFERROR(__xludf.DUMMYFUNCTION("""COMPUTED_VALUE"""),3)</f>
        <v>3</v>
      </c>
      <c r="H545" s="80" t="str">
        <f ca="1">IFERROR(__xludf.DUMMYFUNCTION("""COMPUTED_VALUE"""),"DR")</f>
        <v>DR</v>
      </c>
      <c r="I545" s="80">
        <f ca="1">IFERROR(__xludf.DUMMYFUNCTION("""COMPUTED_VALUE"""),6)</f>
        <v>6</v>
      </c>
      <c r="J545" s="81">
        <f ca="1">IFERROR(__xludf.DUMMYFUNCTION("""COMPUTED_VALUE"""),3)</f>
        <v>3</v>
      </c>
      <c r="K545" s="81">
        <f ca="1">IFERROR(__xludf.DUMMYFUNCTION("""COMPUTED_VALUE"""),121.4)</f>
        <v>121.4</v>
      </c>
      <c r="L545" s="81">
        <f ca="1">IFERROR(__xludf.DUMMYFUNCTION("""COMPUTED_VALUE"""),108.3)</f>
        <v>108.3</v>
      </c>
      <c r="M545" s="81"/>
      <c r="N545" s="81">
        <f ca="1">IFERROR(__xludf.DUMMYFUNCTION("""COMPUTED_VALUE"""),121.4)</f>
        <v>121.4</v>
      </c>
      <c r="O545" s="81"/>
      <c r="P545" s="81">
        <f ca="1">IFERROR(__xludf.DUMMYFUNCTION("""COMPUTED_VALUE"""),113.1)</f>
        <v>113.1</v>
      </c>
      <c r="Q545" s="81"/>
      <c r="R545" s="81">
        <f ca="1">IFERROR(__xludf.DUMMYFUNCTION("""COMPUTED_VALUE"""),0)</f>
        <v>0</v>
      </c>
      <c r="S545" s="81"/>
      <c r="T545" s="81"/>
      <c r="U545" s="82"/>
      <c r="V545" s="82"/>
      <c r="W545" s="83"/>
      <c r="X545" s="83"/>
      <c r="Y545" s="83"/>
    </row>
    <row r="546" spans="1:25" ht="13.8">
      <c r="A546" s="78" t="str">
        <f ca="1">IFERROR(__xludf.DUMMYFUNCTION("""COMPUTED_VALUE"""),"DR")</f>
        <v>DR</v>
      </c>
      <c r="B546" s="79" t="str">
        <f ca="1">IFERROR(__xludf.DUMMYFUNCTION("""COMPUTED_VALUE"""),"Jenna Sheetz")</f>
        <v>Jenna Sheetz</v>
      </c>
      <c r="C546" s="78">
        <f ca="1">IFERROR(__xludf.DUMMYFUNCTION("""COMPUTED_VALUE"""),13)</f>
        <v>13</v>
      </c>
      <c r="D546" s="78" t="str">
        <f ca="1">IFERROR(__xludf.DUMMYFUNCTION("""COMPUTED_VALUE"""),"G")</f>
        <v>G</v>
      </c>
      <c r="E546" s="80" t="str">
        <f ca="1">IFERROR(__xludf.DUMMYFUNCTION("""COMPUTED_VALUE"""),"I")</f>
        <v>I</v>
      </c>
      <c r="F546" s="80" t="str">
        <f ca="1">IFERROR(__xludf.DUMMYFUNCTION("""COMPUTED_VALUE"""),"S")</f>
        <v>S</v>
      </c>
      <c r="G546" s="80">
        <f ca="1">IFERROR(__xludf.DUMMYFUNCTION("""COMPUTED_VALUE"""),3)</f>
        <v>3</v>
      </c>
      <c r="H546" s="80" t="str">
        <f ca="1">IFERROR(__xludf.DUMMYFUNCTION("""COMPUTED_VALUE"""),"DR")</f>
        <v>DR</v>
      </c>
      <c r="I546" s="80">
        <f ca="1">IFERROR(__xludf.DUMMYFUNCTION("""COMPUTED_VALUE"""),6)</f>
        <v>6</v>
      </c>
      <c r="J546" s="81">
        <f ca="1">IFERROR(__xludf.DUMMYFUNCTION("""COMPUTED_VALUE"""),5)</f>
        <v>5</v>
      </c>
      <c r="K546" s="81">
        <f ca="1">IFERROR(__xludf.DUMMYFUNCTION("""COMPUTED_VALUE"""),133.55)</f>
        <v>133.55000000000001</v>
      </c>
      <c r="L546" s="81">
        <f ca="1">IFERROR(__xludf.DUMMYFUNCTION("""COMPUTED_VALUE"""),103.2)</f>
        <v>103.2</v>
      </c>
      <c r="M546" s="81"/>
      <c r="N546" s="81">
        <f ca="1">IFERROR(__xludf.DUMMYFUNCTION("""COMPUTED_VALUE"""),133.55)</f>
        <v>133.55000000000001</v>
      </c>
      <c r="O546" s="81"/>
      <c r="P546" s="81">
        <f ca="1">IFERROR(__xludf.DUMMYFUNCTION("""COMPUTED_VALUE"""),131.25)</f>
        <v>131.25</v>
      </c>
      <c r="Q546" s="81"/>
      <c r="R546" s="81">
        <f ca="1">IFERROR(__xludf.DUMMYFUNCTION("""COMPUTED_VALUE"""),113.5)</f>
        <v>113.5</v>
      </c>
      <c r="S546" s="81"/>
      <c r="T546" s="81"/>
      <c r="U546" s="82"/>
      <c r="V546" s="82"/>
      <c r="W546" s="83"/>
      <c r="X546" s="83"/>
      <c r="Y546" s="83"/>
    </row>
    <row r="547" spans="1:25" ht="13.8">
      <c r="A547" s="78" t="str">
        <f ca="1">IFERROR(__xludf.DUMMYFUNCTION("""COMPUTED_VALUE"""),"DR")</f>
        <v>DR</v>
      </c>
      <c r="B547" s="79" t="str">
        <f ca="1">IFERROR(__xludf.DUMMYFUNCTION("""COMPUTED_VALUE"""),"Emily Wiese")</f>
        <v>Emily Wiese</v>
      </c>
      <c r="C547" s="78">
        <f ca="1">IFERROR(__xludf.DUMMYFUNCTION("""COMPUTED_VALUE"""),14)</f>
        <v>14</v>
      </c>
      <c r="D547" s="78" t="str">
        <f ca="1">IFERROR(__xludf.DUMMYFUNCTION("""COMPUTED_VALUE"""),"G")</f>
        <v>G</v>
      </c>
      <c r="E547" s="80" t="str">
        <f ca="1">IFERROR(__xludf.DUMMYFUNCTION("""COMPUTED_VALUE"""),"I")</f>
        <v>I</v>
      </c>
      <c r="F547" s="80" t="str">
        <f ca="1">IFERROR(__xludf.DUMMYFUNCTION("""COMPUTED_VALUE"""),"S")</f>
        <v>S</v>
      </c>
      <c r="G547" s="80">
        <f ca="1">IFERROR(__xludf.DUMMYFUNCTION("""COMPUTED_VALUE"""),3)</f>
        <v>3</v>
      </c>
      <c r="H547" s="80" t="str">
        <f ca="1">IFERROR(__xludf.DUMMYFUNCTION("""COMPUTED_VALUE"""),"DR")</f>
        <v>DR</v>
      </c>
      <c r="I547" s="80">
        <f ca="1">IFERROR(__xludf.DUMMYFUNCTION("""COMPUTED_VALUE"""),6)</f>
        <v>6</v>
      </c>
      <c r="J547" s="81">
        <f ca="1">IFERROR(__xludf.DUMMYFUNCTION("""COMPUTED_VALUE"""),4)</f>
        <v>4</v>
      </c>
      <c r="K547" s="81">
        <f ca="1">IFERROR(__xludf.DUMMYFUNCTION("""COMPUTED_VALUE"""),103.4)</f>
        <v>103.4</v>
      </c>
      <c r="L547" s="81">
        <f ca="1">IFERROR(__xludf.DUMMYFUNCTION("""COMPUTED_VALUE"""),0)</f>
        <v>0</v>
      </c>
      <c r="M547" s="81"/>
      <c r="N547" s="81">
        <f ca="1">IFERROR(__xludf.DUMMYFUNCTION("""COMPUTED_VALUE"""),101.5)</f>
        <v>101.5</v>
      </c>
      <c r="O547" s="81"/>
      <c r="P547" s="81">
        <f ca="1">IFERROR(__xludf.DUMMYFUNCTION("""COMPUTED_VALUE"""),103.4)</f>
        <v>103.4</v>
      </c>
      <c r="Q547" s="81"/>
      <c r="R547" s="81">
        <f ca="1">IFERROR(__xludf.DUMMYFUNCTION("""COMPUTED_VALUE"""),101.4)</f>
        <v>101.4</v>
      </c>
      <c r="S547" s="81"/>
      <c r="T547" s="81"/>
      <c r="U547" s="82"/>
      <c r="V547" s="82"/>
      <c r="W547" s="83"/>
      <c r="X547" s="83"/>
      <c r="Y547" s="83"/>
    </row>
    <row r="548" spans="1:25" ht="13.8">
      <c r="A548" s="78" t="str">
        <f ca="1">IFERROR(__xludf.DUMMYFUNCTION("""COMPUTED_VALUE"""),"DR")</f>
        <v>DR</v>
      </c>
      <c r="B548" s="79" t="str">
        <f ca="1">IFERROR(__xludf.DUMMYFUNCTION("""COMPUTED_VALUE"""),"John Bowman")</f>
        <v>John Bowman</v>
      </c>
      <c r="C548" s="78">
        <f ca="1">IFERROR(__xludf.DUMMYFUNCTION("""COMPUTED_VALUE"""),14)</f>
        <v>14</v>
      </c>
      <c r="D548" s="78" t="str">
        <f ca="1">IFERROR(__xludf.DUMMYFUNCTION("""COMPUTED_VALUE"""),"B")</f>
        <v>B</v>
      </c>
      <c r="E548" s="80" t="str">
        <f ca="1">IFERROR(__xludf.DUMMYFUNCTION("""COMPUTED_VALUE"""),"I")</f>
        <v>I</v>
      </c>
      <c r="F548" s="80" t="str">
        <f ca="1">IFERROR(__xludf.DUMMYFUNCTION("""COMPUTED_VALUE"""),"S")</f>
        <v>S</v>
      </c>
      <c r="G548" s="80">
        <f ca="1">IFERROR(__xludf.DUMMYFUNCTION("""COMPUTED_VALUE"""),3)</f>
        <v>3</v>
      </c>
      <c r="H548" s="80" t="str">
        <f ca="1">IFERROR(__xludf.DUMMYFUNCTION("""COMPUTED_VALUE"""),"DR")</f>
        <v>DR</v>
      </c>
      <c r="I548" s="80">
        <f ca="1">IFERROR(__xludf.DUMMYFUNCTION("""COMPUTED_VALUE"""),7)</f>
        <v>7</v>
      </c>
      <c r="J548" s="81">
        <f ca="1">IFERROR(__xludf.DUMMYFUNCTION("""COMPUTED_VALUE"""),4)</f>
        <v>4</v>
      </c>
      <c r="K548" s="81">
        <f ca="1">IFERROR(__xludf.DUMMYFUNCTION("""COMPUTED_VALUE"""),113.25)</f>
        <v>113.25</v>
      </c>
      <c r="L548" s="81">
        <f ca="1">IFERROR(__xludf.DUMMYFUNCTION("""COMPUTED_VALUE"""),90.75)</f>
        <v>90.75</v>
      </c>
      <c r="M548" s="81"/>
      <c r="N548" s="81">
        <f ca="1">IFERROR(__xludf.DUMMYFUNCTION("""COMPUTED_VALUE"""),113.25)</f>
        <v>113.25</v>
      </c>
      <c r="O548" s="81"/>
      <c r="P548" s="81">
        <f ca="1">IFERROR(__xludf.DUMMYFUNCTION("""COMPUTED_VALUE"""),0)</f>
        <v>0</v>
      </c>
      <c r="Q548" s="81"/>
      <c r="R548" s="81">
        <f ca="1">IFERROR(__xludf.DUMMYFUNCTION("""COMPUTED_VALUE"""),106.4)</f>
        <v>106.4</v>
      </c>
      <c r="S548" s="81"/>
      <c r="T548" s="81"/>
      <c r="U548" s="82"/>
      <c r="V548" s="82"/>
      <c r="W548" s="83"/>
      <c r="X548" s="83"/>
      <c r="Y548" s="83"/>
    </row>
    <row r="549" spans="1:25" ht="13.8">
      <c r="A549" s="78" t="str">
        <f ca="1">IFERROR(__xludf.DUMMYFUNCTION("""COMPUTED_VALUE"""),"DR")</f>
        <v>DR</v>
      </c>
      <c r="B549" s="79" t="str">
        <f ca="1">IFERROR(__xludf.DUMMYFUNCTION("""COMPUTED_VALUE"""),"Zachary Cohen")</f>
        <v>Zachary Cohen</v>
      </c>
      <c r="C549" s="78">
        <f ca="1">IFERROR(__xludf.DUMMYFUNCTION("""COMPUTED_VALUE"""),14)</f>
        <v>14</v>
      </c>
      <c r="D549" s="78" t="str">
        <f ca="1">IFERROR(__xludf.DUMMYFUNCTION("""COMPUTED_VALUE"""),"B")</f>
        <v>B</v>
      </c>
      <c r="E549" s="80" t="str">
        <f ca="1">IFERROR(__xludf.DUMMYFUNCTION("""COMPUTED_VALUE"""),"I")</f>
        <v>I</v>
      </c>
      <c r="F549" s="80" t="str">
        <f ca="1">IFERROR(__xludf.DUMMYFUNCTION("""COMPUTED_VALUE"""),"S")</f>
        <v>S</v>
      </c>
      <c r="G549" s="80">
        <f ca="1">IFERROR(__xludf.DUMMYFUNCTION("""COMPUTED_VALUE"""),3)</f>
        <v>3</v>
      </c>
      <c r="H549" s="80" t="str">
        <f ca="1">IFERROR(__xludf.DUMMYFUNCTION("""COMPUTED_VALUE"""),"DR")</f>
        <v>DR</v>
      </c>
      <c r="I549" s="80">
        <f ca="1">IFERROR(__xludf.DUMMYFUNCTION("""COMPUTED_VALUE"""),7)</f>
        <v>7</v>
      </c>
      <c r="J549" s="81">
        <f ca="1">IFERROR(__xludf.DUMMYFUNCTION("""COMPUTED_VALUE"""),0)</f>
        <v>0</v>
      </c>
      <c r="K549" s="81">
        <f ca="1">IFERROR(__xludf.DUMMYFUNCTION("""COMPUTED_VALUE"""),0)</f>
        <v>0</v>
      </c>
      <c r="L549" s="81">
        <f ca="1">IFERROR(__xludf.DUMMYFUNCTION("""COMPUTED_VALUE"""),0)</f>
        <v>0</v>
      </c>
      <c r="M549" s="81"/>
      <c r="N549" s="81">
        <f ca="1">IFERROR(__xludf.DUMMYFUNCTION("""COMPUTED_VALUE"""),0)</f>
        <v>0</v>
      </c>
      <c r="O549" s="81"/>
      <c r="P549" s="81">
        <f ca="1">IFERROR(__xludf.DUMMYFUNCTION("""COMPUTED_VALUE"""),0)</f>
        <v>0</v>
      </c>
      <c r="Q549" s="81"/>
      <c r="R549" s="81">
        <f ca="1">IFERROR(__xludf.DUMMYFUNCTION("""COMPUTED_VALUE"""),0)</f>
        <v>0</v>
      </c>
      <c r="S549" s="81"/>
      <c r="T549" s="81"/>
      <c r="U549" s="82"/>
      <c r="V549" s="82"/>
      <c r="W549" s="83"/>
      <c r="X549" s="83"/>
      <c r="Y549" s="83"/>
    </row>
    <row r="550" spans="1:25" ht="13.8">
      <c r="A550" s="78" t="str">
        <f ca="1">IFERROR(__xludf.DUMMYFUNCTION("""COMPUTED_VALUE"""),"DR")</f>
        <v>DR</v>
      </c>
      <c r="B550" s="79" t="str">
        <f ca="1">IFERROR(__xludf.DUMMYFUNCTION("""COMPUTED_VALUE"""),"Alexander Duong")</f>
        <v>Alexander Duong</v>
      </c>
      <c r="C550" s="78">
        <f ca="1">IFERROR(__xludf.DUMMYFUNCTION("""COMPUTED_VALUE"""),14)</f>
        <v>14</v>
      </c>
      <c r="D550" s="78" t="str">
        <f ca="1">IFERROR(__xludf.DUMMYFUNCTION("""COMPUTED_VALUE"""),"B")</f>
        <v>B</v>
      </c>
      <c r="E550" s="80" t="str">
        <f ca="1">IFERROR(__xludf.DUMMYFUNCTION("""COMPUTED_VALUE"""),"I")</f>
        <v>I</v>
      </c>
      <c r="F550" s="80" t="str">
        <f ca="1">IFERROR(__xludf.DUMMYFUNCTION("""COMPUTED_VALUE"""),"S")</f>
        <v>S</v>
      </c>
      <c r="G550" s="80">
        <f ca="1">IFERROR(__xludf.DUMMYFUNCTION("""COMPUTED_VALUE"""),3)</f>
        <v>3</v>
      </c>
      <c r="H550" s="80" t="str">
        <f ca="1">IFERROR(__xludf.DUMMYFUNCTION("""COMPUTED_VALUE"""),"DR")</f>
        <v>DR</v>
      </c>
      <c r="I550" s="80">
        <f ca="1">IFERROR(__xludf.DUMMYFUNCTION("""COMPUTED_VALUE"""),7)</f>
        <v>7</v>
      </c>
      <c r="J550" s="81">
        <f ca="1">IFERROR(__xludf.DUMMYFUNCTION("""COMPUTED_VALUE"""),0)</f>
        <v>0</v>
      </c>
      <c r="K550" s="81">
        <f ca="1">IFERROR(__xludf.DUMMYFUNCTION("""COMPUTED_VALUE"""),0)</f>
        <v>0</v>
      </c>
      <c r="L550" s="81">
        <f ca="1">IFERROR(__xludf.DUMMYFUNCTION("""COMPUTED_VALUE"""),0)</f>
        <v>0</v>
      </c>
      <c r="M550" s="81"/>
      <c r="N550" s="81">
        <f ca="1">IFERROR(__xludf.DUMMYFUNCTION("""COMPUTED_VALUE"""),0)</f>
        <v>0</v>
      </c>
      <c r="O550" s="81"/>
      <c r="P550" s="81">
        <f ca="1">IFERROR(__xludf.DUMMYFUNCTION("""COMPUTED_VALUE"""),0)</f>
        <v>0</v>
      </c>
      <c r="Q550" s="81"/>
      <c r="R550" s="81">
        <f ca="1">IFERROR(__xludf.DUMMYFUNCTION("""COMPUTED_VALUE"""),0)</f>
        <v>0</v>
      </c>
      <c r="S550" s="81"/>
      <c r="T550" s="81"/>
      <c r="U550" s="82"/>
      <c r="V550" s="82"/>
      <c r="W550" s="83"/>
      <c r="X550" s="83"/>
      <c r="Y550" s="83"/>
    </row>
    <row r="551" spans="1:25" ht="13.8">
      <c r="A551" s="78" t="str">
        <f ca="1">IFERROR(__xludf.DUMMYFUNCTION("""COMPUTED_VALUE"""),"DR")</f>
        <v>DR</v>
      </c>
      <c r="B551" s="79" t="str">
        <f ca="1">IFERROR(__xludf.DUMMYFUNCTION("""COMPUTED_VALUE"""),"Sam Jaeckel")</f>
        <v>Sam Jaeckel</v>
      </c>
      <c r="C551" s="78">
        <f ca="1">IFERROR(__xludf.DUMMYFUNCTION("""COMPUTED_VALUE"""),13)</f>
        <v>13</v>
      </c>
      <c r="D551" s="78" t="str">
        <f ca="1">IFERROR(__xludf.DUMMYFUNCTION("""COMPUTED_VALUE"""),"B")</f>
        <v>B</v>
      </c>
      <c r="E551" s="80" t="str">
        <f ca="1">IFERROR(__xludf.DUMMYFUNCTION("""COMPUTED_VALUE"""),"I")</f>
        <v>I</v>
      </c>
      <c r="F551" s="80" t="str">
        <f ca="1">IFERROR(__xludf.DUMMYFUNCTION("""COMPUTED_VALUE"""),"S")</f>
        <v>S</v>
      </c>
      <c r="G551" s="80">
        <f ca="1">IFERROR(__xludf.DUMMYFUNCTION("""COMPUTED_VALUE"""),3)</f>
        <v>3</v>
      </c>
      <c r="H551" s="80" t="str">
        <f ca="1">IFERROR(__xludf.DUMMYFUNCTION("""COMPUTED_VALUE"""),"DR")</f>
        <v>DR</v>
      </c>
      <c r="I551" s="80">
        <f ca="1">IFERROR(__xludf.DUMMYFUNCTION("""COMPUTED_VALUE"""),7)</f>
        <v>7</v>
      </c>
      <c r="J551" s="81">
        <f ca="1">IFERROR(__xludf.DUMMYFUNCTION("""COMPUTED_VALUE"""),0)</f>
        <v>0</v>
      </c>
      <c r="K551" s="81">
        <f ca="1">IFERROR(__xludf.DUMMYFUNCTION("""COMPUTED_VALUE"""),0)</f>
        <v>0</v>
      </c>
      <c r="L551" s="81">
        <f ca="1">IFERROR(__xludf.DUMMYFUNCTION("""COMPUTED_VALUE"""),0)</f>
        <v>0</v>
      </c>
      <c r="M551" s="81"/>
      <c r="N551" s="81">
        <f ca="1">IFERROR(__xludf.DUMMYFUNCTION("""COMPUTED_VALUE"""),0)</f>
        <v>0</v>
      </c>
      <c r="O551" s="81"/>
      <c r="P551" s="81">
        <f ca="1">IFERROR(__xludf.DUMMYFUNCTION("""COMPUTED_VALUE"""),0)</f>
        <v>0</v>
      </c>
      <c r="Q551" s="81"/>
      <c r="R551" s="81">
        <f ca="1">IFERROR(__xludf.DUMMYFUNCTION("""COMPUTED_VALUE"""),0)</f>
        <v>0</v>
      </c>
      <c r="S551" s="81"/>
      <c r="T551" s="81"/>
      <c r="U551" s="82"/>
      <c r="V551" s="82"/>
      <c r="W551" s="83"/>
      <c r="X551" s="83"/>
      <c r="Y551" s="83"/>
    </row>
    <row r="552" spans="1:25" ht="13.8">
      <c r="A552" s="78" t="str">
        <f ca="1">IFERROR(__xludf.DUMMYFUNCTION("""COMPUTED_VALUE"""),"DR")</f>
        <v>DR</v>
      </c>
      <c r="B552" s="79" t="str">
        <f ca="1">IFERROR(__xludf.DUMMYFUNCTION("""COMPUTED_VALUE"""),"Matthew Mastrostefano")</f>
        <v>Matthew Mastrostefano</v>
      </c>
      <c r="C552" s="78">
        <f ca="1">IFERROR(__xludf.DUMMYFUNCTION("""COMPUTED_VALUE"""),14)</f>
        <v>14</v>
      </c>
      <c r="D552" s="78" t="str">
        <f ca="1">IFERROR(__xludf.DUMMYFUNCTION("""COMPUTED_VALUE"""),"B")</f>
        <v>B</v>
      </c>
      <c r="E552" s="80" t="str">
        <f ca="1">IFERROR(__xludf.DUMMYFUNCTION("""COMPUTED_VALUE"""),"I")</f>
        <v>I</v>
      </c>
      <c r="F552" s="80" t="str">
        <f ca="1">IFERROR(__xludf.DUMMYFUNCTION("""COMPUTED_VALUE"""),"S")</f>
        <v>S</v>
      </c>
      <c r="G552" s="80">
        <f ca="1">IFERROR(__xludf.DUMMYFUNCTION("""COMPUTED_VALUE"""),3)</f>
        <v>3</v>
      </c>
      <c r="H552" s="80" t="str">
        <f ca="1">IFERROR(__xludf.DUMMYFUNCTION("""COMPUTED_VALUE"""),"DR")</f>
        <v>DR</v>
      </c>
      <c r="I552" s="80">
        <f ca="1">IFERROR(__xludf.DUMMYFUNCTION("""COMPUTED_VALUE"""),7)</f>
        <v>7</v>
      </c>
      <c r="J552" s="81">
        <f ca="1">IFERROR(__xludf.DUMMYFUNCTION("""COMPUTED_VALUE"""),1)</f>
        <v>1</v>
      </c>
      <c r="K552" s="81">
        <f ca="1">IFERROR(__xludf.DUMMYFUNCTION("""COMPUTED_VALUE"""),122.8)</f>
        <v>122.8</v>
      </c>
      <c r="L552" s="81">
        <f ca="1">IFERROR(__xludf.DUMMYFUNCTION("""COMPUTED_VALUE"""),0)</f>
        <v>0</v>
      </c>
      <c r="M552" s="81"/>
      <c r="N552" s="81">
        <f ca="1">IFERROR(__xludf.DUMMYFUNCTION("""COMPUTED_VALUE"""),122.8)</f>
        <v>122.8</v>
      </c>
      <c r="O552" s="81"/>
      <c r="P552" s="81">
        <f ca="1">IFERROR(__xludf.DUMMYFUNCTION("""COMPUTED_VALUE"""),0)</f>
        <v>0</v>
      </c>
      <c r="Q552" s="81"/>
      <c r="R552" s="81">
        <f ca="1">IFERROR(__xludf.DUMMYFUNCTION("""COMPUTED_VALUE"""),0)</f>
        <v>0</v>
      </c>
      <c r="S552" s="81"/>
      <c r="T552" s="81"/>
      <c r="U552" s="82"/>
      <c r="V552" s="82"/>
      <c r="W552" s="83"/>
      <c r="X552" s="83"/>
      <c r="Y552" s="83"/>
    </row>
    <row r="553" spans="1:25" ht="13.8">
      <c r="A553" s="78" t="str">
        <f ca="1">IFERROR(__xludf.DUMMYFUNCTION("""COMPUTED_VALUE"""),"DR")</f>
        <v>DR</v>
      </c>
      <c r="B553" s="79" t="str">
        <f ca="1">IFERROR(__xludf.DUMMYFUNCTION("""COMPUTED_VALUE"""),"William Mount")</f>
        <v>William Mount</v>
      </c>
      <c r="C553" s="78">
        <f ca="1">IFERROR(__xludf.DUMMYFUNCTION("""COMPUTED_VALUE"""),14)</f>
        <v>14</v>
      </c>
      <c r="D553" s="78" t="str">
        <f ca="1">IFERROR(__xludf.DUMMYFUNCTION("""COMPUTED_VALUE"""),"B")</f>
        <v>B</v>
      </c>
      <c r="E553" s="80" t="str">
        <f ca="1">IFERROR(__xludf.DUMMYFUNCTION("""COMPUTED_VALUE"""),"I")</f>
        <v>I</v>
      </c>
      <c r="F553" s="80" t="str">
        <f ca="1">IFERROR(__xludf.DUMMYFUNCTION("""COMPUTED_VALUE"""),"S")</f>
        <v>S</v>
      </c>
      <c r="G553" s="80">
        <f ca="1">IFERROR(__xludf.DUMMYFUNCTION("""COMPUTED_VALUE"""),3)</f>
        <v>3</v>
      </c>
      <c r="H553" s="80" t="str">
        <f ca="1">IFERROR(__xludf.DUMMYFUNCTION("""COMPUTED_VALUE"""),"DR")</f>
        <v>DR</v>
      </c>
      <c r="I553" s="80">
        <f ca="1">IFERROR(__xludf.DUMMYFUNCTION("""COMPUTED_VALUE"""),7)</f>
        <v>7</v>
      </c>
      <c r="J553" s="81">
        <f ca="1">IFERROR(__xludf.DUMMYFUNCTION("""COMPUTED_VALUE"""),3)</f>
        <v>3</v>
      </c>
      <c r="K553" s="81">
        <f ca="1">IFERROR(__xludf.DUMMYFUNCTION("""COMPUTED_VALUE"""),112.8)</f>
        <v>112.8</v>
      </c>
      <c r="L553" s="81">
        <f ca="1">IFERROR(__xludf.DUMMYFUNCTION("""COMPUTED_VALUE"""),0)</f>
        <v>0</v>
      </c>
      <c r="M553" s="81"/>
      <c r="N553" s="81">
        <f ca="1">IFERROR(__xludf.DUMMYFUNCTION("""COMPUTED_VALUE"""),112.8)</f>
        <v>112.8</v>
      </c>
      <c r="O553" s="81"/>
      <c r="P553" s="81">
        <f ca="1">IFERROR(__xludf.DUMMYFUNCTION("""COMPUTED_VALUE"""),0)</f>
        <v>0</v>
      </c>
      <c r="Q553" s="81"/>
      <c r="R553" s="81">
        <f ca="1">IFERROR(__xludf.DUMMYFUNCTION("""COMPUTED_VALUE"""),101.85)</f>
        <v>101.85</v>
      </c>
      <c r="S553" s="81"/>
      <c r="T553" s="81"/>
      <c r="U553" s="82"/>
      <c r="V553" s="82"/>
      <c r="W553" s="83"/>
      <c r="X553" s="83"/>
      <c r="Y553" s="83"/>
    </row>
    <row r="554" spans="1:25" ht="13.8">
      <c r="A554" s="78" t="str">
        <f ca="1">IFERROR(__xludf.DUMMYFUNCTION("""COMPUTED_VALUE"""),"DR")</f>
        <v>DR</v>
      </c>
      <c r="B554" s="79" t="str">
        <f ca="1">IFERROR(__xludf.DUMMYFUNCTION("""COMPUTED_VALUE"""),"Jack Reed")</f>
        <v>Jack Reed</v>
      </c>
      <c r="C554" s="78">
        <f ca="1">IFERROR(__xludf.DUMMYFUNCTION("""COMPUTED_VALUE"""),14)</f>
        <v>14</v>
      </c>
      <c r="D554" s="78" t="str">
        <f ca="1">IFERROR(__xludf.DUMMYFUNCTION("""COMPUTED_VALUE"""),"B")</f>
        <v>B</v>
      </c>
      <c r="E554" s="80" t="str">
        <f ca="1">IFERROR(__xludf.DUMMYFUNCTION("""COMPUTED_VALUE"""),"I")</f>
        <v>I</v>
      </c>
      <c r="F554" s="80" t="str">
        <f ca="1">IFERROR(__xludf.DUMMYFUNCTION("""COMPUTED_VALUE"""),"S")</f>
        <v>S</v>
      </c>
      <c r="G554" s="80">
        <f ca="1">IFERROR(__xludf.DUMMYFUNCTION("""COMPUTED_VALUE"""),3)</f>
        <v>3</v>
      </c>
      <c r="H554" s="80" t="str">
        <f ca="1">IFERROR(__xludf.DUMMYFUNCTION("""COMPUTED_VALUE"""),"DR")</f>
        <v>DR</v>
      </c>
      <c r="I554" s="80">
        <f ca="1">IFERROR(__xludf.DUMMYFUNCTION("""COMPUTED_VALUE"""),7)</f>
        <v>7</v>
      </c>
      <c r="J554" s="81">
        <f ca="1">IFERROR(__xludf.DUMMYFUNCTION("""COMPUTED_VALUE"""),5)</f>
        <v>5</v>
      </c>
      <c r="K554" s="81">
        <f ca="1">IFERROR(__xludf.DUMMYFUNCTION("""COMPUTED_VALUE"""),156.2)</f>
        <v>156.19999999999999</v>
      </c>
      <c r="L554" s="81">
        <f ca="1">IFERROR(__xludf.DUMMYFUNCTION("""COMPUTED_VALUE"""),131.15)</f>
        <v>131.15</v>
      </c>
      <c r="M554" s="81"/>
      <c r="N554" s="81">
        <f ca="1">IFERROR(__xludf.DUMMYFUNCTION("""COMPUTED_VALUE"""),156.2)</f>
        <v>156.19999999999999</v>
      </c>
      <c r="O554" s="81"/>
      <c r="P554" s="81">
        <f ca="1">IFERROR(__xludf.DUMMYFUNCTION("""COMPUTED_VALUE"""),134.75)</f>
        <v>134.75</v>
      </c>
      <c r="Q554" s="81"/>
      <c r="R554" s="81">
        <f ca="1">IFERROR(__xludf.DUMMYFUNCTION("""COMPUTED_VALUE"""),148.15)</f>
        <v>148.15</v>
      </c>
      <c r="S554" s="81"/>
      <c r="T554" s="81"/>
      <c r="U554" s="82"/>
      <c r="V554" s="82"/>
      <c r="W554" s="83"/>
      <c r="X554" s="83"/>
      <c r="Y554" s="83"/>
    </row>
    <row r="555" spans="1:25" ht="13.8">
      <c r="A555" s="78" t="str">
        <f ca="1">IFERROR(__xludf.DUMMYFUNCTION("""COMPUTED_VALUE"""),"DR")</f>
        <v>DR</v>
      </c>
      <c r="B555" s="79" t="str">
        <f ca="1">IFERROR(__xludf.DUMMYFUNCTION("""COMPUTED_VALUE"""),"Elise Maher")</f>
        <v>Elise Maher</v>
      </c>
      <c r="C555" s="78">
        <f ca="1">IFERROR(__xludf.DUMMYFUNCTION("""COMPUTED_VALUE"""),16)</f>
        <v>16</v>
      </c>
      <c r="D555" s="78" t="str">
        <f ca="1">IFERROR(__xludf.DUMMYFUNCTION("""COMPUTED_VALUE"""),"G")</f>
        <v>G</v>
      </c>
      <c r="E555" s="80" t="str">
        <f ca="1">IFERROR(__xludf.DUMMYFUNCTION("""COMPUTED_VALUE"""),"S")</f>
        <v>S</v>
      </c>
      <c r="F555" s="80" t="str">
        <f ca="1">IFERROR(__xludf.DUMMYFUNCTION("""COMPUTED_VALUE"""),"S")</f>
        <v>S</v>
      </c>
      <c r="G555" s="80">
        <f ca="1">IFERROR(__xludf.DUMMYFUNCTION("""COMPUTED_VALUE"""),3)</f>
        <v>3</v>
      </c>
      <c r="H555" s="80" t="str">
        <f ca="1">IFERROR(__xludf.DUMMYFUNCTION("""COMPUTED_VALUE"""),"DR")</f>
        <v>DR</v>
      </c>
      <c r="I555" s="80">
        <f ca="1">IFERROR(__xludf.DUMMYFUNCTION("""COMPUTED_VALUE"""),8)</f>
        <v>8</v>
      </c>
      <c r="J555" s="81">
        <f ca="1">IFERROR(__xludf.DUMMYFUNCTION("""COMPUTED_VALUE"""),4)</f>
        <v>4</v>
      </c>
      <c r="K555" s="81">
        <f ca="1">IFERROR(__xludf.DUMMYFUNCTION("""COMPUTED_VALUE"""),179.25)</f>
        <v>179.25</v>
      </c>
      <c r="L555" s="81">
        <f ca="1">IFERROR(__xludf.DUMMYFUNCTION("""COMPUTED_VALUE"""),154.15)</f>
        <v>154.15</v>
      </c>
      <c r="M555" s="81"/>
      <c r="N555" s="81">
        <f ca="1">IFERROR(__xludf.DUMMYFUNCTION("""COMPUTED_VALUE"""),154.45)</f>
        <v>154.44999999999999</v>
      </c>
      <c r="O555" s="81"/>
      <c r="P555" s="81">
        <f ca="1">IFERROR(__xludf.DUMMYFUNCTION("""COMPUTED_VALUE"""),0)</f>
        <v>0</v>
      </c>
      <c r="Q555" s="81"/>
      <c r="R555" s="81">
        <f ca="1">IFERROR(__xludf.DUMMYFUNCTION("""COMPUTED_VALUE"""),179.25)</f>
        <v>179.25</v>
      </c>
      <c r="S555" s="81"/>
      <c r="T555" s="81"/>
      <c r="U555" s="82"/>
      <c r="V555" s="82"/>
      <c r="W555" s="83"/>
      <c r="X555" s="83"/>
      <c r="Y555" s="83"/>
    </row>
    <row r="556" spans="1:25" ht="13.8">
      <c r="A556" s="78" t="str">
        <f ca="1">IFERROR(__xludf.DUMMYFUNCTION("""COMPUTED_VALUE"""),"DR")</f>
        <v>DR</v>
      </c>
      <c r="B556" s="79" t="str">
        <f ca="1">IFERROR(__xludf.DUMMYFUNCTION("""COMPUTED_VALUE"""),"Noelle Samowich")</f>
        <v>Noelle Samowich</v>
      </c>
      <c r="C556" s="78">
        <f ca="1">IFERROR(__xludf.DUMMYFUNCTION("""COMPUTED_VALUE"""),15)</f>
        <v>15</v>
      </c>
      <c r="D556" s="78" t="str">
        <f ca="1">IFERROR(__xludf.DUMMYFUNCTION("""COMPUTED_VALUE"""),"G")</f>
        <v>G</v>
      </c>
      <c r="E556" s="80" t="str">
        <f ca="1">IFERROR(__xludf.DUMMYFUNCTION("""COMPUTED_VALUE"""),"S")</f>
        <v>S</v>
      </c>
      <c r="F556" s="80" t="str">
        <f ca="1">IFERROR(__xludf.DUMMYFUNCTION("""COMPUTED_VALUE"""),"S")</f>
        <v>S</v>
      </c>
      <c r="G556" s="80">
        <f ca="1">IFERROR(__xludf.DUMMYFUNCTION("""COMPUTED_VALUE"""),3)</f>
        <v>3</v>
      </c>
      <c r="H556" s="80" t="str">
        <f ca="1">IFERROR(__xludf.DUMMYFUNCTION("""COMPUTED_VALUE"""),"DR")</f>
        <v>DR</v>
      </c>
      <c r="I556" s="80">
        <f ca="1">IFERROR(__xludf.DUMMYFUNCTION("""COMPUTED_VALUE"""),8)</f>
        <v>8</v>
      </c>
      <c r="J556" s="81">
        <f ca="1">IFERROR(__xludf.DUMMYFUNCTION("""COMPUTED_VALUE"""),2)</f>
        <v>2</v>
      </c>
      <c r="K556" s="81">
        <f ca="1">IFERROR(__xludf.DUMMYFUNCTION("""COMPUTED_VALUE"""),150.1)</f>
        <v>150.1</v>
      </c>
      <c r="L556" s="81">
        <f ca="1">IFERROR(__xludf.DUMMYFUNCTION("""COMPUTED_VALUE"""),119.5)</f>
        <v>119.5</v>
      </c>
      <c r="M556" s="81"/>
      <c r="N556" s="81">
        <f ca="1">IFERROR(__xludf.DUMMYFUNCTION("""COMPUTED_VALUE"""),0)</f>
        <v>0</v>
      </c>
      <c r="O556" s="81"/>
      <c r="P556" s="81">
        <f ca="1">IFERROR(__xludf.DUMMYFUNCTION("""COMPUTED_VALUE"""),150.1)</f>
        <v>150.1</v>
      </c>
      <c r="Q556" s="81"/>
      <c r="R556" s="81">
        <f ca="1">IFERROR(__xludf.DUMMYFUNCTION("""COMPUTED_VALUE"""),0)</f>
        <v>0</v>
      </c>
      <c r="S556" s="81"/>
      <c r="T556" s="81"/>
      <c r="U556" s="82"/>
      <c r="V556" s="82"/>
      <c r="W556" s="83"/>
      <c r="X556" s="83"/>
      <c r="Y556" s="83"/>
    </row>
    <row r="557" spans="1:25" ht="13.8">
      <c r="A557" s="78" t="str">
        <f ca="1">IFERROR(__xludf.DUMMYFUNCTION("""COMPUTED_VALUE"""),"DR")</f>
        <v>DR</v>
      </c>
      <c r="B557" s="79" t="str">
        <f ca="1">IFERROR(__xludf.DUMMYFUNCTION("""COMPUTED_VALUE"""),"Ellie Simmons")</f>
        <v>Ellie Simmons</v>
      </c>
      <c r="C557" s="78">
        <f ca="1">IFERROR(__xludf.DUMMYFUNCTION("""COMPUTED_VALUE"""),17)</f>
        <v>17</v>
      </c>
      <c r="D557" s="78" t="str">
        <f ca="1">IFERROR(__xludf.DUMMYFUNCTION("""COMPUTED_VALUE"""),"G")</f>
        <v>G</v>
      </c>
      <c r="E557" s="80" t="str">
        <f ca="1">IFERROR(__xludf.DUMMYFUNCTION("""COMPUTED_VALUE"""),"S")</f>
        <v>S</v>
      </c>
      <c r="F557" s="80" t="str">
        <f ca="1">IFERROR(__xludf.DUMMYFUNCTION("""COMPUTED_VALUE"""),"S")</f>
        <v>S</v>
      </c>
      <c r="G557" s="80">
        <f ca="1">IFERROR(__xludf.DUMMYFUNCTION("""COMPUTED_VALUE"""),3)</f>
        <v>3</v>
      </c>
      <c r="H557" s="80" t="str">
        <f ca="1">IFERROR(__xludf.DUMMYFUNCTION("""COMPUTED_VALUE"""),"DR")</f>
        <v>DR</v>
      </c>
      <c r="I557" s="80">
        <f ca="1">IFERROR(__xludf.DUMMYFUNCTION("""COMPUTED_VALUE"""),8)</f>
        <v>8</v>
      </c>
      <c r="J557" s="81">
        <f ca="1">IFERROR(__xludf.DUMMYFUNCTION("""COMPUTED_VALUE"""),4)</f>
        <v>4</v>
      </c>
      <c r="K557" s="81">
        <f ca="1">IFERROR(__xludf.DUMMYFUNCTION("""COMPUTED_VALUE"""),204.2)</f>
        <v>204.2</v>
      </c>
      <c r="L557" s="81">
        <f ca="1">IFERROR(__xludf.DUMMYFUNCTION("""COMPUTED_VALUE"""),163.8)</f>
        <v>163.80000000000001</v>
      </c>
      <c r="M557" s="81"/>
      <c r="N557" s="81">
        <f ca="1">IFERROR(__xludf.DUMMYFUNCTION("""COMPUTED_VALUE"""),0)</f>
        <v>0</v>
      </c>
      <c r="O557" s="81"/>
      <c r="P557" s="81">
        <f ca="1">IFERROR(__xludf.DUMMYFUNCTION("""COMPUTED_VALUE"""),204.2)</f>
        <v>204.2</v>
      </c>
      <c r="Q557" s="81"/>
      <c r="R557" s="81">
        <f ca="1">IFERROR(__xludf.DUMMYFUNCTION("""COMPUTED_VALUE"""),196.85)</f>
        <v>196.85</v>
      </c>
      <c r="S557" s="81"/>
      <c r="T557" s="81"/>
      <c r="U557" s="82"/>
      <c r="V557" s="82"/>
      <c r="W557" s="83"/>
      <c r="X557" s="83"/>
      <c r="Y557" s="83"/>
    </row>
    <row r="558" spans="1:25" ht="13.8">
      <c r="A558" s="78" t="str">
        <f ca="1">IFERROR(__xludf.DUMMYFUNCTION("""COMPUTED_VALUE"""),"DR")</f>
        <v>DR</v>
      </c>
      <c r="B558" s="79" t="str">
        <f ca="1">IFERROR(__xludf.DUMMYFUNCTION("""COMPUTED_VALUE"""),"Emma Webb")</f>
        <v>Emma Webb</v>
      </c>
      <c r="C558" s="78">
        <f ca="1">IFERROR(__xludf.DUMMYFUNCTION("""COMPUTED_VALUE"""),16)</f>
        <v>16</v>
      </c>
      <c r="D558" s="78" t="str">
        <f ca="1">IFERROR(__xludf.DUMMYFUNCTION("""COMPUTED_VALUE"""),"G")</f>
        <v>G</v>
      </c>
      <c r="E558" s="80" t="str">
        <f ca="1">IFERROR(__xludf.DUMMYFUNCTION("""COMPUTED_VALUE"""),"S")</f>
        <v>S</v>
      </c>
      <c r="F558" s="80" t="str">
        <f ca="1">IFERROR(__xludf.DUMMYFUNCTION("""COMPUTED_VALUE"""),"S")</f>
        <v>S</v>
      </c>
      <c r="G558" s="80">
        <f ca="1">IFERROR(__xludf.DUMMYFUNCTION("""COMPUTED_VALUE"""),3)</f>
        <v>3</v>
      </c>
      <c r="H558" s="80" t="str">
        <f ca="1">IFERROR(__xludf.DUMMYFUNCTION("""COMPUTED_VALUE"""),"DR")</f>
        <v>DR</v>
      </c>
      <c r="I558" s="80">
        <f ca="1">IFERROR(__xludf.DUMMYFUNCTION("""COMPUTED_VALUE"""),8)</f>
        <v>8</v>
      </c>
      <c r="J558" s="81">
        <f ca="1">IFERROR(__xludf.DUMMYFUNCTION("""COMPUTED_VALUE"""),5)</f>
        <v>5</v>
      </c>
      <c r="K558" s="81">
        <f ca="1">IFERROR(__xludf.DUMMYFUNCTION("""COMPUTED_VALUE"""),175)</f>
        <v>175</v>
      </c>
      <c r="L558" s="81">
        <f ca="1">IFERROR(__xludf.DUMMYFUNCTION("""COMPUTED_VALUE"""),152.2)</f>
        <v>152.19999999999999</v>
      </c>
      <c r="M558" s="81"/>
      <c r="N558" s="81">
        <f ca="1">IFERROR(__xludf.DUMMYFUNCTION("""COMPUTED_VALUE"""),175)</f>
        <v>175</v>
      </c>
      <c r="O558" s="81"/>
      <c r="P558" s="81">
        <f ca="1">IFERROR(__xludf.DUMMYFUNCTION("""COMPUTED_VALUE"""),173.05)</f>
        <v>173.05</v>
      </c>
      <c r="Q558" s="81"/>
      <c r="R558" s="81">
        <f ca="1">IFERROR(__xludf.DUMMYFUNCTION("""COMPUTED_VALUE"""),172.5)</f>
        <v>172.5</v>
      </c>
      <c r="S558" s="81"/>
      <c r="T558" s="81"/>
      <c r="U558" s="82"/>
      <c r="V558" s="82"/>
      <c r="W558" s="83"/>
      <c r="X558" s="83"/>
      <c r="Y558" s="83"/>
    </row>
    <row r="559" spans="1:25" ht="13.8">
      <c r="A559" s="78" t="str">
        <f ca="1">IFERROR(__xludf.DUMMYFUNCTION("""COMPUTED_VALUE"""),"DR")</f>
        <v>DR</v>
      </c>
      <c r="B559" s="79" t="str">
        <f ca="1">IFERROR(__xludf.DUMMYFUNCTION("""COMPUTED_VALUE"""),"James Gray")</f>
        <v>James Gray</v>
      </c>
      <c r="C559" s="78">
        <f ca="1">IFERROR(__xludf.DUMMYFUNCTION("""COMPUTED_VALUE"""),19)</f>
        <v>19</v>
      </c>
      <c r="D559" s="78" t="str">
        <f ca="1">IFERROR(__xludf.DUMMYFUNCTION("""COMPUTED_VALUE"""),"B")</f>
        <v>B</v>
      </c>
      <c r="E559" s="80" t="str">
        <f ca="1">IFERROR(__xludf.DUMMYFUNCTION("""COMPUTED_VALUE"""),"S")</f>
        <v>S</v>
      </c>
      <c r="F559" s="80" t="str">
        <f ca="1">IFERROR(__xludf.DUMMYFUNCTION("""COMPUTED_VALUE"""),"S")</f>
        <v>S</v>
      </c>
      <c r="G559" s="80">
        <f ca="1">IFERROR(__xludf.DUMMYFUNCTION("""COMPUTED_VALUE"""),3)</f>
        <v>3</v>
      </c>
      <c r="H559" s="80" t="str">
        <f ca="1">IFERROR(__xludf.DUMMYFUNCTION("""COMPUTED_VALUE"""),"DR")</f>
        <v>DR</v>
      </c>
      <c r="I559" s="80">
        <f ca="1">IFERROR(__xludf.DUMMYFUNCTION("""COMPUTED_VALUE"""),9)</f>
        <v>9</v>
      </c>
      <c r="J559" s="81">
        <f ca="1">IFERROR(__xludf.DUMMYFUNCTION("""COMPUTED_VALUE"""),1)</f>
        <v>1</v>
      </c>
      <c r="K559" s="81">
        <f ca="1">IFERROR(__xludf.DUMMYFUNCTION("""COMPUTED_VALUE"""),0)</f>
        <v>0</v>
      </c>
      <c r="L559" s="81">
        <f ca="1">IFERROR(__xludf.DUMMYFUNCTION("""COMPUTED_VALUE"""),0)</f>
        <v>0</v>
      </c>
      <c r="M559" s="81"/>
      <c r="N559" s="81">
        <f ca="1">IFERROR(__xludf.DUMMYFUNCTION("""COMPUTED_VALUE"""),0)</f>
        <v>0</v>
      </c>
      <c r="O559" s="81"/>
      <c r="P559" s="81">
        <f ca="1">IFERROR(__xludf.DUMMYFUNCTION("""COMPUTED_VALUE"""),0)</f>
        <v>0</v>
      </c>
      <c r="Q559" s="81"/>
      <c r="R559" s="81">
        <f ca="1">IFERROR(__xludf.DUMMYFUNCTION("""COMPUTED_VALUE"""),0)</f>
        <v>0</v>
      </c>
      <c r="S559" s="81"/>
      <c r="T559" s="81"/>
      <c r="U559" s="82"/>
      <c r="V559" s="82"/>
      <c r="W559" s="83"/>
      <c r="X559" s="83"/>
      <c r="Y559" s="83"/>
    </row>
    <row r="560" spans="1:25" ht="13.8">
      <c r="A560" s="78" t="str">
        <f ca="1">IFERROR(__xludf.DUMMYFUNCTION("""COMPUTED_VALUE"""),"DR")</f>
        <v>DR</v>
      </c>
      <c r="B560" s="79" t="str">
        <f ca="1">IFERROR(__xludf.DUMMYFUNCTION("""COMPUTED_VALUE"""),"William Parish")</f>
        <v>William Parish</v>
      </c>
      <c r="C560" s="78">
        <f ca="1">IFERROR(__xludf.DUMMYFUNCTION("""COMPUTED_VALUE"""),15)</f>
        <v>15</v>
      </c>
      <c r="D560" s="78" t="str">
        <f ca="1">IFERROR(__xludf.DUMMYFUNCTION("""COMPUTED_VALUE"""),"B")</f>
        <v>B</v>
      </c>
      <c r="E560" s="80" t="str">
        <f ca="1">IFERROR(__xludf.DUMMYFUNCTION("""COMPUTED_VALUE"""),"S")</f>
        <v>S</v>
      </c>
      <c r="F560" s="80" t="str">
        <f ca="1">IFERROR(__xludf.DUMMYFUNCTION("""COMPUTED_VALUE"""),"S")</f>
        <v>S</v>
      </c>
      <c r="G560" s="80">
        <f ca="1">IFERROR(__xludf.DUMMYFUNCTION("""COMPUTED_VALUE"""),3)</f>
        <v>3</v>
      </c>
      <c r="H560" s="80" t="str">
        <f ca="1">IFERROR(__xludf.DUMMYFUNCTION("""COMPUTED_VALUE"""),"DR")</f>
        <v>DR</v>
      </c>
      <c r="I560" s="80">
        <f ca="1">IFERROR(__xludf.DUMMYFUNCTION("""COMPUTED_VALUE"""),9)</f>
        <v>9</v>
      </c>
      <c r="J560" s="81">
        <f ca="1">IFERROR(__xludf.DUMMYFUNCTION("""COMPUTED_VALUE"""),5)</f>
        <v>5</v>
      </c>
      <c r="K560" s="81">
        <f ca="1">IFERROR(__xludf.DUMMYFUNCTION("""COMPUTED_VALUE"""),228.05)</f>
        <v>228.05</v>
      </c>
      <c r="L560" s="81">
        <f ca="1">IFERROR(__xludf.DUMMYFUNCTION("""COMPUTED_VALUE"""),206.3)</f>
        <v>206.3</v>
      </c>
      <c r="M560" s="81"/>
      <c r="N560" s="81">
        <f ca="1">IFERROR(__xludf.DUMMYFUNCTION("""COMPUTED_VALUE"""),225.1)</f>
        <v>225.1</v>
      </c>
      <c r="O560" s="81"/>
      <c r="P560" s="81">
        <f ca="1">IFERROR(__xludf.DUMMYFUNCTION("""COMPUTED_VALUE"""),224.7)</f>
        <v>224.7</v>
      </c>
      <c r="Q560" s="81"/>
      <c r="R560" s="81">
        <f ca="1">IFERROR(__xludf.DUMMYFUNCTION("""COMPUTED_VALUE"""),228.05)</f>
        <v>228.05</v>
      </c>
      <c r="S560" s="81"/>
      <c r="T560" s="81"/>
      <c r="U560" s="82"/>
      <c r="V560" s="82"/>
      <c r="W560" s="83"/>
      <c r="X560" s="83"/>
      <c r="Y560" s="83"/>
    </row>
    <row r="561" spans="1:25" ht="13.8">
      <c r="A561" s="78" t="str">
        <f ca="1">IFERROR(__xludf.DUMMYFUNCTION("""COMPUTED_VALUE"""),"F")</f>
        <v>F</v>
      </c>
      <c r="B561" s="79" t="str">
        <f ca="1">IFERROR(__xludf.DUMMYFUNCTION("""COMPUTED_VALUE"""),"Makayla Barnes")</f>
        <v>Makayla Barnes</v>
      </c>
      <c r="C561" s="78">
        <f ca="1">IFERROR(__xludf.DUMMYFUNCTION("""COMPUTED_VALUE"""),8)</f>
        <v>8</v>
      </c>
      <c r="D561" s="78" t="str">
        <f ca="1">IFERROR(__xludf.DUMMYFUNCTION("""COMPUTED_VALUE"""),"G")</f>
        <v>G</v>
      </c>
      <c r="E561" s="80" t="str">
        <f ca="1">IFERROR(__xludf.DUMMYFUNCTION("""COMPUTED_VALUE"""),"F")</f>
        <v>F</v>
      </c>
      <c r="F561" s="80" t="str">
        <f ca="1">IFERROR(__xludf.DUMMYFUNCTION("""COMPUTED_VALUE"""),"J")</f>
        <v>J</v>
      </c>
      <c r="G561" s="80">
        <f ca="1">IFERROR(__xludf.DUMMYFUNCTION("""COMPUTED_VALUE"""),2)</f>
        <v>2</v>
      </c>
      <c r="H561" s="80" t="str">
        <f ca="1">IFERROR(__xludf.DUMMYFUNCTION("""COMPUTED_VALUE"""),"F")</f>
        <v>F</v>
      </c>
      <c r="I561" s="80">
        <f ca="1">IFERROR(__xludf.DUMMYFUNCTION("""COMPUTED_VALUE"""),2)</f>
        <v>2</v>
      </c>
      <c r="J561" s="81">
        <f ca="1">IFERROR(__xludf.DUMMYFUNCTION("""COMPUTED_VALUE"""),3)</f>
        <v>3</v>
      </c>
      <c r="K561" s="81">
        <f ca="1">IFERROR(__xludf.DUMMYFUNCTION("""COMPUTED_VALUE"""),30.95)</f>
        <v>30.95</v>
      </c>
      <c r="L561" s="81">
        <f ca="1">IFERROR(__xludf.DUMMYFUNCTION("""COMPUTED_VALUE"""),16.75)</f>
        <v>16.75</v>
      </c>
      <c r="M561" s="81"/>
      <c r="N561" s="81">
        <f ca="1">IFERROR(__xludf.DUMMYFUNCTION("""COMPUTED_VALUE"""),30.95)</f>
        <v>30.95</v>
      </c>
      <c r="O561" s="81"/>
      <c r="P561" s="81">
        <f ca="1">IFERROR(__xludf.DUMMYFUNCTION("""COMPUTED_VALUE"""),0)</f>
        <v>0</v>
      </c>
      <c r="Q561" s="81"/>
      <c r="R561" s="81">
        <f ca="1">IFERROR(__xludf.DUMMYFUNCTION("""COMPUTED_VALUE"""),0)</f>
        <v>0</v>
      </c>
      <c r="S561" s="81"/>
      <c r="T561" s="81"/>
      <c r="U561" s="82"/>
      <c r="V561" s="82"/>
      <c r="W561" s="83"/>
      <c r="X561" s="83"/>
      <c r="Y561" s="83"/>
    </row>
    <row r="562" spans="1:25" ht="13.8">
      <c r="A562" s="78" t="str">
        <f ca="1">IFERROR(__xludf.DUMMYFUNCTION("""COMPUTED_VALUE"""),"F")</f>
        <v>F</v>
      </c>
      <c r="B562" s="79" t="str">
        <f ca="1">IFERROR(__xludf.DUMMYFUNCTION("""COMPUTED_VALUE"""),"Lily Carpenter")</f>
        <v>Lily Carpenter</v>
      </c>
      <c r="C562" s="78">
        <f ca="1">IFERROR(__xludf.DUMMYFUNCTION("""COMPUTED_VALUE"""),8)</f>
        <v>8</v>
      </c>
      <c r="D562" s="78" t="str">
        <f ca="1">IFERROR(__xludf.DUMMYFUNCTION("""COMPUTED_VALUE"""),"G")</f>
        <v>G</v>
      </c>
      <c r="E562" s="80" t="str">
        <f ca="1">IFERROR(__xludf.DUMMYFUNCTION("""COMPUTED_VALUE"""),"F")</f>
        <v>F</v>
      </c>
      <c r="F562" s="80" t="str">
        <f ca="1">IFERROR(__xludf.DUMMYFUNCTION("""COMPUTED_VALUE"""),"J")</f>
        <v>J</v>
      </c>
      <c r="G562" s="80">
        <f ca="1">IFERROR(__xludf.DUMMYFUNCTION("""COMPUTED_VALUE"""),2)</f>
        <v>2</v>
      </c>
      <c r="H562" s="80" t="str">
        <f ca="1">IFERROR(__xludf.DUMMYFUNCTION("""COMPUTED_VALUE"""),"F")</f>
        <v>F</v>
      </c>
      <c r="I562" s="80">
        <f ca="1">IFERROR(__xludf.DUMMYFUNCTION("""COMPUTED_VALUE"""),2)</f>
        <v>2</v>
      </c>
      <c r="J562" s="81">
        <f ca="1">IFERROR(__xludf.DUMMYFUNCTION("""COMPUTED_VALUE"""),4)</f>
        <v>4</v>
      </c>
      <c r="K562" s="81">
        <f ca="1">IFERROR(__xludf.DUMMYFUNCTION("""COMPUTED_VALUE"""),48.25)</f>
        <v>48.25</v>
      </c>
      <c r="L562" s="81">
        <f ca="1">IFERROR(__xludf.DUMMYFUNCTION("""COMPUTED_VALUE"""),0)</f>
        <v>0</v>
      </c>
      <c r="M562" s="81"/>
      <c r="N562" s="81">
        <f ca="1">IFERROR(__xludf.DUMMYFUNCTION("""COMPUTED_VALUE"""),41.4)</f>
        <v>41.4</v>
      </c>
      <c r="O562" s="81"/>
      <c r="P562" s="81">
        <f ca="1">IFERROR(__xludf.DUMMYFUNCTION("""COMPUTED_VALUE"""),48.25)</f>
        <v>48.25</v>
      </c>
      <c r="Q562" s="81"/>
      <c r="R562" s="81">
        <f ca="1">IFERROR(__xludf.DUMMYFUNCTION("""COMPUTED_VALUE"""),43.95)</f>
        <v>43.95</v>
      </c>
      <c r="S562" s="81"/>
      <c r="T562" s="81"/>
      <c r="U562" s="82"/>
      <c r="V562" s="82"/>
      <c r="W562" s="83"/>
      <c r="X562" s="83"/>
      <c r="Y562" s="83"/>
    </row>
    <row r="563" spans="1:25" ht="13.8">
      <c r="A563" s="78" t="str">
        <f ca="1">IFERROR(__xludf.DUMMYFUNCTION("""COMPUTED_VALUE"""),"F")</f>
        <v>F</v>
      </c>
      <c r="B563" s="79" t="str">
        <f ca="1">IFERROR(__xludf.DUMMYFUNCTION("""COMPUTED_VALUE"""),"Abbie Colwill")</f>
        <v>Abbie Colwill</v>
      </c>
      <c r="C563" s="78">
        <f ca="1">IFERROR(__xludf.DUMMYFUNCTION("""COMPUTED_VALUE"""),9)</f>
        <v>9</v>
      </c>
      <c r="D563" s="78" t="str">
        <f ca="1">IFERROR(__xludf.DUMMYFUNCTION("""COMPUTED_VALUE"""),"G")</f>
        <v>G</v>
      </c>
      <c r="E563" s="80" t="str">
        <f ca="1">IFERROR(__xludf.DUMMYFUNCTION("""COMPUTED_VALUE"""),"F")</f>
        <v>F</v>
      </c>
      <c r="F563" s="80" t="str">
        <f ca="1">IFERROR(__xludf.DUMMYFUNCTION("""COMPUTED_VALUE"""),"J")</f>
        <v>J</v>
      </c>
      <c r="G563" s="80">
        <f ca="1">IFERROR(__xludf.DUMMYFUNCTION("""COMPUTED_VALUE"""),2)</f>
        <v>2</v>
      </c>
      <c r="H563" s="80" t="str">
        <f ca="1">IFERROR(__xludf.DUMMYFUNCTION("""COMPUTED_VALUE"""),"F")</f>
        <v>F</v>
      </c>
      <c r="I563" s="80">
        <f ca="1">IFERROR(__xludf.DUMMYFUNCTION("""COMPUTED_VALUE"""),2)</f>
        <v>2</v>
      </c>
      <c r="J563" s="81">
        <f ca="1">IFERROR(__xludf.DUMMYFUNCTION("""COMPUTED_VALUE"""),2)</f>
        <v>2</v>
      </c>
      <c r="K563" s="81">
        <f ca="1">IFERROR(__xludf.DUMMYFUNCTION("""COMPUTED_VALUE"""),39.8)</f>
        <v>39.799999999999997</v>
      </c>
      <c r="L563" s="81">
        <f ca="1">IFERROR(__xludf.DUMMYFUNCTION("""COMPUTED_VALUE"""),39.8)</f>
        <v>39.799999999999997</v>
      </c>
      <c r="M563" s="81"/>
      <c r="N563" s="81">
        <f ca="1">IFERROR(__xludf.DUMMYFUNCTION("""COMPUTED_VALUE"""),0)</f>
        <v>0</v>
      </c>
      <c r="O563" s="81"/>
      <c r="P563" s="81">
        <f ca="1">IFERROR(__xludf.DUMMYFUNCTION("""COMPUTED_VALUE"""),29.6)</f>
        <v>29.6</v>
      </c>
      <c r="Q563" s="81"/>
      <c r="R563" s="81">
        <f ca="1">IFERROR(__xludf.DUMMYFUNCTION("""COMPUTED_VALUE"""),0)</f>
        <v>0</v>
      </c>
      <c r="S563" s="81"/>
      <c r="T563" s="81"/>
      <c r="U563" s="82"/>
      <c r="V563" s="82"/>
      <c r="W563" s="83"/>
      <c r="X563" s="83"/>
      <c r="Y563" s="83"/>
    </row>
    <row r="564" spans="1:25" ht="13.8">
      <c r="A564" s="78" t="str">
        <f ca="1">IFERROR(__xludf.DUMMYFUNCTION("""COMPUTED_VALUE"""),"F")</f>
        <v>F</v>
      </c>
      <c r="B564" s="79" t="str">
        <f ca="1">IFERROR(__xludf.DUMMYFUNCTION("""COMPUTED_VALUE"""),"Carleigh Devlin")</f>
        <v>Carleigh Devlin</v>
      </c>
      <c r="C564" s="78">
        <f ca="1">IFERROR(__xludf.DUMMYFUNCTION("""COMPUTED_VALUE"""),10)</f>
        <v>10</v>
      </c>
      <c r="D564" s="78" t="str">
        <f ca="1">IFERROR(__xludf.DUMMYFUNCTION("""COMPUTED_VALUE"""),"G")</f>
        <v>G</v>
      </c>
      <c r="E564" s="80" t="str">
        <f ca="1">IFERROR(__xludf.DUMMYFUNCTION("""COMPUTED_VALUE"""),"F")</f>
        <v>F</v>
      </c>
      <c r="F564" s="80" t="str">
        <f ca="1">IFERROR(__xludf.DUMMYFUNCTION("""COMPUTED_VALUE"""),"J")</f>
        <v>J</v>
      </c>
      <c r="G564" s="80">
        <f ca="1">IFERROR(__xludf.DUMMYFUNCTION("""COMPUTED_VALUE"""),2)</f>
        <v>2</v>
      </c>
      <c r="H564" s="80" t="str">
        <f ca="1">IFERROR(__xludf.DUMMYFUNCTION("""COMPUTED_VALUE"""),"F")</f>
        <v>F</v>
      </c>
      <c r="I564" s="80">
        <f ca="1">IFERROR(__xludf.DUMMYFUNCTION("""COMPUTED_VALUE"""),2)</f>
        <v>2</v>
      </c>
      <c r="J564" s="81">
        <f ca="1">IFERROR(__xludf.DUMMYFUNCTION("""COMPUTED_VALUE"""),5)</f>
        <v>5</v>
      </c>
      <c r="K564" s="81">
        <f ca="1">IFERROR(__xludf.DUMMYFUNCTION("""COMPUTED_VALUE"""),59.35)</f>
        <v>59.35</v>
      </c>
      <c r="L564" s="81">
        <f ca="1">IFERROR(__xludf.DUMMYFUNCTION("""COMPUTED_VALUE"""),52.95)</f>
        <v>52.95</v>
      </c>
      <c r="M564" s="81"/>
      <c r="N564" s="81">
        <f ca="1">IFERROR(__xludf.DUMMYFUNCTION("""COMPUTED_VALUE"""),50.7)</f>
        <v>50.7</v>
      </c>
      <c r="O564" s="81"/>
      <c r="P564" s="81">
        <f ca="1">IFERROR(__xludf.DUMMYFUNCTION("""COMPUTED_VALUE"""),53.7)</f>
        <v>53.7</v>
      </c>
      <c r="Q564" s="81"/>
      <c r="R564" s="81">
        <f ca="1">IFERROR(__xludf.DUMMYFUNCTION("""COMPUTED_VALUE"""),59.35)</f>
        <v>59.35</v>
      </c>
      <c r="S564" s="81"/>
      <c r="T564" s="81"/>
      <c r="U564" s="82"/>
      <c r="V564" s="82"/>
      <c r="W564" s="83"/>
      <c r="X564" s="83"/>
      <c r="Y564" s="83"/>
    </row>
    <row r="565" spans="1:25" ht="13.8">
      <c r="A565" s="78" t="str">
        <f ca="1">IFERROR(__xludf.DUMMYFUNCTION("""COMPUTED_VALUE"""),"F")</f>
        <v>F</v>
      </c>
      <c r="B565" s="79" t="str">
        <f ca="1">IFERROR(__xludf.DUMMYFUNCTION("""COMPUTED_VALUE"""),"Riya Doshi")</f>
        <v>Riya Doshi</v>
      </c>
      <c r="C565" s="78">
        <f ca="1">IFERROR(__xludf.DUMMYFUNCTION("""COMPUTED_VALUE"""),9)</f>
        <v>9</v>
      </c>
      <c r="D565" s="78" t="str">
        <f ca="1">IFERROR(__xludf.DUMMYFUNCTION("""COMPUTED_VALUE"""),"G")</f>
        <v>G</v>
      </c>
      <c r="E565" s="80" t="str">
        <f ca="1">IFERROR(__xludf.DUMMYFUNCTION("""COMPUTED_VALUE"""),"F")</f>
        <v>F</v>
      </c>
      <c r="F565" s="80" t="str">
        <f ca="1">IFERROR(__xludf.DUMMYFUNCTION("""COMPUTED_VALUE"""),"J")</f>
        <v>J</v>
      </c>
      <c r="G565" s="80">
        <f ca="1">IFERROR(__xludf.DUMMYFUNCTION("""COMPUTED_VALUE"""),2)</f>
        <v>2</v>
      </c>
      <c r="H565" s="80" t="str">
        <f ca="1">IFERROR(__xludf.DUMMYFUNCTION("""COMPUTED_VALUE"""),"F")</f>
        <v>F</v>
      </c>
      <c r="I565" s="80">
        <f ca="1">IFERROR(__xludf.DUMMYFUNCTION("""COMPUTED_VALUE"""),2)</f>
        <v>2</v>
      </c>
      <c r="J565" s="81">
        <f ca="1">IFERROR(__xludf.DUMMYFUNCTION("""COMPUTED_VALUE"""),0)</f>
        <v>0</v>
      </c>
      <c r="K565" s="81">
        <f ca="1">IFERROR(__xludf.DUMMYFUNCTION("""COMPUTED_VALUE"""),0)</f>
        <v>0</v>
      </c>
      <c r="L565" s="81">
        <f ca="1">IFERROR(__xludf.DUMMYFUNCTION("""COMPUTED_VALUE"""),0)</f>
        <v>0</v>
      </c>
      <c r="M565" s="81"/>
      <c r="N565" s="81">
        <f ca="1">IFERROR(__xludf.DUMMYFUNCTION("""COMPUTED_VALUE"""),0)</f>
        <v>0</v>
      </c>
      <c r="O565" s="81"/>
      <c r="P565" s="81">
        <f ca="1">IFERROR(__xludf.DUMMYFUNCTION("""COMPUTED_VALUE"""),0)</f>
        <v>0</v>
      </c>
      <c r="Q565" s="81"/>
      <c r="R565" s="81">
        <f ca="1">IFERROR(__xludf.DUMMYFUNCTION("""COMPUTED_VALUE"""),0)</f>
        <v>0</v>
      </c>
      <c r="S565" s="81"/>
      <c r="T565" s="81"/>
      <c r="U565" s="82"/>
      <c r="V565" s="82"/>
      <c r="W565" s="83"/>
      <c r="X565" s="83"/>
      <c r="Y565" s="83"/>
    </row>
    <row r="566" spans="1:25" ht="13.8">
      <c r="A566" s="78" t="str">
        <f ca="1">IFERROR(__xludf.DUMMYFUNCTION("""COMPUTED_VALUE"""),"F")</f>
        <v>F</v>
      </c>
      <c r="B566" s="79" t="str">
        <f ca="1">IFERROR(__xludf.DUMMYFUNCTION("""COMPUTED_VALUE"""),"Delaney Fructuoso")</f>
        <v>Delaney Fructuoso</v>
      </c>
      <c r="C566" s="78">
        <f ca="1">IFERROR(__xludf.DUMMYFUNCTION("""COMPUTED_VALUE"""),10)</f>
        <v>10</v>
      </c>
      <c r="D566" s="78" t="str">
        <f ca="1">IFERROR(__xludf.DUMMYFUNCTION("""COMPUTED_VALUE"""),"G")</f>
        <v>G</v>
      </c>
      <c r="E566" s="80" t="str">
        <f ca="1">IFERROR(__xludf.DUMMYFUNCTION("""COMPUTED_VALUE"""),"F")</f>
        <v>F</v>
      </c>
      <c r="F566" s="80" t="str">
        <f ca="1">IFERROR(__xludf.DUMMYFUNCTION("""COMPUTED_VALUE"""),"J")</f>
        <v>J</v>
      </c>
      <c r="G566" s="80">
        <f ca="1">IFERROR(__xludf.DUMMYFUNCTION("""COMPUTED_VALUE"""),2)</f>
        <v>2</v>
      </c>
      <c r="H566" s="80" t="str">
        <f ca="1">IFERROR(__xludf.DUMMYFUNCTION("""COMPUTED_VALUE"""),"F")</f>
        <v>F</v>
      </c>
      <c r="I566" s="80">
        <f ca="1">IFERROR(__xludf.DUMMYFUNCTION("""COMPUTED_VALUE"""),2)</f>
        <v>2</v>
      </c>
      <c r="J566" s="81">
        <f ca="1">IFERROR(__xludf.DUMMYFUNCTION("""COMPUTED_VALUE"""),0)</f>
        <v>0</v>
      </c>
      <c r="K566" s="81">
        <f ca="1">IFERROR(__xludf.DUMMYFUNCTION("""COMPUTED_VALUE"""),0)</f>
        <v>0</v>
      </c>
      <c r="L566" s="81">
        <f ca="1">IFERROR(__xludf.DUMMYFUNCTION("""COMPUTED_VALUE"""),0)</f>
        <v>0</v>
      </c>
      <c r="M566" s="81"/>
      <c r="N566" s="81">
        <f ca="1">IFERROR(__xludf.DUMMYFUNCTION("""COMPUTED_VALUE"""),0)</f>
        <v>0</v>
      </c>
      <c r="O566" s="81"/>
      <c r="P566" s="81">
        <f ca="1">IFERROR(__xludf.DUMMYFUNCTION("""COMPUTED_VALUE"""),0)</f>
        <v>0</v>
      </c>
      <c r="Q566" s="81"/>
      <c r="R566" s="81">
        <f ca="1">IFERROR(__xludf.DUMMYFUNCTION("""COMPUTED_VALUE"""),0)</f>
        <v>0</v>
      </c>
      <c r="S566" s="81"/>
      <c r="T566" s="81"/>
      <c r="U566" s="82"/>
      <c r="V566" s="82"/>
      <c r="W566" s="83"/>
      <c r="X566" s="83"/>
      <c r="Y566" s="83"/>
    </row>
    <row r="567" spans="1:25" ht="13.8">
      <c r="A567" s="78" t="str">
        <f ca="1">IFERROR(__xludf.DUMMYFUNCTION("""COMPUTED_VALUE"""),"F")</f>
        <v>F</v>
      </c>
      <c r="B567" s="79" t="str">
        <f ca="1">IFERROR(__xludf.DUMMYFUNCTION("""COMPUTED_VALUE"""),"Maddie Laccone")</f>
        <v>Maddie Laccone</v>
      </c>
      <c r="C567" s="78">
        <f ca="1">IFERROR(__xludf.DUMMYFUNCTION("""COMPUTED_VALUE"""),9)</f>
        <v>9</v>
      </c>
      <c r="D567" s="78" t="str">
        <f ca="1">IFERROR(__xludf.DUMMYFUNCTION("""COMPUTED_VALUE"""),"G")</f>
        <v>G</v>
      </c>
      <c r="E567" s="80" t="str">
        <f ca="1">IFERROR(__xludf.DUMMYFUNCTION("""COMPUTED_VALUE"""),"F")</f>
        <v>F</v>
      </c>
      <c r="F567" s="80" t="str">
        <f ca="1">IFERROR(__xludf.DUMMYFUNCTION("""COMPUTED_VALUE"""),"J")</f>
        <v>J</v>
      </c>
      <c r="G567" s="80">
        <f ca="1">IFERROR(__xludf.DUMMYFUNCTION("""COMPUTED_VALUE"""),2)</f>
        <v>2</v>
      </c>
      <c r="H567" s="80" t="str">
        <f ca="1">IFERROR(__xludf.DUMMYFUNCTION("""COMPUTED_VALUE"""),"F")</f>
        <v>F</v>
      </c>
      <c r="I567" s="80">
        <f ca="1">IFERROR(__xludf.DUMMYFUNCTION("""COMPUTED_VALUE"""),2)</f>
        <v>2</v>
      </c>
      <c r="J567" s="81">
        <f ca="1">IFERROR(__xludf.DUMMYFUNCTION("""COMPUTED_VALUE"""),0)</f>
        <v>0</v>
      </c>
      <c r="K567" s="81">
        <f ca="1">IFERROR(__xludf.DUMMYFUNCTION("""COMPUTED_VALUE"""),0)</f>
        <v>0</v>
      </c>
      <c r="L567" s="81">
        <f ca="1">IFERROR(__xludf.DUMMYFUNCTION("""COMPUTED_VALUE"""),0)</f>
        <v>0</v>
      </c>
      <c r="M567" s="81"/>
      <c r="N567" s="81">
        <f ca="1">IFERROR(__xludf.DUMMYFUNCTION("""COMPUTED_VALUE"""),0)</f>
        <v>0</v>
      </c>
      <c r="O567" s="81"/>
      <c r="P567" s="81">
        <f ca="1">IFERROR(__xludf.DUMMYFUNCTION("""COMPUTED_VALUE"""),0)</f>
        <v>0</v>
      </c>
      <c r="Q567" s="81"/>
      <c r="R567" s="81">
        <f ca="1">IFERROR(__xludf.DUMMYFUNCTION("""COMPUTED_VALUE"""),0)</f>
        <v>0</v>
      </c>
      <c r="S567" s="81"/>
      <c r="T567" s="81"/>
      <c r="U567" s="82"/>
      <c r="V567" s="82"/>
      <c r="W567" s="83"/>
      <c r="X567" s="83"/>
      <c r="Y567" s="83"/>
    </row>
    <row r="568" spans="1:25" ht="13.8">
      <c r="A568" s="78" t="str">
        <f ca="1">IFERROR(__xludf.DUMMYFUNCTION("""COMPUTED_VALUE"""),"F")</f>
        <v>F</v>
      </c>
      <c r="B568" s="79" t="str">
        <f ca="1">IFERROR(__xludf.DUMMYFUNCTION("""COMPUTED_VALUE"""),"Nya Lowery")</f>
        <v>Nya Lowery</v>
      </c>
      <c r="C568" s="78">
        <f ca="1">IFERROR(__xludf.DUMMYFUNCTION("""COMPUTED_VALUE"""),10)</f>
        <v>10</v>
      </c>
      <c r="D568" s="78" t="str">
        <f ca="1">IFERROR(__xludf.DUMMYFUNCTION("""COMPUTED_VALUE"""),"G")</f>
        <v>G</v>
      </c>
      <c r="E568" s="80" t="str">
        <f ca="1">IFERROR(__xludf.DUMMYFUNCTION("""COMPUTED_VALUE"""),"F")</f>
        <v>F</v>
      </c>
      <c r="F568" s="80" t="str">
        <f ca="1">IFERROR(__xludf.DUMMYFUNCTION("""COMPUTED_VALUE"""),"J")</f>
        <v>J</v>
      </c>
      <c r="G568" s="80">
        <f ca="1">IFERROR(__xludf.DUMMYFUNCTION("""COMPUTED_VALUE"""),2)</f>
        <v>2</v>
      </c>
      <c r="H568" s="80" t="str">
        <f ca="1">IFERROR(__xludf.DUMMYFUNCTION("""COMPUTED_VALUE"""),"F")</f>
        <v>F</v>
      </c>
      <c r="I568" s="80">
        <f ca="1">IFERROR(__xludf.DUMMYFUNCTION("""COMPUTED_VALUE"""),2)</f>
        <v>2</v>
      </c>
      <c r="J568" s="81">
        <f ca="1">IFERROR(__xludf.DUMMYFUNCTION("""COMPUTED_VALUE"""),1)</f>
        <v>1</v>
      </c>
      <c r="K568" s="81">
        <f ca="1">IFERROR(__xludf.DUMMYFUNCTION("""COMPUTED_VALUE"""),30.75)</f>
        <v>30.75</v>
      </c>
      <c r="L568" s="81">
        <f ca="1">IFERROR(__xludf.DUMMYFUNCTION("""COMPUTED_VALUE"""),0)</f>
        <v>0</v>
      </c>
      <c r="M568" s="81"/>
      <c r="N568" s="81">
        <f ca="1">IFERROR(__xludf.DUMMYFUNCTION("""COMPUTED_VALUE"""),30.75)</f>
        <v>30.75</v>
      </c>
      <c r="O568" s="81"/>
      <c r="P568" s="81">
        <f ca="1">IFERROR(__xludf.DUMMYFUNCTION("""COMPUTED_VALUE"""),0)</f>
        <v>0</v>
      </c>
      <c r="Q568" s="81"/>
      <c r="R568" s="81">
        <f ca="1">IFERROR(__xludf.DUMMYFUNCTION("""COMPUTED_VALUE"""),0)</f>
        <v>0</v>
      </c>
      <c r="S568" s="81"/>
      <c r="T568" s="81"/>
      <c r="U568" s="82"/>
      <c r="V568" s="82"/>
      <c r="W568" s="83"/>
      <c r="X568" s="83"/>
      <c r="Y568" s="83"/>
    </row>
    <row r="569" spans="1:25" ht="13.8">
      <c r="A569" s="78" t="str">
        <f ca="1">IFERROR(__xludf.DUMMYFUNCTION("""COMPUTED_VALUE"""),"F")</f>
        <v>F</v>
      </c>
      <c r="B569" s="79" t="str">
        <f ca="1">IFERROR(__xludf.DUMMYFUNCTION("""COMPUTED_VALUE"""),"Emily Rodjom")</f>
        <v>Emily Rodjom</v>
      </c>
      <c r="C569" s="78">
        <f ca="1">IFERROR(__xludf.DUMMYFUNCTION("""COMPUTED_VALUE"""),10)</f>
        <v>10</v>
      </c>
      <c r="D569" s="78" t="str">
        <f ca="1">IFERROR(__xludf.DUMMYFUNCTION("""COMPUTED_VALUE"""),"G")</f>
        <v>G</v>
      </c>
      <c r="E569" s="80" t="str">
        <f ca="1">IFERROR(__xludf.DUMMYFUNCTION("""COMPUTED_VALUE"""),"F")</f>
        <v>F</v>
      </c>
      <c r="F569" s="80" t="str">
        <f ca="1">IFERROR(__xludf.DUMMYFUNCTION("""COMPUTED_VALUE"""),"J")</f>
        <v>J</v>
      </c>
      <c r="G569" s="80">
        <f ca="1">IFERROR(__xludf.DUMMYFUNCTION("""COMPUTED_VALUE"""),2)</f>
        <v>2</v>
      </c>
      <c r="H569" s="80" t="str">
        <f ca="1">IFERROR(__xludf.DUMMYFUNCTION("""COMPUTED_VALUE"""),"F")</f>
        <v>F</v>
      </c>
      <c r="I569" s="80">
        <f ca="1">IFERROR(__xludf.DUMMYFUNCTION("""COMPUTED_VALUE"""),2)</f>
        <v>2</v>
      </c>
      <c r="J569" s="81">
        <f ca="1">IFERROR(__xludf.DUMMYFUNCTION("""COMPUTED_VALUE"""),3)</f>
        <v>3</v>
      </c>
      <c r="K569" s="81">
        <f ca="1">IFERROR(__xludf.DUMMYFUNCTION("""COMPUTED_VALUE"""),38.75)</f>
        <v>38.75</v>
      </c>
      <c r="L569" s="81">
        <f ca="1">IFERROR(__xludf.DUMMYFUNCTION("""COMPUTED_VALUE"""),16.3)</f>
        <v>16.3</v>
      </c>
      <c r="M569" s="81"/>
      <c r="N569" s="81">
        <f ca="1">IFERROR(__xludf.DUMMYFUNCTION("""COMPUTED_VALUE"""),35.2)</f>
        <v>35.200000000000003</v>
      </c>
      <c r="O569" s="81"/>
      <c r="P569" s="81">
        <f ca="1">IFERROR(__xludf.DUMMYFUNCTION("""COMPUTED_VALUE"""),0)</f>
        <v>0</v>
      </c>
      <c r="Q569" s="81"/>
      <c r="R569" s="81">
        <f ca="1">IFERROR(__xludf.DUMMYFUNCTION("""COMPUTED_VALUE"""),38.75)</f>
        <v>38.75</v>
      </c>
      <c r="S569" s="81"/>
      <c r="T569" s="81"/>
      <c r="U569" s="82"/>
      <c r="V569" s="82"/>
      <c r="W569" s="83"/>
      <c r="X569" s="83"/>
      <c r="Y569" s="83"/>
    </row>
    <row r="570" spans="1:25" ht="13.8">
      <c r="A570" s="78" t="str">
        <f ca="1">IFERROR(__xludf.DUMMYFUNCTION("""COMPUTED_VALUE"""),"F")</f>
        <v>F</v>
      </c>
      <c r="B570" s="79" t="str">
        <f ca="1">IFERROR(__xludf.DUMMYFUNCTION("""COMPUTED_VALUE"""),"Marisa Rodjom")</f>
        <v>Marisa Rodjom</v>
      </c>
      <c r="C570" s="78">
        <f ca="1">IFERROR(__xludf.DUMMYFUNCTION("""COMPUTED_VALUE"""),10)</f>
        <v>10</v>
      </c>
      <c r="D570" s="78" t="str">
        <f ca="1">IFERROR(__xludf.DUMMYFUNCTION("""COMPUTED_VALUE"""),"G")</f>
        <v>G</v>
      </c>
      <c r="E570" s="80" t="str">
        <f ca="1">IFERROR(__xludf.DUMMYFUNCTION("""COMPUTED_VALUE"""),"F")</f>
        <v>F</v>
      </c>
      <c r="F570" s="80" t="str">
        <f ca="1">IFERROR(__xludf.DUMMYFUNCTION("""COMPUTED_VALUE"""),"J")</f>
        <v>J</v>
      </c>
      <c r="G570" s="80">
        <f ca="1">IFERROR(__xludf.DUMMYFUNCTION("""COMPUTED_VALUE"""),2)</f>
        <v>2</v>
      </c>
      <c r="H570" s="80" t="str">
        <f ca="1">IFERROR(__xludf.DUMMYFUNCTION("""COMPUTED_VALUE"""),"F")</f>
        <v>F</v>
      </c>
      <c r="I570" s="80">
        <f ca="1">IFERROR(__xludf.DUMMYFUNCTION("""COMPUTED_VALUE"""),2)</f>
        <v>2</v>
      </c>
      <c r="J570" s="81">
        <f ca="1">IFERROR(__xludf.DUMMYFUNCTION("""COMPUTED_VALUE"""),3)</f>
        <v>3</v>
      </c>
      <c r="K570" s="81">
        <f ca="1">IFERROR(__xludf.DUMMYFUNCTION("""COMPUTED_VALUE"""),46.3)</f>
        <v>46.3</v>
      </c>
      <c r="L570" s="81">
        <f ca="1">IFERROR(__xludf.DUMMYFUNCTION("""COMPUTED_VALUE"""),45.7)</f>
        <v>45.7</v>
      </c>
      <c r="M570" s="81"/>
      <c r="N570" s="81">
        <f ca="1">IFERROR(__xludf.DUMMYFUNCTION("""COMPUTED_VALUE"""),44)</f>
        <v>44</v>
      </c>
      <c r="O570" s="81"/>
      <c r="P570" s="81">
        <f ca="1">IFERROR(__xludf.DUMMYFUNCTION("""COMPUTED_VALUE"""),0)</f>
        <v>0</v>
      </c>
      <c r="Q570" s="81"/>
      <c r="R570" s="81">
        <f ca="1">IFERROR(__xludf.DUMMYFUNCTION("""COMPUTED_VALUE"""),46.3)</f>
        <v>46.3</v>
      </c>
      <c r="S570" s="81"/>
      <c r="T570" s="81"/>
      <c r="U570" s="82"/>
      <c r="V570" s="82"/>
      <c r="W570" s="83"/>
      <c r="X570" s="83"/>
      <c r="Y570" s="83"/>
    </row>
    <row r="571" spans="1:25" ht="13.8">
      <c r="A571" s="78" t="str">
        <f ca="1">IFERROR(__xludf.DUMMYFUNCTION("""COMPUTED_VALUE"""),"F")</f>
        <v>F</v>
      </c>
      <c r="B571" s="79" t="str">
        <f ca="1">IFERROR(__xludf.DUMMYFUNCTION("""COMPUTED_VALUE"""),"Farah Stark")</f>
        <v>Farah Stark</v>
      </c>
      <c r="C571" s="78">
        <f ca="1">IFERROR(__xludf.DUMMYFUNCTION("""COMPUTED_VALUE"""),7)</f>
        <v>7</v>
      </c>
      <c r="D571" s="78" t="str">
        <f ca="1">IFERROR(__xludf.DUMMYFUNCTION("""COMPUTED_VALUE"""),"G")</f>
        <v>G</v>
      </c>
      <c r="E571" s="80" t="str">
        <f ca="1">IFERROR(__xludf.DUMMYFUNCTION("""COMPUTED_VALUE"""),"F")</f>
        <v>F</v>
      </c>
      <c r="F571" s="80" t="str">
        <f ca="1">IFERROR(__xludf.DUMMYFUNCTION("""COMPUTED_VALUE"""),"J")</f>
        <v>J</v>
      </c>
      <c r="G571" s="80">
        <f ca="1">IFERROR(__xludf.DUMMYFUNCTION("""COMPUTED_VALUE"""),2)</f>
        <v>2</v>
      </c>
      <c r="H571" s="80" t="str">
        <f ca="1">IFERROR(__xludf.DUMMYFUNCTION("""COMPUTED_VALUE"""),"F")</f>
        <v>F</v>
      </c>
      <c r="I571" s="80">
        <f ca="1">IFERROR(__xludf.DUMMYFUNCTION("""COMPUTED_VALUE"""),2)</f>
        <v>2</v>
      </c>
      <c r="J571" s="81">
        <f ca="1">IFERROR(__xludf.DUMMYFUNCTION("""COMPUTED_VALUE"""),0)</f>
        <v>0</v>
      </c>
      <c r="K571" s="81">
        <f ca="1">IFERROR(__xludf.DUMMYFUNCTION("""COMPUTED_VALUE"""),0)</f>
        <v>0</v>
      </c>
      <c r="L571" s="81">
        <f ca="1">IFERROR(__xludf.DUMMYFUNCTION("""COMPUTED_VALUE"""),0)</f>
        <v>0</v>
      </c>
      <c r="M571" s="81"/>
      <c r="N571" s="81">
        <f ca="1">IFERROR(__xludf.DUMMYFUNCTION("""COMPUTED_VALUE"""),0)</f>
        <v>0</v>
      </c>
      <c r="O571" s="81"/>
      <c r="P571" s="81">
        <f ca="1">IFERROR(__xludf.DUMMYFUNCTION("""COMPUTED_VALUE"""),0)</f>
        <v>0</v>
      </c>
      <c r="Q571" s="81"/>
      <c r="R571" s="81">
        <f ca="1">IFERROR(__xludf.DUMMYFUNCTION("""COMPUTED_VALUE"""),0)</f>
        <v>0</v>
      </c>
      <c r="S571" s="81"/>
      <c r="T571" s="81"/>
      <c r="U571" s="82"/>
      <c r="V571" s="82"/>
      <c r="W571" s="83"/>
      <c r="X571" s="83"/>
      <c r="Y571" s="83"/>
    </row>
    <row r="572" spans="1:25" ht="13.8">
      <c r="A572" s="78" t="str">
        <f ca="1">IFERROR(__xludf.DUMMYFUNCTION("""COMPUTED_VALUE"""),"F")</f>
        <v>F</v>
      </c>
      <c r="B572" s="79" t="str">
        <f ca="1">IFERROR(__xludf.DUMMYFUNCTION("""COMPUTED_VALUE"""),"Christopher Barron")</f>
        <v>Christopher Barron</v>
      </c>
      <c r="C572" s="78">
        <f ca="1">IFERROR(__xludf.DUMMYFUNCTION("""COMPUTED_VALUE"""),9)</f>
        <v>9</v>
      </c>
      <c r="D572" s="78" t="str">
        <f ca="1">IFERROR(__xludf.DUMMYFUNCTION("""COMPUTED_VALUE"""),"B")</f>
        <v>B</v>
      </c>
      <c r="E572" s="80" t="str">
        <f ca="1">IFERROR(__xludf.DUMMYFUNCTION("""COMPUTED_VALUE"""),"F")</f>
        <v>F</v>
      </c>
      <c r="F572" s="80" t="str">
        <f ca="1">IFERROR(__xludf.DUMMYFUNCTION("""COMPUTED_VALUE"""),"J")</f>
        <v>J</v>
      </c>
      <c r="G572" s="80">
        <f ca="1">IFERROR(__xludf.DUMMYFUNCTION("""COMPUTED_VALUE"""),2)</f>
        <v>2</v>
      </c>
      <c r="H572" s="80" t="str">
        <f ca="1">IFERROR(__xludf.DUMMYFUNCTION("""COMPUTED_VALUE"""),"F")</f>
        <v>F</v>
      </c>
      <c r="I572" s="80">
        <f ca="1">IFERROR(__xludf.DUMMYFUNCTION("""COMPUTED_VALUE"""),3)</f>
        <v>3</v>
      </c>
      <c r="J572" s="81">
        <f ca="1">IFERROR(__xludf.DUMMYFUNCTION("""COMPUTED_VALUE"""),5)</f>
        <v>5</v>
      </c>
      <c r="K572" s="81">
        <f ca="1">IFERROR(__xludf.DUMMYFUNCTION("""COMPUTED_VALUE"""),59.45)</f>
        <v>59.45</v>
      </c>
      <c r="L572" s="81">
        <f ca="1">IFERROR(__xludf.DUMMYFUNCTION("""COMPUTED_VALUE"""),47.4)</f>
        <v>47.4</v>
      </c>
      <c r="M572" s="81"/>
      <c r="N572" s="81">
        <f ca="1">IFERROR(__xludf.DUMMYFUNCTION("""COMPUTED_VALUE"""),44.7)</f>
        <v>44.7</v>
      </c>
      <c r="O572" s="81"/>
      <c r="P572" s="81">
        <f ca="1">IFERROR(__xludf.DUMMYFUNCTION("""COMPUTED_VALUE"""),48.05)</f>
        <v>48.05</v>
      </c>
      <c r="Q572" s="81"/>
      <c r="R572" s="81">
        <f ca="1">IFERROR(__xludf.DUMMYFUNCTION("""COMPUTED_VALUE"""),59.45)</f>
        <v>59.45</v>
      </c>
      <c r="S572" s="81"/>
      <c r="T572" s="81"/>
      <c r="U572" s="82"/>
      <c r="V572" s="82"/>
      <c r="W572" s="83"/>
      <c r="X572" s="83"/>
      <c r="Y572" s="83"/>
    </row>
    <row r="573" spans="1:25" ht="13.8">
      <c r="A573" s="78" t="str">
        <f ca="1">IFERROR(__xludf.DUMMYFUNCTION("""COMPUTED_VALUE"""),"F")</f>
        <v>F</v>
      </c>
      <c r="B573" s="79" t="str">
        <f ca="1">IFERROR(__xludf.DUMMYFUNCTION("""COMPUTED_VALUE"""),"Connor Barron")</f>
        <v>Connor Barron</v>
      </c>
      <c r="C573" s="78">
        <f ca="1">IFERROR(__xludf.DUMMYFUNCTION("""COMPUTED_VALUE"""),7)</f>
        <v>7</v>
      </c>
      <c r="D573" s="78" t="str">
        <f ca="1">IFERROR(__xludf.DUMMYFUNCTION("""COMPUTED_VALUE"""),"B")</f>
        <v>B</v>
      </c>
      <c r="E573" s="80" t="str">
        <f ca="1">IFERROR(__xludf.DUMMYFUNCTION("""COMPUTED_VALUE"""),"F")</f>
        <v>F</v>
      </c>
      <c r="F573" s="80" t="str">
        <f ca="1">IFERROR(__xludf.DUMMYFUNCTION("""COMPUTED_VALUE"""),"J")</f>
        <v>J</v>
      </c>
      <c r="G573" s="80">
        <f ca="1">IFERROR(__xludf.DUMMYFUNCTION("""COMPUTED_VALUE"""),2)</f>
        <v>2</v>
      </c>
      <c r="H573" s="80" t="str">
        <f ca="1">IFERROR(__xludf.DUMMYFUNCTION("""COMPUTED_VALUE"""),"F")</f>
        <v>F</v>
      </c>
      <c r="I573" s="80">
        <f ca="1">IFERROR(__xludf.DUMMYFUNCTION("""COMPUTED_VALUE"""),3)</f>
        <v>3</v>
      </c>
      <c r="J573" s="81">
        <f ca="1">IFERROR(__xludf.DUMMYFUNCTION("""COMPUTED_VALUE"""),5)</f>
        <v>5</v>
      </c>
      <c r="K573" s="81">
        <f ca="1">IFERROR(__xludf.DUMMYFUNCTION("""COMPUTED_VALUE"""),51.85)</f>
        <v>51.85</v>
      </c>
      <c r="L573" s="81">
        <f ca="1">IFERROR(__xludf.DUMMYFUNCTION("""COMPUTED_VALUE"""),49.05)</f>
        <v>49.05</v>
      </c>
      <c r="M573" s="81"/>
      <c r="N573" s="81">
        <f ca="1">IFERROR(__xludf.DUMMYFUNCTION("""COMPUTED_VALUE"""),31.5)</f>
        <v>31.5</v>
      </c>
      <c r="O573" s="81"/>
      <c r="P573" s="81">
        <f ca="1">IFERROR(__xludf.DUMMYFUNCTION("""COMPUTED_VALUE"""),43.6)</f>
        <v>43.6</v>
      </c>
      <c r="Q573" s="81"/>
      <c r="R573" s="81">
        <f ca="1">IFERROR(__xludf.DUMMYFUNCTION("""COMPUTED_VALUE"""),51.85)</f>
        <v>51.85</v>
      </c>
      <c r="S573" s="81"/>
      <c r="T573" s="81"/>
      <c r="U573" s="82"/>
      <c r="V573" s="82"/>
      <c r="W573" s="83"/>
      <c r="X573" s="83"/>
      <c r="Y573" s="83"/>
    </row>
    <row r="574" spans="1:25" ht="13.8">
      <c r="A574" s="78" t="str">
        <f ca="1">IFERROR(__xludf.DUMMYFUNCTION("""COMPUTED_VALUE"""),"F")</f>
        <v>F</v>
      </c>
      <c r="B574" s="79" t="str">
        <f ca="1">IFERROR(__xludf.DUMMYFUNCTION("""COMPUTED_VALUE"""),"Jaspar Carpenter")</f>
        <v>Jaspar Carpenter</v>
      </c>
      <c r="C574" s="78">
        <f ca="1">IFERROR(__xludf.DUMMYFUNCTION("""COMPUTED_VALUE"""),6)</f>
        <v>6</v>
      </c>
      <c r="D574" s="78" t="str">
        <f ca="1">IFERROR(__xludf.DUMMYFUNCTION("""COMPUTED_VALUE"""),"B")</f>
        <v>B</v>
      </c>
      <c r="E574" s="80" t="str">
        <f ca="1">IFERROR(__xludf.DUMMYFUNCTION("""COMPUTED_VALUE"""),"F")</f>
        <v>F</v>
      </c>
      <c r="F574" s="80" t="str">
        <f ca="1">IFERROR(__xludf.DUMMYFUNCTION("""COMPUTED_VALUE"""),"J")</f>
        <v>J</v>
      </c>
      <c r="G574" s="80">
        <f ca="1">IFERROR(__xludf.DUMMYFUNCTION("""COMPUTED_VALUE"""),2)</f>
        <v>2</v>
      </c>
      <c r="H574" s="80" t="str">
        <f ca="1">IFERROR(__xludf.DUMMYFUNCTION("""COMPUTED_VALUE"""),"F")</f>
        <v>F</v>
      </c>
      <c r="I574" s="80">
        <f ca="1">IFERROR(__xludf.DUMMYFUNCTION("""COMPUTED_VALUE"""),3)</f>
        <v>3</v>
      </c>
      <c r="J574" s="81">
        <f ca="1">IFERROR(__xludf.DUMMYFUNCTION("""COMPUTED_VALUE"""),2)</f>
        <v>2</v>
      </c>
      <c r="K574" s="81">
        <f ca="1">IFERROR(__xludf.DUMMYFUNCTION("""COMPUTED_VALUE"""),37.8)</f>
        <v>37.799999999999997</v>
      </c>
      <c r="L574" s="81">
        <f ca="1">IFERROR(__xludf.DUMMYFUNCTION("""COMPUTED_VALUE"""),0)</f>
        <v>0</v>
      </c>
      <c r="M574" s="81"/>
      <c r="N574" s="81">
        <f ca="1">IFERROR(__xludf.DUMMYFUNCTION("""COMPUTED_VALUE"""),0)</f>
        <v>0</v>
      </c>
      <c r="O574" s="81"/>
      <c r="P574" s="81">
        <f ca="1">IFERROR(__xludf.DUMMYFUNCTION("""COMPUTED_VALUE"""),37.8)</f>
        <v>37.799999999999997</v>
      </c>
      <c r="Q574" s="81"/>
      <c r="R574" s="81">
        <f ca="1">IFERROR(__xludf.DUMMYFUNCTION("""COMPUTED_VALUE"""),0)</f>
        <v>0</v>
      </c>
      <c r="S574" s="81"/>
      <c r="T574" s="81"/>
      <c r="U574" s="82"/>
      <c r="V574" s="82"/>
      <c r="W574" s="83"/>
      <c r="X574" s="83"/>
      <c r="Y574" s="83"/>
    </row>
    <row r="575" spans="1:25" ht="13.8">
      <c r="A575" s="78" t="str">
        <f ca="1">IFERROR(__xludf.DUMMYFUNCTION("""COMPUTED_VALUE"""),"F")</f>
        <v>F</v>
      </c>
      <c r="B575" s="79" t="str">
        <f ca="1">IFERROR(__xludf.DUMMYFUNCTION("""COMPUTED_VALUE"""),"Jack Devlin")</f>
        <v>Jack Devlin</v>
      </c>
      <c r="C575" s="78">
        <f ca="1">IFERROR(__xludf.DUMMYFUNCTION("""COMPUTED_VALUE"""),7)</f>
        <v>7</v>
      </c>
      <c r="D575" s="78" t="str">
        <f ca="1">IFERROR(__xludf.DUMMYFUNCTION("""COMPUTED_VALUE"""),"B")</f>
        <v>B</v>
      </c>
      <c r="E575" s="80" t="str">
        <f ca="1">IFERROR(__xludf.DUMMYFUNCTION("""COMPUTED_VALUE"""),"F")</f>
        <v>F</v>
      </c>
      <c r="F575" s="80" t="str">
        <f ca="1">IFERROR(__xludf.DUMMYFUNCTION("""COMPUTED_VALUE"""),"J")</f>
        <v>J</v>
      </c>
      <c r="G575" s="80">
        <f ca="1">IFERROR(__xludf.DUMMYFUNCTION("""COMPUTED_VALUE"""),2)</f>
        <v>2</v>
      </c>
      <c r="H575" s="80" t="str">
        <f ca="1">IFERROR(__xludf.DUMMYFUNCTION("""COMPUTED_VALUE"""),"F")</f>
        <v>F</v>
      </c>
      <c r="I575" s="80">
        <f ca="1">IFERROR(__xludf.DUMMYFUNCTION("""COMPUTED_VALUE"""),3)</f>
        <v>3</v>
      </c>
      <c r="J575" s="81">
        <f ca="1">IFERROR(__xludf.DUMMYFUNCTION("""COMPUTED_VALUE"""),5)</f>
        <v>5</v>
      </c>
      <c r="K575" s="81">
        <f ca="1">IFERROR(__xludf.DUMMYFUNCTION("""COMPUTED_VALUE"""),47.35)</f>
        <v>47.35</v>
      </c>
      <c r="L575" s="81">
        <f ca="1">IFERROR(__xludf.DUMMYFUNCTION("""COMPUTED_VALUE"""),45.9)</f>
        <v>45.9</v>
      </c>
      <c r="M575" s="81"/>
      <c r="N575" s="81">
        <f ca="1">IFERROR(__xludf.DUMMYFUNCTION("""COMPUTED_VALUE"""),38.2)</f>
        <v>38.200000000000003</v>
      </c>
      <c r="O575" s="81"/>
      <c r="P575" s="81">
        <f ca="1">IFERROR(__xludf.DUMMYFUNCTION("""COMPUTED_VALUE"""),43.55)</f>
        <v>43.55</v>
      </c>
      <c r="Q575" s="81"/>
      <c r="R575" s="81">
        <f ca="1">IFERROR(__xludf.DUMMYFUNCTION("""COMPUTED_VALUE"""),47.35)</f>
        <v>47.35</v>
      </c>
      <c r="S575" s="81"/>
      <c r="T575" s="81"/>
      <c r="U575" s="82"/>
      <c r="V575" s="82"/>
      <c r="W575" s="83"/>
      <c r="X575" s="83"/>
      <c r="Y575" s="83"/>
    </row>
    <row r="576" spans="1:25" ht="13.8">
      <c r="A576" s="78" t="str">
        <f ca="1">IFERROR(__xludf.DUMMYFUNCTION("""COMPUTED_VALUE"""),"F")</f>
        <v>F</v>
      </c>
      <c r="B576" s="79" t="str">
        <f ca="1">IFERROR(__xludf.DUMMYFUNCTION("""COMPUTED_VALUE"""),"Calibro Dumas")</f>
        <v>Calibro Dumas</v>
      </c>
      <c r="C576" s="78">
        <f ca="1">IFERROR(__xludf.DUMMYFUNCTION("""COMPUTED_VALUE"""),6)</f>
        <v>6</v>
      </c>
      <c r="D576" s="78" t="str">
        <f ca="1">IFERROR(__xludf.DUMMYFUNCTION("""COMPUTED_VALUE"""),"B")</f>
        <v>B</v>
      </c>
      <c r="E576" s="80" t="str">
        <f ca="1">IFERROR(__xludf.DUMMYFUNCTION("""COMPUTED_VALUE"""),"F")</f>
        <v>F</v>
      </c>
      <c r="F576" s="80" t="str">
        <f ca="1">IFERROR(__xludf.DUMMYFUNCTION("""COMPUTED_VALUE"""),"J")</f>
        <v>J</v>
      </c>
      <c r="G576" s="80">
        <f ca="1">IFERROR(__xludf.DUMMYFUNCTION("""COMPUTED_VALUE"""),2)</f>
        <v>2</v>
      </c>
      <c r="H576" s="80" t="str">
        <f ca="1">IFERROR(__xludf.DUMMYFUNCTION("""COMPUTED_VALUE"""),"F")</f>
        <v>F</v>
      </c>
      <c r="I576" s="80">
        <f ca="1">IFERROR(__xludf.DUMMYFUNCTION("""COMPUTED_VALUE"""),3)</f>
        <v>3</v>
      </c>
      <c r="J576" s="81">
        <f ca="1">IFERROR(__xludf.DUMMYFUNCTION("""COMPUTED_VALUE"""),0)</f>
        <v>0</v>
      </c>
      <c r="K576" s="81">
        <f ca="1">IFERROR(__xludf.DUMMYFUNCTION("""COMPUTED_VALUE"""),0)</f>
        <v>0</v>
      </c>
      <c r="L576" s="81">
        <f ca="1">IFERROR(__xludf.DUMMYFUNCTION("""COMPUTED_VALUE"""),0)</f>
        <v>0</v>
      </c>
      <c r="M576" s="81"/>
      <c r="N576" s="81">
        <f ca="1">IFERROR(__xludf.DUMMYFUNCTION("""COMPUTED_VALUE"""),0)</f>
        <v>0</v>
      </c>
      <c r="O576" s="81"/>
      <c r="P576" s="81">
        <f ca="1">IFERROR(__xludf.DUMMYFUNCTION("""COMPUTED_VALUE"""),0)</f>
        <v>0</v>
      </c>
      <c r="Q576" s="81"/>
      <c r="R576" s="81">
        <f ca="1">IFERROR(__xludf.DUMMYFUNCTION("""COMPUTED_VALUE"""),0)</f>
        <v>0</v>
      </c>
      <c r="S576" s="81"/>
      <c r="T576" s="81"/>
      <c r="U576" s="82"/>
      <c r="V576" s="82"/>
      <c r="W576" s="83"/>
      <c r="X576" s="83"/>
      <c r="Y576" s="83"/>
    </row>
    <row r="577" spans="1:25" ht="13.8">
      <c r="A577" s="78" t="str">
        <f ca="1">IFERROR(__xludf.DUMMYFUNCTION("""COMPUTED_VALUE"""),"F")</f>
        <v>F</v>
      </c>
      <c r="B577" s="79" t="str">
        <f ca="1">IFERROR(__xludf.DUMMYFUNCTION("""COMPUTED_VALUE"""),"Deen Garbia")</f>
        <v>Deen Garbia</v>
      </c>
      <c r="C577" s="78">
        <f ca="1">IFERROR(__xludf.DUMMYFUNCTION("""COMPUTED_VALUE"""),10)</f>
        <v>10</v>
      </c>
      <c r="D577" s="78" t="str">
        <f ca="1">IFERROR(__xludf.DUMMYFUNCTION("""COMPUTED_VALUE"""),"B")</f>
        <v>B</v>
      </c>
      <c r="E577" s="80" t="str">
        <f ca="1">IFERROR(__xludf.DUMMYFUNCTION("""COMPUTED_VALUE"""),"F")</f>
        <v>F</v>
      </c>
      <c r="F577" s="80" t="str">
        <f ca="1">IFERROR(__xludf.DUMMYFUNCTION("""COMPUTED_VALUE"""),"J")</f>
        <v>J</v>
      </c>
      <c r="G577" s="80">
        <f ca="1">IFERROR(__xludf.DUMMYFUNCTION("""COMPUTED_VALUE"""),2)</f>
        <v>2</v>
      </c>
      <c r="H577" s="80" t="str">
        <f ca="1">IFERROR(__xludf.DUMMYFUNCTION("""COMPUTED_VALUE"""),"F")</f>
        <v>F</v>
      </c>
      <c r="I577" s="80">
        <f ca="1">IFERROR(__xludf.DUMMYFUNCTION("""COMPUTED_VALUE"""),3)</f>
        <v>3</v>
      </c>
      <c r="J577" s="81">
        <f ca="1">IFERROR(__xludf.DUMMYFUNCTION("""COMPUTED_VALUE"""),0)</f>
        <v>0</v>
      </c>
      <c r="K577" s="81">
        <f ca="1">IFERROR(__xludf.DUMMYFUNCTION("""COMPUTED_VALUE"""),0)</f>
        <v>0</v>
      </c>
      <c r="L577" s="81">
        <f ca="1">IFERROR(__xludf.DUMMYFUNCTION("""COMPUTED_VALUE"""),0)</f>
        <v>0</v>
      </c>
      <c r="M577" s="81"/>
      <c r="N577" s="81">
        <f ca="1">IFERROR(__xludf.DUMMYFUNCTION("""COMPUTED_VALUE"""),0)</f>
        <v>0</v>
      </c>
      <c r="O577" s="81"/>
      <c r="P577" s="81">
        <f ca="1">IFERROR(__xludf.DUMMYFUNCTION("""COMPUTED_VALUE"""),0)</f>
        <v>0</v>
      </c>
      <c r="Q577" s="81"/>
      <c r="R577" s="81">
        <f ca="1">IFERROR(__xludf.DUMMYFUNCTION("""COMPUTED_VALUE"""),0)</f>
        <v>0</v>
      </c>
      <c r="S577" s="81"/>
      <c r="T577" s="81"/>
      <c r="U577" s="82"/>
      <c r="V577" s="82"/>
      <c r="W577" s="83"/>
      <c r="X577" s="83"/>
      <c r="Y577" s="83"/>
    </row>
    <row r="578" spans="1:25" ht="13.8">
      <c r="A578" s="78" t="str">
        <f ca="1">IFERROR(__xludf.DUMMYFUNCTION("""COMPUTED_VALUE"""),"F")</f>
        <v>F</v>
      </c>
      <c r="B578" s="79" t="str">
        <f ca="1">IFERROR(__xludf.DUMMYFUNCTION("""COMPUTED_VALUE"""),"Zade Garbia")</f>
        <v>Zade Garbia</v>
      </c>
      <c r="C578" s="78">
        <f ca="1">IFERROR(__xludf.DUMMYFUNCTION("""COMPUTED_VALUE"""),8)</f>
        <v>8</v>
      </c>
      <c r="D578" s="78" t="str">
        <f ca="1">IFERROR(__xludf.DUMMYFUNCTION("""COMPUTED_VALUE"""),"B")</f>
        <v>B</v>
      </c>
      <c r="E578" s="80" t="str">
        <f ca="1">IFERROR(__xludf.DUMMYFUNCTION("""COMPUTED_VALUE"""),"F")</f>
        <v>F</v>
      </c>
      <c r="F578" s="80" t="str">
        <f ca="1">IFERROR(__xludf.DUMMYFUNCTION("""COMPUTED_VALUE"""),"J")</f>
        <v>J</v>
      </c>
      <c r="G578" s="80">
        <f ca="1">IFERROR(__xludf.DUMMYFUNCTION("""COMPUTED_VALUE"""),2)</f>
        <v>2</v>
      </c>
      <c r="H578" s="80" t="str">
        <f ca="1">IFERROR(__xludf.DUMMYFUNCTION("""COMPUTED_VALUE"""),"F")</f>
        <v>F</v>
      </c>
      <c r="I578" s="80">
        <f ca="1">IFERROR(__xludf.DUMMYFUNCTION("""COMPUTED_VALUE"""),3)</f>
        <v>3</v>
      </c>
      <c r="J578" s="81">
        <f ca="1">IFERROR(__xludf.DUMMYFUNCTION("""COMPUTED_VALUE"""),0)</f>
        <v>0</v>
      </c>
      <c r="K578" s="81">
        <f ca="1">IFERROR(__xludf.DUMMYFUNCTION("""COMPUTED_VALUE"""),0)</f>
        <v>0</v>
      </c>
      <c r="L578" s="81">
        <f ca="1">IFERROR(__xludf.DUMMYFUNCTION("""COMPUTED_VALUE"""),0)</f>
        <v>0</v>
      </c>
      <c r="M578" s="81"/>
      <c r="N578" s="81">
        <f ca="1">IFERROR(__xludf.DUMMYFUNCTION("""COMPUTED_VALUE"""),0)</f>
        <v>0</v>
      </c>
      <c r="O578" s="81"/>
      <c r="P578" s="81">
        <f ca="1">IFERROR(__xludf.DUMMYFUNCTION("""COMPUTED_VALUE"""),0)</f>
        <v>0</v>
      </c>
      <c r="Q578" s="81"/>
      <c r="R578" s="81">
        <f ca="1">IFERROR(__xludf.DUMMYFUNCTION("""COMPUTED_VALUE"""),0)</f>
        <v>0</v>
      </c>
      <c r="S578" s="81"/>
      <c r="T578" s="81"/>
      <c r="U578" s="82"/>
      <c r="V578" s="82"/>
      <c r="W578" s="83"/>
      <c r="X578" s="83"/>
      <c r="Y578" s="83"/>
    </row>
    <row r="579" spans="1:25" ht="13.8">
      <c r="A579" s="78" t="str">
        <f ca="1">IFERROR(__xludf.DUMMYFUNCTION("""COMPUTED_VALUE"""),"F")</f>
        <v>F</v>
      </c>
      <c r="B579" s="79" t="str">
        <f ca="1">IFERROR(__xludf.DUMMYFUNCTION("""COMPUTED_VALUE"""),"Sung Min Kim")</f>
        <v>Sung Min Kim</v>
      </c>
      <c r="C579" s="78">
        <f ca="1">IFERROR(__xludf.DUMMYFUNCTION("""COMPUTED_VALUE"""),8)</f>
        <v>8</v>
      </c>
      <c r="D579" s="78" t="str">
        <f ca="1">IFERROR(__xludf.DUMMYFUNCTION("""COMPUTED_VALUE"""),"B")</f>
        <v>B</v>
      </c>
      <c r="E579" s="80" t="str">
        <f ca="1">IFERROR(__xludf.DUMMYFUNCTION("""COMPUTED_VALUE"""),"F")</f>
        <v>F</v>
      </c>
      <c r="F579" s="80" t="str">
        <f ca="1">IFERROR(__xludf.DUMMYFUNCTION("""COMPUTED_VALUE"""),"J")</f>
        <v>J</v>
      </c>
      <c r="G579" s="80">
        <f ca="1">IFERROR(__xludf.DUMMYFUNCTION("""COMPUTED_VALUE"""),2)</f>
        <v>2</v>
      </c>
      <c r="H579" s="80" t="str">
        <f ca="1">IFERROR(__xludf.DUMMYFUNCTION("""COMPUTED_VALUE"""),"F")</f>
        <v>F</v>
      </c>
      <c r="I579" s="80">
        <f ca="1">IFERROR(__xludf.DUMMYFUNCTION("""COMPUTED_VALUE"""),3)</f>
        <v>3</v>
      </c>
      <c r="J579" s="81">
        <f ca="1">IFERROR(__xludf.DUMMYFUNCTION("""COMPUTED_VALUE"""),0)</f>
        <v>0</v>
      </c>
      <c r="K579" s="81">
        <f ca="1">IFERROR(__xludf.DUMMYFUNCTION("""COMPUTED_VALUE"""),0)</f>
        <v>0</v>
      </c>
      <c r="L579" s="81">
        <f ca="1">IFERROR(__xludf.DUMMYFUNCTION("""COMPUTED_VALUE"""),0)</f>
        <v>0</v>
      </c>
      <c r="M579" s="81"/>
      <c r="N579" s="81">
        <f ca="1">IFERROR(__xludf.DUMMYFUNCTION("""COMPUTED_VALUE"""),0)</f>
        <v>0</v>
      </c>
      <c r="O579" s="81"/>
      <c r="P579" s="81">
        <f ca="1">IFERROR(__xludf.DUMMYFUNCTION("""COMPUTED_VALUE"""),0)</f>
        <v>0</v>
      </c>
      <c r="Q579" s="81"/>
      <c r="R579" s="81">
        <f ca="1">IFERROR(__xludf.DUMMYFUNCTION("""COMPUTED_VALUE"""),0)</f>
        <v>0</v>
      </c>
      <c r="S579" s="81"/>
      <c r="T579" s="81"/>
      <c r="U579" s="82"/>
      <c r="V579" s="82"/>
      <c r="W579" s="83"/>
      <c r="X579" s="83"/>
      <c r="Y579" s="83"/>
    </row>
    <row r="580" spans="1:25" ht="13.8">
      <c r="A580" s="78" t="str">
        <f ca="1">IFERROR(__xludf.DUMMYFUNCTION("""COMPUTED_VALUE"""),"F")</f>
        <v>F</v>
      </c>
      <c r="B580" s="79" t="str">
        <f ca="1">IFERROR(__xludf.DUMMYFUNCTION("""COMPUTED_VALUE"""),"Kai Lowery")</f>
        <v>Kai Lowery</v>
      </c>
      <c r="C580" s="78">
        <f ca="1">IFERROR(__xludf.DUMMYFUNCTION("""COMPUTED_VALUE"""),6)</f>
        <v>6</v>
      </c>
      <c r="D580" s="78" t="str">
        <f ca="1">IFERROR(__xludf.DUMMYFUNCTION("""COMPUTED_VALUE"""),"B")</f>
        <v>B</v>
      </c>
      <c r="E580" s="80" t="str">
        <f ca="1">IFERROR(__xludf.DUMMYFUNCTION("""COMPUTED_VALUE"""),"F")</f>
        <v>F</v>
      </c>
      <c r="F580" s="80" t="str">
        <f ca="1">IFERROR(__xludf.DUMMYFUNCTION("""COMPUTED_VALUE"""),"J")</f>
        <v>J</v>
      </c>
      <c r="G580" s="80">
        <f ca="1">IFERROR(__xludf.DUMMYFUNCTION("""COMPUTED_VALUE"""),2)</f>
        <v>2</v>
      </c>
      <c r="H580" s="80" t="str">
        <f ca="1">IFERROR(__xludf.DUMMYFUNCTION("""COMPUTED_VALUE"""),"F")</f>
        <v>F</v>
      </c>
      <c r="I580" s="80">
        <f ca="1">IFERROR(__xludf.DUMMYFUNCTION("""COMPUTED_VALUE"""),3)</f>
        <v>3</v>
      </c>
      <c r="J580" s="81">
        <f ca="1">IFERROR(__xludf.DUMMYFUNCTION("""COMPUTED_VALUE"""),0)</f>
        <v>0</v>
      </c>
      <c r="K580" s="81">
        <f ca="1">IFERROR(__xludf.DUMMYFUNCTION("""COMPUTED_VALUE"""),0)</f>
        <v>0</v>
      </c>
      <c r="L580" s="81">
        <f ca="1">IFERROR(__xludf.DUMMYFUNCTION("""COMPUTED_VALUE"""),0)</f>
        <v>0</v>
      </c>
      <c r="M580" s="81"/>
      <c r="N580" s="81">
        <f ca="1">IFERROR(__xludf.DUMMYFUNCTION("""COMPUTED_VALUE"""),0)</f>
        <v>0</v>
      </c>
      <c r="O580" s="81"/>
      <c r="P580" s="81">
        <f ca="1">IFERROR(__xludf.DUMMYFUNCTION("""COMPUTED_VALUE"""),0)</f>
        <v>0</v>
      </c>
      <c r="Q580" s="81"/>
      <c r="R580" s="81">
        <f ca="1">IFERROR(__xludf.DUMMYFUNCTION("""COMPUTED_VALUE"""),0)</f>
        <v>0</v>
      </c>
      <c r="S580" s="81"/>
      <c r="T580" s="81"/>
      <c r="U580" s="82"/>
      <c r="V580" s="82"/>
      <c r="W580" s="83"/>
      <c r="X580" s="83"/>
      <c r="Y580" s="83"/>
    </row>
    <row r="581" spans="1:25" ht="13.8">
      <c r="A581" s="78" t="str">
        <f ca="1">IFERROR(__xludf.DUMMYFUNCTION("""COMPUTED_VALUE"""),"F")</f>
        <v>F</v>
      </c>
      <c r="B581" s="79" t="str">
        <f ca="1">IFERROR(__xludf.DUMMYFUNCTION("""COMPUTED_VALUE"""),"Trey McIntosh")</f>
        <v>Trey McIntosh</v>
      </c>
      <c r="C581" s="78">
        <f ca="1">IFERROR(__xludf.DUMMYFUNCTION("""COMPUTED_VALUE"""),8)</f>
        <v>8</v>
      </c>
      <c r="D581" s="78" t="str">
        <f ca="1">IFERROR(__xludf.DUMMYFUNCTION("""COMPUTED_VALUE"""),"B")</f>
        <v>B</v>
      </c>
      <c r="E581" s="80" t="str">
        <f ca="1">IFERROR(__xludf.DUMMYFUNCTION("""COMPUTED_VALUE"""),"F")</f>
        <v>F</v>
      </c>
      <c r="F581" s="80" t="str">
        <f ca="1">IFERROR(__xludf.DUMMYFUNCTION("""COMPUTED_VALUE"""),"J")</f>
        <v>J</v>
      </c>
      <c r="G581" s="80">
        <f ca="1">IFERROR(__xludf.DUMMYFUNCTION("""COMPUTED_VALUE"""),2)</f>
        <v>2</v>
      </c>
      <c r="H581" s="80" t="str">
        <f ca="1">IFERROR(__xludf.DUMMYFUNCTION("""COMPUTED_VALUE"""),"F")</f>
        <v>F</v>
      </c>
      <c r="I581" s="80">
        <f ca="1">IFERROR(__xludf.DUMMYFUNCTION("""COMPUTED_VALUE"""),3)</f>
        <v>3</v>
      </c>
      <c r="J581" s="81">
        <f ca="1">IFERROR(__xludf.DUMMYFUNCTION("""COMPUTED_VALUE"""),5)</f>
        <v>5</v>
      </c>
      <c r="K581" s="81">
        <f ca="1">IFERROR(__xludf.DUMMYFUNCTION("""COMPUTED_VALUE"""),70.7)</f>
        <v>70.7</v>
      </c>
      <c r="L581" s="81">
        <f ca="1">IFERROR(__xludf.DUMMYFUNCTION("""COMPUTED_VALUE"""),39.5)</f>
        <v>39.5</v>
      </c>
      <c r="M581" s="81"/>
      <c r="N581" s="81">
        <f ca="1">IFERROR(__xludf.DUMMYFUNCTION("""COMPUTED_VALUE"""),44.85)</f>
        <v>44.85</v>
      </c>
      <c r="O581" s="81"/>
      <c r="P581" s="81">
        <f ca="1">IFERROR(__xludf.DUMMYFUNCTION("""COMPUTED_VALUE"""),50.1)</f>
        <v>50.1</v>
      </c>
      <c r="Q581" s="81"/>
      <c r="R581" s="81">
        <f ca="1">IFERROR(__xludf.DUMMYFUNCTION("""COMPUTED_VALUE"""),70.7)</f>
        <v>70.7</v>
      </c>
      <c r="S581" s="81"/>
      <c r="T581" s="81"/>
      <c r="U581" s="82"/>
      <c r="V581" s="82"/>
      <c r="W581" s="83"/>
      <c r="X581" s="83"/>
      <c r="Y581" s="83"/>
    </row>
    <row r="582" spans="1:25" ht="13.8">
      <c r="A582" s="78" t="str">
        <f ca="1">IFERROR(__xludf.DUMMYFUNCTION("""COMPUTED_VALUE"""),"F")</f>
        <v>F</v>
      </c>
      <c r="B582" s="79" t="str">
        <f ca="1">IFERROR(__xludf.DUMMYFUNCTION("""COMPUTED_VALUE"""),"Zachary Rodjom")</f>
        <v>Zachary Rodjom</v>
      </c>
      <c r="C582" s="78">
        <f ca="1">IFERROR(__xludf.DUMMYFUNCTION("""COMPUTED_VALUE"""),7)</f>
        <v>7</v>
      </c>
      <c r="D582" s="78" t="str">
        <f ca="1">IFERROR(__xludf.DUMMYFUNCTION("""COMPUTED_VALUE"""),"B")</f>
        <v>B</v>
      </c>
      <c r="E582" s="80" t="str">
        <f ca="1">IFERROR(__xludf.DUMMYFUNCTION("""COMPUTED_VALUE"""),"F")</f>
        <v>F</v>
      </c>
      <c r="F582" s="80" t="str">
        <f ca="1">IFERROR(__xludf.DUMMYFUNCTION("""COMPUTED_VALUE"""),"J")</f>
        <v>J</v>
      </c>
      <c r="G582" s="80">
        <f ca="1">IFERROR(__xludf.DUMMYFUNCTION("""COMPUTED_VALUE"""),2)</f>
        <v>2</v>
      </c>
      <c r="H582" s="80" t="str">
        <f ca="1">IFERROR(__xludf.DUMMYFUNCTION("""COMPUTED_VALUE"""),"F")</f>
        <v>F</v>
      </c>
      <c r="I582" s="80">
        <f ca="1">IFERROR(__xludf.DUMMYFUNCTION("""COMPUTED_VALUE"""),3)</f>
        <v>3</v>
      </c>
      <c r="J582" s="81">
        <f ca="1">IFERROR(__xludf.DUMMYFUNCTION("""COMPUTED_VALUE"""),1)</f>
        <v>1</v>
      </c>
      <c r="K582" s="81">
        <f ca="1">IFERROR(__xludf.DUMMYFUNCTION("""COMPUTED_VALUE"""),0)</f>
        <v>0</v>
      </c>
      <c r="L582" s="81">
        <f ca="1">IFERROR(__xludf.DUMMYFUNCTION("""COMPUTED_VALUE"""),0)</f>
        <v>0</v>
      </c>
      <c r="M582" s="81"/>
      <c r="N582" s="81">
        <f ca="1">IFERROR(__xludf.DUMMYFUNCTION("""COMPUTED_VALUE"""),0)</f>
        <v>0</v>
      </c>
      <c r="O582" s="81"/>
      <c r="P582" s="81">
        <f ca="1">IFERROR(__xludf.DUMMYFUNCTION("""COMPUTED_VALUE"""),0)</f>
        <v>0</v>
      </c>
      <c r="Q582" s="81"/>
      <c r="R582" s="81">
        <f ca="1">IFERROR(__xludf.DUMMYFUNCTION("""COMPUTED_VALUE"""),0)</f>
        <v>0</v>
      </c>
      <c r="S582" s="81"/>
      <c r="T582" s="81"/>
      <c r="U582" s="82"/>
      <c r="V582" s="82"/>
      <c r="W582" s="83"/>
      <c r="X582" s="83"/>
      <c r="Y582" s="83"/>
    </row>
    <row r="583" spans="1:25" ht="13.8">
      <c r="A583" s="78" t="str">
        <f ca="1">IFERROR(__xludf.DUMMYFUNCTION("""COMPUTED_VALUE"""),"F")</f>
        <v>F</v>
      </c>
      <c r="B583" s="79" t="str">
        <f ca="1">IFERROR(__xludf.DUMMYFUNCTION("""COMPUTED_VALUE"""),"Jude Sbeih")</f>
        <v>Jude Sbeih</v>
      </c>
      <c r="C583" s="78">
        <f ca="1">IFERROR(__xludf.DUMMYFUNCTION("""COMPUTED_VALUE"""),10)</f>
        <v>10</v>
      </c>
      <c r="D583" s="78" t="str">
        <f ca="1">IFERROR(__xludf.DUMMYFUNCTION("""COMPUTED_VALUE"""),"B")</f>
        <v>B</v>
      </c>
      <c r="E583" s="80" t="str">
        <f ca="1">IFERROR(__xludf.DUMMYFUNCTION("""COMPUTED_VALUE"""),"F")</f>
        <v>F</v>
      </c>
      <c r="F583" s="80" t="str">
        <f ca="1">IFERROR(__xludf.DUMMYFUNCTION("""COMPUTED_VALUE"""),"J")</f>
        <v>J</v>
      </c>
      <c r="G583" s="80">
        <f ca="1">IFERROR(__xludf.DUMMYFUNCTION("""COMPUTED_VALUE"""),2)</f>
        <v>2</v>
      </c>
      <c r="H583" s="80" t="str">
        <f ca="1">IFERROR(__xludf.DUMMYFUNCTION("""COMPUTED_VALUE"""),"F")</f>
        <v>F</v>
      </c>
      <c r="I583" s="80">
        <f ca="1">IFERROR(__xludf.DUMMYFUNCTION("""COMPUTED_VALUE"""),3)</f>
        <v>3</v>
      </c>
      <c r="J583" s="81">
        <f ca="1">IFERROR(__xludf.DUMMYFUNCTION("""COMPUTED_VALUE"""),0)</f>
        <v>0</v>
      </c>
      <c r="K583" s="81">
        <f ca="1">IFERROR(__xludf.DUMMYFUNCTION("""COMPUTED_VALUE"""),0)</f>
        <v>0</v>
      </c>
      <c r="L583" s="81">
        <f ca="1">IFERROR(__xludf.DUMMYFUNCTION("""COMPUTED_VALUE"""),0)</f>
        <v>0</v>
      </c>
      <c r="M583" s="81"/>
      <c r="N583" s="81">
        <f ca="1">IFERROR(__xludf.DUMMYFUNCTION("""COMPUTED_VALUE"""),0)</f>
        <v>0</v>
      </c>
      <c r="O583" s="81"/>
      <c r="P583" s="81">
        <f ca="1">IFERROR(__xludf.DUMMYFUNCTION("""COMPUTED_VALUE"""),0)</f>
        <v>0</v>
      </c>
      <c r="Q583" s="81"/>
      <c r="R583" s="81">
        <f ca="1">IFERROR(__xludf.DUMMYFUNCTION("""COMPUTED_VALUE"""),0)</f>
        <v>0</v>
      </c>
      <c r="S583" s="81"/>
      <c r="T583" s="81"/>
      <c r="U583" s="82"/>
      <c r="V583" s="82"/>
      <c r="W583" s="83"/>
      <c r="X583" s="83"/>
      <c r="Y583" s="83"/>
    </row>
    <row r="584" spans="1:25" ht="13.8">
      <c r="A584" s="78" t="str">
        <f ca="1">IFERROR(__xludf.DUMMYFUNCTION("""COMPUTED_VALUE"""),"F")</f>
        <v>F</v>
      </c>
      <c r="B584" s="79" t="str">
        <f ca="1">IFERROR(__xludf.DUMMYFUNCTION("""COMPUTED_VALUE"""),"Jonathan Shaffer")</f>
        <v>Jonathan Shaffer</v>
      </c>
      <c r="C584" s="78">
        <f ca="1">IFERROR(__xludf.DUMMYFUNCTION("""COMPUTED_VALUE"""),9)</f>
        <v>9</v>
      </c>
      <c r="D584" s="78" t="str">
        <f ca="1">IFERROR(__xludf.DUMMYFUNCTION("""COMPUTED_VALUE"""),"B")</f>
        <v>B</v>
      </c>
      <c r="E584" s="80" t="str">
        <f ca="1">IFERROR(__xludf.DUMMYFUNCTION("""COMPUTED_VALUE"""),"F")</f>
        <v>F</v>
      </c>
      <c r="F584" s="80" t="str">
        <f ca="1">IFERROR(__xludf.DUMMYFUNCTION("""COMPUTED_VALUE"""),"J")</f>
        <v>J</v>
      </c>
      <c r="G584" s="80">
        <f ca="1">IFERROR(__xludf.DUMMYFUNCTION("""COMPUTED_VALUE"""),2)</f>
        <v>2</v>
      </c>
      <c r="H584" s="80" t="str">
        <f ca="1">IFERROR(__xludf.DUMMYFUNCTION("""COMPUTED_VALUE"""),"F")</f>
        <v>F</v>
      </c>
      <c r="I584" s="80">
        <f ca="1">IFERROR(__xludf.DUMMYFUNCTION("""COMPUTED_VALUE"""),3)</f>
        <v>3</v>
      </c>
      <c r="J584" s="81">
        <f ca="1">IFERROR(__xludf.DUMMYFUNCTION("""COMPUTED_VALUE"""),0)</f>
        <v>0</v>
      </c>
      <c r="K584" s="81">
        <f ca="1">IFERROR(__xludf.DUMMYFUNCTION("""COMPUTED_VALUE"""),0)</f>
        <v>0</v>
      </c>
      <c r="L584" s="81">
        <f ca="1">IFERROR(__xludf.DUMMYFUNCTION("""COMPUTED_VALUE"""),0)</f>
        <v>0</v>
      </c>
      <c r="M584" s="81"/>
      <c r="N584" s="81">
        <f ca="1">IFERROR(__xludf.DUMMYFUNCTION("""COMPUTED_VALUE"""),0)</f>
        <v>0</v>
      </c>
      <c r="O584" s="81"/>
      <c r="P584" s="81">
        <f ca="1">IFERROR(__xludf.DUMMYFUNCTION("""COMPUTED_VALUE"""),0)</f>
        <v>0</v>
      </c>
      <c r="Q584" s="81"/>
      <c r="R584" s="81">
        <f ca="1">IFERROR(__xludf.DUMMYFUNCTION("""COMPUTED_VALUE"""),0)</f>
        <v>0</v>
      </c>
      <c r="S584" s="81"/>
      <c r="T584" s="81"/>
      <c r="U584" s="82"/>
      <c r="V584" s="82"/>
      <c r="W584" s="83"/>
      <c r="X584" s="83"/>
      <c r="Y584" s="83"/>
    </row>
    <row r="585" spans="1:25" ht="13.8">
      <c r="A585" s="78" t="str">
        <f ca="1">IFERROR(__xludf.DUMMYFUNCTION("""COMPUTED_VALUE"""),"F")</f>
        <v>F</v>
      </c>
      <c r="B585" s="79" t="str">
        <f ca="1">IFERROR(__xludf.DUMMYFUNCTION("""COMPUTED_VALUE"""),"Alex Shea")</f>
        <v>Alex Shea</v>
      </c>
      <c r="C585" s="78">
        <f ca="1">IFERROR(__xludf.DUMMYFUNCTION("""COMPUTED_VALUE"""),10)</f>
        <v>10</v>
      </c>
      <c r="D585" s="78" t="str">
        <f ca="1">IFERROR(__xludf.DUMMYFUNCTION("""COMPUTED_VALUE"""),"B")</f>
        <v>B</v>
      </c>
      <c r="E585" s="80" t="str">
        <f ca="1">IFERROR(__xludf.DUMMYFUNCTION("""COMPUTED_VALUE"""),"F")</f>
        <v>F</v>
      </c>
      <c r="F585" s="80" t="str">
        <f ca="1">IFERROR(__xludf.DUMMYFUNCTION("""COMPUTED_VALUE"""),"J")</f>
        <v>J</v>
      </c>
      <c r="G585" s="80">
        <f ca="1">IFERROR(__xludf.DUMMYFUNCTION("""COMPUTED_VALUE"""),2)</f>
        <v>2</v>
      </c>
      <c r="H585" s="80" t="str">
        <f ca="1">IFERROR(__xludf.DUMMYFUNCTION("""COMPUTED_VALUE"""),"F")</f>
        <v>F</v>
      </c>
      <c r="I585" s="80">
        <f ca="1">IFERROR(__xludf.DUMMYFUNCTION("""COMPUTED_VALUE"""),3)</f>
        <v>3</v>
      </c>
      <c r="J585" s="81">
        <f ca="1">IFERROR(__xludf.DUMMYFUNCTION("""COMPUTED_VALUE"""),0)</f>
        <v>0</v>
      </c>
      <c r="K585" s="81">
        <f ca="1">IFERROR(__xludf.DUMMYFUNCTION("""COMPUTED_VALUE"""),0)</f>
        <v>0</v>
      </c>
      <c r="L585" s="81">
        <f ca="1">IFERROR(__xludf.DUMMYFUNCTION("""COMPUTED_VALUE"""),0)</f>
        <v>0</v>
      </c>
      <c r="M585" s="81"/>
      <c r="N585" s="81">
        <f ca="1">IFERROR(__xludf.DUMMYFUNCTION("""COMPUTED_VALUE"""),0)</f>
        <v>0</v>
      </c>
      <c r="O585" s="81"/>
      <c r="P585" s="81">
        <f ca="1">IFERROR(__xludf.DUMMYFUNCTION("""COMPUTED_VALUE"""),0)</f>
        <v>0</v>
      </c>
      <c r="Q585" s="81"/>
      <c r="R585" s="81">
        <f ca="1">IFERROR(__xludf.DUMMYFUNCTION("""COMPUTED_VALUE"""),0)</f>
        <v>0</v>
      </c>
      <c r="S585" s="81"/>
      <c r="T585" s="81"/>
      <c r="U585" s="82"/>
      <c r="V585" s="82"/>
      <c r="W585" s="83"/>
      <c r="X585" s="83"/>
      <c r="Y585" s="83"/>
    </row>
    <row r="586" spans="1:25" ht="13.8">
      <c r="A586" s="78" t="str">
        <f ca="1">IFERROR(__xludf.DUMMYFUNCTION("""COMPUTED_VALUE"""),"F")</f>
        <v>F</v>
      </c>
      <c r="B586" s="79" t="str">
        <f ca="1">IFERROR(__xludf.DUMMYFUNCTION("""COMPUTED_VALUE"""),"Caiden Stark")</f>
        <v>Caiden Stark</v>
      </c>
      <c r="C586" s="78">
        <f ca="1">IFERROR(__xludf.DUMMYFUNCTION("""COMPUTED_VALUE"""),9)</f>
        <v>9</v>
      </c>
      <c r="D586" s="78" t="str">
        <f ca="1">IFERROR(__xludf.DUMMYFUNCTION("""COMPUTED_VALUE"""),"B")</f>
        <v>B</v>
      </c>
      <c r="E586" s="80" t="str">
        <f ca="1">IFERROR(__xludf.DUMMYFUNCTION("""COMPUTED_VALUE"""),"F")</f>
        <v>F</v>
      </c>
      <c r="F586" s="80" t="str">
        <f ca="1">IFERROR(__xludf.DUMMYFUNCTION("""COMPUTED_VALUE"""),"J")</f>
        <v>J</v>
      </c>
      <c r="G586" s="80">
        <f ca="1">IFERROR(__xludf.DUMMYFUNCTION("""COMPUTED_VALUE"""),2)</f>
        <v>2</v>
      </c>
      <c r="H586" s="80" t="str">
        <f ca="1">IFERROR(__xludf.DUMMYFUNCTION("""COMPUTED_VALUE"""),"F")</f>
        <v>F</v>
      </c>
      <c r="I586" s="80">
        <f ca="1">IFERROR(__xludf.DUMMYFUNCTION("""COMPUTED_VALUE"""),3)</f>
        <v>3</v>
      </c>
      <c r="J586" s="81">
        <f ca="1">IFERROR(__xludf.DUMMYFUNCTION("""COMPUTED_VALUE"""),1)</f>
        <v>1</v>
      </c>
      <c r="K586" s="81">
        <f ca="1">IFERROR(__xludf.DUMMYFUNCTION("""COMPUTED_VALUE"""),28.55)</f>
        <v>28.55</v>
      </c>
      <c r="L586" s="81">
        <f ca="1">IFERROR(__xludf.DUMMYFUNCTION("""COMPUTED_VALUE"""),28.55)</f>
        <v>28.55</v>
      </c>
      <c r="M586" s="81"/>
      <c r="N586" s="81">
        <f ca="1">IFERROR(__xludf.DUMMYFUNCTION("""COMPUTED_VALUE"""),0)</f>
        <v>0</v>
      </c>
      <c r="O586" s="81"/>
      <c r="P586" s="81">
        <f ca="1">IFERROR(__xludf.DUMMYFUNCTION("""COMPUTED_VALUE"""),0)</f>
        <v>0</v>
      </c>
      <c r="Q586" s="81"/>
      <c r="R586" s="81">
        <f ca="1">IFERROR(__xludf.DUMMYFUNCTION("""COMPUTED_VALUE"""),0)</f>
        <v>0</v>
      </c>
      <c r="S586" s="81"/>
      <c r="T586" s="81"/>
      <c r="U586" s="82"/>
      <c r="V586" s="82"/>
      <c r="W586" s="83"/>
      <c r="X586" s="83"/>
      <c r="Y586" s="83"/>
    </row>
    <row r="587" spans="1:25" ht="13.8">
      <c r="A587" s="78" t="str">
        <f ca="1">IFERROR(__xludf.DUMMYFUNCTION("""COMPUTED_VALUE"""),"F")</f>
        <v>F</v>
      </c>
      <c r="B587" s="79" t="str">
        <f ca="1">IFERROR(__xludf.DUMMYFUNCTION("""COMPUTED_VALUE"""),"Cian Stark")</f>
        <v>Cian Stark</v>
      </c>
      <c r="C587" s="78">
        <f ca="1">IFERROR(__xludf.DUMMYFUNCTION("""COMPUTED_VALUE"""),6)</f>
        <v>6</v>
      </c>
      <c r="D587" s="78" t="str">
        <f ca="1">IFERROR(__xludf.DUMMYFUNCTION("""COMPUTED_VALUE"""),"B")</f>
        <v>B</v>
      </c>
      <c r="E587" s="80" t="str">
        <f ca="1">IFERROR(__xludf.DUMMYFUNCTION("""COMPUTED_VALUE"""),"F")</f>
        <v>F</v>
      </c>
      <c r="F587" s="80" t="str">
        <f ca="1">IFERROR(__xludf.DUMMYFUNCTION("""COMPUTED_VALUE"""),"J")</f>
        <v>J</v>
      </c>
      <c r="G587" s="80">
        <f ca="1">IFERROR(__xludf.DUMMYFUNCTION("""COMPUTED_VALUE"""),2)</f>
        <v>2</v>
      </c>
      <c r="H587" s="80" t="str">
        <f ca="1">IFERROR(__xludf.DUMMYFUNCTION("""COMPUTED_VALUE"""),"F")</f>
        <v>F</v>
      </c>
      <c r="I587" s="80">
        <f ca="1">IFERROR(__xludf.DUMMYFUNCTION("""COMPUTED_VALUE"""),3)</f>
        <v>3</v>
      </c>
      <c r="J587" s="81">
        <f ca="1">IFERROR(__xludf.DUMMYFUNCTION("""COMPUTED_VALUE"""),0)</f>
        <v>0</v>
      </c>
      <c r="K587" s="81">
        <f ca="1">IFERROR(__xludf.DUMMYFUNCTION("""COMPUTED_VALUE"""),0)</f>
        <v>0</v>
      </c>
      <c r="L587" s="81">
        <f ca="1">IFERROR(__xludf.DUMMYFUNCTION("""COMPUTED_VALUE"""),0)</f>
        <v>0</v>
      </c>
      <c r="M587" s="81"/>
      <c r="N587" s="81">
        <f ca="1">IFERROR(__xludf.DUMMYFUNCTION("""COMPUTED_VALUE"""),0)</f>
        <v>0</v>
      </c>
      <c r="O587" s="81"/>
      <c r="P587" s="81">
        <f ca="1">IFERROR(__xludf.DUMMYFUNCTION("""COMPUTED_VALUE"""),0)</f>
        <v>0</v>
      </c>
      <c r="Q587" s="81"/>
      <c r="R587" s="81">
        <f ca="1">IFERROR(__xludf.DUMMYFUNCTION("""COMPUTED_VALUE"""),0)</f>
        <v>0</v>
      </c>
      <c r="S587" s="81"/>
      <c r="T587" s="81"/>
      <c r="U587" s="82"/>
      <c r="V587" s="82"/>
      <c r="W587" s="83"/>
      <c r="X587" s="83"/>
      <c r="Y587" s="83"/>
    </row>
    <row r="588" spans="1:25" ht="13.8">
      <c r="A588" s="78" t="str">
        <f ca="1">IFERROR(__xludf.DUMMYFUNCTION("""COMPUTED_VALUE"""),"F")</f>
        <v>F</v>
      </c>
      <c r="B588" s="79" t="str">
        <f ca="1">IFERROR(__xludf.DUMMYFUNCTION("""COMPUTED_VALUE"""),"Eli Stovall")</f>
        <v>Eli Stovall</v>
      </c>
      <c r="C588" s="78">
        <f ca="1">IFERROR(__xludf.DUMMYFUNCTION("""COMPUTED_VALUE"""),9)</f>
        <v>9</v>
      </c>
      <c r="D588" s="78" t="str">
        <f ca="1">IFERROR(__xludf.DUMMYFUNCTION("""COMPUTED_VALUE"""),"B")</f>
        <v>B</v>
      </c>
      <c r="E588" s="80" t="str">
        <f ca="1">IFERROR(__xludf.DUMMYFUNCTION("""COMPUTED_VALUE"""),"F")</f>
        <v>F</v>
      </c>
      <c r="F588" s="80" t="str">
        <f ca="1">IFERROR(__xludf.DUMMYFUNCTION("""COMPUTED_VALUE"""),"J")</f>
        <v>J</v>
      </c>
      <c r="G588" s="80">
        <f ca="1">IFERROR(__xludf.DUMMYFUNCTION("""COMPUTED_VALUE"""),2)</f>
        <v>2</v>
      </c>
      <c r="H588" s="80" t="str">
        <f ca="1">IFERROR(__xludf.DUMMYFUNCTION("""COMPUTED_VALUE"""),"F")</f>
        <v>F</v>
      </c>
      <c r="I588" s="80">
        <f ca="1">IFERROR(__xludf.DUMMYFUNCTION("""COMPUTED_VALUE"""),3)</f>
        <v>3</v>
      </c>
      <c r="J588" s="81">
        <f ca="1">IFERROR(__xludf.DUMMYFUNCTION("""COMPUTED_VALUE"""),0)</f>
        <v>0</v>
      </c>
      <c r="K588" s="81">
        <f ca="1">IFERROR(__xludf.DUMMYFUNCTION("""COMPUTED_VALUE"""),0)</f>
        <v>0</v>
      </c>
      <c r="L588" s="81">
        <f ca="1">IFERROR(__xludf.DUMMYFUNCTION("""COMPUTED_VALUE"""),0)</f>
        <v>0</v>
      </c>
      <c r="M588" s="81"/>
      <c r="N588" s="81">
        <f ca="1">IFERROR(__xludf.DUMMYFUNCTION("""COMPUTED_VALUE"""),0)</f>
        <v>0</v>
      </c>
      <c r="O588" s="81"/>
      <c r="P588" s="81">
        <f ca="1">IFERROR(__xludf.DUMMYFUNCTION("""COMPUTED_VALUE"""),0)</f>
        <v>0</v>
      </c>
      <c r="Q588" s="81"/>
      <c r="R588" s="81">
        <f ca="1">IFERROR(__xludf.DUMMYFUNCTION("""COMPUTED_VALUE"""),0)</f>
        <v>0</v>
      </c>
      <c r="S588" s="81"/>
      <c r="T588" s="81"/>
      <c r="U588" s="82"/>
      <c r="V588" s="82"/>
      <c r="W588" s="83"/>
      <c r="X588" s="83"/>
      <c r="Y588" s="83"/>
    </row>
    <row r="589" spans="1:25" ht="13.8">
      <c r="A589" s="78" t="str">
        <f ca="1">IFERROR(__xludf.DUMMYFUNCTION("""COMPUTED_VALUE"""),"F")</f>
        <v>F</v>
      </c>
      <c r="B589" s="79" t="str">
        <f ca="1">IFERROR(__xludf.DUMMYFUNCTION("""COMPUTED_VALUE"""),"Robert Stovall")</f>
        <v>Robert Stovall</v>
      </c>
      <c r="C589" s="78">
        <f ca="1">IFERROR(__xludf.DUMMYFUNCTION("""COMPUTED_VALUE"""),8)</f>
        <v>8</v>
      </c>
      <c r="D589" s="78" t="str">
        <f ca="1">IFERROR(__xludf.DUMMYFUNCTION("""COMPUTED_VALUE"""),"B")</f>
        <v>B</v>
      </c>
      <c r="E589" s="80" t="str">
        <f ca="1">IFERROR(__xludf.DUMMYFUNCTION("""COMPUTED_VALUE"""),"F")</f>
        <v>F</v>
      </c>
      <c r="F589" s="80" t="str">
        <f ca="1">IFERROR(__xludf.DUMMYFUNCTION("""COMPUTED_VALUE"""),"J")</f>
        <v>J</v>
      </c>
      <c r="G589" s="80">
        <f ca="1">IFERROR(__xludf.DUMMYFUNCTION("""COMPUTED_VALUE"""),2)</f>
        <v>2</v>
      </c>
      <c r="H589" s="80" t="str">
        <f ca="1">IFERROR(__xludf.DUMMYFUNCTION("""COMPUTED_VALUE"""),"F")</f>
        <v>F</v>
      </c>
      <c r="I589" s="80">
        <f ca="1">IFERROR(__xludf.DUMMYFUNCTION("""COMPUTED_VALUE"""),3)</f>
        <v>3</v>
      </c>
      <c r="J589" s="81">
        <f ca="1">IFERROR(__xludf.DUMMYFUNCTION("""COMPUTED_VALUE"""),0)</f>
        <v>0</v>
      </c>
      <c r="K589" s="81">
        <f ca="1">IFERROR(__xludf.DUMMYFUNCTION("""COMPUTED_VALUE"""),0)</f>
        <v>0</v>
      </c>
      <c r="L589" s="81">
        <f ca="1">IFERROR(__xludf.DUMMYFUNCTION("""COMPUTED_VALUE"""),0)</f>
        <v>0</v>
      </c>
      <c r="M589" s="81"/>
      <c r="N589" s="81">
        <f ca="1">IFERROR(__xludf.DUMMYFUNCTION("""COMPUTED_VALUE"""),0)</f>
        <v>0</v>
      </c>
      <c r="O589" s="81"/>
      <c r="P589" s="81">
        <f ca="1">IFERROR(__xludf.DUMMYFUNCTION("""COMPUTED_VALUE"""),0)</f>
        <v>0</v>
      </c>
      <c r="Q589" s="81"/>
      <c r="R589" s="81">
        <f ca="1">IFERROR(__xludf.DUMMYFUNCTION("""COMPUTED_VALUE"""),0)</f>
        <v>0</v>
      </c>
      <c r="S589" s="81"/>
      <c r="T589" s="81"/>
      <c r="U589" s="82"/>
      <c r="V589" s="82"/>
      <c r="W589" s="83"/>
      <c r="X589" s="83"/>
      <c r="Y589" s="83"/>
    </row>
    <row r="590" spans="1:25" ht="13.8">
      <c r="A590" s="78" t="str">
        <f ca="1">IFERROR(__xludf.DUMMYFUNCTION("""COMPUTED_VALUE"""),"F")</f>
        <v>F</v>
      </c>
      <c r="B590" s="79" t="str">
        <f ca="1">IFERROR(__xludf.DUMMYFUNCTION("""COMPUTED_VALUE"""),"Jason Vericker")</f>
        <v>Jason Vericker</v>
      </c>
      <c r="C590" s="78">
        <f ca="1">IFERROR(__xludf.DUMMYFUNCTION("""COMPUTED_VALUE"""),8)</f>
        <v>8</v>
      </c>
      <c r="D590" s="78" t="str">
        <f ca="1">IFERROR(__xludf.DUMMYFUNCTION("""COMPUTED_VALUE"""),"B")</f>
        <v>B</v>
      </c>
      <c r="E590" s="80" t="str">
        <f ca="1">IFERROR(__xludf.DUMMYFUNCTION("""COMPUTED_VALUE"""),"F")</f>
        <v>F</v>
      </c>
      <c r="F590" s="80" t="str">
        <f ca="1">IFERROR(__xludf.DUMMYFUNCTION("""COMPUTED_VALUE"""),"J")</f>
        <v>J</v>
      </c>
      <c r="G590" s="80">
        <f ca="1">IFERROR(__xludf.DUMMYFUNCTION("""COMPUTED_VALUE"""),2)</f>
        <v>2</v>
      </c>
      <c r="H590" s="80" t="str">
        <f ca="1">IFERROR(__xludf.DUMMYFUNCTION("""COMPUTED_VALUE"""),"F")</f>
        <v>F</v>
      </c>
      <c r="I590" s="80">
        <f ca="1">IFERROR(__xludf.DUMMYFUNCTION("""COMPUTED_VALUE"""),3)</f>
        <v>3</v>
      </c>
      <c r="J590" s="81">
        <f ca="1">IFERROR(__xludf.DUMMYFUNCTION("""COMPUTED_VALUE"""),0)</f>
        <v>0</v>
      </c>
      <c r="K590" s="81">
        <f ca="1">IFERROR(__xludf.DUMMYFUNCTION("""COMPUTED_VALUE"""),0)</f>
        <v>0</v>
      </c>
      <c r="L590" s="81">
        <f ca="1">IFERROR(__xludf.DUMMYFUNCTION("""COMPUTED_VALUE"""),0)</f>
        <v>0</v>
      </c>
      <c r="M590" s="81"/>
      <c r="N590" s="81">
        <f ca="1">IFERROR(__xludf.DUMMYFUNCTION("""COMPUTED_VALUE"""),0)</f>
        <v>0</v>
      </c>
      <c r="O590" s="81"/>
      <c r="P590" s="81">
        <f ca="1">IFERROR(__xludf.DUMMYFUNCTION("""COMPUTED_VALUE"""),0)</f>
        <v>0</v>
      </c>
      <c r="Q590" s="81"/>
      <c r="R590" s="81">
        <f ca="1">IFERROR(__xludf.DUMMYFUNCTION("""COMPUTED_VALUE"""),0)</f>
        <v>0</v>
      </c>
      <c r="S590" s="81"/>
      <c r="T590" s="81"/>
      <c r="U590" s="82"/>
      <c r="V590" s="82"/>
      <c r="W590" s="83"/>
      <c r="X590" s="83"/>
      <c r="Y590" s="83"/>
    </row>
    <row r="591" spans="1:25" ht="13.8">
      <c r="A591" s="78" t="str">
        <f ca="1">IFERROR(__xludf.DUMMYFUNCTION("""COMPUTED_VALUE"""),"F")</f>
        <v>F</v>
      </c>
      <c r="B591" s="79" t="str">
        <f ca="1">IFERROR(__xludf.DUMMYFUNCTION("""COMPUTED_VALUE"""),"Nino Wells")</f>
        <v>Nino Wells</v>
      </c>
      <c r="C591" s="78">
        <f ca="1">IFERROR(__xludf.DUMMYFUNCTION("""COMPUTED_VALUE"""),8)</f>
        <v>8</v>
      </c>
      <c r="D591" s="78" t="str">
        <f ca="1">IFERROR(__xludf.DUMMYFUNCTION("""COMPUTED_VALUE"""),"B")</f>
        <v>B</v>
      </c>
      <c r="E591" s="80" t="str">
        <f ca="1">IFERROR(__xludf.DUMMYFUNCTION("""COMPUTED_VALUE"""),"F")</f>
        <v>F</v>
      </c>
      <c r="F591" s="80" t="str">
        <f ca="1">IFERROR(__xludf.DUMMYFUNCTION("""COMPUTED_VALUE"""),"J")</f>
        <v>J</v>
      </c>
      <c r="G591" s="80">
        <f ca="1">IFERROR(__xludf.DUMMYFUNCTION("""COMPUTED_VALUE"""),2)</f>
        <v>2</v>
      </c>
      <c r="H591" s="80" t="str">
        <f ca="1">IFERROR(__xludf.DUMMYFUNCTION("""COMPUTED_VALUE"""),"F")</f>
        <v>F</v>
      </c>
      <c r="I591" s="80">
        <f ca="1">IFERROR(__xludf.DUMMYFUNCTION("""COMPUTED_VALUE"""),3)</f>
        <v>3</v>
      </c>
      <c r="J591" s="81">
        <f ca="1">IFERROR(__xludf.DUMMYFUNCTION("""COMPUTED_VALUE"""),0)</f>
        <v>0</v>
      </c>
      <c r="K591" s="81">
        <f ca="1">IFERROR(__xludf.DUMMYFUNCTION("""COMPUTED_VALUE"""),0)</f>
        <v>0</v>
      </c>
      <c r="L591" s="81">
        <f ca="1">IFERROR(__xludf.DUMMYFUNCTION("""COMPUTED_VALUE"""),0)</f>
        <v>0</v>
      </c>
      <c r="M591" s="81"/>
      <c r="N591" s="81">
        <f ca="1">IFERROR(__xludf.DUMMYFUNCTION("""COMPUTED_VALUE"""),0)</f>
        <v>0</v>
      </c>
      <c r="O591" s="81"/>
      <c r="P591" s="81">
        <f ca="1">IFERROR(__xludf.DUMMYFUNCTION("""COMPUTED_VALUE"""),0)</f>
        <v>0</v>
      </c>
      <c r="Q591" s="81"/>
      <c r="R591" s="81">
        <f ca="1">IFERROR(__xludf.DUMMYFUNCTION("""COMPUTED_VALUE"""),0)</f>
        <v>0</v>
      </c>
      <c r="S591" s="81"/>
      <c r="T591" s="81"/>
      <c r="U591" s="82"/>
      <c r="V591" s="82"/>
      <c r="W591" s="83"/>
      <c r="X591" s="83"/>
      <c r="Y591" s="83"/>
    </row>
    <row r="592" spans="1:25" ht="13.8">
      <c r="A592" s="78" t="str">
        <f ca="1">IFERROR(__xludf.DUMMYFUNCTION("""COMPUTED_VALUE"""),"F")</f>
        <v>F</v>
      </c>
      <c r="B592" s="79" t="str">
        <f ca="1">IFERROR(__xludf.DUMMYFUNCTION("""COMPUTED_VALUE"""),"Anna Bailey")</f>
        <v>Anna Bailey</v>
      </c>
      <c r="C592" s="78">
        <f ca="1">IFERROR(__xludf.DUMMYFUNCTION("""COMPUTED_VALUE"""),11)</f>
        <v>11</v>
      </c>
      <c r="D592" s="78" t="str">
        <f ca="1">IFERROR(__xludf.DUMMYFUNCTION("""COMPUTED_VALUE"""),"G")</f>
        <v>G</v>
      </c>
      <c r="E592" s="80" t="str">
        <f ca="1">IFERROR(__xludf.DUMMYFUNCTION("""COMPUTED_VALUE"""),"J")</f>
        <v>J</v>
      </c>
      <c r="F592" s="80" t="str">
        <f ca="1">IFERROR(__xludf.DUMMYFUNCTION("""COMPUTED_VALUE"""),"I")</f>
        <v>I</v>
      </c>
      <c r="G592" s="80">
        <f ca="1">IFERROR(__xludf.DUMMYFUNCTION("""COMPUTED_VALUE"""),2)</f>
        <v>2</v>
      </c>
      <c r="H592" s="80" t="str">
        <f ca="1">IFERROR(__xludf.DUMMYFUNCTION("""COMPUTED_VALUE"""),"F")</f>
        <v>F</v>
      </c>
      <c r="I592" s="80">
        <f ca="1">IFERROR(__xludf.DUMMYFUNCTION("""COMPUTED_VALUE"""),4)</f>
        <v>4</v>
      </c>
      <c r="J592" s="81">
        <f ca="1">IFERROR(__xludf.DUMMYFUNCTION("""COMPUTED_VALUE"""),0)</f>
        <v>0</v>
      </c>
      <c r="K592" s="81">
        <f ca="1">IFERROR(__xludf.DUMMYFUNCTION("""COMPUTED_VALUE"""),0)</f>
        <v>0</v>
      </c>
      <c r="L592" s="81">
        <f ca="1">IFERROR(__xludf.DUMMYFUNCTION("""COMPUTED_VALUE"""),0)</f>
        <v>0</v>
      </c>
      <c r="M592" s="81"/>
      <c r="N592" s="81">
        <f ca="1">IFERROR(__xludf.DUMMYFUNCTION("""COMPUTED_VALUE"""),0)</f>
        <v>0</v>
      </c>
      <c r="O592" s="81"/>
      <c r="P592" s="81">
        <f ca="1">IFERROR(__xludf.DUMMYFUNCTION("""COMPUTED_VALUE"""),0)</f>
        <v>0</v>
      </c>
      <c r="Q592" s="81"/>
      <c r="R592" s="81">
        <f ca="1">IFERROR(__xludf.DUMMYFUNCTION("""COMPUTED_VALUE"""),0)</f>
        <v>0</v>
      </c>
      <c r="S592" s="81"/>
      <c r="T592" s="81"/>
      <c r="U592" s="82"/>
      <c r="V592" s="82"/>
      <c r="W592" s="83"/>
      <c r="X592" s="83"/>
      <c r="Y592" s="83"/>
    </row>
    <row r="593" spans="1:25" ht="13.8">
      <c r="A593" s="78" t="str">
        <f ca="1">IFERROR(__xludf.DUMMYFUNCTION("""COMPUTED_VALUE"""),"F")</f>
        <v>F</v>
      </c>
      <c r="B593" s="79" t="str">
        <f ca="1">IFERROR(__xludf.DUMMYFUNCTION("""COMPUTED_VALUE"""),"Clara Bruner")</f>
        <v>Clara Bruner</v>
      </c>
      <c r="C593" s="78">
        <f ca="1">IFERROR(__xludf.DUMMYFUNCTION("""COMPUTED_VALUE"""),11)</f>
        <v>11</v>
      </c>
      <c r="D593" s="78" t="str">
        <f ca="1">IFERROR(__xludf.DUMMYFUNCTION("""COMPUTED_VALUE"""),"G")</f>
        <v>G</v>
      </c>
      <c r="E593" s="80" t="str">
        <f ca="1">IFERROR(__xludf.DUMMYFUNCTION("""COMPUTED_VALUE"""),"J")</f>
        <v>J</v>
      </c>
      <c r="F593" s="80" t="str">
        <f ca="1">IFERROR(__xludf.DUMMYFUNCTION("""COMPUTED_VALUE"""),"I")</f>
        <v>I</v>
      </c>
      <c r="G593" s="80">
        <f ca="1">IFERROR(__xludf.DUMMYFUNCTION("""COMPUTED_VALUE"""),2)</f>
        <v>2</v>
      </c>
      <c r="H593" s="80" t="str">
        <f ca="1">IFERROR(__xludf.DUMMYFUNCTION("""COMPUTED_VALUE"""),"F")</f>
        <v>F</v>
      </c>
      <c r="I593" s="80">
        <f ca="1">IFERROR(__xludf.DUMMYFUNCTION("""COMPUTED_VALUE"""),4)</f>
        <v>4</v>
      </c>
      <c r="J593" s="81">
        <f ca="1">IFERROR(__xludf.DUMMYFUNCTION("""COMPUTED_VALUE"""),3)</f>
        <v>3</v>
      </c>
      <c r="K593" s="81">
        <f ca="1">IFERROR(__xludf.DUMMYFUNCTION("""COMPUTED_VALUE"""),78.75)</f>
        <v>78.75</v>
      </c>
      <c r="L593" s="81">
        <f ca="1">IFERROR(__xludf.DUMMYFUNCTION("""COMPUTED_VALUE"""),78.75)</f>
        <v>78.75</v>
      </c>
      <c r="M593" s="81"/>
      <c r="N593" s="81">
        <f ca="1">IFERROR(__xludf.DUMMYFUNCTION("""COMPUTED_VALUE"""),57.75)</f>
        <v>57.75</v>
      </c>
      <c r="O593" s="81"/>
      <c r="P593" s="81">
        <f ca="1">IFERROR(__xludf.DUMMYFUNCTION("""COMPUTED_VALUE"""),0)</f>
        <v>0</v>
      </c>
      <c r="Q593" s="81"/>
      <c r="R593" s="81">
        <f ca="1">IFERROR(__xludf.DUMMYFUNCTION("""COMPUTED_VALUE"""),0)</f>
        <v>0</v>
      </c>
      <c r="S593" s="81"/>
      <c r="T593" s="81"/>
      <c r="U593" s="82"/>
      <c r="V593" s="82"/>
      <c r="W593" s="83"/>
      <c r="X593" s="83"/>
      <c r="Y593" s="83"/>
    </row>
    <row r="594" spans="1:25" ht="13.8">
      <c r="A594" s="78" t="str">
        <f ca="1">IFERROR(__xludf.DUMMYFUNCTION("""COMPUTED_VALUE"""),"F")</f>
        <v>F</v>
      </c>
      <c r="B594" s="79" t="str">
        <f ca="1">IFERROR(__xludf.DUMMYFUNCTION("""COMPUTED_VALUE"""),"Sadie Buckley")</f>
        <v>Sadie Buckley</v>
      </c>
      <c r="C594" s="78">
        <f ca="1">IFERROR(__xludf.DUMMYFUNCTION("""COMPUTED_VALUE"""),12)</f>
        <v>12</v>
      </c>
      <c r="D594" s="78" t="str">
        <f ca="1">IFERROR(__xludf.DUMMYFUNCTION("""COMPUTED_VALUE"""),"G")</f>
        <v>G</v>
      </c>
      <c r="E594" s="80" t="str">
        <f ca="1">IFERROR(__xludf.DUMMYFUNCTION("""COMPUTED_VALUE"""),"J")</f>
        <v>J</v>
      </c>
      <c r="F594" s="80" t="str">
        <f ca="1">IFERROR(__xludf.DUMMYFUNCTION("""COMPUTED_VALUE"""),"I")</f>
        <v>I</v>
      </c>
      <c r="G594" s="80">
        <f ca="1">IFERROR(__xludf.DUMMYFUNCTION("""COMPUTED_VALUE"""),2)</f>
        <v>2</v>
      </c>
      <c r="H594" s="80" t="str">
        <f ca="1">IFERROR(__xludf.DUMMYFUNCTION("""COMPUTED_VALUE"""),"F")</f>
        <v>F</v>
      </c>
      <c r="I594" s="80">
        <f ca="1">IFERROR(__xludf.DUMMYFUNCTION("""COMPUTED_VALUE"""),4)</f>
        <v>4</v>
      </c>
      <c r="J594" s="81">
        <f ca="1">IFERROR(__xludf.DUMMYFUNCTION("""COMPUTED_VALUE"""),5)</f>
        <v>5</v>
      </c>
      <c r="K594" s="81">
        <f ca="1">IFERROR(__xludf.DUMMYFUNCTION("""COMPUTED_VALUE"""),107.75)</f>
        <v>107.75</v>
      </c>
      <c r="L594" s="81">
        <f ca="1">IFERROR(__xludf.DUMMYFUNCTION("""COMPUTED_VALUE"""),107.75)</f>
        <v>107.75</v>
      </c>
      <c r="M594" s="81"/>
      <c r="N594" s="81">
        <f ca="1">IFERROR(__xludf.DUMMYFUNCTION("""COMPUTED_VALUE"""),87.8)</f>
        <v>87.8</v>
      </c>
      <c r="O594" s="81"/>
      <c r="P594" s="81">
        <f ca="1">IFERROR(__xludf.DUMMYFUNCTION("""COMPUTED_VALUE"""),92.9)</f>
        <v>92.9</v>
      </c>
      <c r="Q594" s="81"/>
      <c r="R594" s="81">
        <f ca="1">IFERROR(__xludf.DUMMYFUNCTION("""COMPUTED_VALUE"""),97.5)</f>
        <v>97.5</v>
      </c>
      <c r="S594" s="81"/>
      <c r="T594" s="81"/>
      <c r="U594" s="82"/>
      <c r="V594" s="82"/>
      <c r="W594" s="83"/>
      <c r="X594" s="83"/>
      <c r="Y594" s="83"/>
    </row>
    <row r="595" spans="1:25" ht="13.8">
      <c r="A595" s="78" t="str">
        <f ca="1">IFERROR(__xludf.DUMMYFUNCTION("""COMPUTED_VALUE"""),"F")</f>
        <v>F</v>
      </c>
      <c r="B595" s="79" t="str">
        <f ca="1">IFERROR(__xludf.DUMMYFUNCTION("""COMPUTED_VALUE"""),"Cally Codding")</f>
        <v>Cally Codding</v>
      </c>
      <c r="C595" s="78">
        <f ca="1">IFERROR(__xludf.DUMMYFUNCTION("""COMPUTED_VALUE"""),11)</f>
        <v>11</v>
      </c>
      <c r="D595" s="78" t="str">
        <f ca="1">IFERROR(__xludf.DUMMYFUNCTION("""COMPUTED_VALUE"""),"G")</f>
        <v>G</v>
      </c>
      <c r="E595" s="80" t="str">
        <f ca="1">IFERROR(__xludf.DUMMYFUNCTION("""COMPUTED_VALUE"""),"J")</f>
        <v>J</v>
      </c>
      <c r="F595" s="80" t="str">
        <f ca="1">IFERROR(__xludf.DUMMYFUNCTION("""COMPUTED_VALUE"""),"I")</f>
        <v>I</v>
      </c>
      <c r="G595" s="80">
        <f ca="1">IFERROR(__xludf.DUMMYFUNCTION("""COMPUTED_VALUE"""),2)</f>
        <v>2</v>
      </c>
      <c r="H595" s="80" t="str">
        <f ca="1">IFERROR(__xludf.DUMMYFUNCTION("""COMPUTED_VALUE"""),"F")</f>
        <v>F</v>
      </c>
      <c r="I595" s="80">
        <f ca="1">IFERROR(__xludf.DUMMYFUNCTION("""COMPUTED_VALUE"""),4)</f>
        <v>4</v>
      </c>
      <c r="J595" s="81">
        <f ca="1">IFERROR(__xludf.DUMMYFUNCTION("""COMPUTED_VALUE"""),5)</f>
        <v>5</v>
      </c>
      <c r="K595" s="81">
        <f ca="1">IFERROR(__xludf.DUMMYFUNCTION("""COMPUTED_VALUE"""),98.25)</f>
        <v>98.25</v>
      </c>
      <c r="L595" s="81">
        <f ca="1">IFERROR(__xludf.DUMMYFUNCTION("""COMPUTED_VALUE"""),97.45)</f>
        <v>97.45</v>
      </c>
      <c r="M595" s="81"/>
      <c r="N595" s="81">
        <f ca="1">IFERROR(__xludf.DUMMYFUNCTION("""COMPUTED_VALUE"""),83.05)</f>
        <v>83.05</v>
      </c>
      <c r="O595" s="81"/>
      <c r="P595" s="81">
        <f ca="1">IFERROR(__xludf.DUMMYFUNCTION("""COMPUTED_VALUE"""),98.25)</f>
        <v>98.25</v>
      </c>
      <c r="Q595" s="81"/>
      <c r="R595" s="81">
        <f ca="1">IFERROR(__xludf.DUMMYFUNCTION("""COMPUTED_VALUE"""),92.9)</f>
        <v>92.9</v>
      </c>
      <c r="S595" s="81"/>
      <c r="T595" s="81"/>
      <c r="U595" s="82"/>
      <c r="V595" s="82"/>
      <c r="W595" s="83"/>
      <c r="X595" s="83"/>
      <c r="Y595" s="83"/>
    </row>
    <row r="596" spans="1:25" ht="13.8">
      <c r="A596" s="78" t="str">
        <f ca="1">IFERROR(__xludf.DUMMYFUNCTION("""COMPUTED_VALUE"""),"F")</f>
        <v>F</v>
      </c>
      <c r="B596" s="79" t="str">
        <f ca="1">IFERROR(__xludf.DUMMYFUNCTION("""COMPUTED_VALUE"""),"Jackie Colwill")</f>
        <v>Jackie Colwill</v>
      </c>
      <c r="C596" s="78">
        <f ca="1">IFERROR(__xludf.DUMMYFUNCTION("""COMPUTED_VALUE"""),11)</f>
        <v>11</v>
      </c>
      <c r="D596" s="78" t="str">
        <f ca="1">IFERROR(__xludf.DUMMYFUNCTION("""COMPUTED_VALUE"""),"G")</f>
        <v>G</v>
      </c>
      <c r="E596" s="80" t="str">
        <f ca="1">IFERROR(__xludf.DUMMYFUNCTION("""COMPUTED_VALUE"""),"J")</f>
        <v>J</v>
      </c>
      <c r="F596" s="80" t="str">
        <f ca="1">IFERROR(__xludf.DUMMYFUNCTION("""COMPUTED_VALUE"""),"I")</f>
        <v>I</v>
      </c>
      <c r="G596" s="80">
        <f ca="1">IFERROR(__xludf.DUMMYFUNCTION("""COMPUTED_VALUE"""),2)</f>
        <v>2</v>
      </c>
      <c r="H596" s="80" t="str">
        <f ca="1">IFERROR(__xludf.DUMMYFUNCTION("""COMPUTED_VALUE"""),"F")</f>
        <v>F</v>
      </c>
      <c r="I596" s="80">
        <f ca="1">IFERROR(__xludf.DUMMYFUNCTION("""COMPUTED_VALUE"""),4)</f>
        <v>4</v>
      </c>
      <c r="J596" s="81">
        <f ca="1">IFERROR(__xludf.DUMMYFUNCTION("""COMPUTED_VALUE"""),4)</f>
        <v>4</v>
      </c>
      <c r="K596" s="81">
        <f ca="1">IFERROR(__xludf.DUMMYFUNCTION("""COMPUTED_VALUE"""),71.6)</f>
        <v>71.599999999999994</v>
      </c>
      <c r="L596" s="81">
        <f ca="1">IFERROR(__xludf.DUMMYFUNCTION("""COMPUTED_VALUE"""),0)</f>
        <v>0</v>
      </c>
      <c r="M596" s="81"/>
      <c r="N596" s="81">
        <f ca="1">IFERROR(__xludf.DUMMYFUNCTION("""COMPUTED_VALUE"""),32.35)</f>
        <v>32.35</v>
      </c>
      <c r="O596" s="81"/>
      <c r="P596" s="81">
        <f ca="1">IFERROR(__xludf.DUMMYFUNCTION("""COMPUTED_VALUE"""),67.95)</f>
        <v>67.95</v>
      </c>
      <c r="Q596" s="81"/>
      <c r="R596" s="81">
        <f ca="1">IFERROR(__xludf.DUMMYFUNCTION("""COMPUTED_VALUE"""),71.6)</f>
        <v>71.599999999999994</v>
      </c>
      <c r="S596" s="81"/>
      <c r="T596" s="81"/>
      <c r="U596" s="82"/>
      <c r="V596" s="82"/>
      <c r="W596" s="83"/>
      <c r="X596" s="83"/>
      <c r="Y596" s="83"/>
    </row>
    <row r="597" spans="1:25" ht="13.8">
      <c r="A597" s="78" t="str">
        <f ca="1">IFERROR(__xludf.DUMMYFUNCTION("""COMPUTED_VALUE"""),"F")</f>
        <v>F</v>
      </c>
      <c r="B597" s="79" t="str">
        <f ca="1">IFERROR(__xludf.DUMMYFUNCTION("""COMPUTED_VALUE"""),"Ashlyn Connor")</f>
        <v>Ashlyn Connor</v>
      </c>
      <c r="C597" s="78">
        <f ca="1">IFERROR(__xludf.DUMMYFUNCTION("""COMPUTED_VALUE"""),12)</f>
        <v>12</v>
      </c>
      <c r="D597" s="78" t="str">
        <f ca="1">IFERROR(__xludf.DUMMYFUNCTION("""COMPUTED_VALUE"""),"G")</f>
        <v>G</v>
      </c>
      <c r="E597" s="80" t="str">
        <f ca="1">IFERROR(__xludf.DUMMYFUNCTION("""COMPUTED_VALUE"""),"J")</f>
        <v>J</v>
      </c>
      <c r="F597" s="80" t="str">
        <f ca="1">IFERROR(__xludf.DUMMYFUNCTION("""COMPUTED_VALUE"""),"I")</f>
        <v>I</v>
      </c>
      <c r="G597" s="80">
        <f ca="1">IFERROR(__xludf.DUMMYFUNCTION("""COMPUTED_VALUE"""),2)</f>
        <v>2</v>
      </c>
      <c r="H597" s="80" t="str">
        <f ca="1">IFERROR(__xludf.DUMMYFUNCTION("""COMPUTED_VALUE"""),"F")</f>
        <v>F</v>
      </c>
      <c r="I597" s="80">
        <f ca="1">IFERROR(__xludf.DUMMYFUNCTION("""COMPUTED_VALUE"""),4)</f>
        <v>4</v>
      </c>
      <c r="J597" s="81">
        <f ca="1">IFERROR(__xludf.DUMMYFUNCTION("""COMPUTED_VALUE"""),3)</f>
        <v>3</v>
      </c>
      <c r="K597" s="81">
        <f ca="1">IFERROR(__xludf.DUMMYFUNCTION("""COMPUTED_VALUE"""),101.6)</f>
        <v>101.6</v>
      </c>
      <c r="L597" s="81">
        <f ca="1">IFERROR(__xludf.DUMMYFUNCTION("""COMPUTED_VALUE"""),0)</f>
        <v>0</v>
      </c>
      <c r="M597" s="81"/>
      <c r="N597" s="81">
        <f ca="1">IFERROR(__xludf.DUMMYFUNCTION("""COMPUTED_VALUE"""),0)</f>
        <v>0</v>
      </c>
      <c r="O597" s="81"/>
      <c r="P597" s="81">
        <f ca="1">IFERROR(__xludf.DUMMYFUNCTION("""COMPUTED_VALUE"""),91.15)</f>
        <v>91.15</v>
      </c>
      <c r="Q597" s="81"/>
      <c r="R597" s="81">
        <f ca="1">IFERROR(__xludf.DUMMYFUNCTION("""COMPUTED_VALUE"""),101.6)</f>
        <v>101.6</v>
      </c>
      <c r="S597" s="81"/>
      <c r="T597" s="81"/>
      <c r="U597" s="82"/>
      <c r="V597" s="82"/>
      <c r="W597" s="83"/>
      <c r="X597" s="83"/>
      <c r="Y597" s="83"/>
    </row>
    <row r="598" spans="1:25" ht="13.8">
      <c r="A598" s="78" t="str">
        <f ca="1">IFERROR(__xludf.DUMMYFUNCTION("""COMPUTED_VALUE"""),"F")</f>
        <v>F</v>
      </c>
      <c r="B598" s="79" t="str">
        <f ca="1">IFERROR(__xludf.DUMMYFUNCTION("""COMPUTED_VALUE"""),"Lyla Devlin")</f>
        <v>Lyla Devlin</v>
      </c>
      <c r="C598" s="78">
        <f ca="1">IFERROR(__xludf.DUMMYFUNCTION("""COMPUTED_VALUE"""),12)</f>
        <v>12</v>
      </c>
      <c r="D598" s="78" t="str">
        <f ca="1">IFERROR(__xludf.DUMMYFUNCTION("""COMPUTED_VALUE"""),"G")</f>
        <v>G</v>
      </c>
      <c r="E598" s="80" t="str">
        <f ca="1">IFERROR(__xludf.DUMMYFUNCTION("""COMPUTED_VALUE"""),"J")</f>
        <v>J</v>
      </c>
      <c r="F598" s="80" t="str">
        <f ca="1">IFERROR(__xludf.DUMMYFUNCTION("""COMPUTED_VALUE"""),"I")</f>
        <v>I</v>
      </c>
      <c r="G598" s="80">
        <f ca="1">IFERROR(__xludf.DUMMYFUNCTION("""COMPUTED_VALUE"""),2)</f>
        <v>2</v>
      </c>
      <c r="H598" s="80" t="str">
        <f ca="1">IFERROR(__xludf.DUMMYFUNCTION("""COMPUTED_VALUE"""),"F")</f>
        <v>F</v>
      </c>
      <c r="I598" s="80">
        <f ca="1">IFERROR(__xludf.DUMMYFUNCTION("""COMPUTED_VALUE"""),4)</f>
        <v>4</v>
      </c>
      <c r="J598" s="81">
        <f ca="1">IFERROR(__xludf.DUMMYFUNCTION("""COMPUTED_VALUE"""),4)</f>
        <v>4</v>
      </c>
      <c r="K598" s="81">
        <f ca="1">IFERROR(__xludf.DUMMYFUNCTION("""COMPUTED_VALUE"""),83.1)</f>
        <v>83.1</v>
      </c>
      <c r="L598" s="81">
        <f ca="1">IFERROR(__xludf.DUMMYFUNCTION("""COMPUTED_VALUE"""),0)</f>
        <v>0</v>
      </c>
      <c r="M598" s="81"/>
      <c r="N598" s="81">
        <f ca="1">IFERROR(__xludf.DUMMYFUNCTION("""COMPUTED_VALUE"""),61.6)</f>
        <v>61.6</v>
      </c>
      <c r="O598" s="81"/>
      <c r="P598" s="81">
        <f ca="1">IFERROR(__xludf.DUMMYFUNCTION("""COMPUTED_VALUE"""),78.05)</f>
        <v>78.05</v>
      </c>
      <c r="Q598" s="81"/>
      <c r="R598" s="81">
        <f ca="1">IFERROR(__xludf.DUMMYFUNCTION("""COMPUTED_VALUE"""),83.1)</f>
        <v>83.1</v>
      </c>
      <c r="S598" s="81"/>
      <c r="T598" s="81"/>
      <c r="U598" s="82"/>
      <c r="V598" s="82"/>
      <c r="W598" s="83"/>
      <c r="X598" s="83"/>
      <c r="Y598" s="83"/>
    </row>
    <row r="599" spans="1:25" ht="13.8">
      <c r="A599" s="78" t="str">
        <f ca="1">IFERROR(__xludf.DUMMYFUNCTION("""COMPUTED_VALUE"""),"F")</f>
        <v>F</v>
      </c>
      <c r="B599" s="79" t="str">
        <f ca="1">IFERROR(__xludf.DUMMYFUNCTION("""COMPUTED_VALUE"""),"Nyla Doshi")</f>
        <v>Nyla Doshi</v>
      </c>
      <c r="C599" s="78">
        <f ca="1">IFERROR(__xludf.DUMMYFUNCTION("""COMPUTED_VALUE"""),11)</f>
        <v>11</v>
      </c>
      <c r="D599" s="78" t="str">
        <f ca="1">IFERROR(__xludf.DUMMYFUNCTION("""COMPUTED_VALUE"""),"G")</f>
        <v>G</v>
      </c>
      <c r="E599" s="80" t="str">
        <f ca="1">IFERROR(__xludf.DUMMYFUNCTION("""COMPUTED_VALUE"""),"J")</f>
        <v>J</v>
      </c>
      <c r="F599" s="80" t="str">
        <f ca="1">IFERROR(__xludf.DUMMYFUNCTION("""COMPUTED_VALUE"""),"I")</f>
        <v>I</v>
      </c>
      <c r="G599" s="80">
        <f ca="1">IFERROR(__xludf.DUMMYFUNCTION("""COMPUTED_VALUE"""),2)</f>
        <v>2</v>
      </c>
      <c r="H599" s="80" t="str">
        <f ca="1">IFERROR(__xludf.DUMMYFUNCTION("""COMPUTED_VALUE"""),"F")</f>
        <v>F</v>
      </c>
      <c r="I599" s="80">
        <f ca="1">IFERROR(__xludf.DUMMYFUNCTION("""COMPUTED_VALUE"""),4)</f>
        <v>4</v>
      </c>
      <c r="J599" s="81">
        <f ca="1">IFERROR(__xludf.DUMMYFUNCTION("""COMPUTED_VALUE"""),0)</f>
        <v>0</v>
      </c>
      <c r="K599" s="81">
        <f ca="1">IFERROR(__xludf.DUMMYFUNCTION("""COMPUTED_VALUE"""),0)</f>
        <v>0</v>
      </c>
      <c r="L599" s="81">
        <f ca="1">IFERROR(__xludf.DUMMYFUNCTION("""COMPUTED_VALUE"""),0)</f>
        <v>0</v>
      </c>
      <c r="M599" s="81"/>
      <c r="N599" s="81">
        <f ca="1">IFERROR(__xludf.DUMMYFUNCTION("""COMPUTED_VALUE"""),0)</f>
        <v>0</v>
      </c>
      <c r="O599" s="81"/>
      <c r="P599" s="81">
        <f ca="1">IFERROR(__xludf.DUMMYFUNCTION("""COMPUTED_VALUE"""),0)</f>
        <v>0</v>
      </c>
      <c r="Q599" s="81"/>
      <c r="R599" s="81">
        <f ca="1">IFERROR(__xludf.DUMMYFUNCTION("""COMPUTED_VALUE"""),0)</f>
        <v>0</v>
      </c>
      <c r="S599" s="81"/>
      <c r="T599" s="81"/>
      <c r="U599" s="82"/>
      <c r="V599" s="82"/>
      <c r="W599" s="83"/>
      <c r="X599" s="83"/>
      <c r="Y599" s="83"/>
    </row>
    <row r="600" spans="1:25" ht="13.8">
      <c r="A600" s="78" t="str">
        <f ca="1">IFERROR(__xludf.DUMMYFUNCTION("""COMPUTED_VALUE"""),"F")</f>
        <v>F</v>
      </c>
      <c r="B600" s="79" t="str">
        <f ca="1">IFERROR(__xludf.DUMMYFUNCTION("""COMPUTED_VALUE"""),"Olivia Ho")</f>
        <v>Olivia Ho</v>
      </c>
      <c r="C600" s="78">
        <f ca="1">IFERROR(__xludf.DUMMYFUNCTION("""COMPUTED_VALUE"""),11)</f>
        <v>11</v>
      </c>
      <c r="D600" s="78" t="str">
        <f ca="1">IFERROR(__xludf.DUMMYFUNCTION("""COMPUTED_VALUE"""),"G")</f>
        <v>G</v>
      </c>
      <c r="E600" s="80" t="str">
        <f ca="1">IFERROR(__xludf.DUMMYFUNCTION("""COMPUTED_VALUE"""),"J")</f>
        <v>J</v>
      </c>
      <c r="F600" s="80" t="str">
        <f ca="1">IFERROR(__xludf.DUMMYFUNCTION("""COMPUTED_VALUE"""),"I")</f>
        <v>I</v>
      </c>
      <c r="G600" s="80">
        <f ca="1">IFERROR(__xludf.DUMMYFUNCTION("""COMPUTED_VALUE"""),2)</f>
        <v>2</v>
      </c>
      <c r="H600" s="80" t="str">
        <f ca="1">IFERROR(__xludf.DUMMYFUNCTION("""COMPUTED_VALUE"""),"F")</f>
        <v>F</v>
      </c>
      <c r="I600" s="80">
        <f ca="1">IFERROR(__xludf.DUMMYFUNCTION("""COMPUTED_VALUE"""),4)</f>
        <v>4</v>
      </c>
      <c r="J600" s="81">
        <f ca="1">IFERROR(__xludf.DUMMYFUNCTION("""COMPUTED_VALUE"""),0)</f>
        <v>0</v>
      </c>
      <c r="K600" s="81">
        <f ca="1">IFERROR(__xludf.DUMMYFUNCTION("""COMPUTED_VALUE"""),0)</f>
        <v>0</v>
      </c>
      <c r="L600" s="81">
        <f ca="1">IFERROR(__xludf.DUMMYFUNCTION("""COMPUTED_VALUE"""),0)</f>
        <v>0</v>
      </c>
      <c r="M600" s="81"/>
      <c r="N600" s="81">
        <f ca="1">IFERROR(__xludf.DUMMYFUNCTION("""COMPUTED_VALUE"""),0)</f>
        <v>0</v>
      </c>
      <c r="O600" s="81"/>
      <c r="P600" s="81">
        <f ca="1">IFERROR(__xludf.DUMMYFUNCTION("""COMPUTED_VALUE"""),0)</f>
        <v>0</v>
      </c>
      <c r="Q600" s="81"/>
      <c r="R600" s="81">
        <f ca="1">IFERROR(__xludf.DUMMYFUNCTION("""COMPUTED_VALUE"""),0)</f>
        <v>0</v>
      </c>
      <c r="S600" s="81"/>
      <c r="T600" s="81"/>
      <c r="U600" s="82"/>
      <c r="V600" s="82"/>
      <c r="W600" s="83"/>
      <c r="X600" s="83"/>
      <c r="Y600" s="83"/>
    </row>
    <row r="601" spans="1:25" ht="13.8">
      <c r="A601" s="78" t="str">
        <f ca="1">IFERROR(__xludf.DUMMYFUNCTION("""COMPUTED_VALUE"""),"F")</f>
        <v>F</v>
      </c>
      <c r="B601" s="79" t="str">
        <f ca="1">IFERROR(__xludf.DUMMYFUNCTION("""COMPUTED_VALUE"""),"Gabrielle Leesing")</f>
        <v>Gabrielle Leesing</v>
      </c>
      <c r="C601" s="78">
        <f ca="1">IFERROR(__xludf.DUMMYFUNCTION("""COMPUTED_VALUE"""),12)</f>
        <v>12</v>
      </c>
      <c r="D601" s="78" t="str">
        <f ca="1">IFERROR(__xludf.DUMMYFUNCTION("""COMPUTED_VALUE"""),"G")</f>
        <v>G</v>
      </c>
      <c r="E601" s="80" t="str">
        <f ca="1">IFERROR(__xludf.DUMMYFUNCTION("""COMPUTED_VALUE"""),"J")</f>
        <v>J</v>
      </c>
      <c r="F601" s="80" t="str">
        <f ca="1">IFERROR(__xludf.DUMMYFUNCTION("""COMPUTED_VALUE"""),"I")</f>
        <v>I</v>
      </c>
      <c r="G601" s="80">
        <f ca="1">IFERROR(__xludf.DUMMYFUNCTION("""COMPUTED_VALUE"""),2)</f>
        <v>2</v>
      </c>
      <c r="H601" s="80" t="str">
        <f ca="1">IFERROR(__xludf.DUMMYFUNCTION("""COMPUTED_VALUE"""),"F")</f>
        <v>F</v>
      </c>
      <c r="I601" s="80">
        <f ca="1">IFERROR(__xludf.DUMMYFUNCTION("""COMPUTED_VALUE"""),4)</f>
        <v>4</v>
      </c>
      <c r="J601" s="81">
        <f ca="1">IFERROR(__xludf.DUMMYFUNCTION("""COMPUTED_VALUE"""),2)</f>
        <v>2</v>
      </c>
      <c r="K601" s="81">
        <f ca="1">IFERROR(__xludf.DUMMYFUNCTION("""COMPUTED_VALUE"""),78.3)</f>
        <v>78.3</v>
      </c>
      <c r="L601" s="81">
        <f ca="1">IFERROR(__xludf.DUMMYFUNCTION("""COMPUTED_VALUE"""),0)</f>
        <v>0</v>
      </c>
      <c r="M601" s="81"/>
      <c r="N601" s="81">
        <f ca="1">IFERROR(__xludf.DUMMYFUNCTION("""COMPUTED_VALUE"""),0)</f>
        <v>0</v>
      </c>
      <c r="O601" s="81"/>
      <c r="P601" s="81">
        <f ca="1">IFERROR(__xludf.DUMMYFUNCTION("""COMPUTED_VALUE"""),78.3)</f>
        <v>78.3</v>
      </c>
      <c r="Q601" s="81"/>
      <c r="R601" s="81">
        <f ca="1">IFERROR(__xludf.DUMMYFUNCTION("""COMPUTED_VALUE"""),0)</f>
        <v>0</v>
      </c>
      <c r="S601" s="81"/>
      <c r="T601" s="81"/>
      <c r="U601" s="82"/>
      <c r="V601" s="82"/>
      <c r="W601" s="83"/>
      <c r="X601" s="83"/>
      <c r="Y601" s="83"/>
    </row>
    <row r="602" spans="1:25" ht="13.8">
      <c r="A602" s="78" t="str">
        <f ca="1">IFERROR(__xludf.DUMMYFUNCTION("""COMPUTED_VALUE"""),"F")</f>
        <v>F</v>
      </c>
      <c r="B602" s="79" t="str">
        <f ca="1">IFERROR(__xludf.DUMMYFUNCTION("""COMPUTED_VALUE"""),"Kayleigh McCarthy")</f>
        <v>Kayleigh McCarthy</v>
      </c>
      <c r="C602" s="78">
        <f ca="1">IFERROR(__xludf.DUMMYFUNCTION("""COMPUTED_VALUE"""),12)</f>
        <v>12</v>
      </c>
      <c r="D602" s="78" t="str">
        <f ca="1">IFERROR(__xludf.DUMMYFUNCTION("""COMPUTED_VALUE"""),"G")</f>
        <v>G</v>
      </c>
      <c r="E602" s="80" t="str">
        <f ca="1">IFERROR(__xludf.DUMMYFUNCTION("""COMPUTED_VALUE"""),"J")</f>
        <v>J</v>
      </c>
      <c r="F602" s="80" t="str">
        <f ca="1">IFERROR(__xludf.DUMMYFUNCTION("""COMPUTED_VALUE"""),"I")</f>
        <v>I</v>
      </c>
      <c r="G602" s="80">
        <f ca="1">IFERROR(__xludf.DUMMYFUNCTION("""COMPUTED_VALUE"""),2)</f>
        <v>2</v>
      </c>
      <c r="H602" s="80" t="str">
        <f ca="1">IFERROR(__xludf.DUMMYFUNCTION("""COMPUTED_VALUE"""),"F")</f>
        <v>F</v>
      </c>
      <c r="I602" s="80">
        <f ca="1">IFERROR(__xludf.DUMMYFUNCTION("""COMPUTED_VALUE"""),4)</f>
        <v>4</v>
      </c>
      <c r="J602" s="81">
        <f ca="1">IFERROR(__xludf.DUMMYFUNCTION("""COMPUTED_VALUE"""),4)</f>
        <v>4</v>
      </c>
      <c r="K602" s="81">
        <f ca="1">IFERROR(__xludf.DUMMYFUNCTION("""COMPUTED_VALUE"""),85.5)</f>
        <v>85.5</v>
      </c>
      <c r="L602" s="81">
        <f ca="1">IFERROR(__xludf.DUMMYFUNCTION("""COMPUTED_VALUE"""),0)</f>
        <v>0</v>
      </c>
      <c r="M602" s="81"/>
      <c r="N602" s="81">
        <f ca="1">IFERROR(__xludf.DUMMYFUNCTION("""COMPUTED_VALUE"""),74.3)</f>
        <v>74.3</v>
      </c>
      <c r="O602" s="81"/>
      <c r="P602" s="81">
        <f ca="1">IFERROR(__xludf.DUMMYFUNCTION("""COMPUTED_VALUE"""),85)</f>
        <v>85</v>
      </c>
      <c r="Q602" s="81"/>
      <c r="R602" s="81">
        <f ca="1">IFERROR(__xludf.DUMMYFUNCTION("""COMPUTED_VALUE"""),85.5)</f>
        <v>85.5</v>
      </c>
      <c r="S602" s="81"/>
      <c r="T602" s="81"/>
      <c r="U602" s="82"/>
      <c r="V602" s="82"/>
      <c r="W602" s="83"/>
      <c r="X602" s="83"/>
      <c r="Y602" s="83"/>
    </row>
    <row r="603" spans="1:25" ht="13.8">
      <c r="A603" s="78" t="str">
        <f ca="1">IFERROR(__xludf.DUMMYFUNCTION("""COMPUTED_VALUE"""),"F")</f>
        <v>F</v>
      </c>
      <c r="B603" s="79" t="str">
        <f ca="1">IFERROR(__xludf.DUMMYFUNCTION("""COMPUTED_VALUE"""),"Eldana Parhat")</f>
        <v>Eldana Parhat</v>
      </c>
      <c r="C603" s="78">
        <f ca="1">IFERROR(__xludf.DUMMYFUNCTION("""COMPUTED_VALUE"""),12)</f>
        <v>12</v>
      </c>
      <c r="D603" s="78" t="str">
        <f ca="1">IFERROR(__xludf.DUMMYFUNCTION("""COMPUTED_VALUE"""),"G")</f>
        <v>G</v>
      </c>
      <c r="E603" s="80" t="str">
        <f ca="1">IFERROR(__xludf.DUMMYFUNCTION("""COMPUTED_VALUE"""),"J")</f>
        <v>J</v>
      </c>
      <c r="F603" s="80" t="str">
        <f ca="1">IFERROR(__xludf.DUMMYFUNCTION("""COMPUTED_VALUE"""),"I")</f>
        <v>I</v>
      </c>
      <c r="G603" s="80">
        <f ca="1">IFERROR(__xludf.DUMMYFUNCTION("""COMPUTED_VALUE"""),2)</f>
        <v>2</v>
      </c>
      <c r="H603" s="80" t="str">
        <f ca="1">IFERROR(__xludf.DUMMYFUNCTION("""COMPUTED_VALUE"""),"F")</f>
        <v>F</v>
      </c>
      <c r="I603" s="80">
        <f ca="1">IFERROR(__xludf.DUMMYFUNCTION("""COMPUTED_VALUE"""),4)</f>
        <v>4</v>
      </c>
      <c r="J603" s="81">
        <f ca="1">IFERROR(__xludf.DUMMYFUNCTION("""COMPUTED_VALUE"""),0)</f>
        <v>0</v>
      </c>
      <c r="K603" s="81">
        <f ca="1">IFERROR(__xludf.DUMMYFUNCTION("""COMPUTED_VALUE"""),0)</f>
        <v>0</v>
      </c>
      <c r="L603" s="81">
        <f ca="1">IFERROR(__xludf.DUMMYFUNCTION("""COMPUTED_VALUE"""),0)</f>
        <v>0</v>
      </c>
      <c r="M603" s="81"/>
      <c r="N603" s="81">
        <f ca="1">IFERROR(__xludf.DUMMYFUNCTION("""COMPUTED_VALUE"""),0)</f>
        <v>0</v>
      </c>
      <c r="O603" s="81"/>
      <c r="P603" s="81">
        <f ca="1">IFERROR(__xludf.DUMMYFUNCTION("""COMPUTED_VALUE"""),0)</f>
        <v>0</v>
      </c>
      <c r="Q603" s="81"/>
      <c r="R603" s="81">
        <f ca="1">IFERROR(__xludf.DUMMYFUNCTION("""COMPUTED_VALUE"""),0)</f>
        <v>0</v>
      </c>
      <c r="S603" s="81"/>
      <c r="T603" s="81"/>
      <c r="U603" s="82"/>
      <c r="V603" s="82"/>
      <c r="W603" s="83"/>
      <c r="X603" s="83"/>
      <c r="Y603" s="83"/>
    </row>
    <row r="604" spans="1:25" ht="13.8">
      <c r="A604" s="78" t="str">
        <f ca="1">IFERROR(__xludf.DUMMYFUNCTION("""COMPUTED_VALUE"""),"F")</f>
        <v>F</v>
      </c>
      <c r="B604" s="79" t="str">
        <f ca="1">IFERROR(__xludf.DUMMYFUNCTION("""COMPUTED_VALUE"""),"Sophia Richmond")</f>
        <v>Sophia Richmond</v>
      </c>
      <c r="C604" s="78">
        <f ca="1">IFERROR(__xludf.DUMMYFUNCTION("""COMPUTED_VALUE"""),11)</f>
        <v>11</v>
      </c>
      <c r="D604" s="78" t="str">
        <f ca="1">IFERROR(__xludf.DUMMYFUNCTION("""COMPUTED_VALUE"""),"G")</f>
        <v>G</v>
      </c>
      <c r="E604" s="80" t="str">
        <f ca="1">IFERROR(__xludf.DUMMYFUNCTION("""COMPUTED_VALUE"""),"J")</f>
        <v>J</v>
      </c>
      <c r="F604" s="80" t="str">
        <f ca="1">IFERROR(__xludf.DUMMYFUNCTION("""COMPUTED_VALUE"""),"I")</f>
        <v>I</v>
      </c>
      <c r="G604" s="80">
        <f ca="1">IFERROR(__xludf.DUMMYFUNCTION("""COMPUTED_VALUE"""),2)</f>
        <v>2</v>
      </c>
      <c r="H604" s="80" t="str">
        <f ca="1">IFERROR(__xludf.DUMMYFUNCTION("""COMPUTED_VALUE"""),"F")</f>
        <v>F</v>
      </c>
      <c r="I604" s="80">
        <f ca="1">IFERROR(__xludf.DUMMYFUNCTION("""COMPUTED_VALUE"""),4)</f>
        <v>4</v>
      </c>
      <c r="J604" s="81">
        <f ca="1">IFERROR(__xludf.DUMMYFUNCTION("""COMPUTED_VALUE"""),0)</f>
        <v>0</v>
      </c>
      <c r="K604" s="81">
        <f ca="1">IFERROR(__xludf.DUMMYFUNCTION("""COMPUTED_VALUE"""),0)</f>
        <v>0</v>
      </c>
      <c r="L604" s="81">
        <f ca="1">IFERROR(__xludf.DUMMYFUNCTION("""COMPUTED_VALUE"""),0)</f>
        <v>0</v>
      </c>
      <c r="M604" s="81"/>
      <c r="N604" s="81">
        <f ca="1">IFERROR(__xludf.DUMMYFUNCTION("""COMPUTED_VALUE"""),0)</f>
        <v>0</v>
      </c>
      <c r="O604" s="81"/>
      <c r="P604" s="81">
        <f ca="1">IFERROR(__xludf.DUMMYFUNCTION("""COMPUTED_VALUE"""),0)</f>
        <v>0</v>
      </c>
      <c r="Q604" s="81"/>
      <c r="R604" s="81">
        <f ca="1">IFERROR(__xludf.DUMMYFUNCTION("""COMPUTED_VALUE"""),0)</f>
        <v>0</v>
      </c>
      <c r="S604" s="81"/>
      <c r="T604" s="81"/>
      <c r="U604" s="82"/>
      <c r="V604" s="82"/>
      <c r="W604" s="83"/>
      <c r="X604" s="83"/>
      <c r="Y604" s="83"/>
    </row>
    <row r="605" spans="1:25" ht="13.8">
      <c r="A605" s="78" t="str">
        <f ca="1">IFERROR(__xludf.DUMMYFUNCTION("""COMPUTED_VALUE"""),"F")</f>
        <v>F</v>
      </c>
      <c r="B605" s="79" t="str">
        <f ca="1">IFERROR(__xludf.DUMMYFUNCTION("""COMPUTED_VALUE"""),"Olivia Roca")</f>
        <v>Olivia Roca</v>
      </c>
      <c r="C605" s="78">
        <f ca="1">IFERROR(__xludf.DUMMYFUNCTION("""COMPUTED_VALUE"""),12)</f>
        <v>12</v>
      </c>
      <c r="D605" s="78" t="str">
        <f ca="1">IFERROR(__xludf.DUMMYFUNCTION("""COMPUTED_VALUE"""),"G")</f>
        <v>G</v>
      </c>
      <c r="E605" s="80" t="str">
        <f ca="1">IFERROR(__xludf.DUMMYFUNCTION("""COMPUTED_VALUE"""),"J")</f>
        <v>J</v>
      </c>
      <c r="F605" s="80" t="str">
        <f ca="1">IFERROR(__xludf.DUMMYFUNCTION("""COMPUTED_VALUE"""),"I")</f>
        <v>I</v>
      </c>
      <c r="G605" s="80">
        <f ca="1">IFERROR(__xludf.DUMMYFUNCTION("""COMPUTED_VALUE"""),2)</f>
        <v>2</v>
      </c>
      <c r="H605" s="80" t="str">
        <f ca="1">IFERROR(__xludf.DUMMYFUNCTION("""COMPUTED_VALUE"""),"F")</f>
        <v>F</v>
      </c>
      <c r="I605" s="80">
        <f ca="1">IFERROR(__xludf.DUMMYFUNCTION("""COMPUTED_VALUE"""),4)</f>
        <v>4</v>
      </c>
      <c r="J605" s="81">
        <f ca="1">IFERROR(__xludf.DUMMYFUNCTION("""COMPUTED_VALUE"""),5)</f>
        <v>5</v>
      </c>
      <c r="K605" s="81">
        <f ca="1">IFERROR(__xludf.DUMMYFUNCTION("""COMPUTED_VALUE"""),108.6)</f>
        <v>108.6</v>
      </c>
      <c r="L605" s="81">
        <f ca="1">IFERROR(__xludf.DUMMYFUNCTION("""COMPUTED_VALUE"""),108.6)</f>
        <v>108.6</v>
      </c>
      <c r="M605" s="81"/>
      <c r="N605" s="81">
        <f ca="1">IFERROR(__xludf.DUMMYFUNCTION("""COMPUTED_VALUE"""),96.75)</f>
        <v>96.75</v>
      </c>
      <c r="O605" s="81"/>
      <c r="P605" s="81">
        <f ca="1">IFERROR(__xludf.DUMMYFUNCTION("""COMPUTED_VALUE"""),100.75)</f>
        <v>100.75</v>
      </c>
      <c r="Q605" s="81"/>
      <c r="R605" s="81">
        <f ca="1">IFERROR(__xludf.DUMMYFUNCTION("""COMPUTED_VALUE"""),104.3)</f>
        <v>104.3</v>
      </c>
      <c r="S605" s="81"/>
      <c r="T605" s="81"/>
      <c r="U605" s="82"/>
      <c r="V605" s="82"/>
      <c r="W605" s="83"/>
      <c r="X605" s="83"/>
      <c r="Y605" s="83"/>
    </row>
    <row r="606" spans="1:25" ht="13.8">
      <c r="A606" s="78" t="str">
        <f ca="1">IFERROR(__xludf.DUMMYFUNCTION("""COMPUTED_VALUE"""),"F")</f>
        <v>F</v>
      </c>
      <c r="B606" s="79" t="str">
        <f ca="1">IFERROR(__xludf.DUMMYFUNCTION("""COMPUTED_VALUE"""),"Sophia Vericker")</f>
        <v>Sophia Vericker</v>
      </c>
      <c r="C606" s="78">
        <f ca="1">IFERROR(__xludf.DUMMYFUNCTION("""COMPUTED_VALUE"""),11)</f>
        <v>11</v>
      </c>
      <c r="D606" s="78" t="str">
        <f ca="1">IFERROR(__xludf.DUMMYFUNCTION("""COMPUTED_VALUE"""),"G")</f>
        <v>G</v>
      </c>
      <c r="E606" s="80" t="str">
        <f ca="1">IFERROR(__xludf.DUMMYFUNCTION("""COMPUTED_VALUE"""),"J")</f>
        <v>J</v>
      </c>
      <c r="F606" s="80" t="str">
        <f ca="1">IFERROR(__xludf.DUMMYFUNCTION("""COMPUTED_VALUE"""),"I")</f>
        <v>I</v>
      </c>
      <c r="G606" s="80">
        <f ca="1">IFERROR(__xludf.DUMMYFUNCTION("""COMPUTED_VALUE"""),2)</f>
        <v>2</v>
      </c>
      <c r="H606" s="80" t="str">
        <f ca="1">IFERROR(__xludf.DUMMYFUNCTION("""COMPUTED_VALUE"""),"F")</f>
        <v>F</v>
      </c>
      <c r="I606" s="80">
        <f ca="1">IFERROR(__xludf.DUMMYFUNCTION("""COMPUTED_VALUE"""),4)</f>
        <v>4</v>
      </c>
      <c r="J606" s="81">
        <f ca="1">IFERROR(__xludf.DUMMYFUNCTION("""COMPUTED_VALUE"""),0)</f>
        <v>0</v>
      </c>
      <c r="K606" s="81">
        <f ca="1">IFERROR(__xludf.DUMMYFUNCTION("""COMPUTED_VALUE"""),0)</f>
        <v>0</v>
      </c>
      <c r="L606" s="81">
        <f ca="1">IFERROR(__xludf.DUMMYFUNCTION("""COMPUTED_VALUE"""),0)</f>
        <v>0</v>
      </c>
      <c r="M606" s="81"/>
      <c r="N606" s="81">
        <f ca="1">IFERROR(__xludf.DUMMYFUNCTION("""COMPUTED_VALUE"""),0)</f>
        <v>0</v>
      </c>
      <c r="O606" s="81"/>
      <c r="P606" s="81">
        <f ca="1">IFERROR(__xludf.DUMMYFUNCTION("""COMPUTED_VALUE"""),0)</f>
        <v>0</v>
      </c>
      <c r="Q606" s="81"/>
      <c r="R606" s="81">
        <f ca="1">IFERROR(__xludf.DUMMYFUNCTION("""COMPUTED_VALUE"""),0)</f>
        <v>0</v>
      </c>
      <c r="S606" s="81"/>
      <c r="T606" s="81"/>
      <c r="U606" s="82"/>
      <c r="V606" s="82"/>
      <c r="W606" s="83"/>
      <c r="X606" s="83"/>
      <c r="Y606" s="83"/>
    </row>
    <row r="607" spans="1:25" ht="13.8">
      <c r="A607" s="78" t="str">
        <f ca="1">IFERROR(__xludf.DUMMYFUNCTION("""COMPUTED_VALUE"""),"F")</f>
        <v>F</v>
      </c>
      <c r="B607" s="79" t="str">
        <f ca="1">IFERROR(__xludf.DUMMYFUNCTION("""COMPUTED_VALUE"""),"Mo Winslow")</f>
        <v>Mo Winslow</v>
      </c>
      <c r="C607" s="78">
        <f ca="1">IFERROR(__xludf.DUMMYFUNCTION("""COMPUTED_VALUE"""),12)</f>
        <v>12</v>
      </c>
      <c r="D607" s="78" t="str">
        <f ca="1">IFERROR(__xludf.DUMMYFUNCTION("""COMPUTED_VALUE"""),"G")</f>
        <v>G</v>
      </c>
      <c r="E607" s="80" t="str">
        <f ca="1">IFERROR(__xludf.DUMMYFUNCTION("""COMPUTED_VALUE"""),"J")</f>
        <v>J</v>
      </c>
      <c r="F607" s="80" t="str">
        <f ca="1">IFERROR(__xludf.DUMMYFUNCTION("""COMPUTED_VALUE"""),"I")</f>
        <v>I</v>
      </c>
      <c r="G607" s="80">
        <f ca="1">IFERROR(__xludf.DUMMYFUNCTION("""COMPUTED_VALUE"""),2)</f>
        <v>2</v>
      </c>
      <c r="H607" s="80" t="str">
        <f ca="1">IFERROR(__xludf.DUMMYFUNCTION("""COMPUTED_VALUE"""),"F")</f>
        <v>F</v>
      </c>
      <c r="I607" s="80">
        <f ca="1">IFERROR(__xludf.DUMMYFUNCTION("""COMPUTED_VALUE"""),4)</f>
        <v>4</v>
      </c>
      <c r="J607" s="81">
        <f ca="1">IFERROR(__xludf.DUMMYFUNCTION("""COMPUTED_VALUE"""),2)</f>
        <v>2</v>
      </c>
      <c r="K607" s="81">
        <f ca="1">IFERROR(__xludf.DUMMYFUNCTION("""COMPUTED_VALUE"""),66.65)</f>
        <v>66.650000000000006</v>
      </c>
      <c r="L607" s="81">
        <f ca="1">IFERROR(__xludf.DUMMYFUNCTION("""COMPUTED_VALUE"""),0)</f>
        <v>0</v>
      </c>
      <c r="M607" s="81"/>
      <c r="N607" s="81">
        <f ca="1">IFERROR(__xludf.DUMMYFUNCTION("""COMPUTED_VALUE"""),0)</f>
        <v>0</v>
      </c>
      <c r="O607" s="81"/>
      <c r="P607" s="81">
        <f ca="1">IFERROR(__xludf.DUMMYFUNCTION("""COMPUTED_VALUE"""),0)</f>
        <v>0</v>
      </c>
      <c r="Q607" s="81"/>
      <c r="R607" s="81">
        <f ca="1">IFERROR(__xludf.DUMMYFUNCTION("""COMPUTED_VALUE"""),66.65)</f>
        <v>66.650000000000006</v>
      </c>
      <c r="S607" s="81"/>
      <c r="T607" s="81"/>
      <c r="U607" s="82"/>
      <c r="V607" s="82"/>
      <c r="W607" s="83"/>
      <c r="X607" s="83"/>
      <c r="Y607" s="83"/>
    </row>
    <row r="608" spans="1:25" ht="13.8">
      <c r="A608" s="78" t="str">
        <f ca="1">IFERROR(__xludf.DUMMYFUNCTION("""COMPUTED_VALUE"""),"F")</f>
        <v>F</v>
      </c>
      <c r="B608" s="79" t="str">
        <f ca="1">IFERROR(__xludf.DUMMYFUNCTION("""COMPUTED_VALUE"""),"Oliver Cory")</f>
        <v>Oliver Cory</v>
      </c>
      <c r="C608" s="78">
        <f ca="1">IFERROR(__xludf.DUMMYFUNCTION("""COMPUTED_VALUE"""),11)</f>
        <v>11</v>
      </c>
      <c r="D608" s="78" t="str">
        <f ca="1">IFERROR(__xludf.DUMMYFUNCTION("""COMPUTED_VALUE"""),"B")</f>
        <v>B</v>
      </c>
      <c r="E608" s="80" t="str">
        <f ca="1">IFERROR(__xludf.DUMMYFUNCTION("""COMPUTED_VALUE"""),"J")</f>
        <v>J</v>
      </c>
      <c r="F608" s="80" t="str">
        <f ca="1">IFERROR(__xludf.DUMMYFUNCTION("""COMPUTED_VALUE"""),"I")</f>
        <v>I</v>
      </c>
      <c r="G608" s="80">
        <f ca="1">IFERROR(__xludf.DUMMYFUNCTION("""COMPUTED_VALUE"""),2)</f>
        <v>2</v>
      </c>
      <c r="H608" s="80" t="str">
        <f ca="1">IFERROR(__xludf.DUMMYFUNCTION("""COMPUTED_VALUE"""),"F")</f>
        <v>F</v>
      </c>
      <c r="I608" s="80">
        <f ca="1">IFERROR(__xludf.DUMMYFUNCTION("""COMPUTED_VALUE"""),5)</f>
        <v>5</v>
      </c>
      <c r="J608" s="81">
        <f ca="1">IFERROR(__xludf.DUMMYFUNCTION("""COMPUTED_VALUE"""),0)</f>
        <v>0</v>
      </c>
      <c r="K608" s="81">
        <f ca="1">IFERROR(__xludf.DUMMYFUNCTION("""COMPUTED_VALUE"""),0)</f>
        <v>0</v>
      </c>
      <c r="L608" s="81">
        <f ca="1">IFERROR(__xludf.DUMMYFUNCTION("""COMPUTED_VALUE"""),0)</f>
        <v>0</v>
      </c>
      <c r="M608" s="81"/>
      <c r="N608" s="81">
        <f ca="1">IFERROR(__xludf.DUMMYFUNCTION("""COMPUTED_VALUE"""),0)</f>
        <v>0</v>
      </c>
      <c r="O608" s="81"/>
      <c r="P608" s="81">
        <f ca="1">IFERROR(__xludf.DUMMYFUNCTION("""COMPUTED_VALUE"""),0)</f>
        <v>0</v>
      </c>
      <c r="Q608" s="81"/>
      <c r="R608" s="81">
        <f ca="1">IFERROR(__xludf.DUMMYFUNCTION("""COMPUTED_VALUE"""),0)</f>
        <v>0</v>
      </c>
      <c r="S608" s="81"/>
      <c r="T608" s="81"/>
      <c r="U608" s="82"/>
      <c r="V608" s="82"/>
      <c r="W608" s="83"/>
      <c r="X608" s="83"/>
      <c r="Y608" s="83"/>
    </row>
    <row r="609" spans="1:25" ht="13.8">
      <c r="A609" s="78" t="str">
        <f ca="1">IFERROR(__xludf.DUMMYFUNCTION("""COMPUTED_VALUE"""),"F")</f>
        <v>F</v>
      </c>
      <c r="B609" s="79" t="str">
        <f ca="1">IFERROR(__xludf.DUMMYFUNCTION("""COMPUTED_VALUE"""),"Adam Harchich")</f>
        <v>Adam Harchich</v>
      </c>
      <c r="C609" s="78">
        <f ca="1">IFERROR(__xludf.DUMMYFUNCTION("""COMPUTED_VALUE"""),12)</f>
        <v>12</v>
      </c>
      <c r="D609" s="78" t="str">
        <f ca="1">IFERROR(__xludf.DUMMYFUNCTION("""COMPUTED_VALUE"""),"B")</f>
        <v>B</v>
      </c>
      <c r="E609" s="80" t="str">
        <f ca="1">IFERROR(__xludf.DUMMYFUNCTION("""COMPUTED_VALUE"""),"J")</f>
        <v>J</v>
      </c>
      <c r="F609" s="80" t="str">
        <f ca="1">IFERROR(__xludf.DUMMYFUNCTION("""COMPUTED_VALUE"""),"I")</f>
        <v>I</v>
      </c>
      <c r="G609" s="80">
        <f ca="1">IFERROR(__xludf.DUMMYFUNCTION("""COMPUTED_VALUE"""),2)</f>
        <v>2</v>
      </c>
      <c r="H609" s="80" t="str">
        <f ca="1">IFERROR(__xludf.DUMMYFUNCTION("""COMPUTED_VALUE"""),"F")</f>
        <v>F</v>
      </c>
      <c r="I609" s="80">
        <f ca="1">IFERROR(__xludf.DUMMYFUNCTION("""COMPUTED_VALUE"""),5)</f>
        <v>5</v>
      </c>
      <c r="J609" s="81">
        <f ca="1">IFERROR(__xludf.DUMMYFUNCTION("""COMPUTED_VALUE"""),0)</f>
        <v>0</v>
      </c>
      <c r="K609" s="81">
        <f ca="1">IFERROR(__xludf.DUMMYFUNCTION("""COMPUTED_VALUE"""),0)</f>
        <v>0</v>
      </c>
      <c r="L609" s="81">
        <f ca="1">IFERROR(__xludf.DUMMYFUNCTION("""COMPUTED_VALUE"""),0)</f>
        <v>0</v>
      </c>
      <c r="M609" s="81"/>
      <c r="N609" s="81">
        <f ca="1">IFERROR(__xludf.DUMMYFUNCTION("""COMPUTED_VALUE"""),0)</f>
        <v>0</v>
      </c>
      <c r="O609" s="81"/>
      <c r="P609" s="81">
        <f ca="1">IFERROR(__xludf.DUMMYFUNCTION("""COMPUTED_VALUE"""),0)</f>
        <v>0</v>
      </c>
      <c r="Q609" s="81"/>
      <c r="R609" s="81">
        <f ca="1">IFERROR(__xludf.DUMMYFUNCTION("""COMPUTED_VALUE"""),0)</f>
        <v>0</v>
      </c>
      <c r="S609" s="81"/>
      <c r="T609" s="81"/>
      <c r="U609" s="82"/>
      <c r="V609" s="82"/>
      <c r="W609" s="83"/>
      <c r="X609" s="83"/>
      <c r="Y609" s="83"/>
    </row>
    <row r="610" spans="1:25" ht="13.8">
      <c r="A610" s="78" t="str">
        <f ca="1">IFERROR(__xludf.DUMMYFUNCTION("""COMPUTED_VALUE"""),"F")</f>
        <v>F</v>
      </c>
      <c r="B610" s="79" t="str">
        <f ca="1">IFERROR(__xludf.DUMMYFUNCTION("""COMPUTED_VALUE"""),"Wes Heard")</f>
        <v>Wes Heard</v>
      </c>
      <c r="C610" s="78">
        <f ca="1">IFERROR(__xludf.DUMMYFUNCTION("""COMPUTED_VALUE"""),11)</f>
        <v>11</v>
      </c>
      <c r="D610" s="78" t="str">
        <f ca="1">IFERROR(__xludf.DUMMYFUNCTION("""COMPUTED_VALUE"""),"B")</f>
        <v>B</v>
      </c>
      <c r="E610" s="80" t="str">
        <f ca="1">IFERROR(__xludf.DUMMYFUNCTION("""COMPUTED_VALUE"""),"J")</f>
        <v>J</v>
      </c>
      <c r="F610" s="80" t="str">
        <f ca="1">IFERROR(__xludf.DUMMYFUNCTION("""COMPUTED_VALUE"""),"I")</f>
        <v>I</v>
      </c>
      <c r="G610" s="80">
        <f ca="1">IFERROR(__xludf.DUMMYFUNCTION("""COMPUTED_VALUE"""),2)</f>
        <v>2</v>
      </c>
      <c r="H610" s="80" t="str">
        <f ca="1">IFERROR(__xludf.DUMMYFUNCTION("""COMPUTED_VALUE"""),"F")</f>
        <v>F</v>
      </c>
      <c r="I610" s="80">
        <f ca="1">IFERROR(__xludf.DUMMYFUNCTION("""COMPUTED_VALUE"""),5)</f>
        <v>5</v>
      </c>
      <c r="J610" s="81">
        <f ca="1">IFERROR(__xludf.DUMMYFUNCTION("""COMPUTED_VALUE"""),1)</f>
        <v>1</v>
      </c>
      <c r="K610" s="81">
        <f ca="1">IFERROR(__xludf.DUMMYFUNCTION("""COMPUTED_VALUE"""),82.05)</f>
        <v>82.05</v>
      </c>
      <c r="L610" s="81">
        <f ca="1">IFERROR(__xludf.DUMMYFUNCTION("""COMPUTED_VALUE"""),82.05)</f>
        <v>82.05</v>
      </c>
      <c r="M610" s="81"/>
      <c r="N610" s="81">
        <f ca="1">IFERROR(__xludf.DUMMYFUNCTION("""COMPUTED_VALUE"""),0)</f>
        <v>0</v>
      </c>
      <c r="O610" s="81"/>
      <c r="P610" s="81">
        <f ca="1">IFERROR(__xludf.DUMMYFUNCTION("""COMPUTED_VALUE"""),0)</f>
        <v>0</v>
      </c>
      <c r="Q610" s="81"/>
      <c r="R610" s="81">
        <f ca="1">IFERROR(__xludf.DUMMYFUNCTION("""COMPUTED_VALUE"""),0)</f>
        <v>0</v>
      </c>
      <c r="S610" s="81"/>
      <c r="T610" s="81"/>
      <c r="U610" s="82"/>
      <c r="V610" s="82"/>
      <c r="W610" s="83"/>
      <c r="X610" s="83"/>
      <c r="Y610" s="83"/>
    </row>
    <row r="611" spans="1:25" ht="13.8">
      <c r="A611" s="78" t="str">
        <f ca="1">IFERROR(__xludf.DUMMYFUNCTION("""COMPUTED_VALUE"""),"F")</f>
        <v>F</v>
      </c>
      <c r="B611" s="79" t="str">
        <f ca="1">IFERROR(__xludf.DUMMYFUNCTION("""COMPUTED_VALUE"""),"Ethan Hough")</f>
        <v>Ethan Hough</v>
      </c>
      <c r="C611" s="78">
        <f ca="1">IFERROR(__xludf.DUMMYFUNCTION("""COMPUTED_VALUE"""),11)</f>
        <v>11</v>
      </c>
      <c r="D611" s="78" t="str">
        <f ca="1">IFERROR(__xludf.DUMMYFUNCTION("""COMPUTED_VALUE"""),"B")</f>
        <v>B</v>
      </c>
      <c r="E611" s="80" t="str">
        <f ca="1">IFERROR(__xludf.DUMMYFUNCTION("""COMPUTED_VALUE"""),"J")</f>
        <v>J</v>
      </c>
      <c r="F611" s="80" t="str">
        <f ca="1">IFERROR(__xludf.DUMMYFUNCTION("""COMPUTED_VALUE"""),"I")</f>
        <v>I</v>
      </c>
      <c r="G611" s="80">
        <f ca="1">IFERROR(__xludf.DUMMYFUNCTION("""COMPUTED_VALUE"""),2)</f>
        <v>2</v>
      </c>
      <c r="H611" s="80" t="str">
        <f ca="1">IFERROR(__xludf.DUMMYFUNCTION("""COMPUTED_VALUE"""),"F")</f>
        <v>F</v>
      </c>
      <c r="I611" s="80">
        <f ca="1">IFERROR(__xludf.DUMMYFUNCTION("""COMPUTED_VALUE"""),5)</f>
        <v>5</v>
      </c>
      <c r="J611" s="81">
        <f ca="1">IFERROR(__xludf.DUMMYFUNCTION("""COMPUTED_VALUE"""),4)</f>
        <v>4</v>
      </c>
      <c r="K611" s="81">
        <f ca="1">IFERROR(__xludf.DUMMYFUNCTION("""COMPUTED_VALUE"""),82.6)</f>
        <v>82.6</v>
      </c>
      <c r="L611" s="81">
        <f ca="1">IFERROR(__xludf.DUMMYFUNCTION("""COMPUTED_VALUE"""),82.6)</f>
        <v>82.6</v>
      </c>
      <c r="M611" s="81"/>
      <c r="N611" s="81">
        <f ca="1">IFERROR(__xludf.DUMMYFUNCTION("""COMPUTED_VALUE"""),-84.05)</f>
        <v>-84.05</v>
      </c>
      <c r="O611" s="81"/>
      <c r="P611" s="81">
        <f ca="1">IFERROR(__xludf.DUMMYFUNCTION("""COMPUTED_VALUE"""),72.3)</f>
        <v>72.3</v>
      </c>
      <c r="Q611" s="81"/>
      <c r="R611" s="81">
        <f ca="1">IFERROR(__xludf.DUMMYFUNCTION("""COMPUTED_VALUE"""),0)</f>
        <v>0</v>
      </c>
      <c r="S611" s="81"/>
      <c r="T611" s="81"/>
      <c r="U611" s="82"/>
      <c r="V611" s="82"/>
      <c r="W611" s="83"/>
      <c r="X611" s="83"/>
      <c r="Y611" s="83"/>
    </row>
    <row r="612" spans="1:25" ht="13.8">
      <c r="A612" s="78" t="str">
        <f ca="1">IFERROR(__xludf.DUMMYFUNCTION("""COMPUTED_VALUE"""),"F")</f>
        <v>F</v>
      </c>
      <c r="B612" s="79" t="str">
        <f ca="1">IFERROR(__xludf.DUMMYFUNCTION("""COMPUTED_VALUE"""),"Sung Joo Kim")</f>
        <v>Sung Joo Kim</v>
      </c>
      <c r="C612" s="78">
        <f ca="1">IFERROR(__xludf.DUMMYFUNCTION("""COMPUTED_VALUE"""),12)</f>
        <v>12</v>
      </c>
      <c r="D612" s="78" t="str">
        <f ca="1">IFERROR(__xludf.DUMMYFUNCTION("""COMPUTED_VALUE"""),"B")</f>
        <v>B</v>
      </c>
      <c r="E612" s="80" t="str">
        <f ca="1">IFERROR(__xludf.DUMMYFUNCTION("""COMPUTED_VALUE"""),"J")</f>
        <v>J</v>
      </c>
      <c r="F612" s="80" t="str">
        <f ca="1">IFERROR(__xludf.DUMMYFUNCTION("""COMPUTED_VALUE"""),"I")</f>
        <v>I</v>
      </c>
      <c r="G612" s="80">
        <f ca="1">IFERROR(__xludf.DUMMYFUNCTION("""COMPUTED_VALUE"""),2)</f>
        <v>2</v>
      </c>
      <c r="H612" s="80" t="str">
        <f ca="1">IFERROR(__xludf.DUMMYFUNCTION("""COMPUTED_VALUE"""),"F")</f>
        <v>F</v>
      </c>
      <c r="I612" s="80">
        <f ca="1">IFERROR(__xludf.DUMMYFUNCTION("""COMPUTED_VALUE"""),5)</f>
        <v>5</v>
      </c>
      <c r="J612" s="81">
        <f ca="1">IFERROR(__xludf.DUMMYFUNCTION("""COMPUTED_VALUE"""),0)</f>
        <v>0</v>
      </c>
      <c r="K612" s="81">
        <f ca="1">IFERROR(__xludf.DUMMYFUNCTION("""COMPUTED_VALUE"""),0)</f>
        <v>0</v>
      </c>
      <c r="L612" s="81">
        <f ca="1">IFERROR(__xludf.DUMMYFUNCTION("""COMPUTED_VALUE"""),0)</f>
        <v>0</v>
      </c>
      <c r="M612" s="81"/>
      <c r="N612" s="81">
        <f ca="1">IFERROR(__xludf.DUMMYFUNCTION("""COMPUTED_VALUE"""),0)</f>
        <v>0</v>
      </c>
      <c r="O612" s="81"/>
      <c r="P612" s="81">
        <f ca="1">IFERROR(__xludf.DUMMYFUNCTION("""COMPUTED_VALUE"""),0)</f>
        <v>0</v>
      </c>
      <c r="Q612" s="81"/>
      <c r="R612" s="81">
        <f ca="1">IFERROR(__xludf.DUMMYFUNCTION("""COMPUTED_VALUE"""),0)</f>
        <v>0</v>
      </c>
      <c r="S612" s="81"/>
      <c r="T612" s="81"/>
      <c r="U612" s="82"/>
      <c r="V612" s="82"/>
      <c r="W612" s="83"/>
      <c r="X612" s="83"/>
      <c r="Y612" s="83"/>
    </row>
    <row r="613" spans="1:25" ht="13.8">
      <c r="A613" s="78" t="str">
        <f ca="1">IFERROR(__xludf.DUMMYFUNCTION("""COMPUTED_VALUE"""),"F")</f>
        <v>F</v>
      </c>
      <c r="B613" s="79" t="str">
        <f ca="1">IFERROR(__xludf.DUMMYFUNCTION("""COMPUTED_VALUE"""),"Noah Laccone")</f>
        <v>Noah Laccone</v>
      </c>
      <c r="C613" s="78">
        <f ca="1">IFERROR(__xludf.DUMMYFUNCTION("""COMPUTED_VALUE"""),11)</f>
        <v>11</v>
      </c>
      <c r="D613" s="78" t="str">
        <f ca="1">IFERROR(__xludf.DUMMYFUNCTION("""COMPUTED_VALUE"""),"B")</f>
        <v>B</v>
      </c>
      <c r="E613" s="80" t="str">
        <f ca="1">IFERROR(__xludf.DUMMYFUNCTION("""COMPUTED_VALUE"""),"J")</f>
        <v>J</v>
      </c>
      <c r="F613" s="80" t="str">
        <f ca="1">IFERROR(__xludf.DUMMYFUNCTION("""COMPUTED_VALUE"""),"I")</f>
        <v>I</v>
      </c>
      <c r="G613" s="80">
        <f ca="1">IFERROR(__xludf.DUMMYFUNCTION("""COMPUTED_VALUE"""),2)</f>
        <v>2</v>
      </c>
      <c r="H613" s="80" t="str">
        <f ca="1">IFERROR(__xludf.DUMMYFUNCTION("""COMPUTED_VALUE"""),"F")</f>
        <v>F</v>
      </c>
      <c r="I613" s="80">
        <f ca="1">IFERROR(__xludf.DUMMYFUNCTION("""COMPUTED_VALUE"""),5)</f>
        <v>5</v>
      </c>
      <c r="J613" s="81">
        <f ca="1">IFERROR(__xludf.DUMMYFUNCTION("""COMPUTED_VALUE"""),3)</f>
        <v>3</v>
      </c>
      <c r="K613" s="81">
        <f ca="1">IFERROR(__xludf.DUMMYFUNCTION("""COMPUTED_VALUE"""),82.1)</f>
        <v>82.1</v>
      </c>
      <c r="L613" s="81">
        <f ca="1">IFERROR(__xludf.DUMMYFUNCTION("""COMPUTED_VALUE"""),0)</f>
        <v>0</v>
      </c>
      <c r="M613" s="81"/>
      <c r="N613" s="81">
        <f ca="1">IFERROR(__xludf.DUMMYFUNCTION("""COMPUTED_VALUE"""),0)</f>
        <v>0</v>
      </c>
      <c r="O613" s="81"/>
      <c r="P613" s="81">
        <f ca="1">IFERROR(__xludf.DUMMYFUNCTION("""COMPUTED_VALUE"""),82.1)</f>
        <v>82.1</v>
      </c>
      <c r="Q613" s="81"/>
      <c r="R613" s="81">
        <f ca="1">IFERROR(__xludf.DUMMYFUNCTION("""COMPUTED_VALUE"""),81.15)</f>
        <v>81.150000000000006</v>
      </c>
      <c r="S613" s="81"/>
      <c r="T613" s="81"/>
      <c r="U613" s="82"/>
      <c r="V613" s="82"/>
      <c r="W613" s="83"/>
      <c r="X613" s="83"/>
      <c r="Y613" s="83"/>
    </row>
    <row r="614" spans="1:25" ht="13.8">
      <c r="A614" s="78" t="str">
        <f ca="1">IFERROR(__xludf.DUMMYFUNCTION("""COMPUTED_VALUE"""),"F")</f>
        <v>F</v>
      </c>
      <c r="B614" s="79" t="str">
        <f ca="1">IFERROR(__xludf.DUMMYFUNCTION("""COMPUTED_VALUE"""),"Elzat Parhat")</f>
        <v>Elzat Parhat</v>
      </c>
      <c r="C614" s="78">
        <f ca="1">IFERROR(__xludf.DUMMYFUNCTION("""COMPUTED_VALUE"""),12)</f>
        <v>12</v>
      </c>
      <c r="D614" s="78" t="str">
        <f ca="1">IFERROR(__xludf.DUMMYFUNCTION("""COMPUTED_VALUE"""),"B")</f>
        <v>B</v>
      </c>
      <c r="E614" s="80" t="str">
        <f ca="1">IFERROR(__xludf.DUMMYFUNCTION("""COMPUTED_VALUE"""),"J")</f>
        <v>J</v>
      </c>
      <c r="F614" s="80" t="str">
        <f ca="1">IFERROR(__xludf.DUMMYFUNCTION("""COMPUTED_VALUE"""),"I")</f>
        <v>I</v>
      </c>
      <c r="G614" s="80">
        <f ca="1">IFERROR(__xludf.DUMMYFUNCTION("""COMPUTED_VALUE"""),2)</f>
        <v>2</v>
      </c>
      <c r="H614" s="80" t="str">
        <f ca="1">IFERROR(__xludf.DUMMYFUNCTION("""COMPUTED_VALUE"""),"F")</f>
        <v>F</v>
      </c>
      <c r="I614" s="80">
        <f ca="1">IFERROR(__xludf.DUMMYFUNCTION("""COMPUTED_VALUE"""),5)</f>
        <v>5</v>
      </c>
      <c r="J614" s="81">
        <f ca="1">IFERROR(__xludf.DUMMYFUNCTION("""COMPUTED_VALUE"""),2)</f>
        <v>2</v>
      </c>
      <c r="K614" s="81">
        <f ca="1">IFERROR(__xludf.DUMMYFUNCTION("""COMPUTED_VALUE"""),68.95)</f>
        <v>68.95</v>
      </c>
      <c r="L614" s="81">
        <f ca="1">IFERROR(__xludf.DUMMYFUNCTION("""COMPUTED_VALUE"""),0)</f>
        <v>0</v>
      </c>
      <c r="M614" s="81"/>
      <c r="N614" s="81">
        <f ca="1">IFERROR(__xludf.DUMMYFUNCTION("""COMPUTED_VALUE"""),56.1)</f>
        <v>56.1</v>
      </c>
      <c r="O614" s="81"/>
      <c r="P614" s="81">
        <f ca="1">IFERROR(__xludf.DUMMYFUNCTION("""COMPUTED_VALUE"""),0)</f>
        <v>0</v>
      </c>
      <c r="Q614" s="81"/>
      <c r="R614" s="81">
        <f ca="1">IFERROR(__xludf.DUMMYFUNCTION("""COMPUTED_VALUE"""),68.95)</f>
        <v>68.95</v>
      </c>
      <c r="S614" s="81"/>
      <c r="T614" s="81"/>
      <c r="U614" s="82"/>
      <c r="V614" s="82"/>
      <c r="W614" s="83"/>
      <c r="X614" s="83"/>
      <c r="Y614" s="83"/>
    </row>
    <row r="615" spans="1:25" ht="13.8">
      <c r="A615" s="78" t="str">
        <f ca="1">IFERROR(__xludf.DUMMYFUNCTION("""COMPUTED_VALUE"""),"F")</f>
        <v>F</v>
      </c>
      <c r="B615" s="79" t="str">
        <f ca="1">IFERROR(__xludf.DUMMYFUNCTION("""COMPUTED_VALUE"""),"Holly Bailey")</f>
        <v>Holly Bailey</v>
      </c>
      <c r="C615" s="78">
        <f ca="1">IFERROR(__xludf.DUMMYFUNCTION("""COMPUTED_VALUE"""),13)</f>
        <v>13</v>
      </c>
      <c r="D615" s="78" t="str">
        <f ca="1">IFERROR(__xludf.DUMMYFUNCTION("""COMPUTED_VALUE"""),"G")</f>
        <v>G</v>
      </c>
      <c r="E615" s="80" t="str">
        <f ca="1">IFERROR(__xludf.DUMMYFUNCTION("""COMPUTED_VALUE"""),"I")</f>
        <v>I</v>
      </c>
      <c r="F615" s="80" t="str">
        <f ca="1">IFERROR(__xludf.DUMMYFUNCTION("""COMPUTED_VALUE"""),"S")</f>
        <v>S</v>
      </c>
      <c r="G615" s="80">
        <f ca="1">IFERROR(__xludf.DUMMYFUNCTION("""COMPUTED_VALUE"""),2)</f>
        <v>2</v>
      </c>
      <c r="H615" s="80" t="str">
        <f ca="1">IFERROR(__xludf.DUMMYFUNCTION("""COMPUTED_VALUE"""),"F")</f>
        <v>F</v>
      </c>
      <c r="I615" s="80">
        <f ca="1">IFERROR(__xludf.DUMMYFUNCTION("""COMPUTED_VALUE"""),6)</f>
        <v>6</v>
      </c>
      <c r="J615" s="81">
        <f ca="1">IFERROR(__xludf.DUMMYFUNCTION("""COMPUTED_VALUE"""),0)</f>
        <v>0</v>
      </c>
      <c r="K615" s="81">
        <f ca="1">IFERROR(__xludf.DUMMYFUNCTION("""COMPUTED_VALUE"""),0)</f>
        <v>0</v>
      </c>
      <c r="L615" s="81">
        <f ca="1">IFERROR(__xludf.DUMMYFUNCTION("""COMPUTED_VALUE"""),0)</f>
        <v>0</v>
      </c>
      <c r="M615" s="81"/>
      <c r="N615" s="81">
        <f ca="1">IFERROR(__xludf.DUMMYFUNCTION("""COMPUTED_VALUE"""),0)</f>
        <v>0</v>
      </c>
      <c r="O615" s="81"/>
      <c r="P615" s="81">
        <f ca="1">IFERROR(__xludf.DUMMYFUNCTION("""COMPUTED_VALUE"""),0)</f>
        <v>0</v>
      </c>
      <c r="Q615" s="81"/>
      <c r="R615" s="81">
        <f ca="1">IFERROR(__xludf.DUMMYFUNCTION("""COMPUTED_VALUE"""),0)</f>
        <v>0</v>
      </c>
      <c r="S615" s="81"/>
      <c r="T615" s="81"/>
      <c r="U615" s="82"/>
      <c r="V615" s="82"/>
      <c r="W615" s="83"/>
      <c r="X615" s="83"/>
      <c r="Y615" s="83"/>
    </row>
    <row r="616" spans="1:25" ht="13.8">
      <c r="A616" s="78" t="str">
        <f ca="1">IFERROR(__xludf.DUMMYFUNCTION("""COMPUTED_VALUE"""),"F")</f>
        <v>F</v>
      </c>
      <c r="B616" s="79" t="str">
        <f ca="1">IFERROR(__xludf.DUMMYFUNCTION("""COMPUTED_VALUE"""),"Maddie Devlin")</f>
        <v>Maddie Devlin</v>
      </c>
      <c r="C616" s="78">
        <f ca="1">IFERROR(__xludf.DUMMYFUNCTION("""COMPUTED_VALUE"""),14)</f>
        <v>14</v>
      </c>
      <c r="D616" s="78" t="str">
        <f ca="1">IFERROR(__xludf.DUMMYFUNCTION("""COMPUTED_VALUE"""),"G")</f>
        <v>G</v>
      </c>
      <c r="E616" s="80" t="str">
        <f ca="1">IFERROR(__xludf.DUMMYFUNCTION("""COMPUTED_VALUE"""),"I")</f>
        <v>I</v>
      </c>
      <c r="F616" s="80" t="str">
        <f ca="1">IFERROR(__xludf.DUMMYFUNCTION("""COMPUTED_VALUE"""),"S")</f>
        <v>S</v>
      </c>
      <c r="G616" s="80">
        <f ca="1">IFERROR(__xludf.DUMMYFUNCTION("""COMPUTED_VALUE"""),2)</f>
        <v>2</v>
      </c>
      <c r="H616" s="80" t="str">
        <f ca="1">IFERROR(__xludf.DUMMYFUNCTION("""COMPUTED_VALUE"""),"F")</f>
        <v>F</v>
      </c>
      <c r="I616" s="80">
        <f ca="1">IFERROR(__xludf.DUMMYFUNCTION("""COMPUTED_VALUE"""),6)</f>
        <v>6</v>
      </c>
      <c r="J616" s="81">
        <f ca="1">IFERROR(__xludf.DUMMYFUNCTION("""COMPUTED_VALUE"""),4)</f>
        <v>4</v>
      </c>
      <c r="K616" s="81">
        <f ca="1">IFERROR(__xludf.DUMMYFUNCTION("""COMPUTED_VALUE"""),110.6)</f>
        <v>110.6</v>
      </c>
      <c r="L616" s="81">
        <f ca="1">IFERROR(__xludf.DUMMYFUNCTION("""COMPUTED_VALUE"""),101.05)</f>
        <v>101.05</v>
      </c>
      <c r="M616" s="81"/>
      <c r="N616" s="81">
        <f ca="1">IFERROR(__xludf.DUMMYFUNCTION("""COMPUTED_VALUE"""),90.85)</f>
        <v>90.85</v>
      </c>
      <c r="O616" s="81"/>
      <c r="P616" s="81">
        <f ca="1">IFERROR(__xludf.DUMMYFUNCTION("""COMPUTED_VALUE"""),103.9)</f>
        <v>103.9</v>
      </c>
      <c r="Q616" s="81"/>
      <c r="R616" s="81">
        <f ca="1">IFERROR(__xludf.DUMMYFUNCTION("""COMPUTED_VALUE"""),110.6)</f>
        <v>110.6</v>
      </c>
      <c r="S616" s="81"/>
      <c r="T616" s="81"/>
      <c r="U616" s="82"/>
      <c r="V616" s="82"/>
      <c r="W616" s="83"/>
      <c r="X616" s="83"/>
      <c r="Y616" s="83"/>
    </row>
    <row r="617" spans="1:25" ht="13.8">
      <c r="A617" s="78" t="str">
        <f ca="1">IFERROR(__xludf.DUMMYFUNCTION("""COMPUTED_VALUE"""),"F")</f>
        <v>F</v>
      </c>
      <c r="B617" s="79" t="str">
        <f ca="1">IFERROR(__xludf.DUMMYFUNCTION("""COMPUTED_VALUE"""),"Nesrine Harrache")</f>
        <v>Nesrine Harrache</v>
      </c>
      <c r="C617" s="78">
        <f ca="1">IFERROR(__xludf.DUMMYFUNCTION("""COMPUTED_VALUE"""),13)</f>
        <v>13</v>
      </c>
      <c r="D617" s="78" t="str">
        <f ca="1">IFERROR(__xludf.DUMMYFUNCTION("""COMPUTED_VALUE"""),"G")</f>
        <v>G</v>
      </c>
      <c r="E617" s="80" t="str">
        <f ca="1">IFERROR(__xludf.DUMMYFUNCTION("""COMPUTED_VALUE"""),"I")</f>
        <v>I</v>
      </c>
      <c r="F617" s="80" t="str">
        <f ca="1">IFERROR(__xludf.DUMMYFUNCTION("""COMPUTED_VALUE"""),"S")</f>
        <v>S</v>
      </c>
      <c r="G617" s="80">
        <f ca="1">IFERROR(__xludf.DUMMYFUNCTION("""COMPUTED_VALUE"""),2)</f>
        <v>2</v>
      </c>
      <c r="H617" s="80" t="str">
        <f ca="1">IFERROR(__xludf.DUMMYFUNCTION("""COMPUTED_VALUE"""),"F")</f>
        <v>F</v>
      </c>
      <c r="I617" s="80">
        <f ca="1">IFERROR(__xludf.DUMMYFUNCTION("""COMPUTED_VALUE"""),6)</f>
        <v>6</v>
      </c>
      <c r="J617" s="81">
        <f ca="1">IFERROR(__xludf.DUMMYFUNCTION("""COMPUTED_VALUE"""),0)</f>
        <v>0</v>
      </c>
      <c r="K617" s="81">
        <f ca="1">IFERROR(__xludf.DUMMYFUNCTION("""COMPUTED_VALUE"""),0)</f>
        <v>0</v>
      </c>
      <c r="L617" s="81">
        <f ca="1">IFERROR(__xludf.DUMMYFUNCTION("""COMPUTED_VALUE"""),0)</f>
        <v>0</v>
      </c>
      <c r="M617" s="81"/>
      <c r="N617" s="81">
        <f ca="1">IFERROR(__xludf.DUMMYFUNCTION("""COMPUTED_VALUE"""),0)</f>
        <v>0</v>
      </c>
      <c r="O617" s="81"/>
      <c r="P617" s="81">
        <f ca="1">IFERROR(__xludf.DUMMYFUNCTION("""COMPUTED_VALUE"""),0)</f>
        <v>0</v>
      </c>
      <c r="Q617" s="81"/>
      <c r="R617" s="81">
        <f ca="1">IFERROR(__xludf.DUMMYFUNCTION("""COMPUTED_VALUE"""),0)</f>
        <v>0</v>
      </c>
      <c r="S617" s="81"/>
      <c r="T617" s="81"/>
      <c r="U617" s="82"/>
      <c r="V617" s="82"/>
      <c r="W617" s="83"/>
      <c r="X617" s="83"/>
      <c r="Y617" s="83"/>
    </row>
    <row r="618" spans="1:25" ht="13.8">
      <c r="A618" s="78" t="str">
        <f ca="1">IFERROR(__xludf.DUMMYFUNCTION("""COMPUTED_VALUE"""),"F")</f>
        <v>F</v>
      </c>
      <c r="B618" s="79" t="str">
        <f ca="1">IFERROR(__xludf.DUMMYFUNCTION("""COMPUTED_VALUE"""),"Alexa Haynie")</f>
        <v>Alexa Haynie</v>
      </c>
      <c r="C618" s="78">
        <f ca="1">IFERROR(__xludf.DUMMYFUNCTION("""COMPUTED_VALUE"""),14)</f>
        <v>14</v>
      </c>
      <c r="D618" s="78" t="str">
        <f ca="1">IFERROR(__xludf.DUMMYFUNCTION("""COMPUTED_VALUE"""),"G")</f>
        <v>G</v>
      </c>
      <c r="E618" s="80" t="str">
        <f ca="1">IFERROR(__xludf.DUMMYFUNCTION("""COMPUTED_VALUE"""),"I")</f>
        <v>I</v>
      </c>
      <c r="F618" s="80" t="str">
        <f ca="1">IFERROR(__xludf.DUMMYFUNCTION("""COMPUTED_VALUE"""),"S")</f>
        <v>S</v>
      </c>
      <c r="G618" s="80">
        <f ca="1">IFERROR(__xludf.DUMMYFUNCTION("""COMPUTED_VALUE"""),2)</f>
        <v>2</v>
      </c>
      <c r="H618" s="80" t="str">
        <f ca="1">IFERROR(__xludf.DUMMYFUNCTION("""COMPUTED_VALUE"""),"F")</f>
        <v>F</v>
      </c>
      <c r="I618" s="80">
        <f ca="1">IFERROR(__xludf.DUMMYFUNCTION("""COMPUTED_VALUE"""),6)</f>
        <v>6</v>
      </c>
      <c r="J618" s="81">
        <f ca="1">IFERROR(__xludf.DUMMYFUNCTION("""COMPUTED_VALUE"""),5)</f>
        <v>5</v>
      </c>
      <c r="K618" s="81">
        <f ca="1">IFERROR(__xludf.DUMMYFUNCTION("""COMPUTED_VALUE"""),137.9)</f>
        <v>137.9</v>
      </c>
      <c r="L618" s="81">
        <f ca="1">IFERROR(__xludf.DUMMYFUNCTION("""COMPUTED_VALUE"""),127.5)</f>
        <v>127.5</v>
      </c>
      <c r="M618" s="81"/>
      <c r="N618" s="81">
        <f ca="1">IFERROR(__xludf.DUMMYFUNCTION("""COMPUTED_VALUE"""),117)</f>
        <v>117</v>
      </c>
      <c r="O618" s="81"/>
      <c r="P618" s="81">
        <f ca="1">IFERROR(__xludf.DUMMYFUNCTION("""COMPUTED_VALUE"""),108.65)</f>
        <v>108.65</v>
      </c>
      <c r="Q618" s="81"/>
      <c r="R618" s="81">
        <f ca="1">IFERROR(__xludf.DUMMYFUNCTION("""COMPUTED_VALUE"""),137.9)</f>
        <v>137.9</v>
      </c>
      <c r="S618" s="81"/>
      <c r="T618" s="81"/>
      <c r="U618" s="82"/>
      <c r="V618" s="82"/>
      <c r="W618" s="83"/>
      <c r="X618" s="83"/>
      <c r="Y618" s="83"/>
    </row>
    <row r="619" spans="1:25" ht="13.8">
      <c r="A619" s="78" t="str">
        <f ca="1">IFERROR(__xludf.DUMMYFUNCTION("""COMPUTED_VALUE"""),"F")</f>
        <v>F</v>
      </c>
      <c r="B619" s="79" t="str">
        <f ca="1">IFERROR(__xludf.DUMMYFUNCTION("""COMPUTED_VALUE"""),"Keri Hough")</f>
        <v>Keri Hough</v>
      </c>
      <c r="C619" s="78">
        <f ca="1">IFERROR(__xludf.DUMMYFUNCTION("""COMPUTED_VALUE"""),13)</f>
        <v>13</v>
      </c>
      <c r="D619" s="78" t="str">
        <f ca="1">IFERROR(__xludf.DUMMYFUNCTION("""COMPUTED_VALUE"""),"G")</f>
        <v>G</v>
      </c>
      <c r="E619" s="80" t="str">
        <f ca="1">IFERROR(__xludf.DUMMYFUNCTION("""COMPUTED_VALUE"""),"I")</f>
        <v>I</v>
      </c>
      <c r="F619" s="80" t="str">
        <f ca="1">IFERROR(__xludf.DUMMYFUNCTION("""COMPUTED_VALUE"""),"S")</f>
        <v>S</v>
      </c>
      <c r="G619" s="80">
        <f ca="1">IFERROR(__xludf.DUMMYFUNCTION("""COMPUTED_VALUE"""),2)</f>
        <v>2</v>
      </c>
      <c r="H619" s="80" t="str">
        <f ca="1">IFERROR(__xludf.DUMMYFUNCTION("""COMPUTED_VALUE"""),"F")</f>
        <v>F</v>
      </c>
      <c r="I619" s="80">
        <f ca="1">IFERROR(__xludf.DUMMYFUNCTION("""COMPUTED_VALUE"""),6)</f>
        <v>6</v>
      </c>
      <c r="J619" s="81">
        <f ca="1">IFERROR(__xludf.DUMMYFUNCTION("""COMPUTED_VALUE"""),5)</f>
        <v>5</v>
      </c>
      <c r="K619" s="81">
        <f ca="1">IFERROR(__xludf.DUMMYFUNCTION("""COMPUTED_VALUE"""),148.4)</f>
        <v>148.4</v>
      </c>
      <c r="L619" s="81">
        <f ca="1">IFERROR(__xludf.DUMMYFUNCTION("""COMPUTED_VALUE"""),124.05)</f>
        <v>124.05</v>
      </c>
      <c r="M619" s="81"/>
      <c r="N619" s="81">
        <f ca="1">IFERROR(__xludf.DUMMYFUNCTION("""COMPUTED_VALUE"""),120.5)</f>
        <v>120.5</v>
      </c>
      <c r="O619" s="81"/>
      <c r="P619" s="81">
        <f ca="1">IFERROR(__xludf.DUMMYFUNCTION("""COMPUTED_VALUE"""),123.95)</f>
        <v>123.95</v>
      </c>
      <c r="Q619" s="81"/>
      <c r="R619" s="81">
        <f ca="1">IFERROR(__xludf.DUMMYFUNCTION("""COMPUTED_VALUE"""),148.4)</f>
        <v>148.4</v>
      </c>
      <c r="S619" s="81"/>
      <c r="T619" s="81"/>
      <c r="U619" s="82"/>
      <c r="V619" s="82"/>
      <c r="W619" s="83"/>
      <c r="X619" s="83"/>
      <c r="Y619" s="83"/>
    </row>
    <row r="620" spans="1:25" ht="13.8">
      <c r="A620" s="78" t="str">
        <f ca="1">IFERROR(__xludf.DUMMYFUNCTION("""COMPUTED_VALUE"""),"F")</f>
        <v>F</v>
      </c>
      <c r="B620" s="79" t="str">
        <f ca="1">IFERROR(__xludf.DUMMYFUNCTION("""COMPUTED_VALUE"""),"Kamryn Kaye")</f>
        <v>Kamryn Kaye</v>
      </c>
      <c r="C620" s="78">
        <f ca="1">IFERROR(__xludf.DUMMYFUNCTION("""COMPUTED_VALUE"""),14)</f>
        <v>14</v>
      </c>
      <c r="D620" s="78" t="str">
        <f ca="1">IFERROR(__xludf.DUMMYFUNCTION("""COMPUTED_VALUE"""),"G")</f>
        <v>G</v>
      </c>
      <c r="E620" s="80" t="str">
        <f ca="1">IFERROR(__xludf.DUMMYFUNCTION("""COMPUTED_VALUE"""),"I")</f>
        <v>I</v>
      </c>
      <c r="F620" s="80" t="str">
        <f ca="1">IFERROR(__xludf.DUMMYFUNCTION("""COMPUTED_VALUE"""),"S")</f>
        <v>S</v>
      </c>
      <c r="G620" s="80">
        <f ca="1">IFERROR(__xludf.DUMMYFUNCTION("""COMPUTED_VALUE"""),2)</f>
        <v>2</v>
      </c>
      <c r="H620" s="80" t="str">
        <f ca="1">IFERROR(__xludf.DUMMYFUNCTION("""COMPUTED_VALUE"""),"F")</f>
        <v>F</v>
      </c>
      <c r="I620" s="80">
        <f ca="1">IFERROR(__xludf.DUMMYFUNCTION("""COMPUTED_VALUE"""),6)</f>
        <v>6</v>
      </c>
      <c r="J620" s="81">
        <f ca="1">IFERROR(__xludf.DUMMYFUNCTION("""COMPUTED_VALUE"""),5)</f>
        <v>5</v>
      </c>
      <c r="K620" s="81">
        <f ca="1">IFERROR(__xludf.DUMMYFUNCTION("""COMPUTED_VALUE"""),114.45)</f>
        <v>114.45</v>
      </c>
      <c r="L620" s="81">
        <f ca="1">IFERROR(__xludf.DUMMYFUNCTION("""COMPUTED_VALUE"""),106.15)</f>
        <v>106.15</v>
      </c>
      <c r="M620" s="81"/>
      <c r="N620" s="81">
        <f ca="1">IFERROR(__xludf.DUMMYFUNCTION("""COMPUTED_VALUE"""),85.65)</f>
        <v>85.65</v>
      </c>
      <c r="O620" s="81"/>
      <c r="P620" s="81">
        <f ca="1">IFERROR(__xludf.DUMMYFUNCTION("""COMPUTED_VALUE"""),105.3)</f>
        <v>105.3</v>
      </c>
      <c r="Q620" s="81"/>
      <c r="R620" s="81">
        <f ca="1">IFERROR(__xludf.DUMMYFUNCTION("""COMPUTED_VALUE"""),114.45)</f>
        <v>114.45</v>
      </c>
      <c r="S620" s="81"/>
      <c r="T620" s="81"/>
      <c r="U620" s="82"/>
      <c r="V620" s="82"/>
      <c r="W620" s="83"/>
      <c r="X620" s="83"/>
      <c r="Y620" s="83"/>
    </row>
    <row r="621" spans="1:25" ht="13.8">
      <c r="A621" s="78" t="str">
        <f ca="1">IFERROR(__xludf.DUMMYFUNCTION("""COMPUTED_VALUE"""),"F")</f>
        <v>F</v>
      </c>
      <c r="B621" s="79" t="str">
        <f ca="1">IFERROR(__xludf.DUMMYFUNCTION("""COMPUTED_VALUE"""),"Eve McLaury")</f>
        <v>Eve McLaury</v>
      </c>
      <c r="C621" s="78">
        <f ca="1">IFERROR(__xludf.DUMMYFUNCTION("""COMPUTED_VALUE"""),14)</f>
        <v>14</v>
      </c>
      <c r="D621" s="78" t="str">
        <f ca="1">IFERROR(__xludf.DUMMYFUNCTION("""COMPUTED_VALUE"""),"G")</f>
        <v>G</v>
      </c>
      <c r="E621" s="80" t="str">
        <f ca="1">IFERROR(__xludf.DUMMYFUNCTION("""COMPUTED_VALUE"""),"I")</f>
        <v>I</v>
      </c>
      <c r="F621" s="80" t="str">
        <f ca="1">IFERROR(__xludf.DUMMYFUNCTION("""COMPUTED_VALUE"""),"S")</f>
        <v>S</v>
      </c>
      <c r="G621" s="80">
        <f ca="1">IFERROR(__xludf.DUMMYFUNCTION("""COMPUTED_VALUE"""),2)</f>
        <v>2</v>
      </c>
      <c r="H621" s="80" t="str">
        <f ca="1">IFERROR(__xludf.DUMMYFUNCTION("""COMPUTED_VALUE"""),"F")</f>
        <v>F</v>
      </c>
      <c r="I621" s="80">
        <f ca="1">IFERROR(__xludf.DUMMYFUNCTION("""COMPUTED_VALUE"""),6)</f>
        <v>6</v>
      </c>
      <c r="J621" s="81">
        <f ca="1">IFERROR(__xludf.DUMMYFUNCTION("""COMPUTED_VALUE"""),3)</f>
        <v>3</v>
      </c>
      <c r="K621" s="81">
        <f ca="1">IFERROR(__xludf.DUMMYFUNCTION("""COMPUTED_VALUE"""),133.85)</f>
        <v>133.85</v>
      </c>
      <c r="L621" s="81">
        <f ca="1">IFERROR(__xludf.DUMMYFUNCTION("""COMPUTED_VALUE"""),0)</f>
        <v>0</v>
      </c>
      <c r="M621" s="81"/>
      <c r="N621" s="81">
        <f ca="1">IFERROR(__xludf.DUMMYFUNCTION("""COMPUTED_VALUE"""),0)</f>
        <v>0</v>
      </c>
      <c r="O621" s="81"/>
      <c r="P621" s="81">
        <f ca="1">IFERROR(__xludf.DUMMYFUNCTION("""COMPUTED_VALUE"""),107.4)</f>
        <v>107.4</v>
      </c>
      <c r="Q621" s="81"/>
      <c r="R621" s="81">
        <f ca="1">IFERROR(__xludf.DUMMYFUNCTION("""COMPUTED_VALUE"""),133.85)</f>
        <v>133.85</v>
      </c>
      <c r="S621" s="81"/>
      <c r="T621" s="81"/>
      <c r="U621" s="82"/>
      <c r="V621" s="82"/>
      <c r="W621" s="83"/>
      <c r="X621" s="83"/>
      <c r="Y621" s="83"/>
    </row>
    <row r="622" spans="1:25" ht="13.8">
      <c r="A622" s="78" t="str">
        <f ca="1">IFERROR(__xludf.DUMMYFUNCTION("""COMPUTED_VALUE"""),"F")</f>
        <v>F</v>
      </c>
      <c r="B622" s="79" t="str">
        <f ca="1">IFERROR(__xludf.DUMMYFUNCTION("""COMPUTED_VALUE"""),"Fiona Rice")</f>
        <v>Fiona Rice</v>
      </c>
      <c r="C622" s="78">
        <f ca="1">IFERROR(__xludf.DUMMYFUNCTION("""COMPUTED_VALUE"""),13)</f>
        <v>13</v>
      </c>
      <c r="D622" s="78" t="str">
        <f ca="1">IFERROR(__xludf.DUMMYFUNCTION("""COMPUTED_VALUE"""),"G")</f>
        <v>G</v>
      </c>
      <c r="E622" s="80" t="str">
        <f ca="1">IFERROR(__xludf.DUMMYFUNCTION("""COMPUTED_VALUE"""),"I")</f>
        <v>I</v>
      </c>
      <c r="F622" s="80" t="str">
        <f ca="1">IFERROR(__xludf.DUMMYFUNCTION("""COMPUTED_VALUE"""),"S")</f>
        <v>S</v>
      </c>
      <c r="G622" s="80">
        <f ca="1">IFERROR(__xludf.DUMMYFUNCTION("""COMPUTED_VALUE"""),2)</f>
        <v>2</v>
      </c>
      <c r="H622" s="80" t="str">
        <f ca="1">IFERROR(__xludf.DUMMYFUNCTION("""COMPUTED_VALUE"""),"F")</f>
        <v>F</v>
      </c>
      <c r="I622" s="80">
        <f ca="1">IFERROR(__xludf.DUMMYFUNCTION("""COMPUTED_VALUE"""),6)</f>
        <v>6</v>
      </c>
      <c r="J622" s="81">
        <f ca="1">IFERROR(__xludf.DUMMYFUNCTION("""COMPUTED_VALUE"""),0)</f>
        <v>0</v>
      </c>
      <c r="K622" s="81">
        <f ca="1">IFERROR(__xludf.DUMMYFUNCTION("""COMPUTED_VALUE"""),0)</f>
        <v>0</v>
      </c>
      <c r="L622" s="81">
        <f ca="1">IFERROR(__xludf.DUMMYFUNCTION("""COMPUTED_VALUE"""),0)</f>
        <v>0</v>
      </c>
      <c r="M622" s="81"/>
      <c r="N622" s="81">
        <f ca="1">IFERROR(__xludf.DUMMYFUNCTION("""COMPUTED_VALUE"""),0)</f>
        <v>0</v>
      </c>
      <c r="O622" s="81"/>
      <c r="P622" s="81">
        <f ca="1">IFERROR(__xludf.DUMMYFUNCTION("""COMPUTED_VALUE"""),0)</f>
        <v>0</v>
      </c>
      <c r="Q622" s="81"/>
      <c r="R622" s="81">
        <f ca="1">IFERROR(__xludf.DUMMYFUNCTION("""COMPUTED_VALUE"""),0)</f>
        <v>0</v>
      </c>
      <c r="S622" s="81"/>
      <c r="T622" s="81"/>
      <c r="U622" s="82"/>
      <c r="V622" s="82"/>
      <c r="W622" s="83"/>
      <c r="X622" s="83"/>
      <c r="Y622" s="83"/>
    </row>
    <row r="623" spans="1:25" ht="13.8">
      <c r="A623" s="78" t="str">
        <f ca="1">IFERROR(__xludf.DUMMYFUNCTION("""COMPUTED_VALUE"""),"F")</f>
        <v>F</v>
      </c>
      <c r="B623" s="79" t="str">
        <f ca="1">IFERROR(__xludf.DUMMYFUNCTION("""COMPUTED_VALUE"""),"Katie Wilson")</f>
        <v>Katie Wilson</v>
      </c>
      <c r="C623" s="78">
        <f ca="1">IFERROR(__xludf.DUMMYFUNCTION("""COMPUTED_VALUE"""),13)</f>
        <v>13</v>
      </c>
      <c r="D623" s="78" t="str">
        <f ca="1">IFERROR(__xludf.DUMMYFUNCTION("""COMPUTED_VALUE"""),"G")</f>
        <v>G</v>
      </c>
      <c r="E623" s="80" t="str">
        <f ca="1">IFERROR(__xludf.DUMMYFUNCTION("""COMPUTED_VALUE"""),"I")</f>
        <v>I</v>
      </c>
      <c r="F623" s="80" t="str">
        <f ca="1">IFERROR(__xludf.DUMMYFUNCTION("""COMPUTED_VALUE"""),"S")</f>
        <v>S</v>
      </c>
      <c r="G623" s="80">
        <f ca="1">IFERROR(__xludf.DUMMYFUNCTION("""COMPUTED_VALUE"""),2)</f>
        <v>2</v>
      </c>
      <c r="H623" s="80" t="str">
        <f ca="1">IFERROR(__xludf.DUMMYFUNCTION("""COMPUTED_VALUE"""),"F")</f>
        <v>F</v>
      </c>
      <c r="I623" s="80">
        <f ca="1">IFERROR(__xludf.DUMMYFUNCTION("""COMPUTED_VALUE"""),6)</f>
        <v>6</v>
      </c>
      <c r="J623" s="81">
        <f ca="1">IFERROR(__xludf.DUMMYFUNCTION("""COMPUTED_VALUE"""),4)</f>
        <v>4</v>
      </c>
      <c r="K623" s="81">
        <f ca="1">IFERROR(__xludf.DUMMYFUNCTION("""COMPUTED_VALUE"""),106.35)</f>
        <v>106.35</v>
      </c>
      <c r="L623" s="81">
        <f ca="1">IFERROR(__xludf.DUMMYFUNCTION("""COMPUTED_VALUE"""),106.35)</f>
        <v>106.35</v>
      </c>
      <c r="M623" s="81"/>
      <c r="N623" s="81">
        <f ca="1">IFERROR(__xludf.DUMMYFUNCTION("""COMPUTED_VALUE"""),86.55)</f>
        <v>86.55</v>
      </c>
      <c r="O623" s="81"/>
      <c r="P623" s="81">
        <f ca="1">IFERROR(__xludf.DUMMYFUNCTION("""COMPUTED_VALUE"""),94.8)</f>
        <v>94.8</v>
      </c>
      <c r="Q623" s="81"/>
      <c r="R623" s="81">
        <f ca="1">IFERROR(__xludf.DUMMYFUNCTION("""COMPUTED_VALUE"""),0)</f>
        <v>0</v>
      </c>
      <c r="S623" s="81"/>
      <c r="T623" s="81"/>
      <c r="U623" s="82"/>
      <c r="V623" s="82"/>
      <c r="W623" s="83"/>
      <c r="X623" s="83"/>
      <c r="Y623" s="83"/>
    </row>
    <row r="624" spans="1:25" ht="13.8">
      <c r="A624" s="78" t="str">
        <f ca="1">IFERROR(__xludf.DUMMYFUNCTION("""COMPUTED_VALUE"""),"F")</f>
        <v>F</v>
      </c>
      <c r="B624" s="79" t="str">
        <f ca="1">IFERROR(__xludf.DUMMYFUNCTION("""COMPUTED_VALUE"""),"Mikey Stechl")</f>
        <v>Mikey Stechl</v>
      </c>
      <c r="C624" s="78">
        <f ca="1">IFERROR(__xludf.DUMMYFUNCTION("""COMPUTED_VALUE"""),13)</f>
        <v>13</v>
      </c>
      <c r="D624" s="78" t="str">
        <f ca="1">IFERROR(__xludf.DUMMYFUNCTION("""COMPUTED_VALUE"""),"B")</f>
        <v>B</v>
      </c>
      <c r="E624" s="80" t="str">
        <f ca="1">IFERROR(__xludf.DUMMYFUNCTION("""COMPUTED_VALUE"""),"I")</f>
        <v>I</v>
      </c>
      <c r="F624" s="80" t="str">
        <f ca="1">IFERROR(__xludf.DUMMYFUNCTION("""COMPUTED_VALUE"""),"S")</f>
        <v>S</v>
      </c>
      <c r="G624" s="80">
        <f ca="1">IFERROR(__xludf.DUMMYFUNCTION("""COMPUTED_VALUE"""),2)</f>
        <v>2</v>
      </c>
      <c r="H624" s="80" t="str">
        <f ca="1">IFERROR(__xludf.DUMMYFUNCTION("""COMPUTED_VALUE"""),"F")</f>
        <v>F</v>
      </c>
      <c r="I624" s="80">
        <f ca="1">IFERROR(__xludf.DUMMYFUNCTION("""COMPUTED_VALUE"""),7)</f>
        <v>7</v>
      </c>
      <c r="J624" s="81">
        <f ca="1">IFERROR(__xludf.DUMMYFUNCTION("""COMPUTED_VALUE"""),3)</f>
        <v>3</v>
      </c>
      <c r="K624" s="81">
        <f ca="1">IFERROR(__xludf.DUMMYFUNCTION("""COMPUTED_VALUE"""),102.9)</f>
        <v>102.9</v>
      </c>
      <c r="L624" s="81">
        <f ca="1">IFERROR(__xludf.DUMMYFUNCTION("""COMPUTED_VALUE"""),0)</f>
        <v>0</v>
      </c>
      <c r="M624" s="81"/>
      <c r="N624" s="81">
        <f ca="1">IFERROR(__xludf.DUMMYFUNCTION("""COMPUTED_VALUE"""),93.7)</f>
        <v>93.7</v>
      </c>
      <c r="O624" s="81"/>
      <c r="P624" s="81">
        <f ca="1">IFERROR(__xludf.DUMMYFUNCTION("""COMPUTED_VALUE"""),102.9)</f>
        <v>102.9</v>
      </c>
      <c r="Q624" s="81"/>
      <c r="R624" s="81">
        <f ca="1">IFERROR(__xludf.DUMMYFUNCTION("""COMPUTED_VALUE"""),0)</f>
        <v>0</v>
      </c>
      <c r="S624" s="81"/>
      <c r="T624" s="81"/>
      <c r="U624" s="82"/>
      <c r="V624" s="82"/>
      <c r="W624" s="83"/>
      <c r="X624" s="83"/>
      <c r="Y624" s="83"/>
    </row>
    <row r="625" spans="1:25" ht="13.8">
      <c r="A625" s="78" t="str">
        <f ca="1">IFERROR(__xludf.DUMMYFUNCTION("""COMPUTED_VALUE"""),"F")</f>
        <v>F</v>
      </c>
      <c r="B625" s="79" t="str">
        <f ca="1">IFERROR(__xludf.DUMMYFUNCTION("""COMPUTED_VALUE"""),"Wade Winslow")</f>
        <v>Wade Winslow</v>
      </c>
      <c r="C625" s="78">
        <f ca="1">IFERROR(__xludf.DUMMYFUNCTION("""COMPUTED_VALUE"""),13)</f>
        <v>13</v>
      </c>
      <c r="D625" s="78" t="str">
        <f ca="1">IFERROR(__xludf.DUMMYFUNCTION("""COMPUTED_VALUE"""),"B")</f>
        <v>B</v>
      </c>
      <c r="E625" s="80" t="str">
        <f ca="1">IFERROR(__xludf.DUMMYFUNCTION("""COMPUTED_VALUE"""),"I")</f>
        <v>I</v>
      </c>
      <c r="F625" s="80" t="str">
        <f ca="1">IFERROR(__xludf.DUMMYFUNCTION("""COMPUTED_VALUE"""),"S")</f>
        <v>S</v>
      </c>
      <c r="G625" s="80">
        <f ca="1">IFERROR(__xludf.DUMMYFUNCTION("""COMPUTED_VALUE"""),2)</f>
        <v>2</v>
      </c>
      <c r="H625" s="80" t="str">
        <f ca="1">IFERROR(__xludf.DUMMYFUNCTION("""COMPUTED_VALUE"""),"F")</f>
        <v>F</v>
      </c>
      <c r="I625" s="80">
        <f ca="1">IFERROR(__xludf.DUMMYFUNCTION("""COMPUTED_VALUE"""),7)</f>
        <v>7</v>
      </c>
      <c r="J625" s="81">
        <f ca="1">IFERROR(__xludf.DUMMYFUNCTION("""COMPUTED_VALUE"""),2)</f>
        <v>2</v>
      </c>
      <c r="K625" s="81">
        <f ca="1">IFERROR(__xludf.DUMMYFUNCTION("""COMPUTED_VALUE"""),103.5)</f>
        <v>103.5</v>
      </c>
      <c r="L625" s="81">
        <f ca="1">IFERROR(__xludf.DUMMYFUNCTION("""COMPUTED_VALUE"""),0)</f>
        <v>0</v>
      </c>
      <c r="M625" s="81"/>
      <c r="N625" s="81">
        <f ca="1">IFERROR(__xludf.DUMMYFUNCTION("""COMPUTED_VALUE"""),0)</f>
        <v>0</v>
      </c>
      <c r="O625" s="81"/>
      <c r="P625" s="81">
        <f ca="1">IFERROR(__xludf.DUMMYFUNCTION("""COMPUTED_VALUE"""),103.5)</f>
        <v>103.5</v>
      </c>
      <c r="Q625" s="81"/>
      <c r="R625" s="81">
        <f ca="1">IFERROR(__xludf.DUMMYFUNCTION("""COMPUTED_VALUE"""),101.6)</f>
        <v>101.6</v>
      </c>
      <c r="S625" s="81"/>
      <c r="T625" s="81"/>
      <c r="U625" s="82"/>
      <c r="V625" s="82"/>
      <c r="W625" s="83"/>
      <c r="X625" s="83"/>
      <c r="Y625" s="83"/>
    </row>
    <row r="626" spans="1:25" ht="13.8">
      <c r="A626" s="78" t="str">
        <f ca="1">IFERROR(__xludf.DUMMYFUNCTION("""COMPUTED_VALUE"""),"F")</f>
        <v>F</v>
      </c>
      <c r="B626" s="79" t="str">
        <f ca="1">IFERROR(__xludf.DUMMYFUNCTION("""COMPUTED_VALUE"""),"Greer Dempster")</f>
        <v>Greer Dempster</v>
      </c>
      <c r="C626" s="78">
        <f ca="1">IFERROR(__xludf.DUMMYFUNCTION("""COMPUTED_VALUE"""),15)</f>
        <v>15</v>
      </c>
      <c r="D626" s="78" t="str">
        <f ca="1">IFERROR(__xludf.DUMMYFUNCTION("""COMPUTED_VALUE"""),"G")</f>
        <v>G</v>
      </c>
      <c r="E626" s="80" t="str">
        <f ca="1">IFERROR(__xludf.DUMMYFUNCTION("""COMPUTED_VALUE"""),"S")</f>
        <v>S</v>
      </c>
      <c r="F626" s="80" t="str">
        <f ca="1">IFERROR(__xludf.DUMMYFUNCTION("""COMPUTED_VALUE"""),"S")</f>
        <v>S</v>
      </c>
      <c r="G626" s="80">
        <f ca="1">IFERROR(__xludf.DUMMYFUNCTION("""COMPUTED_VALUE"""),2)</f>
        <v>2</v>
      </c>
      <c r="H626" s="80" t="str">
        <f ca="1">IFERROR(__xludf.DUMMYFUNCTION("""COMPUTED_VALUE"""),"F")</f>
        <v>F</v>
      </c>
      <c r="I626" s="80">
        <f ca="1">IFERROR(__xludf.DUMMYFUNCTION("""COMPUTED_VALUE"""),8)</f>
        <v>8</v>
      </c>
      <c r="J626" s="81">
        <f ca="1">IFERROR(__xludf.DUMMYFUNCTION("""COMPUTED_VALUE"""),3)</f>
        <v>3</v>
      </c>
      <c r="K626" s="81">
        <f ca="1">IFERROR(__xludf.DUMMYFUNCTION("""COMPUTED_VALUE"""),142.75)</f>
        <v>142.75</v>
      </c>
      <c r="L626" s="81">
        <f ca="1">IFERROR(__xludf.DUMMYFUNCTION("""COMPUTED_VALUE"""),0)</f>
        <v>0</v>
      </c>
      <c r="M626" s="81"/>
      <c r="N626" s="81">
        <f ca="1">IFERROR(__xludf.DUMMYFUNCTION("""COMPUTED_VALUE"""),123.4)</f>
        <v>123.4</v>
      </c>
      <c r="O626" s="81"/>
      <c r="P626" s="81">
        <f ca="1">IFERROR(__xludf.DUMMYFUNCTION("""COMPUTED_VALUE"""),0)</f>
        <v>0</v>
      </c>
      <c r="Q626" s="81"/>
      <c r="R626" s="81">
        <f ca="1">IFERROR(__xludf.DUMMYFUNCTION("""COMPUTED_VALUE"""),142.75)</f>
        <v>142.75</v>
      </c>
      <c r="S626" s="81"/>
      <c r="T626" s="81"/>
      <c r="U626" s="82"/>
      <c r="V626" s="82"/>
      <c r="W626" s="83"/>
      <c r="X626" s="83"/>
      <c r="Y626" s="83"/>
    </row>
    <row r="627" spans="1:25" ht="13.8">
      <c r="A627" s="78" t="str">
        <f ca="1">IFERROR(__xludf.DUMMYFUNCTION("""COMPUTED_VALUE"""),"F")</f>
        <v>F</v>
      </c>
      <c r="B627" s="79" t="str">
        <f ca="1">IFERROR(__xludf.DUMMYFUNCTION("""COMPUTED_VALUE"""),"Yesmine Harrache")</f>
        <v>Yesmine Harrache</v>
      </c>
      <c r="C627" s="78">
        <f ca="1">IFERROR(__xludf.DUMMYFUNCTION("""COMPUTED_VALUE"""),16)</f>
        <v>16</v>
      </c>
      <c r="D627" s="78" t="str">
        <f ca="1">IFERROR(__xludf.DUMMYFUNCTION("""COMPUTED_VALUE"""),"G")</f>
        <v>G</v>
      </c>
      <c r="E627" s="80" t="str">
        <f ca="1">IFERROR(__xludf.DUMMYFUNCTION("""COMPUTED_VALUE"""),"S")</f>
        <v>S</v>
      </c>
      <c r="F627" s="80" t="str">
        <f ca="1">IFERROR(__xludf.DUMMYFUNCTION("""COMPUTED_VALUE"""),"S")</f>
        <v>S</v>
      </c>
      <c r="G627" s="80">
        <f ca="1">IFERROR(__xludf.DUMMYFUNCTION("""COMPUTED_VALUE"""),2)</f>
        <v>2</v>
      </c>
      <c r="H627" s="80" t="str">
        <f ca="1">IFERROR(__xludf.DUMMYFUNCTION("""COMPUTED_VALUE"""),"F")</f>
        <v>F</v>
      </c>
      <c r="I627" s="80">
        <f ca="1">IFERROR(__xludf.DUMMYFUNCTION("""COMPUTED_VALUE"""),8)</f>
        <v>8</v>
      </c>
      <c r="J627" s="81">
        <f ca="1">IFERROR(__xludf.DUMMYFUNCTION("""COMPUTED_VALUE"""),5)</f>
        <v>5</v>
      </c>
      <c r="K627" s="81">
        <f ca="1">IFERROR(__xludf.DUMMYFUNCTION("""COMPUTED_VALUE"""),140.3)</f>
        <v>140.30000000000001</v>
      </c>
      <c r="L627" s="81">
        <f ca="1">IFERROR(__xludf.DUMMYFUNCTION("""COMPUTED_VALUE"""),120.25)</f>
        <v>120.25</v>
      </c>
      <c r="M627" s="81"/>
      <c r="N627" s="81">
        <f ca="1">IFERROR(__xludf.DUMMYFUNCTION("""COMPUTED_VALUE"""),128.35)</f>
        <v>128.35</v>
      </c>
      <c r="O627" s="81"/>
      <c r="P627" s="81">
        <f ca="1">IFERROR(__xludf.DUMMYFUNCTION("""COMPUTED_VALUE"""),124.8)</f>
        <v>124.8</v>
      </c>
      <c r="Q627" s="81"/>
      <c r="R627" s="81">
        <f ca="1">IFERROR(__xludf.DUMMYFUNCTION("""COMPUTED_VALUE"""),140.3)</f>
        <v>140.30000000000001</v>
      </c>
      <c r="S627" s="81"/>
      <c r="T627" s="81"/>
      <c r="U627" s="82"/>
      <c r="V627" s="82"/>
      <c r="W627" s="83"/>
      <c r="X627" s="83"/>
      <c r="Y627" s="83"/>
    </row>
    <row r="628" spans="1:25" ht="13.8">
      <c r="A628" s="78" t="str">
        <f ca="1">IFERROR(__xludf.DUMMYFUNCTION("""COMPUTED_VALUE"""),"F")</f>
        <v>F</v>
      </c>
      <c r="B628" s="79" t="str">
        <f ca="1">IFERROR(__xludf.DUMMYFUNCTION("""COMPUTED_VALUE"""),"Faith Hoyle")</f>
        <v>Faith Hoyle</v>
      </c>
      <c r="C628" s="78">
        <f ca="1">IFERROR(__xludf.DUMMYFUNCTION("""COMPUTED_VALUE"""),16)</f>
        <v>16</v>
      </c>
      <c r="D628" s="78" t="str">
        <f ca="1">IFERROR(__xludf.DUMMYFUNCTION("""COMPUTED_VALUE"""),"G")</f>
        <v>G</v>
      </c>
      <c r="E628" s="80" t="str">
        <f ca="1">IFERROR(__xludf.DUMMYFUNCTION("""COMPUTED_VALUE"""),"S")</f>
        <v>S</v>
      </c>
      <c r="F628" s="80" t="str">
        <f ca="1">IFERROR(__xludf.DUMMYFUNCTION("""COMPUTED_VALUE"""),"S")</f>
        <v>S</v>
      </c>
      <c r="G628" s="80">
        <f ca="1">IFERROR(__xludf.DUMMYFUNCTION("""COMPUTED_VALUE"""),2)</f>
        <v>2</v>
      </c>
      <c r="H628" s="80" t="str">
        <f ca="1">IFERROR(__xludf.DUMMYFUNCTION("""COMPUTED_VALUE"""),"F")</f>
        <v>F</v>
      </c>
      <c r="I628" s="80">
        <f ca="1">IFERROR(__xludf.DUMMYFUNCTION("""COMPUTED_VALUE"""),8)</f>
        <v>8</v>
      </c>
      <c r="J628" s="81">
        <f ca="1">IFERROR(__xludf.DUMMYFUNCTION("""COMPUTED_VALUE"""),0)</f>
        <v>0</v>
      </c>
      <c r="K628" s="81">
        <f ca="1">IFERROR(__xludf.DUMMYFUNCTION("""COMPUTED_VALUE"""),0)</f>
        <v>0</v>
      </c>
      <c r="L628" s="81">
        <f ca="1">IFERROR(__xludf.DUMMYFUNCTION("""COMPUTED_VALUE"""),0)</f>
        <v>0</v>
      </c>
      <c r="M628" s="81"/>
      <c r="N628" s="81">
        <f ca="1">IFERROR(__xludf.DUMMYFUNCTION("""COMPUTED_VALUE"""),0)</f>
        <v>0</v>
      </c>
      <c r="O628" s="81"/>
      <c r="P628" s="81">
        <f ca="1">IFERROR(__xludf.DUMMYFUNCTION("""COMPUTED_VALUE"""),0)</f>
        <v>0</v>
      </c>
      <c r="Q628" s="81"/>
      <c r="R628" s="81">
        <f ca="1">IFERROR(__xludf.DUMMYFUNCTION("""COMPUTED_VALUE"""),0)</f>
        <v>0</v>
      </c>
      <c r="S628" s="81"/>
      <c r="T628" s="81"/>
      <c r="U628" s="82"/>
      <c r="V628" s="82"/>
      <c r="W628" s="83"/>
      <c r="X628" s="83"/>
      <c r="Y628" s="83"/>
    </row>
    <row r="629" spans="1:25" ht="13.8">
      <c r="A629" s="78" t="str">
        <f ca="1">IFERROR(__xludf.DUMMYFUNCTION("""COMPUTED_VALUE"""),"F")</f>
        <v>F</v>
      </c>
      <c r="B629" s="79" t="str">
        <f ca="1">IFERROR(__xludf.DUMMYFUNCTION("""COMPUTED_VALUE"""),"Ellie Shriver")</f>
        <v>Ellie Shriver</v>
      </c>
      <c r="C629" s="78">
        <f ca="1">IFERROR(__xludf.DUMMYFUNCTION("""COMPUTED_VALUE"""),19)</f>
        <v>19</v>
      </c>
      <c r="D629" s="78" t="str">
        <f ca="1">IFERROR(__xludf.DUMMYFUNCTION("""COMPUTED_VALUE"""),"G")</f>
        <v>G</v>
      </c>
      <c r="E629" s="80" t="str">
        <f ca="1">IFERROR(__xludf.DUMMYFUNCTION("""COMPUTED_VALUE"""),"S")</f>
        <v>S</v>
      </c>
      <c r="F629" s="80" t="str">
        <f ca="1">IFERROR(__xludf.DUMMYFUNCTION("""COMPUTED_VALUE"""),"S")</f>
        <v>S</v>
      </c>
      <c r="G629" s="80">
        <f ca="1">IFERROR(__xludf.DUMMYFUNCTION("""COMPUTED_VALUE"""),2)</f>
        <v>2</v>
      </c>
      <c r="H629" s="80" t="str">
        <f ca="1">IFERROR(__xludf.DUMMYFUNCTION("""COMPUTED_VALUE"""),"F")</f>
        <v>F</v>
      </c>
      <c r="I629" s="80">
        <f ca="1">IFERROR(__xludf.DUMMYFUNCTION("""COMPUTED_VALUE"""),8)</f>
        <v>8</v>
      </c>
      <c r="J629" s="81">
        <f ca="1">IFERROR(__xludf.DUMMYFUNCTION("""COMPUTED_VALUE"""),4)</f>
        <v>4</v>
      </c>
      <c r="K629" s="81">
        <f ca="1">IFERROR(__xludf.DUMMYFUNCTION("""COMPUTED_VALUE"""),155.45)</f>
        <v>155.44999999999999</v>
      </c>
      <c r="L629" s="81">
        <f ca="1">IFERROR(__xludf.DUMMYFUNCTION("""COMPUTED_VALUE"""),155.45)</f>
        <v>155.44999999999999</v>
      </c>
      <c r="M629" s="81"/>
      <c r="N629" s="81">
        <f ca="1">IFERROR(__xludf.DUMMYFUNCTION("""COMPUTED_VALUE"""),134.2)</f>
        <v>134.19999999999999</v>
      </c>
      <c r="O629" s="81"/>
      <c r="P629" s="81">
        <f ca="1">IFERROR(__xludf.DUMMYFUNCTION("""COMPUTED_VALUE"""),141.9)</f>
        <v>141.9</v>
      </c>
      <c r="Q629" s="81"/>
      <c r="R629" s="81">
        <f ca="1">IFERROR(__xludf.DUMMYFUNCTION("""COMPUTED_VALUE"""),152.2)</f>
        <v>152.19999999999999</v>
      </c>
      <c r="S629" s="81"/>
      <c r="T629" s="81"/>
      <c r="U629" s="82"/>
      <c r="V629" s="82"/>
      <c r="W629" s="83"/>
      <c r="X629" s="83"/>
      <c r="Y629" s="83"/>
    </row>
    <row r="630" spans="1:25" ht="13.8">
      <c r="A630" s="78" t="str">
        <f ca="1">IFERROR(__xludf.DUMMYFUNCTION("""COMPUTED_VALUE"""),"F")</f>
        <v>F</v>
      </c>
      <c r="B630" s="79" t="str">
        <f ca="1">IFERROR(__xludf.DUMMYFUNCTION("""COMPUTED_VALUE"""),"Christian Anderson")</f>
        <v>Christian Anderson</v>
      </c>
      <c r="C630" s="78">
        <f ca="1">IFERROR(__xludf.DUMMYFUNCTION("""COMPUTED_VALUE"""),16)</f>
        <v>16</v>
      </c>
      <c r="D630" s="78" t="str">
        <f ca="1">IFERROR(__xludf.DUMMYFUNCTION("""COMPUTED_VALUE"""),"B")</f>
        <v>B</v>
      </c>
      <c r="E630" s="80" t="str">
        <f ca="1">IFERROR(__xludf.DUMMYFUNCTION("""COMPUTED_VALUE"""),"S")</f>
        <v>S</v>
      </c>
      <c r="F630" s="80" t="str">
        <f ca="1">IFERROR(__xludf.DUMMYFUNCTION("""COMPUTED_VALUE"""),"S")</f>
        <v>S</v>
      </c>
      <c r="G630" s="80">
        <f ca="1">IFERROR(__xludf.DUMMYFUNCTION("""COMPUTED_VALUE"""),2)</f>
        <v>2</v>
      </c>
      <c r="H630" s="80" t="str">
        <f ca="1">IFERROR(__xludf.DUMMYFUNCTION("""COMPUTED_VALUE"""),"F")</f>
        <v>F</v>
      </c>
      <c r="I630" s="80">
        <f ca="1">IFERROR(__xludf.DUMMYFUNCTION("""COMPUTED_VALUE"""),9)</f>
        <v>9</v>
      </c>
      <c r="J630" s="81">
        <f ca="1">IFERROR(__xludf.DUMMYFUNCTION("""COMPUTED_VALUE"""),3)</f>
        <v>3</v>
      </c>
      <c r="K630" s="81">
        <f ca="1">IFERROR(__xludf.DUMMYFUNCTION("""COMPUTED_VALUE"""),173.85)</f>
        <v>173.85</v>
      </c>
      <c r="L630" s="81">
        <f ca="1">IFERROR(__xludf.DUMMYFUNCTION("""COMPUTED_VALUE"""),173.85)</f>
        <v>173.85</v>
      </c>
      <c r="M630" s="81"/>
      <c r="N630" s="81">
        <f ca="1">IFERROR(__xludf.DUMMYFUNCTION("""COMPUTED_VALUE"""),0)</f>
        <v>0</v>
      </c>
      <c r="O630" s="81"/>
      <c r="P630" s="81">
        <f ca="1">IFERROR(__xludf.DUMMYFUNCTION("""COMPUTED_VALUE"""),157.45)</f>
        <v>157.44999999999999</v>
      </c>
      <c r="Q630" s="81"/>
      <c r="R630" s="81">
        <f ca="1">IFERROR(__xludf.DUMMYFUNCTION("""COMPUTED_VALUE"""),159.9)</f>
        <v>159.9</v>
      </c>
      <c r="S630" s="81"/>
      <c r="T630" s="81"/>
      <c r="U630" s="82"/>
      <c r="V630" s="82"/>
      <c r="W630" s="83"/>
      <c r="X630" s="83"/>
      <c r="Y630" s="83"/>
    </row>
    <row r="631" spans="1:25" ht="13.8">
      <c r="A631" s="78" t="str">
        <f ca="1">IFERROR(__xludf.DUMMYFUNCTION("""COMPUTED_VALUE"""),"F")</f>
        <v>F</v>
      </c>
      <c r="B631" s="79" t="str">
        <f ca="1">IFERROR(__xludf.DUMMYFUNCTION("""COMPUTED_VALUE"""),"Adam Crossin")</f>
        <v>Adam Crossin</v>
      </c>
      <c r="C631" s="78">
        <f ca="1">IFERROR(__xludf.DUMMYFUNCTION("""COMPUTED_VALUE"""),15)</f>
        <v>15</v>
      </c>
      <c r="D631" s="78" t="str">
        <f ca="1">IFERROR(__xludf.DUMMYFUNCTION("""COMPUTED_VALUE"""),"B")</f>
        <v>B</v>
      </c>
      <c r="E631" s="80" t="str">
        <f ca="1">IFERROR(__xludf.DUMMYFUNCTION("""COMPUTED_VALUE"""),"S")</f>
        <v>S</v>
      </c>
      <c r="F631" s="80" t="str">
        <f ca="1">IFERROR(__xludf.DUMMYFUNCTION("""COMPUTED_VALUE"""),"S")</f>
        <v>S</v>
      </c>
      <c r="G631" s="80">
        <f ca="1">IFERROR(__xludf.DUMMYFUNCTION("""COMPUTED_VALUE"""),2)</f>
        <v>2</v>
      </c>
      <c r="H631" s="80" t="str">
        <f ca="1">IFERROR(__xludf.DUMMYFUNCTION("""COMPUTED_VALUE"""),"F")</f>
        <v>F</v>
      </c>
      <c r="I631" s="80">
        <f ca="1">IFERROR(__xludf.DUMMYFUNCTION("""COMPUTED_VALUE"""),9)</f>
        <v>9</v>
      </c>
      <c r="J631" s="81">
        <f ca="1">IFERROR(__xludf.DUMMYFUNCTION("""COMPUTED_VALUE"""),0)</f>
        <v>0</v>
      </c>
      <c r="K631" s="81">
        <f ca="1">IFERROR(__xludf.DUMMYFUNCTION("""COMPUTED_VALUE"""),0)</f>
        <v>0</v>
      </c>
      <c r="L631" s="81">
        <f ca="1">IFERROR(__xludf.DUMMYFUNCTION("""COMPUTED_VALUE"""),0)</f>
        <v>0</v>
      </c>
      <c r="M631" s="81"/>
      <c r="N631" s="81">
        <f ca="1">IFERROR(__xludf.DUMMYFUNCTION("""COMPUTED_VALUE"""),0)</f>
        <v>0</v>
      </c>
      <c r="O631" s="81"/>
      <c r="P631" s="81">
        <f ca="1">IFERROR(__xludf.DUMMYFUNCTION("""COMPUTED_VALUE"""),0)</f>
        <v>0</v>
      </c>
      <c r="Q631" s="81"/>
      <c r="R631" s="81">
        <f ca="1">IFERROR(__xludf.DUMMYFUNCTION("""COMPUTED_VALUE"""),0)</f>
        <v>0</v>
      </c>
      <c r="S631" s="81"/>
      <c r="T631" s="81"/>
      <c r="U631" s="82"/>
      <c r="V631" s="82"/>
      <c r="W631" s="83"/>
      <c r="X631" s="83"/>
      <c r="Y631" s="83"/>
    </row>
    <row r="632" spans="1:25" ht="13.8">
      <c r="A632" s="78" t="str">
        <f ca="1">IFERROR(__xludf.DUMMYFUNCTION("""COMPUTED_VALUE"""),"F")</f>
        <v>F</v>
      </c>
      <c r="B632" s="79" t="str">
        <f ca="1">IFERROR(__xludf.DUMMYFUNCTION("""COMPUTED_VALUE"""),"Mikey D'Alessandro")</f>
        <v>Mikey D'Alessandro</v>
      </c>
      <c r="C632" s="78">
        <f ca="1">IFERROR(__xludf.DUMMYFUNCTION("""COMPUTED_VALUE"""),18)</f>
        <v>18</v>
      </c>
      <c r="D632" s="78" t="str">
        <f ca="1">IFERROR(__xludf.DUMMYFUNCTION("""COMPUTED_VALUE"""),"B")</f>
        <v>B</v>
      </c>
      <c r="E632" s="80" t="str">
        <f ca="1">IFERROR(__xludf.DUMMYFUNCTION("""COMPUTED_VALUE"""),"S")</f>
        <v>S</v>
      </c>
      <c r="F632" s="80" t="str">
        <f ca="1">IFERROR(__xludf.DUMMYFUNCTION("""COMPUTED_VALUE"""),"S")</f>
        <v>S</v>
      </c>
      <c r="G632" s="80">
        <f ca="1">IFERROR(__xludf.DUMMYFUNCTION("""COMPUTED_VALUE"""),2)</f>
        <v>2</v>
      </c>
      <c r="H632" s="80" t="str">
        <f ca="1">IFERROR(__xludf.DUMMYFUNCTION("""COMPUTED_VALUE"""),"F")</f>
        <v>F</v>
      </c>
      <c r="I632" s="80">
        <f ca="1">IFERROR(__xludf.DUMMYFUNCTION("""COMPUTED_VALUE"""),9)</f>
        <v>9</v>
      </c>
      <c r="J632" s="81">
        <f ca="1">IFERROR(__xludf.DUMMYFUNCTION("""COMPUTED_VALUE"""),4)</f>
        <v>4</v>
      </c>
      <c r="K632" s="81">
        <f ca="1">IFERROR(__xludf.DUMMYFUNCTION("""COMPUTED_VALUE"""),124.65)</f>
        <v>124.65</v>
      </c>
      <c r="L632" s="81">
        <f ca="1">IFERROR(__xludf.DUMMYFUNCTION("""COMPUTED_VALUE"""),124.65)</f>
        <v>124.65</v>
      </c>
      <c r="M632" s="81"/>
      <c r="N632" s="81">
        <f ca="1">IFERROR(__xludf.DUMMYFUNCTION("""COMPUTED_VALUE"""),0)</f>
        <v>0</v>
      </c>
      <c r="O632" s="81"/>
      <c r="P632" s="81">
        <f ca="1">IFERROR(__xludf.DUMMYFUNCTION("""COMPUTED_VALUE"""),111.65)</f>
        <v>111.65</v>
      </c>
      <c r="Q632" s="81"/>
      <c r="R632" s="81">
        <f ca="1">IFERROR(__xludf.DUMMYFUNCTION("""COMPUTED_VALUE"""),119.2)</f>
        <v>119.2</v>
      </c>
      <c r="S632" s="81"/>
      <c r="T632" s="81"/>
      <c r="U632" s="82"/>
      <c r="V632" s="82"/>
      <c r="W632" s="83"/>
      <c r="X632" s="83"/>
      <c r="Y632" s="83"/>
    </row>
    <row r="633" spans="1:25" ht="13.8">
      <c r="A633" s="78" t="str">
        <f ca="1">IFERROR(__xludf.DUMMYFUNCTION("""COMPUTED_VALUE"""),"F")</f>
        <v>F</v>
      </c>
      <c r="B633" s="79" t="str">
        <f ca="1">IFERROR(__xludf.DUMMYFUNCTION("""COMPUTED_VALUE"""),"Ryan Hough")</f>
        <v>Ryan Hough</v>
      </c>
      <c r="C633" s="78">
        <f ca="1">IFERROR(__xludf.DUMMYFUNCTION("""COMPUTED_VALUE"""),15)</f>
        <v>15</v>
      </c>
      <c r="D633" s="78" t="str">
        <f ca="1">IFERROR(__xludf.DUMMYFUNCTION("""COMPUTED_VALUE"""),"B")</f>
        <v>B</v>
      </c>
      <c r="E633" s="80" t="str">
        <f ca="1">IFERROR(__xludf.DUMMYFUNCTION("""COMPUTED_VALUE"""),"S")</f>
        <v>S</v>
      </c>
      <c r="F633" s="80" t="str">
        <f ca="1">IFERROR(__xludf.DUMMYFUNCTION("""COMPUTED_VALUE"""),"S")</f>
        <v>S</v>
      </c>
      <c r="G633" s="80">
        <f ca="1">IFERROR(__xludf.DUMMYFUNCTION("""COMPUTED_VALUE"""),2)</f>
        <v>2</v>
      </c>
      <c r="H633" s="80" t="str">
        <f ca="1">IFERROR(__xludf.DUMMYFUNCTION("""COMPUTED_VALUE"""),"F")</f>
        <v>F</v>
      </c>
      <c r="I633" s="80">
        <f ca="1">IFERROR(__xludf.DUMMYFUNCTION("""COMPUTED_VALUE"""),9)</f>
        <v>9</v>
      </c>
      <c r="J633" s="81">
        <f ca="1">IFERROR(__xludf.DUMMYFUNCTION("""COMPUTED_VALUE"""),4)</f>
        <v>4</v>
      </c>
      <c r="K633" s="81">
        <f ca="1">IFERROR(__xludf.DUMMYFUNCTION("""COMPUTED_VALUE"""),101.15)</f>
        <v>101.15</v>
      </c>
      <c r="L633" s="81">
        <f ca="1">IFERROR(__xludf.DUMMYFUNCTION("""COMPUTED_VALUE"""),0)</f>
        <v>0</v>
      </c>
      <c r="M633" s="81"/>
      <c r="N633" s="81">
        <f ca="1">IFERROR(__xludf.DUMMYFUNCTION("""COMPUTED_VALUE"""),83.15)</f>
        <v>83.15</v>
      </c>
      <c r="O633" s="81"/>
      <c r="P633" s="81">
        <f ca="1">IFERROR(__xludf.DUMMYFUNCTION("""COMPUTED_VALUE"""),82.05)</f>
        <v>82.05</v>
      </c>
      <c r="Q633" s="81"/>
      <c r="R633" s="81">
        <f ca="1">IFERROR(__xludf.DUMMYFUNCTION("""COMPUTED_VALUE"""),101.15)</f>
        <v>101.15</v>
      </c>
      <c r="S633" s="81"/>
      <c r="T633" s="81"/>
      <c r="U633" s="82"/>
      <c r="V633" s="82"/>
      <c r="W633" s="83"/>
      <c r="X633" s="83"/>
      <c r="Y633" s="83"/>
    </row>
    <row r="634" spans="1:25" ht="13.8">
      <c r="A634" s="78" t="str">
        <f ca="1">IFERROR(__xludf.DUMMYFUNCTION("""COMPUTED_VALUE"""),"F")</f>
        <v>F</v>
      </c>
      <c r="B634" s="79" t="str">
        <f ca="1">IFERROR(__xludf.DUMMYFUNCTION("""COMPUTED_VALUE"""),"Jack McLaury")</f>
        <v>Jack McLaury</v>
      </c>
      <c r="C634" s="78">
        <f ca="1">IFERROR(__xludf.DUMMYFUNCTION("""COMPUTED_VALUE"""),16)</f>
        <v>16</v>
      </c>
      <c r="D634" s="78" t="str">
        <f ca="1">IFERROR(__xludf.DUMMYFUNCTION("""COMPUTED_VALUE"""),"B")</f>
        <v>B</v>
      </c>
      <c r="E634" s="80" t="str">
        <f ca="1">IFERROR(__xludf.DUMMYFUNCTION("""COMPUTED_VALUE"""),"S")</f>
        <v>S</v>
      </c>
      <c r="F634" s="80" t="str">
        <f ca="1">IFERROR(__xludf.DUMMYFUNCTION("""COMPUTED_VALUE"""),"S")</f>
        <v>S</v>
      </c>
      <c r="G634" s="80">
        <f ca="1">IFERROR(__xludf.DUMMYFUNCTION("""COMPUTED_VALUE"""),2)</f>
        <v>2</v>
      </c>
      <c r="H634" s="80" t="str">
        <f ca="1">IFERROR(__xludf.DUMMYFUNCTION("""COMPUTED_VALUE"""),"F")</f>
        <v>F</v>
      </c>
      <c r="I634" s="80">
        <f ca="1">IFERROR(__xludf.DUMMYFUNCTION("""COMPUTED_VALUE"""),9)</f>
        <v>9</v>
      </c>
      <c r="J634" s="81">
        <f ca="1">IFERROR(__xludf.DUMMYFUNCTION("""COMPUTED_VALUE"""),3)</f>
        <v>3</v>
      </c>
      <c r="K634" s="81">
        <f ca="1">IFERROR(__xludf.DUMMYFUNCTION("""COMPUTED_VALUE"""),94.25)</f>
        <v>94.25</v>
      </c>
      <c r="L634" s="81">
        <f ca="1">IFERROR(__xludf.DUMMYFUNCTION("""COMPUTED_VALUE"""),0)</f>
        <v>0</v>
      </c>
      <c r="M634" s="81"/>
      <c r="N634" s="81">
        <f ca="1">IFERROR(__xludf.DUMMYFUNCTION("""COMPUTED_VALUE"""),81.25)</f>
        <v>81.25</v>
      </c>
      <c r="O634" s="81"/>
      <c r="P634" s="81">
        <f ca="1">IFERROR(__xludf.DUMMYFUNCTION("""COMPUTED_VALUE"""),94.25)</f>
        <v>94.25</v>
      </c>
      <c r="Q634" s="81"/>
      <c r="R634" s="81">
        <f ca="1">IFERROR(__xludf.DUMMYFUNCTION("""COMPUTED_VALUE"""),0)</f>
        <v>0</v>
      </c>
      <c r="S634" s="81"/>
      <c r="T634" s="81"/>
      <c r="U634" s="82"/>
      <c r="V634" s="82"/>
      <c r="W634" s="83"/>
      <c r="X634" s="83"/>
      <c r="Y634" s="83"/>
    </row>
    <row r="635" spans="1:25" ht="13.8">
      <c r="A635" s="78" t="str">
        <f ca="1">IFERROR(__xludf.DUMMYFUNCTION("""COMPUTED_VALUE"""),"F")</f>
        <v>F</v>
      </c>
      <c r="B635" s="79" t="str">
        <f ca="1">IFERROR(__xludf.DUMMYFUNCTION("""COMPUTED_VALUE"""),"Will McLaury.")</f>
        <v>Will McLaury.</v>
      </c>
      <c r="C635" s="78">
        <f ca="1">IFERROR(__xludf.DUMMYFUNCTION("""COMPUTED_VALUE"""),18)</f>
        <v>18</v>
      </c>
      <c r="D635" s="78" t="str">
        <f ca="1">IFERROR(__xludf.DUMMYFUNCTION("""COMPUTED_VALUE"""),"B")</f>
        <v>B</v>
      </c>
      <c r="E635" s="80" t="str">
        <f ca="1">IFERROR(__xludf.DUMMYFUNCTION("""COMPUTED_VALUE"""),"S")</f>
        <v>S</v>
      </c>
      <c r="F635" s="80" t="str">
        <f ca="1">IFERROR(__xludf.DUMMYFUNCTION("""COMPUTED_VALUE"""),"S")</f>
        <v>S</v>
      </c>
      <c r="G635" s="80">
        <f ca="1">IFERROR(__xludf.DUMMYFUNCTION("""COMPUTED_VALUE"""),2)</f>
        <v>2</v>
      </c>
      <c r="H635" s="80" t="str">
        <f ca="1">IFERROR(__xludf.DUMMYFUNCTION("""COMPUTED_VALUE"""),"F")</f>
        <v>F</v>
      </c>
      <c r="I635" s="80">
        <f ca="1">IFERROR(__xludf.DUMMYFUNCTION("""COMPUTED_VALUE"""),9)</f>
        <v>9</v>
      </c>
      <c r="J635" s="81">
        <f ca="1">IFERROR(__xludf.DUMMYFUNCTION("""COMPUTED_VALUE"""),2)</f>
        <v>2</v>
      </c>
      <c r="K635" s="81">
        <f ca="1">IFERROR(__xludf.DUMMYFUNCTION("""COMPUTED_VALUE"""),71.4)</f>
        <v>71.400000000000006</v>
      </c>
      <c r="L635" s="81">
        <f ca="1">IFERROR(__xludf.DUMMYFUNCTION("""COMPUTED_VALUE"""),0)</f>
        <v>0</v>
      </c>
      <c r="M635" s="81"/>
      <c r="N635" s="81">
        <f ca="1">IFERROR(__xludf.DUMMYFUNCTION("""COMPUTED_VALUE"""),66)</f>
        <v>66</v>
      </c>
      <c r="O635" s="81"/>
      <c r="P635" s="81">
        <f ca="1">IFERROR(__xludf.DUMMYFUNCTION("""COMPUTED_VALUE"""),0)</f>
        <v>0</v>
      </c>
      <c r="Q635" s="81"/>
      <c r="R635" s="81">
        <f ca="1">IFERROR(__xludf.DUMMYFUNCTION("""COMPUTED_VALUE"""),71.4)</f>
        <v>71.400000000000006</v>
      </c>
      <c r="S635" s="81"/>
      <c r="T635" s="81"/>
      <c r="U635" s="82"/>
      <c r="V635" s="82"/>
      <c r="W635" s="83"/>
      <c r="X635" s="83"/>
      <c r="Y635" s="83"/>
    </row>
    <row r="636" spans="1:25" ht="13.8">
      <c r="A636" s="78" t="str">
        <f ca="1">IFERROR(__xludf.DUMMYFUNCTION("""COMPUTED_VALUE"""),"FS")</f>
        <v>FS</v>
      </c>
      <c r="B636" s="79" t="str">
        <f ca="1">IFERROR(__xludf.DUMMYFUNCTION("""COMPUTED_VALUE"""),"Amelia Brooks")</f>
        <v>Amelia Brooks</v>
      </c>
      <c r="C636" s="78">
        <f ca="1">IFERROR(__xludf.DUMMYFUNCTION("""COMPUTED_VALUE"""),5)</f>
        <v>5</v>
      </c>
      <c r="D636" s="78" t="str">
        <f ca="1">IFERROR(__xludf.DUMMYFUNCTION("""COMPUTED_VALUE"""),"G")</f>
        <v>G</v>
      </c>
      <c r="E636" s="80" t="str">
        <f ca="1">IFERROR(__xludf.DUMMYFUNCTION("""COMPUTED_VALUE"""),"F")</f>
        <v>F</v>
      </c>
      <c r="F636" s="80" t="str">
        <f ca="1">IFERROR(__xludf.DUMMYFUNCTION("""COMPUTED_VALUE"""),"J")</f>
        <v>J</v>
      </c>
      <c r="G636" s="80">
        <f ca="1">IFERROR(__xludf.DUMMYFUNCTION("""COMPUTED_VALUE"""),6)</f>
        <v>6</v>
      </c>
      <c r="H636" s="80" t="str">
        <f ca="1">IFERROR(__xludf.DUMMYFUNCTION("""COMPUTED_VALUE"""),"FS")</f>
        <v>FS</v>
      </c>
      <c r="I636" s="80">
        <f ca="1">IFERROR(__xludf.DUMMYFUNCTION("""COMPUTED_VALUE"""),2)</f>
        <v>2</v>
      </c>
      <c r="J636" s="81">
        <f ca="1">IFERROR(__xludf.DUMMYFUNCTION("""COMPUTED_VALUE"""),0)</f>
        <v>0</v>
      </c>
      <c r="K636" s="81">
        <f ca="1">IFERROR(__xludf.DUMMYFUNCTION("""COMPUTED_VALUE"""),0)</f>
        <v>0</v>
      </c>
      <c r="L636" s="81">
        <f ca="1">IFERROR(__xludf.DUMMYFUNCTION("""COMPUTED_VALUE"""),0)</f>
        <v>0</v>
      </c>
      <c r="M636" s="81"/>
      <c r="N636" s="81">
        <f ca="1">IFERROR(__xludf.DUMMYFUNCTION("""COMPUTED_VALUE"""),0)</f>
        <v>0</v>
      </c>
      <c r="O636" s="81"/>
      <c r="P636" s="81">
        <f ca="1">IFERROR(__xludf.DUMMYFUNCTION("""COMPUTED_VALUE"""),0)</f>
        <v>0</v>
      </c>
      <c r="Q636" s="81"/>
      <c r="R636" s="81">
        <f ca="1">IFERROR(__xludf.DUMMYFUNCTION("""COMPUTED_VALUE"""),0)</f>
        <v>0</v>
      </c>
      <c r="S636" s="81"/>
      <c r="T636" s="81"/>
      <c r="U636" s="82"/>
      <c r="V636" s="82"/>
      <c r="W636" s="83"/>
      <c r="X636" s="83"/>
      <c r="Y636" s="83"/>
    </row>
    <row r="637" spans="1:25" ht="13.8">
      <c r="A637" s="78" t="str">
        <f ca="1">IFERROR(__xludf.DUMMYFUNCTION("""COMPUTED_VALUE"""),"FS")</f>
        <v>FS</v>
      </c>
      <c r="B637" s="79" t="str">
        <f ca="1">IFERROR(__xludf.DUMMYFUNCTION("""COMPUTED_VALUE"""),"Stella Budiu")</f>
        <v>Stella Budiu</v>
      </c>
      <c r="C637" s="78">
        <f ca="1">IFERROR(__xludf.DUMMYFUNCTION("""COMPUTED_VALUE"""),10)</f>
        <v>10</v>
      </c>
      <c r="D637" s="78" t="str">
        <f ca="1">IFERROR(__xludf.DUMMYFUNCTION("""COMPUTED_VALUE"""),"G")</f>
        <v>G</v>
      </c>
      <c r="E637" s="80" t="str">
        <f ca="1">IFERROR(__xludf.DUMMYFUNCTION("""COMPUTED_VALUE"""),"F")</f>
        <v>F</v>
      </c>
      <c r="F637" s="80" t="str">
        <f ca="1">IFERROR(__xludf.DUMMYFUNCTION("""COMPUTED_VALUE"""),"J")</f>
        <v>J</v>
      </c>
      <c r="G637" s="80">
        <f ca="1">IFERROR(__xludf.DUMMYFUNCTION("""COMPUTED_VALUE"""),6)</f>
        <v>6</v>
      </c>
      <c r="H637" s="80" t="str">
        <f ca="1">IFERROR(__xludf.DUMMYFUNCTION("""COMPUTED_VALUE"""),"FS")</f>
        <v>FS</v>
      </c>
      <c r="I637" s="80">
        <f ca="1">IFERROR(__xludf.DUMMYFUNCTION("""COMPUTED_VALUE"""),2)</f>
        <v>2</v>
      </c>
      <c r="J637" s="81">
        <f ca="1">IFERROR(__xludf.DUMMYFUNCTION("""COMPUTED_VALUE"""),5)</f>
        <v>5</v>
      </c>
      <c r="K637" s="81">
        <f ca="1">IFERROR(__xludf.DUMMYFUNCTION("""COMPUTED_VALUE"""),67.35)</f>
        <v>67.349999999999994</v>
      </c>
      <c r="L637" s="81">
        <f ca="1">IFERROR(__xludf.DUMMYFUNCTION("""COMPUTED_VALUE"""),62.6)</f>
        <v>62.6</v>
      </c>
      <c r="M637" s="81"/>
      <c r="N637" s="81">
        <f ca="1">IFERROR(__xludf.DUMMYFUNCTION("""COMPUTED_VALUE"""),55.85)</f>
        <v>55.85</v>
      </c>
      <c r="O637" s="81"/>
      <c r="P637" s="81">
        <f ca="1">IFERROR(__xludf.DUMMYFUNCTION("""COMPUTED_VALUE"""),60.1)</f>
        <v>60.1</v>
      </c>
      <c r="Q637" s="81"/>
      <c r="R637" s="81">
        <f ca="1">IFERROR(__xludf.DUMMYFUNCTION("""COMPUTED_VALUE"""),67.35)</f>
        <v>67.349999999999994</v>
      </c>
      <c r="S637" s="81"/>
      <c r="T637" s="81"/>
      <c r="U637" s="82"/>
      <c r="V637" s="82"/>
      <c r="W637" s="83"/>
      <c r="X637" s="83"/>
      <c r="Y637" s="83"/>
    </row>
    <row r="638" spans="1:25" ht="13.8">
      <c r="A638" s="78" t="str">
        <f ca="1">IFERROR(__xludf.DUMMYFUNCTION("""COMPUTED_VALUE"""),"FS")</f>
        <v>FS</v>
      </c>
      <c r="B638" s="79" t="str">
        <f ca="1">IFERROR(__xludf.DUMMYFUNCTION("""COMPUTED_VALUE"""),"Aria Giarraputo")</f>
        <v>Aria Giarraputo</v>
      </c>
      <c r="C638" s="78">
        <f ca="1">IFERROR(__xludf.DUMMYFUNCTION("""COMPUTED_VALUE"""),9)</f>
        <v>9</v>
      </c>
      <c r="D638" s="78" t="str">
        <f ca="1">IFERROR(__xludf.DUMMYFUNCTION("""COMPUTED_VALUE"""),"G")</f>
        <v>G</v>
      </c>
      <c r="E638" s="80" t="str">
        <f ca="1">IFERROR(__xludf.DUMMYFUNCTION("""COMPUTED_VALUE"""),"F")</f>
        <v>F</v>
      </c>
      <c r="F638" s="80" t="str">
        <f ca="1">IFERROR(__xludf.DUMMYFUNCTION("""COMPUTED_VALUE"""),"J")</f>
        <v>J</v>
      </c>
      <c r="G638" s="80">
        <f ca="1">IFERROR(__xludf.DUMMYFUNCTION("""COMPUTED_VALUE"""),6)</f>
        <v>6</v>
      </c>
      <c r="H638" s="80" t="str">
        <f ca="1">IFERROR(__xludf.DUMMYFUNCTION("""COMPUTED_VALUE"""),"FS")</f>
        <v>FS</v>
      </c>
      <c r="I638" s="80">
        <f ca="1">IFERROR(__xludf.DUMMYFUNCTION("""COMPUTED_VALUE"""),2)</f>
        <v>2</v>
      </c>
      <c r="J638" s="81">
        <f ca="1">IFERROR(__xludf.DUMMYFUNCTION("""COMPUTED_VALUE"""),4)</f>
        <v>4</v>
      </c>
      <c r="K638" s="81">
        <f ca="1">IFERROR(__xludf.DUMMYFUNCTION("""COMPUTED_VALUE"""),56.95)</f>
        <v>56.95</v>
      </c>
      <c r="L638" s="81">
        <f ca="1">IFERROR(__xludf.DUMMYFUNCTION("""COMPUTED_VALUE"""),0)</f>
        <v>0</v>
      </c>
      <c r="M638" s="81"/>
      <c r="N638" s="81">
        <f ca="1">IFERROR(__xludf.DUMMYFUNCTION("""COMPUTED_VALUE"""),56.45)</f>
        <v>56.45</v>
      </c>
      <c r="O638" s="81"/>
      <c r="P638" s="81">
        <f ca="1">IFERROR(__xludf.DUMMYFUNCTION("""COMPUTED_VALUE"""),56.95)</f>
        <v>56.95</v>
      </c>
      <c r="Q638" s="81"/>
      <c r="R638" s="81">
        <f ca="1">IFERROR(__xludf.DUMMYFUNCTION("""COMPUTED_VALUE"""),54.45)</f>
        <v>54.45</v>
      </c>
      <c r="S638" s="81"/>
      <c r="T638" s="81"/>
      <c r="U638" s="82"/>
      <c r="V638" s="82"/>
      <c r="W638" s="83"/>
      <c r="X638" s="83"/>
      <c r="Y638" s="83"/>
    </row>
    <row r="639" spans="1:25" ht="13.8">
      <c r="A639" s="78" t="str">
        <f ca="1">IFERROR(__xludf.DUMMYFUNCTION("""COMPUTED_VALUE"""),"FS")</f>
        <v>FS</v>
      </c>
      <c r="B639" s="79" t="str">
        <f ca="1">IFERROR(__xludf.DUMMYFUNCTION("""COMPUTED_VALUE"""),"Anna Haigh")</f>
        <v>Anna Haigh</v>
      </c>
      <c r="C639" s="78">
        <f ca="1">IFERROR(__xludf.DUMMYFUNCTION("""COMPUTED_VALUE"""),10)</f>
        <v>10</v>
      </c>
      <c r="D639" s="78" t="str">
        <f ca="1">IFERROR(__xludf.DUMMYFUNCTION("""COMPUTED_VALUE"""),"G")</f>
        <v>G</v>
      </c>
      <c r="E639" s="80" t="str">
        <f ca="1">IFERROR(__xludf.DUMMYFUNCTION("""COMPUTED_VALUE"""),"F")</f>
        <v>F</v>
      </c>
      <c r="F639" s="80" t="str">
        <f ca="1">IFERROR(__xludf.DUMMYFUNCTION("""COMPUTED_VALUE"""),"J")</f>
        <v>J</v>
      </c>
      <c r="G639" s="80">
        <f ca="1">IFERROR(__xludf.DUMMYFUNCTION("""COMPUTED_VALUE"""),6)</f>
        <v>6</v>
      </c>
      <c r="H639" s="80" t="str">
        <f ca="1">IFERROR(__xludf.DUMMYFUNCTION("""COMPUTED_VALUE"""),"FS")</f>
        <v>FS</v>
      </c>
      <c r="I639" s="80">
        <f ca="1">IFERROR(__xludf.DUMMYFUNCTION("""COMPUTED_VALUE"""),2)</f>
        <v>2</v>
      </c>
      <c r="J639" s="81">
        <f ca="1">IFERROR(__xludf.DUMMYFUNCTION("""COMPUTED_VALUE"""),2)</f>
        <v>2</v>
      </c>
      <c r="K639" s="81">
        <f ca="1">IFERROR(__xludf.DUMMYFUNCTION("""COMPUTED_VALUE"""),28.8)</f>
        <v>28.8</v>
      </c>
      <c r="L639" s="81">
        <f ca="1">IFERROR(__xludf.DUMMYFUNCTION("""COMPUTED_VALUE"""),25.95)</f>
        <v>25.95</v>
      </c>
      <c r="M639" s="81"/>
      <c r="N639" s="81">
        <f ca="1">IFERROR(__xludf.DUMMYFUNCTION("""COMPUTED_VALUE"""),0)</f>
        <v>0</v>
      </c>
      <c r="O639" s="81"/>
      <c r="P639" s="81">
        <f ca="1">IFERROR(__xludf.DUMMYFUNCTION("""COMPUTED_VALUE"""),0)</f>
        <v>0</v>
      </c>
      <c r="Q639" s="81"/>
      <c r="R639" s="81">
        <f ca="1">IFERROR(__xludf.DUMMYFUNCTION("""COMPUTED_VALUE"""),28.8)</f>
        <v>28.8</v>
      </c>
      <c r="S639" s="81"/>
      <c r="T639" s="81"/>
      <c r="U639" s="82"/>
      <c r="V639" s="82"/>
      <c r="W639" s="83"/>
      <c r="X639" s="83"/>
      <c r="Y639" s="83"/>
    </row>
    <row r="640" spans="1:25" ht="13.8">
      <c r="A640" s="78" t="str">
        <f ca="1">IFERROR(__xludf.DUMMYFUNCTION("""COMPUTED_VALUE"""),"FS")</f>
        <v>FS</v>
      </c>
      <c r="B640" s="79" t="str">
        <f ca="1">IFERROR(__xludf.DUMMYFUNCTION("""COMPUTED_VALUE"""),"Lillian Haigh")</f>
        <v>Lillian Haigh</v>
      </c>
      <c r="C640" s="78">
        <f ca="1">IFERROR(__xludf.DUMMYFUNCTION("""COMPUTED_VALUE"""),8)</f>
        <v>8</v>
      </c>
      <c r="D640" s="78" t="str">
        <f ca="1">IFERROR(__xludf.DUMMYFUNCTION("""COMPUTED_VALUE"""),"G")</f>
        <v>G</v>
      </c>
      <c r="E640" s="80" t="str">
        <f ca="1">IFERROR(__xludf.DUMMYFUNCTION("""COMPUTED_VALUE"""),"F")</f>
        <v>F</v>
      </c>
      <c r="F640" s="80" t="str">
        <f ca="1">IFERROR(__xludf.DUMMYFUNCTION("""COMPUTED_VALUE"""),"J")</f>
        <v>J</v>
      </c>
      <c r="G640" s="80">
        <f ca="1">IFERROR(__xludf.DUMMYFUNCTION("""COMPUTED_VALUE"""),6)</f>
        <v>6</v>
      </c>
      <c r="H640" s="80" t="str">
        <f ca="1">IFERROR(__xludf.DUMMYFUNCTION("""COMPUTED_VALUE"""),"FS")</f>
        <v>FS</v>
      </c>
      <c r="I640" s="80">
        <f ca="1">IFERROR(__xludf.DUMMYFUNCTION("""COMPUTED_VALUE"""),2)</f>
        <v>2</v>
      </c>
      <c r="J640" s="81">
        <f ca="1">IFERROR(__xludf.DUMMYFUNCTION("""COMPUTED_VALUE"""),2)</f>
        <v>2</v>
      </c>
      <c r="K640" s="81">
        <f ca="1">IFERROR(__xludf.DUMMYFUNCTION("""COMPUTED_VALUE"""),37.2)</f>
        <v>37.200000000000003</v>
      </c>
      <c r="L640" s="81">
        <f ca="1">IFERROR(__xludf.DUMMYFUNCTION("""COMPUTED_VALUE"""),25.6)</f>
        <v>25.6</v>
      </c>
      <c r="M640" s="81"/>
      <c r="N640" s="81">
        <f ca="1">IFERROR(__xludf.DUMMYFUNCTION("""COMPUTED_VALUE"""),0)</f>
        <v>0</v>
      </c>
      <c r="O640" s="81"/>
      <c r="P640" s="81">
        <f ca="1">IFERROR(__xludf.DUMMYFUNCTION("""COMPUTED_VALUE"""),0)</f>
        <v>0</v>
      </c>
      <c r="Q640" s="81"/>
      <c r="R640" s="81">
        <f ca="1">IFERROR(__xludf.DUMMYFUNCTION("""COMPUTED_VALUE"""),37.2)</f>
        <v>37.200000000000003</v>
      </c>
      <c r="S640" s="81"/>
      <c r="T640" s="81"/>
      <c r="U640" s="82"/>
      <c r="V640" s="82"/>
      <c r="W640" s="83"/>
      <c r="X640" s="83"/>
      <c r="Y640" s="83"/>
    </row>
    <row r="641" spans="1:25" ht="13.8">
      <c r="A641" s="78" t="str">
        <f ca="1">IFERROR(__xludf.DUMMYFUNCTION("""COMPUTED_VALUE"""),"FS")</f>
        <v>FS</v>
      </c>
      <c r="B641" s="79" t="str">
        <f ca="1">IFERROR(__xludf.DUMMYFUNCTION("""COMPUTED_VALUE"""),"Olivia Hilliard")</f>
        <v>Olivia Hilliard</v>
      </c>
      <c r="C641" s="78">
        <f ca="1">IFERROR(__xludf.DUMMYFUNCTION("""COMPUTED_VALUE"""),10)</f>
        <v>10</v>
      </c>
      <c r="D641" s="78" t="str">
        <f ca="1">IFERROR(__xludf.DUMMYFUNCTION("""COMPUTED_VALUE"""),"G")</f>
        <v>G</v>
      </c>
      <c r="E641" s="80" t="str">
        <f ca="1">IFERROR(__xludf.DUMMYFUNCTION("""COMPUTED_VALUE"""),"F")</f>
        <v>F</v>
      </c>
      <c r="F641" s="80" t="str">
        <f ca="1">IFERROR(__xludf.DUMMYFUNCTION("""COMPUTED_VALUE"""),"J")</f>
        <v>J</v>
      </c>
      <c r="G641" s="80">
        <f ca="1">IFERROR(__xludf.DUMMYFUNCTION("""COMPUTED_VALUE"""),6)</f>
        <v>6</v>
      </c>
      <c r="H641" s="80" t="str">
        <f ca="1">IFERROR(__xludf.DUMMYFUNCTION("""COMPUTED_VALUE"""),"FS")</f>
        <v>FS</v>
      </c>
      <c r="I641" s="80">
        <f ca="1">IFERROR(__xludf.DUMMYFUNCTION("""COMPUTED_VALUE"""),2)</f>
        <v>2</v>
      </c>
      <c r="J641" s="81">
        <f ca="1">IFERROR(__xludf.DUMMYFUNCTION("""COMPUTED_VALUE"""),1)</f>
        <v>1</v>
      </c>
      <c r="K641" s="81">
        <f ca="1">IFERROR(__xludf.DUMMYFUNCTION("""COMPUTED_VALUE"""),35.35)</f>
        <v>35.35</v>
      </c>
      <c r="L641" s="81">
        <f ca="1">IFERROR(__xludf.DUMMYFUNCTION("""COMPUTED_VALUE"""),35.35)</f>
        <v>35.35</v>
      </c>
      <c r="M641" s="81"/>
      <c r="N641" s="81">
        <f ca="1">IFERROR(__xludf.DUMMYFUNCTION("""COMPUTED_VALUE"""),0)</f>
        <v>0</v>
      </c>
      <c r="O641" s="81"/>
      <c r="P641" s="81">
        <f ca="1">IFERROR(__xludf.DUMMYFUNCTION("""COMPUTED_VALUE"""),0)</f>
        <v>0</v>
      </c>
      <c r="Q641" s="81"/>
      <c r="R641" s="81">
        <f ca="1">IFERROR(__xludf.DUMMYFUNCTION("""COMPUTED_VALUE"""),0)</f>
        <v>0</v>
      </c>
      <c r="S641" s="81"/>
      <c r="T641" s="81"/>
      <c r="U641" s="82"/>
      <c r="V641" s="82"/>
      <c r="W641" s="83"/>
      <c r="X641" s="83"/>
      <c r="Y641" s="83"/>
    </row>
    <row r="642" spans="1:25" ht="13.8">
      <c r="A642" s="78" t="str">
        <f ca="1">IFERROR(__xludf.DUMMYFUNCTION("""COMPUTED_VALUE"""),"FS")</f>
        <v>FS</v>
      </c>
      <c r="B642" s="79" t="str">
        <f ca="1">IFERROR(__xludf.DUMMYFUNCTION("""COMPUTED_VALUE"""),"Gwyn Howard")</f>
        <v>Gwyn Howard</v>
      </c>
      <c r="C642" s="78">
        <f ca="1">IFERROR(__xludf.DUMMYFUNCTION("""COMPUTED_VALUE"""),10)</f>
        <v>10</v>
      </c>
      <c r="D642" s="78" t="str">
        <f ca="1">IFERROR(__xludf.DUMMYFUNCTION("""COMPUTED_VALUE"""),"G")</f>
        <v>G</v>
      </c>
      <c r="E642" s="80" t="str">
        <f ca="1">IFERROR(__xludf.DUMMYFUNCTION("""COMPUTED_VALUE"""),"F")</f>
        <v>F</v>
      </c>
      <c r="F642" s="80" t="str">
        <f ca="1">IFERROR(__xludf.DUMMYFUNCTION("""COMPUTED_VALUE"""),"J")</f>
        <v>J</v>
      </c>
      <c r="G642" s="80">
        <f ca="1">IFERROR(__xludf.DUMMYFUNCTION("""COMPUTED_VALUE"""),6)</f>
        <v>6</v>
      </c>
      <c r="H642" s="80" t="str">
        <f ca="1">IFERROR(__xludf.DUMMYFUNCTION("""COMPUTED_VALUE"""),"FS")</f>
        <v>FS</v>
      </c>
      <c r="I642" s="80">
        <f ca="1">IFERROR(__xludf.DUMMYFUNCTION("""COMPUTED_VALUE"""),2)</f>
        <v>2</v>
      </c>
      <c r="J642" s="81">
        <f ca="1">IFERROR(__xludf.DUMMYFUNCTION("""COMPUTED_VALUE"""),5)</f>
        <v>5</v>
      </c>
      <c r="K642" s="81">
        <f ca="1">IFERROR(__xludf.DUMMYFUNCTION("""COMPUTED_VALUE"""),54.35)</f>
        <v>54.35</v>
      </c>
      <c r="L642" s="81">
        <f ca="1">IFERROR(__xludf.DUMMYFUNCTION("""COMPUTED_VALUE"""),40.75)</f>
        <v>40.75</v>
      </c>
      <c r="M642" s="81"/>
      <c r="N642" s="81">
        <f ca="1">IFERROR(__xludf.DUMMYFUNCTION("""COMPUTED_VALUE"""),54.35)</f>
        <v>54.35</v>
      </c>
      <c r="O642" s="81"/>
      <c r="P642" s="81">
        <f ca="1">IFERROR(__xludf.DUMMYFUNCTION("""COMPUTED_VALUE"""),39.8)</f>
        <v>39.799999999999997</v>
      </c>
      <c r="Q642" s="81"/>
      <c r="R642" s="81">
        <f ca="1">IFERROR(__xludf.DUMMYFUNCTION("""COMPUTED_VALUE"""),43.85)</f>
        <v>43.85</v>
      </c>
      <c r="S642" s="81"/>
      <c r="T642" s="81"/>
      <c r="U642" s="82"/>
      <c r="V642" s="82"/>
      <c r="W642" s="83"/>
      <c r="X642" s="83"/>
      <c r="Y642" s="83"/>
    </row>
    <row r="643" spans="1:25" ht="13.8">
      <c r="A643" s="78" t="str">
        <f ca="1">IFERROR(__xludf.DUMMYFUNCTION("""COMPUTED_VALUE"""),"FS")</f>
        <v>FS</v>
      </c>
      <c r="B643" s="79" t="str">
        <f ca="1">IFERROR(__xludf.DUMMYFUNCTION("""COMPUTED_VALUE"""),"Serena Howard")</f>
        <v>Serena Howard</v>
      </c>
      <c r="C643" s="78">
        <f ca="1">IFERROR(__xludf.DUMMYFUNCTION("""COMPUTED_VALUE"""),8)</f>
        <v>8</v>
      </c>
      <c r="D643" s="78" t="str">
        <f ca="1">IFERROR(__xludf.DUMMYFUNCTION("""COMPUTED_VALUE"""),"G")</f>
        <v>G</v>
      </c>
      <c r="E643" s="80" t="str">
        <f ca="1">IFERROR(__xludf.DUMMYFUNCTION("""COMPUTED_VALUE"""),"F")</f>
        <v>F</v>
      </c>
      <c r="F643" s="80" t="str">
        <f ca="1">IFERROR(__xludf.DUMMYFUNCTION("""COMPUTED_VALUE"""),"J")</f>
        <v>J</v>
      </c>
      <c r="G643" s="80">
        <f ca="1">IFERROR(__xludf.DUMMYFUNCTION("""COMPUTED_VALUE"""),6)</f>
        <v>6</v>
      </c>
      <c r="H643" s="80" t="str">
        <f ca="1">IFERROR(__xludf.DUMMYFUNCTION("""COMPUTED_VALUE"""),"FS")</f>
        <v>FS</v>
      </c>
      <c r="I643" s="80">
        <f ca="1">IFERROR(__xludf.DUMMYFUNCTION("""COMPUTED_VALUE"""),2)</f>
        <v>2</v>
      </c>
      <c r="J643" s="81">
        <f ca="1">IFERROR(__xludf.DUMMYFUNCTION("""COMPUTED_VALUE"""),5)</f>
        <v>5</v>
      </c>
      <c r="K643" s="81">
        <f ca="1">IFERROR(__xludf.DUMMYFUNCTION("""COMPUTED_VALUE"""),45.8)</f>
        <v>45.8</v>
      </c>
      <c r="L643" s="81">
        <f ca="1">IFERROR(__xludf.DUMMYFUNCTION("""COMPUTED_VALUE"""),34.85)</f>
        <v>34.85</v>
      </c>
      <c r="M643" s="81"/>
      <c r="N643" s="81">
        <f ca="1">IFERROR(__xludf.DUMMYFUNCTION("""COMPUTED_VALUE"""),45.8)</f>
        <v>45.8</v>
      </c>
      <c r="O643" s="81"/>
      <c r="P643" s="81">
        <f ca="1">IFERROR(__xludf.DUMMYFUNCTION("""COMPUTED_VALUE"""),38.15)</f>
        <v>38.15</v>
      </c>
      <c r="Q643" s="81"/>
      <c r="R643" s="81">
        <f ca="1">IFERROR(__xludf.DUMMYFUNCTION("""COMPUTED_VALUE"""),34.8)</f>
        <v>34.799999999999997</v>
      </c>
      <c r="S643" s="81"/>
      <c r="T643" s="81"/>
      <c r="U643" s="82"/>
      <c r="V643" s="82"/>
      <c r="W643" s="83"/>
      <c r="X643" s="83"/>
      <c r="Y643" s="83"/>
    </row>
    <row r="644" spans="1:25" ht="13.8">
      <c r="A644" s="78" t="str">
        <f ca="1">IFERROR(__xludf.DUMMYFUNCTION("""COMPUTED_VALUE"""),"FS")</f>
        <v>FS</v>
      </c>
      <c r="B644" s="79" t="str">
        <f ca="1">IFERROR(__xludf.DUMMYFUNCTION("""COMPUTED_VALUE"""),"April Jensen")</f>
        <v>April Jensen</v>
      </c>
      <c r="C644" s="78">
        <f ca="1">IFERROR(__xludf.DUMMYFUNCTION("""COMPUTED_VALUE"""),7)</f>
        <v>7</v>
      </c>
      <c r="D644" s="78" t="str">
        <f ca="1">IFERROR(__xludf.DUMMYFUNCTION("""COMPUTED_VALUE"""),"G")</f>
        <v>G</v>
      </c>
      <c r="E644" s="80" t="str">
        <f ca="1">IFERROR(__xludf.DUMMYFUNCTION("""COMPUTED_VALUE"""),"F")</f>
        <v>F</v>
      </c>
      <c r="F644" s="80" t="str">
        <f ca="1">IFERROR(__xludf.DUMMYFUNCTION("""COMPUTED_VALUE"""),"J")</f>
        <v>J</v>
      </c>
      <c r="G644" s="80">
        <f ca="1">IFERROR(__xludf.DUMMYFUNCTION("""COMPUTED_VALUE"""),6)</f>
        <v>6</v>
      </c>
      <c r="H644" s="80" t="str">
        <f ca="1">IFERROR(__xludf.DUMMYFUNCTION("""COMPUTED_VALUE"""),"FS")</f>
        <v>FS</v>
      </c>
      <c r="I644" s="80">
        <f ca="1">IFERROR(__xludf.DUMMYFUNCTION("""COMPUTED_VALUE"""),2)</f>
        <v>2</v>
      </c>
      <c r="J644" s="81">
        <f ca="1">IFERROR(__xludf.DUMMYFUNCTION("""COMPUTED_VALUE"""),0)</f>
        <v>0</v>
      </c>
      <c r="K644" s="81">
        <f ca="1">IFERROR(__xludf.DUMMYFUNCTION("""COMPUTED_VALUE"""),0)</f>
        <v>0</v>
      </c>
      <c r="L644" s="81">
        <f ca="1">IFERROR(__xludf.DUMMYFUNCTION("""COMPUTED_VALUE"""),0)</f>
        <v>0</v>
      </c>
      <c r="M644" s="81"/>
      <c r="N644" s="81">
        <f ca="1">IFERROR(__xludf.DUMMYFUNCTION("""COMPUTED_VALUE"""),0)</f>
        <v>0</v>
      </c>
      <c r="O644" s="81"/>
      <c r="P644" s="81">
        <f ca="1">IFERROR(__xludf.DUMMYFUNCTION("""COMPUTED_VALUE"""),0)</f>
        <v>0</v>
      </c>
      <c r="Q644" s="81"/>
      <c r="R644" s="81">
        <f ca="1">IFERROR(__xludf.DUMMYFUNCTION("""COMPUTED_VALUE"""),0)</f>
        <v>0</v>
      </c>
      <c r="S644" s="81"/>
      <c r="T644" s="81"/>
      <c r="U644" s="82"/>
      <c r="V644" s="82"/>
      <c r="W644" s="83"/>
      <c r="X644" s="83"/>
      <c r="Y644" s="83"/>
    </row>
    <row r="645" spans="1:25" ht="13.8">
      <c r="A645" s="78" t="str">
        <f ca="1">IFERROR(__xludf.DUMMYFUNCTION("""COMPUTED_VALUE"""),"FS")</f>
        <v>FS</v>
      </c>
      <c r="B645" s="79" t="str">
        <f ca="1">IFERROR(__xludf.DUMMYFUNCTION("""COMPUTED_VALUE"""),"Elza Jones")</f>
        <v>Elza Jones</v>
      </c>
      <c r="C645" s="78">
        <f ca="1">IFERROR(__xludf.DUMMYFUNCTION("""COMPUTED_VALUE"""),10)</f>
        <v>10</v>
      </c>
      <c r="D645" s="78" t="str">
        <f ca="1">IFERROR(__xludf.DUMMYFUNCTION("""COMPUTED_VALUE"""),"G")</f>
        <v>G</v>
      </c>
      <c r="E645" s="80" t="str">
        <f ca="1">IFERROR(__xludf.DUMMYFUNCTION("""COMPUTED_VALUE"""),"F")</f>
        <v>F</v>
      </c>
      <c r="F645" s="80" t="str">
        <f ca="1">IFERROR(__xludf.DUMMYFUNCTION("""COMPUTED_VALUE"""),"J")</f>
        <v>J</v>
      </c>
      <c r="G645" s="80">
        <f ca="1">IFERROR(__xludf.DUMMYFUNCTION("""COMPUTED_VALUE"""),6)</f>
        <v>6</v>
      </c>
      <c r="H645" s="80" t="str">
        <f ca="1">IFERROR(__xludf.DUMMYFUNCTION("""COMPUTED_VALUE"""),"FS")</f>
        <v>FS</v>
      </c>
      <c r="I645" s="80">
        <f ca="1">IFERROR(__xludf.DUMMYFUNCTION("""COMPUTED_VALUE"""),2)</f>
        <v>2</v>
      </c>
      <c r="J645" s="81">
        <f ca="1">IFERROR(__xludf.DUMMYFUNCTION("""COMPUTED_VALUE"""),3)</f>
        <v>3</v>
      </c>
      <c r="K645" s="81">
        <f ca="1">IFERROR(__xludf.DUMMYFUNCTION("""COMPUTED_VALUE"""),46.15)</f>
        <v>46.15</v>
      </c>
      <c r="L645" s="81">
        <f ca="1">IFERROR(__xludf.DUMMYFUNCTION("""COMPUTED_VALUE"""),42.65)</f>
        <v>42.65</v>
      </c>
      <c r="M645" s="81"/>
      <c r="N645" s="81">
        <f ca="1">IFERROR(__xludf.DUMMYFUNCTION("""COMPUTED_VALUE"""),38.45)</f>
        <v>38.450000000000003</v>
      </c>
      <c r="O645" s="81"/>
      <c r="P645" s="81">
        <f ca="1">IFERROR(__xludf.DUMMYFUNCTION("""COMPUTED_VALUE"""),46.15)</f>
        <v>46.15</v>
      </c>
      <c r="Q645" s="81"/>
      <c r="R645" s="81">
        <f ca="1">IFERROR(__xludf.DUMMYFUNCTION("""COMPUTED_VALUE"""),0)</f>
        <v>0</v>
      </c>
      <c r="S645" s="81"/>
      <c r="T645" s="81"/>
      <c r="U645" s="82"/>
      <c r="V645" s="82"/>
      <c r="W645" s="83"/>
      <c r="X645" s="83"/>
      <c r="Y645" s="83"/>
    </row>
    <row r="646" spans="1:25" ht="13.8">
      <c r="A646" s="78" t="str">
        <f ca="1">IFERROR(__xludf.DUMMYFUNCTION("""COMPUTED_VALUE"""),"FS")</f>
        <v>FS</v>
      </c>
      <c r="B646" s="79" t="str">
        <f ca="1">IFERROR(__xludf.DUMMYFUNCTION("""COMPUTED_VALUE"""),"Harper LoBosco")</f>
        <v>Harper LoBosco</v>
      </c>
      <c r="C646" s="78">
        <f ca="1">IFERROR(__xludf.DUMMYFUNCTION("""COMPUTED_VALUE"""),9)</f>
        <v>9</v>
      </c>
      <c r="D646" s="78" t="str">
        <f ca="1">IFERROR(__xludf.DUMMYFUNCTION("""COMPUTED_VALUE"""),"G")</f>
        <v>G</v>
      </c>
      <c r="E646" s="80" t="str">
        <f ca="1">IFERROR(__xludf.DUMMYFUNCTION("""COMPUTED_VALUE"""),"F")</f>
        <v>F</v>
      </c>
      <c r="F646" s="80" t="str">
        <f ca="1">IFERROR(__xludf.DUMMYFUNCTION("""COMPUTED_VALUE"""),"J")</f>
        <v>J</v>
      </c>
      <c r="G646" s="80">
        <f ca="1">IFERROR(__xludf.DUMMYFUNCTION("""COMPUTED_VALUE"""),6)</f>
        <v>6</v>
      </c>
      <c r="H646" s="80" t="str">
        <f ca="1">IFERROR(__xludf.DUMMYFUNCTION("""COMPUTED_VALUE"""),"FS")</f>
        <v>FS</v>
      </c>
      <c r="I646" s="80">
        <f ca="1">IFERROR(__xludf.DUMMYFUNCTION("""COMPUTED_VALUE"""),2)</f>
        <v>2</v>
      </c>
      <c r="J646" s="81">
        <f ca="1">IFERROR(__xludf.DUMMYFUNCTION("""COMPUTED_VALUE"""),0)</f>
        <v>0</v>
      </c>
      <c r="K646" s="81">
        <f ca="1">IFERROR(__xludf.DUMMYFUNCTION("""COMPUTED_VALUE"""),0)</f>
        <v>0</v>
      </c>
      <c r="L646" s="81">
        <f ca="1">IFERROR(__xludf.DUMMYFUNCTION("""COMPUTED_VALUE"""),0)</f>
        <v>0</v>
      </c>
      <c r="M646" s="81"/>
      <c r="N646" s="81">
        <f ca="1">IFERROR(__xludf.DUMMYFUNCTION("""COMPUTED_VALUE"""),0)</f>
        <v>0</v>
      </c>
      <c r="O646" s="81"/>
      <c r="P646" s="81">
        <f ca="1">IFERROR(__xludf.DUMMYFUNCTION("""COMPUTED_VALUE"""),0)</f>
        <v>0</v>
      </c>
      <c r="Q646" s="81"/>
      <c r="R646" s="81">
        <f ca="1">IFERROR(__xludf.DUMMYFUNCTION("""COMPUTED_VALUE"""),0)</f>
        <v>0</v>
      </c>
      <c r="S646" s="81"/>
      <c r="T646" s="81"/>
      <c r="U646" s="82"/>
      <c r="V646" s="82"/>
      <c r="W646" s="83"/>
      <c r="X646" s="83"/>
      <c r="Y646" s="83"/>
    </row>
    <row r="647" spans="1:25" ht="13.8">
      <c r="A647" s="78" t="str">
        <f ca="1">IFERROR(__xludf.DUMMYFUNCTION("""COMPUTED_VALUE"""),"FS")</f>
        <v>FS</v>
      </c>
      <c r="B647" s="79" t="str">
        <f ca="1">IFERROR(__xludf.DUMMYFUNCTION("""COMPUTED_VALUE"""),"Teresa Matiasek")</f>
        <v>Teresa Matiasek</v>
      </c>
      <c r="C647" s="78">
        <f ca="1">IFERROR(__xludf.DUMMYFUNCTION("""COMPUTED_VALUE"""),8)</f>
        <v>8</v>
      </c>
      <c r="D647" s="78" t="str">
        <f ca="1">IFERROR(__xludf.DUMMYFUNCTION("""COMPUTED_VALUE"""),"G")</f>
        <v>G</v>
      </c>
      <c r="E647" s="80" t="str">
        <f ca="1">IFERROR(__xludf.DUMMYFUNCTION("""COMPUTED_VALUE"""),"F")</f>
        <v>F</v>
      </c>
      <c r="F647" s="80" t="str">
        <f ca="1">IFERROR(__xludf.DUMMYFUNCTION("""COMPUTED_VALUE"""),"J")</f>
        <v>J</v>
      </c>
      <c r="G647" s="80">
        <f ca="1">IFERROR(__xludf.DUMMYFUNCTION("""COMPUTED_VALUE"""),6)</f>
        <v>6</v>
      </c>
      <c r="H647" s="80" t="str">
        <f ca="1">IFERROR(__xludf.DUMMYFUNCTION("""COMPUTED_VALUE"""),"FS")</f>
        <v>FS</v>
      </c>
      <c r="I647" s="80">
        <f ca="1">IFERROR(__xludf.DUMMYFUNCTION("""COMPUTED_VALUE"""),2)</f>
        <v>2</v>
      </c>
      <c r="J647" s="81">
        <f ca="1">IFERROR(__xludf.DUMMYFUNCTION("""COMPUTED_VALUE"""),0)</f>
        <v>0</v>
      </c>
      <c r="K647" s="81">
        <f ca="1">IFERROR(__xludf.DUMMYFUNCTION("""COMPUTED_VALUE"""),0)</f>
        <v>0</v>
      </c>
      <c r="L647" s="81">
        <f ca="1">IFERROR(__xludf.DUMMYFUNCTION("""COMPUTED_VALUE"""),0)</f>
        <v>0</v>
      </c>
      <c r="M647" s="81"/>
      <c r="N647" s="81">
        <f ca="1">IFERROR(__xludf.DUMMYFUNCTION("""COMPUTED_VALUE"""),0)</f>
        <v>0</v>
      </c>
      <c r="O647" s="81"/>
      <c r="P647" s="81">
        <f ca="1">IFERROR(__xludf.DUMMYFUNCTION("""COMPUTED_VALUE"""),0)</f>
        <v>0</v>
      </c>
      <c r="Q647" s="81"/>
      <c r="R647" s="81">
        <f ca="1">IFERROR(__xludf.DUMMYFUNCTION("""COMPUTED_VALUE"""),0)</f>
        <v>0</v>
      </c>
      <c r="S647" s="81"/>
      <c r="T647" s="81"/>
      <c r="U647" s="82"/>
      <c r="V647" s="82"/>
      <c r="W647" s="83"/>
      <c r="X647" s="83"/>
      <c r="Y647" s="83"/>
    </row>
    <row r="648" spans="1:25" ht="13.8">
      <c r="A648" s="78" t="str">
        <f ca="1">IFERROR(__xludf.DUMMYFUNCTION("""COMPUTED_VALUE"""),"FS")</f>
        <v>FS</v>
      </c>
      <c r="B648" s="79" t="str">
        <f ca="1">IFERROR(__xludf.DUMMYFUNCTION("""COMPUTED_VALUE"""),"Mady McCormack")</f>
        <v>Mady McCormack</v>
      </c>
      <c r="C648" s="78">
        <f ca="1">IFERROR(__xludf.DUMMYFUNCTION("""COMPUTED_VALUE"""),9)</f>
        <v>9</v>
      </c>
      <c r="D648" s="78" t="str">
        <f ca="1">IFERROR(__xludf.DUMMYFUNCTION("""COMPUTED_VALUE"""),"G")</f>
        <v>G</v>
      </c>
      <c r="E648" s="80" t="str">
        <f ca="1">IFERROR(__xludf.DUMMYFUNCTION("""COMPUTED_VALUE"""),"F")</f>
        <v>F</v>
      </c>
      <c r="F648" s="80" t="str">
        <f ca="1">IFERROR(__xludf.DUMMYFUNCTION("""COMPUTED_VALUE"""),"J")</f>
        <v>J</v>
      </c>
      <c r="G648" s="80">
        <f ca="1">IFERROR(__xludf.DUMMYFUNCTION("""COMPUTED_VALUE"""),6)</f>
        <v>6</v>
      </c>
      <c r="H648" s="80" t="str">
        <f ca="1">IFERROR(__xludf.DUMMYFUNCTION("""COMPUTED_VALUE"""),"FS")</f>
        <v>FS</v>
      </c>
      <c r="I648" s="80">
        <f ca="1">IFERROR(__xludf.DUMMYFUNCTION("""COMPUTED_VALUE"""),2)</f>
        <v>2</v>
      </c>
      <c r="J648" s="81">
        <f ca="1">IFERROR(__xludf.DUMMYFUNCTION("""COMPUTED_VALUE"""),5)</f>
        <v>5</v>
      </c>
      <c r="K648" s="81">
        <f ca="1">IFERROR(__xludf.DUMMYFUNCTION("""COMPUTED_VALUE"""),39.25)</f>
        <v>39.25</v>
      </c>
      <c r="L648" s="81">
        <f ca="1">IFERROR(__xludf.DUMMYFUNCTION("""COMPUTED_VALUE"""),16.6)</f>
        <v>16.600000000000001</v>
      </c>
      <c r="M648" s="81"/>
      <c r="N648" s="81">
        <f ca="1">IFERROR(__xludf.DUMMYFUNCTION("""COMPUTED_VALUE"""),28.75)</f>
        <v>28.75</v>
      </c>
      <c r="O648" s="81"/>
      <c r="P648" s="81">
        <f ca="1">IFERROR(__xludf.DUMMYFUNCTION("""COMPUTED_VALUE"""),39.25)</f>
        <v>39.25</v>
      </c>
      <c r="Q648" s="81"/>
      <c r="R648" s="81">
        <f ca="1">IFERROR(__xludf.DUMMYFUNCTION("""COMPUTED_VALUE"""),37.85)</f>
        <v>37.85</v>
      </c>
      <c r="S648" s="81"/>
      <c r="T648" s="81"/>
      <c r="U648" s="82"/>
      <c r="V648" s="82"/>
      <c r="W648" s="83"/>
      <c r="X648" s="83"/>
      <c r="Y648" s="83"/>
    </row>
    <row r="649" spans="1:25" ht="13.8">
      <c r="A649" s="78" t="str">
        <f ca="1">IFERROR(__xludf.DUMMYFUNCTION("""COMPUTED_VALUE"""),"FS")</f>
        <v>FS</v>
      </c>
      <c r="B649" s="79" t="str">
        <f ca="1">IFERROR(__xludf.DUMMYFUNCTION("""COMPUTED_VALUE"""),"Jocelyn Myers")</f>
        <v>Jocelyn Myers</v>
      </c>
      <c r="C649" s="78">
        <f ca="1">IFERROR(__xludf.DUMMYFUNCTION("""COMPUTED_VALUE"""),8)</f>
        <v>8</v>
      </c>
      <c r="D649" s="78" t="str">
        <f ca="1">IFERROR(__xludf.DUMMYFUNCTION("""COMPUTED_VALUE"""),"G")</f>
        <v>G</v>
      </c>
      <c r="E649" s="80" t="str">
        <f ca="1">IFERROR(__xludf.DUMMYFUNCTION("""COMPUTED_VALUE"""),"F")</f>
        <v>F</v>
      </c>
      <c r="F649" s="80" t="str">
        <f ca="1">IFERROR(__xludf.DUMMYFUNCTION("""COMPUTED_VALUE"""),"J")</f>
        <v>J</v>
      </c>
      <c r="G649" s="80">
        <f ca="1">IFERROR(__xludf.DUMMYFUNCTION("""COMPUTED_VALUE"""),6)</f>
        <v>6</v>
      </c>
      <c r="H649" s="80" t="str">
        <f ca="1">IFERROR(__xludf.DUMMYFUNCTION("""COMPUTED_VALUE"""),"FS")</f>
        <v>FS</v>
      </c>
      <c r="I649" s="80">
        <f ca="1">IFERROR(__xludf.DUMMYFUNCTION("""COMPUTED_VALUE"""),2)</f>
        <v>2</v>
      </c>
      <c r="J649" s="81">
        <f ca="1">IFERROR(__xludf.DUMMYFUNCTION("""COMPUTED_VALUE"""),0)</f>
        <v>0</v>
      </c>
      <c r="K649" s="81">
        <f ca="1">IFERROR(__xludf.DUMMYFUNCTION("""COMPUTED_VALUE"""),0)</f>
        <v>0</v>
      </c>
      <c r="L649" s="81">
        <f ca="1">IFERROR(__xludf.DUMMYFUNCTION("""COMPUTED_VALUE"""),0)</f>
        <v>0</v>
      </c>
      <c r="M649" s="81"/>
      <c r="N649" s="81">
        <f ca="1">IFERROR(__xludf.DUMMYFUNCTION("""COMPUTED_VALUE"""),0)</f>
        <v>0</v>
      </c>
      <c r="O649" s="81"/>
      <c r="P649" s="81">
        <f ca="1">IFERROR(__xludf.DUMMYFUNCTION("""COMPUTED_VALUE"""),0)</f>
        <v>0</v>
      </c>
      <c r="Q649" s="81"/>
      <c r="R649" s="81">
        <f ca="1">IFERROR(__xludf.DUMMYFUNCTION("""COMPUTED_VALUE"""),0)</f>
        <v>0</v>
      </c>
      <c r="S649" s="81"/>
      <c r="T649" s="81"/>
      <c r="U649" s="82"/>
      <c r="V649" s="82"/>
      <c r="W649" s="83"/>
      <c r="X649" s="83"/>
      <c r="Y649" s="83"/>
    </row>
    <row r="650" spans="1:25" ht="13.8">
      <c r="A650" s="78" t="str">
        <f ca="1">IFERROR(__xludf.DUMMYFUNCTION("""COMPUTED_VALUE"""),"FS")</f>
        <v>FS</v>
      </c>
      <c r="B650" s="79" t="str">
        <f ca="1">IFERROR(__xludf.DUMMYFUNCTION("""COMPUTED_VALUE"""),"Jacqueline Potter")</f>
        <v>Jacqueline Potter</v>
      </c>
      <c r="C650" s="78">
        <f ca="1">IFERROR(__xludf.DUMMYFUNCTION("""COMPUTED_VALUE"""),10)</f>
        <v>10</v>
      </c>
      <c r="D650" s="78" t="str">
        <f ca="1">IFERROR(__xludf.DUMMYFUNCTION("""COMPUTED_VALUE"""),"G")</f>
        <v>G</v>
      </c>
      <c r="E650" s="80" t="str">
        <f ca="1">IFERROR(__xludf.DUMMYFUNCTION("""COMPUTED_VALUE"""),"F")</f>
        <v>F</v>
      </c>
      <c r="F650" s="80" t="str">
        <f ca="1">IFERROR(__xludf.DUMMYFUNCTION("""COMPUTED_VALUE"""),"J")</f>
        <v>J</v>
      </c>
      <c r="G650" s="80">
        <f ca="1">IFERROR(__xludf.DUMMYFUNCTION("""COMPUTED_VALUE"""),6)</f>
        <v>6</v>
      </c>
      <c r="H650" s="80" t="str">
        <f ca="1">IFERROR(__xludf.DUMMYFUNCTION("""COMPUTED_VALUE"""),"FS")</f>
        <v>FS</v>
      </c>
      <c r="I650" s="80">
        <f ca="1">IFERROR(__xludf.DUMMYFUNCTION("""COMPUTED_VALUE"""),2)</f>
        <v>2</v>
      </c>
      <c r="J650" s="81">
        <f ca="1">IFERROR(__xludf.DUMMYFUNCTION("""COMPUTED_VALUE"""),3)</f>
        <v>3</v>
      </c>
      <c r="K650" s="81">
        <f ca="1">IFERROR(__xludf.DUMMYFUNCTION("""COMPUTED_VALUE"""),29.55)</f>
        <v>29.55</v>
      </c>
      <c r="L650" s="81">
        <f ca="1">IFERROR(__xludf.DUMMYFUNCTION("""COMPUTED_VALUE"""),0)</f>
        <v>0</v>
      </c>
      <c r="M650" s="81"/>
      <c r="N650" s="81">
        <f ca="1">IFERROR(__xludf.DUMMYFUNCTION("""COMPUTED_VALUE"""),28.9)</f>
        <v>28.9</v>
      </c>
      <c r="O650" s="81"/>
      <c r="P650" s="81">
        <f ca="1">IFERROR(__xludf.DUMMYFUNCTION("""COMPUTED_VALUE"""),29.55)</f>
        <v>29.55</v>
      </c>
      <c r="Q650" s="81"/>
      <c r="R650" s="81">
        <f ca="1">IFERROR(__xludf.DUMMYFUNCTION("""COMPUTED_VALUE"""),0)</f>
        <v>0</v>
      </c>
      <c r="S650" s="81"/>
      <c r="T650" s="81"/>
      <c r="U650" s="82"/>
      <c r="V650" s="82"/>
      <c r="W650" s="83"/>
      <c r="X650" s="83"/>
      <c r="Y650" s="83"/>
    </row>
    <row r="651" spans="1:25" ht="13.8">
      <c r="A651" s="78" t="str">
        <f ca="1">IFERROR(__xludf.DUMMYFUNCTION("""COMPUTED_VALUE"""),"FS")</f>
        <v>FS</v>
      </c>
      <c r="B651" s="79" t="str">
        <f ca="1">IFERROR(__xludf.DUMMYFUNCTION("""COMPUTED_VALUE"""),"Abby Reilly")</f>
        <v>Abby Reilly</v>
      </c>
      <c r="C651" s="78">
        <f ca="1">IFERROR(__xludf.DUMMYFUNCTION("""COMPUTED_VALUE"""),9)</f>
        <v>9</v>
      </c>
      <c r="D651" s="78" t="str">
        <f ca="1">IFERROR(__xludf.DUMMYFUNCTION("""COMPUTED_VALUE"""),"G")</f>
        <v>G</v>
      </c>
      <c r="E651" s="80" t="str">
        <f ca="1">IFERROR(__xludf.DUMMYFUNCTION("""COMPUTED_VALUE"""),"F")</f>
        <v>F</v>
      </c>
      <c r="F651" s="80" t="str">
        <f ca="1">IFERROR(__xludf.DUMMYFUNCTION("""COMPUTED_VALUE"""),"J")</f>
        <v>J</v>
      </c>
      <c r="G651" s="80">
        <f ca="1">IFERROR(__xludf.DUMMYFUNCTION("""COMPUTED_VALUE"""),6)</f>
        <v>6</v>
      </c>
      <c r="H651" s="80" t="str">
        <f ca="1">IFERROR(__xludf.DUMMYFUNCTION("""COMPUTED_VALUE"""),"FS")</f>
        <v>FS</v>
      </c>
      <c r="I651" s="80">
        <f ca="1">IFERROR(__xludf.DUMMYFUNCTION("""COMPUTED_VALUE"""),2)</f>
        <v>2</v>
      </c>
      <c r="J651" s="81">
        <f ca="1">IFERROR(__xludf.DUMMYFUNCTION("""COMPUTED_VALUE"""),4)</f>
        <v>4</v>
      </c>
      <c r="K651" s="81">
        <f ca="1">IFERROR(__xludf.DUMMYFUNCTION("""COMPUTED_VALUE"""),44.45)</f>
        <v>44.45</v>
      </c>
      <c r="L651" s="81">
        <f ca="1">IFERROR(__xludf.DUMMYFUNCTION("""COMPUTED_VALUE"""),26.3)</f>
        <v>26.3</v>
      </c>
      <c r="M651" s="81"/>
      <c r="N651" s="81">
        <f ca="1">IFERROR(__xludf.DUMMYFUNCTION("""COMPUTED_VALUE"""),43.7)</f>
        <v>43.7</v>
      </c>
      <c r="O651" s="81"/>
      <c r="P651" s="81">
        <f ca="1">IFERROR(__xludf.DUMMYFUNCTION("""COMPUTED_VALUE"""),0)</f>
        <v>0</v>
      </c>
      <c r="Q651" s="81"/>
      <c r="R651" s="81">
        <f ca="1">IFERROR(__xludf.DUMMYFUNCTION("""COMPUTED_VALUE"""),44.45)</f>
        <v>44.45</v>
      </c>
      <c r="S651" s="81"/>
      <c r="T651" s="81"/>
      <c r="U651" s="82"/>
      <c r="V651" s="82"/>
      <c r="W651" s="83"/>
      <c r="X651" s="83"/>
      <c r="Y651" s="83"/>
    </row>
    <row r="652" spans="1:25" ht="13.8">
      <c r="A652" s="78" t="str">
        <f ca="1">IFERROR(__xludf.DUMMYFUNCTION("""COMPUTED_VALUE"""),"FS")</f>
        <v>FS</v>
      </c>
      <c r="B652" s="79" t="str">
        <f ca="1">IFERROR(__xludf.DUMMYFUNCTION("""COMPUTED_VALUE"""),"Antonella Salcedo")</f>
        <v>Antonella Salcedo</v>
      </c>
      <c r="C652" s="78">
        <f ca="1">IFERROR(__xludf.DUMMYFUNCTION("""COMPUTED_VALUE"""),8)</f>
        <v>8</v>
      </c>
      <c r="D652" s="78" t="str">
        <f ca="1">IFERROR(__xludf.DUMMYFUNCTION("""COMPUTED_VALUE"""),"G")</f>
        <v>G</v>
      </c>
      <c r="E652" s="80" t="str">
        <f ca="1">IFERROR(__xludf.DUMMYFUNCTION("""COMPUTED_VALUE"""),"F")</f>
        <v>F</v>
      </c>
      <c r="F652" s="80" t="str">
        <f ca="1">IFERROR(__xludf.DUMMYFUNCTION("""COMPUTED_VALUE"""),"J")</f>
        <v>J</v>
      </c>
      <c r="G652" s="80">
        <f ca="1">IFERROR(__xludf.DUMMYFUNCTION("""COMPUTED_VALUE"""),6)</f>
        <v>6</v>
      </c>
      <c r="H652" s="80" t="str">
        <f ca="1">IFERROR(__xludf.DUMMYFUNCTION("""COMPUTED_VALUE"""),"FS")</f>
        <v>FS</v>
      </c>
      <c r="I652" s="80">
        <f ca="1">IFERROR(__xludf.DUMMYFUNCTION("""COMPUTED_VALUE"""),2)</f>
        <v>2</v>
      </c>
      <c r="J652" s="81">
        <f ca="1">IFERROR(__xludf.DUMMYFUNCTION("""COMPUTED_VALUE"""),2)</f>
        <v>2</v>
      </c>
      <c r="K652" s="81">
        <f ca="1">IFERROR(__xludf.DUMMYFUNCTION("""COMPUTED_VALUE"""),38.35)</f>
        <v>38.35</v>
      </c>
      <c r="L652" s="81">
        <f ca="1">IFERROR(__xludf.DUMMYFUNCTION("""COMPUTED_VALUE"""),0)</f>
        <v>0</v>
      </c>
      <c r="M652" s="81"/>
      <c r="N652" s="81">
        <f ca="1">IFERROR(__xludf.DUMMYFUNCTION("""COMPUTED_VALUE"""),0)</f>
        <v>0</v>
      </c>
      <c r="O652" s="81"/>
      <c r="P652" s="81">
        <f ca="1">IFERROR(__xludf.DUMMYFUNCTION("""COMPUTED_VALUE"""),0)</f>
        <v>0</v>
      </c>
      <c r="Q652" s="81"/>
      <c r="R652" s="81">
        <f ca="1">IFERROR(__xludf.DUMMYFUNCTION("""COMPUTED_VALUE"""),38.35)</f>
        <v>38.35</v>
      </c>
      <c r="S652" s="81"/>
      <c r="T652" s="81"/>
      <c r="U652" s="82"/>
      <c r="V652" s="82"/>
      <c r="W652" s="83"/>
      <c r="X652" s="83"/>
      <c r="Y652" s="83"/>
    </row>
    <row r="653" spans="1:25" ht="13.8">
      <c r="A653" s="78" t="str">
        <f ca="1">IFERROR(__xludf.DUMMYFUNCTION("""COMPUTED_VALUE"""),"FS")</f>
        <v>FS</v>
      </c>
      <c r="B653" s="79" t="str">
        <f ca="1">IFERROR(__xludf.DUMMYFUNCTION("""COMPUTED_VALUE"""),"Gaia Salcedo")</f>
        <v>Gaia Salcedo</v>
      </c>
      <c r="C653" s="78">
        <f ca="1">IFERROR(__xludf.DUMMYFUNCTION("""COMPUTED_VALUE"""),7)</f>
        <v>7</v>
      </c>
      <c r="D653" s="78" t="str">
        <f ca="1">IFERROR(__xludf.DUMMYFUNCTION("""COMPUTED_VALUE"""),"G")</f>
        <v>G</v>
      </c>
      <c r="E653" s="80" t="str">
        <f ca="1">IFERROR(__xludf.DUMMYFUNCTION("""COMPUTED_VALUE"""),"F")</f>
        <v>F</v>
      </c>
      <c r="F653" s="80" t="str">
        <f ca="1">IFERROR(__xludf.DUMMYFUNCTION("""COMPUTED_VALUE"""),"J")</f>
        <v>J</v>
      </c>
      <c r="G653" s="80">
        <f ca="1">IFERROR(__xludf.DUMMYFUNCTION("""COMPUTED_VALUE"""),6)</f>
        <v>6</v>
      </c>
      <c r="H653" s="80" t="str">
        <f ca="1">IFERROR(__xludf.DUMMYFUNCTION("""COMPUTED_VALUE"""),"FS")</f>
        <v>FS</v>
      </c>
      <c r="I653" s="80">
        <f ca="1">IFERROR(__xludf.DUMMYFUNCTION("""COMPUTED_VALUE"""),2)</f>
        <v>2</v>
      </c>
      <c r="J653" s="81">
        <f ca="1">IFERROR(__xludf.DUMMYFUNCTION("""COMPUTED_VALUE"""),0)</f>
        <v>0</v>
      </c>
      <c r="K653" s="81">
        <f ca="1">IFERROR(__xludf.DUMMYFUNCTION("""COMPUTED_VALUE"""),0)</f>
        <v>0</v>
      </c>
      <c r="L653" s="81">
        <f ca="1">IFERROR(__xludf.DUMMYFUNCTION("""COMPUTED_VALUE"""),0)</f>
        <v>0</v>
      </c>
      <c r="M653" s="81"/>
      <c r="N653" s="81">
        <f ca="1">IFERROR(__xludf.DUMMYFUNCTION("""COMPUTED_VALUE"""),0)</f>
        <v>0</v>
      </c>
      <c r="O653" s="81"/>
      <c r="P653" s="81">
        <f ca="1">IFERROR(__xludf.DUMMYFUNCTION("""COMPUTED_VALUE"""),0)</f>
        <v>0</v>
      </c>
      <c r="Q653" s="81"/>
      <c r="R653" s="81">
        <f ca="1">IFERROR(__xludf.DUMMYFUNCTION("""COMPUTED_VALUE"""),0)</f>
        <v>0</v>
      </c>
      <c r="S653" s="81"/>
      <c r="T653" s="81"/>
      <c r="U653" s="82"/>
      <c r="V653" s="82"/>
      <c r="W653" s="83"/>
      <c r="X653" s="83"/>
      <c r="Y653" s="83"/>
    </row>
    <row r="654" spans="1:25" ht="13.8">
      <c r="A654" s="78" t="str">
        <f ca="1">IFERROR(__xludf.DUMMYFUNCTION("""COMPUTED_VALUE"""),"FS")</f>
        <v>FS</v>
      </c>
      <c r="B654" s="79" t="str">
        <f ca="1">IFERROR(__xludf.DUMMYFUNCTION("""COMPUTED_VALUE"""),"Jocelyn Schermer")</f>
        <v>Jocelyn Schermer</v>
      </c>
      <c r="C654" s="78">
        <f ca="1">IFERROR(__xludf.DUMMYFUNCTION("""COMPUTED_VALUE"""),10)</f>
        <v>10</v>
      </c>
      <c r="D654" s="78" t="str">
        <f ca="1">IFERROR(__xludf.DUMMYFUNCTION("""COMPUTED_VALUE"""),"G")</f>
        <v>G</v>
      </c>
      <c r="E654" s="80" t="str">
        <f ca="1">IFERROR(__xludf.DUMMYFUNCTION("""COMPUTED_VALUE"""),"F")</f>
        <v>F</v>
      </c>
      <c r="F654" s="80" t="str">
        <f ca="1">IFERROR(__xludf.DUMMYFUNCTION("""COMPUTED_VALUE"""),"J")</f>
        <v>J</v>
      </c>
      <c r="G654" s="80">
        <f ca="1">IFERROR(__xludf.DUMMYFUNCTION("""COMPUTED_VALUE"""),6)</f>
        <v>6</v>
      </c>
      <c r="H654" s="80" t="str">
        <f ca="1">IFERROR(__xludf.DUMMYFUNCTION("""COMPUTED_VALUE"""),"FS")</f>
        <v>FS</v>
      </c>
      <c r="I654" s="80">
        <f ca="1">IFERROR(__xludf.DUMMYFUNCTION("""COMPUTED_VALUE"""),2)</f>
        <v>2</v>
      </c>
      <c r="J654" s="81">
        <f ca="1">IFERROR(__xludf.DUMMYFUNCTION("""COMPUTED_VALUE"""),0)</f>
        <v>0</v>
      </c>
      <c r="K654" s="81">
        <f ca="1">IFERROR(__xludf.DUMMYFUNCTION("""COMPUTED_VALUE"""),0)</f>
        <v>0</v>
      </c>
      <c r="L654" s="81">
        <f ca="1">IFERROR(__xludf.DUMMYFUNCTION("""COMPUTED_VALUE"""),0)</f>
        <v>0</v>
      </c>
      <c r="M654" s="81"/>
      <c r="N654" s="81">
        <f ca="1">IFERROR(__xludf.DUMMYFUNCTION("""COMPUTED_VALUE"""),0)</f>
        <v>0</v>
      </c>
      <c r="O654" s="81"/>
      <c r="P654" s="81">
        <f ca="1">IFERROR(__xludf.DUMMYFUNCTION("""COMPUTED_VALUE"""),0)</f>
        <v>0</v>
      </c>
      <c r="Q654" s="81"/>
      <c r="R654" s="81">
        <f ca="1">IFERROR(__xludf.DUMMYFUNCTION("""COMPUTED_VALUE"""),0)</f>
        <v>0</v>
      </c>
      <c r="S654" s="81"/>
      <c r="T654" s="81"/>
      <c r="U654" s="82"/>
      <c r="V654" s="82"/>
      <c r="W654" s="83"/>
      <c r="X654" s="83"/>
      <c r="Y654" s="83"/>
    </row>
    <row r="655" spans="1:25" ht="13.8">
      <c r="A655" s="78" t="str">
        <f ca="1">IFERROR(__xludf.DUMMYFUNCTION("""COMPUTED_VALUE"""),"FS")</f>
        <v>FS</v>
      </c>
      <c r="B655" s="79" t="str">
        <f ca="1">IFERROR(__xludf.DUMMYFUNCTION("""COMPUTED_VALUE"""),"Olive Schuppin")</f>
        <v>Olive Schuppin</v>
      </c>
      <c r="C655" s="78">
        <f ca="1">IFERROR(__xludf.DUMMYFUNCTION("""COMPUTED_VALUE"""),4)</f>
        <v>4</v>
      </c>
      <c r="D655" s="78" t="str">
        <f ca="1">IFERROR(__xludf.DUMMYFUNCTION("""COMPUTED_VALUE"""),"G")</f>
        <v>G</v>
      </c>
      <c r="E655" s="80" t="str">
        <f ca="1">IFERROR(__xludf.DUMMYFUNCTION("""COMPUTED_VALUE"""),"F")</f>
        <v>F</v>
      </c>
      <c r="F655" s="80" t="str">
        <f ca="1">IFERROR(__xludf.DUMMYFUNCTION("""COMPUTED_VALUE"""),"J")</f>
        <v>J</v>
      </c>
      <c r="G655" s="80">
        <f ca="1">IFERROR(__xludf.DUMMYFUNCTION("""COMPUTED_VALUE"""),6)</f>
        <v>6</v>
      </c>
      <c r="H655" s="80" t="str">
        <f ca="1">IFERROR(__xludf.DUMMYFUNCTION("""COMPUTED_VALUE"""),"FS")</f>
        <v>FS</v>
      </c>
      <c r="I655" s="80">
        <f ca="1">IFERROR(__xludf.DUMMYFUNCTION("""COMPUTED_VALUE"""),2)</f>
        <v>2</v>
      </c>
      <c r="J655" s="81">
        <f ca="1">IFERROR(__xludf.DUMMYFUNCTION("""COMPUTED_VALUE"""),0)</f>
        <v>0</v>
      </c>
      <c r="K655" s="81">
        <f ca="1">IFERROR(__xludf.DUMMYFUNCTION("""COMPUTED_VALUE"""),0)</f>
        <v>0</v>
      </c>
      <c r="L655" s="81">
        <f ca="1">IFERROR(__xludf.DUMMYFUNCTION("""COMPUTED_VALUE"""),0)</f>
        <v>0</v>
      </c>
      <c r="M655" s="81"/>
      <c r="N655" s="81">
        <f ca="1">IFERROR(__xludf.DUMMYFUNCTION("""COMPUTED_VALUE"""),0)</f>
        <v>0</v>
      </c>
      <c r="O655" s="81"/>
      <c r="P655" s="81">
        <f ca="1">IFERROR(__xludf.DUMMYFUNCTION("""COMPUTED_VALUE"""),0)</f>
        <v>0</v>
      </c>
      <c r="Q655" s="81"/>
      <c r="R655" s="81">
        <f ca="1">IFERROR(__xludf.DUMMYFUNCTION("""COMPUTED_VALUE"""),0)</f>
        <v>0</v>
      </c>
      <c r="S655" s="81"/>
      <c r="T655" s="81"/>
      <c r="U655" s="82"/>
      <c r="V655" s="82"/>
      <c r="W655" s="83"/>
      <c r="X655" s="83"/>
      <c r="Y655" s="83"/>
    </row>
    <row r="656" spans="1:25" ht="13.8">
      <c r="A656" s="78" t="str">
        <f ca="1">IFERROR(__xludf.DUMMYFUNCTION("""COMPUTED_VALUE"""),"FS")</f>
        <v>FS</v>
      </c>
      <c r="B656" s="79" t="str">
        <f ca="1">IFERROR(__xludf.DUMMYFUNCTION("""COMPUTED_VALUE"""),"Alice Siegmund")</f>
        <v>Alice Siegmund</v>
      </c>
      <c r="C656" s="78">
        <f ca="1">IFERROR(__xludf.DUMMYFUNCTION("""COMPUTED_VALUE"""),9)</f>
        <v>9</v>
      </c>
      <c r="D656" s="78" t="str">
        <f ca="1">IFERROR(__xludf.DUMMYFUNCTION("""COMPUTED_VALUE"""),"G")</f>
        <v>G</v>
      </c>
      <c r="E656" s="80" t="str">
        <f ca="1">IFERROR(__xludf.DUMMYFUNCTION("""COMPUTED_VALUE"""),"F")</f>
        <v>F</v>
      </c>
      <c r="F656" s="80" t="str">
        <f ca="1">IFERROR(__xludf.DUMMYFUNCTION("""COMPUTED_VALUE"""),"J")</f>
        <v>J</v>
      </c>
      <c r="G656" s="80">
        <f ca="1">IFERROR(__xludf.DUMMYFUNCTION("""COMPUTED_VALUE"""),6)</f>
        <v>6</v>
      </c>
      <c r="H656" s="80" t="str">
        <f ca="1">IFERROR(__xludf.DUMMYFUNCTION("""COMPUTED_VALUE"""),"FS")</f>
        <v>FS</v>
      </c>
      <c r="I656" s="80">
        <f ca="1">IFERROR(__xludf.DUMMYFUNCTION("""COMPUTED_VALUE"""),2)</f>
        <v>2</v>
      </c>
      <c r="J656" s="81">
        <f ca="1">IFERROR(__xludf.DUMMYFUNCTION("""COMPUTED_VALUE"""),4)</f>
        <v>4</v>
      </c>
      <c r="K656" s="81">
        <f ca="1">IFERROR(__xludf.DUMMYFUNCTION("""COMPUTED_VALUE"""),34.15)</f>
        <v>34.15</v>
      </c>
      <c r="L656" s="81">
        <f ca="1">IFERROR(__xludf.DUMMYFUNCTION("""COMPUTED_VALUE"""),26.45)</f>
        <v>26.45</v>
      </c>
      <c r="M656" s="81"/>
      <c r="N656" s="81">
        <f ca="1">IFERROR(__xludf.DUMMYFUNCTION("""COMPUTED_VALUE"""),34.15)</f>
        <v>34.15</v>
      </c>
      <c r="O656" s="81"/>
      <c r="P656" s="81">
        <f ca="1">IFERROR(__xludf.DUMMYFUNCTION("""COMPUTED_VALUE"""),32.3)</f>
        <v>32.299999999999997</v>
      </c>
      <c r="Q656" s="81"/>
      <c r="R656" s="81">
        <f ca="1">IFERROR(__xludf.DUMMYFUNCTION("""COMPUTED_VALUE"""),0)</f>
        <v>0</v>
      </c>
      <c r="S656" s="81"/>
      <c r="T656" s="81"/>
      <c r="U656" s="82"/>
      <c r="V656" s="82"/>
      <c r="W656" s="83"/>
      <c r="X656" s="83"/>
      <c r="Y656" s="83"/>
    </row>
    <row r="657" spans="1:25" ht="13.8">
      <c r="A657" s="78" t="str">
        <f ca="1">IFERROR(__xludf.DUMMYFUNCTION("""COMPUTED_VALUE"""),"FS")</f>
        <v>FS</v>
      </c>
      <c r="B657" s="79" t="str">
        <f ca="1">IFERROR(__xludf.DUMMYFUNCTION("""COMPUTED_VALUE"""),"Noelle Telleen")</f>
        <v>Noelle Telleen</v>
      </c>
      <c r="C657" s="78">
        <f ca="1">IFERROR(__xludf.DUMMYFUNCTION("""COMPUTED_VALUE"""),9)</f>
        <v>9</v>
      </c>
      <c r="D657" s="78" t="str">
        <f ca="1">IFERROR(__xludf.DUMMYFUNCTION("""COMPUTED_VALUE"""),"G")</f>
        <v>G</v>
      </c>
      <c r="E657" s="80" t="str">
        <f ca="1">IFERROR(__xludf.DUMMYFUNCTION("""COMPUTED_VALUE"""),"F")</f>
        <v>F</v>
      </c>
      <c r="F657" s="80" t="str">
        <f ca="1">IFERROR(__xludf.DUMMYFUNCTION("""COMPUTED_VALUE"""),"J")</f>
        <v>J</v>
      </c>
      <c r="G657" s="80">
        <f ca="1">IFERROR(__xludf.DUMMYFUNCTION("""COMPUTED_VALUE"""),6)</f>
        <v>6</v>
      </c>
      <c r="H657" s="80" t="str">
        <f ca="1">IFERROR(__xludf.DUMMYFUNCTION("""COMPUTED_VALUE"""),"FS")</f>
        <v>FS</v>
      </c>
      <c r="I657" s="80">
        <f ca="1">IFERROR(__xludf.DUMMYFUNCTION("""COMPUTED_VALUE"""),2)</f>
        <v>2</v>
      </c>
      <c r="J657" s="81">
        <f ca="1">IFERROR(__xludf.DUMMYFUNCTION("""COMPUTED_VALUE"""),5)</f>
        <v>5</v>
      </c>
      <c r="K657" s="81">
        <f ca="1">IFERROR(__xludf.DUMMYFUNCTION("""COMPUTED_VALUE"""),52.45)</f>
        <v>52.45</v>
      </c>
      <c r="L657" s="81">
        <f ca="1">IFERROR(__xludf.DUMMYFUNCTION("""COMPUTED_VALUE"""),52.45)</f>
        <v>52.45</v>
      </c>
      <c r="M657" s="81"/>
      <c r="N657" s="81">
        <f ca="1">IFERROR(__xludf.DUMMYFUNCTION("""COMPUTED_VALUE"""),45.3)</f>
        <v>45.3</v>
      </c>
      <c r="O657" s="81"/>
      <c r="P657" s="81">
        <f ca="1">IFERROR(__xludf.DUMMYFUNCTION("""COMPUTED_VALUE"""),46.1)</f>
        <v>46.1</v>
      </c>
      <c r="Q657" s="81"/>
      <c r="R657" s="81">
        <f ca="1">IFERROR(__xludf.DUMMYFUNCTION("""COMPUTED_VALUE"""),52.05)</f>
        <v>52.05</v>
      </c>
      <c r="S657" s="81"/>
      <c r="T657" s="81"/>
      <c r="U657" s="82"/>
      <c r="V657" s="82"/>
      <c r="W657" s="83"/>
      <c r="X657" s="83"/>
      <c r="Y657" s="83"/>
    </row>
    <row r="658" spans="1:25" ht="13.8">
      <c r="A658" s="78" t="str">
        <f ca="1">IFERROR(__xludf.DUMMYFUNCTION("""COMPUTED_VALUE"""),"FS")</f>
        <v>FS</v>
      </c>
      <c r="B658" s="79" t="str">
        <f ca="1">IFERROR(__xludf.DUMMYFUNCTION("""COMPUTED_VALUE"""),"Betsy Trollinger")</f>
        <v>Betsy Trollinger</v>
      </c>
      <c r="C658" s="78">
        <f ca="1">IFERROR(__xludf.DUMMYFUNCTION("""COMPUTED_VALUE"""),9)</f>
        <v>9</v>
      </c>
      <c r="D658" s="78" t="str">
        <f ca="1">IFERROR(__xludf.DUMMYFUNCTION("""COMPUTED_VALUE"""),"G")</f>
        <v>G</v>
      </c>
      <c r="E658" s="80" t="str">
        <f ca="1">IFERROR(__xludf.DUMMYFUNCTION("""COMPUTED_VALUE"""),"F")</f>
        <v>F</v>
      </c>
      <c r="F658" s="80" t="str">
        <f ca="1">IFERROR(__xludf.DUMMYFUNCTION("""COMPUTED_VALUE"""),"J")</f>
        <v>J</v>
      </c>
      <c r="G658" s="80">
        <f ca="1">IFERROR(__xludf.DUMMYFUNCTION("""COMPUTED_VALUE"""),6)</f>
        <v>6</v>
      </c>
      <c r="H658" s="80" t="str">
        <f ca="1">IFERROR(__xludf.DUMMYFUNCTION("""COMPUTED_VALUE"""),"FS")</f>
        <v>FS</v>
      </c>
      <c r="I658" s="80">
        <f ca="1">IFERROR(__xludf.DUMMYFUNCTION("""COMPUTED_VALUE"""),2)</f>
        <v>2</v>
      </c>
      <c r="J658" s="81">
        <f ca="1">IFERROR(__xludf.DUMMYFUNCTION("""COMPUTED_VALUE"""),1)</f>
        <v>1</v>
      </c>
      <c r="K658" s="81">
        <f ca="1">IFERROR(__xludf.DUMMYFUNCTION("""COMPUTED_VALUE"""),0)</f>
        <v>0</v>
      </c>
      <c r="L658" s="81">
        <f ca="1">IFERROR(__xludf.DUMMYFUNCTION("""COMPUTED_VALUE"""),0)</f>
        <v>0</v>
      </c>
      <c r="M658" s="81"/>
      <c r="N658" s="81">
        <f ca="1">IFERROR(__xludf.DUMMYFUNCTION("""COMPUTED_VALUE"""),0)</f>
        <v>0</v>
      </c>
      <c r="O658" s="81"/>
      <c r="P658" s="81">
        <f ca="1">IFERROR(__xludf.DUMMYFUNCTION("""COMPUTED_VALUE"""),0)</f>
        <v>0</v>
      </c>
      <c r="Q658" s="81"/>
      <c r="R658" s="81">
        <f ca="1">IFERROR(__xludf.DUMMYFUNCTION("""COMPUTED_VALUE"""),0)</f>
        <v>0</v>
      </c>
      <c r="S658" s="81"/>
      <c r="T658" s="81"/>
      <c r="U658" s="82"/>
      <c r="V658" s="82"/>
      <c r="W658" s="83"/>
      <c r="X658" s="83"/>
      <c r="Y658" s="83"/>
    </row>
    <row r="659" spans="1:25" ht="13.8">
      <c r="A659" s="78" t="str">
        <f ca="1">IFERROR(__xludf.DUMMYFUNCTION("""COMPUTED_VALUE"""),"FS")</f>
        <v>FS</v>
      </c>
      <c r="B659" s="79" t="str">
        <f ca="1">IFERROR(__xludf.DUMMYFUNCTION("""COMPUTED_VALUE"""),"Emersyn Wilbur")</f>
        <v>Emersyn Wilbur</v>
      </c>
      <c r="C659" s="78">
        <f ca="1">IFERROR(__xludf.DUMMYFUNCTION("""COMPUTED_VALUE"""),9)</f>
        <v>9</v>
      </c>
      <c r="D659" s="78" t="str">
        <f ca="1">IFERROR(__xludf.DUMMYFUNCTION("""COMPUTED_VALUE"""),"G")</f>
        <v>G</v>
      </c>
      <c r="E659" s="80" t="str">
        <f ca="1">IFERROR(__xludf.DUMMYFUNCTION("""COMPUTED_VALUE"""),"F")</f>
        <v>F</v>
      </c>
      <c r="F659" s="80" t="str">
        <f ca="1">IFERROR(__xludf.DUMMYFUNCTION("""COMPUTED_VALUE"""),"J")</f>
        <v>J</v>
      </c>
      <c r="G659" s="80">
        <f ca="1">IFERROR(__xludf.DUMMYFUNCTION("""COMPUTED_VALUE"""),6)</f>
        <v>6</v>
      </c>
      <c r="H659" s="80" t="str">
        <f ca="1">IFERROR(__xludf.DUMMYFUNCTION("""COMPUTED_VALUE"""),"FS")</f>
        <v>FS</v>
      </c>
      <c r="I659" s="80">
        <f ca="1">IFERROR(__xludf.DUMMYFUNCTION("""COMPUTED_VALUE"""),2)</f>
        <v>2</v>
      </c>
      <c r="J659" s="81">
        <f ca="1">IFERROR(__xludf.DUMMYFUNCTION("""COMPUTED_VALUE"""),3)</f>
        <v>3</v>
      </c>
      <c r="K659" s="81">
        <f ca="1">IFERROR(__xludf.DUMMYFUNCTION("""COMPUTED_VALUE"""),38.7)</f>
        <v>38.700000000000003</v>
      </c>
      <c r="L659" s="81">
        <f ca="1">IFERROR(__xludf.DUMMYFUNCTION("""COMPUTED_VALUE"""),0)</f>
        <v>0</v>
      </c>
      <c r="M659" s="81"/>
      <c r="N659" s="81">
        <f ca="1">IFERROR(__xludf.DUMMYFUNCTION("""COMPUTED_VALUE"""),38.7)</f>
        <v>38.700000000000003</v>
      </c>
      <c r="O659" s="81"/>
      <c r="P659" s="81">
        <f ca="1">IFERROR(__xludf.DUMMYFUNCTION("""COMPUTED_VALUE"""),0)</f>
        <v>0</v>
      </c>
      <c r="Q659" s="81"/>
      <c r="R659" s="81">
        <f ca="1">IFERROR(__xludf.DUMMYFUNCTION("""COMPUTED_VALUE"""),34.05)</f>
        <v>34.049999999999997</v>
      </c>
      <c r="S659" s="81"/>
      <c r="T659" s="81"/>
      <c r="U659" s="82"/>
      <c r="V659" s="82"/>
      <c r="W659" s="83"/>
      <c r="X659" s="83"/>
      <c r="Y659" s="83"/>
    </row>
    <row r="660" spans="1:25" ht="13.8">
      <c r="A660" s="78" t="str">
        <f ca="1">IFERROR(__xludf.DUMMYFUNCTION("""COMPUTED_VALUE"""),"FS")</f>
        <v>FS</v>
      </c>
      <c r="B660" s="79" t="str">
        <f ca="1">IFERROR(__xludf.DUMMYFUNCTION("""COMPUTED_VALUE"""),"Victoria Williams")</f>
        <v>Victoria Williams</v>
      </c>
      <c r="C660" s="78">
        <f ca="1">IFERROR(__xludf.DUMMYFUNCTION("""COMPUTED_VALUE"""),7)</f>
        <v>7</v>
      </c>
      <c r="D660" s="78" t="str">
        <f ca="1">IFERROR(__xludf.DUMMYFUNCTION("""COMPUTED_VALUE"""),"G")</f>
        <v>G</v>
      </c>
      <c r="E660" s="80" t="str">
        <f ca="1">IFERROR(__xludf.DUMMYFUNCTION("""COMPUTED_VALUE"""),"F")</f>
        <v>F</v>
      </c>
      <c r="F660" s="80" t="str">
        <f ca="1">IFERROR(__xludf.DUMMYFUNCTION("""COMPUTED_VALUE"""),"J")</f>
        <v>J</v>
      </c>
      <c r="G660" s="80">
        <f ca="1">IFERROR(__xludf.DUMMYFUNCTION("""COMPUTED_VALUE"""),6)</f>
        <v>6</v>
      </c>
      <c r="H660" s="80" t="str">
        <f ca="1">IFERROR(__xludf.DUMMYFUNCTION("""COMPUTED_VALUE"""),"FS")</f>
        <v>FS</v>
      </c>
      <c r="I660" s="80">
        <f ca="1">IFERROR(__xludf.DUMMYFUNCTION("""COMPUTED_VALUE"""),2)</f>
        <v>2</v>
      </c>
      <c r="J660" s="81">
        <f ca="1">IFERROR(__xludf.DUMMYFUNCTION("""COMPUTED_VALUE"""),3)</f>
        <v>3</v>
      </c>
      <c r="K660" s="81">
        <f ca="1">IFERROR(__xludf.DUMMYFUNCTION("""COMPUTED_VALUE"""),49.35)</f>
        <v>49.35</v>
      </c>
      <c r="L660" s="81">
        <f ca="1">IFERROR(__xludf.DUMMYFUNCTION("""COMPUTED_VALUE"""),49.35)</f>
        <v>49.35</v>
      </c>
      <c r="M660" s="81"/>
      <c r="N660" s="81">
        <f ca="1">IFERROR(__xludf.DUMMYFUNCTION("""COMPUTED_VALUE"""),0)</f>
        <v>0</v>
      </c>
      <c r="O660" s="81"/>
      <c r="P660" s="81">
        <f ca="1">IFERROR(__xludf.DUMMYFUNCTION("""COMPUTED_VALUE"""),0)</f>
        <v>0</v>
      </c>
      <c r="Q660" s="81"/>
      <c r="R660" s="81">
        <f ca="1">IFERROR(__xludf.DUMMYFUNCTION("""COMPUTED_VALUE"""),46.1)</f>
        <v>46.1</v>
      </c>
      <c r="S660" s="81"/>
      <c r="T660" s="81"/>
      <c r="U660" s="82"/>
      <c r="V660" s="82"/>
      <c r="W660" s="83"/>
      <c r="X660" s="83"/>
      <c r="Y660" s="83"/>
    </row>
    <row r="661" spans="1:25" ht="13.8">
      <c r="A661" s="78" t="str">
        <f ca="1">IFERROR(__xludf.DUMMYFUNCTION("""COMPUTED_VALUE"""),"FS")</f>
        <v>FS</v>
      </c>
      <c r="B661" s="79" t="str">
        <f ca="1">IFERROR(__xludf.DUMMYFUNCTION("""COMPUTED_VALUE"""),"Simon Brooks")</f>
        <v>Simon Brooks</v>
      </c>
      <c r="C661" s="78">
        <f ca="1">IFERROR(__xludf.DUMMYFUNCTION("""COMPUTED_VALUE"""),5)</f>
        <v>5</v>
      </c>
      <c r="D661" s="78" t="str">
        <f ca="1">IFERROR(__xludf.DUMMYFUNCTION("""COMPUTED_VALUE"""),"B")</f>
        <v>B</v>
      </c>
      <c r="E661" s="80" t="str">
        <f ca="1">IFERROR(__xludf.DUMMYFUNCTION("""COMPUTED_VALUE"""),"F")</f>
        <v>F</v>
      </c>
      <c r="F661" s="80" t="str">
        <f ca="1">IFERROR(__xludf.DUMMYFUNCTION("""COMPUTED_VALUE"""),"J")</f>
        <v>J</v>
      </c>
      <c r="G661" s="80">
        <f ca="1">IFERROR(__xludf.DUMMYFUNCTION("""COMPUTED_VALUE"""),6)</f>
        <v>6</v>
      </c>
      <c r="H661" s="80" t="str">
        <f ca="1">IFERROR(__xludf.DUMMYFUNCTION("""COMPUTED_VALUE"""),"FS")</f>
        <v>FS</v>
      </c>
      <c r="I661" s="80">
        <f ca="1">IFERROR(__xludf.DUMMYFUNCTION("""COMPUTED_VALUE"""),3)</f>
        <v>3</v>
      </c>
      <c r="J661" s="81">
        <f ca="1">IFERROR(__xludf.DUMMYFUNCTION("""COMPUTED_VALUE"""),0)</f>
        <v>0</v>
      </c>
      <c r="K661" s="81">
        <f ca="1">IFERROR(__xludf.DUMMYFUNCTION("""COMPUTED_VALUE"""),0)</f>
        <v>0</v>
      </c>
      <c r="L661" s="81">
        <f ca="1">IFERROR(__xludf.DUMMYFUNCTION("""COMPUTED_VALUE"""),0)</f>
        <v>0</v>
      </c>
      <c r="M661" s="81"/>
      <c r="N661" s="81">
        <f ca="1">IFERROR(__xludf.DUMMYFUNCTION("""COMPUTED_VALUE"""),0)</f>
        <v>0</v>
      </c>
      <c r="O661" s="81"/>
      <c r="P661" s="81">
        <f ca="1">IFERROR(__xludf.DUMMYFUNCTION("""COMPUTED_VALUE"""),0)</f>
        <v>0</v>
      </c>
      <c r="Q661" s="81"/>
      <c r="R661" s="81">
        <f ca="1">IFERROR(__xludf.DUMMYFUNCTION("""COMPUTED_VALUE"""),0)</f>
        <v>0</v>
      </c>
      <c r="S661" s="81"/>
      <c r="T661" s="81"/>
      <c r="U661" s="82"/>
      <c r="V661" s="82"/>
      <c r="W661" s="83"/>
      <c r="X661" s="83"/>
      <c r="Y661" s="83"/>
    </row>
    <row r="662" spans="1:25" ht="13.8">
      <c r="A662" s="78" t="str">
        <f ca="1">IFERROR(__xludf.DUMMYFUNCTION("""COMPUTED_VALUE"""),"FS")</f>
        <v>FS</v>
      </c>
      <c r="B662" s="79" t="str">
        <f ca="1">IFERROR(__xludf.DUMMYFUNCTION("""COMPUTED_VALUE"""),"William Clark")</f>
        <v>William Clark</v>
      </c>
      <c r="C662" s="78">
        <f ca="1">IFERROR(__xludf.DUMMYFUNCTION("""COMPUTED_VALUE"""),9)</f>
        <v>9</v>
      </c>
      <c r="D662" s="78" t="str">
        <f ca="1">IFERROR(__xludf.DUMMYFUNCTION("""COMPUTED_VALUE"""),"B")</f>
        <v>B</v>
      </c>
      <c r="E662" s="80" t="str">
        <f ca="1">IFERROR(__xludf.DUMMYFUNCTION("""COMPUTED_VALUE"""),"F")</f>
        <v>F</v>
      </c>
      <c r="F662" s="80" t="str">
        <f ca="1">IFERROR(__xludf.DUMMYFUNCTION("""COMPUTED_VALUE"""),"J")</f>
        <v>J</v>
      </c>
      <c r="G662" s="80">
        <f ca="1">IFERROR(__xludf.DUMMYFUNCTION("""COMPUTED_VALUE"""),6)</f>
        <v>6</v>
      </c>
      <c r="H662" s="80" t="str">
        <f ca="1">IFERROR(__xludf.DUMMYFUNCTION("""COMPUTED_VALUE"""),"FS")</f>
        <v>FS</v>
      </c>
      <c r="I662" s="80">
        <f ca="1">IFERROR(__xludf.DUMMYFUNCTION("""COMPUTED_VALUE"""),3)</f>
        <v>3</v>
      </c>
      <c r="J662" s="81">
        <f ca="1">IFERROR(__xludf.DUMMYFUNCTION("""COMPUTED_VALUE"""),3)</f>
        <v>3</v>
      </c>
      <c r="K662" s="81">
        <f ca="1">IFERROR(__xludf.DUMMYFUNCTION("""COMPUTED_VALUE"""),49.35)</f>
        <v>49.35</v>
      </c>
      <c r="L662" s="81">
        <f ca="1">IFERROR(__xludf.DUMMYFUNCTION("""COMPUTED_VALUE"""),49.35)</f>
        <v>49.35</v>
      </c>
      <c r="M662" s="81"/>
      <c r="N662" s="81">
        <f ca="1">IFERROR(__xludf.DUMMYFUNCTION("""COMPUTED_VALUE"""),31.5)</f>
        <v>31.5</v>
      </c>
      <c r="O662" s="81"/>
      <c r="P662" s="81">
        <f ca="1">IFERROR(__xludf.DUMMYFUNCTION("""COMPUTED_VALUE"""),0)</f>
        <v>0</v>
      </c>
      <c r="Q662" s="81"/>
      <c r="R662" s="81">
        <f ca="1">IFERROR(__xludf.DUMMYFUNCTION("""COMPUTED_VALUE"""),43.05)</f>
        <v>43.05</v>
      </c>
      <c r="S662" s="81"/>
      <c r="T662" s="81"/>
      <c r="U662" s="82"/>
      <c r="V662" s="82"/>
      <c r="W662" s="83"/>
      <c r="X662" s="83"/>
      <c r="Y662" s="83"/>
    </row>
    <row r="663" spans="1:25" ht="13.8">
      <c r="A663" s="78" t="str">
        <f ca="1">IFERROR(__xludf.DUMMYFUNCTION("""COMPUTED_VALUE"""),"FS")</f>
        <v>FS</v>
      </c>
      <c r="B663" s="79" t="str">
        <f ca="1">IFERROR(__xludf.DUMMYFUNCTION("""COMPUTED_VALUE"""),"Boone Dean")</f>
        <v>Boone Dean</v>
      </c>
      <c r="C663" s="78">
        <f ca="1">IFERROR(__xludf.DUMMYFUNCTION("""COMPUTED_VALUE"""),10)</f>
        <v>10</v>
      </c>
      <c r="D663" s="78" t="str">
        <f ca="1">IFERROR(__xludf.DUMMYFUNCTION("""COMPUTED_VALUE"""),"B")</f>
        <v>B</v>
      </c>
      <c r="E663" s="80" t="str">
        <f ca="1">IFERROR(__xludf.DUMMYFUNCTION("""COMPUTED_VALUE"""),"F")</f>
        <v>F</v>
      </c>
      <c r="F663" s="80" t="str">
        <f ca="1">IFERROR(__xludf.DUMMYFUNCTION("""COMPUTED_VALUE"""),"J")</f>
        <v>J</v>
      </c>
      <c r="G663" s="80">
        <f ca="1">IFERROR(__xludf.DUMMYFUNCTION("""COMPUTED_VALUE"""),6)</f>
        <v>6</v>
      </c>
      <c r="H663" s="80" t="str">
        <f ca="1">IFERROR(__xludf.DUMMYFUNCTION("""COMPUTED_VALUE"""),"FS")</f>
        <v>FS</v>
      </c>
      <c r="I663" s="80">
        <f ca="1">IFERROR(__xludf.DUMMYFUNCTION("""COMPUTED_VALUE"""),3)</f>
        <v>3</v>
      </c>
      <c r="J663" s="81">
        <f ca="1">IFERROR(__xludf.DUMMYFUNCTION("""COMPUTED_VALUE"""),4)</f>
        <v>4</v>
      </c>
      <c r="K663" s="81">
        <f ca="1">IFERROR(__xludf.DUMMYFUNCTION("""COMPUTED_VALUE"""),44.4)</f>
        <v>44.4</v>
      </c>
      <c r="L663" s="81">
        <f ca="1">IFERROR(__xludf.DUMMYFUNCTION("""COMPUTED_VALUE"""),0)</f>
        <v>0</v>
      </c>
      <c r="M663" s="81"/>
      <c r="N663" s="81">
        <f ca="1">IFERROR(__xludf.DUMMYFUNCTION("""COMPUTED_VALUE"""),34.15)</f>
        <v>34.15</v>
      </c>
      <c r="O663" s="81"/>
      <c r="P663" s="81">
        <f ca="1">IFERROR(__xludf.DUMMYFUNCTION("""COMPUTED_VALUE"""),44.4)</f>
        <v>44.4</v>
      </c>
      <c r="Q663" s="81"/>
      <c r="R663" s="81">
        <f ca="1">IFERROR(__xludf.DUMMYFUNCTION("""COMPUTED_VALUE"""),43.05)</f>
        <v>43.05</v>
      </c>
      <c r="S663" s="81"/>
      <c r="T663" s="81"/>
      <c r="U663" s="82"/>
      <c r="V663" s="82"/>
      <c r="W663" s="83"/>
      <c r="X663" s="83"/>
      <c r="Y663" s="83"/>
    </row>
    <row r="664" spans="1:25" ht="13.8">
      <c r="A664" s="78" t="str">
        <f ca="1">IFERROR(__xludf.DUMMYFUNCTION("""COMPUTED_VALUE"""),"FS")</f>
        <v>FS</v>
      </c>
      <c r="B664" s="79" t="str">
        <f ca="1">IFERROR(__xludf.DUMMYFUNCTION("""COMPUTED_VALUE"""),"Ebenezer Louie")</f>
        <v>Ebenezer Louie</v>
      </c>
      <c r="C664" s="78">
        <f ca="1">IFERROR(__xludf.DUMMYFUNCTION("""COMPUTED_VALUE"""),6)</f>
        <v>6</v>
      </c>
      <c r="D664" s="78" t="str">
        <f ca="1">IFERROR(__xludf.DUMMYFUNCTION("""COMPUTED_VALUE"""),"B")</f>
        <v>B</v>
      </c>
      <c r="E664" s="80" t="str">
        <f ca="1">IFERROR(__xludf.DUMMYFUNCTION("""COMPUTED_VALUE"""),"F")</f>
        <v>F</v>
      </c>
      <c r="F664" s="80" t="str">
        <f ca="1">IFERROR(__xludf.DUMMYFUNCTION("""COMPUTED_VALUE"""),"J")</f>
        <v>J</v>
      </c>
      <c r="G664" s="80">
        <f ca="1">IFERROR(__xludf.DUMMYFUNCTION("""COMPUTED_VALUE"""),6)</f>
        <v>6</v>
      </c>
      <c r="H664" s="80" t="str">
        <f ca="1">IFERROR(__xludf.DUMMYFUNCTION("""COMPUTED_VALUE"""),"FS")</f>
        <v>FS</v>
      </c>
      <c r="I664" s="80">
        <f ca="1">IFERROR(__xludf.DUMMYFUNCTION("""COMPUTED_VALUE"""),3)</f>
        <v>3</v>
      </c>
      <c r="J664" s="81">
        <f ca="1">IFERROR(__xludf.DUMMYFUNCTION("""COMPUTED_VALUE"""),0)</f>
        <v>0</v>
      </c>
      <c r="K664" s="81">
        <f ca="1">IFERROR(__xludf.DUMMYFUNCTION("""COMPUTED_VALUE"""),0)</f>
        <v>0</v>
      </c>
      <c r="L664" s="81">
        <f ca="1">IFERROR(__xludf.DUMMYFUNCTION("""COMPUTED_VALUE"""),0)</f>
        <v>0</v>
      </c>
      <c r="M664" s="81"/>
      <c r="N664" s="81">
        <f ca="1">IFERROR(__xludf.DUMMYFUNCTION("""COMPUTED_VALUE"""),0)</f>
        <v>0</v>
      </c>
      <c r="O664" s="81"/>
      <c r="P664" s="81">
        <f ca="1">IFERROR(__xludf.DUMMYFUNCTION("""COMPUTED_VALUE"""),0)</f>
        <v>0</v>
      </c>
      <c r="Q664" s="81"/>
      <c r="R664" s="81">
        <f ca="1">IFERROR(__xludf.DUMMYFUNCTION("""COMPUTED_VALUE"""),0)</f>
        <v>0</v>
      </c>
      <c r="S664" s="81"/>
      <c r="T664" s="81"/>
      <c r="U664" s="82"/>
      <c r="V664" s="82"/>
      <c r="W664" s="83"/>
      <c r="X664" s="83"/>
      <c r="Y664" s="83"/>
    </row>
    <row r="665" spans="1:25" ht="13.8">
      <c r="A665" s="78" t="str">
        <f ca="1">IFERROR(__xludf.DUMMYFUNCTION("""COMPUTED_VALUE"""),"FS")</f>
        <v>FS</v>
      </c>
      <c r="B665" s="79" t="str">
        <f ca="1">IFERROR(__xludf.DUMMYFUNCTION("""COMPUTED_VALUE"""),"Zeke Louie")</f>
        <v>Zeke Louie</v>
      </c>
      <c r="C665" s="78">
        <f ca="1">IFERROR(__xludf.DUMMYFUNCTION("""COMPUTED_VALUE"""),9)</f>
        <v>9</v>
      </c>
      <c r="D665" s="78" t="str">
        <f ca="1">IFERROR(__xludf.DUMMYFUNCTION("""COMPUTED_VALUE"""),"B")</f>
        <v>B</v>
      </c>
      <c r="E665" s="80" t="str">
        <f ca="1">IFERROR(__xludf.DUMMYFUNCTION("""COMPUTED_VALUE"""),"F")</f>
        <v>F</v>
      </c>
      <c r="F665" s="80" t="str">
        <f ca="1">IFERROR(__xludf.DUMMYFUNCTION("""COMPUTED_VALUE"""),"J")</f>
        <v>J</v>
      </c>
      <c r="G665" s="80">
        <f ca="1">IFERROR(__xludf.DUMMYFUNCTION("""COMPUTED_VALUE"""),6)</f>
        <v>6</v>
      </c>
      <c r="H665" s="80" t="str">
        <f ca="1">IFERROR(__xludf.DUMMYFUNCTION("""COMPUTED_VALUE"""),"FS")</f>
        <v>FS</v>
      </c>
      <c r="I665" s="80">
        <f ca="1">IFERROR(__xludf.DUMMYFUNCTION("""COMPUTED_VALUE"""),3)</f>
        <v>3</v>
      </c>
      <c r="J665" s="81">
        <f ca="1">IFERROR(__xludf.DUMMYFUNCTION("""COMPUTED_VALUE"""),3)</f>
        <v>3</v>
      </c>
      <c r="K665" s="81">
        <f ca="1">IFERROR(__xludf.DUMMYFUNCTION("""COMPUTED_VALUE"""),19)</f>
        <v>19</v>
      </c>
      <c r="L665" s="81">
        <f ca="1">IFERROR(__xludf.DUMMYFUNCTION("""COMPUTED_VALUE"""),0)</f>
        <v>0</v>
      </c>
      <c r="M665" s="81"/>
      <c r="N665" s="81">
        <f ca="1">IFERROR(__xludf.DUMMYFUNCTION("""COMPUTED_VALUE"""),8)</f>
        <v>8</v>
      </c>
      <c r="O665" s="81"/>
      <c r="P665" s="81">
        <f ca="1">IFERROR(__xludf.DUMMYFUNCTION("""COMPUTED_VALUE"""),19)</f>
        <v>19</v>
      </c>
      <c r="Q665" s="81"/>
      <c r="R665" s="81">
        <f ca="1">IFERROR(__xludf.DUMMYFUNCTION("""COMPUTED_VALUE"""),0)</f>
        <v>0</v>
      </c>
      <c r="S665" s="81"/>
      <c r="T665" s="81"/>
      <c r="U665" s="82"/>
      <c r="V665" s="82"/>
      <c r="W665" s="83"/>
      <c r="X665" s="83"/>
      <c r="Y665" s="83"/>
    </row>
    <row r="666" spans="1:25" ht="13.8">
      <c r="A666" s="78" t="str">
        <f ca="1">IFERROR(__xludf.DUMMYFUNCTION("""COMPUTED_VALUE"""),"FS")</f>
        <v>FS</v>
      </c>
      <c r="B666" s="79" t="str">
        <f ca="1">IFERROR(__xludf.DUMMYFUNCTION("""COMPUTED_VALUE"""),"Levi Lundeby")</f>
        <v>Levi Lundeby</v>
      </c>
      <c r="C666" s="78">
        <f ca="1">IFERROR(__xludf.DUMMYFUNCTION("""COMPUTED_VALUE"""),10)</f>
        <v>10</v>
      </c>
      <c r="D666" s="78" t="str">
        <f ca="1">IFERROR(__xludf.DUMMYFUNCTION("""COMPUTED_VALUE"""),"B")</f>
        <v>B</v>
      </c>
      <c r="E666" s="80" t="str">
        <f ca="1">IFERROR(__xludf.DUMMYFUNCTION("""COMPUTED_VALUE"""),"F")</f>
        <v>F</v>
      </c>
      <c r="F666" s="80" t="str">
        <f ca="1">IFERROR(__xludf.DUMMYFUNCTION("""COMPUTED_VALUE"""),"J")</f>
        <v>J</v>
      </c>
      <c r="G666" s="80">
        <f ca="1">IFERROR(__xludf.DUMMYFUNCTION("""COMPUTED_VALUE"""),6)</f>
        <v>6</v>
      </c>
      <c r="H666" s="80" t="str">
        <f ca="1">IFERROR(__xludf.DUMMYFUNCTION("""COMPUTED_VALUE"""),"FS")</f>
        <v>FS</v>
      </c>
      <c r="I666" s="80">
        <f ca="1">IFERROR(__xludf.DUMMYFUNCTION("""COMPUTED_VALUE"""),3)</f>
        <v>3</v>
      </c>
      <c r="J666" s="81">
        <f ca="1">IFERROR(__xludf.DUMMYFUNCTION("""COMPUTED_VALUE"""),3)</f>
        <v>3</v>
      </c>
      <c r="K666" s="81">
        <f ca="1">IFERROR(__xludf.DUMMYFUNCTION("""COMPUTED_VALUE"""),72.15)</f>
        <v>72.150000000000006</v>
      </c>
      <c r="L666" s="81">
        <f ca="1">IFERROR(__xludf.DUMMYFUNCTION("""COMPUTED_VALUE"""),0)</f>
        <v>0</v>
      </c>
      <c r="M666" s="81"/>
      <c r="N666" s="81">
        <f ca="1">IFERROR(__xludf.DUMMYFUNCTION("""COMPUTED_VALUE"""),67.9)</f>
        <v>67.900000000000006</v>
      </c>
      <c r="O666" s="81"/>
      <c r="P666" s="81">
        <f ca="1">IFERROR(__xludf.DUMMYFUNCTION("""COMPUTED_VALUE"""),72.15)</f>
        <v>72.150000000000006</v>
      </c>
      <c r="Q666" s="81"/>
      <c r="R666" s="81">
        <f ca="1">IFERROR(__xludf.DUMMYFUNCTION("""COMPUTED_VALUE"""),62.05)</f>
        <v>62.05</v>
      </c>
      <c r="S666" s="81"/>
      <c r="T666" s="81"/>
      <c r="U666" s="82"/>
      <c r="V666" s="82"/>
      <c r="W666" s="83"/>
      <c r="X666" s="83"/>
      <c r="Y666" s="83"/>
    </row>
    <row r="667" spans="1:25" ht="13.8">
      <c r="A667" s="78" t="str">
        <f ca="1">IFERROR(__xludf.DUMMYFUNCTION("""COMPUTED_VALUE"""),"FS")</f>
        <v>FS</v>
      </c>
      <c r="B667" s="79" t="str">
        <f ca="1">IFERROR(__xludf.DUMMYFUNCTION("""COMPUTED_VALUE"""),"Charlie Mahoney")</f>
        <v>Charlie Mahoney</v>
      </c>
      <c r="C667" s="78">
        <f ca="1">IFERROR(__xludf.DUMMYFUNCTION("""COMPUTED_VALUE"""),8)</f>
        <v>8</v>
      </c>
      <c r="D667" s="78" t="str">
        <f ca="1">IFERROR(__xludf.DUMMYFUNCTION("""COMPUTED_VALUE"""),"B")</f>
        <v>B</v>
      </c>
      <c r="E667" s="80" t="str">
        <f ca="1">IFERROR(__xludf.DUMMYFUNCTION("""COMPUTED_VALUE"""),"F")</f>
        <v>F</v>
      </c>
      <c r="F667" s="80" t="str">
        <f ca="1">IFERROR(__xludf.DUMMYFUNCTION("""COMPUTED_VALUE"""),"J")</f>
        <v>J</v>
      </c>
      <c r="G667" s="80">
        <f ca="1">IFERROR(__xludf.DUMMYFUNCTION("""COMPUTED_VALUE"""),6)</f>
        <v>6</v>
      </c>
      <c r="H667" s="80" t="str">
        <f ca="1">IFERROR(__xludf.DUMMYFUNCTION("""COMPUTED_VALUE"""),"FS")</f>
        <v>FS</v>
      </c>
      <c r="I667" s="80">
        <f ca="1">IFERROR(__xludf.DUMMYFUNCTION("""COMPUTED_VALUE"""),3)</f>
        <v>3</v>
      </c>
      <c r="J667" s="81">
        <f ca="1">IFERROR(__xludf.DUMMYFUNCTION("""COMPUTED_VALUE"""),0)</f>
        <v>0</v>
      </c>
      <c r="K667" s="81">
        <f ca="1">IFERROR(__xludf.DUMMYFUNCTION("""COMPUTED_VALUE"""),0)</f>
        <v>0</v>
      </c>
      <c r="L667" s="81">
        <f ca="1">IFERROR(__xludf.DUMMYFUNCTION("""COMPUTED_VALUE"""),0)</f>
        <v>0</v>
      </c>
      <c r="M667" s="81"/>
      <c r="N667" s="81">
        <f ca="1">IFERROR(__xludf.DUMMYFUNCTION("""COMPUTED_VALUE"""),0)</f>
        <v>0</v>
      </c>
      <c r="O667" s="81"/>
      <c r="P667" s="81">
        <f ca="1">IFERROR(__xludf.DUMMYFUNCTION("""COMPUTED_VALUE"""),0)</f>
        <v>0</v>
      </c>
      <c r="Q667" s="81"/>
      <c r="R667" s="81">
        <f ca="1">IFERROR(__xludf.DUMMYFUNCTION("""COMPUTED_VALUE"""),0)</f>
        <v>0</v>
      </c>
      <c r="S667" s="81"/>
      <c r="T667" s="81"/>
      <c r="U667" s="82"/>
      <c r="V667" s="82"/>
      <c r="W667" s="83"/>
      <c r="X667" s="83"/>
      <c r="Y667" s="83"/>
    </row>
    <row r="668" spans="1:25" ht="13.8">
      <c r="A668" s="78" t="str">
        <f ca="1">IFERROR(__xludf.DUMMYFUNCTION("""COMPUTED_VALUE"""),"FS")</f>
        <v>FS</v>
      </c>
      <c r="B668" s="79" t="str">
        <f ca="1">IFERROR(__xludf.DUMMYFUNCTION("""COMPUTED_VALUE"""),"Chace Majiros")</f>
        <v>Chace Majiros</v>
      </c>
      <c r="C668" s="78">
        <f ca="1">IFERROR(__xludf.DUMMYFUNCTION("""COMPUTED_VALUE"""),10)</f>
        <v>10</v>
      </c>
      <c r="D668" s="78" t="str">
        <f ca="1">IFERROR(__xludf.DUMMYFUNCTION("""COMPUTED_VALUE"""),"B")</f>
        <v>B</v>
      </c>
      <c r="E668" s="80" t="str">
        <f ca="1">IFERROR(__xludf.DUMMYFUNCTION("""COMPUTED_VALUE"""),"F")</f>
        <v>F</v>
      </c>
      <c r="F668" s="80" t="str">
        <f ca="1">IFERROR(__xludf.DUMMYFUNCTION("""COMPUTED_VALUE"""),"J")</f>
        <v>J</v>
      </c>
      <c r="G668" s="80">
        <f ca="1">IFERROR(__xludf.DUMMYFUNCTION("""COMPUTED_VALUE"""),6)</f>
        <v>6</v>
      </c>
      <c r="H668" s="80" t="str">
        <f ca="1">IFERROR(__xludf.DUMMYFUNCTION("""COMPUTED_VALUE"""),"FS")</f>
        <v>FS</v>
      </c>
      <c r="I668" s="80">
        <f ca="1">IFERROR(__xludf.DUMMYFUNCTION("""COMPUTED_VALUE"""),3)</f>
        <v>3</v>
      </c>
      <c r="J668" s="81">
        <f ca="1">IFERROR(__xludf.DUMMYFUNCTION("""COMPUTED_VALUE"""),4)</f>
        <v>4</v>
      </c>
      <c r="K668" s="81">
        <f ca="1">IFERROR(__xludf.DUMMYFUNCTION("""COMPUTED_VALUE"""),41.05)</f>
        <v>41.05</v>
      </c>
      <c r="L668" s="81">
        <f ca="1">IFERROR(__xludf.DUMMYFUNCTION("""COMPUTED_VALUE"""),0)</f>
        <v>0</v>
      </c>
      <c r="M668" s="81"/>
      <c r="N668" s="81">
        <f ca="1">IFERROR(__xludf.DUMMYFUNCTION("""COMPUTED_VALUE"""),24.45)</f>
        <v>24.45</v>
      </c>
      <c r="O668" s="81"/>
      <c r="P668" s="81">
        <f ca="1">IFERROR(__xludf.DUMMYFUNCTION("""COMPUTED_VALUE"""),37.15)</f>
        <v>37.15</v>
      </c>
      <c r="Q668" s="81"/>
      <c r="R668" s="81">
        <f ca="1">IFERROR(__xludf.DUMMYFUNCTION("""COMPUTED_VALUE"""),41.05)</f>
        <v>41.05</v>
      </c>
      <c r="S668" s="81"/>
      <c r="T668" s="81"/>
      <c r="U668" s="82"/>
      <c r="V668" s="82"/>
      <c r="W668" s="83"/>
      <c r="X668" s="83"/>
      <c r="Y668" s="83"/>
    </row>
    <row r="669" spans="1:25" ht="13.8">
      <c r="A669" s="78" t="str">
        <f ca="1">IFERROR(__xludf.DUMMYFUNCTION("""COMPUTED_VALUE"""),"FS")</f>
        <v>FS</v>
      </c>
      <c r="B669" s="79" t="str">
        <f ca="1">IFERROR(__xludf.DUMMYFUNCTION("""COMPUTED_VALUE"""),"Isaiah Meredith")</f>
        <v>Isaiah Meredith</v>
      </c>
      <c r="C669" s="78">
        <f ca="1">IFERROR(__xludf.DUMMYFUNCTION("""COMPUTED_VALUE"""),9)</f>
        <v>9</v>
      </c>
      <c r="D669" s="78" t="str">
        <f ca="1">IFERROR(__xludf.DUMMYFUNCTION("""COMPUTED_VALUE"""),"B")</f>
        <v>B</v>
      </c>
      <c r="E669" s="80" t="str">
        <f ca="1">IFERROR(__xludf.DUMMYFUNCTION("""COMPUTED_VALUE"""),"F")</f>
        <v>F</v>
      </c>
      <c r="F669" s="80" t="str">
        <f ca="1">IFERROR(__xludf.DUMMYFUNCTION("""COMPUTED_VALUE"""),"J")</f>
        <v>J</v>
      </c>
      <c r="G669" s="80">
        <f ca="1">IFERROR(__xludf.DUMMYFUNCTION("""COMPUTED_VALUE"""),6)</f>
        <v>6</v>
      </c>
      <c r="H669" s="80" t="str">
        <f ca="1">IFERROR(__xludf.DUMMYFUNCTION("""COMPUTED_VALUE"""),"FS")</f>
        <v>FS</v>
      </c>
      <c r="I669" s="80">
        <f ca="1">IFERROR(__xludf.DUMMYFUNCTION("""COMPUTED_VALUE"""),3)</f>
        <v>3</v>
      </c>
      <c r="J669" s="81">
        <f ca="1">IFERROR(__xludf.DUMMYFUNCTION("""COMPUTED_VALUE"""),4)</f>
        <v>4</v>
      </c>
      <c r="K669" s="81">
        <f ca="1">IFERROR(__xludf.DUMMYFUNCTION("""COMPUTED_VALUE"""),41.2)</f>
        <v>41.2</v>
      </c>
      <c r="L669" s="81">
        <f ca="1">IFERROR(__xludf.DUMMYFUNCTION("""COMPUTED_VALUE"""),36)</f>
        <v>36</v>
      </c>
      <c r="M669" s="81"/>
      <c r="N669" s="81">
        <f ca="1">IFERROR(__xludf.DUMMYFUNCTION("""COMPUTED_VALUE"""),36.85)</f>
        <v>36.85</v>
      </c>
      <c r="O669" s="81"/>
      <c r="P669" s="81">
        <f ca="1">IFERROR(__xludf.DUMMYFUNCTION("""COMPUTED_VALUE"""),0)</f>
        <v>0</v>
      </c>
      <c r="Q669" s="81"/>
      <c r="R669" s="81">
        <f ca="1">IFERROR(__xludf.DUMMYFUNCTION("""COMPUTED_VALUE"""),41.2)</f>
        <v>41.2</v>
      </c>
      <c r="S669" s="81"/>
      <c r="T669" s="81"/>
      <c r="U669" s="82"/>
      <c r="V669" s="82"/>
      <c r="W669" s="83"/>
      <c r="X669" s="83"/>
      <c r="Y669" s="83"/>
    </row>
    <row r="670" spans="1:25" ht="13.8">
      <c r="A670" s="78" t="str">
        <f ca="1">IFERROR(__xludf.DUMMYFUNCTION("""COMPUTED_VALUE"""),"FS")</f>
        <v>FS</v>
      </c>
      <c r="B670" s="79" t="str">
        <f ca="1">IFERROR(__xludf.DUMMYFUNCTION("""COMPUTED_VALUE"""),"Andrew Parente")</f>
        <v>Andrew Parente</v>
      </c>
      <c r="C670" s="78">
        <f ca="1">IFERROR(__xludf.DUMMYFUNCTION("""COMPUTED_VALUE"""),10)</f>
        <v>10</v>
      </c>
      <c r="D670" s="78" t="str">
        <f ca="1">IFERROR(__xludf.DUMMYFUNCTION("""COMPUTED_VALUE"""),"B")</f>
        <v>B</v>
      </c>
      <c r="E670" s="80" t="str">
        <f ca="1">IFERROR(__xludf.DUMMYFUNCTION("""COMPUTED_VALUE"""),"F")</f>
        <v>F</v>
      </c>
      <c r="F670" s="80" t="str">
        <f ca="1">IFERROR(__xludf.DUMMYFUNCTION("""COMPUTED_VALUE"""),"J")</f>
        <v>J</v>
      </c>
      <c r="G670" s="80">
        <f ca="1">IFERROR(__xludf.DUMMYFUNCTION("""COMPUTED_VALUE"""),6)</f>
        <v>6</v>
      </c>
      <c r="H670" s="80" t="str">
        <f ca="1">IFERROR(__xludf.DUMMYFUNCTION("""COMPUTED_VALUE"""),"FS")</f>
        <v>FS</v>
      </c>
      <c r="I670" s="80">
        <f ca="1">IFERROR(__xludf.DUMMYFUNCTION("""COMPUTED_VALUE"""),3)</f>
        <v>3</v>
      </c>
      <c r="J670" s="81">
        <f ca="1">IFERROR(__xludf.DUMMYFUNCTION("""COMPUTED_VALUE"""),4)</f>
        <v>4</v>
      </c>
      <c r="K670" s="81">
        <f ca="1">IFERROR(__xludf.DUMMYFUNCTION("""COMPUTED_VALUE"""),70.55)</f>
        <v>70.55</v>
      </c>
      <c r="L670" s="81">
        <f ca="1">IFERROR(__xludf.DUMMYFUNCTION("""COMPUTED_VALUE"""),69.75)</f>
        <v>69.75</v>
      </c>
      <c r="M670" s="81"/>
      <c r="N670" s="81">
        <f ca="1">IFERROR(__xludf.DUMMYFUNCTION("""COMPUTED_VALUE"""),0)</f>
        <v>0</v>
      </c>
      <c r="O670" s="81"/>
      <c r="P670" s="81">
        <f ca="1">IFERROR(__xludf.DUMMYFUNCTION("""COMPUTED_VALUE"""),58.8)</f>
        <v>58.8</v>
      </c>
      <c r="Q670" s="81"/>
      <c r="R670" s="81">
        <f ca="1">IFERROR(__xludf.DUMMYFUNCTION("""COMPUTED_VALUE"""),70.55)</f>
        <v>70.55</v>
      </c>
      <c r="S670" s="81"/>
      <c r="T670" s="81"/>
      <c r="U670" s="82"/>
      <c r="V670" s="82"/>
      <c r="W670" s="83"/>
      <c r="X670" s="83"/>
      <c r="Y670" s="83"/>
    </row>
    <row r="671" spans="1:25" ht="13.8">
      <c r="A671" s="78" t="str">
        <f ca="1">IFERROR(__xludf.DUMMYFUNCTION("""COMPUTED_VALUE"""),"FS")</f>
        <v>FS</v>
      </c>
      <c r="B671" s="79" t="str">
        <f ca="1">IFERROR(__xludf.DUMMYFUNCTION("""COMPUTED_VALUE"""),"Henry Perkowski")</f>
        <v>Henry Perkowski</v>
      </c>
      <c r="C671" s="78">
        <f ca="1">IFERROR(__xludf.DUMMYFUNCTION("""COMPUTED_VALUE"""),9)</f>
        <v>9</v>
      </c>
      <c r="D671" s="78" t="str">
        <f ca="1">IFERROR(__xludf.DUMMYFUNCTION("""COMPUTED_VALUE"""),"B")</f>
        <v>B</v>
      </c>
      <c r="E671" s="80" t="str">
        <f ca="1">IFERROR(__xludf.DUMMYFUNCTION("""COMPUTED_VALUE"""),"F")</f>
        <v>F</v>
      </c>
      <c r="F671" s="80" t="str">
        <f ca="1">IFERROR(__xludf.DUMMYFUNCTION("""COMPUTED_VALUE"""),"J")</f>
        <v>J</v>
      </c>
      <c r="G671" s="80">
        <f ca="1">IFERROR(__xludf.DUMMYFUNCTION("""COMPUTED_VALUE"""),6)</f>
        <v>6</v>
      </c>
      <c r="H671" s="80" t="str">
        <f ca="1">IFERROR(__xludf.DUMMYFUNCTION("""COMPUTED_VALUE"""),"FS")</f>
        <v>FS</v>
      </c>
      <c r="I671" s="80">
        <f ca="1">IFERROR(__xludf.DUMMYFUNCTION("""COMPUTED_VALUE"""),3)</f>
        <v>3</v>
      </c>
      <c r="J671" s="81">
        <f ca="1">IFERROR(__xludf.DUMMYFUNCTION("""COMPUTED_VALUE"""),0)</f>
        <v>0</v>
      </c>
      <c r="K671" s="81">
        <f ca="1">IFERROR(__xludf.DUMMYFUNCTION("""COMPUTED_VALUE"""),0)</f>
        <v>0</v>
      </c>
      <c r="L671" s="81">
        <f ca="1">IFERROR(__xludf.DUMMYFUNCTION("""COMPUTED_VALUE"""),0)</f>
        <v>0</v>
      </c>
      <c r="M671" s="81"/>
      <c r="N671" s="81">
        <f ca="1">IFERROR(__xludf.DUMMYFUNCTION("""COMPUTED_VALUE"""),0)</f>
        <v>0</v>
      </c>
      <c r="O671" s="81"/>
      <c r="P671" s="81">
        <f ca="1">IFERROR(__xludf.DUMMYFUNCTION("""COMPUTED_VALUE"""),0)</f>
        <v>0</v>
      </c>
      <c r="Q671" s="81"/>
      <c r="R671" s="81">
        <f ca="1">IFERROR(__xludf.DUMMYFUNCTION("""COMPUTED_VALUE"""),0)</f>
        <v>0</v>
      </c>
      <c r="S671" s="81"/>
      <c r="T671" s="81"/>
      <c r="U671" s="82"/>
      <c r="V671" s="82"/>
      <c r="W671" s="83"/>
      <c r="X671" s="83"/>
      <c r="Y671" s="83"/>
    </row>
    <row r="672" spans="1:25" ht="13.8">
      <c r="A672" s="78" t="str">
        <f ca="1">IFERROR(__xludf.DUMMYFUNCTION("""COMPUTED_VALUE"""),"FS")</f>
        <v>FS</v>
      </c>
      <c r="B672" s="79" t="str">
        <f ca="1">IFERROR(__xludf.DUMMYFUNCTION("""COMPUTED_VALUE"""),"RoRo Siegmund")</f>
        <v>RoRo Siegmund</v>
      </c>
      <c r="C672" s="78">
        <f ca="1">IFERROR(__xludf.DUMMYFUNCTION("""COMPUTED_VALUE"""),7)</f>
        <v>7</v>
      </c>
      <c r="D672" s="78" t="str">
        <f ca="1">IFERROR(__xludf.DUMMYFUNCTION("""COMPUTED_VALUE"""),"B")</f>
        <v>B</v>
      </c>
      <c r="E672" s="80" t="str">
        <f ca="1">IFERROR(__xludf.DUMMYFUNCTION("""COMPUTED_VALUE"""),"F")</f>
        <v>F</v>
      </c>
      <c r="F672" s="80" t="str">
        <f ca="1">IFERROR(__xludf.DUMMYFUNCTION("""COMPUTED_VALUE"""),"J")</f>
        <v>J</v>
      </c>
      <c r="G672" s="80">
        <f ca="1">IFERROR(__xludf.DUMMYFUNCTION("""COMPUTED_VALUE"""),6)</f>
        <v>6</v>
      </c>
      <c r="H672" s="80" t="str">
        <f ca="1">IFERROR(__xludf.DUMMYFUNCTION("""COMPUTED_VALUE"""),"FS")</f>
        <v>FS</v>
      </c>
      <c r="I672" s="80">
        <f ca="1">IFERROR(__xludf.DUMMYFUNCTION("""COMPUTED_VALUE"""),3)</f>
        <v>3</v>
      </c>
      <c r="J672" s="81">
        <f ca="1">IFERROR(__xludf.DUMMYFUNCTION("""COMPUTED_VALUE"""),4)</f>
        <v>4</v>
      </c>
      <c r="K672" s="81">
        <f ca="1">IFERROR(__xludf.DUMMYFUNCTION("""COMPUTED_VALUE"""),31.7)</f>
        <v>31.7</v>
      </c>
      <c r="L672" s="81">
        <f ca="1">IFERROR(__xludf.DUMMYFUNCTION("""COMPUTED_VALUE"""),26.75)</f>
        <v>26.75</v>
      </c>
      <c r="M672" s="81"/>
      <c r="N672" s="81">
        <f ca="1">IFERROR(__xludf.DUMMYFUNCTION("""COMPUTED_VALUE"""),21.1)</f>
        <v>21.1</v>
      </c>
      <c r="O672" s="81"/>
      <c r="P672" s="81">
        <f ca="1">IFERROR(__xludf.DUMMYFUNCTION("""COMPUTED_VALUE"""),31.7)</f>
        <v>31.7</v>
      </c>
      <c r="Q672" s="81"/>
      <c r="R672" s="81">
        <f ca="1">IFERROR(__xludf.DUMMYFUNCTION("""COMPUTED_VALUE"""),0)</f>
        <v>0</v>
      </c>
      <c r="S672" s="81"/>
      <c r="T672" s="81"/>
      <c r="U672" s="82"/>
      <c r="V672" s="82"/>
      <c r="W672" s="83"/>
      <c r="X672" s="83"/>
      <c r="Y672" s="83"/>
    </row>
    <row r="673" spans="1:25" ht="13.8">
      <c r="A673" s="78" t="str">
        <f ca="1">IFERROR(__xludf.DUMMYFUNCTION("""COMPUTED_VALUE"""),"FS")</f>
        <v>FS</v>
      </c>
      <c r="B673" s="79" t="str">
        <f ca="1">IFERROR(__xludf.DUMMYFUNCTION("""COMPUTED_VALUE"""),"Cavan Telleen")</f>
        <v>Cavan Telleen</v>
      </c>
      <c r="C673" s="78">
        <f ca="1">IFERROR(__xludf.DUMMYFUNCTION("""COMPUTED_VALUE"""),6)</f>
        <v>6</v>
      </c>
      <c r="D673" s="78" t="str">
        <f ca="1">IFERROR(__xludf.DUMMYFUNCTION("""COMPUTED_VALUE"""),"B")</f>
        <v>B</v>
      </c>
      <c r="E673" s="80" t="str">
        <f ca="1">IFERROR(__xludf.DUMMYFUNCTION("""COMPUTED_VALUE"""),"F")</f>
        <v>F</v>
      </c>
      <c r="F673" s="80" t="str">
        <f ca="1">IFERROR(__xludf.DUMMYFUNCTION("""COMPUTED_VALUE"""),"J")</f>
        <v>J</v>
      </c>
      <c r="G673" s="80">
        <f ca="1">IFERROR(__xludf.DUMMYFUNCTION("""COMPUTED_VALUE"""),6)</f>
        <v>6</v>
      </c>
      <c r="H673" s="80" t="str">
        <f ca="1">IFERROR(__xludf.DUMMYFUNCTION("""COMPUTED_VALUE"""),"FS")</f>
        <v>FS</v>
      </c>
      <c r="I673" s="80">
        <f ca="1">IFERROR(__xludf.DUMMYFUNCTION("""COMPUTED_VALUE"""),3)</f>
        <v>3</v>
      </c>
      <c r="J673" s="81">
        <f ca="1">IFERROR(__xludf.DUMMYFUNCTION("""COMPUTED_VALUE"""),5)</f>
        <v>5</v>
      </c>
      <c r="K673" s="81">
        <f ca="1">IFERROR(__xludf.DUMMYFUNCTION("""COMPUTED_VALUE"""),26.05)</f>
        <v>26.05</v>
      </c>
      <c r="L673" s="81">
        <f ca="1">IFERROR(__xludf.DUMMYFUNCTION("""COMPUTED_VALUE"""),9.75)</f>
        <v>9.75</v>
      </c>
      <c r="M673" s="81"/>
      <c r="N673" s="81">
        <f ca="1">IFERROR(__xludf.DUMMYFUNCTION("""COMPUTED_VALUE"""),17.5)</f>
        <v>17.5</v>
      </c>
      <c r="O673" s="81"/>
      <c r="P673" s="81">
        <f ca="1">IFERROR(__xludf.DUMMYFUNCTION("""COMPUTED_VALUE"""),19.6)</f>
        <v>19.600000000000001</v>
      </c>
      <c r="Q673" s="81"/>
      <c r="R673" s="81">
        <f ca="1">IFERROR(__xludf.DUMMYFUNCTION("""COMPUTED_VALUE"""),26.05)</f>
        <v>26.05</v>
      </c>
      <c r="S673" s="81"/>
      <c r="T673" s="81"/>
      <c r="U673" s="82"/>
      <c r="V673" s="82"/>
      <c r="W673" s="83"/>
      <c r="X673" s="83"/>
      <c r="Y673" s="83"/>
    </row>
    <row r="674" spans="1:25" ht="13.8">
      <c r="A674" s="78" t="str">
        <f ca="1">IFERROR(__xludf.DUMMYFUNCTION("""COMPUTED_VALUE"""),"FS")</f>
        <v>FS</v>
      </c>
      <c r="B674" s="79" t="str">
        <f ca="1">IFERROR(__xludf.DUMMYFUNCTION("""COMPUTED_VALUE"""),"Travis Wittekind")</f>
        <v>Travis Wittekind</v>
      </c>
      <c r="C674" s="78">
        <f ca="1">IFERROR(__xludf.DUMMYFUNCTION("""COMPUTED_VALUE"""),8)</f>
        <v>8</v>
      </c>
      <c r="D674" s="78" t="str">
        <f ca="1">IFERROR(__xludf.DUMMYFUNCTION("""COMPUTED_VALUE"""),"B")</f>
        <v>B</v>
      </c>
      <c r="E674" s="80" t="str">
        <f ca="1">IFERROR(__xludf.DUMMYFUNCTION("""COMPUTED_VALUE"""),"F")</f>
        <v>F</v>
      </c>
      <c r="F674" s="80" t="str">
        <f ca="1">IFERROR(__xludf.DUMMYFUNCTION("""COMPUTED_VALUE"""),"J")</f>
        <v>J</v>
      </c>
      <c r="G674" s="80">
        <f ca="1">IFERROR(__xludf.DUMMYFUNCTION("""COMPUTED_VALUE"""),6)</f>
        <v>6</v>
      </c>
      <c r="H674" s="80" t="str">
        <f ca="1">IFERROR(__xludf.DUMMYFUNCTION("""COMPUTED_VALUE"""),"FS")</f>
        <v>FS</v>
      </c>
      <c r="I674" s="80">
        <f ca="1">IFERROR(__xludf.DUMMYFUNCTION("""COMPUTED_VALUE"""),3)</f>
        <v>3</v>
      </c>
      <c r="J674" s="81">
        <f ca="1">IFERROR(__xludf.DUMMYFUNCTION("""COMPUTED_VALUE"""),3)</f>
        <v>3</v>
      </c>
      <c r="K674" s="81">
        <f ca="1">IFERROR(__xludf.DUMMYFUNCTION("""COMPUTED_VALUE"""),26.6)</f>
        <v>26.6</v>
      </c>
      <c r="L674" s="81">
        <f ca="1">IFERROR(__xludf.DUMMYFUNCTION("""COMPUTED_VALUE"""),26.6)</f>
        <v>26.6</v>
      </c>
      <c r="M674" s="81"/>
      <c r="N674" s="81">
        <f ca="1">IFERROR(__xludf.DUMMYFUNCTION("""COMPUTED_VALUE"""),15.4)</f>
        <v>15.4</v>
      </c>
      <c r="O674" s="81"/>
      <c r="P674" s="81">
        <f ca="1">IFERROR(__xludf.DUMMYFUNCTION("""COMPUTED_VALUE"""),16.1)</f>
        <v>16.100000000000001</v>
      </c>
      <c r="Q674" s="81"/>
      <c r="R674" s="81">
        <f ca="1">IFERROR(__xludf.DUMMYFUNCTION("""COMPUTED_VALUE"""),0)</f>
        <v>0</v>
      </c>
      <c r="S674" s="81"/>
      <c r="T674" s="81"/>
      <c r="U674" s="82"/>
      <c r="V674" s="82"/>
      <c r="W674" s="83"/>
      <c r="X674" s="83"/>
      <c r="Y674" s="83"/>
    </row>
    <row r="675" spans="1:25" ht="13.8">
      <c r="A675" s="78" t="str">
        <f ca="1">IFERROR(__xludf.DUMMYFUNCTION("""COMPUTED_VALUE"""),"FS")</f>
        <v>FS</v>
      </c>
      <c r="B675" s="79" t="str">
        <f ca="1">IFERROR(__xludf.DUMMYFUNCTION("""COMPUTED_VALUE"""),"Lyla Chutuape")</f>
        <v>Lyla Chutuape</v>
      </c>
      <c r="C675" s="78">
        <f ca="1">IFERROR(__xludf.DUMMYFUNCTION("""COMPUTED_VALUE"""),11)</f>
        <v>11</v>
      </c>
      <c r="D675" s="78" t="str">
        <f ca="1">IFERROR(__xludf.DUMMYFUNCTION("""COMPUTED_VALUE"""),"G")</f>
        <v>G</v>
      </c>
      <c r="E675" s="80" t="str">
        <f ca="1">IFERROR(__xludf.DUMMYFUNCTION("""COMPUTED_VALUE"""),"J")</f>
        <v>J</v>
      </c>
      <c r="F675" s="80" t="str">
        <f ca="1">IFERROR(__xludf.DUMMYFUNCTION("""COMPUTED_VALUE"""),"I")</f>
        <v>I</v>
      </c>
      <c r="G675" s="80">
        <f ca="1">IFERROR(__xludf.DUMMYFUNCTION("""COMPUTED_VALUE"""),6)</f>
        <v>6</v>
      </c>
      <c r="H675" s="80" t="str">
        <f ca="1">IFERROR(__xludf.DUMMYFUNCTION("""COMPUTED_VALUE"""),"FS")</f>
        <v>FS</v>
      </c>
      <c r="I675" s="80">
        <f ca="1">IFERROR(__xludf.DUMMYFUNCTION("""COMPUTED_VALUE"""),4)</f>
        <v>4</v>
      </c>
      <c r="J675" s="81">
        <f ca="1">IFERROR(__xludf.DUMMYFUNCTION("""COMPUTED_VALUE"""),3)</f>
        <v>3</v>
      </c>
      <c r="K675" s="81">
        <f ca="1">IFERROR(__xludf.DUMMYFUNCTION("""COMPUTED_VALUE"""),78.75)</f>
        <v>78.75</v>
      </c>
      <c r="L675" s="81">
        <f ca="1">IFERROR(__xludf.DUMMYFUNCTION("""COMPUTED_VALUE"""),46.65)</f>
        <v>46.65</v>
      </c>
      <c r="M675" s="81"/>
      <c r="N675" s="81">
        <f ca="1">IFERROR(__xludf.DUMMYFUNCTION("""COMPUTED_VALUE"""),0)</f>
        <v>0</v>
      </c>
      <c r="O675" s="81"/>
      <c r="P675" s="81">
        <f ca="1">IFERROR(__xludf.DUMMYFUNCTION("""COMPUTED_VALUE"""),73.8)</f>
        <v>73.8</v>
      </c>
      <c r="Q675" s="81"/>
      <c r="R675" s="81">
        <f ca="1">IFERROR(__xludf.DUMMYFUNCTION("""COMPUTED_VALUE"""),78.75)</f>
        <v>78.75</v>
      </c>
      <c r="S675" s="81"/>
      <c r="T675" s="81"/>
      <c r="U675" s="82"/>
      <c r="V675" s="82"/>
      <c r="W675" s="83"/>
      <c r="X675" s="83"/>
      <c r="Y675" s="83"/>
    </row>
    <row r="676" spans="1:25" ht="13.8">
      <c r="A676" s="78" t="str">
        <f ca="1">IFERROR(__xludf.DUMMYFUNCTION("""COMPUTED_VALUE"""),"FS")</f>
        <v>FS</v>
      </c>
      <c r="B676" s="79" t="str">
        <f ca="1">IFERROR(__xludf.DUMMYFUNCTION("""COMPUTED_VALUE"""),"Hannah Goldberg")</f>
        <v>Hannah Goldberg</v>
      </c>
      <c r="C676" s="78">
        <f ca="1">IFERROR(__xludf.DUMMYFUNCTION("""COMPUTED_VALUE"""),12)</f>
        <v>12</v>
      </c>
      <c r="D676" s="78" t="str">
        <f ca="1">IFERROR(__xludf.DUMMYFUNCTION("""COMPUTED_VALUE"""),"G")</f>
        <v>G</v>
      </c>
      <c r="E676" s="80" t="str">
        <f ca="1">IFERROR(__xludf.DUMMYFUNCTION("""COMPUTED_VALUE"""),"J")</f>
        <v>J</v>
      </c>
      <c r="F676" s="80" t="str">
        <f ca="1">IFERROR(__xludf.DUMMYFUNCTION("""COMPUTED_VALUE"""),"I")</f>
        <v>I</v>
      </c>
      <c r="G676" s="80">
        <f ca="1">IFERROR(__xludf.DUMMYFUNCTION("""COMPUTED_VALUE"""),6)</f>
        <v>6</v>
      </c>
      <c r="H676" s="80" t="str">
        <f ca="1">IFERROR(__xludf.DUMMYFUNCTION("""COMPUTED_VALUE"""),"FS")</f>
        <v>FS</v>
      </c>
      <c r="I676" s="80">
        <f ca="1">IFERROR(__xludf.DUMMYFUNCTION("""COMPUTED_VALUE"""),4)</f>
        <v>4</v>
      </c>
      <c r="J676" s="81">
        <f ca="1">IFERROR(__xludf.DUMMYFUNCTION("""COMPUTED_VALUE"""),4)</f>
        <v>4</v>
      </c>
      <c r="K676" s="81">
        <f ca="1">IFERROR(__xludf.DUMMYFUNCTION("""COMPUTED_VALUE"""),63.1)</f>
        <v>63.1</v>
      </c>
      <c r="L676" s="81">
        <f ca="1">IFERROR(__xludf.DUMMYFUNCTION("""COMPUTED_VALUE"""),55)</f>
        <v>55</v>
      </c>
      <c r="M676" s="81"/>
      <c r="N676" s="81">
        <f ca="1">IFERROR(__xludf.DUMMYFUNCTION("""COMPUTED_VALUE"""),49.75)</f>
        <v>49.75</v>
      </c>
      <c r="O676" s="81"/>
      <c r="P676" s="81">
        <f ca="1">IFERROR(__xludf.DUMMYFUNCTION("""COMPUTED_VALUE"""),63.1)</f>
        <v>63.1</v>
      </c>
      <c r="Q676" s="81"/>
      <c r="R676" s="81">
        <f ca="1">IFERROR(__xludf.DUMMYFUNCTION("""COMPUTED_VALUE"""),59.55)</f>
        <v>59.55</v>
      </c>
      <c r="S676" s="81"/>
      <c r="T676" s="81"/>
      <c r="U676" s="82"/>
      <c r="V676" s="82"/>
      <c r="W676" s="83"/>
      <c r="X676" s="83"/>
      <c r="Y676" s="83"/>
    </row>
    <row r="677" spans="1:25" ht="13.8">
      <c r="A677" s="78" t="str">
        <f ca="1">IFERROR(__xludf.DUMMYFUNCTION("""COMPUTED_VALUE"""),"FS")</f>
        <v>FS</v>
      </c>
      <c r="B677" s="79" t="str">
        <f ca="1">IFERROR(__xludf.DUMMYFUNCTION("""COMPUTED_VALUE"""),"Sophie Goldberg")</f>
        <v>Sophie Goldberg</v>
      </c>
      <c r="C677" s="78">
        <f ca="1">IFERROR(__xludf.DUMMYFUNCTION("""COMPUTED_VALUE"""),12)</f>
        <v>12</v>
      </c>
      <c r="D677" s="78" t="str">
        <f ca="1">IFERROR(__xludf.DUMMYFUNCTION("""COMPUTED_VALUE"""),"G")</f>
        <v>G</v>
      </c>
      <c r="E677" s="80" t="str">
        <f ca="1">IFERROR(__xludf.DUMMYFUNCTION("""COMPUTED_VALUE"""),"J")</f>
        <v>J</v>
      </c>
      <c r="F677" s="80" t="str">
        <f ca="1">IFERROR(__xludf.DUMMYFUNCTION("""COMPUTED_VALUE"""),"I")</f>
        <v>I</v>
      </c>
      <c r="G677" s="80">
        <f ca="1">IFERROR(__xludf.DUMMYFUNCTION("""COMPUTED_VALUE"""),6)</f>
        <v>6</v>
      </c>
      <c r="H677" s="80" t="str">
        <f ca="1">IFERROR(__xludf.DUMMYFUNCTION("""COMPUTED_VALUE"""),"FS")</f>
        <v>FS</v>
      </c>
      <c r="I677" s="80">
        <f ca="1">IFERROR(__xludf.DUMMYFUNCTION("""COMPUTED_VALUE"""),4)</f>
        <v>4</v>
      </c>
      <c r="J677" s="81">
        <f ca="1">IFERROR(__xludf.DUMMYFUNCTION("""COMPUTED_VALUE"""),0)</f>
        <v>0</v>
      </c>
      <c r="K677" s="81">
        <f ca="1">IFERROR(__xludf.DUMMYFUNCTION("""COMPUTED_VALUE"""),0)</f>
        <v>0</v>
      </c>
      <c r="L677" s="81">
        <f ca="1">IFERROR(__xludf.DUMMYFUNCTION("""COMPUTED_VALUE"""),0)</f>
        <v>0</v>
      </c>
      <c r="M677" s="81"/>
      <c r="N677" s="81">
        <f ca="1">IFERROR(__xludf.DUMMYFUNCTION("""COMPUTED_VALUE"""),0)</f>
        <v>0</v>
      </c>
      <c r="O677" s="81"/>
      <c r="P677" s="81">
        <f ca="1">IFERROR(__xludf.DUMMYFUNCTION("""COMPUTED_VALUE"""),0)</f>
        <v>0</v>
      </c>
      <c r="Q677" s="81"/>
      <c r="R677" s="81">
        <f ca="1">IFERROR(__xludf.DUMMYFUNCTION("""COMPUTED_VALUE"""),0)</f>
        <v>0</v>
      </c>
      <c r="S677" s="81"/>
      <c r="T677" s="81"/>
      <c r="U677" s="82"/>
      <c r="V677" s="82"/>
      <c r="W677" s="83"/>
      <c r="X677" s="83"/>
      <c r="Y677" s="83"/>
    </row>
    <row r="678" spans="1:25" ht="13.8">
      <c r="A678" s="78" t="str">
        <f ca="1">IFERROR(__xludf.DUMMYFUNCTION("""COMPUTED_VALUE"""),"FS")</f>
        <v>FS</v>
      </c>
      <c r="B678" s="79" t="str">
        <f ca="1">IFERROR(__xludf.DUMMYFUNCTION("""COMPUTED_VALUE"""),"Avery LoBosco")</f>
        <v>Avery LoBosco</v>
      </c>
      <c r="C678" s="78">
        <f ca="1">IFERROR(__xludf.DUMMYFUNCTION("""COMPUTED_VALUE"""),11)</f>
        <v>11</v>
      </c>
      <c r="D678" s="78" t="str">
        <f ca="1">IFERROR(__xludf.DUMMYFUNCTION("""COMPUTED_VALUE"""),"G")</f>
        <v>G</v>
      </c>
      <c r="E678" s="80" t="str">
        <f ca="1">IFERROR(__xludf.DUMMYFUNCTION("""COMPUTED_VALUE"""),"J")</f>
        <v>J</v>
      </c>
      <c r="F678" s="80" t="str">
        <f ca="1">IFERROR(__xludf.DUMMYFUNCTION("""COMPUTED_VALUE"""),"I")</f>
        <v>I</v>
      </c>
      <c r="G678" s="80">
        <f ca="1">IFERROR(__xludf.DUMMYFUNCTION("""COMPUTED_VALUE"""),6)</f>
        <v>6</v>
      </c>
      <c r="H678" s="80" t="str">
        <f ca="1">IFERROR(__xludf.DUMMYFUNCTION("""COMPUTED_VALUE"""),"FS")</f>
        <v>FS</v>
      </c>
      <c r="I678" s="80">
        <f ca="1">IFERROR(__xludf.DUMMYFUNCTION("""COMPUTED_VALUE"""),4)</f>
        <v>4</v>
      </c>
      <c r="J678" s="81">
        <f ca="1">IFERROR(__xludf.DUMMYFUNCTION("""COMPUTED_VALUE"""),0)</f>
        <v>0</v>
      </c>
      <c r="K678" s="81">
        <f ca="1">IFERROR(__xludf.DUMMYFUNCTION("""COMPUTED_VALUE"""),0)</f>
        <v>0</v>
      </c>
      <c r="L678" s="81">
        <f ca="1">IFERROR(__xludf.DUMMYFUNCTION("""COMPUTED_VALUE"""),0)</f>
        <v>0</v>
      </c>
      <c r="M678" s="81"/>
      <c r="N678" s="81">
        <f ca="1">IFERROR(__xludf.DUMMYFUNCTION("""COMPUTED_VALUE"""),0)</f>
        <v>0</v>
      </c>
      <c r="O678" s="81"/>
      <c r="P678" s="81">
        <f ca="1">IFERROR(__xludf.DUMMYFUNCTION("""COMPUTED_VALUE"""),0)</f>
        <v>0</v>
      </c>
      <c r="Q678" s="81"/>
      <c r="R678" s="81">
        <f ca="1">IFERROR(__xludf.DUMMYFUNCTION("""COMPUTED_VALUE"""),0)</f>
        <v>0</v>
      </c>
      <c r="S678" s="81"/>
      <c r="T678" s="81"/>
      <c r="U678" s="82"/>
      <c r="V678" s="82"/>
      <c r="W678" s="83"/>
      <c r="X678" s="83"/>
      <c r="Y678" s="83"/>
    </row>
    <row r="679" spans="1:25" ht="13.8">
      <c r="A679" s="78" t="str">
        <f ca="1">IFERROR(__xludf.DUMMYFUNCTION("""COMPUTED_VALUE"""),"FS")</f>
        <v>FS</v>
      </c>
      <c r="B679" s="79" t="str">
        <f ca="1">IFERROR(__xludf.DUMMYFUNCTION("""COMPUTED_VALUE"""),"Edith Louie")</f>
        <v>Edith Louie</v>
      </c>
      <c r="C679" s="78">
        <f ca="1">IFERROR(__xludf.DUMMYFUNCTION("""COMPUTED_VALUE"""),12)</f>
        <v>12</v>
      </c>
      <c r="D679" s="78" t="str">
        <f ca="1">IFERROR(__xludf.DUMMYFUNCTION("""COMPUTED_VALUE"""),"G")</f>
        <v>G</v>
      </c>
      <c r="E679" s="80" t="str">
        <f ca="1">IFERROR(__xludf.DUMMYFUNCTION("""COMPUTED_VALUE"""),"J")</f>
        <v>J</v>
      </c>
      <c r="F679" s="80" t="str">
        <f ca="1">IFERROR(__xludf.DUMMYFUNCTION("""COMPUTED_VALUE"""),"I")</f>
        <v>I</v>
      </c>
      <c r="G679" s="80">
        <f ca="1">IFERROR(__xludf.DUMMYFUNCTION("""COMPUTED_VALUE"""),6)</f>
        <v>6</v>
      </c>
      <c r="H679" s="80" t="str">
        <f ca="1">IFERROR(__xludf.DUMMYFUNCTION("""COMPUTED_VALUE"""),"FS")</f>
        <v>FS</v>
      </c>
      <c r="I679" s="80">
        <f ca="1">IFERROR(__xludf.DUMMYFUNCTION("""COMPUTED_VALUE"""),4)</f>
        <v>4</v>
      </c>
      <c r="J679" s="81">
        <f ca="1">IFERROR(__xludf.DUMMYFUNCTION("""COMPUTED_VALUE"""),0)</f>
        <v>0</v>
      </c>
      <c r="K679" s="81">
        <f ca="1">IFERROR(__xludf.DUMMYFUNCTION("""COMPUTED_VALUE"""),0)</f>
        <v>0</v>
      </c>
      <c r="L679" s="81">
        <f ca="1">IFERROR(__xludf.DUMMYFUNCTION("""COMPUTED_VALUE"""),0)</f>
        <v>0</v>
      </c>
      <c r="M679" s="81"/>
      <c r="N679" s="81">
        <f ca="1">IFERROR(__xludf.DUMMYFUNCTION("""COMPUTED_VALUE"""),0)</f>
        <v>0</v>
      </c>
      <c r="O679" s="81"/>
      <c r="P679" s="81">
        <f ca="1">IFERROR(__xludf.DUMMYFUNCTION("""COMPUTED_VALUE"""),0)</f>
        <v>0</v>
      </c>
      <c r="Q679" s="81"/>
      <c r="R679" s="81">
        <f ca="1">IFERROR(__xludf.DUMMYFUNCTION("""COMPUTED_VALUE"""),0)</f>
        <v>0</v>
      </c>
      <c r="S679" s="81"/>
      <c r="T679" s="81"/>
      <c r="U679" s="82"/>
      <c r="V679" s="82"/>
      <c r="W679" s="83"/>
      <c r="X679" s="83"/>
      <c r="Y679" s="83"/>
    </row>
    <row r="680" spans="1:25" ht="13.8">
      <c r="A680" s="78" t="str">
        <f ca="1">IFERROR(__xludf.DUMMYFUNCTION("""COMPUTED_VALUE"""),"FS")</f>
        <v>FS</v>
      </c>
      <c r="B680" s="79" t="str">
        <f ca="1">IFERROR(__xludf.DUMMYFUNCTION("""COMPUTED_VALUE"""),"Agnes Matiasek")</f>
        <v>Agnes Matiasek</v>
      </c>
      <c r="C680" s="78">
        <f ca="1">IFERROR(__xludf.DUMMYFUNCTION("""COMPUTED_VALUE"""),11)</f>
        <v>11</v>
      </c>
      <c r="D680" s="78" t="str">
        <f ca="1">IFERROR(__xludf.DUMMYFUNCTION("""COMPUTED_VALUE"""),"G")</f>
        <v>G</v>
      </c>
      <c r="E680" s="80" t="str">
        <f ca="1">IFERROR(__xludf.DUMMYFUNCTION("""COMPUTED_VALUE"""),"J")</f>
        <v>J</v>
      </c>
      <c r="F680" s="80" t="str">
        <f ca="1">IFERROR(__xludf.DUMMYFUNCTION("""COMPUTED_VALUE"""),"I")</f>
        <v>I</v>
      </c>
      <c r="G680" s="80">
        <f ca="1">IFERROR(__xludf.DUMMYFUNCTION("""COMPUTED_VALUE"""),6)</f>
        <v>6</v>
      </c>
      <c r="H680" s="80" t="str">
        <f ca="1">IFERROR(__xludf.DUMMYFUNCTION("""COMPUTED_VALUE"""),"FS")</f>
        <v>FS</v>
      </c>
      <c r="I680" s="80">
        <f ca="1">IFERROR(__xludf.DUMMYFUNCTION("""COMPUTED_VALUE"""),4)</f>
        <v>4</v>
      </c>
      <c r="J680" s="81">
        <f ca="1">IFERROR(__xludf.DUMMYFUNCTION("""COMPUTED_VALUE"""),0)</f>
        <v>0</v>
      </c>
      <c r="K680" s="81">
        <f ca="1">IFERROR(__xludf.DUMMYFUNCTION("""COMPUTED_VALUE"""),0)</f>
        <v>0</v>
      </c>
      <c r="L680" s="81">
        <f ca="1">IFERROR(__xludf.DUMMYFUNCTION("""COMPUTED_VALUE"""),0)</f>
        <v>0</v>
      </c>
      <c r="M680" s="81"/>
      <c r="N680" s="81">
        <f ca="1">IFERROR(__xludf.DUMMYFUNCTION("""COMPUTED_VALUE"""),0)</f>
        <v>0</v>
      </c>
      <c r="O680" s="81"/>
      <c r="P680" s="81">
        <f ca="1">IFERROR(__xludf.DUMMYFUNCTION("""COMPUTED_VALUE"""),0)</f>
        <v>0</v>
      </c>
      <c r="Q680" s="81"/>
      <c r="R680" s="81">
        <f ca="1">IFERROR(__xludf.DUMMYFUNCTION("""COMPUTED_VALUE"""),0)</f>
        <v>0</v>
      </c>
      <c r="S680" s="81"/>
      <c r="T680" s="81"/>
      <c r="U680" s="82"/>
      <c r="V680" s="82"/>
      <c r="W680" s="83"/>
      <c r="X680" s="83"/>
      <c r="Y680" s="83"/>
    </row>
    <row r="681" spans="1:25" ht="13.8">
      <c r="A681" s="78" t="str">
        <f ca="1">IFERROR(__xludf.DUMMYFUNCTION("""COMPUTED_VALUE"""),"FS")</f>
        <v>FS</v>
      </c>
      <c r="B681" s="79" t="str">
        <f ca="1">IFERROR(__xludf.DUMMYFUNCTION("""COMPUTED_VALUE"""),"Zara-Jean Penn")</f>
        <v>Zara-Jean Penn</v>
      </c>
      <c r="C681" s="78">
        <f ca="1">IFERROR(__xludf.DUMMYFUNCTION("""COMPUTED_VALUE"""),12)</f>
        <v>12</v>
      </c>
      <c r="D681" s="78" t="str">
        <f ca="1">IFERROR(__xludf.DUMMYFUNCTION("""COMPUTED_VALUE"""),"G")</f>
        <v>G</v>
      </c>
      <c r="E681" s="80" t="str">
        <f ca="1">IFERROR(__xludf.DUMMYFUNCTION("""COMPUTED_VALUE"""),"J")</f>
        <v>J</v>
      </c>
      <c r="F681" s="80" t="str">
        <f ca="1">IFERROR(__xludf.DUMMYFUNCTION("""COMPUTED_VALUE"""),"I")</f>
        <v>I</v>
      </c>
      <c r="G681" s="80">
        <f ca="1">IFERROR(__xludf.DUMMYFUNCTION("""COMPUTED_VALUE"""),6)</f>
        <v>6</v>
      </c>
      <c r="H681" s="80" t="str">
        <f ca="1">IFERROR(__xludf.DUMMYFUNCTION("""COMPUTED_VALUE"""),"FS")</f>
        <v>FS</v>
      </c>
      <c r="I681" s="80">
        <f ca="1">IFERROR(__xludf.DUMMYFUNCTION("""COMPUTED_VALUE"""),4)</f>
        <v>4</v>
      </c>
      <c r="J681" s="81">
        <f ca="1">IFERROR(__xludf.DUMMYFUNCTION("""COMPUTED_VALUE"""),3)</f>
        <v>3</v>
      </c>
      <c r="K681" s="81">
        <f ca="1">IFERROR(__xludf.DUMMYFUNCTION("""COMPUTED_VALUE"""),59.3)</f>
        <v>59.3</v>
      </c>
      <c r="L681" s="81">
        <f ca="1">IFERROR(__xludf.DUMMYFUNCTION("""COMPUTED_VALUE"""),0)</f>
        <v>0</v>
      </c>
      <c r="M681" s="81"/>
      <c r="N681" s="81">
        <f ca="1">IFERROR(__xludf.DUMMYFUNCTION("""COMPUTED_VALUE"""),0)</f>
        <v>0</v>
      </c>
      <c r="O681" s="81"/>
      <c r="P681" s="81">
        <f ca="1">IFERROR(__xludf.DUMMYFUNCTION("""COMPUTED_VALUE"""),54.8)</f>
        <v>54.8</v>
      </c>
      <c r="Q681" s="81"/>
      <c r="R681" s="81">
        <f ca="1">IFERROR(__xludf.DUMMYFUNCTION("""COMPUTED_VALUE"""),59.3)</f>
        <v>59.3</v>
      </c>
      <c r="S681" s="81"/>
      <c r="T681" s="81"/>
      <c r="U681" s="82"/>
      <c r="V681" s="82"/>
      <c r="W681" s="83"/>
      <c r="X681" s="83"/>
      <c r="Y681" s="83"/>
    </row>
    <row r="682" spans="1:25" ht="13.8">
      <c r="A682" s="78" t="str">
        <f ca="1">IFERROR(__xludf.DUMMYFUNCTION("""COMPUTED_VALUE"""),"FS")</f>
        <v>FS</v>
      </c>
      <c r="B682" s="79" t="str">
        <f ca="1">IFERROR(__xludf.DUMMYFUNCTION("""COMPUTED_VALUE"""),"Rebecca Perkowski")</f>
        <v>Rebecca Perkowski</v>
      </c>
      <c r="C682" s="78">
        <f ca="1">IFERROR(__xludf.DUMMYFUNCTION("""COMPUTED_VALUE"""),11)</f>
        <v>11</v>
      </c>
      <c r="D682" s="78" t="str">
        <f ca="1">IFERROR(__xludf.DUMMYFUNCTION("""COMPUTED_VALUE"""),"G")</f>
        <v>G</v>
      </c>
      <c r="E682" s="80" t="str">
        <f ca="1">IFERROR(__xludf.DUMMYFUNCTION("""COMPUTED_VALUE"""),"J")</f>
        <v>J</v>
      </c>
      <c r="F682" s="80" t="str">
        <f ca="1">IFERROR(__xludf.DUMMYFUNCTION("""COMPUTED_VALUE"""),"I")</f>
        <v>I</v>
      </c>
      <c r="G682" s="80">
        <f ca="1">IFERROR(__xludf.DUMMYFUNCTION("""COMPUTED_VALUE"""),6)</f>
        <v>6</v>
      </c>
      <c r="H682" s="80" t="str">
        <f ca="1">IFERROR(__xludf.DUMMYFUNCTION("""COMPUTED_VALUE"""),"FS")</f>
        <v>FS</v>
      </c>
      <c r="I682" s="80">
        <f ca="1">IFERROR(__xludf.DUMMYFUNCTION("""COMPUTED_VALUE"""),4)</f>
        <v>4</v>
      </c>
      <c r="J682" s="81">
        <f ca="1">IFERROR(__xludf.DUMMYFUNCTION("""COMPUTED_VALUE"""),0)</f>
        <v>0</v>
      </c>
      <c r="K682" s="81">
        <f ca="1">IFERROR(__xludf.DUMMYFUNCTION("""COMPUTED_VALUE"""),0)</f>
        <v>0</v>
      </c>
      <c r="L682" s="81">
        <f ca="1">IFERROR(__xludf.DUMMYFUNCTION("""COMPUTED_VALUE"""),0)</f>
        <v>0</v>
      </c>
      <c r="M682" s="81"/>
      <c r="N682" s="81">
        <f ca="1">IFERROR(__xludf.DUMMYFUNCTION("""COMPUTED_VALUE"""),0)</f>
        <v>0</v>
      </c>
      <c r="O682" s="81"/>
      <c r="P682" s="81">
        <f ca="1">IFERROR(__xludf.DUMMYFUNCTION("""COMPUTED_VALUE"""),0)</f>
        <v>0</v>
      </c>
      <c r="Q682" s="81"/>
      <c r="R682" s="81">
        <f ca="1">IFERROR(__xludf.DUMMYFUNCTION("""COMPUTED_VALUE"""),0)</f>
        <v>0</v>
      </c>
      <c r="S682" s="81"/>
      <c r="T682" s="81"/>
      <c r="U682" s="82"/>
      <c r="V682" s="82"/>
      <c r="W682" s="83"/>
      <c r="X682" s="83"/>
      <c r="Y682" s="83"/>
    </row>
    <row r="683" spans="1:25" ht="13.8">
      <c r="A683" s="78" t="str">
        <f ca="1">IFERROR(__xludf.DUMMYFUNCTION("""COMPUTED_VALUE"""),"FS")</f>
        <v>FS</v>
      </c>
      <c r="B683" s="79" t="str">
        <f ca="1">IFERROR(__xludf.DUMMYFUNCTION("""COMPUTED_VALUE"""),"Samantha Sitton")</f>
        <v>Samantha Sitton</v>
      </c>
      <c r="C683" s="78">
        <f ca="1">IFERROR(__xludf.DUMMYFUNCTION("""COMPUTED_VALUE"""),12)</f>
        <v>12</v>
      </c>
      <c r="D683" s="78" t="str">
        <f ca="1">IFERROR(__xludf.DUMMYFUNCTION("""COMPUTED_VALUE"""),"G")</f>
        <v>G</v>
      </c>
      <c r="E683" s="80" t="str">
        <f ca="1">IFERROR(__xludf.DUMMYFUNCTION("""COMPUTED_VALUE"""),"J")</f>
        <v>J</v>
      </c>
      <c r="F683" s="80" t="str">
        <f ca="1">IFERROR(__xludf.DUMMYFUNCTION("""COMPUTED_VALUE"""),"I")</f>
        <v>I</v>
      </c>
      <c r="G683" s="80">
        <f ca="1">IFERROR(__xludf.DUMMYFUNCTION("""COMPUTED_VALUE"""),6)</f>
        <v>6</v>
      </c>
      <c r="H683" s="80" t="str">
        <f ca="1">IFERROR(__xludf.DUMMYFUNCTION("""COMPUTED_VALUE"""),"FS")</f>
        <v>FS</v>
      </c>
      <c r="I683" s="80">
        <f ca="1">IFERROR(__xludf.DUMMYFUNCTION("""COMPUTED_VALUE"""),4)</f>
        <v>4</v>
      </c>
      <c r="J683" s="81">
        <f ca="1">IFERROR(__xludf.DUMMYFUNCTION("""COMPUTED_VALUE"""),0)</f>
        <v>0</v>
      </c>
      <c r="K683" s="81">
        <f ca="1">IFERROR(__xludf.DUMMYFUNCTION("""COMPUTED_VALUE"""),0)</f>
        <v>0</v>
      </c>
      <c r="L683" s="81">
        <f ca="1">IFERROR(__xludf.DUMMYFUNCTION("""COMPUTED_VALUE"""),0)</f>
        <v>0</v>
      </c>
      <c r="M683" s="81"/>
      <c r="N683" s="81">
        <f ca="1">IFERROR(__xludf.DUMMYFUNCTION("""COMPUTED_VALUE"""),0)</f>
        <v>0</v>
      </c>
      <c r="O683" s="81"/>
      <c r="P683" s="81">
        <f ca="1">IFERROR(__xludf.DUMMYFUNCTION("""COMPUTED_VALUE"""),0)</f>
        <v>0</v>
      </c>
      <c r="Q683" s="81"/>
      <c r="R683" s="81">
        <f ca="1">IFERROR(__xludf.DUMMYFUNCTION("""COMPUTED_VALUE"""),0)</f>
        <v>0</v>
      </c>
      <c r="S683" s="81"/>
      <c r="T683" s="81"/>
      <c r="U683" s="82"/>
      <c r="V683" s="82"/>
      <c r="W683" s="83"/>
      <c r="X683" s="83"/>
      <c r="Y683" s="83"/>
    </row>
    <row r="684" spans="1:25" ht="13.8">
      <c r="A684" s="78" t="str">
        <f ca="1">IFERROR(__xludf.DUMMYFUNCTION("""COMPUTED_VALUE"""),"FS")</f>
        <v>FS</v>
      </c>
      <c r="B684" s="79" t="str">
        <f ca="1">IFERROR(__xludf.DUMMYFUNCTION("""COMPUTED_VALUE"""),"Darcy Telleen")</f>
        <v>Darcy Telleen</v>
      </c>
      <c r="C684" s="78">
        <f ca="1">IFERROR(__xludf.DUMMYFUNCTION("""COMPUTED_VALUE"""),12)</f>
        <v>12</v>
      </c>
      <c r="D684" s="78" t="str">
        <f ca="1">IFERROR(__xludf.DUMMYFUNCTION("""COMPUTED_VALUE"""),"G")</f>
        <v>G</v>
      </c>
      <c r="E684" s="80" t="str">
        <f ca="1">IFERROR(__xludf.DUMMYFUNCTION("""COMPUTED_VALUE"""),"J")</f>
        <v>J</v>
      </c>
      <c r="F684" s="80" t="str">
        <f ca="1">IFERROR(__xludf.DUMMYFUNCTION("""COMPUTED_VALUE"""),"I")</f>
        <v>I</v>
      </c>
      <c r="G684" s="80">
        <f ca="1">IFERROR(__xludf.DUMMYFUNCTION("""COMPUTED_VALUE"""),6)</f>
        <v>6</v>
      </c>
      <c r="H684" s="80" t="str">
        <f ca="1">IFERROR(__xludf.DUMMYFUNCTION("""COMPUTED_VALUE"""),"FS")</f>
        <v>FS</v>
      </c>
      <c r="I684" s="80">
        <f ca="1">IFERROR(__xludf.DUMMYFUNCTION("""COMPUTED_VALUE"""),4)</f>
        <v>4</v>
      </c>
      <c r="J684" s="81">
        <f ca="1">IFERROR(__xludf.DUMMYFUNCTION("""COMPUTED_VALUE"""),5)</f>
        <v>5</v>
      </c>
      <c r="K684" s="81">
        <f ca="1">IFERROR(__xludf.DUMMYFUNCTION("""COMPUTED_VALUE"""),107.35)</f>
        <v>107.35</v>
      </c>
      <c r="L684" s="81">
        <f ca="1">IFERROR(__xludf.DUMMYFUNCTION("""COMPUTED_VALUE"""),107.35)</f>
        <v>107.35</v>
      </c>
      <c r="M684" s="81"/>
      <c r="N684" s="81">
        <f ca="1">IFERROR(__xludf.DUMMYFUNCTION("""COMPUTED_VALUE"""),94.05)</f>
        <v>94.05</v>
      </c>
      <c r="O684" s="81"/>
      <c r="P684" s="81">
        <f ca="1">IFERROR(__xludf.DUMMYFUNCTION("""COMPUTED_VALUE"""),98.5)</f>
        <v>98.5</v>
      </c>
      <c r="Q684" s="81"/>
      <c r="R684" s="81">
        <f ca="1">IFERROR(__xludf.DUMMYFUNCTION("""COMPUTED_VALUE"""),91.4)</f>
        <v>91.4</v>
      </c>
      <c r="S684" s="81"/>
      <c r="T684" s="81"/>
      <c r="U684" s="82"/>
      <c r="V684" s="82"/>
      <c r="W684" s="83"/>
      <c r="X684" s="83"/>
      <c r="Y684" s="83"/>
    </row>
    <row r="685" spans="1:25" ht="13.8">
      <c r="A685" s="78" t="str">
        <f ca="1">IFERROR(__xludf.DUMMYFUNCTION("""COMPUTED_VALUE"""),"FS")</f>
        <v>FS</v>
      </c>
      <c r="B685" s="79" t="str">
        <f ca="1">IFERROR(__xludf.DUMMYFUNCTION("""COMPUTED_VALUE"""),"Lilla Wilbur")</f>
        <v>Lilla Wilbur</v>
      </c>
      <c r="C685" s="78">
        <f ca="1">IFERROR(__xludf.DUMMYFUNCTION("""COMPUTED_VALUE"""),12)</f>
        <v>12</v>
      </c>
      <c r="D685" s="78" t="str">
        <f ca="1">IFERROR(__xludf.DUMMYFUNCTION("""COMPUTED_VALUE"""),"G")</f>
        <v>G</v>
      </c>
      <c r="E685" s="80" t="str">
        <f ca="1">IFERROR(__xludf.DUMMYFUNCTION("""COMPUTED_VALUE"""),"J")</f>
        <v>J</v>
      </c>
      <c r="F685" s="80" t="str">
        <f ca="1">IFERROR(__xludf.DUMMYFUNCTION("""COMPUTED_VALUE"""),"I")</f>
        <v>I</v>
      </c>
      <c r="G685" s="80">
        <f ca="1">IFERROR(__xludf.DUMMYFUNCTION("""COMPUTED_VALUE"""),6)</f>
        <v>6</v>
      </c>
      <c r="H685" s="80" t="str">
        <f ca="1">IFERROR(__xludf.DUMMYFUNCTION("""COMPUTED_VALUE"""),"FS")</f>
        <v>FS</v>
      </c>
      <c r="I685" s="80">
        <f ca="1">IFERROR(__xludf.DUMMYFUNCTION("""COMPUTED_VALUE"""),4)</f>
        <v>4</v>
      </c>
      <c r="J685" s="81">
        <f ca="1">IFERROR(__xludf.DUMMYFUNCTION("""COMPUTED_VALUE"""),3)</f>
        <v>3</v>
      </c>
      <c r="K685" s="81">
        <f ca="1">IFERROR(__xludf.DUMMYFUNCTION("""COMPUTED_VALUE"""),86.85)</f>
        <v>86.85</v>
      </c>
      <c r="L685" s="81">
        <f ca="1">IFERROR(__xludf.DUMMYFUNCTION("""COMPUTED_VALUE"""),0)</f>
        <v>0</v>
      </c>
      <c r="M685" s="81"/>
      <c r="N685" s="81">
        <f ca="1">IFERROR(__xludf.DUMMYFUNCTION("""COMPUTED_VALUE"""),86.55)</f>
        <v>86.55</v>
      </c>
      <c r="O685" s="81"/>
      <c r="P685" s="81">
        <f ca="1">IFERROR(__xludf.DUMMYFUNCTION("""COMPUTED_VALUE"""),0)</f>
        <v>0</v>
      </c>
      <c r="Q685" s="81"/>
      <c r="R685" s="81">
        <f ca="1">IFERROR(__xludf.DUMMYFUNCTION("""COMPUTED_VALUE"""),86.85)</f>
        <v>86.85</v>
      </c>
      <c r="S685" s="81"/>
      <c r="T685" s="81"/>
      <c r="U685" s="82"/>
      <c r="V685" s="82"/>
      <c r="W685" s="83"/>
      <c r="X685" s="83"/>
      <c r="Y685" s="83"/>
    </row>
    <row r="686" spans="1:25" ht="13.8">
      <c r="A686" s="78" t="str">
        <f ca="1">IFERROR(__xludf.DUMMYFUNCTION("""COMPUTED_VALUE"""),"FS")</f>
        <v>FS</v>
      </c>
      <c r="B686" s="79" t="str">
        <f ca="1">IFERROR(__xludf.DUMMYFUNCTION("""COMPUTED_VALUE"""),"Luca Budiu")</f>
        <v>Luca Budiu</v>
      </c>
      <c r="C686" s="78">
        <f ca="1">IFERROR(__xludf.DUMMYFUNCTION("""COMPUTED_VALUE"""),11)</f>
        <v>11</v>
      </c>
      <c r="D686" s="78" t="str">
        <f ca="1">IFERROR(__xludf.DUMMYFUNCTION("""COMPUTED_VALUE"""),"B")</f>
        <v>B</v>
      </c>
      <c r="E686" s="80" t="str">
        <f ca="1">IFERROR(__xludf.DUMMYFUNCTION("""COMPUTED_VALUE"""),"J")</f>
        <v>J</v>
      </c>
      <c r="F686" s="80" t="str">
        <f ca="1">IFERROR(__xludf.DUMMYFUNCTION("""COMPUTED_VALUE"""),"I")</f>
        <v>I</v>
      </c>
      <c r="G686" s="80">
        <f ca="1">IFERROR(__xludf.DUMMYFUNCTION("""COMPUTED_VALUE"""),6)</f>
        <v>6</v>
      </c>
      <c r="H686" s="80" t="str">
        <f ca="1">IFERROR(__xludf.DUMMYFUNCTION("""COMPUTED_VALUE"""),"FS")</f>
        <v>FS</v>
      </c>
      <c r="I686" s="80">
        <f ca="1">IFERROR(__xludf.DUMMYFUNCTION("""COMPUTED_VALUE"""),5)</f>
        <v>5</v>
      </c>
      <c r="J686" s="81">
        <f ca="1">IFERROR(__xludf.DUMMYFUNCTION("""COMPUTED_VALUE"""),4)</f>
        <v>4</v>
      </c>
      <c r="K686" s="81">
        <f ca="1">IFERROR(__xludf.DUMMYFUNCTION("""COMPUTED_VALUE"""),66.4)</f>
        <v>66.400000000000006</v>
      </c>
      <c r="L686" s="81">
        <f ca="1">IFERROR(__xludf.DUMMYFUNCTION("""COMPUTED_VALUE"""),0)</f>
        <v>0</v>
      </c>
      <c r="M686" s="81"/>
      <c r="N686" s="81">
        <f ca="1">IFERROR(__xludf.DUMMYFUNCTION("""COMPUTED_VALUE"""),46.15)</f>
        <v>46.15</v>
      </c>
      <c r="O686" s="81"/>
      <c r="P686" s="81">
        <f ca="1">IFERROR(__xludf.DUMMYFUNCTION("""COMPUTED_VALUE"""),66.4)</f>
        <v>66.400000000000006</v>
      </c>
      <c r="Q686" s="81"/>
      <c r="R686" s="81">
        <f ca="1">IFERROR(__xludf.DUMMYFUNCTION("""COMPUTED_VALUE"""),60.95)</f>
        <v>60.95</v>
      </c>
      <c r="S686" s="81"/>
      <c r="T686" s="81"/>
      <c r="U686" s="82"/>
      <c r="V686" s="82"/>
      <c r="W686" s="83"/>
      <c r="X686" s="83"/>
      <c r="Y686" s="83"/>
    </row>
    <row r="687" spans="1:25" ht="13.8">
      <c r="A687" s="78" t="str">
        <f ca="1">IFERROR(__xludf.DUMMYFUNCTION("""COMPUTED_VALUE"""),"FS")</f>
        <v>FS</v>
      </c>
      <c r="B687" s="79" t="str">
        <f ca="1">IFERROR(__xludf.DUMMYFUNCTION("""COMPUTED_VALUE"""),"Oliver Jones")</f>
        <v>Oliver Jones</v>
      </c>
      <c r="C687" s="78">
        <f ca="1">IFERROR(__xludf.DUMMYFUNCTION("""COMPUTED_VALUE"""),12)</f>
        <v>12</v>
      </c>
      <c r="D687" s="78" t="str">
        <f ca="1">IFERROR(__xludf.DUMMYFUNCTION("""COMPUTED_VALUE"""),"B")</f>
        <v>B</v>
      </c>
      <c r="E687" s="80" t="str">
        <f ca="1">IFERROR(__xludf.DUMMYFUNCTION("""COMPUTED_VALUE"""),"J")</f>
        <v>J</v>
      </c>
      <c r="F687" s="80" t="str">
        <f ca="1">IFERROR(__xludf.DUMMYFUNCTION("""COMPUTED_VALUE"""),"I")</f>
        <v>I</v>
      </c>
      <c r="G687" s="80">
        <f ca="1">IFERROR(__xludf.DUMMYFUNCTION("""COMPUTED_VALUE"""),6)</f>
        <v>6</v>
      </c>
      <c r="H687" s="80" t="str">
        <f ca="1">IFERROR(__xludf.DUMMYFUNCTION("""COMPUTED_VALUE"""),"FS")</f>
        <v>FS</v>
      </c>
      <c r="I687" s="80">
        <f ca="1">IFERROR(__xludf.DUMMYFUNCTION("""COMPUTED_VALUE"""),5)</f>
        <v>5</v>
      </c>
      <c r="J687" s="81">
        <f ca="1">IFERROR(__xludf.DUMMYFUNCTION("""COMPUTED_VALUE"""),2)</f>
        <v>2</v>
      </c>
      <c r="K687" s="81">
        <f ca="1">IFERROR(__xludf.DUMMYFUNCTION("""COMPUTED_VALUE"""),48.2)</f>
        <v>48.2</v>
      </c>
      <c r="L687" s="81">
        <f ca="1">IFERROR(__xludf.DUMMYFUNCTION("""COMPUTED_VALUE"""),0)</f>
        <v>0</v>
      </c>
      <c r="M687" s="81"/>
      <c r="N687" s="81">
        <f ca="1">IFERROR(__xludf.DUMMYFUNCTION("""COMPUTED_VALUE"""),22.65)</f>
        <v>22.65</v>
      </c>
      <c r="O687" s="81"/>
      <c r="P687" s="81">
        <f ca="1">IFERROR(__xludf.DUMMYFUNCTION("""COMPUTED_VALUE"""),48.2)</f>
        <v>48.2</v>
      </c>
      <c r="Q687" s="81"/>
      <c r="R687" s="81">
        <f ca="1">IFERROR(__xludf.DUMMYFUNCTION("""COMPUTED_VALUE"""),0)</f>
        <v>0</v>
      </c>
      <c r="S687" s="81"/>
      <c r="T687" s="81"/>
      <c r="U687" s="82"/>
      <c r="V687" s="82"/>
      <c r="W687" s="83"/>
      <c r="X687" s="83"/>
      <c r="Y687" s="83"/>
    </row>
    <row r="688" spans="1:25" ht="13.8">
      <c r="A688" s="78" t="str">
        <f ca="1">IFERROR(__xludf.DUMMYFUNCTION("""COMPUTED_VALUE"""),"FS")</f>
        <v>FS</v>
      </c>
      <c r="B688" s="79" t="str">
        <f ca="1">IFERROR(__xludf.DUMMYFUNCTION("""COMPUTED_VALUE"""),"Olivia Giarraputo")</f>
        <v>Olivia Giarraputo</v>
      </c>
      <c r="C688" s="78">
        <f ca="1">IFERROR(__xludf.DUMMYFUNCTION("""COMPUTED_VALUE"""),13)</f>
        <v>13</v>
      </c>
      <c r="D688" s="78" t="str">
        <f ca="1">IFERROR(__xludf.DUMMYFUNCTION("""COMPUTED_VALUE"""),"G")</f>
        <v>G</v>
      </c>
      <c r="E688" s="80" t="str">
        <f ca="1">IFERROR(__xludf.DUMMYFUNCTION("""COMPUTED_VALUE"""),"I")</f>
        <v>I</v>
      </c>
      <c r="F688" s="80" t="str">
        <f ca="1">IFERROR(__xludf.DUMMYFUNCTION("""COMPUTED_VALUE"""),"S")</f>
        <v>S</v>
      </c>
      <c r="G688" s="80">
        <f ca="1">IFERROR(__xludf.DUMMYFUNCTION("""COMPUTED_VALUE"""),6)</f>
        <v>6</v>
      </c>
      <c r="H688" s="80" t="str">
        <f ca="1">IFERROR(__xludf.DUMMYFUNCTION("""COMPUTED_VALUE"""),"FS")</f>
        <v>FS</v>
      </c>
      <c r="I688" s="80">
        <f ca="1">IFERROR(__xludf.DUMMYFUNCTION("""COMPUTED_VALUE"""),6)</f>
        <v>6</v>
      </c>
      <c r="J688" s="81">
        <f ca="1">IFERROR(__xludf.DUMMYFUNCTION("""COMPUTED_VALUE"""),1)</f>
        <v>1</v>
      </c>
      <c r="K688" s="81">
        <f ca="1">IFERROR(__xludf.DUMMYFUNCTION("""COMPUTED_VALUE"""),0)</f>
        <v>0</v>
      </c>
      <c r="L688" s="81">
        <f ca="1">IFERROR(__xludf.DUMMYFUNCTION("""COMPUTED_VALUE"""),0)</f>
        <v>0</v>
      </c>
      <c r="M688" s="81"/>
      <c r="N688" s="81">
        <f ca="1">IFERROR(__xludf.DUMMYFUNCTION("""COMPUTED_VALUE"""),0)</f>
        <v>0</v>
      </c>
      <c r="O688" s="81"/>
      <c r="P688" s="81">
        <f ca="1">IFERROR(__xludf.DUMMYFUNCTION("""COMPUTED_VALUE"""),0)</f>
        <v>0</v>
      </c>
      <c r="Q688" s="81"/>
      <c r="R688" s="81">
        <f ca="1">IFERROR(__xludf.DUMMYFUNCTION("""COMPUTED_VALUE"""),0)</f>
        <v>0</v>
      </c>
      <c r="S688" s="81"/>
      <c r="T688" s="81"/>
      <c r="U688" s="82"/>
      <c r="V688" s="82"/>
      <c r="W688" s="83"/>
      <c r="X688" s="83"/>
      <c r="Y688" s="83"/>
    </row>
    <row r="689" spans="1:25" ht="13.8">
      <c r="A689" s="78" t="str">
        <f ca="1">IFERROR(__xludf.DUMMYFUNCTION("""COMPUTED_VALUE"""),"FS")</f>
        <v>FS</v>
      </c>
      <c r="B689" s="79" t="str">
        <f ca="1">IFERROR(__xludf.DUMMYFUNCTION("""COMPUTED_VALUE"""),"Eliana Louie")</f>
        <v>Eliana Louie</v>
      </c>
      <c r="C689" s="78">
        <f ca="1">IFERROR(__xludf.DUMMYFUNCTION("""COMPUTED_VALUE"""),14)</f>
        <v>14</v>
      </c>
      <c r="D689" s="78" t="str">
        <f ca="1">IFERROR(__xludf.DUMMYFUNCTION("""COMPUTED_VALUE"""),"G")</f>
        <v>G</v>
      </c>
      <c r="E689" s="80" t="str">
        <f ca="1">IFERROR(__xludf.DUMMYFUNCTION("""COMPUTED_VALUE"""),"I")</f>
        <v>I</v>
      </c>
      <c r="F689" s="80" t="str">
        <f ca="1">IFERROR(__xludf.DUMMYFUNCTION("""COMPUTED_VALUE"""),"S")</f>
        <v>S</v>
      </c>
      <c r="G689" s="80">
        <f ca="1">IFERROR(__xludf.DUMMYFUNCTION("""COMPUTED_VALUE"""),6)</f>
        <v>6</v>
      </c>
      <c r="H689" s="80" t="str">
        <f ca="1">IFERROR(__xludf.DUMMYFUNCTION("""COMPUTED_VALUE"""),"FS")</f>
        <v>FS</v>
      </c>
      <c r="I689" s="80">
        <f ca="1">IFERROR(__xludf.DUMMYFUNCTION("""COMPUTED_VALUE"""),6)</f>
        <v>6</v>
      </c>
      <c r="J689" s="81">
        <f ca="1">IFERROR(__xludf.DUMMYFUNCTION("""COMPUTED_VALUE"""),0)</f>
        <v>0</v>
      </c>
      <c r="K689" s="81">
        <f ca="1">IFERROR(__xludf.DUMMYFUNCTION("""COMPUTED_VALUE"""),0)</f>
        <v>0</v>
      </c>
      <c r="L689" s="81">
        <f ca="1">IFERROR(__xludf.DUMMYFUNCTION("""COMPUTED_VALUE"""),0)</f>
        <v>0</v>
      </c>
      <c r="M689" s="81"/>
      <c r="N689" s="81">
        <f ca="1">IFERROR(__xludf.DUMMYFUNCTION("""COMPUTED_VALUE"""),0)</f>
        <v>0</v>
      </c>
      <c r="O689" s="81"/>
      <c r="P689" s="81">
        <f ca="1">IFERROR(__xludf.DUMMYFUNCTION("""COMPUTED_VALUE"""),0)</f>
        <v>0</v>
      </c>
      <c r="Q689" s="81"/>
      <c r="R689" s="81">
        <f ca="1">IFERROR(__xludf.DUMMYFUNCTION("""COMPUTED_VALUE"""),0)</f>
        <v>0</v>
      </c>
      <c r="S689" s="81"/>
      <c r="T689" s="81"/>
      <c r="U689" s="82"/>
      <c r="V689" s="82"/>
      <c r="W689" s="83"/>
      <c r="X689" s="83"/>
      <c r="Y689" s="83"/>
    </row>
    <row r="690" spans="1:25" ht="13.8">
      <c r="A690" s="78" t="str">
        <f ca="1">IFERROR(__xludf.DUMMYFUNCTION("""COMPUTED_VALUE"""),"FS")</f>
        <v>FS</v>
      </c>
      <c r="B690" s="79" t="str">
        <f ca="1">IFERROR(__xludf.DUMMYFUNCTION("""COMPUTED_VALUE"""),"Lauren Lundeby")</f>
        <v>Lauren Lundeby</v>
      </c>
      <c r="C690" s="78">
        <f ca="1">IFERROR(__xludf.DUMMYFUNCTION("""COMPUTED_VALUE"""),13)</f>
        <v>13</v>
      </c>
      <c r="D690" s="78" t="str">
        <f ca="1">IFERROR(__xludf.DUMMYFUNCTION("""COMPUTED_VALUE"""),"G")</f>
        <v>G</v>
      </c>
      <c r="E690" s="80" t="str">
        <f ca="1">IFERROR(__xludf.DUMMYFUNCTION("""COMPUTED_VALUE"""),"I")</f>
        <v>I</v>
      </c>
      <c r="F690" s="80" t="str">
        <f ca="1">IFERROR(__xludf.DUMMYFUNCTION("""COMPUTED_VALUE"""),"S")</f>
        <v>S</v>
      </c>
      <c r="G690" s="80">
        <f ca="1">IFERROR(__xludf.DUMMYFUNCTION("""COMPUTED_VALUE"""),6)</f>
        <v>6</v>
      </c>
      <c r="H690" s="80" t="str">
        <f ca="1">IFERROR(__xludf.DUMMYFUNCTION("""COMPUTED_VALUE"""),"FS")</f>
        <v>FS</v>
      </c>
      <c r="I690" s="80">
        <f ca="1">IFERROR(__xludf.DUMMYFUNCTION("""COMPUTED_VALUE"""),6)</f>
        <v>6</v>
      </c>
      <c r="J690" s="81">
        <f ca="1">IFERROR(__xludf.DUMMYFUNCTION("""COMPUTED_VALUE"""),4)</f>
        <v>4</v>
      </c>
      <c r="K690" s="81">
        <f ca="1">IFERROR(__xludf.DUMMYFUNCTION("""COMPUTED_VALUE"""),104.15)</f>
        <v>104.15</v>
      </c>
      <c r="L690" s="81">
        <f ca="1">IFERROR(__xludf.DUMMYFUNCTION("""COMPUTED_VALUE"""),104.15)</f>
        <v>104.15</v>
      </c>
      <c r="M690" s="81"/>
      <c r="N690" s="81">
        <f ca="1">IFERROR(__xludf.DUMMYFUNCTION("""COMPUTED_VALUE"""),75.55)</f>
        <v>75.55</v>
      </c>
      <c r="O690" s="81"/>
      <c r="P690" s="81">
        <f ca="1">IFERROR(__xludf.DUMMYFUNCTION("""COMPUTED_VALUE"""),101.3)</f>
        <v>101.3</v>
      </c>
      <c r="Q690" s="81"/>
      <c r="R690" s="81">
        <f ca="1">IFERROR(__xludf.DUMMYFUNCTION("""COMPUTED_VALUE"""),92.25)</f>
        <v>92.25</v>
      </c>
      <c r="S690" s="81"/>
      <c r="T690" s="81"/>
      <c r="U690" s="82"/>
      <c r="V690" s="82"/>
      <c r="W690" s="83"/>
      <c r="X690" s="83"/>
      <c r="Y690" s="83"/>
    </row>
    <row r="691" spans="1:25" ht="13.8">
      <c r="A691" s="78" t="str">
        <f ca="1">IFERROR(__xludf.DUMMYFUNCTION("""COMPUTED_VALUE"""),"FS")</f>
        <v>FS</v>
      </c>
      <c r="B691" s="79" t="str">
        <f ca="1">IFERROR(__xludf.DUMMYFUNCTION("""COMPUTED_VALUE"""),"Alyssa Mahoney")</f>
        <v>Alyssa Mahoney</v>
      </c>
      <c r="C691" s="78">
        <f ca="1">IFERROR(__xludf.DUMMYFUNCTION("""COMPUTED_VALUE"""),13)</f>
        <v>13</v>
      </c>
      <c r="D691" s="78" t="str">
        <f ca="1">IFERROR(__xludf.DUMMYFUNCTION("""COMPUTED_VALUE"""),"G")</f>
        <v>G</v>
      </c>
      <c r="E691" s="80" t="str">
        <f ca="1">IFERROR(__xludf.DUMMYFUNCTION("""COMPUTED_VALUE"""),"I")</f>
        <v>I</v>
      </c>
      <c r="F691" s="80" t="str">
        <f ca="1">IFERROR(__xludf.DUMMYFUNCTION("""COMPUTED_VALUE"""),"S")</f>
        <v>S</v>
      </c>
      <c r="G691" s="80">
        <f ca="1">IFERROR(__xludf.DUMMYFUNCTION("""COMPUTED_VALUE"""),6)</f>
        <v>6</v>
      </c>
      <c r="H691" s="80" t="str">
        <f ca="1">IFERROR(__xludf.DUMMYFUNCTION("""COMPUTED_VALUE"""),"FS")</f>
        <v>FS</v>
      </c>
      <c r="I691" s="80">
        <f ca="1">IFERROR(__xludf.DUMMYFUNCTION("""COMPUTED_VALUE"""),6)</f>
        <v>6</v>
      </c>
      <c r="J691" s="81">
        <f ca="1">IFERROR(__xludf.DUMMYFUNCTION("""COMPUTED_VALUE"""),0)</f>
        <v>0</v>
      </c>
      <c r="K691" s="81">
        <f ca="1">IFERROR(__xludf.DUMMYFUNCTION("""COMPUTED_VALUE"""),0)</f>
        <v>0</v>
      </c>
      <c r="L691" s="81">
        <f ca="1">IFERROR(__xludf.DUMMYFUNCTION("""COMPUTED_VALUE"""),0)</f>
        <v>0</v>
      </c>
      <c r="M691" s="81"/>
      <c r="N691" s="81">
        <f ca="1">IFERROR(__xludf.DUMMYFUNCTION("""COMPUTED_VALUE"""),0)</f>
        <v>0</v>
      </c>
      <c r="O691" s="81"/>
      <c r="P691" s="81">
        <f ca="1">IFERROR(__xludf.DUMMYFUNCTION("""COMPUTED_VALUE"""),0)</f>
        <v>0</v>
      </c>
      <c r="Q691" s="81"/>
      <c r="R691" s="81">
        <f ca="1">IFERROR(__xludf.DUMMYFUNCTION("""COMPUTED_VALUE"""),0)</f>
        <v>0</v>
      </c>
      <c r="S691" s="81"/>
      <c r="T691" s="81"/>
      <c r="U691" s="82"/>
      <c r="V691" s="82"/>
      <c r="W691" s="83"/>
      <c r="X691" s="83"/>
      <c r="Y691" s="83"/>
    </row>
    <row r="692" spans="1:25" ht="13.8">
      <c r="A692" s="78" t="str">
        <f ca="1">IFERROR(__xludf.DUMMYFUNCTION("""COMPUTED_VALUE"""),"FS")</f>
        <v>FS</v>
      </c>
      <c r="B692" s="79" t="str">
        <f ca="1">IFERROR(__xludf.DUMMYFUNCTION("""COMPUTED_VALUE"""),"Devyn Telleen")</f>
        <v>Devyn Telleen</v>
      </c>
      <c r="C692" s="78">
        <f ca="1">IFERROR(__xludf.DUMMYFUNCTION("""COMPUTED_VALUE"""),14)</f>
        <v>14</v>
      </c>
      <c r="D692" s="78" t="str">
        <f ca="1">IFERROR(__xludf.DUMMYFUNCTION("""COMPUTED_VALUE"""),"G")</f>
        <v>G</v>
      </c>
      <c r="E692" s="80" t="str">
        <f ca="1">IFERROR(__xludf.DUMMYFUNCTION("""COMPUTED_VALUE"""),"I")</f>
        <v>I</v>
      </c>
      <c r="F692" s="80" t="str">
        <f ca="1">IFERROR(__xludf.DUMMYFUNCTION("""COMPUTED_VALUE"""),"S")</f>
        <v>S</v>
      </c>
      <c r="G692" s="80">
        <f ca="1">IFERROR(__xludf.DUMMYFUNCTION("""COMPUTED_VALUE"""),6)</f>
        <v>6</v>
      </c>
      <c r="H692" s="80" t="str">
        <f ca="1">IFERROR(__xludf.DUMMYFUNCTION("""COMPUTED_VALUE"""),"FS")</f>
        <v>FS</v>
      </c>
      <c r="I692" s="80">
        <f ca="1">IFERROR(__xludf.DUMMYFUNCTION("""COMPUTED_VALUE"""),6)</f>
        <v>6</v>
      </c>
      <c r="J692" s="81">
        <f ca="1">IFERROR(__xludf.DUMMYFUNCTION("""COMPUTED_VALUE"""),5)</f>
        <v>5</v>
      </c>
      <c r="K692" s="81">
        <f ca="1">IFERROR(__xludf.DUMMYFUNCTION("""COMPUTED_VALUE"""),136.4)</f>
        <v>136.4</v>
      </c>
      <c r="L692" s="81">
        <f ca="1">IFERROR(__xludf.DUMMYFUNCTION("""COMPUTED_VALUE"""),130)</f>
        <v>130</v>
      </c>
      <c r="M692" s="81"/>
      <c r="N692" s="81">
        <f ca="1">IFERROR(__xludf.DUMMYFUNCTION("""COMPUTED_VALUE"""),119.1)</f>
        <v>119.1</v>
      </c>
      <c r="O692" s="81"/>
      <c r="P692" s="81">
        <f ca="1">IFERROR(__xludf.DUMMYFUNCTION("""COMPUTED_VALUE"""),116.25)</f>
        <v>116.25</v>
      </c>
      <c r="Q692" s="81"/>
      <c r="R692" s="81">
        <f ca="1">IFERROR(__xludf.DUMMYFUNCTION("""COMPUTED_VALUE"""),136.4)</f>
        <v>136.4</v>
      </c>
      <c r="S692" s="81"/>
      <c r="T692" s="81"/>
      <c r="U692" s="82"/>
      <c r="V692" s="82"/>
      <c r="W692" s="83"/>
      <c r="X692" s="83"/>
      <c r="Y692" s="83"/>
    </row>
    <row r="693" spans="1:25" ht="13.8">
      <c r="A693" s="78" t="str">
        <f ca="1">IFERROR(__xludf.DUMMYFUNCTION("""COMPUTED_VALUE"""),"FS")</f>
        <v>FS</v>
      </c>
      <c r="B693" s="79" t="str">
        <f ca="1">IFERROR(__xludf.DUMMYFUNCTION("""COMPUTED_VALUE"""),"Milo Feller")</f>
        <v>Milo Feller</v>
      </c>
      <c r="C693" s="78">
        <f ca="1">IFERROR(__xludf.DUMMYFUNCTION("""COMPUTED_VALUE"""),13)</f>
        <v>13</v>
      </c>
      <c r="D693" s="78" t="str">
        <f ca="1">IFERROR(__xludf.DUMMYFUNCTION("""COMPUTED_VALUE"""),"B")</f>
        <v>B</v>
      </c>
      <c r="E693" s="80" t="str">
        <f ca="1">IFERROR(__xludf.DUMMYFUNCTION("""COMPUTED_VALUE"""),"I")</f>
        <v>I</v>
      </c>
      <c r="F693" s="80" t="str">
        <f ca="1">IFERROR(__xludf.DUMMYFUNCTION("""COMPUTED_VALUE"""),"S")</f>
        <v>S</v>
      </c>
      <c r="G693" s="80">
        <f ca="1">IFERROR(__xludf.DUMMYFUNCTION("""COMPUTED_VALUE"""),6)</f>
        <v>6</v>
      </c>
      <c r="H693" s="80" t="str">
        <f ca="1">IFERROR(__xludf.DUMMYFUNCTION("""COMPUTED_VALUE"""),"FS")</f>
        <v>FS</v>
      </c>
      <c r="I693" s="80">
        <f ca="1">IFERROR(__xludf.DUMMYFUNCTION("""COMPUTED_VALUE"""),7)</f>
        <v>7</v>
      </c>
      <c r="J693" s="81">
        <f ca="1">IFERROR(__xludf.DUMMYFUNCTION("""COMPUTED_VALUE"""),0)</f>
        <v>0</v>
      </c>
      <c r="K693" s="81">
        <f ca="1">IFERROR(__xludf.DUMMYFUNCTION("""COMPUTED_VALUE"""),0)</f>
        <v>0</v>
      </c>
      <c r="L693" s="81">
        <f ca="1">IFERROR(__xludf.DUMMYFUNCTION("""COMPUTED_VALUE"""),0)</f>
        <v>0</v>
      </c>
      <c r="M693" s="81"/>
      <c r="N693" s="81">
        <f ca="1">IFERROR(__xludf.DUMMYFUNCTION("""COMPUTED_VALUE"""),0)</f>
        <v>0</v>
      </c>
      <c r="O693" s="81"/>
      <c r="P693" s="81">
        <f ca="1">IFERROR(__xludf.DUMMYFUNCTION("""COMPUTED_VALUE"""),0)</f>
        <v>0</v>
      </c>
      <c r="Q693" s="81"/>
      <c r="R693" s="81">
        <f ca="1">IFERROR(__xludf.DUMMYFUNCTION("""COMPUTED_VALUE"""),0)</f>
        <v>0</v>
      </c>
      <c r="S693" s="81"/>
      <c r="T693" s="81"/>
      <c r="U693" s="82"/>
      <c r="V693" s="82"/>
      <c r="W693" s="83"/>
      <c r="X693" s="83"/>
      <c r="Y693" s="83"/>
    </row>
    <row r="694" spans="1:25" ht="13.8">
      <c r="A694" s="78" t="str">
        <f ca="1">IFERROR(__xludf.DUMMYFUNCTION("""COMPUTED_VALUE"""),"FS")</f>
        <v>FS</v>
      </c>
      <c r="B694" s="79" t="str">
        <f ca="1">IFERROR(__xludf.DUMMYFUNCTION("""COMPUTED_VALUE"""),"Charles Schuppin")</f>
        <v>Charles Schuppin</v>
      </c>
      <c r="C694" s="78">
        <f ca="1">IFERROR(__xludf.DUMMYFUNCTION("""COMPUTED_VALUE"""),13)</f>
        <v>13</v>
      </c>
      <c r="D694" s="78" t="str">
        <f ca="1">IFERROR(__xludf.DUMMYFUNCTION("""COMPUTED_VALUE"""),"B")</f>
        <v>B</v>
      </c>
      <c r="E694" s="80" t="str">
        <f ca="1">IFERROR(__xludf.DUMMYFUNCTION("""COMPUTED_VALUE"""),"I")</f>
        <v>I</v>
      </c>
      <c r="F694" s="80" t="str">
        <f ca="1">IFERROR(__xludf.DUMMYFUNCTION("""COMPUTED_VALUE"""),"S")</f>
        <v>S</v>
      </c>
      <c r="G694" s="80">
        <f ca="1">IFERROR(__xludf.DUMMYFUNCTION("""COMPUTED_VALUE"""),6)</f>
        <v>6</v>
      </c>
      <c r="H694" s="80" t="str">
        <f ca="1">IFERROR(__xludf.DUMMYFUNCTION("""COMPUTED_VALUE"""),"FS")</f>
        <v>FS</v>
      </c>
      <c r="I694" s="80">
        <f ca="1">IFERROR(__xludf.DUMMYFUNCTION("""COMPUTED_VALUE"""),7)</f>
        <v>7</v>
      </c>
      <c r="J694" s="81">
        <f ca="1">IFERROR(__xludf.DUMMYFUNCTION("""COMPUTED_VALUE"""),5)</f>
        <v>5</v>
      </c>
      <c r="K694" s="81">
        <f ca="1">IFERROR(__xludf.DUMMYFUNCTION("""COMPUTED_VALUE"""),135.7)</f>
        <v>135.69999999999999</v>
      </c>
      <c r="L694" s="81">
        <f ca="1">IFERROR(__xludf.DUMMYFUNCTION("""COMPUTED_VALUE"""),135.7)</f>
        <v>135.69999999999999</v>
      </c>
      <c r="M694" s="81"/>
      <c r="N694" s="81">
        <f ca="1">IFERROR(__xludf.DUMMYFUNCTION("""COMPUTED_VALUE"""),130.55)</f>
        <v>130.55000000000001</v>
      </c>
      <c r="O694" s="81"/>
      <c r="P694" s="81">
        <f ca="1">IFERROR(__xludf.DUMMYFUNCTION("""COMPUTED_VALUE"""),123.9)</f>
        <v>123.9</v>
      </c>
      <c r="Q694" s="81"/>
      <c r="R694" s="81">
        <f ca="1">IFERROR(__xludf.DUMMYFUNCTION("""COMPUTED_VALUE"""),129.2)</f>
        <v>129.19999999999999</v>
      </c>
      <c r="S694" s="81"/>
      <c r="T694" s="81"/>
      <c r="U694" s="82"/>
      <c r="V694" s="82"/>
      <c r="W694" s="83"/>
      <c r="X694" s="83"/>
      <c r="Y694" s="83"/>
    </row>
    <row r="695" spans="1:25" ht="13.8">
      <c r="A695" s="78" t="str">
        <f ca="1">IFERROR(__xludf.DUMMYFUNCTION("""COMPUTED_VALUE"""),"FS")</f>
        <v>FS</v>
      </c>
      <c r="B695" s="79" t="str">
        <f ca="1">IFERROR(__xludf.DUMMYFUNCTION("""COMPUTED_VALUE"""),"Sarina Meyer")</f>
        <v>Sarina Meyer</v>
      </c>
      <c r="C695" s="78">
        <f ca="1">IFERROR(__xludf.DUMMYFUNCTION("""COMPUTED_VALUE"""),15)</f>
        <v>15</v>
      </c>
      <c r="D695" s="78" t="str">
        <f ca="1">IFERROR(__xludf.DUMMYFUNCTION("""COMPUTED_VALUE"""),"G")</f>
        <v>G</v>
      </c>
      <c r="E695" s="80" t="str">
        <f ca="1">IFERROR(__xludf.DUMMYFUNCTION("""COMPUTED_VALUE"""),"S")</f>
        <v>S</v>
      </c>
      <c r="F695" s="80" t="str">
        <f ca="1">IFERROR(__xludf.DUMMYFUNCTION("""COMPUTED_VALUE"""),"S")</f>
        <v>S</v>
      </c>
      <c r="G695" s="80">
        <f ca="1">IFERROR(__xludf.DUMMYFUNCTION("""COMPUTED_VALUE"""),6)</f>
        <v>6</v>
      </c>
      <c r="H695" s="80" t="str">
        <f ca="1">IFERROR(__xludf.DUMMYFUNCTION("""COMPUTED_VALUE"""),"FS")</f>
        <v>FS</v>
      </c>
      <c r="I695" s="80">
        <f ca="1">IFERROR(__xludf.DUMMYFUNCTION("""COMPUTED_VALUE"""),8)</f>
        <v>8</v>
      </c>
      <c r="J695" s="81">
        <f ca="1">IFERROR(__xludf.DUMMYFUNCTION("""COMPUTED_VALUE"""),4)</f>
        <v>4</v>
      </c>
      <c r="K695" s="81">
        <f ca="1">IFERROR(__xludf.DUMMYFUNCTION("""COMPUTED_VALUE"""),132.35)</f>
        <v>132.35</v>
      </c>
      <c r="L695" s="81">
        <f ca="1">IFERROR(__xludf.DUMMYFUNCTION("""COMPUTED_VALUE"""),113.65)</f>
        <v>113.65</v>
      </c>
      <c r="M695" s="81"/>
      <c r="N695" s="81">
        <f ca="1">IFERROR(__xludf.DUMMYFUNCTION("""COMPUTED_VALUE"""),0)</f>
        <v>0</v>
      </c>
      <c r="O695" s="81"/>
      <c r="P695" s="81">
        <f ca="1">IFERROR(__xludf.DUMMYFUNCTION("""COMPUTED_VALUE"""),132.35)</f>
        <v>132.35</v>
      </c>
      <c r="Q695" s="81"/>
      <c r="R695" s="81">
        <f ca="1">IFERROR(__xludf.DUMMYFUNCTION("""COMPUTED_VALUE"""),121.8)</f>
        <v>121.8</v>
      </c>
      <c r="S695" s="81"/>
      <c r="T695" s="81"/>
      <c r="U695" s="82"/>
      <c r="V695" s="82"/>
      <c r="W695" s="83"/>
      <c r="X695" s="83"/>
      <c r="Y695" s="83"/>
    </row>
    <row r="696" spans="1:25" ht="13.8">
      <c r="A696" s="78" t="str">
        <f ca="1">IFERROR(__xludf.DUMMYFUNCTION("""COMPUTED_VALUE"""),"FS")</f>
        <v>FS</v>
      </c>
      <c r="B696" s="79" t="str">
        <f ca="1">IFERROR(__xludf.DUMMYFUNCTION("""COMPUTED_VALUE"""),"Lucy Parente")</f>
        <v>Lucy Parente</v>
      </c>
      <c r="C696" s="78">
        <f ca="1">IFERROR(__xludf.DUMMYFUNCTION("""COMPUTED_VALUE"""),18)</f>
        <v>18</v>
      </c>
      <c r="D696" s="78" t="str">
        <f ca="1">IFERROR(__xludf.DUMMYFUNCTION("""COMPUTED_VALUE"""),"G")</f>
        <v>G</v>
      </c>
      <c r="E696" s="80" t="str">
        <f ca="1">IFERROR(__xludf.DUMMYFUNCTION("""COMPUTED_VALUE"""),"S")</f>
        <v>S</v>
      </c>
      <c r="F696" s="80" t="str">
        <f ca="1">IFERROR(__xludf.DUMMYFUNCTION("""COMPUTED_VALUE"""),"S")</f>
        <v>S</v>
      </c>
      <c r="G696" s="80">
        <f ca="1">IFERROR(__xludf.DUMMYFUNCTION("""COMPUTED_VALUE"""),6)</f>
        <v>6</v>
      </c>
      <c r="H696" s="80" t="str">
        <f ca="1">IFERROR(__xludf.DUMMYFUNCTION("""COMPUTED_VALUE"""),"FS")</f>
        <v>FS</v>
      </c>
      <c r="I696" s="80">
        <f ca="1">IFERROR(__xludf.DUMMYFUNCTION("""COMPUTED_VALUE"""),8)</f>
        <v>8</v>
      </c>
      <c r="J696" s="81">
        <f ca="1">IFERROR(__xludf.DUMMYFUNCTION("""COMPUTED_VALUE"""),5)</f>
        <v>5</v>
      </c>
      <c r="K696" s="81">
        <f ca="1">IFERROR(__xludf.DUMMYFUNCTION("""COMPUTED_VALUE"""),148.7)</f>
        <v>148.69999999999999</v>
      </c>
      <c r="L696" s="81">
        <f ca="1">IFERROR(__xludf.DUMMYFUNCTION("""COMPUTED_VALUE"""),142.35)</f>
        <v>142.35</v>
      </c>
      <c r="M696" s="81"/>
      <c r="N696" s="81">
        <f ca="1">IFERROR(__xludf.DUMMYFUNCTION("""COMPUTED_VALUE"""),144.6)</f>
        <v>144.6</v>
      </c>
      <c r="O696" s="81"/>
      <c r="P696" s="81">
        <f ca="1">IFERROR(__xludf.DUMMYFUNCTION("""COMPUTED_VALUE"""),147.4)</f>
        <v>147.4</v>
      </c>
      <c r="Q696" s="81"/>
      <c r="R696" s="81">
        <f ca="1">IFERROR(__xludf.DUMMYFUNCTION("""COMPUTED_VALUE"""),148.7)</f>
        <v>148.69999999999999</v>
      </c>
      <c r="S696" s="81"/>
      <c r="T696" s="81"/>
      <c r="U696" s="82"/>
      <c r="V696" s="82"/>
      <c r="W696" s="83"/>
      <c r="X696" s="83"/>
      <c r="Y696" s="83"/>
    </row>
    <row r="697" spans="1:25" ht="13.8">
      <c r="A697" s="78" t="str">
        <f ca="1">IFERROR(__xludf.DUMMYFUNCTION("""COMPUTED_VALUE"""),"FS")</f>
        <v>FS</v>
      </c>
      <c r="B697" s="79" t="str">
        <f ca="1">IFERROR(__xludf.DUMMYFUNCTION("""COMPUTED_VALUE"""),"Elisabeth Rockefeller")</f>
        <v>Elisabeth Rockefeller</v>
      </c>
      <c r="C697" s="78">
        <f ca="1">IFERROR(__xludf.DUMMYFUNCTION("""COMPUTED_VALUE"""),15)</f>
        <v>15</v>
      </c>
      <c r="D697" s="78" t="str">
        <f ca="1">IFERROR(__xludf.DUMMYFUNCTION("""COMPUTED_VALUE"""),"G")</f>
        <v>G</v>
      </c>
      <c r="E697" s="80" t="str">
        <f ca="1">IFERROR(__xludf.DUMMYFUNCTION("""COMPUTED_VALUE"""),"S")</f>
        <v>S</v>
      </c>
      <c r="F697" s="80" t="str">
        <f ca="1">IFERROR(__xludf.DUMMYFUNCTION("""COMPUTED_VALUE"""),"S")</f>
        <v>S</v>
      </c>
      <c r="G697" s="80">
        <f ca="1">IFERROR(__xludf.DUMMYFUNCTION("""COMPUTED_VALUE"""),6)</f>
        <v>6</v>
      </c>
      <c r="H697" s="80" t="str">
        <f ca="1">IFERROR(__xludf.DUMMYFUNCTION("""COMPUTED_VALUE"""),"FS")</f>
        <v>FS</v>
      </c>
      <c r="I697" s="80">
        <f ca="1">IFERROR(__xludf.DUMMYFUNCTION("""COMPUTED_VALUE"""),8)</f>
        <v>8</v>
      </c>
      <c r="J697" s="81">
        <f ca="1">IFERROR(__xludf.DUMMYFUNCTION("""COMPUTED_VALUE"""),3)</f>
        <v>3</v>
      </c>
      <c r="K697" s="81">
        <f ca="1">IFERROR(__xludf.DUMMYFUNCTION("""COMPUTED_VALUE"""),232.6)</f>
        <v>232.6</v>
      </c>
      <c r="L697" s="81">
        <f ca="1">IFERROR(__xludf.DUMMYFUNCTION("""COMPUTED_VALUE"""),0)</f>
        <v>0</v>
      </c>
      <c r="M697" s="81"/>
      <c r="N697" s="81">
        <f ca="1">IFERROR(__xludf.DUMMYFUNCTION("""COMPUTED_VALUE"""),0)</f>
        <v>0</v>
      </c>
      <c r="O697" s="81"/>
      <c r="P697" s="81">
        <f ca="1">IFERROR(__xludf.DUMMYFUNCTION("""COMPUTED_VALUE"""),231.95)</f>
        <v>231.95</v>
      </c>
      <c r="Q697" s="81"/>
      <c r="R697" s="81">
        <f ca="1">IFERROR(__xludf.DUMMYFUNCTION("""COMPUTED_VALUE"""),232.6)</f>
        <v>232.6</v>
      </c>
      <c r="S697" s="81"/>
      <c r="T697" s="81"/>
      <c r="U697" s="82"/>
      <c r="V697" s="82"/>
      <c r="W697" s="83"/>
      <c r="X697" s="83"/>
      <c r="Y697" s="83"/>
    </row>
    <row r="698" spans="1:25" ht="13.8">
      <c r="A698" s="78" t="str">
        <f ca="1">IFERROR(__xludf.DUMMYFUNCTION("""COMPUTED_VALUE"""),"FS")</f>
        <v>FS</v>
      </c>
      <c r="B698" s="79" t="str">
        <f ca="1">IFERROR(__xludf.DUMMYFUNCTION("""COMPUTED_VALUE"""),"Julian Penn")</f>
        <v>Julian Penn</v>
      </c>
      <c r="C698" s="78">
        <f ca="1">IFERROR(__xludf.DUMMYFUNCTION("""COMPUTED_VALUE"""),17)</f>
        <v>17</v>
      </c>
      <c r="D698" s="78" t="str">
        <f ca="1">IFERROR(__xludf.DUMMYFUNCTION("""COMPUTED_VALUE"""),"B")</f>
        <v>B</v>
      </c>
      <c r="E698" s="80" t="str">
        <f ca="1">IFERROR(__xludf.DUMMYFUNCTION("""COMPUTED_VALUE"""),"S")</f>
        <v>S</v>
      </c>
      <c r="F698" s="80" t="str">
        <f ca="1">IFERROR(__xludf.DUMMYFUNCTION("""COMPUTED_VALUE"""),"S")</f>
        <v>S</v>
      </c>
      <c r="G698" s="80">
        <f ca="1">IFERROR(__xludf.DUMMYFUNCTION("""COMPUTED_VALUE"""),6)</f>
        <v>6</v>
      </c>
      <c r="H698" s="80" t="str">
        <f ca="1">IFERROR(__xludf.DUMMYFUNCTION("""COMPUTED_VALUE"""),"FS")</f>
        <v>FS</v>
      </c>
      <c r="I698" s="80">
        <f ca="1">IFERROR(__xludf.DUMMYFUNCTION("""COMPUTED_VALUE"""),9)</f>
        <v>9</v>
      </c>
      <c r="J698" s="81">
        <f ca="1">IFERROR(__xludf.DUMMYFUNCTION("""COMPUTED_VALUE"""),2)</f>
        <v>2</v>
      </c>
      <c r="K698" s="81">
        <f ca="1">IFERROR(__xludf.DUMMYFUNCTION("""COMPUTED_VALUE"""),83.3)</f>
        <v>83.3</v>
      </c>
      <c r="L698" s="81">
        <f ca="1">IFERROR(__xludf.DUMMYFUNCTION("""COMPUTED_VALUE"""),0)</f>
        <v>0</v>
      </c>
      <c r="M698" s="81"/>
      <c r="N698" s="81">
        <f ca="1">IFERROR(__xludf.DUMMYFUNCTION("""COMPUTED_VALUE"""),0)</f>
        <v>0</v>
      </c>
      <c r="O698" s="81"/>
      <c r="P698" s="81">
        <f ca="1">IFERROR(__xludf.DUMMYFUNCTION("""COMPUTED_VALUE"""),83.3)</f>
        <v>83.3</v>
      </c>
      <c r="Q698" s="81"/>
      <c r="R698" s="81">
        <f ca="1">IFERROR(__xludf.DUMMYFUNCTION("""COMPUTED_VALUE"""),0)</f>
        <v>0</v>
      </c>
      <c r="S698" s="81"/>
      <c r="T698" s="81"/>
      <c r="U698" s="82"/>
      <c r="V698" s="82"/>
      <c r="W698" s="83"/>
      <c r="X698" s="83"/>
      <c r="Y698" s="83"/>
    </row>
    <row r="699" spans="1:25" ht="13.8">
      <c r="A699" s="78" t="str">
        <f ca="1">IFERROR(__xludf.DUMMYFUNCTION("""COMPUTED_VALUE"""),"FS")</f>
        <v>FS</v>
      </c>
      <c r="B699" s="79" t="str">
        <f ca="1">IFERROR(__xludf.DUMMYFUNCTION("""COMPUTED_VALUE"""),"Trey Telleen")</f>
        <v>Trey Telleen</v>
      </c>
      <c r="C699" s="78">
        <f ca="1">IFERROR(__xludf.DUMMYFUNCTION("""COMPUTED_VALUE"""),15)</f>
        <v>15</v>
      </c>
      <c r="D699" s="78" t="str">
        <f ca="1">IFERROR(__xludf.DUMMYFUNCTION("""COMPUTED_VALUE"""),"B")</f>
        <v>B</v>
      </c>
      <c r="E699" s="80" t="str">
        <f ca="1">IFERROR(__xludf.DUMMYFUNCTION("""COMPUTED_VALUE"""),"S")</f>
        <v>S</v>
      </c>
      <c r="F699" s="80" t="str">
        <f ca="1">IFERROR(__xludf.DUMMYFUNCTION("""COMPUTED_VALUE"""),"S")</f>
        <v>S</v>
      </c>
      <c r="G699" s="80">
        <f ca="1">IFERROR(__xludf.DUMMYFUNCTION("""COMPUTED_VALUE"""),6)</f>
        <v>6</v>
      </c>
      <c r="H699" s="80" t="str">
        <f ca="1">IFERROR(__xludf.DUMMYFUNCTION("""COMPUTED_VALUE"""),"FS")</f>
        <v>FS</v>
      </c>
      <c r="I699" s="80">
        <f ca="1">IFERROR(__xludf.DUMMYFUNCTION("""COMPUTED_VALUE"""),9)</f>
        <v>9</v>
      </c>
      <c r="J699" s="81">
        <f ca="1">IFERROR(__xludf.DUMMYFUNCTION("""COMPUTED_VALUE"""),5)</f>
        <v>5</v>
      </c>
      <c r="K699" s="81">
        <f ca="1">IFERROR(__xludf.DUMMYFUNCTION("""COMPUTED_VALUE"""),188)</f>
        <v>188</v>
      </c>
      <c r="L699" s="81">
        <f ca="1">IFERROR(__xludf.DUMMYFUNCTION("""COMPUTED_VALUE"""),157.25)</f>
        <v>157.25</v>
      </c>
      <c r="M699" s="81"/>
      <c r="N699" s="81">
        <f ca="1">IFERROR(__xludf.DUMMYFUNCTION("""COMPUTED_VALUE"""),172.7)</f>
        <v>172.7</v>
      </c>
      <c r="O699" s="81"/>
      <c r="P699" s="81">
        <f ca="1">IFERROR(__xludf.DUMMYFUNCTION("""COMPUTED_VALUE"""),188)</f>
        <v>188</v>
      </c>
      <c r="Q699" s="81"/>
      <c r="R699" s="81">
        <f ca="1">IFERROR(__xludf.DUMMYFUNCTION("""COMPUTED_VALUE"""),184.45)</f>
        <v>184.45</v>
      </c>
      <c r="S699" s="81"/>
      <c r="T699" s="81"/>
      <c r="U699" s="82"/>
      <c r="V699" s="82"/>
      <c r="W699" s="83"/>
      <c r="X699" s="83"/>
      <c r="Y699" s="83"/>
    </row>
    <row r="700" spans="1:25" ht="13.8">
      <c r="A700" s="78" t="str">
        <f ca="1">IFERROR(__xludf.DUMMYFUNCTION("""COMPUTED_VALUE"""),"G")</f>
        <v>G</v>
      </c>
      <c r="B700" s="79" t="str">
        <f ca="1">IFERROR(__xludf.DUMMYFUNCTION("""COMPUTED_VALUE"""),"Mila Brown")</f>
        <v>Mila Brown</v>
      </c>
      <c r="C700" s="78">
        <f ca="1">IFERROR(__xludf.DUMMYFUNCTION("""COMPUTED_VALUE"""),6)</f>
        <v>6</v>
      </c>
      <c r="D700" s="78" t="str">
        <f ca="1">IFERROR(__xludf.DUMMYFUNCTION("""COMPUTED_VALUE"""),"G")</f>
        <v>G</v>
      </c>
      <c r="E700" s="80" t="str">
        <f ca="1">IFERROR(__xludf.DUMMYFUNCTION("""COMPUTED_VALUE"""),"F")</f>
        <v>F</v>
      </c>
      <c r="F700" s="80" t="str">
        <f ca="1">IFERROR(__xludf.DUMMYFUNCTION("""COMPUTED_VALUE"""),"J")</f>
        <v>J</v>
      </c>
      <c r="G700" s="80">
        <f ca="1">IFERROR(__xludf.DUMMYFUNCTION("""COMPUTED_VALUE"""),6)</f>
        <v>6</v>
      </c>
      <c r="H700" s="80" t="str">
        <f ca="1">IFERROR(__xludf.DUMMYFUNCTION("""COMPUTED_VALUE"""),"G")</f>
        <v>G</v>
      </c>
      <c r="I700" s="80">
        <f ca="1">IFERROR(__xludf.DUMMYFUNCTION("""COMPUTED_VALUE"""),2)</f>
        <v>2</v>
      </c>
      <c r="J700" s="81">
        <f ca="1">IFERROR(__xludf.DUMMYFUNCTION("""COMPUTED_VALUE"""),3)</f>
        <v>3</v>
      </c>
      <c r="K700" s="81">
        <f ca="1">IFERROR(__xludf.DUMMYFUNCTION("""COMPUTED_VALUE"""),57.7)</f>
        <v>57.7</v>
      </c>
      <c r="L700" s="81">
        <f ca="1">IFERROR(__xludf.DUMMYFUNCTION("""COMPUTED_VALUE"""),0)</f>
        <v>0</v>
      </c>
      <c r="M700" s="81"/>
      <c r="N700" s="81">
        <f ca="1">IFERROR(__xludf.DUMMYFUNCTION("""COMPUTED_VALUE"""),23.35)</f>
        <v>23.35</v>
      </c>
      <c r="O700" s="81"/>
      <c r="P700" s="81">
        <f ca="1">IFERROR(__xludf.DUMMYFUNCTION("""COMPUTED_VALUE"""),0)</f>
        <v>0</v>
      </c>
      <c r="Q700" s="81"/>
      <c r="R700" s="81">
        <f ca="1">IFERROR(__xludf.DUMMYFUNCTION("""COMPUTED_VALUE"""),57.7)</f>
        <v>57.7</v>
      </c>
      <c r="S700" s="81"/>
      <c r="T700" s="81"/>
      <c r="U700" s="82"/>
      <c r="V700" s="82"/>
      <c r="W700" s="83"/>
      <c r="X700" s="83"/>
      <c r="Y700" s="83"/>
    </row>
    <row r="701" spans="1:25" ht="13.8">
      <c r="A701" s="78" t="str">
        <f ca="1">IFERROR(__xludf.DUMMYFUNCTION("""COMPUTED_VALUE"""),"G")</f>
        <v>G</v>
      </c>
      <c r="B701" s="79" t="str">
        <f ca="1">IFERROR(__xludf.DUMMYFUNCTION("""COMPUTED_VALUE"""),"Zanna Brown")</f>
        <v>Zanna Brown</v>
      </c>
      <c r="C701" s="78">
        <f ca="1">IFERROR(__xludf.DUMMYFUNCTION("""COMPUTED_VALUE"""),8)</f>
        <v>8</v>
      </c>
      <c r="D701" s="78" t="str">
        <f ca="1">IFERROR(__xludf.DUMMYFUNCTION("""COMPUTED_VALUE"""),"G")</f>
        <v>G</v>
      </c>
      <c r="E701" s="80" t="str">
        <f ca="1">IFERROR(__xludf.DUMMYFUNCTION("""COMPUTED_VALUE"""),"F")</f>
        <v>F</v>
      </c>
      <c r="F701" s="80" t="str">
        <f ca="1">IFERROR(__xludf.DUMMYFUNCTION("""COMPUTED_VALUE"""),"J")</f>
        <v>J</v>
      </c>
      <c r="G701" s="80">
        <f ca="1">IFERROR(__xludf.DUMMYFUNCTION("""COMPUTED_VALUE"""),6)</f>
        <v>6</v>
      </c>
      <c r="H701" s="80" t="str">
        <f ca="1">IFERROR(__xludf.DUMMYFUNCTION("""COMPUTED_VALUE"""),"G")</f>
        <v>G</v>
      </c>
      <c r="I701" s="80">
        <f ca="1">IFERROR(__xludf.DUMMYFUNCTION("""COMPUTED_VALUE"""),2)</f>
        <v>2</v>
      </c>
      <c r="J701" s="81">
        <f ca="1">IFERROR(__xludf.DUMMYFUNCTION("""COMPUTED_VALUE"""),4)</f>
        <v>4</v>
      </c>
      <c r="K701" s="81">
        <f ca="1">IFERROR(__xludf.DUMMYFUNCTION("""COMPUTED_VALUE"""),60.6)</f>
        <v>60.6</v>
      </c>
      <c r="L701" s="81">
        <f ca="1">IFERROR(__xludf.DUMMYFUNCTION("""COMPUTED_VALUE"""),0)</f>
        <v>0</v>
      </c>
      <c r="M701" s="81"/>
      <c r="N701" s="81">
        <f ca="1">IFERROR(__xludf.DUMMYFUNCTION("""COMPUTED_VALUE"""),38.4)</f>
        <v>38.4</v>
      </c>
      <c r="O701" s="81"/>
      <c r="P701" s="81">
        <f ca="1">IFERROR(__xludf.DUMMYFUNCTION("""COMPUTED_VALUE"""),40.7)</f>
        <v>40.700000000000003</v>
      </c>
      <c r="Q701" s="81"/>
      <c r="R701" s="81">
        <f ca="1">IFERROR(__xludf.DUMMYFUNCTION("""COMPUTED_VALUE"""),60.6)</f>
        <v>60.6</v>
      </c>
      <c r="S701" s="81"/>
      <c r="T701" s="81"/>
      <c r="U701" s="82"/>
      <c r="V701" s="82"/>
      <c r="W701" s="83"/>
      <c r="X701" s="83"/>
      <c r="Y701" s="83"/>
    </row>
    <row r="702" spans="1:25" ht="13.8">
      <c r="A702" s="78" t="str">
        <f ca="1">IFERROR(__xludf.DUMMYFUNCTION("""COMPUTED_VALUE"""),"G")</f>
        <v>G</v>
      </c>
      <c r="B702" s="79" t="str">
        <f ca="1">IFERROR(__xludf.DUMMYFUNCTION("""COMPUTED_VALUE"""),"Simone Feil")</f>
        <v>Simone Feil</v>
      </c>
      <c r="C702" s="78">
        <f ca="1">IFERROR(__xludf.DUMMYFUNCTION("""COMPUTED_VALUE"""),10)</f>
        <v>10</v>
      </c>
      <c r="D702" s="78" t="str">
        <f ca="1">IFERROR(__xludf.DUMMYFUNCTION("""COMPUTED_VALUE"""),"G")</f>
        <v>G</v>
      </c>
      <c r="E702" s="80" t="str">
        <f ca="1">IFERROR(__xludf.DUMMYFUNCTION("""COMPUTED_VALUE"""),"F")</f>
        <v>F</v>
      </c>
      <c r="F702" s="80" t="str">
        <f ca="1">IFERROR(__xludf.DUMMYFUNCTION("""COMPUTED_VALUE"""),"J")</f>
        <v>J</v>
      </c>
      <c r="G702" s="80">
        <f ca="1">IFERROR(__xludf.DUMMYFUNCTION("""COMPUTED_VALUE"""),6)</f>
        <v>6</v>
      </c>
      <c r="H702" s="80" t="str">
        <f ca="1">IFERROR(__xludf.DUMMYFUNCTION("""COMPUTED_VALUE"""),"G")</f>
        <v>G</v>
      </c>
      <c r="I702" s="80">
        <f ca="1">IFERROR(__xludf.DUMMYFUNCTION("""COMPUTED_VALUE"""),2)</f>
        <v>2</v>
      </c>
      <c r="J702" s="81">
        <f ca="1">IFERROR(__xludf.DUMMYFUNCTION("""COMPUTED_VALUE"""),4)</f>
        <v>4</v>
      </c>
      <c r="K702" s="81">
        <f ca="1">IFERROR(__xludf.DUMMYFUNCTION("""COMPUTED_VALUE"""),73.6)</f>
        <v>73.599999999999994</v>
      </c>
      <c r="L702" s="81">
        <f ca="1">IFERROR(__xludf.DUMMYFUNCTION("""COMPUTED_VALUE"""),55.05)</f>
        <v>55.05</v>
      </c>
      <c r="M702" s="81"/>
      <c r="N702" s="81">
        <f ca="1">IFERROR(__xludf.DUMMYFUNCTION("""COMPUTED_VALUE"""),0)</f>
        <v>0</v>
      </c>
      <c r="O702" s="81"/>
      <c r="P702" s="81">
        <f ca="1">IFERROR(__xludf.DUMMYFUNCTION("""COMPUTED_VALUE"""),56.45)</f>
        <v>56.45</v>
      </c>
      <c r="Q702" s="81"/>
      <c r="R702" s="81">
        <f ca="1">IFERROR(__xludf.DUMMYFUNCTION("""COMPUTED_VALUE"""),73.6)</f>
        <v>73.599999999999994</v>
      </c>
      <c r="S702" s="81"/>
      <c r="T702" s="81"/>
      <c r="U702" s="82"/>
      <c r="V702" s="82"/>
      <c r="W702" s="83"/>
      <c r="X702" s="83"/>
      <c r="Y702" s="83"/>
    </row>
    <row r="703" spans="1:25" ht="13.8">
      <c r="A703" s="78" t="str">
        <f ca="1">IFERROR(__xludf.DUMMYFUNCTION("""COMPUTED_VALUE"""),"G")</f>
        <v>G</v>
      </c>
      <c r="B703" s="79" t="str">
        <f ca="1">IFERROR(__xludf.DUMMYFUNCTION("""COMPUTED_VALUE"""),"Anna Goodell")</f>
        <v>Anna Goodell</v>
      </c>
      <c r="C703" s="78">
        <f ca="1">IFERROR(__xludf.DUMMYFUNCTION("""COMPUTED_VALUE"""),8)</f>
        <v>8</v>
      </c>
      <c r="D703" s="78" t="str">
        <f ca="1">IFERROR(__xludf.DUMMYFUNCTION("""COMPUTED_VALUE"""),"G")</f>
        <v>G</v>
      </c>
      <c r="E703" s="80" t="str">
        <f ca="1">IFERROR(__xludf.DUMMYFUNCTION("""COMPUTED_VALUE"""),"F")</f>
        <v>F</v>
      </c>
      <c r="F703" s="80" t="str">
        <f ca="1">IFERROR(__xludf.DUMMYFUNCTION("""COMPUTED_VALUE"""),"J")</f>
        <v>J</v>
      </c>
      <c r="G703" s="80">
        <f ca="1">IFERROR(__xludf.DUMMYFUNCTION("""COMPUTED_VALUE"""),6)</f>
        <v>6</v>
      </c>
      <c r="H703" s="80" t="str">
        <f ca="1">IFERROR(__xludf.DUMMYFUNCTION("""COMPUTED_VALUE"""),"G")</f>
        <v>G</v>
      </c>
      <c r="I703" s="80">
        <f ca="1">IFERROR(__xludf.DUMMYFUNCTION("""COMPUTED_VALUE"""),2)</f>
        <v>2</v>
      </c>
      <c r="J703" s="81">
        <f ca="1">IFERROR(__xludf.DUMMYFUNCTION("""COMPUTED_VALUE"""),2)</f>
        <v>2</v>
      </c>
      <c r="K703" s="81">
        <f ca="1">IFERROR(__xludf.DUMMYFUNCTION("""COMPUTED_VALUE"""),40.45)</f>
        <v>40.450000000000003</v>
      </c>
      <c r="L703" s="81">
        <f ca="1">IFERROR(__xludf.DUMMYFUNCTION("""COMPUTED_VALUE"""),40.45)</f>
        <v>40.450000000000003</v>
      </c>
      <c r="M703" s="81"/>
      <c r="N703" s="81">
        <f ca="1">IFERROR(__xludf.DUMMYFUNCTION("""COMPUTED_VALUE"""),19.6)</f>
        <v>19.600000000000001</v>
      </c>
      <c r="O703" s="81"/>
      <c r="P703" s="81">
        <f ca="1">IFERROR(__xludf.DUMMYFUNCTION("""COMPUTED_VALUE"""),0)</f>
        <v>0</v>
      </c>
      <c r="Q703" s="81"/>
      <c r="R703" s="81">
        <f ca="1">IFERROR(__xludf.DUMMYFUNCTION("""COMPUTED_VALUE"""),0)</f>
        <v>0</v>
      </c>
      <c r="S703" s="81"/>
      <c r="T703" s="81"/>
      <c r="U703" s="82"/>
      <c r="V703" s="82"/>
      <c r="W703" s="83"/>
      <c r="X703" s="83"/>
      <c r="Y703" s="83"/>
    </row>
    <row r="704" spans="1:25" ht="13.8">
      <c r="A704" s="78" t="str">
        <f ca="1">IFERROR(__xludf.DUMMYFUNCTION("""COMPUTED_VALUE"""),"G")</f>
        <v>G</v>
      </c>
      <c r="B704" s="79" t="str">
        <f ca="1">IFERROR(__xludf.DUMMYFUNCTION("""COMPUTED_VALUE"""),"Quinn Leonard")</f>
        <v>Quinn Leonard</v>
      </c>
      <c r="C704" s="78">
        <f ca="1">IFERROR(__xludf.DUMMYFUNCTION("""COMPUTED_VALUE"""),7)</f>
        <v>7</v>
      </c>
      <c r="D704" s="78" t="str">
        <f ca="1">IFERROR(__xludf.DUMMYFUNCTION("""COMPUTED_VALUE"""),"G")</f>
        <v>G</v>
      </c>
      <c r="E704" s="80" t="str">
        <f ca="1">IFERROR(__xludf.DUMMYFUNCTION("""COMPUTED_VALUE"""),"F")</f>
        <v>F</v>
      </c>
      <c r="F704" s="80" t="str">
        <f ca="1">IFERROR(__xludf.DUMMYFUNCTION("""COMPUTED_VALUE"""),"J")</f>
        <v>J</v>
      </c>
      <c r="G704" s="80">
        <f ca="1">IFERROR(__xludf.DUMMYFUNCTION("""COMPUTED_VALUE"""),6)</f>
        <v>6</v>
      </c>
      <c r="H704" s="80" t="str">
        <f ca="1">IFERROR(__xludf.DUMMYFUNCTION("""COMPUTED_VALUE"""),"G")</f>
        <v>G</v>
      </c>
      <c r="I704" s="80">
        <f ca="1">IFERROR(__xludf.DUMMYFUNCTION("""COMPUTED_VALUE"""),2)</f>
        <v>2</v>
      </c>
      <c r="J704" s="81">
        <f ca="1">IFERROR(__xludf.DUMMYFUNCTION("""COMPUTED_VALUE"""),0)</f>
        <v>0</v>
      </c>
      <c r="K704" s="81">
        <f ca="1">IFERROR(__xludf.DUMMYFUNCTION("""COMPUTED_VALUE"""),0)</f>
        <v>0</v>
      </c>
      <c r="L704" s="81">
        <f ca="1">IFERROR(__xludf.DUMMYFUNCTION("""COMPUTED_VALUE"""),0)</f>
        <v>0</v>
      </c>
      <c r="M704" s="81"/>
      <c r="N704" s="81">
        <f ca="1">IFERROR(__xludf.DUMMYFUNCTION("""COMPUTED_VALUE"""),0)</f>
        <v>0</v>
      </c>
      <c r="O704" s="81"/>
      <c r="P704" s="81">
        <f ca="1">IFERROR(__xludf.DUMMYFUNCTION("""COMPUTED_VALUE"""),0)</f>
        <v>0</v>
      </c>
      <c r="Q704" s="81"/>
      <c r="R704" s="81">
        <f ca="1">IFERROR(__xludf.DUMMYFUNCTION("""COMPUTED_VALUE"""),0)</f>
        <v>0</v>
      </c>
      <c r="S704" s="81"/>
      <c r="T704" s="81"/>
      <c r="U704" s="82"/>
      <c r="V704" s="82"/>
      <c r="W704" s="83"/>
      <c r="X704" s="83"/>
      <c r="Y704" s="83"/>
    </row>
    <row r="705" spans="1:25" ht="13.8">
      <c r="A705" s="78" t="str">
        <f ca="1">IFERROR(__xludf.DUMMYFUNCTION("""COMPUTED_VALUE"""),"G")</f>
        <v>G</v>
      </c>
      <c r="B705" s="79" t="str">
        <f ca="1">IFERROR(__xludf.DUMMYFUNCTION("""COMPUTED_VALUE"""),"Madelyn Nassar")</f>
        <v>Madelyn Nassar</v>
      </c>
      <c r="C705" s="78">
        <f ca="1">IFERROR(__xludf.DUMMYFUNCTION("""COMPUTED_VALUE"""),9)</f>
        <v>9</v>
      </c>
      <c r="D705" s="78" t="str">
        <f ca="1">IFERROR(__xludf.DUMMYFUNCTION("""COMPUTED_VALUE"""),"G")</f>
        <v>G</v>
      </c>
      <c r="E705" s="80" t="str">
        <f ca="1">IFERROR(__xludf.DUMMYFUNCTION("""COMPUTED_VALUE"""),"F")</f>
        <v>F</v>
      </c>
      <c r="F705" s="80" t="str">
        <f ca="1">IFERROR(__xludf.DUMMYFUNCTION("""COMPUTED_VALUE"""),"J")</f>
        <v>J</v>
      </c>
      <c r="G705" s="80">
        <f ca="1">IFERROR(__xludf.DUMMYFUNCTION("""COMPUTED_VALUE"""),6)</f>
        <v>6</v>
      </c>
      <c r="H705" s="80" t="str">
        <f ca="1">IFERROR(__xludf.DUMMYFUNCTION("""COMPUTED_VALUE"""),"G")</f>
        <v>G</v>
      </c>
      <c r="I705" s="80">
        <f ca="1">IFERROR(__xludf.DUMMYFUNCTION("""COMPUTED_VALUE"""),2)</f>
        <v>2</v>
      </c>
      <c r="J705" s="81">
        <f ca="1">IFERROR(__xludf.DUMMYFUNCTION("""COMPUTED_VALUE"""),3)</f>
        <v>3</v>
      </c>
      <c r="K705" s="81">
        <f ca="1">IFERROR(__xludf.DUMMYFUNCTION("""COMPUTED_VALUE"""),48.4)</f>
        <v>48.4</v>
      </c>
      <c r="L705" s="81">
        <f ca="1">IFERROR(__xludf.DUMMYFUNCTION("""COMPUTED_VALUE"""),39.05)</f>
        <v>39.049999999999997</v>
      </c>
      <c r="M705" s="81"/>
      <c r="N705" s="81">
        <f ca="1">IFERROR(__xludf.DUMMYFUNCTION("""COMPUTED_VALUE"""),43.15)</f>
        <v>43.15</v>
      </c>
      <c r="O705" s="81"/>
      <c r="P705" s="81">
        <f ca="1">IFERROR(__xludf.DUMMYFUNCTION("""COMPUTED_VALUE"""),48.4)</f>
        <v>48.4</v>
      </c>
      <c r="Q705" s="81"/>
      <c r="R705" s="81">
        <f ca="1">IFERROR(__xludf.DUMMYFUNCTION("""COMPUTED_VALUE"""),0)</f>
        <v>0</v>
      </c>
      <c r="S705" s="81"/>
      <c r="T705" s="81"/>
      <c r="U705" s="82"/>
      <c r="V705" s="82"/>
      <c r="W705" s="83"/>
      <c r="X705" s="83"/>
      <c r="Y705" s="83"/>
    </row>
    <row r="706" spans="1:25" ht="13.8">
      <c r="A706" s="78" t="str">
        <f ca="1">IFERROR(__xludf.DUMMYFUNCTION("""COMPUTED_VALUE"""),"G")</f>
        <v>G</v>
      </c>
      <c r="B706" s="79" t="str">
        <f ca="1">IFERROR(__xludf.DUMMYFUNCTION("""COMPUTED_VALUE"""),"Michelle Pietress")</f>
        <v>Michelle Pietress</v>
      </c>
      <c r="C706" s="78">
        <f ca="1">IFERROR(__xludf.DUMMYFUNCTION("""COMPUTED_VALUE"""),7)</f>
        <v>7</v>
      </c>
      <c r="D706" s="78" t="str">
        <f ca="1">IFERROR(__xludf.DUMMYFUNCTION("""COMPUTED_VALUE"""),"G")</f>
        <v>G</v>
      </c>
      <c r="E706" s="80" t="str">
        <f ca="1">IFERROR(__xludf.DUMMYFUNCTION("""COMPUTED_VALUE"""),"F")</f>
        <v>F</v>
      </c>
      <c r="F706" s="80" t="str">
        <f ca="1">IFERROR(__xludf.DUMMYFUNCTION("""COMPUTED_VALUE"""),"J")</f>
        <v>J</v>
      </c>
      <c r="G706" s="80">
        <f ca="1">IFERROR(__xludf.DUMMYFUNCTION("""COMPUTED_VALUE"""),6)</f>
        <v>6</v>
      </c>
      <c r="H706" s="80" t="str">
        <f ca="1">IFERROR(__xludf.DUMMYFUNCTION("""COMPUTED_VALUE"""),"G")</f>
        <v>G</v>
      </c>
      <c r="I706" s="80">
        <f ca="1">IFERROR(__xludf.DUMMYFUNCTION("""COMPUTED_VALUE"""),2)</f>
        <v>2</v>
      </c>
      <c r="J706" s="81">
        <f ca="1">IFERROR(__xludf.DUMMYFUNCTION("""COMPUTED_VALUE"""),0)</f>
        <v>0</v>
      </c>
      <c r="K706" s="81">
        <f ca="1">IFERROR(__xludf.DUMMYFUNCTION("""COMPUTED_VALUE"""),0)</f>
        <v>0</v>
      </c>
      <c r="L706" s="81">
        <f ca="1">IFERROR(__xludf.DUMMYFUNCTION("""COMPUTED_VALUE"""),0)</f>
        <v>0</v>
      </c>
      <c r="M706" s="81"/>
      <c r="N706" s="81">
        <f ca="1">IFERROR(__xludf.DUMMYFUNCTION("""COMPUTED_VALUE"""),0)</f>
        <v>0</v>
      </c>
      <c r="O706" s="81"/>
      <c r="P706" s="81">
        <f ca="1">IFERROR(__xludf.DUMMYFUNCTION("""COMPUTED_VALUE"""),0)</f>
        <v>0</v>
      </c>
      <c r="Q706" s="81"/>
      <c r="R706" s="81">
        <f ca="1">IFERROR(__xludf.DUMMYFUNCTION("""COMPUTED_VALUE"""),0)</f>
        <v>0</v>
      </c>
      <c r="S706" s="81"/>
      <c r="T706" s="81"/>
      <c r="U706" s="82"/>
      <c r="V706" s="82"/>
      <c r="W706" s="83"/>
      <c r="X706" s="83"/>
      <c r="Y706" s="83"/>
    </row>
    <row r="707" spans="1:25" ht="13.8">
      <c r="A707" s="78" t="str">
        <f ca="1">IFERROR(__xludf.DUMMYFUNCTION("""COMPUTED_VALUE"""),"G")</f>
        <v>G</v>
      </c>
      <c r="B707" s="79" t="str">
        <f ca="1">IFERROR(__xludf.DUMMYFUNCTION("""COMPUTED_VALUE"""),"Olivia Pietress")</f>
        <v>Olivia Pietress</v>
      </c>
      <c r="C707" s="78">
        <f ca="1">IFERROR(__xludf.DUMMYFUNCTION("""COMPUTED_VALUE"""),10)</f>
        <v>10</v>
      </c>
      <c r="D707" s="78" t="str">
        <f ca="1">IFERROR(__xludf.DUMMYFUNCTION("""COMPUTED_VALUE"""),"G")</f>
        <v>G</v>
      </c>
      <c r="E707" s="80" t="str">
        <f ca="1">IFERROR(__xludf.DUMMYFUNCTION("""COMPUTED_VALUE"""),"F")</f>
        <v>F</v>
      </c>
      <c r="F707" s="80" t="str">
        <f ca="1">IFERROR(__xludf.DUMMYFUNCTION("""COMPUTED_VALUE"""),"J")</f>
        <v>J</v>
      </c>
      <c r="G707" s="80">
        <f ca="1">IFERROR(__xludf.DUMMYFUNCTION("""COMPUTED_VALUE"""),6)</f>
        <v>6</v>
      </c>
      <c r="H707" s="80" t="str">
        <f ca="1">IFERROR(__xludf.DUMMYFUNCTION("""COMPUTED_VALUE"""),"G")</f>
        <v>G</v>
      </c>
      <c r="I707" s="80">
        <f ca="1">IFERROR(__xludf.DUMMYFUNCTION("""COMPUTED_VALUE"""),2)</f>
        <v>2</v>
      </c>
      <c r="J707" s="81">
        <f ca="1">IFERROR(__xludf.DUMMYFUNCTION("""COMPUTED_VALUE"""),2)</f>
        <v>2</v>
      </c>
      <c r="K707" s="81">
        <f ca="1">IFERROR(__xludf.DUMMYFUNCTION("""COMPUTED_VALUE"""),56.55)</f>
        <v>56.55</v>
      </c>
      <c r="L707" s="81">
        <f ca="1">IFERROR(__xludf.DUMMYFUNCTION("""COMPUTED_VALUE"""),0)</f>
        <v>0</v>
      </c>
      <c r="M707" s="81"/>
      <c r="N707" s="81">
        <f ca="1">IFERROR(__xludf.DUMMYFUNCTION("""COMPUTED_VALUE"""),0)</f>
        <v>0</v>
      </c>
      <c r="O707" s="81"/>
      <c r="P707" s="81">
        <f ca="1">IFERROR(__xludf.DUMMYFUNCTION("""COMPUTED_VALUE"""),56.55)</f>
        <v>56.55</v>
      </c>
      <c r="Q707" s="81"/>
      <c r="R707" s="81">
        <f ca="1">IFERROR(__xludf.DUMMYFUNCTION("""COMPUTED_VALUE"""),0)</f>
        <v>0</v>
      </c>
      <c r="S707" s="81"/>
      <c r="T707" s="81"/>
      <c r="U707" s="82"/>
      <c r="V707" s="82"/>
      <c r="W707" s="83"/>
      <c r="X707" s="83"/>
      <c r="Y707" s="83"/>
    </row>
    <row r="708" spans="1:25" ht="13.8">
      <c r="A708" s="78" t="str">
        <f ca="1">IFERROR(__xludf.DUMMYFUNCTION("""COMPUTED_VALUE"""),"G")</f>
        <v>G</v>
      </c>
      <c r="B708" s="79" t="str">
        <f ca="1">IFERROR(__xludf.DUMMYFUNCTION("""COMPUTED_VALUE"""),"Amelia Price")</f>
        <v>Amelia Price</v>
      </c>
      <c r="C708" s="78">
        <f ca="1">IFERROR(__xludf.DUMMYFUNCTION("""COMPUTED_VALUE"""),8)</f>
        <v>8</v>
      </c>
      <c r="D708" s="78" t="str">
        <f ca="1">IFERROR(__xludf.DUMMYFUNCTION("""COMPUTED_VALUE"""),"G")</f>
        <v>G</v>
      </c>
      <c r="E708" s="80" t="str">
        <f ca="1">IFERROR(__xludf.DUMMYFUNCTION("""COMPUTED_VALUE"""),"F")</f>
        <v>F</v>
      </c>
      <c r="F708" s="80" t="str">
        <f ca="1">IFERROR(__xludf.DUMMYFUNCTION("""COMPUTED_VALUE"""),"J")</f>
        <v>J</v>
      </c>
      <c r="G708" s="80">
        <f ca="1">IFERROR(__xludf.DUMMYFUNCTION("""COMPUTED_VALUE"""),6)</f>
        <v>6</v>
      </c>
      <c r="H708" s="80" t="str">
        <f ca="1">IFERROR(__xludf.DUMMYFUNCTION("""COMPUTED_VALUE"""),"G")</f>
        <v>G</v>
      </c>
      <c r="I708" s="80">
        <f ca="1">IFERROR(__xludf.DUMMYFUNCTION("""COMPUTED_VALUE"""),2)</f>
        <v>2</v>
      </c>
      <c r="J708" s="81">
        <f ca="1">IFERROR(__xludf.DUMMYFUNCTION("""COMPUTED_VALUE"""),0)</f>
        <v>0</v>
      </c>
      <c r="K708" s="81">
        <f ca="1">IFERROR(__xludf.DUMMYFUNCTION("""COMPUTED_VALUE"""),0)</f>
        <v>0</v>
      </c>
      <c r="L708" s="81">
        <f ca="1">IFERROR(__xludf.DUMMYFUNCTION("""COMPUTED_VALUE"""),0)</f>
        <v>0</v>
      </c>
      <c r="M708" s="81"/>
      <c r="N708" s="81">
        <f ca="1">IFERROR(__xludf.DUMMYFUNCTION("""COMPUTED_VALUE"""),0)</f>
        <v>0</v>
      </c>
      <c r="O708" s="81"/>
      <c r="P708" s="81">
        <f ca="1">IFERROR(__xludf.DUMMYFUNCTION("""COMPUTED_VALUE"""),0)</f>
        <v>0</v>
      </c>
      <c r="Q708" s="81"/>
      <c r="R708" s="81">
        <f ca="1">IFERROR(__xludf.DUMMYFUNCTION("""COMPUTED_VALUE"""),0)</f>
        <v>0</v>
      </c>
      <c r="S708" s="81"/>
      <c r="T708" s="81"/>
      <c r="U708" s="82"/>
      <c r="V708" s="82"/>
      <c r="W708" s="83"/>
      <c r="X708" s="83"/>
      <c r="Y708" s="83"/>
    </row>
    <row r="709" spans="1:25" ht="13.8">
      <c r="A709" s="78" t="str">
        <f ca="1">IFERROR(__xludf.DUMMYFUNCTION("""COMPUTED_VALUE"""),"G")</f>
        <v>G</v>
      </c>
      <c r="B709" s="79" t="str">
        <f ca="1">IFERROR(__xludf.DUMMYFUNCTION("""COMPUTED_VALUE"""),"Leighton Raich")</f>
        <v>Leighton Raich</v>
      </c>
      <c r="C709" s="78">
        <f ca="1">IFERROR(__xludf.DUMMYFUNCTION("""COMPUTED_VALUE"""),9)</f>
        <v>9</v>
      </c>
      <c r="D709" s="78" t="str">
        <f ca="1">IFERROR(__xludf.DUMMYFUNCTION("""COMPUTED_VALUE"""),"G")</f>
        <v>G</v>
      </c>
      <c r="E709" s="80" t="str">
        <f ca="1">IFERROR(__xludf.DUMMYFUNCTION("""COMPUTED_VALUE"""),"F")</f>
        <v>F</v>
      </c>
      <c r="F709" s="80" t="str">
        <f ca="1">IFERROR(__xludf.DUMMYFUNCTION("""COMPUTED_VALUE"""),"J")</f>
        <v>J</v>
      </c>
      <c r="G709" s="80">
        <f ca="1">IFERROR(__xludf.DUMMYFUNCTION("""COMPUTED_VALUE"""),6)</f>
        <v>6</v>
      </c>
      <c r="H709" s="80" t="str">
        <f ca="1">IFERROR(__xludf.DUMMYFUNCTION("""COMPUTED_VALUE"""),"G")</f>
        <v>G</v>
      </c>
      <c r="I709" s="80">
        <f ca="1">IFERROR(__xludf.DUMMYFUNCTION("""COMPUTED_VALUE"""),2)</f>
        <v>2</v>
      </c>
      <c r="J709" s="81">
        <f ca="1">IFERROR(__xludf.DUMMYFUNCTION("""COMPUTED_VALUE"""),2)</f>
        <v>2</v>
      </c>
      <c r="K709" s="81">
        <f ca="1">IFERROR(__xludf.DUMMYFUNCTION("""COMPUTED_VALUE"""),47.6)</f>
        <v>47.6</v>
      </c>
      <c r="L709" s="81">
        <f ca="1">IFERROR(__xludf.DUMMYFUNCTION("""COMPUTED_VALUE"""),47.6)</f>
        <v>47.6</v>
      </c>
      <c r="M709" s="81"/>
      <c r="N709" s="81">
        <f ca="1">IFERROR(__xludf.DUMMYFUNCTION("""COMPUTED_VALUE"""),43.75)</f>
        <v>43.75</v>
      </c>
      <c r="O709" s="81"/>
      <c r="P709" s="81">
        <f ca="1">IFERROR(__xludf.DUMMYFUNCTION("""COMPUTED_VALUE"""),0)</f>
        <v>0</v>
      </c>
      <c r="Q709" s="81"/>
      <c r="R709" s="81">
        <f ca="1">IFERROR(__xludf.DUMMYFUNCTION("""COMPUTED_VALUE"""),0)</f>
        <v>0</v>
      </c>
      <c r="S709" s="81"/>
      <c r="T709" s="81"/>
      <c r="U709" s="82"/>
      <c r="V709" s="82"/>
      <c r="W709" s="83"/>
      <c r="X709" s="83"/>
      <c r="Y709" s="83"/>
    </row>
    <row r="710" spans="1:25" ht="13.8">
      <c r="A710" s="78" t="str">
        <f ca="1">IFERROR(__xludf.DUMMYFUNCTION("""COMPUTED_VALUE"""),"G")</f>
        <v>G</v>
      </c>
      <c r="B710" s="79" t="str">
        <f ca="1">IFERROR(__xludf.DUMMYFUNCTION("""COMPUTED_VALUE"""),"Gabriella Roberts")</f>
        <v>Gabriella Roberts</v>
      </c>
      <c r="C710" s="78">
        <f ca="1">IFERROR(__xludf.DUMMYFUNCTION("""COMPUTED_VALUE"""),7)</f>
        <v>7</v>
      </c>
      <c r="D710" s="78" t="str">
        <f ca="1">IFERROR(__xludf.DUMMYFUNCTION("""COMPUTED_VALUE"""),"G")</f>
        <v>G</v>
      </c>
      <c r="E710" s="80" t="str">
        <f ca="1">IFERROR(__xludf.DUMMYFUNCTION("""COMPUTED_VALUE"""),"F")</f>
        <v>F</v>
      </c>
      <c r="F710" s="80" t="str">
        <f ca="1">IFERROR(__xludf.DUMMYFUNCTION("""COMPUTED_VALUE"""),"J")</f>
        <v>J</v>
      </c>
      <c r="G710" s="80">
        <f ca="1">IFERROR(__xludf.DUMMYFUNCTION("""COMPUTED_VALUE"""),6)</f>
        <v>6</v>
      </c>
      <c r="H710" s="80" t="str">
        <f ca="1">IFERROR(__xludf.DUMMYFUNCTION("""COMPUTED_VALUE"""),"G")</f>
        <v>G</v>
      </c>
      <c r="I710" s="80">
        <f ca="1">IFERROR(__xludf.DUMMYFUNCTION("""COMPUTED_VALUE"""),2)</f>
        <v>2</v>
      </c>
      <c r="J710" s="81">
        <f ca="1">IFERROR(__xludf.DUMMYFUNCTION("""COMPUTED_VALUE"""),5)</f>
        <v>5</v>
      </c>
      <c r="K710" s="81">
        <f ca="1">IFERROR(__xludf.DUMMYFUNCTION("""COMPUTED_VALUE"""),60)</f>
        <v>60</v>
      </c>
      <c r="L710" s="81">
        <f ca="1">IFERROR(__xludf.DUMMYFUNCTION("""COMPUTED_VALUE"""),57.8)</f>
        <v>57.8</v>
      </c>
      <c r="M710" s="81"/>
      <c r="N710" s="81">
        <f ca="1">IFERROR(__xludf.DUMMYFUNCTION("""COMPUTED_VALUE"""),24.65)</f>
        <v>24.65</v>
      </c>
      <c r="O710" s="81"/>
      <c r="P710" s="81">
        <f ca="1">IFERROR(__xludf.DUMMYFUNCTION("""COMPUTED_VALUE"""),59.9)</f>
        <v>59.9</v>
      </c>
      <c r="Q710" s="81"/>
      <c r="R710" s="81">
        <f ca="1">IFERROR(__xludf.DUMMYFUNCTION("""COMPUTED_VALUE"""),60)</f>
        <v>60</v>
      </c>
      <c r="S710" s="81"/>
      <c r="T710" s="81"/>
      <c r="U710" s="82"/>
      <c r="V710" s="82"/>
      <c r="W710" s="83"/>
      <c r="X710" s="83"/>
      <c r="Y710" s="83"/>
    </row>
    <row r="711" spans="1:25" ht="13.8">
      <c r="A711" s="78" t="str">
        <f ca="1">IFERROR(__xludf.DUMMYFUNCTION("""COMPUTED_VALUE"""),"G")</f>
        <v>G</v>
      </c>
      <c r="B711" s="79" t="str">
        <f ca="1">IFERROR(__xludf.DUMMYFUNCTION("""COMPUTED_VALUE"""),"Hannah Snyder")</f>
        <v>Hannah Snyder</v>
      </c>
      <c r="C711" s="78">
        <f ca="1">IFERROR(__xludf.DUMMYFUNCTION("""COMPUTED_VALUE"""),9)</f>
        <v>9</v>
      </c>
      <c r="D711" s="78" t="str">
        <f ca="1">IFERROR(__xludf.DUMMYFUNCTION("""COMPUTED_VALUE"""),"G")</f>
        <v>G</v>
      </c>
      <c r="E711" s="80" t="str">
        <f ca="1">IFERROR(__xludf.DUMMYFUNCTION("""COMPUTED_VALUE"""),"F")</f>
        <v>F</v>
      </c>
      <c r="F711" s="80" t="str">
        <f ca="1">IFERROR(__xludf.DUMMYFUNCTION("""COMPUTED_VALUE"""),"J")</f>
        <v>J</v>
      </c>
      <c r="G711" s="80">
        <f ca="1">IFERROR(__xludf.DUMMYFUNCTION("""COMPUTED_VALUE"""),6)</f>
        <v>6</v>
      </c>
      <c r="H711" s="80" t="str">
        <f ca="1">IFERROR(__xludf.DUMMYFUNCTION("""COMPUTED_VALUE"""),"G")</f>
        <v>G</v>
      </c>
      <c r="I711" s="80">
        <f ca="1">IFERROR(__xludf.DUMMYFUNCTION("""COMPUTED_VALUE"""),2)</f>
        <v>2</v>
      </c>
      <c r="J711" s="81">
        <f ca="1">IFERROR(__xludf.DUMMYFUNCTION("""COMPUTED_VALUE"""),0)</f>
        <v>0</v>
      </c>
      <c r="K711" s="81">
        <f ca="1">IFERROR(__xludf.DUMMYFUNCTION("""COMPUTED_VALUE"""),0)</f>
        <v>0</v>
      </c>
      <c r="L711" s="81">
        <f ca="1">IFERROR(__xludf.DUMMYFUNCTION("""COMPUTED_VALUE"""),0)</f>
        <v>0</v>
      </c>
      <c r="M711" s="81"/>
      <c r="N711" s="81">
        <f ca="1">IFERROR(__xludf.DUMMYFUNCTION("""COMPUTED_VALUE"""),0)</f>
        <v>0</v>
      </c>
      <c r="O711" s="81"/>
      <c r="P711" s="81">
        <f ca="1">IFERROR(__xludf.DUMMYFUNCTION("""COMPUTED_VALUE"""),0)</f>
        <v>0</v>
      </c>
      <c r="Q711" s="81"/>
      <c r="R711" s="81">
        <f ca="1">IFERROR(__xludf.DUMMYFUNCTION("""COMPUTED_VALUE"""),0)</f>
        <v>0</v>
      </c>
      <c r="S711" s="81"/>
      <c r="T711" s="81"/>
      <c r="U711" s="82"/>
      <c r="V711" s="82"/>
      <c r="W711" s="83"/>
      <c r="X711" s="83"/>
      <c r="Y711" s="83"/>
    </row>
    <row r="712" spans="1:25" ht="13.8">
      <c r="A712" s="78" t="str">
        <f ca="1">IFERROR(__xludf.DUMMYFUNCTION("""COMPUTED_VALUE"""),"G")</f>
        <v>G</v>
      </c>
      <c r="B712" s="79" t="str">
        <f ca="1">IFERROR(__xludf.DUMMYFUNCTION("""COMPUTED_VALUE"""),"Kayla Tarugsa")</f>
        <v>Kayla Tarugsa</v>
      </c>
      <c r="C712" s="78">
        <f ca="1">IFERROR(__xludf.DUMMYFUNCTION("""COMPUTED_VALUE"""),10)</f>
        <v>10</v>
      </c>
      <c r="D712" s="78" t="str">
        <f ca="1">IFERROR(__xludf.DUMMYFUNCTION("""COMPUTED_VALUE"""),"G")</f>
        <v>G</v>
      </c>
      <c r="E712" s="80" t="str">
        <f ca="1">IFERROR(__xludf.DUMMYFUNCTION("""COMPUTED_VALUE"""),"F")</f>
        <v>F</v>
      </c>
      <c r="F712" s="80" t="str">
        <f ca="1">IFERROR(__xludf.DUMMYFUNCTION("""COMPUTED_VALUE"""),"J")</f>
        <v>J</v>
      </c>
      <c r="G712" s="80">
        <f ca="1">IFERROR(__xludf.DUMMYFUNCTION("""COMPUTED_VALUE"""),6)</f>
        <v>6</v>
      </c>
      <c r="H712" s="80" t="str">
        <f ca="1">IFERROR(__xludf.DUMMYFUNCTION("""COMPUTED_VALUE"""),"G")</f>
        <v>G</v>
      </c>
      <c r="I712" s="80">
        <f ca="1">IFERROR(__xludf.DUMMYFUNCTION("""COMPUTED_VALUE"""),2)</f>
        <v>2</v>
      </c>
      <c r="J712" s="81">
        <f ca="1">IFERROR(__xludf.DUMMYFUNCTION("""COMPUTED_VALUE"""),3)</f>
        <v>3</v>
      </c>
      <c r="K712" s="81">
        <f ca="1">IFERROR(__xludf.DUMMYFUNCTION("""COMPUTED_VALUE"""),75.8)</f>
        <v>75.8</v>
      </c>
      <c r="L712" s="81">
        <f ca="1">IFERROR(__xludf.DUMMYFUNCTION("""COMPUTED_VALUE"""),0)</f>
        <v>0</v>
      </c>
      <c r="M712" s="81"/>
      <c r="N712" s="81">
        <f ca="1">IFERROR(__xludf.DUMMYFUNCTION("""COMPUTED_VALUE"""),0)</f>
        <v>0</v>
      </c>
      <c r="O712" s="81"/>
      <c r="P712" s="81">
        <f ca="1">IFERROR(__xludf.DUMMYFUNCTION("""COMPUTED_VALUE"""),65.65)</f>
        <v>65.650000000000006</v>
      </c>
      <c r="Q712" s="81"/>
      <c r="R712" s="81">
        <f ca="1">IFERROR(__xludf.DUMMYFUNCTION("""COMPUTED_VALUE"""),75.8)</f>
        <v>75.8</v>
      </c>
      <c r="S712" s="81"/>
      <c r="T712" s="81"/>
      <c r="U712" s="82"/>
      <c r="V712" s="82"/>
      <c r="W712" s="83"/>
      <c r="X712" s="83"/>
      <c r="Y712" s="83"/>
    </row>
    <row r="713" spans="1:25" ht="13.8">
      <c r="A713" s="78" t="str">
        <f ca="1">IFERROR(__xludf.DUMMYFUNCTION("""COMPUTED_VALUE"""),"G")</f>
        <v>G</v>
      </c>
      <c r="B713" s="79" t="str">
        <f ca="1">IFERROR(__xludf.DUMMYFUNCTION("""COMPUTED_VALUE"""),"Riley Waterman")</f>
        <v>Riley Waterman</v>
      </c>
      <c r="C713" s="78">
        <f ca="1">IFERROR(__xludf.DUMMYFUNCTION("""COMPUTED_VALUE"""),7)</f>
        <v>7</v>
      </c>
      <c r="D713" s="78" t="str">
        <f ca="1">IFERROR(__xludf.DUMMYFUNCTION("""COMPUTED_VALUE"""),"G")</f>
        <v>G</v>
      </c>
      <c r="E713" s="80" t="str">
        <f ca="1">IFERROR(__xludf.DUMMYFUNCTION("""COMPUTED_VALUE"""),"F")</f>
        <v>F</v>
      </c>
      <c r="F713" s="80" t="str">
        <f ca="1">IFERROR(__xludf.DUMMYFUNCTION("""COMPUTED_VALUE"""),"J")</f>
        <v>J</v>
      </c>
      <c r="G713" s="80">
        <f ca="1">IFERROR(__xludf.DUMMYFUNCTION("""COMPUTED_VALUE"""),6)</f>
        <v>6</v>
      </c>
      <c r="H713" s="80" t="str">
        <f ca="1">IFERROR(__xludf.DUMMYFUNCTION("""COMPUTED_VALUE"""),"G")</f>
        <v>G</v>
      </c>
      <c r="I713" s="80">
        <f ca="1">IFERROR(__xludf.DUMMYFUNCTION("""COMPUTED_VALUE"""),2)</f>
        <v>2</v>
      </c>
      <c r="J713" s="81">
        <f ca="1">IFERROR(__xludf.DUMMYFUNCTION("""COMPUTED_VALUE"""),0)</f>
        <v>0</v>
      </c>
      <c r="K713" s="81">
        <f ca="1">IFERROR(__xludf.DUMMYFUNCTION("""COMPUTED_VALUE"""),0)</f>
        <v>0</v>
      </c>
      <c r="L713" s="81">
        <f ca="1">IFERROR(__xludf.DUMMYFUNCTION("""COMPUTED_VALUE"""),0)</f>
        <v>0</v>
      </c>
      <c r="M713" s="81"/>
      <c r="N713" s="81">
        <f ca="1">IFERROR(__xludf.DUMMYFUNCTION("""COMPUTED_VALUE"""),0)</f>
        <v>0</v>
      </c>
      <c r="O713" s="81"/>
      <c r="P713" s="81">
        <f ca="1">IFERROR(__xludf.DUMMYFUNCTION("""COMPUTED_VALUE"""),0)</f>
        <v>0</v>
      </c>
      <c r="Q713" s="81"/>
      <c r="R713" s="81">
        <f ca="1">IFERROR(__xludf.DUMMYFUNCTION("""COMPUTED_VALUE"""),0)</f>
        <v>0</v>
      </c>
      <c r="S713" s="81"/>
      <c r="T713" s="81"/>
      <c r="U713" s="82"/>
      <c r="V713" s="82"/>
      <c r="W713" s="83"/>
      <c r="X713" s="83"/>
      <c r="Y713" s="83"/>
    </row>
    <row r="714" spans="1:25" ht="13.8">
      <c r="A714" s="78" t="str">
        <f ca="1">IFERROR(__xludf.DUMMYFUNCTION("""COMPUTED_VALUE"""),"G")</f>
        <v>G</v>
      </c>
      <c r="B714" s="79" t="str">
        <f ca="1">IFERROR(__xludf.DUMMYFUNCTION("""COMPUTED_VALUE"""),"Blake Allen")</f>
        <v>Blake Allen</v>
      </c>
      <c r="C714" s="78">
        <f ca="1">IFERROR(__xludf.DUMMYFUNCTION("""COMPUTED_VALUE"""),8)</f>
        <v>8</v>
      </c>
      <c r="D714" s="78" t="str">
        <f ca="1">IFERROR(__xludf.DUMMYFUNCTION("""COMPUTED_VALUE"""),"B")</f>
        <v>B</v>
      </c>
      <c r="E714" s="80" t="str">
        <f ca="1">IFERROR(__xludf.DUMMYFUNCTION("""COMPUTED_VALUE"""),"F")</f>
        <v>F</v>
      </c>
      <c r="F714" s="80" t="str">
        <f ca="1">IFERROR(__xludf.DUMMYFUNCTION("""COMPUTED_VALUE"""),"J")</f>
        <v>J</v>
      </c>
      <c r="G714" s="80">
        <f ca="1">IFERROR(__xludf.DUMMYFUNCTION("""COMPUTED_VALUE"""),6)</f>
        <v>6</v>
      </c>
      <c r="H714" s="80" t="str">
        <f ca="1">IFERROR(__xludf.DUMMYFUNCTION("""COMPUTED_VALUE"""),"G")</f>
        <v>G</v>
      </c>
      <c r="I714" s="80">
        <f ca="1">IFERROR(__xludf.DUMMYFUNCTION("""COMPUTED_VALUE"""),3)</f>
        <v>3</v>
      </c>
      <c r="J714" s="81">
        <f ca="1">IFERROR(__xludf.DUMMYFUNCTION("""COMPUTED_VALUE"""),5)</f>
        <v>5</v>
      </c>
      <c r="K714" s="81">
        <f ca="1">IFERROR(__xludf.DUMMYFUNCTION("""COMPUTED_VALUE"""),-33.45)</f>
        <v>-33.450000000000003</v>
      </c>
      <c r="L714" s="81">
        <f ca="1">IFERROR(__xludf.DUMMYFUNCTION("""COMPUTED_VALUE"""),-59.85)</f>
        <v>-59.85</v>
      </c>
      <c r="M714" s="81"/>
      <c r="N714" s="81">
        <f ca="1">IFERROR(__xludf.DUMMYFUNCTION("""COMPUTED_VALUE"""),-33.45)</f>
        <v>-33.450000000000003</v>
      </c>
      <c r="O714" s="81"/>
      <c r="P714" s="81">
        <f ca="1">IFERROR(__xludf.DUMMYFUNCTION("""COMPUTED_VALUE"""),-57.7)</f>
        <v>-57.7</v>
      </c>
      <c r="Q714" s="81"/>
      <c r="R714" s="81">
        <f ca="1">IFERROR(__xludf.DUMMYFUNCTION("""COMPUTED_VALUE"""),-69)</f>
        <v>-69</v>
      </c>
      <c r="S714" s="81"/>
      <c r="T714" s="81"/>
      <c r="U714" s="82"/>
      <c r="V714" s="82"/>
      <c r="W714" s="83"/>
      <c r="X714" s="83"/>
      <c r="Y714" s="83"/>
    </row>
    <row r="715" spans="1:25" ht="13.8">
      <c r="A715" s="78" t="str">
        <f ca="1">IFERROR(__xludf.DUMMYFUNCTION("""COMPUTED_VALUE"""),"G")</f>
        <v>G</v>
      </c>
      <c r="B715" s="79" t="str">
        <f ca="1">IFERROR(__xludf.DUMMYFUNCTION("""COMPUTED_VALUE"""),"Ben Blaeuer")</f>
        <v>Ben Blaeuer</v>
      </c>
      <c r="C715" s="78">
        <f ca="1">IFERROR(__xludf.DUMMYFUNCTION("""COMPUTED_VALUE"""),9)</f>
        <v>9</v>
      </c>
      <c r="D715" s="78" t="str">
        <f ca="1">IFERROR(__xludf.DUMMYFUNCTION("""COMPUTED_VALUE"""),"B")</f>
        <v>B</v>
      </c>
      <c r="E715" s="80" t="str">
        <f ca="1">IFERROR(__xludf.DUMMYFUNCTION("""COMPUTED_VALUE"""),"F")</f>
        <v>F</v>
      </c>
      <c r="F715" s="80" t="str">
        <f ca="1">IFERROR(__xludf.DUMMYFUNCTION("""COMPUTED_VALUE"""),"J")</f>
        <v>J</v>
      </c>
      <c r="G715" s="80">
        <f ca="1">IFERROR(__xludf.DUMMYFUNCTION("""COMPUTED_VALUE"""),6)</f>
        <v>6</v>
      </c>
      <c r="H715" s="80" t="str">
        <f ca="1">IFERROR(__xludf.DUMMYFUNCTION("""COMPUTED_VALUE"""),"G")</f>
        <v>G</v>
      </c>
      <c r="I715" s="80">
        <f ca="1">IFERROR(__xludf.DUMMYFUNCTION("""COMPUTED_VALUE"""),3)</f>
        <v>3</v>
      </c>
      <c r="J715" s="81">
        <f ca="1">IFERROR(__xludf.DUMMYFUNCTION("""COMPUTED_VALUE"""),5)</f>
        <v>5</v>
      </c>
      <c r="K715" s="81">
        <f ca="1">IFERROR(__xludf.DUMMYFUNCTION("""COMPUTED_VALUE"""),56.95)</f>
        <v>56.95</v>
      </c>
      <c r="L715" s="81">
        <f ca="1">IFERROR(__xludf.DUMMYFUNCTION("""COMPUTED_VALUE"""),43.5)</f>
        <v>43.5</v>
      </c>
      <c r="M715" s="81"/>
      <c r="N715" s="81">
        <f ca="1">IFERROR(__xludf.DUMMYFUNCTION("""COMPUTED_VALUE"""),43.45)</f>
        <v>43.45</v>
      </c>
      <c r="O715" s="81"/>
      <c r="P715" s="81">
        <f ca="1">IFERROR(__xludf.DUMMYFUNCTION("""COMPUTED_VALUE"""),51.75)</f>
        <v>51.75</v>
      </c>
      <c r="Q715" s="81"/>
      <c r="R715" s="81">
        <f ca="1">IFERROR(__xludf.DUMMYFUNCTION("""COMPUTED_VALUE"""),56.95)</f>
        <v>56.95</v>
      </c>
      <c r="S715" s="81"/>
      <c r="T715" s="81"/>
      <c r="U715" s="82"/>
      <c r="V715" s="82"/>
      <c r="W715" s="83"/>
      <c r="X715" s="83"/>
      <c r="Y715" s="83"/>
    </row>
    <row r="716" spans="1:25" ht="13.8">
      <c r="A716" s="78" t="str">
        <f ca="1">IFERROR(__xludf.DUMMYFUNCTION("""COMPUTED_VALUE"""),"G")</f>
        <v>G</v>
      </c>
      <c r="B716" s="79" t="str">
        <f ca="1">IFERROR(__xludf.DUMMYFUNCTION("""COMPUTED_VALUE"""),"Daniel Caceres")</f>
        <v>Daniel Caceres</v>
      </c>
      <c r="C716" s="78">
        <f ca="1">IFERROR(__xludf.DUMMYFUNCTION("""COMPUTED_VALUE"""),7)</f>
        <v>7</v>
      </c>
      <c r="D716" s="78" t="str">
        <f ca="1">IFERROR(__xludf.DUMMYFUNCTION("""COMPUTED_VALUE"""),"B")</f>
        <v>B</v>
      </c>
      <c r="E716" s="80" t="str">
        <f ca="1">IFERROR(__xludf.DUMMYFUNCTION("""COMPUTED_VALUE"""),"F")</f>
        <v>F</v>
      </c>
      <c r="F716" s="80" t="str">
        <f ca="1">IFERROR(__xludf.DUMMYFUNCTION("""COMPUTED_VALUE"""),"J")</f>
        <v>J</v>
      </c>
      <c r="G716" s="80">
        <f ca="1">IFERROR(__xludf.DUMMYFUNCTION("""COMPUTED_VALUE"""),6)</f>
        <v>6</v>
      </c>
      <c r="H716" s="80" t="str">
        <f ca="1">IFERROR(__xludf.DUMMYFUNCTION("""COMPUTED_VALUE"""),"G")</f>
        <v>G</v>
      </c>
      <c r="I716" s="80">
        <f ca="1">IFERROR(__xludf.DUMMYFUNCTION("""COMPUTED_VALUE"""),3)</f>
        <v>3</v>
      </c>
      <c r="J716" s="81">
        <f ca="1">IFERROR(__xludf.DUMMYFUNCTION("""COMPUTED_VALUE"""),0)</f>
        <v>0</v>
      </c>
      <c r="K716" s="81">
        <f ca="1">IFERROR(__xludf.DUMMYFUNCTION("""COMPUTED_VALUE"""),0)</f>
        <v>0</v>
      </c>
      <c r="L716" s="81">
        <f ca="1">IFERROR(__xludf.DUMMYFUNCTION("""COMPUTED_VALUE"""),0)</f>
        <v>0</v>
      </c>
      <c r="M716" s="81"/>
      <c r="N716" s="81">
        <f ca="1">IFERROR(__xludf.DUMMYFUNCTION("""COMPUTED_VALUE"""),0)</f>
        <v>0</v>
      </c>
      <c r="O716" s="81"/>
      <c r="P716" s="81">
        <f ca="1">IFERROR(__xludf.DUMMYFUNCTION("""COMPUTED_VALUE"""),0)</f>
        <v>0</v>
      </c>
      <c r="Q716" s="81"/>
      <c r="R716" s="81">
        <f ca="1">IFERROR(__xludf.DUMMYFUNCTION("""COMPUTED_VALUE"""),0)</f>
        <v>0</v>
      </c>
      <c r="S716" s="81"/>
      <c r="T716" s="81"/>
      <c r="U716" s="82"/>
      <c r="V716" s="82"/>
      <c r="W716" s="83"/>
      <c r="X716" s="83"/>
      <c r="Y716" s="83"/>
    </row>
    <row r="717" spans="1:25" ht="13.8">
      <c r="A717" s="78" t="str">
        <f ca="1">IFERROR(__xludf.DUMMYFUNCTION("""COMPUTED_VALUE"""),"G")</f>
        <v>G</v>
      </c>
      <c r="B717" s="79" t="str">
        <f ca="1">IFERROR(__xludf.DUMMYFUNCTION("""COMPUTED_VALUE"""),"Pike Conway")</f>
        <v>Pike Conway</v>
      </c>
      <c r="C717" s="78">
        <f ca="1">IFERROR(__xludf.DUMMYFUNCTION("""COMPUTED_VALUE"""),9)</f>
        <v>9</v>
      </c>
      <c r="D717" s="78" t="str">
        <f ca="1">IFERROR(__xludf.DUMMYFUNCTION("""COMPUTED_VALUE"""),"B")</f>
        <v>B</v>
      </c>
      <c r="E717" s="80" t="str">
        <f ca="1">IFERROR(__xludf.DUMMYFUNCTION("""COMPUTED_VALUE"""),"F")</f>
        <v>F</v>
      </c>
      <c r="F717" s="80" t="str">
        <f ca="1">IFERROR(__xludf.DUMMYFUNCTION("""COMPUTED_VALUE"""),"J")</f>
        <v>J</v>
      </c>
      <c r="G717" s="80">
        <f ca="1">IFERROR(__xludf.DUMMYFUNCTION("""COMPUTED_VALUE"""),6)</f>
        <v>6</v>
      </c>
      <c r="H717" s="80" t="str">
        <f ca="1">IFERROR(__xludf.DUMMYFUNCTION("""COMPUTED_VALUE"""),"G")</f>
        <v>G</v>
      </c>
      <c r="I717" s="80">
        <f ca="1">IFERROR(__xludf.DUMMYFUNCTION("""COMPUTED_VALUE"""),3)</f>
        <v>3</v>
      </c>
      <c r="J717" s="81">
        <f ca="1">IFERROR(__xludf.DUMMYFUNCTION("""COMPUTED_VALUE"""),3)</f>
        <v>3</v>
      </c>
      <c r="K717" s="81">
        <f ca="1">IFERROR(__xludf.DUMMYFUNCTION("""COMPUTED_VALUE"""),42.5)</f>
        <v>42.5</v>
      </c>
      <c r="L717" s="81">
        <f ca="1">IFERROR(__xludf.DUMMYFUNCTION("""COMPUTED_VALUE"""),28)</f>
        <v>28</v>
      </c>
      <c r="M717" s="81"/>
      <c r="N717" s="81">
        <f ca="1">IFERROR(__xludf.DUMMYFUNCTION("""COMPUTED_VALUE"""),0)</f>
        <v>0</v>
      </c>
      <c r="O717" s="81"/>
      <c r="P717" s="81">
        <f ca="1">IFERROR(__xludf.DUMMYFUNCTION("""COMPUTED_VALUE"""),42.5)</f>
        <v>42.5</v>
      </c>
      <c r="Q717" s="81"/>
      <c r="R717" s="81">
        <f ca="1">IFERROR(__xludf.DUMMYFUNCTION("""COMPUTED_VALUE"""),0)</f>
        <v>0</v>
      </c>
      <c r="S717" s="81"/>
      <c r="T717" s="81"/>
      <c r="U717" s="82"/>
      <c r="V717" s="82"/>
      <c r="W717" s="83"/>
      <c r="X717" s="83"/>
      <c r="Y717" s="83"/>
    </row>
    <row r="718" spans="1:25" ht="13.8">
      <c r="A718" s="78" t="str">
        <f ca="1">IFERROR(__xludf.DUMMYFUNCTION("""COMPUTED_VALUE"""),"G")</f>
        <v>G</v>
      </c>
      <c r="B718" s="79" t="str">
        <f ca="1">IFERROR(__xludf.DUMMYFUNCTION("""COMPUTED_VALUE"""),"Leo Ehteshami")</f>
        <v>Leo Ehteshami</v>
      </c>
      <c r="C718" s="78">
        <f ca="1">IFERROR(__xludf.DUMMYFUNCTION("""COMPUTED_VALUE"""),6)</f>
        <v>6</v>
      </c>
      <c r="D718" s="78" t="str">
        <f ca="1">IFERROR(__xludf.DUMMYFUNCTION("""COMPUTED_VALUE"""),"B")</f>
        <v>B</v>
      </c>
      <c r="E718" s="80" t="str">
        <f ca="1">IFERROR(__xludf.DUMMYFUNCTION("""COMPUTED_VALUE"""),"F")</f>
        <v>F</v>
      </c>
      <c r="F718" s="80" t="str">
        <f ca="1">IFERROR(__xludf.DUMMYFUNCTION("""COMPUTED_VALUE"""),"J")</f>
        <v>J</v>
      </c>
      <c r="G718" s="80">
        <f ca="1">IFERROR(__xludf.DUMMYFUNCTION("""COMPUTED_VALUE"""),6)</f>
        <v>6</v>
      </c>
      <c r="H718" s="80" t="str">
        <f ca="1">IFERROR(__xludf.DUMMYFUNCTION("""COMPUTED_VALUE"""),"G")</f>
        <v>G</v>
      </c>
      <c r="I718" s="80">
        <f ca="1">IFERROR(__xludf.DUMMYFUNCTION("""COMPUTED_VALUE"""),3)</f>
        <v>3</v>
      </c>
      <c r="J718" s="81">
        <f ca="1">IFERROR(__xludf.DUMMYFUNCTION("""COMPUTED_VALUE"""),0)</f>
        <v>0</v>
      </c>
      <c r="K718" s="81">
        <f ca="1">IFERROR(__xludf.DUMMYFUNCTION("""COMPUTED_VALUE"""),0)</f>
        <v>0</v>
      </c>
      <c r="L718" s="81">
        <f ca="1">IFERROR(__xludf.DUMMYFUNCTION("""COMPUTED_VALUE"""),0)</f>
        <v>0</v>
      </c>
      <c r="M718" s="81"/>
      <c r="N718" s="81">
        <f ca="1">IFERROR(__xludf.DUMMYFUNCTION("""COMPUTED_VALUE"""),0)</f>
        <v>0</v>
      </c>
      <c r="O718" s="81"/>
      <c r="P718" s="81">
        <f ca="1">IFERROR(__xludf.DUMMYFUNCTION("""COMPUTED_VALUE"""),0)</f>
        <v>0</v>
      </c>
      <c r="Q718" s="81"/>
      <c r="R718" s="81">
        <f ca="1">IFERROR(__xludf.DUMMYFUNCTION("""COMPUTED_VALUE"""),0)</f>
        <v>0</v>
      </c>
      <c r="S718" s="81"/>
      <c r="T718" s="81"/>
      <c r="U718" s="82"/>
      <c r="V718" s="82"/>
      <c r="W718" s="83"/>
      <c r="X718" s="83"/>
      <c r="Y718" s="83"/>
    </row>
    <row r="719" spans="1:25" ht="13.8">
      <c r="A719" s="78" t="str">
        <f ca="1">IFERROR(__xludf.DUMMYFUNCTION("""COMPUTED_VALUE"""),"G")</f>
        <v>G</v>
      </c>
      <c r="B719" s="79" t="str">
        <f ca="1">IFERROR(__xludf.DUMMYFUNCTION("""COMPUTED_VALUE"""),"Foster Eig")</f>
        <v>Foster Eig</v>
      </c>
      <c r="C719" s="78">
        <f ca="1">IFERROR(__xludf.DUMMYFUNCTION("""COMPUTED_VALUE"""),8)</f>
        <v>8</v>
      </c>
      <c r="D719" s="78" t="str">
        <f ca="1">IFERROR(__xludf.DUMMYFUNCTION("""COMPUTED_VALUE"""),"B")</f>
        <v>B</v>
      </c>
      <c r="E719" s="80" t="str">
        <f ca="1">IFERROR(__xludf.DUMMYFUNCTION("""COMPUTED_VALUE"""),"F")</f>
        <v>F</v>
      </c>
      <c r="F719" s="80" t="str">
        <f ca="1">IFERROR(__xludf.DUMMYFUNCTION("""COMPUTED_VALUE"""),"J")</f>
        <v>J</v>
      </c>
      <c r="G719" s="80">
        <f ca="1">IFERROR(__xludf.DUMMYFUNCTION("""COMPUTED_VALUE"""),6)</f>
        <v>6</v>
      </c>
      <c r="H719" s="80" t="str">
        <f ca="1">IFERROR(__xludf.DUMMYFUNCTION("""COMPUTED_VALUE"""),"G")</f>
        <v>G</v>
      </c>
      <c r="I719" s="80">
        <f ca="1">IFERROR(__xludf.DUMMYFUNCTION("""COMPUTED_VALUE"""),3)</f>
        <v>3</v>
      </c>
      <c r="J719" s="81">
        <f ca="1">IFERROR(__xludf.DUMMYFUNCTION("""COMPUTED_VALUE"""),0)</f>
        <v>0</v>
      </c>
      <c r="K719" s="81">
        <f ca="1">IFERROR(__xludf.DUMMYFUNCTION("""COMPUTED_VALUE"""),0)</f>
        <v>0</v>
      </c>
      <c r="L719" s="81">
        <f ca="1">IFERROR(__xludf.DUMMYFUNCTION("""COMPUTED_VALUE"""),0)</f>
        <v>0</v>
      </c>
      <c r="M719" s="81"/>
      <c r="N719" s="81">
        <f ca="1">IFERROR(__xludf.DUMMYFUNCTION("""COMPUTED_VALUE"""),0)</f>
        <v>0</v>
      </c>
      <c r="O719" s="81"/>
      <c r="P719" s="81">
        <f ca="1">IFERROR(__xludf.DUMMYFUNCTION("""COMPUTED_VALUE"""),0)</f>
        <v>0</v>
      </c>
      <c r="Q719" s="81"/>
      <c r="R719" s="81">
        <f ca="1">IFERROR(__xludf.DUMMYFUNCTION("""COMPUTED_VALUE"""),0)</f>
        <v>0</v>
      </c>
      <c r="S719" s="81"/>
      <c r="T719" s="81"/>
      <c r="U719" s="82"/>
      <c r="V719" s="82"/>
      <c r="W719" s="83"/>
      <c r="X719" s="83"/>
      <c r="Y719" s="83"/>
    </row>
    <row r="720" spans="1:25" ht="13.8">
      <c r="A720" s="78" t="str">
        <f ca="1">IFERROR(__xludf.DUMMYFUNCTION("""COMPUTED_VALUE"""),"G")</f>
        <v>G</v>
      </c>
      <c r="B720" s="79" t="str">
        <f ca="1">IFERROR(__xludf.DUMMYFUNCTION("""COMPUTED_VALUE"""),"Aiden Escobar")</f>
        <v>Aiden Escobar</v>
      </c>
      <c r="C720" s="78">
        <f ca="1">IFERROR(__xludf.DUMMYFUNCTION("""COMPUTED_VALUE"""),9)</f>
        <v>9</v>
      </c>
      <c r="D720" s="78" t="str">
        <f ca="1">IFERROR(__xludf.DUMMYFUNCTION("""COMPUTED_VALUE"""),"B")</f>
        <v>B</v>
      </c>
      <c r="E720" s="80" t="str">
        <f ca="1">IFERROR(__xludf.DUMMYFUNCTION("""COMPUTED_VALUE"""),"F")</f>
        <v>F</v>
      </c>
      <c r="F720" s="80" t="str">
        <f ca="1">IFERROR(__xludf.DUMMYFUNCTION("""COMPUTED_VALUE"""),"J")</f>
        <v>J</v>
      </c>
      <c r="G720" s="80">
        <f ca="1">IFERROR(__xludf.DUMMYFUNCTION("""COMPUTED_VALUE"""),6)</f>
        <v>6</v>
      </c>
      <c r="H720" s="80" t="str">
        <f ca="1">IFERROR(__xludf.DUMMYFUNCTION("""COMPUTED_VALUE"""),"G")</f>
        <v>G</v>
      </c>
      <c r="I720" s="80">
        <f ca="1">IFERROR(__xludf.DUMMYFUNCTION("""COMPUTED_VALUE"""),3)</f>
        <v>3</v>
      </c>
      <c r="J720" s="81">
        <f ca="1">IFERROR(__xludf.DUMMYFUNCTION("""COMPUTED_VALUE"""),0)</f>
        <v>0</v>
      </c>
      <c r="K720" s="81">
        <f ca="1">IFERROR(__xludf.DUMMYFUNCTION("""COMPUTED_VALUE"""),0)</f>
        <v>0</v>
      </c>
      <c r="L720" s="81">
        <f ca="1">IFERROR(__xludf.DUMMYFUNCTION("""COMPUTED_VALUE"""),0)</f>
        <v>0</v>
      </c>
      <c r="M720" s="81"/>
      <c r="N720" s="81">
        <f ca="1">IFERROR(__xludf.DUMMYFUNCTION("""COMPUTED_VALUE"""),0)</f>
        <v>0</v>
      </c>
      <c r="O720" s="81"/>
      <c r="P720" s="81">
        <f ca="1">IFERROR(__xludf.DUMMYFUNCTION("""COMPUTED_VALUE"""),0)</f>
        <v>0</v>
      </c>
      <c r="Q720" s="81"/>
      <c r="R720" s="81">
        <f ca="1">IFERROR(__xludf.DUMMYFUNCTION("""COMPUTED_VALUE"""),0)</f>
        <v>0</v>
      </c>
      <c r="S720" s="81"/>
      <c r="T720" s="81"/>
      <c r="U720" s="82"/>
      <c r="V720" s="82"/>
      <c r="W720" s="83"/>
      <c r="X720" s="83"/>
      <c r="Y720" s="83"/>
    </row>
    <row r="721" spans="1:25" ht="13.8">
      <c r="A721" s="78" t="str">
        <f ca="1">IFERROR(__xludf.DUMMYFUNCTION("""COMPUTED_VALUE"""),"G")</f>
        <v>G</v>
      </c>
      <c r="B721" s="79" t="str">
        <f ca="1">IFERROR(__xludf.DUMMYFUNCTION("""COMPUTED_VALUE"""),"Jack Henry")</f>
        <v>Jack Henry</v>
      </c>
      <c r="C721" s="78">
        <f ca="1">IFERROR(__xludf.DUMMYFUNCTION("""COMPUTED_VALUE"""),8)</f>
        <v>8</v>
      </c>
      <c r="D721" s="78" t="str">
        <f ca="1">IFERROR(__xludf.DUMMYFUNCTION("""COMPUTED_VALUE"""),"B")</f>
        <v>B</v>
      </c>
      <c r="E721" s="80" t="str">
        <f ca="1">IFERROR(__xludf.DUMMYFUNCTION("""COMPUTED_VALUE"""),"F")</f>
        <v>F</v>
      </c>
      <c r="F721" s="80" t="str">
        <f ca="1">IFERROR(__xludf.DUMMYFUNCTION("""COMPUTED_VALUE"""),"J")</f>
        <v>J</v>
      </c>
      <c r="G721" s="80">
        <f ca="1">IFERROR(__xludf.DUMMYFUNCTION("""COMPUTED_VALUE"""),6)</f>
        <v>6</v>
      </c>
      <c r="H721" s="80" t="str">
        <f ca="1">IFERROR(__xludf.DUMMYFUNCTION("""COMPUTED_VALUE"""),"G")</f>
        <v>G</v>
      </c>
      <c r="I721" s="80">
        <f ca="1">IFERROR(__xludf.DUMMYFUNCTION("""COMPUTED_VALUE"""),3)</f>
        <v>3</v>
      </c>
      <c r="J721" s="81">
        <f ca="1">IFERROR(__xludf.DUMMYFUNCTION("""COMPUTED_VALUE"""),4)</f>
        <v>4</v>
      </c>
      <c r="K721" s="81">
        <f ca="1">IFERROR(__xludf.DUMMYFUNCTION("""COMPUTED_VALUE"""),43.45)</f>
        <v>43.45</v>
      </c>
      <c r="L721" s="81">
        <f ca="1">IFERROR(__xludf.DUMMYFUNCTION("""COMPUTED_VALUE"""),20.3)</f>
        <v>20.3</v>
      </c>
      <c r="M721" s="81"/>
      <c r="N721" s="81">
        <f ca="1">IFERROR(__xludf.DUMMYFUNCTION("""COMPUTED_VALUE"""),33.45)</f>
        <v>33.450000000000003</v>
      </c>
      <c r="O721" s="81"/>
      <c r="P721" s="81">
        <f ca="1">IFERROR(__xludf.DUMMYFUNCTION("""COMPUTED_VALUE"""),38.75)</f>
        <v>38.75</v>
      </c>
      <c r="Q721" s="81"/>
      <c r="R721" s="81">
        <f ca="1">IFERROR(__xludf.DUMMYFUNCTION("""COMPUTED_VALUE"""),43.45)</f>
        <v>43.45</v>
      </c>
      <c r="S721" s="81"/>
      <c r="T721" s="81"/>
      <c r="U721" s="82"/>
      <c r="V721" s="82"/>
      <c r="W721" s="83"/>
      <c r="X721" s="83"/>
      <c r="Y721" s="83"/>
    </row>
    <row r="722" spans="1:25" ht="13.8">
      <c r="A722" s="78" t="str">
        <f ca="1">IFERROR(__xludf.DUMMYFUNCTION("""COMPUTED_VALUE"""),"G")</f>
        <v>G</v>
      </c>
      <c r="B722" s="79" t="str">
        <f ca="1">IFERROR(__xludf.DUMMYFUNCTION("""COMPUTED_VALUE"""),"Nick Henry")</f>
        <v>Nick Henry</v>
      </c>
      <c r="C722" s="78">
        <f ca="1">IFERROR(__xludf.DUMMYFUNCTION("""COMPUTED_VALUE"""),6)</f>
        <v>6</v>
      </c>
      <c r="D722" s="78" t="str">
        <f ca="1">IFERROR(__xludf.DUMMYFUNCTION("""COMPUTED_VALUE"""),"B")</f>
        <v>B</v>
      </c>
      <c r="E722" s="80" t="str">
        <f ca="1">IFERROR(__xludf.DUMMYFUNCTION("""COMPUTED_VALUE"""),"F")</f>
        <v>F</v>
      </c>
      <c r="F722" s="80" t="str">
        <f ca="1">IFERROR(__xludf.DUMMYFUNCTION("""COMPUTED_VALUE"""),"J")</f>
        <v>J</v>
      </c>
      <c r="G722" s="80">
        <f ca="1">IFERROR(__xludf.DUMMYFUNCTION("""COMPUTED_VALUE"""),6)</f>
        <v>6</v>
      </c>
      <c r="H722" s="80" t="str">
        <f ca="1">IFERROR(__xludf.DUMMYFUNCTION("""COMPUTED_VALUE"""),"G")</f>
        <v>G</v>
      </c>
      <c r="I722" s="80">
        <f ca="1">IFERROR(__xludf.DUMMYFUNCTION("""COMPUTED_VALUE"""),3)</f>
        <v>3</v>
      </c>
      <c r="J722" s="81">
        <f ca="1">IFERROR(__xludf.DUMMYFUNCTION("""COMPUTED_VALUE"""),0)</f>
        <v>0</v>
      </c>
      <c r="K722" s="81">
        <f ca="1">IFERROR(__xludf.DUMMYFUNCTION("""COMPUTED_VALUE"""),0)</f>
        <v>0</v>
      </c>
      <c r="L722" s="81">
        <f ca="1">IFERROR(__xludf.DUMMYFUNCTION("""COMPUTED_VALUE"""),0)</f>
        <v>0</v>
      </c>
      <c r="M722" s="81"/>
      <c r="N722" s="81">
        <f ca="1">IFERROR(__xludf.DUMMYFUNCTION("""COMPUTED_VALUE"""),0)</f>
        <v>0</v>
      </c>
      <c r="O722" s="81"/>
      <c r="P722" s="81">
        <f ca="1">IFERROR(__xludf.DUMMYFUNCTION("""COMPUTED_VALUE"""),0)</f>
        <v>0</v>
      </c>
      <c r="Q722" s="81"/>
      <c r="R722" s="81">
        <f ca="1">IFERROR(__xludf.DUMMYFUNCTION("""COMPUTED_VALUE"""),0)</f>
        <v>0</v>
      </c>
      <c r="S722" s="81"/>
      <c r="T722" s="81"/>
      <c r="U722" s="82"/>
      <c r="V722" s="82"/>
      <c r="W722" s="83"/>
      <c r="X722" s="83"/>
      <c r="Y722" s="83"/>
    </row>
    <row r="723" spans="1:25" ht="13.8">
      <c r="A723" s="78" t="str">
        <f ca="1">IFERROR(__xludf.DUMMYFUNCTION("""COMPUTED_VALUE"""),"G")</f>
        <v>G</v>
      </c>
      <c r="B723" s="79" t="str">
        <f ca="1">IFERROR(__xludf.DUMMYFUNCTION("""COMPUTED_VALUE"""),"Cal Lawrence")</f>
        <v>Cal Lawrence</v>
      </c>
      <c r="C723" s="78">
        <f ca="1">IFERROR(__xludf.DUMMYFUNCTION("""COMPUTED_VALUE"""),7)</f>
        <v>7</v>
      </c>
      <c r="D723" s="78" t="str">
        <f ca="1">IFERROR(__xludf.DUMMYFUNCTION("""COMPUTED_VALUE"""),"B")</f>
        <v>B</v>
      </c>
      <c r="E723" s="80" t="str">
        <f ca="1">IFERROR(__xludf.DUMMYFUNCTION("""COMPUTED_VALUE"""),"F")</f>
        <v>F</v>
      </c>
      <c r="F723" s="80" t="str">
        <f ca="1">IFERROR(__xludf.DUMMYFUNCTION("""COMPUTED_VALUE"""),"J")</f>
        <v>J</v>
      </c>
      <c r="G723" s="80">
        <f ca="1">IFERROR(__xludf.DUMMYFUNCTION("""COMPUTED_VALUE"""),6)</f>
        <v>6</v>
      </c>
      <c r="H723" s="80" t="str">
        <f ca="1">IFERROR(__xludf.DUMMYFUNCTION("""COMPUTED_VALUE"""),"G")</f>
        <v>G</v>
      </c>
      <c r="I723" s="80">
        <f ca="1">IFERROR(__xludf.DUMMYFUNCTION("""COMPUTED_VALUE"""),3)</f>
        <v>3</v>
      </c>
      <c r="J723" s="81">
        <f ca="1">IFERROR(__xludf.DUMMYFUNCTION("""COMPUTED_VALUE"""),1)</f>
        <v>1</v>
      </c>
      <c r="K723" s="81">
        <f ca="1">IFERROR(__xludf.DUMMYFUNCTION("""COMPUTED_VALUE"""),22.1)</f>
        <v>22.1</v>
      </c>
      <c r="L723" s="81">
        <f ca="1">IFERROR(__xludf.DUMMYFUNCTION("""COMPUTED_VALUE"""),22.1)</f>
        <v>22.1</v>
      </c>
      <c r="M723" s="81"/>
      <c r="N723" s="81">
        <f ca="1">IFERROR(__xludf.DUMMYFUNCTION("""COMPUTED_VALUE"""),0)</f>
        <v>0</v>
      </c>
      <c r="O723" s="81"/>
      <c r="P723" s="81">
        <f ca="1">IFERROR(__xludf.DUMMYFUNCTION("""COMPUTED_VALUE"""),0)</f>
        <v>0</v>
      </c>
      <c r="Q723" s="81"/>
      <c r="R723" s="81">
        <f ca="1">IFERROR(__xludf.DUMMYFUNCTION("""COMPUTED_VALUE"""),0)</f>
        <v>0</v>
      </c>
      <c r="S723" s="81"/>
      <c r="T723" s="81"/>
      <c r="U723" s="82"/>
      <c r="V723" s="82"/>
      <c r="W723" s="83"/>
      <c r="X723" s="83"/>
      <c r="Y723" s="83"/>
    </row>
    <row r="724" spans="1:25" ht="13.8">
      <c r="A724" s="78" t="str">
        <f ca="1">IFERROR(__xludf.DUMMYFUNCTION("""COMPUTED_VALUE"""),"G")</f>
        <v>G</v>
      </c>
      <c r="B724" s="79" t="str">
        <f ca="1">IFERROR(__xludf.DUMMYFUNCTION("""COMPUTED_VALUE"""),"Mack Miller")</f>
        <v>Mack Miller</v>
      </c>
      <c r="C724" s="78">
        <f ca="1">IFERROR(__xludf.DUMMYFUNCTION("""COMPUTED_VALUE"""),10)</f>
        <v>10</v>
      </c>
      <c r="D724" s="78" t="str">
        <f ca="1">IFERROR(__xludf.DUMMYFUNCTION("""COMPUTED_VALUE"""),"B")</f>
        <v>B</v>
      </c>
      <c r="E724" s="80" t="str">
        <f ca="1">IFERROR(__xludf.DUMMYFUNCTION("""COMPUTED_VALUE"""),"F")</f>
        <v>F</v>
      </c>
      <c r="F724" s="80" t="str">
        <f ca="1">IFERROR(__xludf.DUMMYFUNCTION("""COMPUTED_VALUE"""),"J")</f>
        <v>J</v>
      </c>
      <c r="G724" s="80">
        <f ca="1">IFERROR(__xludf.DUMMYFUNCTION("""COMPUTED_VALUE"""),6)</f>
        <v>6</v>
      </c>
      <c r="H724" s="80" t="str">
        <f ca="1">IFERROR(__xludf.DUMMYFUNCTION("""COMPUTED_VALUE"""),"G")</f>
        <v>G</v>
      </c>
      <c r="I724" s="80">
        <f ca="1">IFERROR(__xludf.DUMMYFUNCTION("""COMPUTED_VALUE"""),3)</f>
        <v>3</v>
      </c>
      <c r="J724" s="81">
        <f ca="1">IFERROR(__xludf.DUMMYFUNCTION("""COMPUTED_VALUE"""),3)</f>
        <v>3</v>
      </c>
      <c r="K724" s="81">
        <f ca="1">IFERROR(__xludf.DUMMYFUNCTION("""COMPUTED_VALUE"""),77)</f>
        <v>77</v>
      </c>
      <c r="L724" s="81">
        <f ca="1">IFERROR(__xludf.DUMMYFUNCTION("""COMPUTED_VALUE"""),0)</f>
        <v>0</v>
      </c>
      <c r="M724" s="81"/>
      <c r="N724" s="81">
        <f ca="1">IFERROR(__xludf.DUMMYFUNCTION("""COMPUTED_VALUE"""),62.85)</f>
        <v>62.85</v>
      </c>
      <c r="O724" s="81"/>
      <c r="P724" s="81">
        <f ca="1">IFERROR(__xludf.DUMMYFUNCTION("""COMPUTED_VALUE"""),72.75)</f>
        <v>72.75</v>
      </c>
      <c r="Q724" s="81"/>
      <c r="R724" s="81">
        <f ca="1">IFERROR(__xludf.DUMMYFUNCTION("""COMPUTED_VALUE"""),77)</f>
        <v>77</v>
      </c>
      <c r="S724" s="81"/>
      <c r="T724" s="81"/>
      <c r="U724" s="82"/>
      <c r="V724" s="82"/>
      <c r="W724" s="83"/>
      <c r="X724" s="83"/>
      <c r="Y724" s="83"/>
    </row>
    <row r="725" spans="1:25" ht="13.8">
      <c r="A725" s="78" t="str">
        <f ca="1">IFERROR(__xludf.DUMMYFUNCTION("""COMPUTED_VALUE"""),"G")</f>
        <v>G</v>
      </c>
      <c r="B725" s="79" t="str">
        <f ca="1">IFERROR(__xludf.DUMMYFUNCTION("""COMPUTED_VALUE"""),"Joshua Nassar")</f>
        <v>Joshua Nassar</v>
      </c>
      <c r="C725" s="78">
        <f ca="1">IFERROR(__xludf.DUMMYFUNCTION("""COMPUTED_VALUE"""),7)</f>
        <v>7</v>
      </c>
      <c r="D725" s="78" t="str">
        <f ca="1">IFERROR(__xludf.DUMMYFUNCTION("""COMPUTED_VALUE"""),"B")</f>
        <v>B</v>
      </c>
      <c r="E725" s="80" t="str">
        <f ca="1">IFERROR(__xludf.DUMMYFUNCTION("""COMPUTED_VALUE"""),"F")</f>
        <v>F</v>
      </c>
      <c r="F725" s="80" t="str">
        <f ca="1">IFERROR(__xludf.DUMMYFUNCTION("""COMPUTED_VALUE"""),"J")</f>
        <v>J</v>
      </c>
      <c r="G725" s="80">
        <f ca="1">IFERROR(__xludf.DUMMYFUNCTION("""COMPUTED_VALUE"""),6)</f>
        <v>6</v>
      </c>
      <c r="H725" s="80" t="str">
        <f ca="1">IFERROR(__xludf.DUMMYFUNCTION("""COMPUTED_VALUE"""),"G")</f>
        <v>G</v>
      </c>
      <c r="I725" s="80">
        <f ca="1">IFERROR(__xludf.DUMMYFUNCTION("""COMPUTED_VALUE"""),3)</f>
        <v>3</v>
      </c>
      <c r="J725" s="81">
        <f ca="1">IFERROR(__xludf.DUMMYFUNCTION("""COMPUTED_VALUE"""),0)</f>
        <v>0</v>
      </c>
      <c r="K725" s="81">
        <f ca="1">IFERROR(__xludf.DUMMYFUNCTION("""COMPUTED_VALUE"""),0)</f>
        <v>0</v>
      </c>
      <c r="L725" s="81">
        <f ca="1">IFERROR(__xludf.DUMMYFUNCTION("""COMPUTED_VALUE"""),0)</f>
        <v>0</v>
      </c>
      <c r="M725" s="81"/>
      <c r="N725" s="81">
        <f ca="1">IFERROR(__xludf.DUMMYFUNCTION("""COMPUTED_VALUE"""),0)</f>
        <v>0</v>
      </c>
      <c r="O725" s="81"/>
      <c r="P725" s="81">
        <f ca="1">IFERROR(__xludf.DUMMYFUNCTION("""COMPUTED_VALUE"""),0)</f>
        <v>0</v>
      </c>
      <c r="Q725" s="81"/>
      <c r="R725" s="81">
        <f ca="1">IFERROR(__xludf.DUMMYFUNCTION("""COMPUTED_VALUE"""),0)</f>
        <v>0</v>
      </c>
      <c r="S725" s="81"/>
      <c r="T725" s="81"/>
      <c r="U725" s="82"/>
      <c r="V725" s="82"/>
      <c r="W725" s="83"/>
      <c r="X725" s="83"/>
      <c r="Y725" s="83"/>
    </row>
    <row r="726" spans="1:25" ht="13.8">
      <c r="A726" s="78" t="str">
        <f ca="1">IFERROR(__xludf.DUMMYFUNCTION("""COMPUTED_VALUE"""),"G")</f>
        <v>G</v>
      </c>
      <c r="B726" s="79" t="str">
        <f ca="1">IFERROR(__xludf.DUMMYFUNCTION("""COMPUTED_VALUE"""),"Will Sourwine")</f>
        <v>Will Sourwine</v>
      </c>
      <c r="C726" s="78">
        <f ca="1">IFERROR(__xludf.DUMMYFUNCTION("""COMPUTED_VALUE"""),7)</f>
        <v>7</v>
      </c>
      <c r="D726" s="78" t="str">
        <f ca="1">IFERROR(__xludf.DUMMYFUNCTION("""COMPUTED_VALUE"""),"B")</f>
        <v>B</v>
      </c>
      <c r="E726" s="80" t="str">
        <f ca="1">IFERROR(__xludf.DUMMYFUNCTION("""COMPUTED_VALUE"""),"F")</f>
        <v>F</v>
      </c>
      <c r="F726" s="80" t="str">
        <f ca="1">IFERROR(__xludf.DUMMYFUNCTION("""COMPUTED_VALUE"""),"J")</f>
        <v>J</v>
      </c>
      <c r="G726" s="80">
        <f ca="1">IFERROR(__xludf.DUMMYFUNCTION("""COMPUTED_VALUE"""),6)</f>
        <v>6</v>
      </c>
      <c r="H726" s="80" t="str">
        <f ca="1">IFERROR(__xludf.DUMMYFUNCTION("""COMPUTED_VALUE"""),"G")</f>
        <v>G</v>
      </c>
      <c r="I726" s="80">
        <f ca="1">IFERROR(__xludf.DUMMYFUNCTION("""COMPUTED_VALUE"""),3)</f>
        <v>3</v>
      </c>
      <c r="J726" s="81">
        <f ca="1">IFERROR(__xludf.DUMMYFUNCTION("""COMPUTED_VALUE"""),0)</f>
        <v>0</v>
      </c>
      <c r="K726" s="81">
        <f ca="1">IFERROR(__xludf.DUMMYFUNCTION("""COMPUTED_VALUE"""),0)</f>
        <v>0</v>
      </c>
      <c r="L726" s="81">
        <f ca="1">IFERROR(__xludf.DUMMYFUNCTION("""COMPUTED_VALUE"""),0)</f>
        <v>0</v>
      </c>
      <c r="M726" s="81"/>
      <c r="N726" s="81">
        <f ca="1">IFERROR(__xludf.DUMMYFUNCTION("""COMPUTED_VALUE"""),0)</f>
        <v>0</v>
      </c>
      <c r="O726" s="81"/>
      <c r="P726" s="81">
        <f ca="1">IFERROR(__xludf.DUMMYFUNCTION("""COMPUTED_VALUE"""),0)</f>
        <v>0</v>
      </c>
      <c r="Q726" s="81"/>
      <c r="R726" s="81">
        <f ca="1">IFERROR(__xludf.DUMMYFUNCTION("""COMPUTED_VALUE"""),0)</f>
        <v>0</v>
      </c>
      <c r="S726" s="81"/>
      <c r="T726" s="81"/>
      <c r="U726" s="82"/>
      <c r="V726" s="82"/>
      <c r="W726" s="83"/>
      <c r="X726" s="83"/>
      <c r="Y726" s="83"/>
    </row>
    <row r="727" spans="1:25" ht="13.8">
      <c r="A727" s="78" t="str">
        <f ca="1">IFERROR(__xludf.DUMMYFUNCTION("""COMPUTED_VALUE"""),"G")</f>
        <v>G</v>
      </c>
      <c r="B727" s="79" t="str">
        <f ca="1">IFERROR(__xludf.DUMMYFUNCTION("""COMPUTED_VALUE"""),"Max Waterman")</f>
        <v>Max Waterman</v>
      </c>
      <c r="C727" s="78">
        <f ca="1">IFERROR(__xludf.DUMMYFUNCTION("""COMPUTED_VALUE"""),9)</f>
        <v>9</v>
      </c>
      <c r="D727" s="78" t="str">
        <f ca="1">IFERROR(__xludf.DUMMYFUNCTION("""COMPUTED_VALUE"""),"B")</f>
        <v>B</v>
      </c>
      <c r="E727" s="80" t="str">
        <f ca="1">IFERROR(__xludf.DUMMYFUNCTION("""COMPUTED_VALUE"""),"F")</f>
        <v>F</v>
      </c>
      <c r="F727" s="80" t="str">
        <f ca="1">IFERROR(__xludf.DUMMYFUNCTION("""COMPUTED_VALUE"""),"J")</f>
        <v>J</v>
      </c>
      <c r="G727" s="80">
        <f ca="1">IFERROR(__xludf.DUMMYFUNCTION("""COMPUTED_VALUE"""),6)</f>
        <v>6</v>
      </c>
      <c r="H727" s="80" t="str">
        <f ca="1">IFERROR(__xludf.DUMMYFUNCTION("""COMPUTED_VALUE"""),"G")</f>
        <v>G</v>
      </c>
      <c r="I727" s="80">
        <f ca="1">IFERROR(__xludf.DUMMYFUNCTION("""COMPUTED_VALUE"""),3)</f>
        <v>3</v>
      </c>
      <c r="J727" s="81">
        <f ca="1">IFERROR(__xludf.DUMMYFUNCTION("""COMPUTED_VALUE"""),5)</f>
        <v>5</v>
      </c>
      <c r="K727" s="81">
        <f ca="1">IFERROR(__xludf.DUMMYFUNCTION("""COMPUTED_VALUE"""),37.6)</f>
        <v>37.6</v>
      </c>
      <c r="L727" s="81">
        <f ca="1">IFERROR(__xludf.DUMMYFUNCTION("""COMPUTED_VALUE"""),25.9)</f>
        <v>25.9</v>
      </c>
      <c r="M727" s="81"/>
      <c r="N727" s="81">
        <f ca="1">IFERROR(__xludf.DUMMYFUNCTION("""COMPUTED_VALUE"""),26.65)</f>
        <v>26.65</v>
      </c>
      <c r="O727" s="81"/>
      <c r="P727" s="81">
        <f ca="1">IFERROR(__xludf.DUMMYFUNCTION("""COMPUTED_VALUE"""),37.6)</f>
        <v>37.6</v>
      </c>
      <c r="Q727" s="81"/>
      <c r="R727" s="81">
        <f ca="1">IFERROR(__xludf.DUMMYFUNCTION("""COMPUTED_VALUE"""),-64.15)</f>
        <v>-64.150000000000006</v>
      </c>
      <c r="S727" s="81"/>
      <c r="T727" s="81"/>
      <c r="U727" s="82"/>
      <c r="V727" s="82"/>
      <c r="W727" s="83"/>
      <c r="X727" s="83"/>
      <c r="Y727" s="83"/>
    </row>
    <row r="728" spans="1:25" ht="13.8">
      <c r="A728" s="78" t="str">
        <f ca="1">IFERROR(__xludf.DUMMYFUNCTION("""COMPUTED_VALUE"""),"G")</f>
        <v>G</v>
      </c>
      <c r="B728" s="79" t="str">
        <f ca="1">IFERROR(__xludf.DUMMYFUNCTION("""COMPUTED_VALUE"""),"Penny Lawrence")</f>
        <v>Penny Lawrence</v>
      </c>
      <c r="C728" s="78">
        <f ca="1">IFERROR(__xludf.DUMMYFUNCTION("""COMPUTED_VALUE"""),11)</f>
        <v>11</v>
      </c>
      <c r="D728" s="78" t="str">
        <f ca="1">IFERROR(__xludf.DUMMYFUNCTION("""COMPUTED_VALUE"""),"G")</f>
        <v>G</v>
      </c>
      <c r="E728" s="80" t="str">
        <f ca="1">IFERROR(__xludf.DUMMYFUNCTION("""COMPUTED_VALUE"""),"J")</f>
        <v>J</v>
      </c>
      <c r="F728" s="80" t="str">
        <f ca="1">IFERROR(__xludf.DUMMYFUNCTION("""COMPUTED_VALUE"""),"I")</f>
        <v>I</v>
      </c>
      <c r="G728" s="80">
        <f ca="1">IFERROR(__xludf.DUMMYFUNCTION("""COMPUTED_VALUE"""),6)</f>
        <v>6</v>
      </c>
      <c r="H728" s="80" t="str">
        <f ca="1">IFERROR(__xludf.DUMMYFUNCTION("""COMPUTED_VALUE"""),"G")</f>
        <v>G</v>
      </c>
      <c r="I728" s="80">
        <f ca="1">IFERROR(__xludf.DUMMYFUNCTION("""COMPUTED_VALUE"""),4)</f>
        <v>4</v>
      </c>
      <c r="J728" s="81">
        <f ca="1">IFERROR(__xludf.DUMMYFUNCTION("""COMPUTED_VALUE"""),5)</f>
        <v>5</v>
      </c>
      <c r="K728" s="81">
        <f ca="1">IFERROR(__xludf.DUMMYFUNCTION("""COMPUTED_VALUE"""),69.15)</f>
        <v>69.150000000000006</v>
      </c>
      <c r="L728" s="81">
        <f ca="1">IFERROR(__xludf.DUMMYFUNCTION("""COMPUTED_VALUE"""),59.1)</f>
        <v>59.1</v>
      </c>
      <c r="M728" s="81"/>
      <c r="N728" s="81">
        <f ca="1">IFERROR(__xludf.DUMMYFUNCTION("""COMPUTED_VALUE"""),48)</f>
        <v>48</v>
      </c>
      <c r="O728" s="81"/>
      <c r="P728" s="81">
        <f ca="1">IFERROR(__xludf.DUMMYFUNCTION("""COMPUTED_VALUE"""),63.05)</f>
        <v>63.05</v>
      </c>
      <c r="Q728" s="81"/>
      <c r="R728" s="81">
        <f ca="1">IFERROR(__xludf.DUMMYFUNCTION("""COMPUTED_VALUE"""),69.15)</f>
        <v>69.150000000000006</v>
      </c>
      <c r="S728" s="81"/>
      <c r="T728" s="81"/>
      <c r="U728" s="82"/>
      <c r="V728" s="82"/>
      <c r="W728" s="83"/>
      <c r="X728" s="83"/>
      <c r="Y728" s="83"/>
    </row>
    <row r="729" spans="1:25" ht="13.8">
      <c r="A729" s="78" t="str">
        <f ca="1">IFERROR(__xludf.DUMMYFUNCTION("""COMPUTED_VALUE"""),"G")</f>
        <v>G</v>
      </c>
      <c r="B729" s="79" t="str">
        <f ca="1">IFERROR(__xludf.DUMMYFUNCTION("""COMPUTED_VALUE"""),"Eliza Miller")</f>
        <v>Eliza Miller</v>
      </c>
      <c r="C729" s="78">
        <f ca="1">IFERROR(__xludf.DUMMYFUNCTION("""COMPUTED_VALUE"""),12)</f>
        <v>12</v>
      </c>
      <c r="D729" s="78" t="str">
        <f ca="1">IFERROR(__xludf.DUMMYFUNCTION("""COMPUTED_VALUE"""),"G")</f>
        <v>G</v>
      </c>
      <c r="E729" s="80" t="str">
        <f ca="1">IFERROR(__xludf.DUMMYFUNCTION("""COMPUTED_VALUE"""),"J")</f>
        <v>J</v>
      </c>
      <c r="F729" s="80" t="str">
        <f ca="1">IFERROR(__xludf.DUMMYFUNCTION("""COMPUTED_VALUE"""),"I")</f>
        <v>I</v>
      </c>
      <c r="G729" s="80">
        <f ca="1">IFERROR(__xludf.DUMMYFUNCTION("""COMPUTED_VALUE"""),6)</f>
        <v>6</v>
      </c>
      <c r="H729" s="80" t="str">
        <f ca="1">IFERROR(__xludf.DUMMYFUNCTION("""COMPUTED_VALUE"""),"G")</f>
        <v>G</v>
      </c>
      <c r="I729" s="80">
        <f ca="1">IFERROR(__xludf.DUMMYFUNCTION("""COMPUTED_VALUE"""),4)</f>
        <v>4</v>
      </c>
      <c r="J729" s="81">
        <f ca="1">IFERROR(__xludf.DUMMYFUNCTION("""COMPUTED_VALUE"""),3)</f>
        <v>3</v>
      </c>
      <c r="K729" s="81">
        <f ca="1">IFERROR(__xludf.DUMMYFUNCTION("""COMPUTED_VALUE"""),92.6)</f>
        <v>92.6</v>
      </c>
      <c r="L729" s="81">
        <f ca="1">IFERROR(__xludf.DUMMYFUNCTION("""COMPUTED_VALUE"""),81.8)</f>
        <v>81.8</v>
      </c>
      <c r="M729" s="81"/>
      <c r="N729" s="81">
        <f ca="1">IFERROR(__xludf.DUMMYFUNCTION("""COMPUTED_VALUE"""),68.95)</f>
        <v>68.95</v>
      </c>
      <c r="O729" s="81"/>
      <c r="P729" s="81">
        <f ca="1">IFERROR(__xludf.DUMMYFUNCTION("""COMPUTED_VALUE"""),92.6)</f>
        <v>92.6</v>
      </c>
      <c r="Q729" s="81"/>
      <c r="R729" s="81">
        <f ca="1">IFERROR(__xludf.DUMMYFUNCTION("""COMPUTED_VALUE"""),0)</f>
        <v>0</v>
      </c>
      <c r="S729" s="81"/>
      <c r="T729" s="81"/>
      <c r="U729" s="82"/>
      <c r="V729" s="82"/>
      <c r="W729" s="83"/>
      <c r="X729" s="83"/>
      <c r="Y729" s="83"/>
    </row>
    <row r="730" spans="1:25" ht="13.8">
      <c r="A730" s="78" t="str">
        <f ca="1">IFERROR(__xludf.DUMMYFUNCTION("""COMPUTED_VALUE"""),"G")</f>
        <v>G</v>
      </c>
      <c r="B730" s="79" t="str">
        <f ca="1">IFERROR(__xludf.DUMMYFUNCTION("""COMPUTED_VALUE"""),"Sage Smyth")</f>
        <v>Sage Smyth</v>
      </c>
      <c r="C730" s="78">
        <f ca="1">IFERROR(__xludf.DUMMYFUNCTION("""COMPUTED_VALUE"""),11)</f>
        <v>11</v>
      </c>
      <c r="D730" s="78" t="str">
        <f ca="1">IFERROR(__xludf.DUMMYFUNCTION("""COMPUTED_VALUE"""),"G")</f>
        <v>G</v>
      </c>
      <c r="E730" s="80" t="str">
        <f ca="1">IFERROR(__xludf.DUMMYFUNCTION("""COMPUTED_VALUE"""),"J")</f>
        <v>J</v>
      </c>
      <c r="F730" s="80" t="str">
        <f ca="1">IFERROR(__xludf.DUMMYFUNCTION("""COMPUTED_VALUE"""),"I")</f>
        <v>I</v>
      </c>
      <c r="G730" s="80">
        <f ca="1">IFERROR(__xludf.DUMMYFUNCTION("""COMPUTED_VALUE"""),6)</f>
        <v>6</v>
      </c>
      <c r="H730" s="80" t="str">
        <f ca="1">IFERROR(__xludf.DUMMYFUNCTION("""COMPUTED_VALUE"""),"G")</f>
        <v>G</v>
      </c>
      <c r="I730" s="80">
        <f ca="1">IFERROR(__xludf.DUMMYFUNCTION("""COMPUTED_VALUE"""),4)</f>
        <v>4</v>
      </c>
      <c r="J730" s="81">
        <f ca="1">IFERROR(__xludf.DUMMYFUNCTION("""COMPUTED_VALUE"""),2)</f>
        <v>2</v>
      </c>
      <c r="K730" s="81">
        <f ca="1">IFERROR(__xludf.DUMMYFUNCTION("""COMPUTED_VALUE"""),67.5)</f>
        <v>67.5</v>
      </c>
      <c r="L730" s="81">
        <f ca="1">IFERROR(__xludf.DUMMYFUNCTION("""COMPUTED_VALUE"""),0)</f>
        <v>0</v>
      </c>
      <c r="M730" s="81"/>
      <c r="N730" s="81">
        <f ca="1">IFERROR(__xludf.DUMMYFUNCTION("""COMPUTED_VALUE"""),47.4)</f>
        <v>47.4</v>
      </c>
      <c r="O730" s="81"/>
      <c r="P730" s="81">
        <f ca="1">IFERROR(__xludf.DUMMYFUNCTION("""COMPUTED_VALUE"""),67.5)</f>
        <v>67.5</v>
      </c>
      <c r="Q730" s="81"/>
      <c r="R730" s="81">
        <f ca="1">IFERROR(__xludf.DUMMYFUNCTION("""COMPUTED_VALUE"""),0)</f>
        <v>0</v>
      </c>
      <c r="S730" s="81"/>
      <c r="T730" s="81"/>
      <c r="U730" s="82"/>
      <c r="V730" s="82"/>
      <c r="W730" s="83"/>
      <c r="X730" s="83"/>
      <c r="Y730" s="83"/>
    </row>
    <row r="731" spans="1:25" ht="13.8">
      <c r="A731" s="78" t="str">
        <f ca="1">IFERROR(__xludf.DUMMYFUNCTION("""COMPUTED_VALUE"""),"G")</f>
        <v>G</v>
      </c>
      <c r="B731" s="79" t="str">
        <f ca="1">IFERROR(__xludf.DUMMYFUNCTION("""COMPUTED_VALUE"""),"Jenna Speredelozzi")</f>
        <v>Jenna Speredelozzi</v>
      </c>
      <c r="C731" s="78">
        <f ca="1">IFERROR(__xludf.DUMMYFUNCTION("""COMPUTED_VALUE"""),11)</f>
        <v>11</v>
      </c>
      <c r="D731" s="78" t="str">
        <f ca="1">IFERROR(__xludf.DUMMYFUNCTION("""COMPUTED_VALUE"""),"G")</f>
        <v>G</v>
      </c>
      <c r="E731" s="80" t="str">
        <f ca="1">IFERROR(__xludf.DUMMYFUNCTION("""COMPUTED_VALUE"""),"J")</f>
        <v>J</v>
      </c>
      <c r="F731" s="80" t="str">
        <f ca="1">IFERROR(__xludf.DUMMYFUNCTION("""COMPUTED_VALUE"""),"I")</f>
        <v>I</v>
      </c>
      <c r="G731" s="80">
        <f ca="1">IFERROR(__xludf.DUMMYFUNCTION("""COMPUTED_VALUE"""),6)</f>
        <v>6</v>
      </c>
      <c r="H731" s="80" t="str">
        <f ca="1">IFERROR(__xludf.DUMMYFUNCTION("""COMPUTED_VALUE"""),"G")</f>
        <v>G</v>
      </c>
      <c r="I731" s="80">
        <f ca="1">IFERROR(__xludf.DUMMYFUNCTION("""COMPUTED_VALUE"""),4)</f>
        <v>4</v>
      </c>
      <c r="J731" s="81">
        <f ca="1">IFERROR(__xludf.DUMMYFUNCTION("""COMPUTED_VALUE"""),3)</f>
        <v>3</v>
      </c>
      <c r="K731" s="81">
        <f ca="1">IFERROR(__xludf.DUMMYFUNCTION("""COMPUTED_VALUE"""),72.9)</f>
        <v>72.900000000000006</v>
      </c>
      <c r="L731" s="81">
        <f ca="1">IFERROR(__xludf.DUMMYFUNCTION("""COMPUTED_VALUE"""),27)</f>
        <v>27</v>
      </c>
      <c r="M731" s="81"/>
      <c r="N731" s="81">
        <f ca="1">IFERROR(__xludf.DUMMYFUNCTION("""COMPUTED_VALUE"""),0)</f>
        <v>0</v>
      </c>
      <c r="O731" s="81"/>
      <c r="P731" s="81">
        <f ca="1">IFERROR(__xludf.DUMMYFUNCTION("""COMPUTED_VALUE"""),0)</f>
        <v>0</v>
      </c>
      <c r="Q731" s="81"/>
      <c r="R731" s="81">
        <f ca="1">IFERROR(__xludf.DUMMYFUNCTION("""COMPUTED_VALUE"""),72.9)</f>
        <v>72.900000000000006</v>
      </c>
      <c r="S731" s="81"/>
      <c r="T731" s="81"/>
      <c r="U731" s="82"/>
      <c r="V731" s="82"/>
      <c r="W731" s="83"/>
      <c r="X731" s="83"/>
      <c r="Y731" s="83"/>
    </row>
    <row r="732" spans="1:25" ht="13.8">
      <c r="A732" s="78" t="str">
        <f ca="1">IFERROR(__xludf.DUMMYFUNCTION("""COMPUTED_VALUE"""),"G")</f>
        <v>G</v>
      </c>
      <c r="B732" s="79" t="str">
        <f ca="1">IFERROR(__xludf.DUMMYFUNCTION("""COMPUTED_VALUE"""),"Rowan Threadgill")</f>
        <v>Rowan Threadgill</v>
      </c>
      <c r="C732" s="78">
        <f ca="1">IFERROR(__xludf.DUMMYFUNCTION("""COMPUTED_VALUE"""),12)</f>
        <v>12</v>
      </c>
      <c r="D732" s="78" t="str">
        <f ca="1">IFERROR(__xludf.DUMMYFUNCTION("""COMPUTED_VALUE"""),"G")</f>
        <v>G</v>
      </c>
      <c r="E732" s="80" t="str">
        <f ca="1">IFERROR(__xludf.DUMMYFUNCTION("""COMPUTED_VALUE"""),"J")</f>
        <v>J</v>
      </c>
      <c r="F732" s="80" t="str">
        <f ca="1">IFERROR(__xludf.DUMMYFUNCTION("""COMPUTED_VALUE"""),"I")</f>
        <v>I</v>
      </c>
      <c r="G732" s="80">
        <f ca="1">IFERROR(__xludf.DUMMYFUNCTION("""COMPUTED_VALUE"""),6)</f>
        <v>6</v>
      </c>
      <c r="H732" s="80" t="str">
        <f ca="1">IFERROR(__xludf.DUMMYFUNCTION("""COMPUTED_VALUE"""),"G")</f>
        <v>G</v>
      </c>
      <c r="I732" s="80">
        <f ca="1">IFERROR(__xludf.DUMMYFUNCTION("""COMPUTED_VALUE"""),4)</f>
        <v>4</v>
      </c>
      <c r="J732" s="81">
        <f ca="1">IFERROR(__xludf.DUMMYFUNCTION("""COMPUTED_VALUE"""),3)</f>
        <v>3</v>
      </c>
      <c r="K732" s="81">
        <f ca="1">IFERROR(__xludf.DUMMYFUNCTION("""COMPUTED_VALUE"""),101.95)</f>
        <v>101.95</v>
      </c>
      <c r="L732" s="81">
        <f ca="1">IFERROR(__xludf.DUMMYFUNCTION("""COMPUTED_VALUE"""),0)</f>
        <v>0</v>
      </c>
      <c r="M732" s="81"/>
      <c r="N732" s="81">
        <f ca="1">IFERROR(__xludf.DUMMYFUNCTION("""COMPUTED_VALUE"""),0)</f>
        <v>0</v>
      </c>
      <c r="O732" s="81"/>
      <c r="P732" s="81">
        <f ca="1">IFERROR(__xludf.DUMMYFUNCTION("""COMPUTED_VALUE"""),77.75)</f>
        <v>77.75</v>
      </c>
      <c r="Q732" s="81"/>
      <c r="R732" s="81">
        <f ca="1">IFERROR(__xludf.DUMMYFUNCTION("""COMPUTED_VALUE"""),101.95)</f>
        <v>101.95</v>
      </c>
      <c r="S732" s="81"/>
      <c r="T732" s="81"/>
      <c r="U732" s="82"/>
      <c r="V732" s="82"/>
      <c r="W732" s="83"/>
      <c r="X732" s="83"/>
      <c r="Y732" s="83"/>
    </row>
    <row r="733" spans="1:25" ht="13.8">
      <c r="A733" s="78" t="str">
        <f ca="1">IFERROR(__xludf.DUMMYFUNCTION("""COMPUTED_VALUE"""),"G")</f>
        <v>G</v>
      </c>
      <c r="B733" s="79" t="str">
        <f ca="1">IFERROR(__xludf.DUMMYFUNCTION("""COMPUTED_VALUE"""),"Fitz Chewning")</f>
        <v>Fitz Chewning</v>
      </c>
      <c r="C733" s="78">
        <f ca="1">IFERROR(__xludf.DUMMYFUNCTION("""COMPUTED_VALUE"""),12)</f>
        <v>12</v>
      </c>
      <c r="D733" s="78" t="str">
        <f ca="1">IFERROR(__xludf.DUMMYFUNCTION("""COMPUTED_VALUE"""),"B")</f>
        <v>B</v>
      </c>
      <c r="E733" s="80" t="str">
        <f ca="1">IFERROR(__xludf.DUMMYFUNCTION("""COMPUTED_VALUE"""),"J")</f>
        <v>J</v>
      </c>
      <c r="F733" s="80" t="str">
        <f ca="1">IFERROR(__xludf.DUMMYFUNCTION("""COMPUTED_VALUE"""),"I")</f>
        <v>I</v>
      </c>
      <c r="G733" s="80">
        <f ca="1">IFERROR(__xludf.DUMMYFUNCTION("""COMPUTED_VALUE"""),6)</f>
        <v>6</v>
      </c>
      <c r="H733" s="80" t="str">
        <f ca="1">IFERROR(__xludf.DUMMYFUNCTION("""COMPUTED_VALUE"""),"G")</f>
        <v>G</v>
      </c>
      <c r="I733" s="80">
        <f ca="1">IFERROR(__xludf.DUMMYFUNCTION("""COMPUTED_VALUE"""),5)</f>
        <v>5</v>
      </c>
      <c r="J733" s="81">
        <f ca="1">IFERROR(__xludf.DUMMYFUNCTION("""COMPUTED_VALUE"""),0)</f>
        <v>0</v>
      </c>
      <c r="K733" s="81">
        <f ca="1">IFERROR(__xludf.DUMMYFUNCTION("""COMPUTED_VALUE"""),0)</f>
        <v>0</v>
      </c>
      <c r="L733" s="81">
        <f ca="1">IFERROR(__xludf.DUMMYFUNCTION("""COMPUTED_VALUE"""),0)</f>
        <v>0</v>
      </c>
      <c r="M733" s="81"/>
      <c r="N733" s="81">
        <f ca="1">IFERROR(__xludf.DUMMYFUNCTION("""COMPUTED_VALUE"""),0)</f>
        <v>0</v>
      </c>
      <c r="O733" s="81"/>
      <c r="P733" s="81">
        <f ca="1">IFERROR(__xludf.DUMMYFUNCTION("""COMPUTED_VALUE"""),0)</f>
        <v>0</v>
      </c>
      <c r="Q733" s="81"/>
      <c r="R733" s="81">
        <f ca="1">IFERROR(__xludf.DUMMYFUNCTION("""COMPUTED_VALUE"""),0)</f>
        <v>0</v>
      </c>
      <c r="S733" s="81"/>
      <c r="T733" s="81"/>
      <c r="U733" s="82"/>
      <c r="V733" s="82"/>
      <c r="W733" s="83"/>
      <c r="X733" s="83"/>
      <c r="Y733" s="83"/>
    </row>
    <row r="734" spans="1:25" ht="13.8">
      <c r="A734" s="78" t="str">
        <f ca="1">IFERROR(__xludf.DUMMYFUNCTION("""COMPUTED_VALUE"""),"G")</f>
        <v>G</v>
      </c>
      <c r="B734" s="79" t="str">
        <f ca="1">IFERROR(__xludf.DUMMYFUNCTION("""COMPUTED_VALUE"""),"Levi Raich")</f>
        <v>Levi Raich</v>
      </c>
      <c r="C734" s="78">
        <f ca="1">IFERROR(__xludf.DUMMYFUNCTION("""COMPUTED_VALUE"""),12)</f>
        <v>12</v>
      </c>
      <c r="D734" s="78" t="str">
        <f ca="1">IFERROR(__xludf.DUMMYFUNCTION("""COMPUTED_VALUE"""),"B")</f>
        <v>B</v>
      </c>
      <c r="E734" s="80" t="str">
        <f ca="1">IFERROR(__xludf.DUMMYFUNCTION("""COMPUTED_VALUE"""),"J")</f>
        <v>J</v>
      </c>
      <c r="F734" s="80" t="str">
        <f ca="1">IFERROR(__xludf.DUMMYFUNCTION("""COMPUTED_VALUE"""),"I")</f>
        <v>I</v>
      </c>
      <c r="G734" s="80">
        <f ca="1">IFERROR(__xludf.DUMMYFUNCTION("""COMPUTED_VALUE"""),6)</f>
        <v>6</v>
      </c>
      <c r="H734" s="80" t="str">
        <f ca="1">IFERROR(__xludf.DUMMYFUNCTION("""COMPUTED_VALUE"""),"G")</f>
        <v>G</v>
      </c>
      <c r="I734" s="80">
        <f ca="1">IFERROR(__xludf.DUMMYFUNCTION("""COMPUTED_VALUE"""),5)</f>
        <v>5</v>
      </c>
      <c r="J734" s="81">
        <f ca="1">IFERROR(__xludf.DUMMYFUNCTION("""COMPUTED_VALUE"""),2)</f>
        <v>2</v>
      </c>
      <c r="K734" s="81">
        <f ca="1">IFERROR(__xludf.DUMMYFUNCTION("""COMPUTED_VALUE"""),41)</f>
        <v>41</v>
      </c>
      <c r="L734" s="81">
        <f ca="1">IFERROR(__xludf.DUMMYFUNCTION("""COMPUTED_VALUE"""),32.1)</f>
        <v>32.1</v>
      </c>
      <c r="M734" s="81"/>
      <c r="N734" s="81">
        <f ca="1">IFERROR(__xludf.DUMMYFUNCTION("""COMPUTED_VALUE"""),41)</f>
        <v>41</v>
      </c>
      <c r="O734" s="81"/>
      <c r="P734" s="81">
        <f ca="1">IFERROR(__xludf.DUMMYFUNCTION("""COMPUTED_VALUE"""),0)</f>
        <v>0</v>
      </c>
      <c r="Q734" s="81"/>
      <c r="R734" s="81">
        <f ca="1">IFERROR(__xludf.DUMMYFUNCTION("""COMPUTED_VALUE"""),0)</f>
        <v>0</v>
      </c>
      <c r="S734" s="81"/>
      <c r="T734" s="81"/>
      <c r="U734" s="82"/>
      <c r="V734" s="82"/>
      <c r="W734" s="83"/>
      <c r="X734" s="83"/>
      <c r="Y734" s="83"/>
    </row>
    <row r="735" spans="1:25" ht="13.8">
      <c r="A735" s="78" t="str">
        <f ca="1">IFERROR(__xludf.DUMMYFUNCTION("""COMPUTED_VALUE"""),"G")</f>
        <v>G</v>
      </c>
      <c r="B735" s="79" t="str">
        <f ca="1">IFERROR(__xludf.DUMMYFUNCTION("""COMPUTED_VALUE"""),"Luke Snyder")</f>
        <v>Luke Snyder</v>
      </c>
      <c r="C735" s="78">
        <f ca="1">IFERROR(__xludf.DUMMYFUNCTION("""COMPUTED_VALUE"""),11)</f>
        <v>11</v>
      </c>
      <c r="D735" s="78" t="str">
        <f ca="1">IFERROR(__xludf.DUMMYFUNCTION("""COMPUTED_VALUE"""),"B")</f>
        <v>B</v>
      </c>
      <c r="E735" s="80" t="str">
        <f ca="1">IFERROR(__xludf.DUMMYFUNCTION("""COMPUTED_VALUE"""),"J")</f>
        <v>J</v>
      </c>
      <c r="F735" s="80" t="str">
        <f ca="1">IFERROR(__xludf.DUMMYFUNCTION("""COMPUTED_VALUE"""),"I")</f>
        <v>I</v>
      </c>
      <c r="G735" s="80">
        <f ca="1">IFERROR(__xludf.DUMMYFUNCTION("""COMPUTED_VALUE"""),6)</f>
        <v>6</v>
      </c>
      <c r="H735" s="80" t="str">
        <f ca="1">IFERROR(__xludf.DUMMYFUNCTION("""COMPUTED_VALUE"""),"G")</f>
        <v>G</v>
      </c>
      <c r="I735" s="80">
        <f ca="1">IFERROR(__xludf.DUMMYFUNCTION("""COMPUTED_VALUE"""),5)</f>
        <v>5</v>
      </c>
      <c r="J735" s="81">
        <f ca="1">IFERROR(__xludf.DUMMYFUNCTION("""COMPUTED_VALUE"""),4)</f>
        <v>4</v>
      </c>
      <c r="K735" s="81">
        <f ca="1">IFERROR(__xludf.DUMMYFUNCTION("""COMPUTED_VALUE"""),55.9)</f>
        <v>55.9</v>
      </c>
      <c r="L735" s="81">
        <f ca="1">IFERROR(__xludf.DUMMYFUNCTION("""COMPUTED_VALUE"""),55.9)</f>
        <v>55.9</v>
      </c>
      <c r="M735" s="81"/>
      <c r="N735" s="81">
        <f ca="1">IFERROR(__xludf.DUMMYFUNCTION("""COMPUTED_VALUE"""),34.75)</f>
        <v>34.75</v>
      </c>
      <c r="O735" s="81"/>
      <c r="P735" s="81">
        <f ca="1">IFERROR(__xludf.DUMMYFUNCTION("""COMPUTED_VALUE"""),45.4)</f>
        <v>45.4</v>
      </c>
      <c r="Q735" s="81"/>
      <c r="R735" s="81">
        <f ca="1">IFERROR(__xludf.DUMMYFUNCTION("""COMPUTED_VALUE"""),0)</f>
        <v>0</v>
      </c>
      <c r="S735" s="81"/>
      <c r="T735" s="81"/>
      <c r="U735" s="82"/>
      <c r="V735" s="82"/>
      <c r="W735" s="83"/>
      <c r="X735" s="83"/>
      <c r="Y735" s="83"/>
    </row>
    <row r="736" spans="1:25" ht="13.8">
      <c r="A736" s="78" t="str">
        <f ca="1">IFERROR(__xludf.DUMMYFUNCTION("""COMPUTED_VALUE"""),"G")</f>
        <v>G</v>
      </c>
      <c r="B736" s="79" t="str">
        <f ca="1">IFERROR(__xludf.DUMMYFUNCTION("""COMPUTED_VALUE"""),"Kendall Arnz")</f>
        <v>Kendall Arnz</v>
      </c>
      <c r="C736" s="78">
        <f ca="1">IFERROR(__xludf.DUMMYFUNCTION("""COMPUTED_VALUE"""),13)</f>
        <v>13</v>
      </c>
      <c r="D736" s="78" t="str">
        <f ca="1">IFERROR(__xludf.DUMMYFUNCTION("""COMPUTED_VALUE"""),"G")</f>
        <v>G</v>
      </c>
      <c r="E736" s="80" t="str">
        <f ca="1">IFERROR(__xludf.DUMMYFUNCTION("""COMPUTED_VALUE"""),"I")</f>
        <v>I</v>
      </c>
      <c r="F736" s="80" t="str">
        <f ca="1">IFERROR(__xludf.DUMMYFUNCTION("""COMPUTED_VALUE"""),"S")</f>
        <v>S</v>
      </c>
      <c r="G736" s="80">
        <f ca="1">IFERROR(__xludf.DUMMYFUNCTION("""COMPUTED_VALUE"""),6)</f>
        <v>6</v>
      </c>
      <c r="H736" s="80" t="str">
        <f ca="1">IFERROR(__xludf.DUMMYFUNCTION("""COMPUTED_VALUE"""),"G")</f>
        <v>G</v>
      </c>
      <c r="I736" s="80">
        <f ca="1">IFERROR(__xludf.DUMMYFUNCTION("""COMPUTED_VALUE"""),6)</f>
        <v>6</v>
      </c>
      <c r="J736" s="81">
        <f ca="1">IFERROR(__xludf.DUMMYFUNCTION("""COMPUTED_VALUE"""),5)</f>
        <v>5</v>
      </c>
      <c r="K736" s="81">
        <f ca="1">IFERROR(__xludf.DUMMYFUNCTION("""COMPUTED_VALUE"""),139.25)</f>
        <v>139.25</v>
      </c>
      <c r="L736" s="81">
        <f ca="1">IFERROR(__xludf.DUMMYFUNCTION("""COMPUTED_VALUE"""),99.75)</f>
        <v>99.75</v>
      </c>
      <c r="M736" s="81"/>
      <c r="N736" s="81">
        <f ca="1">IFERROR(__xludf.DUMMYFUNCTION("""COMPUTED_VALUE"""),105.25)</f>
        <v>105.25</v>
      </c>
      <c r="O736" s="81"/>
      <c r="P736" s="81">
        <f ca="1">IFERROR(__xludf.DUMMYFUNCTION("""COMPUTED_VALUE"""),110.95)</f>
        <v>110.95</v>
      </c>
      <c r="Q736" s="81"/>
      <c r="R736" s="81">
        <f ca="1">IFERROR(__xludf.DUMMYFUNCTION("""COMPUTED_VALUE"""),139.25)</f>
        <v>139.25</v>
      </c>
      <c r="S736" s="81"/>
      <c r="T736" s="81"/>
      <c r="U736" s="82"/>
      <c r="V736" s="82"/>
      <c r="W736" s="83"/>
      <c r="X736" s="83"/>
      <c r="Y736" s="83"/>
    </row>
    <row r="737" spans="1:25" ht="13.8">
      <c r="A737" s="78" t="str">
        <f ca="1">IFERROR(__xludf.DUMMYFUNCTION("""COMPUTED_VALUE"""),"G")</f>
        <v>G</v>
      </c>
      <c r="B737" s="79" t="str">
        <f ca="1">IFERROR(__xludf.DUMMYFUNCTION("""COMPUTED_VALUE"""),"Hazel Flynn")</f>
        <v>Hazel Flynn</v>
      </c>
      <c r="C737" s="78">
        <f ca="1">IFERROR(__xludf.DUMMYFUNCTION("""COMPUTED_VALUE"""),14)</f>
        <v>14</v>
      </c>
      <c r="D737" s="78" t="str">
        <f ca="1">IFERROR(__xludf.DUMMYFUNCTION("""COMPUTED_VALUE"""),"G")</f>
        <v>G</v>
      </c>
      <c r="E737" s="80" t="str">
        <f ca="1">IFERROR(__xludf.DUMMYFUNCTION("""COMPUTED_VALUE"""),"I")</f>
        <v>I</v>
      </c>
      <c r="F737" s="80" t="str">
        <f ca="1">IFERROR(__xludf.DUMMYFUNCTION("""COMPUTED_VALUE"""),"S")</f>
        <v>S</v>
      </c>
      <c r="G737" s="80">
        <f ca="1">IFERROR(__xludf.DUMMYFUNCTION("""COMPUTED_VALUE"""),6)</f>
        <v>6</v>
      </c>
      <c r="H737" s="80" t="str">
        <f ca="1">IFERROR(__xludf.DUMMYFUNCTION("""COMPUTED_VALUE"""),"G")</f>
        <v>G</v>
      </c>
      <c r="I737" s="80">
        <f ca="1">IFERROR(__xludf.DUMMYFUNCTION("""COMPUTED_VALUE"""),6)</f>
        <v>6</v>
      </c>
      <c r="J737" s="81">
        <f ca="1">IFERROR(__xludf.DUMMYFUNCTION("""COMPUTED_VALUE"""),5)</f>
        <v>5</v>
      </c>
      <c r="K737" s="81">
        <f ca="1">IFERROR(__xludf.DUMMYFUNCTION("""COMPUTED_VALUE"""),113)</f>
        <v>113</v>
      </c>
      <c r="L737" s="81">
        <f ca="1">IFERROR(__xludf.DUMMYFUNCTION("""COMPUTED_VALUE"""),81.4)</f>
        <v>81.400000000000006</v>
      </c>
      <c r="M737" s="81"/>
      <c r="N737" s="81">
        <f ca="1">IFERROR(__xludf.DUMMYFUNCTION("""COMPUTED_VALUE"""),96.5)</f>
        <v>96.5</v>
      </c>
      <c r="O737" s="81"/>
      <c r="P737" s="81">
        <f ca="1">IFERROR(__xludf.DUMMYFUNCTION("""COMPUTED_VALUE"""),108.35)</f>
        <v>108.35</v>
      </c>
      <c r="Q737" s="81"/>
      <c r="R737" s="81">
        <f ca="1">IFERROR(__xludf.DUMMYFUNCTION("""COMPUTED_VALUE"""),113)</f>
        <v>113</v>
      </c>
      <c r="S737" s="81"/>
      <c r="T737" s="81"/>
      <c r="U737" s="82"/>
      <c r="V737" s="82"/>
      <c r="W737" s="83"/>
      <c r="X737" s="83"/>
      <c r="Y737" s="83"/>
    </row>
    <row r="738" spans="1:25" ht="13.8">
      <c r="A738" s="78" t="str">
        <f ca="1">IFERROR(__xludf.DUMMYFUNCTION("""COMPUTED_VALUE"""),"G")</f>
        <v>G</v>
      </c>
      <c r="B738" s="79" t="str">
        <f ca="1">IFERROR(__xludf.DUMMYFUNCTION("""COMPUTED_VALUE"""),"Evie Kehoe")</f>
        <v>Evie Kehoe</v>
      </c>
      <c r="C738" s="78">
        <f ca="1">IFERROR(__xludf.DUMMYFUNCTION("""COMPUTED_VALUE"""),13)</f>
        <v>13</v>
      </c>
      <c r="D738" s="78" t="str">
        <f ca="1">IFERROR(__xludf.DUMMYFUNCTION("""COMPUTED_VALUE"""),"G")</f>
        <v>G</v>
      </c>
      <c r="E738" s="80" t="str">
        <f ca="1">IFERROR(__xludf.DUMMYFUNCTION("""COMPUTED_VALUE"""),"I")</f>
        <v>I</v>
      </c>
      <c r="F738" s="80" t="str">
        <f ca="1">IFERROR(__xludf.DUMMYFUNCTION("""COMPUTED_VALUE"""),"S")</f>
        <v>S</v>
      </c>
      <c r="G738" s="80">
        <f ca="1">IFERROR(__xludf.DUMMYFUNCTION("""COMPUTED_VALUE"""),6)</f>
        <v>6</v>
      </c>
      <c r="H738" s="80" t="str">
        <f ca="1">IFERROR(__xludf.DUMMYFUNCTION("""COMPUTED_VALUE"""),"G")</f>
        <v>G</v>
      </c>
      <c r="I738" s="80">
        <f ca="1">IFERROR(__xludf.DUMMYFUNCTION("""COMPUTED_VALUE"""),6)</f>
        <v>6</v>
      </c>
      <c r="J738" s="81">
        <f ca="1">IFERROR(__xludf.DUMMYFUNCTION("""COMPUTED_VALUE"""),4)</f>
        <v>4</v>
      </c>
      <c r="K738" s="81">
        <f ca="1">IFERROR(__xludf.DUMMYFUNCTION("""COMPUTED_VALUE"""),159.8)</f>
        <v>159.80000000000001</v>
      </c>
      <c r="L738" s="81">
        <f ca="1">IFERROR(__xludf.DUMMYFUNCTION("""COMPUTED_VALUE"""),118.3)</f>
        <v>118.3</v>
      </c>
      <c r="M738" s="81"/>
      <c r="N738" s="81">
        <f ca="1">IFERROR(__xludf.DUMMYFUNCTION("""COMPUTED_VALUE"""),114.95)</f>
        <v>114.95</v>
      </c>
      <c r="O738" s="81"/>
      <c r="P738" s="81">
        <f ca="1">IFERROR(__xludf.DUMMYFUNCTION("""COMPUTED_VALUE"""),0)</f>
        <v>0</v>
      </c>
      <c r="Q738" s="81"/>
      <c r="R738" s="81">
        <f ca="1">IFERROR(__xludf.DUMMYFUNCTION("""COMPUTED_VALUE"""),159.8)</f>
        <v>159.80000000000001</v>
      </c>
      <c r="S738" s="81"/>
      <c r="T738" s="81"/>
      <c r="U738" s="82"/>
      <c r="V738" s="82"/>
      <c r="W738" s="83"/>
      <c r="X738" s="83"/>
      <c r="Y738" s="83"/>
    </row>
    <row r="739" spans="1:25" ht="13.8">
      <c r="A739" s="78" t="str">
        <f ca="1">IFERROR(__xludf.DUMMYFUNCTION("""COMPUTED_VALUE"""),"G")</f>
        <v>G</v>
      </c>
      <c r="B739" s="79" t="str">
        <f ca="1">IFERROR(__xludf.DUMMYFUNCTION("""COMPUTED_VALUE"""),"Avery Lawrence")</f>
        <v>Avery Lawrence</v>
      </c>
      <c r="C739" s="78">
        <f ca="1">IFERROR(__xludf.DUMMYFUNCTION("""COMPUTED_VALUE"""),14)</f>
        <v>14</v>
      </c>
      <c r="D739" s="78" t="str">
        <f ca="1">IFERROR(__xludf.DUMMYFUNCTION("""COMPUTED_VALUE"""),"G")</f>
        <v>G</v>
      </c>
      <c r="E739" s="80" t="str">
        <f ca="1">IFERROR(__xludf.DUMMYFUNCTION("""COMPUTED_VALUE"""),"I")</f>
        <v>I</v>
      </c>
      <c r="F739" s="80" t="str">
        <f ca="1">IFERROR(__xludf.DUMMYFUNCTION("""COMPUTED_VALUE"""),"S")</f>
        <v>S</v>
      </c>
      <c r="G739" s="80">
        <f ca="1">IFERROR(__xludf.DUMMYFUNCTION("""COMPUTED_VALUE"""),6)</f>
        <v>6</v>
      </c>
      <c r="H739" s="80" t="str">
        <f ca="1">IFERROR(__xludf.DUMMYFUNCTION("""COMPUTED_VALUE"""),"G")</f>
        <v>G</v>
      </c>
      <c r="I739" s="80">
        <f ca="1">IFERROR(__xludf.DUMMYFUNCTION("""COMPUTED_VALUE"""),6)</f>
        <v>6</v>
      </c>
      <c r="J739" s="81">
        <f ca="1">IFERROR(__xludf.DUMMYFUNCTION("""COMPUTED_VALUE"""),4)</f>
        <v>4</v>
      </c>
      <c r="K739" s="81">
        <f ca="1">IFERROR(__xludf.DUMMYFUNCTION("""COMPUTED_VALUE"""),71.1)</f>
        <v>71.099999999999994</v>
      </c>
      <c r="L739" s="81">
        <f ca="1">IFERROR(__xludf.DUMMYFUNCTION("""COMPUTED_VALUE"""),65.1)</f>
        <v>65.099999999999994</v>
      </c>
      <c r="M739" s="81"/>
      <c r="N739" s="81">
        <f ca="1">IFERROR(__xludf.DUMMYFUNCTION("""COMPUTED_VALUE"""),70.7)</f>
        <v>70.7</v>
      </c>
      <c r="O739" s="81"/>
      <c r="P739" s="81">
        <f ca="1">IFERROR(__xludf.DUMMYFUNCTION("""COMPUTED_VALUE"""),71.1)</f>
        <v>71.099999999999994</v>
      </c>
      <c r="Q739" s="81"/>
      <c r="R739" s="81">
        <f ca="1">IFERROR(__xludf.DUMMYFUNCTION("""COMPUTED_VALUE"""),0)</f>
        <v>0</v>
      </c>
      <c r="S739" s="81"/>
      <c r="T739" s="81"/>
      <c r="U739" s="82"/>
      <c r="V739" s="82"/>
      <c r="W739" s="83"/>
      <c r="X739" s="83"/>
      <c r="Y739" s="83"/>
    </row>
    <row r="740" spans="1:25" ht="13.8">
      <c r="A740" s="78" t="str">
        <f ca="1">IFERROR(__xludf.DUMMYFUNCTION("""COMPUTED_VALUE"""),"G")</f>
        <v>G</v>
      </c>
      <c r="B740" s="79" t="str">
        <f ca="1">IFERROR(__xludf.DUMMYFUNCTION("""COMPUTED_VALUE"""),"Evie Miller")</f>
        <v>Evie Miller</v>
      </c>
      <c r="C740" s="78">
        <f ca="1">IFERROR(__xludf.DUMMYFUNCTION("""COMPUTED_VALUE"""),14)</f>
        <v>14</v>
      </c>
      <c r="D740" s="78" t="str">
        <f ca="1">IFERROR(__xludf.DUMMYFUNCTION("""COMPUTED_VALUE"""),"G")</f>
        <v>G</v>
      </c>
      <c r="E740" s="80" t="str">
        <f ca="1">IFERROR(__xludf.DUMMYFUNCTION("""COMPUTED_VALUE"""),"I")</f>
        <v>I</v>
      </c>
      <c r="F740" s="80" t="str">
        <f ca="1">IFERROR(__xludf.DUMMYFUNCTION("""COMPUTED_VALUE"""),"S")</f>
        <v>S</v>
      </c>
      <c r="G740" s="80">
        <f ca="1">IFERROR(__xludf.DUMMYFUNCTION("""COMPUTED_VALUE"""),6)</f>
        <v>6</v>
      </c>
      <c r="H740" s="80" t="str">
        <f ca="1">IFERROR(__xludf.DUMMYFUNCTION("""COMPUTED_VALUE"""),"G")</f>
        <v>G</v>
      </c>
      <c r="I740" s="80">
        <f ca="1">IFERROR(__xludf.DUMMYFUNCTION("""COMPUTED_VALUE"""),6)</f>
        <v>6</v>
      </c>
      <c r="J740" s="81">
        <f ca="1">IFERROR(__xludf.DUMMYFUNCTION("""COMPUTED_VALUE"""),4)</f>
        <v>4</v>
      </c>
      <c r="K740" s="81">
        <f ca="1">IFERROR(__xludf.DUMMYFUNCTION("""COMPUTED_VALUE"""),146.45)</f>
        <v>146.44999999999999</v>
      </c>
      <c r="L740" s="81">
        <f ca="1">IFERROR(__xludf.DUMMYFUNCTION("""COMPUTED_VALUE"""),117.7)</f>
        <v>117.7</v>
      </c>
      <c r="M740" s="81"/>
      <c r="N740" s="81">
        <f ca="1">IFERROR(__xludf.DUMMYFUNCTION("""COMPUTED_VALUE"""),131.2)</f>
        <v>131.19999999999999</v>
      </c>
      <c r="O740" s="81"/>
      <c r="P740" s="81">
        <f ca="1">IFERROR(__xludf.DUMMYFUNCTION("""COMPUTED_VALUE"""),146.45)</f>
        <v>146.44999999999999</v>
      </c>
      <c r="Q740" s="81"/>
      <c r="R740" s="81">
        <f ca="1">IFERROR(__xludf.DUMMYFUNCTION("""COMPUTED_VALUE"""),144.3)</f>
        <v>144.30000000000001</v>
      </c>
      <c r="S740" s="81"/>
      <c r="T740" s="81"/>
      <c r="U740" s="82"/>
      <c r="V740" s="82"/>
      <c r="W740" s="83"/>
      <c r="X740" s="83"/>
      <c r="Y740" s="83"/>
    </row>
    <row r="741" spans="1:25" ht="13.8">
      <c r="A741" s="78" t="str">
        <f ca="1">IFERROR(__xludf.DUMMYFUNCTION("""COMPUTED_VALUE"""),"G")</f>
        <v>G</v>
      </c>
      <c r="B741" s="79" t="str">
        <f ca="1">IFERROR(__xludf.DUMMYFUNCTION("""COMPUTED_VALUE"""),"Ash Quick")</f>
        <v>Ash Quick</v>
      </c>
      <c r="C741" s="78">
        <f ca="1">IFERROR(__xludf.DUMMYFUNCTION("""COMPUTED_VALUE"""),14)</f>
        <v>14</v>
      </c>
      <c r="D741" s="78" t="str">
        <f ca="1">IFERROR(__xludf.DUMMYFUNCTION("""COMPUTED_VALUE"""),"G")</f>
        <v>G</v>
      </c>
      <c r="E741" s="80" t="str">
        <f ca="1">IFERROR(__xludf.DUMMYFUNCTION("""COMPUTED_VALUE"""),"I")</f>
        <v>I</v>
      </c>
      <c r="F741" s="80" t="str">
        <f ca="1">IFERROR(__xludf.DUMMYFUNCTION("""COMPUTED_VALUE"""),"S")</f>
        <v>S</v>
      </c>
      <c r="G741" s="80">
        <f ca="1">IFERROR(__xludf.DUMMYFUNCTION("""COMPUTED_VALUE"""),6)</f>
        <v>6</v>
      </c>
      <c r="H741" s="80" t="str">
        <f ca="1">IFERROR(__xludf.DUMMYFUNCTION("""COMPUTED_VALUE"""),"G")</f>
        <v>G</v>
      </c>
      <c r="I741" s="80">
        <f ca="1">IFERROR(__xludf.DUMMYFUNCTION("""COMPUTED_VALUE"""),6)</f>
        <v>6</v>
      </c>
      <c r="J741" s="81">
        <f ca="1">IFERROR(__xludf.DUMMYFUNCTION("""COMPUTED_VALUE"""),0)</f>
        <v>0</v>
      </c>
      <c r="K741" s="81">
        <f ca="1">IFERROR(__xludf.DUMMYFUNCTION("""COMPUTED_VALUE"""),0)</f>
        <v>0</v>
      </c>
      <c r="L741" s="81">
        <f ca="1">IFERROR(__xludf.DUMMYFUNCTION("""COMPUTED_VALUE"""),0)</f>
        <v>0</v>
      </c>
      <c r="M741" s="81"/>
      <c r="N741" s="81">
        <f ca="1">IFERROR(__xludf.DUMMYFUNCTION("""COMPUTED_VALUE"""),0)</f>
        <v>0</v>
      </c>
      <c r="O741" s="81"/>
      <c r="P741" s="81">
        <f ca="1">IFERROR(__xludf.DUMMYFUNCTION("""COMPUTED_VALUE"""),0)</f>
        <v>0</v>
      </c>
      <c r="Q741" s="81"/>
      <c r="R741" s="81">
        <f ca="1">IFERROR(__xludf.DUMMYFUNCTION("""COMPUTED_VALUE"""),0)</f>
        <v>0</v>
      </c>
      <c r="S741" s="81"/>
      <c r="T741" s="81"/>
      <c r="U741" s="82"/>
      <c r="V741" s="82"/>
      <c r="W741" s="83"/>
      <c r="X741" s="83"/>
      <c r="Y741" s="83"/>
    </row>
    <row r="742" spans="1:25" ht="13.8">
      <c r="A742" s="78" t="str">
        <f ca="1">IFERROR(__xludf.DUMMYFUNCTION("""COMPUTED_VALUE"""),"G")</f>
        <v>G</v>
      </c>
      <c r="B742" s="79" t="str">
        <f ca="1">IFERROR(__xludf.DUMMYFUNCTION("""COMPUTED_VALUE"""),"Michael Bray")</f>
        <v>Michael Bray</v>
      </c>
      <c r="C742" s="78">
        <f ca="1">IFERROR(__xludf.DUMMYFUNCTION("""COMPUTED_VALUE"""),14)</f>
        <v>14</v>
      </c>
      <c r="D742" s="78" t="str">
        <f ca="1">IFERROR(__xludf.DUMMYFUNCTION("""COMPUTED_VALUE"""),"B")</f>
        <v>B</v>
      </c>
      <c r="E742" s="80" t="str">
        <f ca="1">IFERROR(__xludf.DUMMYFUNCTION("""COMPUTED_VALUE"""),"I")</f>
        <v>I</v>
      </c>
      <c r="F742" s="80" t="str">
        <f ca="1">IFERROR(__xludf.DUMMYFUNCTION("""COMPUTED_VALUE"""),"S")</f>
        <v>S</v>
      </c>
      <c r="G742" s="80">
        <f ca="1">IFERROR(__xludf.DUMMYFUNCTION("""COMPUTED_VALUE"""),6)</f>
        <v>6</v>
      </c>
      <c r="H742" s="80" t="str">
        <f ca="1">IFERROR(__xludf.DUMMYFUNCTION("""COMPUTED_VALUE"""),"G")</f>
        <v>G</v>
      </c>
      <c r="I742" s="80">
        <f ca="1">IFERROR(__xludf.DUMMYFUNCTION("""COMPUTED_VALUE"""),7)</f>
        <v>7</v>
      </c>
      <c r="J742" s="81">
        <f ca="1">IFERROR(__xludf.DUMMYFUNCTION("""COMPUTED_VALUE"""),4)</f>
        <v>4</v>
      </c>
      <c r="K742" s="81">
        <f ca="1">IFERROR(__xludf.DUMMYFUNCTION("""COMPUTED_VALUE"""),171.3)</f>
        <v>171.3</v>
      </c>
      <c r="L742" s="81">
        <f ca="1">IFERROR(__xludf.DUMMYFUNCTION("""COMPUTED_VALUE"""),132.3)</f>
        <v>132.30000000000001</v>
      </c>
      <c r="M742" s="81"/>
      <c r="N742" s="81">
        <f ca="1">IFERROR(__xludf.DUMMYFUNCTION("""COMPUTED_VALUE"""),0)</f>
        <v>0</v>
      </c>
      <c r="O742" s="81"/>
      <c r="P742" s="81">
        <f ca="1">IFERROR(__xludf.DUMMYFUNCTION("""COMPUTED_VALUE"""),140.6)</f>
        <v>140.6</v>
      </c>
      <c r="Q742" s="81"/>
      <c r="R742" s="81">
        <f ca="1">IFERROR(__xludf.DUMMYFUNCTION("""COMPUTED_VALUE"""),171.3)</f>
        <v>171.3</v>
      </c>
      <c r="S742" s="81"/>
      <c r="T742" s="81"/>
      <c r="U742" s="82"/>
      <c r="V742" s="82"/>
      <c r="W742" s="83"/>
      <c r="X742" s="83"/>
      <c r="Y742" s="83"/>
    </row>
    <row r="743" spans="1:25" ht="13.8">
      <c r="A743" s="78" t="str">
        <f ca="1">IFERROR(__xludf.DUMMYFUNCTION("""COMPUTED_VALUE"""),"G")</f>
        <v>G</v>
      </c>
      <c r="B743" s="79" t="str">
        <f ca="1">IFERROR(__xludf.DUMMYFUNCTION("""COMPUTED_VALUE"""),"Hunter Colandria")</f>
        <v>Hunter Colandria</v>
      </c>
      <c r="C743" s="78">
        <f ca="1">IFERROR(__xludf.DUMMYFUNCTION("""COMPUTED_VALUE"""),13)</f>
        <v>13</v>
      </c>
      <c r="D743" s="78" t="str">
        <f ca="1">IFERROR(__xludf.DUMMYFUNCTION("""COMPUTED_VALUE"""),"B")</f>
        <v>B</v>
      </c>
      <c r="E743" s="80" t="str">
        <f ca="1">IFERROR(__xludf.DUMMYFUNCTION("""COMPUTED_VALUE"""),"I")</f>
        <v>I</v>
      </c>
      <c r="F743" s="80" t="str">
        <f ca="1">IFERROR(__xludf.DUMMYFUNCTION("""COMPUTED_VALUE"""),"S")</f>
        <v>S</v>
      </c>
      <c r="G743" s="80">
        <f ca="1">IFERROR(__xludf.DUMMYFUNCTION("""COMPUTED_VALUE"""),6)</f>
        <v>6</v>
      </c>
      <c r="H743" s="80" t="str">
        <f ca="1">IFERROR(__xludf.DUMMYFUNCTION("""COMPUTED_VALUE"""),"G")</f>
        <v>G</v>
      </c>
      <c r="I743" s="80">
        <f ca="1">IFERROR(__xludf.DUMMYFUNCTION("""COMPUTED_VALUE"""),7)</f>
        <v>7</v>
      </c>
      <c r="J743" s="81">
        <f ca="1">IFERROR(__xludf.DUMMYFUNCTION("""COMPUTED_VALUE"""),4)</f>
        <v>4</v>
      </c>
      <c r="K743" s="81">
        <f ca="1">IFERROR(__xludf.DUMMYFUNCTION("""COMPUTED_VALUE"""),124)</f>
        <v>124</v>
      </c>
      <c r="L743" s="81">
        <f ca="1">IFERROR(__xludf.DUMMYFUNCTION("""COMPUTED_VALUE"""),0)</f>
        <v>0</v>
      </c>
      <c r="M743" s="81"/>
      <c r="N743" s="81">
        <f ca="1">IFERROR(__xludf.DUMMYFUNCTION("""COMPUTED_VALUE"""),85.3)</f>
        <v>85.3</v>
      </c>
      <c r="O743" s="81"/>
      <c r="P743" s="81">
        <f ca="1">IFERROR(__xludf.DUMMYFUNCTION("""COMPUTED_VALUE"""),92.25)</f>
        <v>92.25</v>
      </c>
      <c r="Q743" s="81"/>
      <c r="R743" s="81">
        <f ca="1">IFERROR(__xludf.DUMMYFUNCTION("""COMPUTED_VALUE"""),124)</f>
        <v>124</v>
      </c>
      <c r="S743" s="81"/>
      <c r="T743" s="81"/>
      <c r="U743" s="82"/>
      <c r="V743" s="82"/>
      <c r="W743" s="83"/>
      <c r="X743" s="83"/>
      <c r="Y743" s="83"/>
    </row>
    <row r="744" spans="1:25" ht="13.8">
      <c r="A744" s="78" t="str">
        <f ca="1">IFERROR(__xludf.DUMMYFUNCTION("""COMPUTED_VALUE"""),"G")</f>
        <v>G</v>
      </c>
      <c r="B744" s="79" t="str">
        <f ca="1">IFERROR(__xludf.DUMMYFUNCTION("""COMPUTED_VALUE"""),"Luke Jones")</f>
        <v>Luke Jones</v>
      </c>
      <c r="C744" s="78">
        <f ca="1">IFERROR(__xludf.DUMMYFUNCTION("""COMPUTED_VALUE"""),13)</f>
        <v>13</v>
      </c>
      <c r="D744" s="78" t="str">
        <f ca="1">IFERROR(__xludf.DUMMYFUNCTION("""COMPUTED_VALUE"""),"B")</f>
        <v>B</v>
      </c>
      <c r="E744" s="80" t="str">
        <f ca="1">IFERROR(__xludf.DUMMYFUNCTION("""COMPUTED_VALUE"""),"I")</f>
        <v>I</v>
      </c>
      <c r="F744" s="80" t="str">
        <f ca="1">IFERROR(__xludf.DUMMYFUNCTION("""COMPUTED_VALUE"""),"S")</f>
        <v>S</v>
      </c>
      <c r="G744" s="80">
        <f ca="1">IFERROR(__xludf.DUMMYFUNCTION("""COMPUTED_VALUE"""),6)</f>
        <v>6</v>
      </c>
      <c r="H744" s="80" t="str">
        <f ca="1">IFERROR(__xludf.DUMMYFUNCTION("""COMPUTED_VALUE"""),"G")</f>
        <v>G</v>
      </c>
      <c r="I744" s="80">
        <f ca="1">IFERROR(__xludf.DUMMYFUNCTION("""COMPUTED_VALUE"""),7)</f>
        <v>7</v>
      </c>
      <c r="J744" s="81">
        <f ca="1">IFERROR(__xludf.DUMMYFUNCTION("""COMPUTED_VALUE"""),2)</f>
        <v>2</v>
      </c>
      <c r="K744" s="81">
        <f ca="1">IFERROR(__xludf.DUMMYFUNCTION("""COMPUTED_VALUE"""),142)</f>
        <v>142</v>
      </c>
      <c r="L744" s="81">
        <f ca="1">IFERROR(__xludf.DUMMYFUNCTION("""COMPUTED_VALUE"""),0)</f>
        <v>0</v>
      </c>
      <c r="M744" s="81"/>
      <c r="N744" s="81">
        <f ca="1">IFERROR(__xludf.DUMMYFUNCTION("""COMPUTED_VALUE"""),0)</f>
        <v>0</v>
      </c>
      <c r="O744" s="81"/>
      <c r="P744" s="81">
        <f ca="1">IFERROR(__xludf.DUMMYFUNCTION("""COMPUTED_VALUE"""),0)</f>
        <v>0</v>
      </c>
      <c r="Q744" s="81"/>
      <c r="R744" s="81">
        <f ca="1">IFERROR(__xludf.DUMMYFUNCTION("""COMPUTED_VALUE"""),142)</f>
        <v>142</v>
      </c>
      <c r="S744" s="81"/>
      <c r="T744" s="81"/>
      <c r="U744" s="82"/>
      <c r="V744" s="82"/>
      <c r="W744" s="83"/>
      <c r="X744" s="83"/>
      <c r="Y744" s="83"/>
    </row>
    <row r="745" spans="1:25" ht="13.8">
      <c r="A745" s="78" t="str">
        <f ca="1">IFERROR(__xludf.DUMMYFUNCTION("""COMPUTED_VALUE"""),"G")</f>
        <v>G</v>
      </c>
      <c r="B745" s="79" t="str">
        <f ca="1">IFERROR(__xludf.DUMMYFUNCTION("""COMPUTED_VALUE"""),"Corban Lawrence")</f>
        <v>Corban Lawrence</v>
      </c>
      <c r="C745" s="78">
        <f ca="1">IFERROR(__xludf.DUMMYFUNCTION("""COMPUTED_VALUE"""),13)</f>
        <v>13</v>
      </c>
      <c r="D745" s="78" t="str">
        <f ca="1">IFERROR(__xludf.DUMMYFUNCTION("""COMPUTED_VALUE"""),"B")</f>
        <v>B</v>
      </c>
      <c r="E745" s="80" t="str">
        <f ca="1">IFERROR(__xludf.DUMMYFUNCTION("""COMPUTED_VALUE"""),"I")</f>
        <v>I</v>
      </c>
      <c r="F745" s="80" t="str">
        <f ca="1">IFERROR(__xludf.DUMMYFUNCTION("""COMPUTED_VALUE"""),"S")</f>
        <v>S</v>
      </c>
      <c r="G745" s="80">
        <f ca="1">IFERROR(__xludf.DUMMYFUNCTION("""COMPUTED_VALUE"""),6)</f>
        <v>6</v>
      </c>
      <c r="H745" s="80" t="str">
        <f ca="1">IFERROR(__xludf.DUMMYFUNCTION("""COMPUTED_VALUE"""),"G")</f>
        <v>G</v>
      </c>
      <c r="I745" s="80">
        <f ca="1">IFERROR(__xludf.DUMMYFUNCTION("""COMPUTED_VALUE"""),7)</f>
        <v>7</v>
      </c>
      <c r="J745" s="81">
        <f ca="1">IFERROR(__xludf.DUMMYFUNCTION("""COMPUTED_VALUE"""),5)</f>
        <v>5</v>
      </c>
      <c r="K745" s="81">
        <f ca="1">IFERROR(__xludf.DUMMYFUNCTION("""COMPUTED_VALUE"""),128.3)</f>
        <v>128.30000000000001</v>
      </c>
      <c r="L745" s="81">
        <f ca="1">IFERROR(__xludf.DUMMYFUNCTION("""COMPUTED_VALUE"""),92.35)</f>
        <v>92.35</v>
      </c>
      <c r="M745" s="81"/>
      <c r="N745" s="81">
        <f ca="1">IFERROR(__xludf.DUMMYFUNCTION("""COMPUTED_VALUE"""),95.8)</f>
        <v>95.8</v>
      </c>
      <c r="O745" s="81"/>
      <c r="P745" s="81">
        <f ca="1">IFERROR(__xludf.DUMMYFUNCTION("""COMPUTED_VALUE"""),103.8)</f>
        <v>103.8</v>
      </c>
      <c r="Q745" s="81"/>
      <c r="R745" s="81">
        <f ca="1">IFERROR(__xludf.DUMMYFUNCTION("""COMPUTED_VALUE"""),128.3)</f>
        <v>128.30000000000001</v>
      </c>
      <c r="S745" s="81"/>
      <c r="T745" s="81"/>
      <c r="U745" s="82"/>
      <c r="V745" s="82"/>
      <c r="W745" s="83"/>
      <c r="X745" s="83"/>
      <c r="Y745" s="83"/>
    </row>
    <row r="746" spans="1:25" ht="13.8">
      <c r="A746" s="78" t="str">
        <f ca="1">IFERROR(__xludf.DUMMYFUNCTION("""COMPUTED_VALUE"""),"G")</f>
        <v>G</v>
      </c>
      <c r="B746" s="79" t="str">
        <f ca="1">IFERROR(__xludf.DUMMYFUNCTION("""COMPUTED_VALUE"""),"Paxton Martinez")</f>
        <v>Paxton Martinez</v>
      </c>
      <c r="C746" s="78">
        <f ca="1">IFERROR(__xludf.DUMMYFUNCTION("""COMPUTED_VALUE"""),14)</f>
        <v>14</v>
      </c>
      <c r="D746" s="78" t="str">
        <f ca="1">IFERROR(__xludf.DUMMYFUNCTION("""COMPUTED_VALUE"""),"B")</f>
        <v>B</v>
      </c>
      <c r="E746" s="80" t="str">
        <f ca="1">IFERROR(__xludf.DUMMYFUNCTION("""COMPUTED_VALUE"""),"I")</f>
        <v>I</v>
      </c>
      <c r="F746" s="80" t="str">
        <f ca="1">IFERROR(__xludf.DUMMYFUNCTION("""COMPUTED_VALUE"""),"S")</f>
        <v>S</v>
      </c>
      <c r="G746" s="80">
        <f ca="1">IFERROR(__xludf.DUMMYFUNCTION("""COMPUTED_VALUE"""),6)</f>
        <v>6</v>
      </c>
      <c r="H746" s="80" t="str">
        <f ca="1">IFERROR(__xludf.DUMMYFUNCTION("""COMPUTED_VALUE"""),"G")</f>
        <v>G</v>
      </c>
      <c r="I746" s="80">
        <f ca="1">IFERROR(__xludf.DUMMYFUNCTION("""COMPUTED_VALUE"""),7)</f>
        <v>7</v>
      </c>
      <c r="J746" s="81">
        <f ca="1">IFERROR(__xludf.DUMMYFUNCTION("""COMPUTED_VALUE"""),4)</f>
        <v>4</v>
      </c>
      <c r="K746" s="81">
        <f ca="1">IFERROR(__xludf.DUMMYFUNCTION("""COMPUTED_VALUE"""),185.35)</f>
        <v>185.35</v>
      </c>
      <c r="L746" s="81">
        <f ca="1">IFERROR(__xludf.DUMMYFUNCTION("""COMPUTED_VALUE"""),0)</f>
        <v>0</v>
      </c>
      <c r="M746" s="81"/>
      <c r="N746" s="81">
        <f ca="1">IFERROR(__xludf.DUMMYFUNCTION("""COMPUTED_VALUE"""),124.2)</f>
        <v>124.2</v>
      </c>
      <c r="O746" s="81"/>
      <c r="P746" s="81">
        <f ca="1">IFERROR(__xludf.DUMMYFUNCTION("""COMPUTED_VALUE"""),142.9)</f>
        <v>142.9</v>
      </c>
      <c r="Q746" s="81"/>
      <c r="R746" s="81">
        <f ca="1">IFERROR(__xludf.DUMMYFUNCTION("""COMPUTED_VALUE"""),185.35)</f>
        <v>185.35</v>
      </c>
      <c r="S746" s="81"/>
      <c r="T746" s="81"/>
      <c r="U746" s="82"/>
      <c r="V746" s="82"/>
      <c r="W746" s="83"/>
      <c r="X746" s="83"/>
      <c r="Y746" s="83"/>
    </row>
    <row r="747" spans="1:25" ht="13.8">
      <c r="A747" s="78" t="str">
        <f ca="1">IFERROR(__xludf.DUMMYFUNCTION("""COMPUTED_VALUE"""),"G")</f>
        <v>G</v>
      </c>
      <c r="B747" s="79" t="str">
        <f ca="1">IFERROR(__xludf.DUMMYFUNCTION("""COMPUTED_VALUE"""),"Mason Waterfield")</f>
        <v>Mason Waterfield</v>
      </c>
      <c r="C747" s="78">
        <f ca="1">IFERROR(__xludf.DUMMYFUNCTION("""COMPUTED_VALUE"""),13)</f>
        <v>13</v>
      </c>
      <c r="D747" s="78" t="str">
        <f ca="1">IFERROR(__xludf.DUMMYFUNCTION("""COMPUTED_VALUE"""),"B")</f>
        <v>B</v>
      </c>
      <c r="E747" s="80" t="str">
        <f ca="1">IFERROR(__xludf.DUMMYFUNCTION("""COMPUTED_VALUE"""),"I")</f>
        <v>I</v>
      </c>
      <c r="F747" s="80" t="str">
        <f ca="1">IFERROR(__xludf.DUMMYFUNCTION("""COMPUTED_VALUE"""),"S")</f>
        <v>S</v>
      </c>
      <c r="G747" s="80">
        <f ca="1">IFERROR(__xludf.DUMMYFUNCTION("""COMPUTED_VALUE"""),6)</f>
        <v>6</v>
      </c>
      <c r="H747" s="80" t="str">
        <f ca="1">IFERROR(__xludf.DUMMYFUNCTION("""COMPUTED_VALUE"""),"G")</f>
        <v>G</v>
      </c>
      <c r="I747" s="80">
        <f ca="1">IFERROR(__xludf.DUMMYFUNCTION("""COMPUTED_VALUE"""),7)</f>
        <v>7</v>
      </c>
      <c r="J747" s="81">
        <f ca="1">IFERROR(__xludf.DUMMYFUNCTION("""COMPUTED_VALUE"""),4)</f>
        <v>4</v>
      </c>
      <c r="K747" s="81">
        <f ca="1">IFERROR(__xludf.DUMMYFUNCTION("""COMPUTED_VALUE"""),152.55)</f>
        <v>152.55000000000001</v>
      </c>
      <c r="L747" s="81">
        <f ca="1">IFERROR(__xludf.DUMMYFUNCTION("""COMPUTED_VALUE"""),124.65)</f>
        <v>124.65</v>
      </c>
      <c r="M747" s="81"/>
      <c r="N747" s="81">
        <f ca="1">IFERROR(__xludf.DUMMYFUNCTION("""COMPUTED_VALUE"""),124.9)</f>
        <v>124.9</v>
      </c>
      <c r="O747" s="81"/>
      <c r="P747" s="81">
        <f ca="1">IFERROR(__xludf.DUMMYFUNCTION("""COMPUTED_VALUE"""),0)</f>
        <v>0</v>
      </c>
      <c r="Q747" s="81"/>
      <c r="R747" s="81">
        <f ca="1">IFERROR(__xludf.DUMMYFUNCTION("""COMPUTED_VALUE"""),152.55)</f>
        <v>152.55000000000001</v>
      </c>
      <c r="S747" s="81"/>
      <c r="T747" s="81"/>
      <c r="U747" s="82"/>
      <c r="V747" s="82"/>
      <c r="W747" s="83"/>
      <c r="X747" s="83"/>
      <c r="Y747" s="83"/>
    </row>
    <row r="748" spans="1:25" ht="13.8">
      <c r="A748" s="78" t="str">
        <f ca="1">IFERROR(__xludf.DUMMYFUNCTION("""COMPUTED_VALUE"""),"G")</f>
        <v>G</v>
      </c>
      <c r="B748" s="79" t="str">
        <f ca="1">IFERROR(__xludf.DUMMYFUNCTION("""COMPUTED_VALUE"""),"Alyse Madsen")</f>
        <v>Alyse Madsen</v>
      </c>
      <c r="C748" s="78">
        <f ca="1">IFERROR(__xludf.DUMMYFUNCTION("""COMPUTED_VALUE"""),17)</f>
        <v>17</v>
      </c>
      <c r="D748" s="78" t="str">
        <f ca="1">IFERROR(__xludf.DUMMYFUNCTION("""COMPUTED_VALUE"""),"G")</f>
        <v>G</v>
      </c>
      <c r="E748" s="80" t="str">
        <f ca="1">IFERROR(__xludf.DUMMYFUNCTION("""COMPUTED_VALUE"""),"S")</f>
        <v>S</v>
      </c>
      <c r="F748" s="80" t="str">
        <f ca="1">IFERROR(__xludf.DUMMYFUNCTION("""COMPUTED_VALUE"""),"S")</f>
        <v>S</v>
      </c>
      <c r="G748" s="80">
        <f ca="1">IFERROR(__xludf.DUMMYFUNCTION("""COMPUTED_VALUE"""),6)</f>
        <v>6</v>
      </c>
      <c r="H748" s="80" t="str">
        <f ca="1">IFERROR(__xludf.DUMMYFUNCTION("""COMPUTED_VALUE"""),"G")</f>
        <v>G</v>
      </c>
      <c r="I748" s="80">
        <f ca="1">IFERROR(__xludf.DUMMYFUNCTION("""COMPUTED_VALUE"""),8)</f>
        <v>8</v>
      </c>
      <c r="J748" s="81">
        <f ca="1">IFERROR(__xludf.DUMMYFUNCTION("""COMPUTED_VALUE"""),5)</f>
        <v>5</v>
      </c>
      <c r="K748" s="81">
        <f ca="1">IFERROR(__xludf.DUMMYFUNCTION("""COMPUTED_VALUE"""),153.65)</f>
        <v>153.65</v>
      </c>
      <c r="L748" s="81">
        <f ca="1">IFERROR(__xludf.DUMMYFUNCTION("""COMPUTED_VALUE"""),131.05)</f>
        <v>131.05000000000001</v>
      </c>
      <c r="M748" s="81"/>
      <c r="N748" s="81">
        <f ca="1">IFERROR(__xludf.DUMMYFUNCTION("""COMPUTED_VALUE"""),115.45)</f>
        <v>115.45</v>
      </c>
      <c r="O748" s="81"/>
      <c r="P748" s="81">
        <f ca="1">IFERROR(__xludf.DUMMYFUNCTION("""COMPUTED_VALUE"""),129.25)</f>
        <v>129.25</v>
      </c>
      <c r="Q748" s="81"/>
      <c r="R748" s="81">
        <f ca="1">IFERROR(__xludf.DUMMYFUNCTION("""COMPUTED_VALUE"""),153.65)</f>
        <v>153.65</v>
      </c>
      <c r="S748" s="81"/>
      <c r="T748" s="81"/>
      <c r="U748" s="82"/>
      <c r="V748" s="82"/>
      <c r="W748" s="83"/>
      <c r="X748" s="83"/>
      <c r="Y748" s="83"/>
    </row>
    <row r="749" spans="1:25" ht="13.8">
      <c r="A749" s="78" t="str">
        <f ca="1">IFERROR(__xludf.DUMMYFUNCTION("""COMPUTED_VALUE"""),"G")</f>
        <v>G</v>
      </c>
      <c r="B749" s="79" t="str">
        <f ca="1">IFERROR(__xludf.DUMMYFUNCTION("""COMPUTED_VALUE"""),"Leah Mozeleski")</f>
        <v>Leah Mozeleski</v>
      </c>
      <c r="C749" s="78">
        <f ca="1">IFERROR(__xludf.DUMMYFUNCTION("""COMPUTED_VALUE"""),16)</f>
        <v>16</v>
      </c>
      <c r="D749" s="78" t="str">
        <f ca="1">IFERROR(__xludf.DUMMYFUNCTION("""COMPUTED_VALUE"""),"G")</f>
        <v>G</v>
      </c>
      <c r="E749" s="80" t="str">
        <f ca="1">IFERROR(__xludf.DUMMYFUNCTION("""COMPUTED_VALUE"""),"S")</f>
        <v>S</v>
      </c>
      <c r="F749" s="80" t="str">
        <f ca="1">IFERROR(__xludf.DUMMYFUNCTION("""COMPUTED_VALUE"""),"S")</f>
        <v>S</v>
      </c>
      <c r="G749" s="80">
        <f ca="1">IFERROR(__xludf.DUMMYFUNCTION("""COMPUTED_VALUE"""),6)</f>
        <v>6</v>
      </c>
      <c r="H749" s="80" t="str">
        <f ca="1">IFERROR(__xludf.DUMMYFUNCTION("""COMPUTED_VALUE"""),"G")</f>
        <v>G</v>
      </c>
      <c r="I749" s="80">
        <f ca="1">IFERROR(__xludf.DUMMYFUNCTION("""COMPUTED_VALUE"""),8)</f>
        <v>8</v>
      </c>
      <c r="J749" s="81">
        <f ca="1">IFERROR(__xludf.DUMMYFUNCTION("""COMPUTED_VALUE"""),0)</f>
        <v>0</v>
      </c>
      <c r="K749" s="81">
        <f ca="1">IFERROR(__xludf.DUMMYFUNCTION("""COMPUTED_VALUE"""),0)</f>
        <v>0</v>
      </c>
      <c r="L749" s="81">
        <f ca="1">IFERROR(__xludf.DUMMYFUNCTION("""COMPUTED_VALUE"""),0)</f>
        <v>0</v>
      </c>
      <c r="M749" s="81"/>
      <c r="N749" s="81">
        <f ca="1">IFERROR(__xludf.DUMMYFUNCTION("""COMPUTED_VALUE"""),0)</f>
        <v>0</v>
      </c>
      <c r="O749" s="81"/>
      <c r="P749" s="81">
        <f ca="1">IFERROR(__xludf.DUMMYFUNCTION("""COMPUTED_VALUE"""),0)</f>
        <v>0</v>
      </c>
      <c r="Q749" s="81"/>
      <c r="R749" s="81">
        <f ca="1">IFERROR(__xludf.DUMMYFUNCTION("""COMPUTED_VALUE"""),0)</f>
        <v>0</v>
      </c>
      <c r="S749" s="81"/>
      <c r="T749" s="81"/>
      <c r="U749" s="82"/>
      <c r="V749" s="82"/>
      <c r="W749" s="83"/>
      <c r="X749" s="83"/>
      <c r="Y749" s="83"/>
    </row>
    <row r="750" spans="1:25" ht="13.8">
      <c r="A750" s="78" t="str">
        <f ca="1">IFERROR(__xludf.DUMMYFUNCTION("""COMPUTED_VALUE"""),"G")</f>
        <v>G</v>
      </c>
      <c r="B750" s="79" t="str">
        <f ca="1">IFERROR(__xludf.DUMMYFUNCTION("""COMPUTED_VALUE"""),"Virginia Portofe")</f>
        <v>Virginia Portofe</v>
      </c>
      <c r="C750" s="78">
        <f ca="1">IFERROR(__xludf.DUMMYFUNCTION("""COMPUTED_VALUE"""),15)</f>
        <v>15</v>
      </c>
      <c r="D750" s="78" t="str">
        <f ca="1">IFERROR(__xludf.DUMMYFUNCTION("""COMPUTED_VALUE"""),"G")</f>
        <v>G</v>
      </c>
      <c r="E750" s="80" t="str">
        <f ca="1">IFERROR(__xludf.DUMMYFUNCTION("""COMPUTED_VALUE"""),"S")</f>
        <v>S</v>
      </c>
      <c r="F750" s="80" t="str">
        <f ca="1">IFERROR(__xludf.DUMMYFUNCTION("""COMPUTED_VALUE"""),"S")</f>
        <v>S</v>
      </c>
      <c r="G750" s="80">
        <f ca="1">IFERROR(__xludf.DUMMYFUNCTION("""COMPUTED_VALUE"""),6)</f>
        <v>6</v>
      </c>
      <c r="H750" s="80" t="str">
        <f ca="1">IFERROR(__xludf.DUMMYFUNCTION("""COMPUTED_VALUE"""),"G")</f>
        <v>G</v>
      </c>
      <c r="I750" s="80">
        <f ca="1">IFERROR(__xludf.DUMMYFUNCTION("""COMPUTED_VALUE"""),8)</f>
        <v>8</v>
      </c>
      <c r="J750" s="81">
        <f ca="1">IFERROR(__xludf.DUMMYFUNCTION("""COMPUTED_VALUE"""),3)</f>
        <v>3</v>
      </c>
      <c r="K750" s="81">
        <f ca="1">IFERROR(__xludf.DUMMYFUNCTION("""COMPUTED_VALUE"""),122.15)</f>
        <v>122.15</v>
      </c>
      <c r="L750" s="81">
        <f ca="1">IFERROR(__xludf.DUMMYFUNCTION("""COMPUTED_VALUE"""),122.15)</f>
        <v>122.15</v>
      </c>
      <c r="M750" s="81"/>
      <c r="N750" s="81">
        <f ca="1">IFERROR(__xludf.DUMMYFUNCTION("""COMPUTED_VALUE"""),116.7)</f>
        <v>116.7</v>
      </c>
      <c r="O750" s="81"/>
      <c r="P750" s="81">
        <f ca="1">IFERROR(__xludf.DUMMYFUNCTION("""COMPUTED_VALUE"""),0)</f>
        <v>0</v>
      </c>
      <c r="Q750" s="81"/>
      <c r="R750" s="81">
        <f ca="1">IFERROR(__xludf.DUMMYFUNCTION("""COMPUTED_VALUE"""),0)</f>
        <v>0</v>
      </c>
      <c r="S750" s="81"/>
      <c r="T750" s="81"/>
      <c r="U750" s="82"/>
      <c r="V750" s="82"/>
      <c r="W750" s="83"/>
      <c r="X750" s="83"/>
      <c r="Y750" s="83"/>
    </row>
    <row r="751" spans="1:25" ht="13.8">
      <c r="A751" s="78" t="str">
        <f ca="1">IFERROR(__xludf.DUMMYFUNCTION("""COMPUTED_VALUE"""),"G")</f>
        <v>G</v>
      </c>
      <c r="B751" s="79" t="str">
        <f ca="1">IFERROR(__xludf.DUMMYFUNCTION("""COMPUTED_VALUE"""),"Hannah Quick")</f>
        <v>Hannah Quick</v>
      </c>
      <c r="C751" s="78">
        <f ca="1">IFERROR(__xludf.DUMMYFUNCTION("""COMPUTED_VALUE"""),15)</f>
        <v>15</v>
      </c>
      <c r="D751" s="78" t="str">
        <f ca="1">IFERROR(__xludf.DUMMYFUNCTION("""COMPUTED_VALUE"""),"G")</f>
        <v>G</v>
      </c>
      <c r="E751" s="80" t="str">
        <f ca="1">IFERROR(__xludf.DUMMYFUNCTION("""COMPUTED_VALUE"""),"S")</f>
        <v>S</v>
      </c>
      <c r="F751" s="80" t="str">
        <f ca="1">IFERROR(__xludf.DUMMYFUNCTION("""COMPUTED_VALUE"""),"S")</f>
        <v>S</v>
      </c>
      <c r="G751" s="80">
        <f ca="1">IFERROR(__xludf.DUMMYFUNCTION("""COMPUTED_VALUE"""),6)</f>
        <v>6</v>
      </c>
      <c r="H751" s="80" t="str">
        <f ca="1">IFERROR(__xludf.DUMMYFUNCTION("""COMPUTED_VALUE"""),"G")</f>
        <v>G</v>
      </c>
      <c r="I751" s="80">
        <f ca="1">IFERROR(__xludf.DUMMYFUNCTION("""COMPUTED_VALUE"""),8)</f>
        <v>8</v>
      </c>
      <c r="J751" s="81">
        <f ca="1">IFERROR(__xludf.DUMMYFUNCTION("""COMPUTED_VALUE"""),3)</f>
        <v>3</v>
      </c>
      <c r="K751" s="81">
        <f ca="1">IFERROR(__xludf.DUMMYFUNCTION("""COMPUTED_VALUE"""),125.25)</f>
        <v>125.25</v>
      </c>
      <c r="L751" s="81">
        <f ca="1">IFERROR(__xludf.DUMMYFUNCTION("""COMPUTED_VALUE"""),0)</f>
        <v>0</v>
      </c>
      <c r="M751" s="81"/>
      <c r="N751" s="81">
        <f ca="1">IFERROR(__xludf.DUMMYFUNCTION("""COMPUTED_VALUE"""),0)</f>
        <v>0</v>
      </c>
      <c r="O751" s="81"/>
      <c r="P751" s="81">
        <f ca="1">IFERROR(__xludf.DUMMYFUNCTION("""COMPUTED_VALUE"""),99.25)</f>
        <v>99.25</v>
      </c>
      <c r="Q751" s="81"/>
      <c r="R751" s="81">
        <f ca="1">IFERROR(__xludf.DUMMYFUNCTION("""COMPUTED_VALUE"""),125.25)</f>
        <v>125.25</v>
      </c>
      <c r="S751" s="81"/>
      <c r="T751" s="81"/>
      <c r="U751" s="82"/>
      <c r="V751" s="82"/>
      <c r="W751" s="83"/>
      <c r="X751" s="83"/>
      <c r="Y751" s="83"/>
    </row>
    <row r="752" spans="1:25" ht="13.8">
      <c r="A752" s="78" t="str">
        <f ca="1">IFERROR(__xludf.DUMMYFUNCTION("""COMPUTED_VALUE"""),"G")</f>
        <v>G</v>
      </c>
      <c r="B752" s="79" t="str">
        <f ca="1">IFERROR(__xludf.DUMMYFUNCTION("""COMPUTED_VALUE"""),"Sarah-Lane Roberts")</f>
        <v>Sarah-Lane Roberts</v>
      </c>
      <c r="C752" s="78">
        <f ca="1">IFERROR(__xludf.DUMMYFUNCTION("""COMPUTED_VALUE"""),15)</f>
        <v>15</v>
      </c>
      <c r="D752" s="78" t="str">
        <f ca="1">IFERROR(__xludf.DUMMYFUNCTION("""COMPUTED_VALUE"""),"G")</f>
        <v>G</v>
      </c>
      <c r="E752" s="80" t="str">
        <f ca="1">IFERROR(__xludf.DUMMYFUNCTION("""COMPUTED_VALUE"""),"S")</f>
        <v>S</v>
      </c>
      <c r="F752" s="80" t="str">
        <f ca="1">IFERROR(__xludf.DUMMYFUNCTION("""COMPUTED_VALUE"""),"S")</f>
        <v>S</v>
      </c>
      <c r="G752" s="80">
        <f ca="1">IFERROR(__xludf.DUMMYFUNCTION("""COMPUTED_VALUE"""),6)</f>
        <v>6</v>
      </c>
      <c r="H752" s="80" t="str">
        <f ca="1">IFERROR(__xludf.DUMMYFUNCTION("""COMPUTED_VALUE"""),"G")</f>
        <v>G</v>
      </c>
      <c r="I752" s="80">
        <f ca="1">IFERROR(__xludf.DUMMYFUNCTION("""COMPUTED_VALUE"""),8)</f>
        <v>8</v>
      </c>
      <c r="J752" s="81">
        <f ca="1">IFERROR(__xludf.DUMMYFUNCTION("""COMPUTED_VALUE"""),2)</f>
        <v>2</v>
      </c>
      <c r="K752" s="81">
        <f ca="1">IFERROR(__xludf.DUMMYFUNCTION("""COMPUTED_VALUE"""),102.05)</f>
        <v>102.05</v>
      </c>
      <c r="L752" s="81">
        <f ca="1">IFERROR(__xludf.DUMMYFUNCTION("""COMPUTED_VALUE"""),94.35)</f>
        <v>94.35</v>
      </c>
      <c r="M752" s="81"/>
      <c r="N752" s="81">
        <f ca="1">IFERROR(__xludf.DUMMYFUNCTION("""COMPUTED_VALUE"""),0)</f>
        <v>0</v>
      </c>
      <c r="O752" s="81"/>
      <c r="P752" s="81">
        <f ca="1">IFERROR(__xludf.DUMMYFUNCTION("""COMPUTED_VALUE"""),0)</f>
        <v>0</v>
      </c>
      <c r="Q752" s="81"/>
      <c r="R752" s="81">
        <f ca="1">IFERROR(__xludf.DUMMYFUNCTION("""COMPUTED_VALUE"""),102.05)</f>
        <v>102.05</v>
      </c>
      <c r="S752" s="81"/>
      <c r="T752" s="81"/>
      <c r="U752" s="82"/>
      <c r="V752" s="82"/>
      <c r="W752" s="83"/>
      <c r="X752" s="83"/>
      <c r="Y752" s="83"/>
    </row>
    <row r="753" spans="1:25" ht="13.8">
      <c r="A753" s="78" t="str">
        <f ca="1">IFERROR(__xludf.DUMMYFUNCTION("""COMPUTED_VALUE"""),"G")</f>
        <v>G</v>
      </c>
      <c r="B753" s="79" t="str">
        <f ca="1">IFERROR(__xludf.DUMMYFUNCTION("""COMPUTED_VALUE"""),"Katelyn Ruehle")</f>
        <v>Katelyn Ruehle</v>
      </c>
      <c r="C753" s="78">
        <f ca="1">IFERROR(__xludf.DUMMYFUNCTION("""COMPUTED_VALUE"""),15)</f>
        <v>15</v>
      </c>
      <c r="D753" s="78" t="str">
        <f ca="1">IFERROR(__xludf.DUMMYFUNCTION("""COMPUTED_VALUE"""),"G")</f>
        <v>G</v>
      </c>
      <c r="E753" s="80" t="str">
        <f ca="1">IFERROR(__xludf.DUMMYFUNCTION("""COMPUTED_VALUE"""),"S")</f>
        <v>S</v>
      </c>
      <c r="F753" s="80" t="str">
        <f ca="1">IFERROR(__xludf.DUMMYFUNCTION("""COMPUTED_VALUE"""),"S")</f>
        <v>S</v>
      </c>
      <c r="G753" s="80">
        <f ca="1">IFERROR(__xludf.DUMMYFUNCTION("""COMPUTED_VALUE"""),6)</f>
        <v>6</v>
      </c>
      <c r="H753" s="80" t="str">
        <f ca="1">IFERROR(__xludf.DUMMYFUNCTION("""COMPUTED_VALUE"""),"G")</f>
        <v>G</v>
      </c>
      <c r="I753" s="80">
        <f ca="1">IFERROR(__xludf.DUMMYFUNCTION("""COMPUTED_VALUE"""),8)</f>
        <v>8</v>
      </c>
      <c r="J753" s="81">
        <f ca="1">IFERROR(__xludf.DUMMYFUNCTION("""COMPUTED_VALUE"""),2)</f>
        <v>2</v>
      </c>
      <c r="K753" s="81">
        <f ca="1">IFERROR(__xludf.DUMMYFUNCTION("""COMPUTED_VALUE"""),101.75)</f>
        <v>101.75</v>
      </c>
      <c r="L753" s="81">
        <f ca="1">IFERROR(__xludf.DUMMYFUNCTION("""COMPUTED_VALUE"""),0)</f>
        <v>0</v>
      </c>
      <c r="M753" s="81"/>
      <c r="N753" s="81">
        <f ca="1">IFERROR(__xludf.DUMMYFUNCTION("""COMPUTED_VALUE"""),83.9)</f>
        <v>83.9</v>
      </c>
      <c r="O753" s="81"/>
      <c r="P753" s="81">
        <f ca="1">IFERROR(__xludf.DUMMYFUNCTION("""COMPUTED_VALUE"""),101.75)</f>
        <v>101.75</v>
      </c>
      <c r="Q753" s="81"/>
      <c r="R753" s="81">
        <f ca="1">IFERROR(__xludf.DUMMYFUNCTION("""COMPUTED_VALUE"""),0)</f>
        <v>0</v>
      </c>
      <c r="S753" s="81"/>
      <c r="T753" s="81"/>
      <c r="U753" s="82"/>
      <c r="V753" s="82"/>
      <c r="W753" s="83"/>
      <c r="X753" s="83"/>
      <c r="Y753" s="83"/>
    </row>
    <row r="754" spans="1:25" ht="13.8">
      <c r="A754" s="78" t="str">
        <f ca="1">IFERROR(__xludf.DUMMYFUNCTION("""COMPUTED_VALUE"""),"G")</f>
        <v>G</v>
      </c>
      <c r="B754" s="79" t="str">
        <f ca="1">IFERROR(__xludf.DUMMYFUNCTION("""COMPUTED_VALUE"""),"Matthew Bray")</f>
        <v>Matthew Bray</v>
      </c>
      <c r="C754" s="78">
        <f ca="1">IFERROR(__xludf.DUMMYFUNCTION("""COMPUTED_VALUE"""),16)</f>
        <v>16</v>
      </c>
      <c r="D754" s="78" t="str">
        <f ca="1">IFERROR(__xludf.DUMMYFUNCTION("""COMPUTED_VALUE"""),"B")</f>
        <v>B</v>
      </c>
      <c r="E754" s="80" t="str">
        <f ca="1">IFERROR(__xludf.DUMMYFUNCTION("""COMPUTED_VALUE"""),"S")</f>
        <v>S</v>
      </c>
      <c r="F754" s="80" t="str">
        <f ca="1">IFERROR(__xludf.DUMMYFUNCTION("""COMPUTED_VALUE"""),"S")</f>
        <v>S</v>
      </c>
      <c r="G754" s="80">
        <f ca="1">IFERROR(__xludf.DUMMYFUNCTION("""COMPUTED_VALUE"""),6)</f>
        <v>6</v>
      </c>
      <c r="H754" s="80" t="str">
        <f ca="1">IFERROR(__xludf.DUMMYFUNCTION("""COMPUTED_VALUE"""),"G")</f>
        <v>G</v>
      </c>
      <c r="I754" s="80">
        <f ca="1">IFERROR(__xludf.DUMMYFUNCTION("""COMPUTED_VALUE"""),9)</f>
        <v>9</v>
      </c>
      <c r="J754" s="81">
        <f ca="1">IFERROR(__xludf.DUMMYFUNCTION("""COMPUTED_VALUE"""),4)</f>
        <v>4</v>
      </c>
      <c r="K754" s="81">
        <f ca="1">IFERROR(__xludf.DUMMYFUNCTION("""COMPUTED_VALUE"""),266.35)</f>
        <v>266.35000000000002</v>
      </c>
      <c r="L754" s="81">
        <f ca="1">IFERROR(__xludf.DUMMYFUNCTION("""COMPUTED_VALUE"""),256)</f>
        <v>256</v>
      </c>
      <c r="M754" s="81"/>
      <c r="N754" s="81">
        <f ca="1">IFERROR(__xludf.DUMMYFUNCTION("""COMPUTED_VALUE"""),0)</f>
        <v>0</v>
      </c>
      <c r="O754" s="81"/>
      <c r="P754" s="81">
        <f ca="1">IFERROR(__xludf.DUMMYFUNCTION("""COMPUTED_VALUE"""),259.2)</f>
        <v>259.2</v>
      </c>
      <c r="Q754" s="81"/>
      <c r="R754" s="81">
        <f ca="1">IFERROR(__xludf.DUMMYFUNCTION("""COMPUTED_VALUE"""),266.35)</f>
        <v>266.35000000000002</v>
      </c>
      <c r="S754" s="81"/>
      <c r="T754" s="81"/>
      <c r="U754" s="82"/>
      <c r="V754" s="82"/>
      <c r="W754" s="83"/>
      <c r="X754" s="83"/>
      <c r="Y754" s="83"/>
    </row>
    <row r="755" spans="1:25" ht="13.8">
      <c r="A755" s="78" t="str">
        <f ca="1">IFERROR(__xludf.DUMMYFUNCTION("""COMPUTED_VALUE"""),"G")</f>
        <v>G</v>
      </c>
      <c r="B755" s="79" t="str">
        <f ca="1">IFERROR(__xludf.DUMMYFUNCTION("""COMPUTED_VALUE"""),"Hugh Gannon")</f>
        <v>Hugh Gannon</v>
      </c>
      <c r="C755" s="78">
        <f ca="1">IFERROR(__xludf.DUMMYFUNCTION("""COMPUTED_VALUE"""),19)</f>
        <v>19</v>
      </c>
      <c r="D755" s="78" t="str">
        <f ca="1">IFERROR(__xludf.DUMMYFUNCTION("""COMPUTED_VALUE"""),"B")</f>
        <v>B</v>
      </c>
      <c r="E755" s="80" t="str">
        <f ca="1">IFERROR(__xludf.DUMMYFUNCTION("""COMPUTED_VALUE"""),"S")</f>
        <v>S</v>
      </c>
      <c r="F755" s="80" t="str">
        <f ca="1">IFERROR(__xludf.DUMMYFUNCTION("""COMPUTED_VALUE"""),"S")</f>
        <v>S</v>
      </c>
      <c r="G755" s="80">
        <f ca="1">IFERROR(__xludf.DUMMYFUNCTION("""COMPUTED_VALUE"""),6)</f>
        <v>6</v>
      </c>
      <c r="H755" s="80" t="str">
        <f ca="1">IFERROR(__xludf.DUMMYFUNCTION("""COMPUTED_VALUE"""),"G")</f>
        <v>G</v>
      </c>
      <c r="I755" s="80">
        <f ca="1">IFERROR(__xludf.DUMMYFUNCTION("""COMPUTED_VALUE"""),9)</f>
        <v>9</v>
      </c>
      <c r="J755" s="81">
        <f ca="1">IFERROR(__xludf.DUMMYFUNCTION("""COMPUTED_VALUE"""),5)</f>
        <v>5</v>
      </c>
      <c r="K755" s="81">
        <f ca="1">IFERROR(__xludf.DUMMYFUNCTION("""COMPUTED_VALUE"""),185.5)</f>
        <v>185.5</v>
      </c>
      <c r="L755" s="81">
        <f ca="1">IFERROR(__xludf.DUMMYFUNCTION("""COMPUTED_VALUE"""),154.95)</f>
        <v>154.94999999999999</v>
      </c>
      <c r="M755" s="81"/>
      <c r="N755" s="81">
        <f ca="1">IFERROR(__xludf.DUMMYFUNCTION("""COMPUTED_VALUE"""),144.85)</f>
        <v>144.85</v>
      </c>
      <c r="O755" s="81"/>
      <c r="P755" s="81">
        <f ca="1">IFERROR(__xludf.DUMMYFUNCTION("""COMPUTED_VALUE"""),156.35)</f>
        <v>156.35</v>
      </c>
      <c r="Q755" s="81"/>
      <c r="R755" s="81">
        <f ca="1">IFERROR(__xludf.DUMMYFUNCTION("""COMPUTED_VALUE"""),185.5)</f>
        <v>185.5</v>
      </c>
      <c r="S755" s="81"/>
      <c r="T755" s="81"/>
      <c r="U755" s="82"/>
      <c r="V755" s="82"/>
      <c r="W755" s="83"/>
      <c r="X755" s="83"/>
      <c r="Y755" s="83"/>
    </row>
    <row r="756" spans="1:25" ht="13.8">
      <c r="A756" s="78" t="str">
        <f ca="1">IFERROR(__xludf.DUMMYFUNCTION("""COMPUTED_VALUE"""),"G")</f>
        <v>G</v>
      </c>
      <c r="B756" s="79" t="str">
        <f ca="1">IFERROR(__xludf.DUMMYFUNCTION("""COMPUTED_VALUE"""),"Wesley Green")</f>
        <v>Wesley Green</v>
      </c>
      <c r="C756" s="78">
        <f ca="1">IFERROR(__xludf.DUMMYFUNCTION("""COMPUTED_VALUE"""),18)</f>
        <v>18</v>
      </c>
      <c r="D756" s="78" t="str">
        <f ca="1">IFERROR(__xludf.DUMMYFUNCTION("""COMPUTED_VALUE"""),"B")</f>
        <v>B</v>
      </c>
      <c r="E756" s="80" t="str">
        <f ca="1">IFERROR(__xludf.DUMMYFUNCTION("""COMPUTED_VALUE"""),"S")</f>
        <v>S</v>
      </c>
      <c r="F756" s="80" t="str">
        <f ca="1">IFERROR(__xludf.DUMMYFUNCTION("""COMPUTED_VALUE"""),"S")</f>
        <v>S</v>
      </c>
      <c r="G756" s="80">
        <f ca="1">IFERROR(__xludf.DUMMYFUNCTION("""COMPUTED_VALUE"""),6)</f>
        <v>6</v>
      </c>
      <c r="H756" s="80" t="str">
        <f ca="1">IFERROR(__xludf.DUMMYFUNCTION("""COMPUTED_VALUE"""),"G")</f>
        <v>G</v>
      </c>
      <c r="I756" s="80">
        <f ca="1">IFERROR(__xludf.DUMMYFUNCTION("""COMPUTED_VALUE"""),9)</f>
        <v>9</v>
      </c>
      <c r="J756" s="81">
        <f ca="1">IFERROR(__xludf.DUMMYFUNCTION("""COMPUTED_VALUE"""),4)</f>
        <v>4</v>
      </c>
      <c r="K756" s="81">
        <f ca="1">IFERROR(__xludf.DUMMYFUNCTION("""COMPUTED_VALUE"""),154.7)</f>
        <v>154.69999999999999</v>
      </c>
      <c r="L756" s="81">
        <f ca="1">IFERROR(__xludf.DUMMYFUNCTION("""COMPUTED_VALUE"""),142.3)</f>
        <v>142.30000000000001</v>
      </c>
      <c r="M756" s="81"/>
      <c r="N756" s="81">
        <f ca="1">IFERROR(__xludf.DUMMYFUNCTION("""COMPUTED_VALUE"""),154.7)</f>
        <v>154.69999999999999</v>
      </c>
      <c r="O756" s="81"/>
      <c r="P756" s="81">
        <f ca="1">IFERROR(__xludf.DUMMYFUNCTION("""COMPUTED_VALUE"""),0)</f>
        <v>0</v>
      </c>
      <c r="Q756" s="81"/>
      <c r="R756" s="81">
        <f ca="1">IFERROR(__xludf.DUMMYFUNCTION("""COMPUTED_VALUE"""),146.7)</f>
        <v>146.69999999999999</v>
      </c>
      <c r="S756" s="81"/>
      <c r="T756" s="81"/>
      <c r="U756" s="82"/>
      <c r="V756" s="82"/>
      <c r="W756" s="83"/>
      <c r="X756" s="83"/>
      <c r="Y756" s="83"/>
    </row>
    <row r="757" spans="1:25" ht="13.8">
      <c r="A757" s="78" t="str">
        <f ca="1">IFERROR(__xludf.DUMMYFUNCTION("""COMPUTED_VALUE"""),"G")</f>
        <v>G</v>
      </c>
      <c r="B757" s="79" t="str">
        <f ca="1">IFERROR(__xludf.DUMMYFUNCTION("""COMPUTED_VALUE"""),"H K Kim")</f>
        <v>H K Kim</v>
      </c>
      <c r="C757" s="78">
        <f ca="1">IFERROR(__xludf.DUMMYFUNCTION("""COMPUTED_VALUE"""),15)</f>
        <v>15</v>
      </c>
      <c r="D757" s="78" t="str">
        <f ca="1">IFERROR(__xludf.DUMMYFUNCTION("""COMPUTED_VALUE"""),"B")</f>
        <v>B</v>
      </c>
      <c r="E757" s="80" t="str">
        <f ca="1">IFERROR(__xludf.DUMMYFUNCTION("""COMPUTED_VALUE"""),"S")</f>
        <v>S</v>
      </c>
      <c r="F757" s="80" t="str">
        <f ca="1">IFERROR(__xludf.DUMMYFUNCTION("""COMPUTED_VALUE"""),"S")</f>
        <v>S</v>
      </c>
      <c r="G757" s="80">
        <f ca="1">IFERROR(__xludf.DUMMYFUNCTION("""COMPUTED_VALUE"""),6)</f>
        <v>6</v>
      </c>
      <c r="H757" s="80" t="str">
        <f ca="1">IFERROR(__xludf.DUMMYFUNCTION("""COMPUTED_VALUE"""),"G")</f>
        <v>G</v>
      </c>
      <c r="I757" s="80">
        <f ca="1">IFERROR(__xludf.DUMMYFUNCTION("""COMPUTED_VALUE"""),9)</f>
        <v>9</v>
      </c>
      <c r="J757" s="81">
        <f ca="1">IFERROR(__xludf.DUMMYFUNCTION("""COMPUTED_VALUE"""),5)</f>
        <v>5</v>
      </c>
      <c r="K757" s="81">
        <f ca="1">IFERROR(__xludf.DUMMYFUNCTION("""COMPUTED_VALUE"""),160.75)</f>
        <v>160.75</v>
      </c>
      <c r="L757" s="81">
        <f ca="1">IFERROR(__xludf.DUMMYFUNCTION("""COMPUTED_VALUE"""),121.2)</f>
        <v>121.2</v>
      </c>
      <c r="M757" s="81"/>
      <c r="N757" s="81">
        <f ca="1">IFERROR(__xludf.DUMMYFUNCTION("""COMPUTED_VALUE"""),119.75)</f>
        <v>119.75</v>
      </c>
      <c r="O757" s="81"/>
      <c r="P757" s="81">
        <f ca="1">IFERROR(__xludf.DUMMYFUNCTION("""COMPUTED_VALUE"""),137.75)</f>
        <v>137.75</v>
      </c>
      <c r="Q757" s="81"/>
      <c r="R757" s="81">
        <f ca="1">IFERROR(__xludf.DUMMYFUNCTION("""COMPUTED_VALUE"""),160.75)</f>
        <v>160.75</v>
      </c>
      <c r="S757" s="81"/>
      <c r="T757" s="81"/>
      <c r="U757" s="82"/>
      <c r="V757" s="82"/>
      <c r="W757" s="83"/>
      <c r="X757" s="83"/>
      <c r="Y757" s="83"/>
    </row>
    <row r="758" spans="1:25" ht="13.8">
      <c r="A758" s="78" t="str">
        <f ca="1">IFERROR(__xludf.DUMMYFUNCTION("""COMPUTED_VALUE"""),"G")</f>
        <v>G</v>
      </c>
      <c r="B758" s="79" t="str">
        <f ca="1">IFERROR(__xludf.DUMMYFUNCTION("""COMPUTED_VALUE"""),"Kai Threadgill")</f>
        <v>Kai Threadgill</v>
      </c>
      <c r="C758" s="78">
        <f ca="1">IFERROR(__xludf.DUMMYFUNCTION("""COMPUTED_VALUE"""),15)</f>
        <v>15</v>
      </c>
      <c r="D758" s="78" t="str">
        <f ca="1">IFERROR(__xludf.DUMMYFUNCTION("""COMPUTED_VALUE"""),"B")</f>
        <v>B</v>
      </c>
      <c r="E758" s="80" t="str">
        <f ca="1">IFERROR(__xludf.DUMMYFUNCTION("""COMPUTED_VALUE"""),"S")</f>
        <v>S</v>
      </c>
      <c r="F758" s="80" t="str">
        <f ca="1">IFERROR(__xludf.DUMMYFUNCTION("""COMPUTED_VALUE"""),"S")</f>
        <v>S</v>
      </c>
      <c r="G758" s="80">
        <f ca="1">IFERROR(__xludf.DUMMYFUNCTION("""COMPUTED_VALUE"""),6)</f>
        <v>6</v>
      </c>
      <c r="H758" s="80" t="str">
        <f ca="1">IFERROR(__xludf.DUMMYFUNCTION("""COMPUTED_VALUE"""),"G")</f>
        <v>G</v>
      </c>
      <c r="I758" s="80">
        <f ca="1">IFERROR(__xludf.DUMMYFUNCTION("""COMPUTED_VALUE"""),9)</f>
        <v>9</v>
      </c>
      <c r="J758" s="81">
        <f ca="1">IFERROR(__xludf.DUMMYFUNCTION("""COMPUTED_VALUE"""),1)</f>
        <v>1</v>
      </c>
      <c r="K758" s="81">
        <f ca="1">IFERROR(__xludf.DUMMYFUNCTION("""COMPUTED_VALUE"""),121.6)</f>
        <v>121.6</v>
      </c>
      <c r="L758" s="81">
        <f ca="1">IFERROR(__xludf.DUMMYFUNCTION("""COMPUTED_VALUE"""),0)</f>
        <v>0</v>
      </c>
      <c r="M758" s="81"/>
      <c r="N758" s="81">
        <f ca="1">IFERROR(__xludf.DUMMYFUNCTION("""COMPUTED_VALUE"""),0)</f>
        <v>0</v>
      </c>
      <c r="O758" s="81"/>
      <c r="P758" s="81">
        <f ca="1">IFERROR(__xludf.DUMMYFUNCTION("""COMPUTED_VALUE"""),0)</f>
        <v>0</v>
      </c>
      <c r="Q758" s="81"/>
      <c r="R758" s="81">
        <f ca="1">IFERROR(__xludf.DUMMYFUNCTION("""COMPUTED_VALUE"""),121.6)</f>
        <v>121.6</v>
      </c>
      <c r="S758" s="81"/>
      <c r="T758" s="81"/>
      <c r="U758" s="82"/>
      <c r="V758" s="82"/>
      <c r="W758" s="83"/>
      <c r="X758" s="83"/>
      <c r="Y758" s="83"/>
    </row>
    <row r="759" spans="1:25" ht="13.8">
      <c r="A759" s="78" t="str">
        <f ca="1">IFERROR(__xludf.DUMMYFUNCTION("""COMPUTED_VALUE"""),"GF")</f>
        <v>GF</v>
      </c>
      <c r="B759" s="79" t="str">
        <f ca="1">IFERROR(__xludf.DUMMYFUNCTION("""COMPUTED_VALUE"""),"Ayla Asner")</f>
        <v>Ayla Asner</v>
      </c>
      <c r="C759" s="78">
        <f ca="1">IFERROR(__xludf.DUMMYFUNCTION("""COMPUTED_VALUE"""),10)</f>
        <v>10</v>
      </c>
      <c r="D759" s="78" t="str">
        <f ca="1">IFERROR(__xludf.DUMMYFUNCTION("""COMPUTED_VALUE"""),"G")</f>
        <v>G</v>
      </c>
      <c r="E759" s="80" t="str">
        <f ca="1">IFERROR(__xludf.DUMMYFUNCTION("""COMPUTED_VALUE"""),"F")</f>
        <v>F</v>
      </c>
      <c r="F759" s="80" t="str">
        <f ca="1">IFERROR(__xludf.DUMMYFUNCTION("""COMPUTED_VALUE"""),"J")</f>
        <v>J</v>
      </c>
      <c r="G759" s="80">
        <f ca="1">IFERROR(__xludf.DUMMYFUNCTION("""COMPUTED_VALUE"""),2)</f>
        <v>2</v>
      </c>
      <c r="H759" s="80" t="str">
        <f ca="1">IFERROR(__xludf.DUMMYFUNCTION("""COMPUTED_VALUE"""),"GF")</f>
        <v>GF</v>
      </c>
      <c r="I759" s="80">
        <f ca="1">IFERROR(__xludf.DUMMYFUNCTION("""COMPUTED_VALUE"""),2)</f>
        <v>2</v>
      </c>
      <c r="J759" s="81">
        <f ca="1">IFERROR(__xludf.DUMMYFUNCTION("""COMPUTED_VALUE"""),4)</f>
        <v>4</v>
      </c>
      <c r="K759" s="81">
        <f ca="1">IFERROR(__xludf.DUMMYFUNCTION("""COMPUTED_VALUE"""),42.65)</f>
        <v>42.65</v>
      </c>
      <c r="L759" s="81">
        <f ca="1">IFERROR(__xludf.DUMMYFUNCTION("""COMPUTED_VALUE"""),0)</f>
        <v>0</v>
      </c>
      <c r="M759" s="81"/>
      <c r="N759" s="81">
        <f ca="1">IFERROR(__xludf.DUMMYFUNCTION("""COMPUTED_VALUE"""),22.35)</f>
        <v>22.35</v>
      </c>
      <c r="O759" s="81"/>
      <c r="P759" s="81">
        <f ca="1">IFERROR(__xludf.DUMMYFUNCTION("""COMPUTED_VALUE"""),34.25)</f>
        <v>34.25</v>
      </c>
      <c r="Q759" s="81"/>
      <c r="R759" s="81">
        <f ca="1">IFERROR(__xludf.DUMMYFUNCTION("""COMPUTED_VALUE"""),42.65)</f>
        <v>42.65</v>
      </c>
      <c r="S759" s="81"/>
      <c r="T759" s="81"/>
      <c r="U759" s="82"/>
      <c r="V759" s="82"/>
      <c r="W759" s="83"/>
      <c r="X759" s="83"/>
      <c r="Y759" s="83"/>
    </row>
    <row r="760" spans="1:25" ht="13.8">
      <c r="A760" s="78" t="str">
        <f ca="1">IFERROR(__xludf.DUMMYFUNCTION("""COMPUTED_VALUE"""),"GF")</f>
        <v>GF</v>
      </c>
      <c r="B760" s="79" t="str">
        <f ca="1">IFERROR(__xludf.DUMMYFUNCTION("""COMPUTED_VALUE"""),"Bennett Barletta")</f>
        <v>Bennett Barletta</v>
      </c>
      <c r="C760" s="78">
        <f ca="1">IFERROR(__xludf.DUMMYFUNCTION("""COMPUTED_VALUE"""),9)</f>
        <v>9</v>
      </c>
      <c r="D760" s="78" t="str">
        <f ca="1">IFERROR(__xludf.DUMMYFUNCTION("""COMPUTED_VALUE"""),"G")</f>
        <v>G</v>
      </c>
      <c r="E760" s="80" t="str">
        <f ca="1">IFERROR(__xludf.DUMMYFUNCTION("""COMPUTED_VALUE"""),"F")</f>
        <v>F</v>
      </c>
      <c r="F760" s="80" t="str">
        <f ca="1">IFERROR(__xludf.DUMMYFUNCTION("""COMPUTED_VALUE"""),"J")</f>
        <v>J</v>
      </c>
      <c r="G760" s="80">
        <f ca="1">IFERROR(__xludf.DUMMYFUNCTION("""COMPUTED_VALUE"""),2)</f>
        <v>2</v>
      </c>
      <c r="H760" s="80" t="str">
        <f ca="1">IFERROR(__xludf.DUMMYFUNCTION("""COMPUTED_VALUE"""),"GF")</f>
        <v>GF</v>
      </c>
      <c r="I760" s="80">
        <f ca="1">IFERROR(__xludf.DUMMYFUNCTION("""COMPUTED_VALUE"""),2)</f>
        <v>2</v>
      </c>
      <c r="J760" s="81">
        <f ca="1">IFERROR(__xludf.DUMMYFUNCTION("""COMPUTED_VALUE"""),1)</f>
        <v>1</v>
      </c>
      <c r="K760" s="81">
        <f ca="1">IFERROR(__xludf.DUMMYFUNCTION("""COMPUTED_VALUE"""),34.95)</f>
        <v>34.950000000000003</v>
      </c>
      <c r="L760" s="81">
        <f ca="1">IFERROR(__xludf.DUMMYFUNCTION("""COMPUTED_VALUE"""),0)</f>
        <v>0</v>
      </c>
      <c r="M760" s="81"/>
      <c r="N760" s="81">
        <f ca="1">IFERROR(__xludf.DUMMYFUNCTION("""COMPUTED_VALUE"""),34.95)</f>
        <v>34.950000000000003</v>
      </c>
      <c r="O760" s="81"/>
      <c r="P760" s="81">
        <f ca="1">IFERROR(__xludf.DUMMYFUNCTION("""COMPUTED_VALUE"""),0)</f>
        <v>0</v>
      </c>
      <c r="Q760" s="81"/>
      <c r="R760" s="81">
        <f ca="1">IFERROR(__xludf.DUMMYFUNCTION("""COMPUTED_VALUE"""),0)</f>
        <v>0</v>
      </c>
      <c r="S760" s="81"/>
      <c r="T760" s="81"/>
      <c r="U760" s="82"/>
      <c r="V760" s="82"/>
      <c r="W760" s="83"/>
      <c r="X760" s="83"/>
      <c r="Y760" s="83"/>
    </row>
    <row r="761" spans="1:25" ht="13.8">
      <c r="A761" s="78" t="str">
        <f ca="1">IFERROR(__xludf.DUMMYFUNCTION("""COMPUTED_VALUE"""),"GF")</f>
        <v>GF</v>
      </c>
      <c r="B761" s="79" t="str">
        <f ca="1">IFERROR(__xludf.DUMMYFUNCTION("""COMPUTED_VALUE"""),"Abby Bockman")</f>
        <v>Abby Bockman</v>
      </c>
      <c r="C761" s="78">
        <f ca="1">IFERROR(__xludf.DUMMYFUNCTION("""COMPUTED_VALUE"""),6)</f>
        <v>6</v>
      </c>
      <c r="D761" s="78" t="str">
        <f ca="1">IFERROR(__xludf.DUMMYFUNCTION("""COMPUTED_VALUE"""),"G")</f>
        <v>G</v>
      </c>
      <c r="E761" s="80" t="str">
        <f ca="1">IFERROR(__xludf.DUMMYFUNCTION("""COMPUTED_VALUE"""),"F")</f>
        <v>F</v>
      </c>
      <c r="F761" s="80" t="str">
        <f ca="1">IFERROR(__xludf.DUMMYFUNCTION("""COMPUTED_VALUE"""),"J")</f>
        <v>J</v>
      </c>
      <c r="G761" s="80">
        <f ca="1">IFERROR(__xludf.DUMMYFUNCTION("""COMPUTED_VALUE"""),2)</f>
        <v>2</v>
      </c>
      <c r="H761" s="80" t="str">
        <f ca="1">IFERROR(__xludf.DUMMYFUNCTION("""COMPUTED_VALUE"""),"GF")</f>
        <v>GF</v>
      </c>
      <c r="I761" s="80">
        <f ca="1">IFERROR(__xludf.DUMMYFUNCTION("""COMPUTED_VALUE"""),2)</f>
        <v>2</v>
      </c>
      <c r="J761" s="81">
        <f ca="1">IFERROR(__xludf.DUMMYFUNCTION("""COMPUTED_VALUE"""),0)</f>
        <v>0</v>
      </c>
      <c r="K761" s="81">
        <f ca="1">IFERROR(__xludf.DUMMYFUNCTION("""COMPUTED_VALUE"""),0)</f>
        <v>0</v>
      </c>
      <c r="L761" s="81">
        <f ca="1">IFERROR(__xludf.DUMMYFUNCTION("""COMPUTED_VALUE"""),0)</f>
        <v>0</v>
      </c>
      <c r="M761" s="81"/>
      <c r="N761" s="81">
        <f ca="1">IFERROR(__xludf.DUMMYFUNCTION("""COMPUTED_VALUE"""),0)</f>
        <v>0</v>
      </c>
      <c r="O761" s="81"/>
      <c r="P761" s="81">
        <f ca="1">IFERROR(__xludf.DUMMYFUNCTION("""COMPUTED_VALUE"""),0)</f>
        <v>0</v>
      </c>
      <c r="Q761" s="81"/>
      <c r="R761" s="81">
        <f ca="1">IFERROR(__xludf.DUMMYFUNCTION("""COMPUTED_VALUE"""),0)</f>
        <v>0</v>
      </c>
      <c r="S761" s="81"/>
      <c r="T761" s="81"/>
      <c r="U761" s="82"/>
      <c r="V761" s="82"/>
      <c r="W761" s="83"/>
      <c r="X761" s="83"/>
      <c r="Y761" s="83"/>
    </row>
    <row r="762" spans="1:25" ht="13.8">
      <c r="A762" s="78" t="str">
        <f ca="1">IFERROR(__xludf.DUMMYFUNCTION("""COMPUTED_VALUE"""),"GF")</f>
        <v>GF</v>
      </c>
      <c r="B762" s="79" t="str">
        <f ca="1">IFERROR(__xludf.DUMMYFUNCTION("""COMPUTED_VALUE"""),"Mia Hansen")</f>
        <v>Mia Hansen</v>
      </c>
      <c r="C762" s="78">
        <f ca="1">IFERROR(__xludf.DUMMYFUNCTION("""COMPUTED_VALUE"""),7)</f>
        <v>7</v>
      </c>
      <c r="D762" s="78" t="str">
        <f ca="1">IFERROR(__xludf.DUMMYFUNCTION("""COMPUTED_VALUE"""),"G")</f>
        <v>G</v>
      </c>
      <c r="E762" s="80" t="str">
        <f ca="1">IFERROR(__xludf.DUMMYFUNCTION("""COMPUTED_VALUE"""),"F")</f>
        <v>F</v>
      </c>
      <c r="F762" s="80" t="str">
        <f ca="1">IFERROR(__xludf.DUMMYFUNCTION("""COMPUTED_VALUE"""),"J")</f>
        <v>J</v>
      </c>
      <c r="G762" s="80">
        <f ca="1">IFERROR(__xludf.DUMMYFUNCTION("""COMPUTED_VALUE"""),2)</f>
        <v>2</v>
      </c>
      <c r="H762" s="80" t="str">
        <f ca="1">IFERROR(__xludf.DUMMYFUNCTION("""COMPUTED_VALUE"""),"GF")</f>
        <v>GF</v>
      </c>
      <c r="I762" s="80">
        <f ca="1">IFERROR(__xludf.DUMMYFUNCTION("""COMPUTED_VALUE"""),2)</f>
        <v>2</v>
      </c>
      <c r="J762" s="81">
        <f ca="1">IFERROR(__xludf.DUMMYFUNCTION("""COMPUTED_VALUE"""),0)</f>
        <v>0</v>
      </c>
      <c r="K762" s="81">
        <f ca="1">IFERROR(__xludf.DUMMYFUNCTION("""COMPUTED_VALUE"""),0)</f>
        <v>0</v>
      </c>
      <c r="L762" s="81">
        <f ca="1">IFERROR(__xludf.DUMMYFUNCTION("""COMPUTED_VALUE"""),0)</f>
        <v>0</v>
      </c>
      <c r="M762" s="81"/>
      <c r="N762" s="81">
        <f ca="1">IFERROR(__xludf.DUMMYFUNCTION("""COMPUTED_VALUE"""),0)</f>
        <v>0</v>
      </c>
      <c r="O762" s="81"/>
      <c r="P762" s="81">
        <f ca="1">IFERROR(__xludf.DUMMYFUNCTION("""COMPUTED_VALUE"""),0)</f>
        <v>0</v>
      </c>
      <c r="Q762" s="81"/>
      <c r="R762" s="81">
        <f ca="1">IFERROR(__xludf.DUMMYFUNCTION("""COMPUTED_VALUE"""),0)</f>
        <v>0</v>
      </c>
      <c r="S762" s="81"/>
      <c r="T762" s="81"/>
      <c r="U762" s="82"/>
      <c r="V762" s="82"/>
      <c r="W762" s="83"/>
      <c r="X762" s="83"/>
      <c r="Y762" s="83"/>
    </row>
    <row r="763" spans="1:25" ht="13.8">
      <c r="A763" s="78" t="str">
        <f ca="1">IFERROR(__xludf.DUMMYFUNCTION("""COMPUTED_VALUE"""),"GF")</f>
        <v>GF</v>
      </c>
      <c r="B763" s="79" t="str">
        <f ca="1">IFERROR(__xludf.DUMMYFUNCTION("""COMPUTED_VALUE"""),"Phoebe Jeffery")</f>
        <v>Phoebe Jeffery</v>
      </c>
      <c r="C763" s="78">
        <f ca="1">IFERROR(__xludf.DUMMYFUNCTION("""COMPUTED_VALUE"""),8)</f>
        <v>8</v>
      </c>
      <c r="D763" s="78" t="str">
        <f ca="1">IFERROR(__xludf.DUMMYFUNCTION("""COMPUTED_VALUE"""),"G")</f>
        <v>G</v>
      </c>
      <c r="E763" s="80" t="str">
        <f ca="1">IFERROR(__xludf.DUMMYFUNCTION("""COMPUTED_VALUE"""),"F")</f>
        <v>F</v>
      </c>
      <c r="F763" s="80" t="str">
        <f ca="1">IFERROR(__xludf.DUMMYFUNCTION("""COMPUTED_VALUE"""),"J")</f>
        <v>J</v>
      </c>
      <c r="G763" s="80">
        <f ca="1">IFERROR(__xludf.DUMMYFUNCTION("""COMPUTED_VALUE"""),2)</f>
        <v>2</v>
      </c>
      <c r="H763" s="80" t="str">
        <f ca="1">IFERROR(__xludf.DUMMYFUNCTION("""COMPUTED_VALUE"""),"GF")</f>
        <v>GF</v>
      </c>
      <c r="I763" s="80">
        <f ca="1">IFERROR(__xludf.DUMMYFUNCTION("""COMPUTED_VALUE"""),2)</f>
        <v>2</v>
      </c>
      <c r="J763" s="81">
        <f ca="1">IFERROR(__xludf.DUMMYFUNCTION("""COMPUTED_VALUE"""),3)</f>
        <v>3</v>
      </c>
      <c r="K763" s="81">
        <f ca="1">IFERROR(__xludf.DUMMYFUNCTION("""COMPUTED_VALUE"""),46.6)</f>
        <v>46.6</v>
      </c>
      <c r="L763" s="81">
        <f ca="1">IFERROR(__xludf.DUMMYFUNCTION("""COMPUTED_VALUE"""),0)</f>
        <v>0</v>
      </c>
      <c r="M763" s="81"/>
      <c r="N763" s="81">
        <f ca="1">IFERROR(__xludf.DUMMYFUNCTION("""COMPUTED_VALUE"""),0)</f>
        <v>0</v>
      </c>
      <c r="O763" s="81"/>
      <c r="P763" s="81">
        <f ca="1">IFERROR(__xludf.DUMMYFUNCTION("""COMPUTED_VALUE"""),46.6)</f>
        <v>46.6</v>
      </c>
      <c r="Q763" s="81"/>
      <c r="R763" s="81">
        <f ca="1">IFERROR(__xludf.DUMMYFUNCTION("""COMPUTED_VALUE"""),45.2)</f>
        <v>45.2</v>
      </c>
      <c r="S763" s="81"/>
      <c r="T763" s="81"/>
      <c r="U763" s="82"/>
      <c r="V763" s="82"/>
      <c r="W763" s="83"/>
      <c r="X763" s="83"/>
      <c r="Y763" s="83"/>
    </row>
    <row r="764" spans="1:25" ht="13.8">
      <c r="A764" s="78" t="str">
        <f ca="1">IFERROR(__xludf.DUMMYFUNCTION("""COMPUTED_VALUE"""),"GF")</f>
        <v>GF</v>
      </c>
      <c r="B764" s="79" t="str">
        <f ca="1">IFERROR(__xludf.DUMMYFUNCTION("""COMPUTED_VALUE"""),"Estella Lam")</f>
        <v>Estella Lam</v>
      </c>
      <c r="C764" s="78">
        <f ca="1">IFERROR(__xludf.DUMMYFUNCTION("""COMPUTED_VALUE"""),6)</f>
        <v>6</v>
      </c>
      <c r="D764" s="78" t="str">
        <f ca="1">IFERROR(__xludf.DUMMYFUNCTION("""COMPUTED_VALUE"""),"G")</f>
        <v>G</v>
      </c>
      <c r="E764" s="80" t="str">
        <f ca="1">IFERROR(__xludf.DUMMYFUNCTION("""COMPUTED_VALUE"""),"F")</f>
        <v>F</v>
      </c>
      <c r="F764" s="80" t="str">
        <f ca="1">IFERROR(__xludf.DUMMYFUNCTION("""COMPUTED_VALUE"""),"J")</f>
        <v>J</v>
      </c>
      <c r="G764" s="80">
        <f ca="1">IFERROR(__xludf.DUMMYFUNCTION("""COMPUTED_VALUE"""),2)</f>
        <v>2</v>
      </c>
      <c r="H764" s="80" t="str">
        <f ca="1">IFERROR(__xludf.DUMMYFUNCTION("""COMPUTED_VALUE"""),"GF")</f>
        <v>GF</v>
      </c>
      <c r="I764" s="80">
        <f ca="1">IFERROR(__xludf.DUMMYFUNCTION("""COMPUTED_VALUE"""),2)</f>
        <v>2</v>
      </c>
      <c r="J764" s="81">
        <f ca="1">IFERROR(__xludf.DUMMYFUNCTION("""COMPUTED_VALUE"""),1)</f>
        <v>1</v>
      </c>
      <c r="K764" s="81">
        <f ca="1">IFERROR(__xludf.DUMMYFUNCTION("""COMPUTED_VALUE"""),0)</f>
        <v>0</v>
      </c>
      <c r="L764" s="81">
        <f ca="1">IFERROR(__xludf.DUMMYFUNCTION("""COMPUTED_VALUE"""),0)</f>
        <v>0</v>
      </c>
      <c r="M764" s="81"/>
      <c r="N764" s="81">
        <f ca="1">IFERROR(__xludf.DUMMYFUNCTION("""COMPUTED_VALUE"""),0)</f>
        <v>0</v>
      </c>
      <c r="O764" s="81"/>
      <c r="P764" s="81">
        <f ca="1">IFERROR(__xludf.DUMMYFUNCTION("""COMPUTED_VALUE"""),0)</f>
        <v>0</v>
      </c>
      <c r="Q764" s="81"/>
      <c r="R764" s="81">
        <f ca="1">IFERROR(__xludf.DUMMYFUNCTION("""COMPUTED_VALUE"""),0)</f>
        <v>0</v>
      </c>
      <c r="S764" s="81"/>
      <c r="T764" s="81"/>
      <c r="U764" s="82"/>
      <c r="V764" s="82"/>
      <c r="W764" s="83"/>
      <c r="X764" s="83"/>
      <c r="Y764" s="83"/>
    </row>
    <row r="765" spans="1:25" ht="13.8">
      <c r="A765" s="78" t="str">
        <f ca="1">IFERROR(__xludf.DUMMYFUNCTION("""COMPUTED_VALUE"""),"GF")</f>
        <v>GF</v>
      </c>
      <c r="B765" s="79" t="str">
        <f ca="1">IFERROR(__xludf.DUMMYFUNCTION("""COMPUTED_VALUE"""),"Alexa Landi")</f>
        <v>Alexa Landi</v>
      </c>
      <c r="C765" s="78">
        <f ca="1">IFERROR(__xludf.DUMMYFUNCTION("""COMPUTED_VALUE"""),10)</f>
        <v>10</v>
      </c>
      <c r="D765" s="78" t="str">
        <f ca="1">IFERROR(__xludf.DUMMYFUNCTION("""COMPUTED_VALUE"""),"G")</f>
        <v>G</v>
      </c>
      <c r="E765" s="80" t="str">
        <f ca="1">IFERROR(__xludf.DUMMYFUNCTION("""COMPUTED_VALUE"""),"F")</f>
        <v>F</v>
      </c>
      <c r="F765" s="80" t="str">
        <f ca="1">IFERROR(__xludf.DUMMYFUNCTION("""COMPUTED_VALUE"""),"J")</f>
        <v>J</v>
      </c>
      <c r="G765" s="80">
        <f ca="1">IFERROR(__xludf.DUMMYFUNCTION("""COMPUTED_VALUE"""),2)</f>
        <v>2</v>
      </c>
      <c r="H765" s="80" t="str">
        <f ca="1">IFERROR(__xludf.DUMMYFUNCTION("""COMPUTED_VALUE"""),"GF")</f>
        <v>GF</v>
      </c>
      <c r="I765" s="80">
        <f ca="1">IFERROR(__xludf.DUMMYFUNCTION("""COMPUTED_VALUE"""),2)</f>
        <v>2</v>
      </c>
      <c r="J765" s="81">
        <f ca="1">IFERROR(__xludf.DUMMYFUNCTION("""COMPUTED_VALUE"""),4)</f>
        <v>4</v>
      </c>
      <c r="K765" s="81">
        <f ca="1">IFERROR(__xludf.DUMMYFUNCTION("""COMPUTED_VALUE"""),48.1)</f>
        <v>48.1</v>
      </c>
      <c r="L765" s="81">
        <f ca="1">IFERROR(__xludf.DUMMYFUNCTION("""COMPUTED_VALUE"""),43.85)</f>
        <v>43.85</v>
      </c>
      <c r="M765" s="81"/>
      <c r="N765" s="81">
        <f ca="1">IFERROR(__xludf.DUMMYFUNCTION("""COMPUTED_VALUE"""),48.1)</f>
        <v>48.1</v>
      </c>
      <c r="O765" s="81"/>
      <c r="P765" s="81">
        <f ca="1">IFERROR(__xludf.DUMMYFUNCTION("""COMPUTED_VALUE"""),44.35)</f>
        <v>44.35</v>
      </c>
      <c r="Q765" s="81"/>
      <c r="R765" s="81">
        <f ca="1">IFERROR(__xludf.DUMMYFUNCTION("""COMPUTED_VALUE"""),0)</f>
        <v>0</v>
      </c>
      <c r="S765" s="81"/>
      <c r="T765" s="81"/>
      <c r="U765" s="82"/>
      <c r="V765" s="82"/>
      <c r="W765" s="83"/>
      <c r="X765" s="83"/>
      <c r="Y765" s="83"/>
    </row>
    <row r="766" spans="1:25" ht="13.8">
      <c r="A766" s="78" t="str">
        <f ca="1">IFERROR(__xludf.DUMMYFUNCTION("""COMPUTED_VALUE"""),"GF")</f>
        <v>GF</v>
      </c>
      <c r="B766" s="79" t="str">
        <f ca="1">IFERROR(__xludf.DUMMYFUNCTION("""COMPUTED_VALUE"""),"Amelia Lochhead")</f>
        <v>Amelia Lochhead</v>
      </c>
      <c r="C766" s="78">
        <f ca="1">IFERROR(__xludf.DUMMYFUNCTION("""COMPUTED_VALUE"""),9)</f>
        <v>9</v>
      </c>
      <c r="D766" s="78" t="str">
        <f ca="1">IFERROR(__xludf.DUMMYFUNCTION("""COMPUTED_VALUE"""),"G")</f>
        <v>G</v>
      </c>
      <c r="E766" s="80" t="str">
        <f ca="1">IFERROR(__xludf.DUMMYFUNCTION("""COMPUTED_VALUE"""),"F")</f>
        <v>F</v>
      </c>
      <c r="F766" s="80" t="str">
        <f ca="1">IFERROR(__xludf.DUMMYFUNCTION("""COMPUTED_VALUE"""),"J")</f>
        <v>J</v>
      </c>
      <c r="G766" s="80">
        <f ca="1">IFERROR(__xludf.DUMMYFUNCTION("""COMPUTED_VALUE"""),2)</f>
        <v>2</v>
      </c>
      <c r="H766" s="80" t="str">
        <f ca="1">IFERROR(__xludf.DUMMYFUNCTION("""COMPUTED_VALUE"""),"GF")</f>
        <v>GF</v>
      </c>
      <c r="I766" s="80">
        <f ca="1">IFERROR(__xludf.DUMMYFUNCTION("""COMPUTED_VALUE"""),2)</f>
        <v>2</v>
      </c>
      <c r="J766" s="81">
        <f ca="1">IFERROR(__xludf.DUMMYFUNCTION("""COMPUTED_VALUE"""),2)</f>
        <v>2</v>
      </c>
      <c r="K766" s="81">
        <f ca="1">IFERROR(__xludf.DUMMYFUNCTION("""COMPUTED_VALUE"""),43.65)</f>
        <v>43.65</v>
      </c>
      <c r="L766" s="81">
        <f ca="1">IFERROR(__xludf.DUMMYFUNCTION("""COMPUTED_VALUE"""),0)</f>
        <v>0</v>
      </c>
      <c r="M766" s="81"/>
      <c r="N766" s="81">
        <f ca="1">IFERROR(__xludf.DUMMYFUNCTION("""COMPUTED_VALUE"""),43.65)</f>
        <v>43.65</v>
      </c>
      <c r="O766" s="81"/>
      <c r="P766" s="81">
        <f ca="1">IFERROR(__xludf.DUMMYFUNCTION("""COMPUTED_VALUE"""),0)</f>
        <v>0</v>
      </c>
      <c r="Q766" s="81"/>
      <c r="R766" s="81">
        <f ca="1">IFERROR(__xludf.DUMMYFUNCTION("""COMPUTED_VALUE"""),0)</f>
        <v>0</v>
      </c>
      <c r="S766" s="81"/>
      <c r="T766" s="81"/>
      <c r="U766" s="82"/>
      <c r="V766" s="82"/>
      <c r="W766" s="83"/>
      <c r="X766" s="83"/>
      <c r="Y766" s="83"/>
    </row>
    <row r="767" spans="1:25" ht="13.8">
      <c r="A767" s="78" t="str">
        <f ca="1">IFERROR(__xludf.DUMMYFUNCTION("""COMPUTED_VALUE"""),"GF")</f>
        <v>GF</v>
      </c>
      <c r="B767" s="79" t="str">
        <f ca="1">IFERROR(__xludf.DUMMYFUNCTION("""COMPUTED_VALUE"""),"Taylor Mathey")</f>
        <v>Taylor Mathey</v>
      </c>
      <c r="C767" s="78">
        <f ca="1">IFERROR(__xludf.DUMMYFUNCTION("""COMPUTED_VALUE"""),10)</f>
        <v>10</v>
      </c>
      <c r="D767" s="78" t="str">
        <f ca="1">IFERROR(__xludf.DUMMYFUNCTION("""COMPUTED_VALUE"""),"G")</f>
        <v>G</v>
      </c>
      <c r="E767" s="80" t="str">
        <f ca="1">IFERROR(__xludf.DUMMYFUNCTION("""COMPUTED_VALUE"""),"F")</f>
        <v>F</v>
      </c>
      <c r="F767" s="80" t="str">
        <f ca="1">IFERROR(__xludf.DUMMYFUNCTION("""COMPUTED_VALUE"""),"J")</f>
        <v>J</v>
      </c>
      <c r="G767" s="80">
        <f ca="1">IFERROR(__xludf.DUMMYFUNCTION("""COMPUTED_VALUE"""),2)</f>
        <v>2</v>
      </c>
      <c r="H767" s="80" t="str">
        <f ca="1">IFERROR(__xludf.DUMMYFUNCTION("""COMPUTED_VALUE"""),"GF")</f>
        <v>GF</v>
      </c>
      <c r="I767" s="80">
        <f ca="1">IFERROR(__xludf.DUMMYFUNCTION("""COMPUTED_VALUE"""),2)</f>
        <v>2</v>
      </c>
      <c r="J767" s="81">
        <f ca="1">IFERROR(__xludf.DUMMYFUNCTION("""COMPUTED_VALUE"""),0)</f>
        <v>0</v>
      </c>
      <c r="K767" s="81">
        <f ca="1">IFERROR(__xludf.DUMMYFUNCTION("""COMPUTED_VALUE"""),0)</f>
        <v>0</v>
      </c>
      <c r="L767" s="81">
        <f ca="1">IFERROR(__xludf.DUMMYFUNCTION("""COMPUTED_VALUE"""),0)</f>
        <v>0</v>
      </c>
      <c r="M767" s="81"/>
      <c r="N767" s="81">
        <f ca="1">IFERROR(__xludf.DUMMYFUNCTION("""COMPUTED_VALUE"""),0)</f>
        <v>0</v>
      </c>
      <c r="O767" s="81"/>
      <c r="P767" s="81">
        <f ca="1">IFERROR(__xludf.DUMMYFUNCTION("""COMPUTED_VALUE"""),0)</f>
        <v>0</v>
      </c>
      <c r="Q767" s="81"/>
      <c r="R767" s="81">
        <f ca="1">IFERROR(__xludf.DUMMYFUNCTION("""COMPUTED_VALUE"""),0)</f>
        <v>0</v>
      </c>
      <c r="S767" s="81"/>
      <c r="T767" s="81"/>
      <c r="U767" s="82"/>
      <c r="V767" s="82"/>
      <c r="W767" s="83"/>
      <c r="X767" s="83"/>
      <c r="Y767" s="83"/>
    </row>
    <row r="768" spans="1:25" ht="13.8">
      <c r="A768" s="78" t="str">
        <f ca="1">IFERROR(__xludf.DUMMYFUNCTION("""COMPUTED_VALUE"""),"GF")</f>
        <v>GF</v>
      </c>
      <c r="B768" s="79" t="str">
        <f ca="1">IFERROR(__xludf.DUMMYFUNCTION("""COMPUTED_VALUE"""),"Daliyah McKimmy")</f>
        <v>Daliyah McKimmy</v>
      </c>
      <c r="C768" s="78">
        <f ca="1">IFERROR(__xludf.DUMMYFUNCTION("""COMPUTED_VALUE"""),10)</f>
        <v>10</v>
      </c>
      <c r="D768" s="78" t="str">
        <f ca="1">IFERROR(__xludf.DUMMYFUNCTION("""COMPUTED_VALUE"""),"G")</f>
        <v>G</v>
      </c>
      <c r="E768" s="80" t="str">
        <f ca="1">IFERROR(__xludf.DUMMYFUNCTION("""COMPUTED_VALUE"""),"F")</f>
        <v>F</v>
      </c>
      <c r="F768" s="80" t="str">
        <f ca="1">IFERROR(__xludf.DUMMYFUNCTION("""COMPUTED_VALUE"""),"J")</f>
        <v>J</v>
      </c>
      <c r="G768" s="80">
        <f ca="1">IFERROR(__xludf.DUMMYFUNCTION("""COMPUTED_VALUE"""),2)</f>
        <v>2</v>
      </c>
      <c r="H768" s="80" t="str">
        <f ca="1">IFERROR(__xludf.DUMMYFUNCTION("""COMPUTED_VALUE"""),"GF")</f>
        <v>GF</v>
      </c>
      <c r="I768" s="80">
        <f ca="1">IFERROR(__xludf.DUMMYFUNCTION("""COMPUTED_VALUE"""),2)</f>
        <v>2</v>
      </c>
      <c r="J768" s="81">
        <f ca="1">IFERROR(__xludf.DUMMYFUNCTION("""COMPUTED_VALUE"""),3)</f>
        <v>3</v>
      </c>
      <c r="K768" s="81">
        <f ca="1">IFERROR(__xludf.DUMMYFUNCTION("""COMPUTED_VALUE"""),38.95)</f>
        <v>38.950000000000003</v>
      </c>
      <c r="L768" s="81">
        <f ca="1">IFERROR(__xludf.DUMMYFUNCTION("""COMPUTED_VALUE"""),0)</f>
        <v>0</v>
      </c>
      <c r="M768" s="81"/>
      <c r="N768" s="81">
        <f ca="1">IFERROR(__xludf.DUMMYFUNCTION("""COMPUTED_VALUE"""),38.55)</f>
        <v>38.549999999999997</v>
      </c>
      <c r="O768" s="81"/>
      <c r="P768" s="81">
        <f ca="1">IFERROR(__xludf.DUMMYFUNCTION("""COMPUTED_VALUE"""),38.95)</f>
        <v>38.950000000000003</v>
      </c>
      <c r="Q768" s="81"/>
      <c r="R768" s="81">
        <f ca="1">IFERROR(__xludf.DUMMYFUNCTION("""COMPUTED_VALUE"""),32.2)</f>
        <v>32.200000000000003</v>
      </c>
      <c r="S768" s="81"/>
      <c r="T768" s="81"/>
      <c r="U768" s="82"/>
      <c r="V768" s="82"/>
      <c r="W768" s="83"/>
      <c r="X768" s="83"/>
      <c r="Y768" s="83"/>
    </row>
    <row r="769" spans="1:25" ht="13.8">
      <c r="A769" s="78" t="str">
        <f ca="1">IFERROR(__xludf.DUMMYFUNCTION("""COMPUTED_VALUE"""),"GF")</f>
        <v>GF</v>
      </c>
      <c r="B769" s="79" t="str">
        <f ca="1">IFERROR(__xludf.DUMMYFUNCTION("""COMPUTED_VALUE"""),"Riyah McKimmy")</f>
        <v>Riyah McKimmy</v>
      </c>
      <c r="C769" s="78">
        <f ca="1">IFERROR(__xludf.DUMMYFUNCTION("""COMPUTED_VALUE"""),9)</f>
        <v>9</v>
      </c>
      <c r="D769" s="78" t="str">
        <f ca="1">IFERROR(__xludf.DUMMYFUNCTION("""COMPUTED_VALUE"""),"G")</f>
        <v>G</v>
      </c>
      <c r="E769" s="80" t="str">
        <f ca="1">IFERROR(__xludf.DUMMYFUNCTION("""COMPUTED_VALUE"""),"F")</f>
        <v>F</v>
      </c>
      <c r="F769" s="80" t="str">
        <f ca="1">IFERROR(__xludf.DUMMYFUNCTION("""COMPUTED_VALUE"""),"J")</f>
        <v>J</v>
      </c>
      <c r="G769" s="80">
        <f ca="1">IFERROR(__xludf.DUMMYFUNCTION("""COMPUTED_VALUE"""),2)</f>
        <v>2</v>
      </c>
      <c r="H769" s="80" t="str">
        <f ca="1">IFERROR(__xludf.DUMMYFUNCTION("""COMPUTED_VALUE"""),"GF")</f>
        <v>GF</v>
      </c>
      <c r="I769" s="80">
        <f ca="1">IFERROR(__xludf.DUMMYFUNCTION("""COMPUTED_VALUE"""),2)</f>
        <v>2</v>
      </c>
      <c r="J769" s="81">
        <f ca="1">IFERROR(__xludf.DUMMYFUNCTION("""COMPUTED_VALUE"""),3)</f>
        <v>3</v>
      </c>
      <c r="K769" s="81">
        <f ca="1">IFERROR(__xludf.DUMMYFUNCTION("""COMPUTED_VALUE"""),30.35)</f>
        <v>30.35</v>
      </c>
      <c r="L769" s="81">
        <f ca="1">IFERROR(__xludf.DUMMYFUNCTION("""COMPUTED_VALUE"""),0)</f>
        <v>0</v>
      </c>
      <c r="M769" s="81"/>
      <c r="N769" s="81">
        <f ca="1">IFERROR(__xludf.DUMMYFUNCTION("""COMPUTED_VALUE"""),28.55)</f>
        <v>28.55</v>
      </c>
      <c r="O769" s="81"/>
      <c r="P769" s="81">
        <f ca="1">IFERROR(__xludf.DUMMYFUNCTION("""COMPUTED_VALUE"""),30.35)</f>
        <v>30.35</v>
      </c>
      <c r="Q769" s="81"/>
      <c r="R769" s="81">
        <f ca="1">IFERROR(__xludf.DUMMYFUNCTION("""COMPUTED_VALUE"""),28.7)</f>
        <v>28.7</v>
      </c>
      <c r="S769" s="81"/>
      <c r="T769" s="81"/>
      <c r="U769" s="82"/>
      <c r="V769" s="82"/>
      <c r="W769" s="83"/>
      <c r="X769" s="83"/>
      <c r="Y769" s="83"/>
    </row>
    <row r="770" spans="1:25" ht="13.8">
      <c r="A770" s="78" t="str">
        <f ca="1">IFERROR(__xludf.DUMMYFUNCTION("""COMPUTED_VALUE"""),"GF")</f>
        <v>GF</v>
      </c>
      <c r="B770" s="79" t="str">
        <f ca="1">IFERROR(__xludf.DUMMYFUNCTION("""COMPUTED_VALUE"""),"Nora Mekouar")</f>
        <v>Nora Mekouar</v>
      </c>
      <c r="C770" s="78">
        <f ca="1">IFERROR(__xludf.DUMMYFUNCTION("""COMPUTED_VALUE"""),8)</f>
        <v>8</v>
      </c>
      <c r="D770" s="78" t="str">
        <f ca="1">IFERROR(__xludf.DUMMYFUNCTION("""COMPUTED_VALUE"""),"G")</f>
        <v>G</v>
      </c>
      <c r="E770" s="80" t="str">
        <f ca="1">IFERROR(__xludf.DUMMYFUNCTION("""COMPUTED_VALUE"""),"F")</f>
        <v>F</v>
      </c>
      <c r="F770" s="80" t="str">
        <f ca="1">IFERROR(__xludf.DUMMYFUNCTION("""COMPUTED_VALUE"""),"J")</f>
        <v>J</v>
      </c>
      <c r="G770" s="80">
        <f ca="1">IFERROR(__xludf.DUMMYFUNCTION("""COMPUTED_VALUE"""),2)</f>
        <v>2</v>
      </c>
      <c r="H770" s="80" t="str">
        <f ca="1">IFERROR(__xludf.DUMMYFUNCTION("""COMPUTED_VALUE"""),"GF")</f>
        <v>GF</v>
      </c>
      <c r="I770" s="80">
        <f ca="1">IFERROR(__xludf.DUMMYFUNCTION("""COMPUTED_VALUE"""),2)</f>
        <v>2</v>
      </c>
      <c r="J770" s="81">
        <f ca="1">IFERROR(__xludf.DUMMYFUNCTION("""COMPUTED_VALUE"""),0)</f>
        <v>0</v>
      </c>
      <c r="K770" s="81">
        <f ca="1">IFERROR(__xludf.DUMMYFUNCTION("""COMPUTED_VALUE"""),0)</f>
        <v>0</v>
      </c>
      <c r="L770" s="81">
        <f ca="1">IFERROR(__xludf.DUMMYFUNCTION("""COMPUTED_VALUE"""),0)</f>
        <v>0</v>
      </c>
      <c r="M770" s="81"/>
      <c r="N770" s="81">
        <f ca="1">IFERROR(__xludf.DUMMYFUNCTION("""COMPUTED_VALUE"""),0)</f>
        <v>0</v>
      </c>
      <c r="O770" s="81"/>
      <c r="P770" s="81">
        <f ca="1">IFERROR(__xludf.DUMMYFUNCTION("""COMPUTED_VALUE"""),0)</f>
        <v>0</v>
      </c>
      <c r="Q770" s="81"/>
      <c r="R770" s="81">
        <f ca="1">IFERROR(__xludf.DUMMYFUNCTION("""COMPUTED_VALUE"""),0)</f>
        <v>0</v>
      </c>
      <c r="S770" s="81"/>
      <c r="T770" s="81"/>
      <c r="U770" s="82"/>
      <c r="V770" s="82"/>
      <c r="W770" s="83"/>
      <c r="X770" s="83"/>
      <c r="Y770" s="83"/>
    </row>
    <row r="771" spans="1:25" ht="13.8">
      <c r="A771" s="78" t="str">
        <f ca="1">IFERROR(__xludf.DUMMYFUNCTION("""COMPUTED_VALUE"""),"GF")</f>
        <v>GF</v>
      </c>
      <c r="B771" s="79" t="str">
        <f ca="1">IFERROR(__xludf.DUMMYFUNCTION("""COMPUTED_VALUE"""),"Olivia Meng")</f>
        <v>Olivia Meng</v>
      </c>
      <c r="C771" s="78">
        <f ca="1">IFERROR(__xludf.DUMMYFUNCTION("""COMPUTED_VALUE"""),8)</f>
        <v>8</v>
      </c>
      <c r="D771" s="78" t="str">
        <f ca="1">IFERROR(__xludf.DUMMYFUNCTION("""COMPUTED_VALUE"""),"G")</f>
        <v>G</v>
      </c>
      <c r="E771" s="80" t="str">
        <f ca="1">IFERROR(__xludf.DUMMYFUNCTION("""COMPUTED_VALUE"""),"F")</f>
        <v>F</v>
      </c>
      <c r="F771" s="80" t="str">
        <f ca="1">IFERROR(__xludf.DUMMYFUNCTION("""COMPUTED_VALUE"""),"J")</f>
        <v>J</v>
      </c>
      <c r="G771" s="80">
        <f ca="1">IFERROR(__xludf.DUMMYFUNCTION("""COMPUTED_VALUE"""),2)</f>
        <v>2</v>
      </c>
      <c r="H771" s="80" t="str">
        <f ca="1">IFERROR(__xludf.DUMMYFUNCTION("""COMPUTED_VALUE"""),"GF")</f>
        <v>GF</v>
      </c>
      <c r="I771" s="80">
        <f ca="1">IFERROR(__xludf.DUMMYFUNCTION("""COMPUTED_VALUE"""),2)</f>
        <v>2</v>
      </c>
      <c r="J771" s="81">
        <f ca="1">IFERROR(__xludf.DUMMYFUNCTION("""COMPUTED_VALUE"""),0)</f>
        <v>0</v>
      </c>
      <c r="K771" s="81">
        <f ca="1">IFERROR(__xludf.DUMMYFUNCTION("""COMPUTED_VALUE"""),0)</f>
        <v>0</v>
      </c>
      <c r="L771" s="81">
        <f ca="1">IFERROR(__xludf.DUMMYFUNCTION("""COMPUTED_VALUE"""),0)</f>
        <v>0</v>
      </c>
      <c r="M771" s="81"/>
      <c r="N771" s="81">
        <f ca="1">IFERROR(__xludf.DUMMYFUNCTION("""COMPUTED_VALUE"""),0)</f>
        <v>0</v>
      </c>
      <c r="O771" s="81"/>
      <c r="P771" s="81">
        <f ca="1">IFERROR(__xludf.DUMMYFUNCTION("""COMPUTED_VALUE"""),0)</f>
        <v>0</v>
      </c>
      <c r="Q771" s="81"/>
      <c r="R771" s="81">
        <f ca="1">IFERROR(__xludf.DUMMYFUNCTION("""COMPUTED_VALUE"""),0)</f>
        <v>0</v>
      </c>
      <c r="S771" s="81"/>
      <c r="T771" s="81"/>
      <c r="U771" s="82"/>
      <c r="V771" s="82"/>
      <c r="W771" s="83"/>
      <c r="X771" s="83"/>
      <c r="Y771" s="83"/>
    </row>
    <row r="772" spans="1:25" ht="13.8">
      <c r="A772" s="78" t="str">
        <f ca="1">IFERROR(__xludf.DUMMYFUNCTION("""COMPUTED_VALUE"""),"GF")</f>
        <v>GF</v>
      </c>
      <c r="B772" s="79" t="str">
        <f ca="1">IFERROR(__xludf.DUMMYFUNCTION("""COMPUTED_VALUE"""),"Cate Pino")</f>
        <v>Cate Pino</v>
      </c>
      <c r="C772" s="78">
        <f ca="1">IFERROR(__xludf.DUMMYFUNCTION("""COMPUTED_VALUE"""),9)</f>
        <v>9</v>
      </c>
      <c r="D772" s="78" t="str">
        <f ca="1">IFERROR(__xludf.DUMMYFUNCTION("""COMPUTED_VALUE"""),"G")</f>
        <v>G</v>
      </c>
      <c r="E772" s="80" t="str">
        <f ca="1">IFERROR(__xludf.DUMMYFUNCTION("""COMPUTED_VALUE"""),"F")</f>
        <v>F</v>
      </c>
      <c r="F772" s="80" t="str">
        <f ca="1">IFERROR(__xludf.DUMMYFUNCTION("""COMPUTED_VALUE"""),"J")</f>
        <v>J</v>
      </c>
      <c r="G772" s="80">
        <f ca="1">IFERROR(__xludf.DUMMYFUNCTION("""COMPUTED_VALUE"""),2)</f>
        <v>2</v>
      </c>
      <c r="H772" s="80" t="str">
        <f ca="1">IFERROR(__xludf.DUMMYFUNCTION("""COMPUTED_VALUE"""),"GF")</f>
        <v>GF</v>
      </c>
      <c r="I772" s="80">
        <f ca="1">IFERROR(__xludf.DUMMYFUNCTION("""COMPUTED_VALUE"""),2)</f>
        <v>2</v>
      </c>
      <c r="J772" s="81">
        <f ca="1">IFERROR(__xludf.DUMMYFUNCTION("""COMPUTED_VALUE"""),1)</f>
        <v>1</v>
      </c>
      <c r="K772" s="81">
        <f ca="1">IFERROR(__xludf.DUMMYFUNCTION("""COMPUTED_VALUE"""),33.15)</f>
        <v>33.15</v>
      </c>
      <c r="L772" s="81">
        <f ca="1">IFERROR(__xludf.DUMMYFUNCTION("""COMPUTED_VALUE"""),33.15)</f>
        <v>33.15</v>
      </c>
      <c r="M772" s="81"/>
      <c r="N772" s="81">
        <f ca="1">IFERROR(__xludf.DUMMYFUNCTION("""COMPUTED_VALUE"""),0)</f>
        <v>0</v>
      </c>
      <c r="O772" s="81"/>
      <c r="P772" s="81">
        <f ca="1">IFERROR(__xludf.DUMMYFUNCTION("""COMPUTED_VALUE"""),0)</f>
        <v>0</v>
      </c>
      <c r="Q772" s="81"/>
      <c r="R772" s="81">
        <f ca="1">IFERROR(__xludf.DUMMYFUNCTION("""COMPUTED_VALUE"""),0)</f>
        <v>0</v>
      </c>
      <c r="S772" s="81"/>
      <c r="T772" s="81"/>
      <c r="U772" s="82"/>
      <c r="V772" s="82"/>
      <c r="W772" s="83"/>
      <c r="X772" s="83"/>
      <c r="Y772" s="83"/>
    </row>
    <row r="773" spans="1:25" ht="13.8">
      <c r="A773" s="78" t="str">
        <f ca="1">IFERROR(__xludf.DUMMYFUNCTION("""COMPUTED_VALUE"""),"GF")</f>
        <v>GF</v>
      </c>
      <c r="B773" s="79" t="str">
        <f ca="1">IFERROR(__xludf.DUMMYFUNCTION("""COMPUTED_VALUE"""),"Ana Pourbabai")</f>
        <v>Ana Pourbabai</v>
      </c>
      <c r="C773" s="78">
        <f ca="1">IFERROR(__xludf.DUMMYFUNCTION("""COMPUTED_VALUE"""),9)</f>
        <v>9</v>
      </c>
      <c r="D773" s="78" t="str">
        <f ca="1">IFERROR(__xludf.DUMMYFUNCTION("""COMPUTED_VALUE"""),"G")</f>
        <v>G</v>
      </c>
      <c r="E773" s="80" t="str">
        <f ca="1">IFERROR(__xludf.DUMMYFUNCTION("""COMPUTED_VALUE"""),"F")</f>
        <v>F</v>
      </c>
      <c r="F773" s="80" t="str">
        <f ca="1">IFERROR(__xludf.DUMMYFUNCTION("""COMPUTED_VALUE"""),"J")</f>
        <v>J</v>
      </c>
      <c r="G773" s="80">
        <f ca="1">IFERROR(__xludf.DUMMYFUNCTION("""COMPUTED_VALUE"""),2)</f>
        <v>2</v>
      </c>
      <c r="H773" s="80" t="str">
        <f ca="1">IFERROR(__xludf.DUMMYFUNCTION("""COMPUTED_VALUE"""),"GF")</f>
        <v>GF</v>
      </c>
      <c r="I773" s="80">
        <f ca="1">IFERROR(__xludf.DUMMYFUNCTION("""COMPUTED_VALUE"""),2)</f>
        <v>2</v>
      </c>
      <c r="J773" s="81">
        <f ca="1">IFERROR(__xludf.DUMMYFUNCTION("""COMPUTED_VALUE"""),0)</f>
        <v>0</v>
      </c>
      <c r="K773" s="81">
        <f ca="1">IFERROR(__xludf.DUMMYFUNCTION("""COMPUTED_VALUE"""),0)</f>
        <v>0</v>
      </c>
      <c r="L773" s="81">
        <f ca="1">IFERROR(__xludf.DUMMYFUNCTION("""COMPUTED_VALUE"""),0)</f>
        <v>0</v>
      </c>
      <c r="M773" s="81"/>
      <c r="N773" s="81">
        <f ca="1">IFERROR(__xludf.DUMMYFUNCTION("""COMPUTED_VALUE"""),0)</f>
        <v>0</v>
      </c>
      <c r="O773" s="81"/>
      <c r="P773" s="81">
        <f ca="1">IFERROR(__xludf.DUMMYFUNCTION("""COMPUTED_VALUE"""),0)</f>
        <v>0</v>
      </c>
      <c r="Q773" s="81"/>
      <c r="R773" s="81">
        <f ca="1">IFERROR(__xludf.DUMMYFUNCTION("""COMPUTED_VALUE"""),0)</f>
        <v>0</v>
      </c>
      <c r="S773" s="81"/>
      <c r="T773" s="81"/>
      <c r="U773" s="82"/>
      <c r="V773" s="82"/>
      <c r="W773" s="83"/>
      <c r="X773" s="83"/>
      <c r="Y773" s="83"/>
    </row>
    <row r="774" spans="1:25" ht="13.8">
      <c r="A774" s="78" t="str">
        <f ca="1">IFERROR(__xludf.DUMMYFUNCTION("""COMPUTED_VALUE"""),"GF")</f>
        <v>GF</v>
      </c>
      <c r="B774" s="79" t="str">
        <f ca="1">IFERROR(__xludf.DUMMYFUNCTION("""COMPUTED_VALUE"""),"Ashley Sanders")</f>
        <v>Ashley Sanders</v>
      </c>
      <c r="C774" s="78">
        <f ca="1">IFERROR(__xludf.DUMMYFUNCTION("""COMPUTED_VALUE"""),8)</f>
        <v>8</v>
      </c>
      <c r="D774" s="78" t="str">
        <f ca="1">IFERROR(__xludf.DUMMYFUNCTION("""COMPUTED_VALUE"""),"G")</f>
        <v>G</v>
      </c>
      <c r="E774" s="80" t="str">
        <f ca="1">IFERROR(__xludf.DUMMYFUNCTION("""COMPUTED_VALUE"""),"F")</f>
        <v>F</v>
      </c>
      <c r="F774" s="80" t="str">
        <f ca="1">IFERROR(__xludf.DUMMYFUNCTION("""COMPUTED_VALUE"""),"J")</f>
        <v>J</v>
      </c>
      <c r="G774" s="80">
        <f ca="1">IFERROR(__xludf.DUMMYFUNCTION("""COMPUTED_VALUE"""),2)</f>
        <v>2</v>
      </c>
      <c r="H774" s="80" t="str">
        <f ca="1">IFERROR(__xludf.DUMMYFUNCTION("""COMPUTED_VALUE"""),"GF")</f>
        <v>GF</v>
      </c>
      <c r="I774" s="80">
        <f ca="1">IFERROR(__xludf.DUMMYFUNCTION("""COMPUTED_VALUE"""),2)</f>
        <v>2</v>
      </c>
      <c r="J774" s="81">
        <f ca="1">IFERROR(__xludf.DUMMYFUNCTION("""COMPUTED_VALUE"""),0)</f>
        <v>0</v>
      </c>
      <c r="K774" s="81">
        <f ca="1">IFERROR(__xludf.DUMMYFUNCTION("""COMPUTED_VALUE"""),0)</f>
        <v>0</v>
      </c>
      <c r="L774" s="81">
        <f ca="1">IFERROR(__xludf.DUMMYFUNCTION("""COMPUTED_VALUE"""),0)</f>
        <v>0</v>
      </c>
      <c r="M774" s="81"/>
      <c r="N774" s="81">
        <f ca="1">IFERROR(__xludf.DUMMYFUNCTION("""COMPUTED_VALUE"""),0)</f>
        <v>0</v>
      </c>
      <c r="O774" s="81"/>
      <c r="P774" s="81">
        <f ca="1">IFERROR(__xludf.DUMMYFUNCTION("""COMPUTED_VALUE"""),0)</f>
        <v>0</v>
      </c>
      <c r="Q774" s="81"/>
      <c r="R774" s="81">
        <f ca="1">IFERROR(__xludf.DUMMYFUNCTION("""COMPUTED_VALUE"""),0)</f>
        <v>0</v>
      </c>
      <c r="S774" s="81"/>
      <c r="T774" s="81"/>
      <c r="U774" s="82"/>
      <c r="V774" s="82"/>
      <c r="W774" s="83"/>
      <c r="X774" s="83"/>
      <c r="Y774" s="83"/>
    </row>
    <row r="775" spans="1:25" ht="13.8">
      <c r="A775" s="78" t="str">
        <f ca="1">IFERROR(__xludf.DUMMYFUNCTION("""COMPUTED_VALUE"""),"GF")</f>
        <v>GF</v>
      </c>
      <c r="B775" s="79" t="str">
        <f ca="1">IFERROR(__xludf.DUMMYFUNCTION("""COMPUTED_VALUE"""),"Byanne Shoheiber")</f>
        <v>Byanne Shoheiber</v>
      </c>
      <c r="C775" s="78">
        <f ca="1">IFERROR(__xludf.DUMMYFUNCTION("""COMPUTED_VALUE"""),9)</f>
        <v>9</v>
      </c>
      <c r="D775" s="78" t="str">
        <f ca="1">IFERROR(__xludf.DUMMYFUNCTION("""COMPUTED_VALUE"""),"G")</f>
        <v>G</v>
      </c>
      <c r="E775" s="80" t="str">
        <f ca="1">IFERROR(__xludf.DUMMYFUNCTION("""COMPUTED_VALUE"""),"F")</f>
        <v>F</v>
      </c>
      <c r="F775" s="80" t="str">
        <f ca="1">IFERROR(__xludf.DUMMYFUNCTION("""COMPUTED_VALUE"""),"J")</f>
        <v>J</v>
      </c>
      <c r="G775" s="80">
        <f ca="1">IFERROR(__xludf.DUMMYFUNCTION("""COMPUTED_VALUE"""),2)</f>
        <v>2</v>
      </c>
      <c r="H775" s="80" t="str">
        <f ca="1">IFERROR(__xludf.DUMMYFUNCTION("""COMPUTED_VALUE"""),"GF")</f>
        <v>GF</v>
      </c>
      <c r="I775" s="80">
        <f ca="1">IFERROR(__xludf.DUMMYFUNCTION("""COMPUTED_VALUE"""),2)</f>
        <v>2</v>
      </c>
      <c r="J775" s="81">
        <f ca="1">IFERROR(__xludf.DUMMYFUNCTION("""COMPUTED_VALUE"""),0)</f>
        <v>0</v>
      </c>
      <c r="K775" s="81">
        <f ca="1">IFERROR(__xludf.DUMMYFUNCTION("""COMPUTED_VALUE"""),0)</f>
        <v>0</v>
      </c>
      <c r="L775" s="81">
        <f ca="1">IFERROR(__xludf.DUMMYFUNCTION("""COMPUTED_VALUE"""),0)</f>
        <v>0</v>
      </c>
      <c r="M775" s="81"/>
      <c r="N775" s="81">
        <f ca="1">IFERROR(__xludf.DUMMYFUNCTION("""COMPUTED_VALUE"""),0)</f>
        <v>0</v>
      </c>
      <c r="O775" s="81"/>
      <c r="P775" s="81">
        <f ca="1">IFERROR(__xludf.DUMMYFUNCTION("""COMPUTED_VALUE"""),0)</f>
        <v>0</v>
      </c>
      <c r="Q775" s="81"/>
      <c r="R775" s="81">
        <f ca="1">IFERROR(__xludf.DUMMYFUNCTION("""COMPUTED_VALUE"""),0)</f>
        <v>0</v>
      </c>
      <c r="S775" s="81"/>
      <c r="T775" s="81"/>
      <c r="U775" s="82"/>
      <c r="V775" s="82"/>
      <c r="W775" s="83"/>
      <c r="X775" s="83"/>
      <c r="Y775" s="83"/>
    </row>
    <row r="776" spans="1:25" ht="13.8">
      <c r="A776" s="78" t="str">
        <f ca="1">IFERROR(__xludf.DUMMYFUNCTION("""COMPUTED_VALUE"""),"GF")</f>
        <v>GF</v>
      </c>
      <c r="B776" s="79" t="str">
        <f ca="1">IFERROR(__xludf.DUMMYFUNCTION("""COMPUTED_VALUE"""),"Heidi Stoddard")</f>
        <v>Heidi Stoddard</v>
      </c>
      <c r="C776" s="78">
        <f ca="1">IFERROR(__xludf.DUMMYFUNCTION("""COMPUTED_VALUE"""),9)</f>
        <v>9</v>
      </c>
      <c r="D776" s="78" t="str">
        <f ca="1">IFERROR(__xludf.DUMMYFUNCTION("""COMPUTED_VALUE"""),"G")</f>
        <v>G</v>
      </c>
      <c r="E776" s="80" t="str">
        <f ca="1">IFERROR(__xludf.DUMMYFUNCTION("""COMPUTED_VALUE"""),"F")</f>
        <v>F</v>
      </c>
      <c r="F776" s="80" t="str">
        <f ca="1">IFERROR(__xludf.DUMMYFUNCTION("""COMPUTED_VALUE"""),"J")</f>
        <v>J</v>
      </c>
      <c r="G776" s="80">
        <f ca="1">IFERROR(__xludf.DUMMYFUNCTION("""COMPUTED_VALUE"""),2)</f>
        <v>2</v>
      </c>
      <c r="H776" s="80" t="str">
        <f ca="1">IFERROR(__xludf.DUMMYFUNCTION("""COMPUTED_VALUE"""),"GF")</f>
        <v>GF</v>
      </c>
      <c r="I776" s="80">
        <f ca="1">IFERROR(__xludf.DUMMYFUNCTION("""COMPUTED_VALUE"""),2)</f>
        <v>2</v>
      </c>
      <c r="J776" s="81">
        <f ca="1">IFERROR(__xludf.DUMMYFUNCTION("""COMPUTED_VALUE"""),4)</f>
        <v>4</v>
      </c>
      <c r="K776" s="81">
        <f ca="1">IFERROR(__xludf.DUMMYFUNCTION("""COMPUTED_VALUE"""),42.3)</f>
        <v>42.3</v>
      </c>
      <c r="L776" s="81">
        <f ca="1">IFERROR(__xludf.DUMMYFUNCTION("""COMPUTED_VALUE"""),41.3)</f>
        <v>41.3</v>
      </c>
      <c r="M776" s="81"/>
      <c r="N776" s="81">
        <f ca="1">IFERROR(__xludf.DUMMYFUNCTION("""COMPUTED_VALUE"""),0)</f>
        <v>0</v>
      </c>
      <c r="O776" s="81"/>
      <c r="P776" s="81">
        <f ca="1">IFERROR(__xludf.DUMMYFUNCTION("""COMPUTED_VALUE"""),42.3)</f>
        <v>42.3</v>
      </c>
      <c r="Q776" s="81"/>
      <c r="R776" s="81">
        <f ca="1">IFERROR(__xludf.DUMMYFUNCTION("""COMPUTED_VALUE"""),35.75)</f>
        <v>35.75</v>
      </c>
      <c r="S776" s="81"/>
      <c r="T776" s="81"/>
      <c r="U776" s="82"/>
      <c r="V776" s="82"/>
      <c r="W776" s="83"/>
      <c r="X776" s="83"/>
      <c r="Y776" s="83"/>
    </row>
    <row r="777" spans="1:25" ht="13.8">
      <c r="A777" s="78" t="str">
        <f ca="1">IFERROR(__xludf.DUMMYFUNCTION("""COMPUTED_VALUE"""),"GF")</f>
        <v>GF</v>
      </c>
      <c r="B777" s="79" t="str">
        <f ca="1">IFERROR(__xludf.DUMMYFUNCTION("""COMPUTED_VALUE"""),"Ellie Vroom")</f>
        <v>Ellie Vroom</v>
      </c>
      <c r="C777" s="78">
        <f ca="1">IFERROR(__xludf.DUMMYFUNCTION("""COMPUTED_VALUE"""),9)</f>
        <v>9</v>
      </c>
      <c r="D777" s="78" t="str">
        <f ca="1">IFERROR(__xludf.DUMMYFUNCTION("""COMPUTED_VALUE"""),"G")</f>
        <v>G</v>
      </c>
      <c r="E777" s="80" t="str">
        <f ca="1">IFERROR(__xludf.DUMMYFUNCTION("""COMPUTED_VALUE"""),"F")</f>
        <v>F</v>
      </c>
      <c r="F777" s="80" t="str">
        <f ca="1">IFERROR(__xludf.DUMMYFUNCTION("""COMPUTED_VALUE"""),"J")</f>
        <v>J</v>
      </c>
      <c r="G777" s="80">
        <f ca="1">IFERROR(__xludf.DUMMYFUNCTION("""COMPUTED_VALUE"""),2)</f>
        <v>2</v>
      </c>
      <c r="H777" s="80" t="str">
        <f ca="1">IFERROR(__xludf.DUMMYFUNCTION("""COMPUTED_VALUE"""),"GF")</f>
        <v>GF</v>
      </c>
      <c r="I777" s="80">
        <f ca="1">IFERROR(__xludf.DUMMYFUNCTION("""COMPUTED_VALUE"""),2)</f>
        <v>2</v>
      </c>
      <c r="J777" s="81">
        <f ca="1">IFERROR(__xludf.DUMMYFUNCTION("""COMPUTED_VALUE"""),5)</f>
        <v>5</v>
      </c>
      <c r="K777" s="81">
        <f ca="1">IFERROR(__xludf.DUMMYFUNCTION("""COMPUTED_VALUE"""),69.4)</f>
        <v>69.400000000000006</v>
      </c>
      <c r="L777" s="81">
        <f ca="1">IFERROR(__xludf.DUMMYFUNCTION("""COMPUTED_VALUE"""),51.95)</f>
        <v>51.95</v>
      </c>
      <c r="M777" s="81"/>
      <c r="N777" s="81">
        <f ca="1">IFERROR(__xludf.DUMMYFUNCTION("""COMPUTED_VALUE"""),50.3)</f>
        <v>50.3</v>
      </c>
      <c r="O777" s="81"/>
      <c r="P777" s="81">
        <f ca="1">IFERROR(__xludf.DUMMYFUNCTION("""COMPUTED_VALUE"""),64.7)</f>
        <v>64.7</v>
      </c>
      <c r="Q777" s="81"/>
      <c r="R777" s="81">
        <f ca="1">IFERROR(__xludf.DUMMYFUNCTION("""COMPUTED_VALUE"""),69.4)</f>
        <v>69.400000000000006</v>
      </c>
      <c r="S777" s="81"/>
      <c r="T777" s="81"/>
      <c r="U777" s="82"/>
      <c r="V777" s="82"/>
      <c r="W777" s="83"/>
      <c r="X777" s="83"/>
      <c r="Y777" s="83"/>
    </row>
    <row r="778" spans="1:25" ht="13.8">
      <c r="A778" s="78" t="str">
        <f ca="1">IFERROR(__xludf.DUMMYFUNCTION("""COMPUTED_VALUE"""),"GF")</f>
        <v>GF</v>
      </c>
      <c r="B778" s="79" t="str">
        <f ca="1">IFERROR(__xludf.DUMMYFUNCTION("""COMPUTED_VALUE"""),"Ali Wiley-Jimenez")</f>
        <v>Ali Wiley-Jimenez</v>
      </c>
      <c r="C778" s="78">
        <f ca="1">IFERROR(__xludf.DUMMYFUNCTION("""COMPUTED_VALUE"""),8)</f>
        <v>8</v>
      </c>
      <c r="D778" s="78" t="str">
        <f ca="1">IFERROR(__xludf.DUMMYFUNCTION("""COMPUTED_VALUE"""),"G")</f>
        <v>G</v>
      </c>
      <c r="E778" s="80" t="str">
        <f ca="1">IFERROR(__xludf.DUMMYFUNCTION("""COMPUTED_VALUE"""),"F")</f>
        <v>F</v>
      </c>
      <c r="F778" s="80" t="str">
        <f ca="1">IFERROR(__xludf.DUMMYFUNCTION("""COMPUTED_VALUE"""),"J")</f>
        <v>J</v>
      </c>
      <c r="G778" s="80">
        <f ca="1">IFERROR(__xludf.DUMMYFUNCTION("""COMPUTED_VALUE"""),2)</f>
        <v>2</v>
      </c>
      <c r="H778" s="80" t="str">
        <f ca="1">IFERROR(__xludf.DUMMYFUNCTION("""COMPUTED_VALUE"""),"GF")</f>
        <v>GF</v>
      </c>
      <c r="I778" s="80">
        <f ca="1">IFERROR(__xludf.DUMMYFUNCTION("""COMPUTED_VALUE"""),2)</f>
        <v>2</v>
      </c>
      <c r="J778" s="81">
        <f ca="1">IFERROR(__xludf.DUMMYFUNCTION("""COMPUTED_VALUE"""),5)</f>
        <v>5</v>
      </c>
      <c r="K778" s="81">
        <f ca="1">IFERROR(__xludf.DUMMYFUNCTION("""COMPUTED_VALUE"""),58.45)</f>
        <v>58.45</v>
      </c>
      <c r="L778" s="81">
        <f ca="1">IFERROR(__xludf.DUMMYFUNCTION("""COMPUTED_VALUE"""),58.45)</f>
        <v>58.45</v>
      </c>
      <c r="M778" s="81"/>
      <c r="N778" s="81">
        <f ca="1">IFERROR(__xludf.DUMMYFUNCTION("""COMPUTED_VALUE"""),46.4)</f>
        <v>46.4</v>
      </c>
      <c r="O778" s="81"/>
      <c r="P778" s="81">
        <f ca="1">IFERROR(__xludf.DUMMYFUNCTION("""COMPUTED_VALUE"""),49.45)</f>
        <v>49.45</v>
      </c>
      <c r="Q778" s="81"/>
      <c r="R778" s="81">
        <f ca="1">IFERROR(__xludf.DUMMYFUNCTION("""COMPUTED_VALUE"""),48.1)</f>
        <v>48.1</v>
      </c>
      <c r="S778" s="81"/>
      <c r="T778" s="81"/>
      <c r="U778" s="82"/>
      <c r="V778" s="82"/>
      <c r="W778" s="83"/>
      <c r="X778" s="83"/>
      <c r="Y778" s="83"/>
    </row>
    <row r="779" spans="1:25" ht="13.8">
      <c r="A779" s="78" t="str">
        <f ca="1">IFERROR(__xludf.DUMMYFUNCTION("""COMPUTED_VALUE"""),"GF")</f>
        <v>GF</v>
      </c>
      <c r="B779" s="79" t="str">
        <f ca="1">IFERROR(__xludf.DUMMYFUNCTION("""COMPUTED_VALUE"""),"Ari Wiley-Jimenez")</f>
        <v>Ari Wiley-Jimenez</v>
      </c>
      <c r="C779" s="78">
        <f ca="1">IFERROR(__xludf.DUMMYFUNCTION("""COMPUTED_VALUE"""),8)</f>
        <v>8</v>
      </c>
      <c r="D779" s="78" t="str">
        <f ca="1">IFERROR(__xludf.DUMMYFUNCTION("""COMPUTED_VALUE"""),"G")</f>
        <v>G</v>
      </c>
      <c r="E779" s="80" t="str">
        <f ca="1">IFERROR(__xludf.DUMMYFUNCTION("""COMPUTED_VALUE"""),"F")</f>
        <v>F</v>
      </c>
      <c r="F779" s="80" t="str">
        <f ca="1">IFERROR(__xludf.DUMMYFUNCTION("""COMPUTED_VALUE"""),"J")</f>
        <v>J</v>
      </c>
      <c r="G779" s="80">
        <f ca="1">IFERROR(__xludf.DUMMYFUNCTION("""COMPUTED_VALUE"""),2)</f>
        <v>2</v>
      </c>
      <c r="H779" s="80" t="str">
        <f ca="1">IFERROR(__xludf.DUMMYFUNCTION("""COMPUTED_VALUE"""),"GF")</f>
        <v>GF</v>
      </c>
      <c r="I779" s="80">
        <f ca="1">IFERROR(__xludf.DUMMYFUNCTION("""COMPUTED_VALUE"""),2)</f>
        <v>2</v>
      </c>
      <c r="J779" s="81">
        <f ca="1">IFERROR(__xludf.DUMMYFUNCTION("""COMPUTED_VALUE"""),5)</f>
        <v>5</v>
      </c>
      <c r="K779" s="81">
        <f ca="1">IFERROR(__xludf.DUMMYFUNCTION("""COMPUTED_VALUE"""),59.1)</f>
        <v>59.1</v>
      </c>
      <c r="L779" s="81">
        <f ca="1">IFERROR(__xludf.DUMMYFUNCTION("""COMPUTED_VALUE"""),35.85)</f>
        <v>35.85</v>
      </c>
      <c r="M779" s="81"/>
      <c r="N779" s="81">
        <f ca="1">IFERROR(__xludf.DUMMYFUNCTION("""COMPUTED_VALUE"""),47.85)</f>
        <v>47.85</v>
      </c>
      <c r="O779" s="81"/>
      <c r="P779" s="81">
        <f ca="1">IFERROR(__xludf.DUMMYFUNCTION("""COMPUTED_VALUE"""),40.25)</f>
        <v>40.25</v>
      </c>
      <c r="Q779" s="81"/>
      <c r="R779" s="81">
        <f ca="1">IFERROR(__xludf.DUMMYFUNCTION("""COMPUTED_VALUE"""),59.1)</f>
        <v>59.1</v>
      </c>
      <c r="S779" s="81"/>
      <c r="T779" s="81"/>
      <c r="U779" s="82"/>
      <c r="V779" s="82"/>
      <c r="W779" s="83"/>
      <c r="X779" s="83"/>
      <c r="Y779" s="83"/>
    </row>
    <row r="780" spans="1:25" ht="13.8">
      <c r="A780" s="78" t="str">
        <f ca="1">IFERROR(__xludf.DUMMYFUNCTION("""COMPUTED_VALUE"""),"GF")</f>
        <v>GF</v>
      </c>
      <c r="B780" s="79" t="str">
        <f ca="1">IFERROR(__xludf.DUMMYFUNCTION("""COMPUTED_VALUE"""),"Nikolas Aucoin")</f>
        <v>Nikolas Aucoin</v>
      </c>
      <c r="C780" s="78">
        <f ca="1">IFERROR(__xludf.DUMMYFUNCTION("""COMPUTED_VALUE"""),10)</f>
        <v>10</v>
      </c>
      <c r="D780" s="78" t="str">
        <f ca="1">IFERROR(__xludf.DUMMYFUNCTION("""COMPUTED_VALUE"""),"B")</f>
        <v>B</v>
      </c>
      <c r="E780" s="80" t="str">
        <f ca="1">IFERROR(__xludf.DUMMYFUNCTION("""COMPUTED_VALUE"""),"F")</f>
        <v>F</v>
      </c>
      <c r="F780" s="80" t="str">
        <f ca="1">IFERROR(__xludf.DUMMYFUNCTION("""COMPUTED_VALUE"""),"J")</f>
        <v>J</v>
      </c>
      <c r="G780" s="80">
        <f ca="1">IFERROR(__xludf.DUMMYFUNCTION("""COMPUTED_VALUE"""),2)</f>
        <v>2</v>
      </c>
      <c r="H780" s="80" t="str">
        <f ca="1">IFERROR(__xludf.DUMMYFUNCTION("""COMPUTED_VALUE"""),"GF")</f>
        <v>GF</v>
      </c>
      <c r="I780" s="80">
        <f ca="1">IFERROR(__xludf.DUMMYFUNCTION("""COMPUTED_VALUE"""),3)</f>
        <v>3</v>
      </c>
      <c r="J780" s="81">
        <f ca="1">IFERROR(__xludf.DUMMYFUNCTION("""COMPUTED_VALUE"""),0)</f>
        <v>0</v>
      </c>
      <c r="K780" s="81">
        <f ca="1">IFERROR(__xludf.DUMMYFUNCTION("""COMPUTED_VALUE"""),0)</f>
        <v>0</v>
      </c>
      <c r="L780" s="81">
        <f ca="1">IFERROR(__xludf.DUMMYFUNCTION("""COMPUTED_VALUE"""),0)</f>
        <v>0</v>
      </c>
      <c r="M780" s="81"/>
      <c r="N780" s="81">
        <f ca="1">IFERROR(__xludf.DUMMYFUNCTION("""COMPUTED_VALUE"""),0)</f>
        <v>0</v>
      </c>
      <c r="O780" s="81"/>
      <c r="P780" s="81">
        <f ca="1">IFERROR(__xludf.DUMMYFUNCTION("""COMPUTED_VALUE"""),0)</f>
        <v>0</v>
      </c>
      <c r="Q780" s="81"/>
      <c r="R780" s="81">
        <f ca="1">IFERROR(__xludf.DUMMYFUNCTION("""COMPUTED_VALUE"""),0)</f>
        <v>0</v>
      </c>
      <c r="S780" s="81"/>
      <c r="T780" s="81"/>
      <c r="U780" s="82"/>
      <c r="V780" s="82"/>
      <c r="W780" s="83"/>
      <c r="X780" s="83"/>
      <c r="Y780" s="83"/>
    </row>
    <row r="781" spans="1:25" ht="13.8">
      <c r="A781" s="78" t="str">
        <f ca="1">IFERROR(__xludf.DUMMYFUNCTION("""COMPUTED_VALUE"""),"GF")</f>
        <v>GF</v>
      </c>
      <c r="B781" s="79" t="str">
        <f ca="1">IFERROR(__xludf.DUMMYFUNCTION("""COMPUTED_VALUE"""),"Thomas Barletta")</f>
        <v>Thomas Barletta</v>
      </c>
      <c r="C781" s="78">
        <f ca="1">IFERROR(__xludf.DUMMYFUNCTION("""COMPUTED_VALUE"""),7)</f>
        <v>7</v>
      </c>
      <c r="D781" s="78" t="str">
        <f ca="1">IFERROR(__xludf.DUMMYFUNCTION("""COMPUTED_VALUE"""),"B")</f>
        <v>B</v>
      </c>
      <c r="E781" s="80" t="str">
        <f ca="1">IFERROR(__xludf.DUMMYFUNCTION("""COMPUTED_VALUE"""),"F")</f>
        <v>F</v>
      </c>
      <c r="F781" s="80" t="str">
        <f ca="1">IFERROR(__xludf.DUMMYFUNCTION("""COMPUTED_VALUE"""),"J")</f>
        <v>J</v>
      </c>
      <c r="G781" s="80">
        <f ca="1">IFERROR(__xludf.DUMMYFUNCTION("""COMPUTED_VALUE"""),2)</f>
        <v>2</v>
      </c>
      <c r="H781" s="80" t="str">
        <f ca="1">IFERROR(__xludf.DUMMYFUNCTION("""COMPUTED_VALUE"""),"GF")</f>
        <v>GF</v>
      </c>
      <c r="I781" s="80">
        <f ca="1">IFERROR(__xludf.DUMMYFUNCTION("""COMPUTED_VALUE"""),3)</f>
        <v>3</v>
      </c>
      <c r="J781" s="81">
        <f ca="1">IFERROR(__xludf.DUMMYFUNCTION("""COMPUTED_VALUE"""),0)</f>
        <v>0</v>
      </c>
      <c r="K781" s="81">
        <f ca="1">IFERROR(__xludf.DUMMYFUNCTION("""COMPUTED_VALUE"""),0)</f>
        <v>0</v>
      </c>
      <c r="L781" s="81">
        <f ca="1">IFERROR(__xludf.DUMMYFUNCTION("""COMPUTED_VALUE"""),0)</f>
        <v>0</v>
      </c>
      <c r="M781" s="81"/>
      <c r="N781" s="81">
        <f ca="1">IFERROR(__xludf.DUMMYFUNCTION("""COMPUTED_VALUE"""),0)</f>
        <v>0</v>
      </c>
      <c r="O781" s="81"/>
      <c r="P781" s="81">
        <f ca="1">IFERROR(__xludf.DUMMYFUNCTION("""COMPUTED_VALUE"""),0)</f>
        <v>0</v>
      </c>
      <c r="Q781" s="81"/>
      <c r="R781" s="81">
        <f ca="1">IFERROR(__xludf.DUMMYFUNCTION("""COMPUTED_VALUE"""),0)</f>
        <v>0</v>
      </c>
      <c r="S781" s="81"/>
      <c r="T781" s="81"/>
      <c r="U781" s="82"/>
      <c r="V781" s="82"/>
      <c r="W781" s="83"/>
      <c r="X781" s="83"/>
      <c r="Y781" s="83"/>
    </row>
    <row r="782" spans="1:25" ht="13.8">
      <c r="A782" s="78" t="str">
        <f ca="1">IFERROR(__xludf.DUMMYFUNCTION("""COMPUTED_VALUE"""),"GF")</f>
        <v>GF</v>
      </c>
      <c r="B782" s="79" t="str">
        <f ca="1">IFERROR(__xludf.DUMMYFUNCTION("""COMPUTED_VALUE"""),"Eli Bockman")</f>
        <v>Eli Bockman</v>
      </c>
      <c r="C782" s="78">
        <f ca="1">IFERROR(__xludf.DUMMYFUNCTION("""COMPUTED_VALUE"""),9)</f>
        <v>9</v>
      </c>
      <c r="D782" s="78" t="str">
        <f ca="1">IFERROR(__xludf.DUMMYFUNCTION("""COMPUTED_VALUE"""),"B")</f>
        <v>B</v>
      </c>
      <c r="E782" s="80" t="str">
        <f ca="1">IFERROR(__xludf.DUMMYFUNCTION("""COMPUTED_VALUE"""),"F")</f>
        <v>F</v>
      </c>
      <c r="F782" s="80" t="str">
        <f ca="1">IFERROR(__xludf.DUMMYFUNCTION("""COMPUTED_VALUE"""),"J")</f>
        <v>J</v>
      </c>
      <c r="G782" s="80">
        <f ca="1">IFERROR(__xludf.DUMMYFUNCTION("""COMPUTED_VALUE"""),2)</f>
        <v>2</v>
      </c>
      <c r="H782" s="80" t="str">
        <f ca="1">IFERROR(__xludf.DUMMYFUNCTION("""COMPUTED_VALUE"""),"GF")</f>
        <v>GF</v>
      </c>
      <c r="I782" s="80">
        <f ca="1">IFERROR(__xludf.DUMMYFUNCTION("""COMPUTED_VALUE"""),3)</f>
        <v>3</v>
      </c>
      <c r="J782" s="81">
        <f ca="1">IFERROR(__xludf.DUMMYFUNCTION("""COMPUTED_VALUE"""),3)</f>
        <v>3</v>
      </c>
      <c r="K782" s="81">
        <f ca="1">IFERROR(__xludf.DUMMYFUNCTION("""COMPUTED_VALUE"""),57.25)</f>
        <v>57.25</v>
      </c>
      <c r="L782" s="81">
        <f ca="1">IFERROR(__xludf.DUMMYFUNCTION("""COMPUTED_VALUE"""),0)</f>
        <v>0</v>
      </c>
      <c r="M782" s="81"/>
      <c r="N782" s="81">
        <f ca="1">IFERROR(__xludf.DUMMYFUNCTION("""COMPUTED_VALUE"""),0)</f>
        <v>0</v>
      </c>
      <c r="O782" s="81"/>
      <c r="P782" s="81">
        <f ca="1">IFERROR(__xludf.DUMMYFUNCTION("""COMPUTED_VALUE"""),50.9)</f>
        <v>50.9</v>
      </c>
      <c r="Q782" s="81"/>
      <c r="R782" s="81">
        <f ca="1">IFERROR(__xludf.DUMMYFUNCTION("""COMPUTED_VALUE"""),57.25)</f>
        <v>57.25</v>
      </c>
      <c r="S782" s="81"/>
      <c r="T782" s="81"/>
      <c r="U782" s="82"/>
      <c r="V782" s="82"/>
      <c r="W782" s="83"/>
      <c r="X782" s="83"/>
      <c r="Y782" s="83"/>
    </row>
    <row r="783" spans="1:25" ht="13.8">
      <c r="A783" s="78" t="str">
        <f ca="1">IFERROR(__xludf.DUMMYFUNCTION("""COMPUTED_VALUE"""),"GF")</f>
        <v>GF</v>
      </c>
      <c r="B783" s="79" t="str">
        <f ca="1">IFERROR(__xludf.DUMMYFUNCTION("""COMPUTED_VALUE"""),"Harper Clayton")</f>
        <v>Harper Clayton</v>
      </c>
      <c r="C783" s="78">
        <f ca="1">IFERROR(__xludf.DUMMYFUNCTION("""COMPUTED_VALUE"""),7)</f>
        <v>7</v>
      </c>
      <c r="D783" s="78" t="str">
        <f ca="1">IFERROR(__xludf.DUMMYFUNCTION("""COMPUTED_VALUE"""),"B")</f>
        <v>B</v>
      </c>
      <c r="E783" s="80" t="str">
        <f ca="1">IFERROR(__xludf.DUMMYFUNCTION("""COMPUTED_VALUE"""),"F")</f>
        <v>F</v>
      </c>
      <c r="F783" s="80" t="str">
        <f ca="1">IFERROR(__xludf.DUMMYFUNCTION("""COMPUTED_VALUE"""),"J")</f>
        <v>J</v>
      </c>
      <c r="G783" s="80">
        <f ca="1">IFERROR(__xludf.DUMMYFUNCTION("""COMPUTED_VALUE"""),2)</f>
        <v>2</v>
      </c>
      <c r="H783" s="80" t="str">
        <f ca="1">IFERROR(__xludf.DUMMYFUNCTION("""COMPUTED_VALUE"""),"GF")</f>
        <v>GF</v>
      </c>
      <c r="I783" s="80">
        <f ca="1">IFERROR(__xludf.DUMMYFUNCTION("""COMPUTED_VALUE"""),3)</f>
        <v>3</v>
      </c>
      <c r="J783" s="81">
        <f ca="1">IFERROR(__xludf.DUMMYFUNCTION("""COMPUTED_VALUE"""),0)</f>
        <v>0</v>
      </c>
      <c r="K783" s="81">
        <f ca="1">IFERROR(__xludf.DUMMYFUNCTION("""COMPUTED_VALUE"""),0)</f>
        <v>0</v>
      </c>
      <c r="L783" s="81">
        <f ca="1">IFERROR(__xludf.DUMMYFUNCTION("""COMPUTED_VALUE"""),0)</f>
        <v>0</v>
      </c>
      <c r="M783" s="81"/>
      <c r="N783" s="81">
        <f ca="1">IFERROR(__xludf.DUMMYFUNCTION("""COMPUTED_VALUE"""),0)</f>
        <v>0</v>
      </c>
      <c r="O783" s="81"/>
      <c r="P783" s="81">
        <f ca="1">IFERROR(__xludf.DUMMYFUNCTION("""COMPUTED_VALUE"""),0)</f>
        <v>0</v>
      </c>
      <c r="Q783" s="81"/>
      <c r="R783" s="81">
        <f ca="1">IFERROR(__xludf.DUMMYFUNCTION("""COMPUTED_VALUE"""),0)</f>
        <v>0</v>
      </c>
      <c r="S783" s="81"/>
      <c r="T783" s="81"/>
      <c r="U783" s="82"/>
      <c r="V783" s="82"/>
      <c r="W783" s="83"/>
      <c r="X783" s="83"/>
      <c r="Y783" s="83"/>
    </row>
    <row r="784" spans="1:25" ht="13.8">
      <c r="A784" s="78" t="str">
        <f ca="1">IFERROR(__xludf.DUMMYFUNCTION("""COMPUTED_VALUE"""),"GF")</f>
        <v>GF</v>
      </c>
      <c r="B784" s="79" t="str">
        <f ca="1">IFERROR(__xludf.DUMMYFUNCTION("""COMPUTED_VALUE"""),"Sasha Gilstrap")</f>
        <v>Sasha Gilstrap</v>
      </c>
      <c r="C784" s="78">
        <f ca="1">IFERROR(__xludf.DUMMYFUNCTION("""COMPUTED_VALUE"""),7)</f>
        <v>7</v>
      </c>
      <c r="D784" s="78" t="str">
        <f ca="1">IFERROR(__xludf.DUMMYFUNCTION("""COMPUTED_VALUE"""),"B")</f>
        <v>B</v>
      </c>
      <c r="E784" s="80" t="str">
        <f ca="1">IFERROR(__xludf.DUMMYFUNCTION("""COMPUTED_VALUE"""),"F")</f>
        <v>F</v>
      </c>
      <c r="F784" s="80" t="str">
        <f ca="1">IFERROR(__xludf.DUMMYFUNCTION("""COMPUTED_VALUE"""),"J")</f>
        <v>J</v>
      </c>
      <c r="G784" s="80">
        <f ca="1">IFERROR(__xludf.DUMMYFUNCTION("""COMPUTED_VALUE"""),2)</f>
        <v>2</v>
      </c>
      <c r="H784" s="80" t="str">
        <f ca="1">IFERROR(__xludf.DUMMYFUNCTION("""COMPUTED_VALUE"""),"GF")</f>
        <v>GF</v>
      </c>
      <c r="I784" s="80">
        <f ca="1">IFERROR(__xludf.DUMMYFUNCTION("""COMPUTED_VALUE"""),3)</f>
        <v>3</v>
      </c>
      <c r="J784" s="81">
        <f ca="1">IFERROR(__xludf.DUMMYFUNCTION("""COMPUTED_VALUE"""),0)</f>
        <v>0</v>
      </c>
      <c r="K784" s="81">
        <f ca="1">IFERROR(__xludf.DUMMYFUNCTION("""COMPUTED_VALUE"""),0)</f>
        <v>0</v>
      </c>
      <c r="L784" s="81">
        <f ca="1">IFERROR(__xludf.DUMMYFUNCTION("""COMPUTED_VALUE"""),0)</f>
        <v>0</v>
      </c>
      <c r="M784" s="81"/>
      <c r="N784" s="81">
        <f ca="1">IFERROR(__xludf.DUMMYFUNCTION("""COMPUTED_VALUE"""),0)</f>
        <v>0</v>
      </c>
      <c r="O784" s="81"/>
      <c r="P784" s="81">
        <f ca="1">IFERROR(__xludf.DUMMYFUNCTION("""COMPUTED_VALUE"""),0)</f>
        <v>0</v>
      </c>
      <c r="Q784" s="81"/>
      <c r="R784" s="81">
        <f ca="1">IFERROR(__xludf.DUMMYFUNCTION("""COMPUTED_VALUE"""),0)</f>
        <v>0</v>
      </c>
      <c r="S784" s="81"/>
      <c r="T784" s="81"/>
      <c r="U784" s="82"/>
      <c r="V784" s="82"/>
      <c r="W784" s="83"/>
      <c r="X784" s="83"/>
      <c r="Y784" s="83"/>
    </row>
    <row r="785" spans="1:25" ht="13.8">
      <c r="A785" s="78" t="str">
        <f ca="1">IFERROR(__xludf.DUMMYFUNCTION("""COMPUTED_VALUE"""),"GF")</f>
        <v>GF</v>
      </c>
      <c r="B785" s="79" t="str">
        <f ca="1">IFERROR(__xludf.DUMMYFUNCTION("""COMPUTED_VALUE"""),"William Jeffery")</f>
        <v>William Jeffery</v>
      </c>
      <c r="C785" s="78">
        <f ca="1">IFERROR(__xludf.DUMMYFUNCTION("""COMPUTED_VALUE"""),6)</f>
        <v>6</v>
      </c>
      <c r="D785" s="78" t="str">
        <f ca="1">IFERROR(__xludf.DUMMYFUNCTION("""COMPUTED_VALUE"""),"B")</f>
        <v>B</v>
      </c>
      <c r="E785" s="80" t="str">
        <f ca="1">IFERROR(__xludf.DUMMYFUNCTION("""COMPUTED_VALUE"""),"F")</f>
        <v>F</v>
      </c>
      <c r="F785" s="80" t="str">
        <f ca="1">IFERROR(__xludf.DUMMYFUNCTION("""COMPUTED_VALUE"""),"J")</f>
        <v>J</v>
      </c>
      <c r="G785" s="80">
        <f ca="1">IFERROR(__xludf.DUMMYFUNCTION("""COMPUTED_VALUE"""),2)</f>
        <v>2</v>
      </c>
      <c r="H785" s="80" t="str">
        <f ca="1">IFERROR(__xludf.DUMMYFUNCTION("""COMPUTED_VALUE"""),"GF")</f>
        <v>GF</v>
      </c>
      <c r="I785" s="80">
        <f ca="1">IFERROR(__xludf.DUMMYFUNCTION("""COMPUTED_VALUE"""),3)</f>
        <v>3</v>
      </c>
      <c r="J785" s="81">
        <f ca="1">IFERROR(__xludf.DUMMYFUNCTION("""COMPUTED_VALUE"""),2)</f>
        <v>2</v>
      </c>
      <c r="K785" s="81">
        <f ca="1">IFERROR(__xludf.DUMMYFUNCTION("""COMPUTED_VALUE"""),34.55)</f>
        <v>34.549999999999997</v>
      </c>
      <c r="L785" s="81">
        <f ca="1">IFERROR(__xludf.DUMMYFUNCTION("""COMPUTED_VALUE"""),0)</f>
        <v>0</v>
      </c>
      <c r="M785" s="81"/>
      <c r="N785" s="81">
        <f ca="1">IFERROR(__xludf.DUMMYFUNCTION("""COMPUTED_VALUE"""),0)</f>
        <v>0</v>
      </c>
      <c r="O785" s="81"/>
      <c r="P785" s="81">
        <f ca="1">IFERROR(__xludf.DUMMYFUNCTION("""COMPUTED_VALUE"""),0)</f>
        <v>0</v>
      </c>
      <c r="Q785" s="81"/>
      <c r="R785" s="81">
        <f ca="1">IFERROR(__xludf.DUMMYFUNCTION("""COMPUTED_VALUE"""),34.55)</f>
        <v>34.549999999999997</v>
      </c>
      <c r="S785" s="81"/>
      <c r="T785" s="81"/>
      <c r="U785" s="82"/>
      <c r="V785" s="82"/>
      <c r="W785" s="83"/>
      <c r="X785" s="83"/>
      <c r="Y785" s="83"/>
    </row>
    <row r="786" spans="1:25" ht="13.8">
      <c r="A786" s="78" t="str">
        <f ca="1">IFERROR(__xludf.DUMMYFUNCTION("""COMPUTED_VALUE"""),"GF")</f>
        <v>GF</v>
      </c>
      <c r="B786" s="79" t="str">
        <f ca="1">IFERROR(__xludf.DUMMYFUNCTION("""COMPUTED_VALUE"""),"Alexandre Kroely")</f>
        <v>Alexandre Kroely</v>
      </c>
      <c r="C786" s="78">
        <f ca="1">IFERROR(__xludf.DUMMYFUNCTION("""COMPUTED_VALUE"""),9)</f>
        <v>9</v>
      </c>
      <c r="D786" s="78" t="str">
        <f ca="1">IFERROR(__xludf.DUMMYFUNCTION("""COMPUTED_VALUE"""),"B")</f>
        <v>B</v>
      </c>
      <c r="E786" s="80" t="str">
        <f ca="1">IFERROR(__xludf.DUMMYFUNCTION("""COMPUTED_VALUE"""),"F")</f>
        <v>F</v>
      </c>
      <c r="F786" s="80" t="str">
        <f ca="1">IFERROR(__xludf.DUMMYFUNCTION("""COMPUTED_VALUE"""),"J")</f>
        <v>J</v>
      </c>
      <c r="G786" s="80">
        <f ca="1">IFERROR(__xludf.DUMMYFUNCTION("""COMPUTED_VALUE"""),2)</f>
        <v>2</v>
      </c>
      <c r="H786" s="80" t="str">
        <f ca="1">IFERROR(__xludf.DUMMYFUNCTION("""COMPUTED_VALUE"""),"GF")</f>
        <v>GF</v>
      </c>
      <c r="I786" s="80">
        <f ca="1">IFERROR(__xludf.DUMMYFUNCTION("""COMPUTED_VALUE"""),3)</f>
        <v>3</v>
      </c>
      <c r="J786" s="81">
        <f ca="1">IFERROR(__xludf.DUMMYFUNCTION("""COMPUTED_VALUE"""),1)</f>
        <v>1</v>
      </c>
      <c r="K786" s="81">
        <f ca="1">IFERROR(__xludf.DUMMYFUNCTION("""COMPUTED_VALUE"""),0)</f>
        <v>0</v>
      </c>
      <c r="L786" s="81">
        <f ca="1">IFERROR(__xludf.DUMMYFUNCTION("""COMPUTED_VALUE"""),0)</f>
        <v>0</v>
      </c>
      <c r="M786" s="81"/>
      <c r="N786" s="81">
        <f ca="1">IFERROR(__xludf.DUMMYFUNCTION("""COMPUTED_VALUE"""),0)</f>
        <v>0</v>
      </c>
      <c r="O786" s="81"/>
      <c r="P786" s="81">
        <f ca="1">IFERROR(__xludf.DUMMYFUNCTION("""COMPUTED_VALUE"""),0)</f>
        <v>0</v>
      </c>
      <c r="Q786" s="81"/>
      <c r="R786" s="81">
        <f ca="1">IFERROR(__xludf.DUMMYFUNCTION("""COMPUTED_VALUE"""),0)</f>
        <v>0</v>
      </c>
      <c r="S786" s="81"/>
      <c r="T786" s="81"/>
      <c r="U786" s="82"/>
      <c r="V786" s="82"/>
      <c r="W786" s="83"/>
      <c r="X786" s="83"/>
      <c r="Y786" s="83"/>
    </row>
    <row r="787" spans="1:25" ht="13.8">
      <c r="A787" s="78" t="str">
        <f ca="1">IFERROR(__xludf.DUMMYFUNCTION("""COMPUTED_VALUE"""),"GF")</f>
        <v>GF</v>
      </c>
      <c r="B787" s="79" t="str">
        <f ca="1">IFERROR(__xludf.DUMMYFUNCTION("""COMPUTED_VALUE"""),"Sebastian Lam")</f>
        <v>Sebastian Lam</v>
      </c>
      <c r="C787" s="78">
        <f ca="1">IFERROR(__xludf.DUMMYFUNCTION("""COMPUTED_VALUE"""),9)</f>
        <v>9</v>
      </c>
      <c r="D787" s="78" t="str">
        <f ca="1">IFERROR(__xludf.DUMMYFUNCTION("""COMPUTED_VALUE"""),"B")</f>
        <v>B</v>
      </c>
      <c r="E787" s="80" t="str">
        <f ca="1">IFERROR(__xludf.DUMMYFUNCTION("""COMPUTED_VALUE"""),"F")</f>
        <v>F</v>
      </c>
      <c r="F787" s="80" t="str">
        <f ca="1">IFERROR(__xludf.DUMMYFUNCTION("""COMPUTED_VALUE"""),"J")</f>
        <v>J</v>
      </c>
      <c r="G787" s="80">
        <f ca="1">IFERROR(__xludf.DUMMYFUNCTION("""COMPUTED_VALUE"""),2)</f>
        <v>2</v>
      </c>
      <c r="H787" s="80" t="str">
        <f ca="1">IFERROR(__xludf.DUMMYFUNCTION("""COMPUTED_VALUE"""),"GF")</f>
        <v>GF</v>
      </c>
      <c r="I787" s="80">
        <f ca="1">IFERROR(__xludf.DUMMYFUNCTION("""COMPUTED_VALUE"""),3)</f>
        <v>3</v>
      </c>
      <c r="J787" s="81">
        <f ca="1">IFERROR(__xludf.DUMMYFUNCTION("""COMPUTED_VALUE"""),3)</f>
        <v>3</v>
      </c>
      <c r="K787" s="81">
        <f ca="1">IFERROR(__xludf.DUMMYFUNCTION("""COMPUTED_VALUE"""),35.6)</f>
        <v>35.6</v>
      </c>
      <c r="L787" s="81">
        <f ca="1">IFERROR(__xludf.DUMMYFUNCTION("""COMPUTED_VALUE"""),0)</f>
        <v>0</v>
      </c>
      <c r="M787" s="81"/>
      <c r="N787" s="81">
        <f ca="1">IFERROR(__xludf.DUMMYFUNCTION("""COMPUTED_VALUE"""),35.6)</f>
        <v>35.6</v>
      </c>
      <c r="O787" s="81"/>
      <c r="P787" s="81">
        <f ca="1">IFERROR(__xludf.DUMMYFUNCTION("""COMPUTED_VALUE"""),0)</f>
        <v>0</v>
      </c>
      <c r="Q787" s="81"/>
      <c r="R787" s="81">
        <f ca="1">IFERROR(__xludf.DUMMYFUNCTION("""COMPUTED_VALUE"""),19.6)</f>
        <v>19.600000000000001</v>
      </c>
      <c r="S787" s="81"/>
      <c r="T787" s="81"/>
      <c r="U787" s="82"/>
      <c r="V787" s="82"/>
      <c r="W787" s="83"/>
      <c r="X787" s="83"/>
      <c r="Y787" s="83"/>
    </row>
    <row r="788" spans="1:25" ht="13.8">
      <c r="A788" s="78" t="str">
        <f ca="1">IFERROR(__xludf.DUMMYFUNCTION("""COMPUTED_VALUE"""),"GF")</f>
        <v>GF</v>
      </c>
      <c r="B788" s="79" t="str">
        <f ca="1">IFERROR(__xludf.DUMMYFUNCTION("""COMPUTED_VALUE"""),"Colin Lymphany")</f>
        <v>Colin Lymphany</v>
      </c>
      <c r="C788" s="78">
        <f ca="1">IFERROR(__xludf.DUMMYFUNCTION("""COMPUTED_VALUE"""),9)</f>
        <v>9</v>
      </c>
      <c r="D788" s="78" t="str">
        <f ca="1">IFERROR(__xludf.DUMMYFUNCTION("""COMPUTED_VALUE"""),"B")</f>
        <v>B</v>
      </c>
      <c r="E788" s="80" t="str">
        <f ca="1">IFERROR(__xludf.DUMMYFUNCTION("""COMPUTED_VALUE"""),"F")</f>
        <v>F</v>
      </c>
      <c r="F788" s="80" t="str">
        <f ca="1">IFERROR(__xludf.DUMMYFUNCTION("""COMPUTED_VALUE"""),"J")</f>
        <v>J</v>
      </c>
      <c r="G788" s="80">
        <f ca="1">IFERROR(__xludf.DUMMYFUNCTION("""COMPUTED_VALUE"""),2)</f>
        <v>2</v>
      </c>
      <c r="H788" s="80" t="str">
        <f ca="1">IFERROR(__xludf.DUMMYFUNCTION("""COMPUTED_VALUE"""),"GF")</f>
        <v>GF</v>
      </c>
      <c r="I788" s="80">
        <f ca="1">IFERROR(__xludf.DUMMYFUNCTION("""COMPUTED_VALUE"""),3)</f>
        <v>3</v>
      </c>
      <c r="J788" s="81">
        <f ca="1">IFERROR(__xludf.DUMMYFUNCTION("""COMPUTED_VALUE"""),0)</f>
        <v>0</v>
      </c>
      <c r="K788" s="81">
        <f ca="1">IFERROR(__xludf.DUMMYFUNCTION("""COMPUTED_VALUE"""),0)</f>
        <v>0</v>
      </c>
      <c r="L788" s="81">
        <f ca="1">IFERROR(__xludf.DUMMYFUNCTION("""COMPUTED_VALUE"""),0)</f>
        <v>0</v>
      </c>
      <c r="M788" s="81"/>
      <c r="N788" s="81">
        <f ca="1">IFERROR(__xludf.DUMMYFUNCTION("""COMPUTED_VALUE"""),0)</f>
        <v>0</v>
      </c>
      <c r="O788" s="81"/>
      <c r="P788" s="81">
        <f ca="1">IFERROR(__xludf.DUMMYFUNCTION("""COMPUTED_VALUE"""),0)</f>
        <v>0</v>
      </c>
      <c r="Q788" s="81"/>
      <c r="R788" s="81">
        <f ca="1">IFERROR(__xludf.DUMMYFUNCTION("""COMPUTED_VALUE"""),0)</f>
        <v>0</v>
      </c>
      <c r="S788" s="81"/>
      <c r="T788" s="81"/>
      <c r="U788" s="82"/>
      <c r="V788" s="82"/>
      <c r="W788" s="83"/>
      <c r="X788" s="83"/>
      <c r="Y788" s="83"/>
    </row>
    <row r="789" spans="1:25" ht="13.8">
      <c r="A789" s="78" t="str">
        <f ca="1">IFERROR(__xludf.DUMMYFUNCTION("""COMPUTED_VALUE"""),"GF")</f>
        <v>GF</v>
      </c>
      <c r="B789" s="79" t="str">
        <f ca="1">IFERROR(__xludf.DUMMYFUNCTION("""COMPUTED_VALUE"""),"Ryan Mekouar")</f>
        <v>Ryan Mekouar</v>
      </c>
      <c r="C789" s="78">
        <f ca="1">IFERROR(__xludf.DUMMYFUNCTION("""COMPUTED_VALUE"""),6)</f>
        <v>6</v>
      </c>
      <c r="D789" s="78" t="str">
        <f ca="1">IFERROR(__xludf.DUMMYFUNCTION("""COMPUTED_VALUE"""),"B")</f>
        <v>B</v>
      </c>
      <c r="E789" s="80" t="str">
        <f ca="1">IFERROR(__xludf.DUMMYFUNCTION("""COMPUTED_VALUE"""),"F")</f>
        <v>F</v>
      </c>
      <c r="F789" s="80" t="str">
        <f ca="1">IFERROR(__xludf.DUMMYFUNCTION("""COMPUTED_VALUE"""),"J")</f>
        <v>J</v>
      </c>
      <c r="G789" s="80">
        <f ca="1">IFERROR(__xludf.DUMMYFUNCTION("""COMPUTED_VALUE"""),2)</f>
        <v>2</v>
      </c>
      <c r="H789" s="80" t="str">
        <f ca="1">IFERROR(__xludf.DUMMYFUNCTION("""COMPUTED_VALUE"""),"GF")</f>
        <v>GF</v>
      </c>
      <c r="I789" s="80">
        <f ca="1">IFERROR(__xludf.DUMMYFUNCTION("""COMPUTED_VALUE"""),3)</f>
        <v>3</v>
      </c>
      <c r="J789" s="81">
        <f ca="1">IFERROR(__xludf.DUMMYFUNCTION("""COMPUTED_VALUE"""),0)</f>
        <v>0</v>
      </c>
      <c r="K789" s="81">
        <f ca="1">IFERROR(__xludf.DUMMYFUNCTION("""COMPUTED_VALUE"""),0)</f>
        <v>0</v>
      </c>
      <c r="L789" s="81">
        <f ca="1">IFERROR(__xludf.DUMMYFUNCTION("""COMPUTED_VALUE"""),0)</f>
        <v>0</v>
      </c>
      <c r="M789" s="81"/>
      <c r="N789" s="81">
        <f ca="1">IFERROR(__xludf.DUMMYFUNCTION("""COMPUTED_VALUE"""),0)</f>
        <v>0</v>
      </c>
      <c r="O789" s="81"/>
      <c r="P789" s="81">
        <f ca="1">IFERROR(__xludf.DUMMYFUNCTION("""COMPUTED_VALUE"""),0)</f>
        <v>0</v>
      </c>
      <c r="Q789" s="81"/>
      <c r="R789" s="81">
        <f ca="1">IFERROR(__xludf.DUMMYFUNCTION("""COMPUTED_VALUE"""),0)</f>
        <v>0</v>
      </c>
      <c r="S789" s="81"/>
      <c r="T789" s="81"/>
      <c r="U789" s="82"/>
      <c r="V789" s="82"/>
      <c r="W789" s="83"/>
      <c r="X789" s="83"/>
      <c r="Y789" s="83"/>
    </row>
    <row r="790" spans="1:25" ht="13.8">
      <c r="A790" s="78" t="str">
        <f ca="1">IFERROR(__xludf.DUMMYFUNCTION("""COMPUTED_VALUE"""),"GF")</f>
        <v>GF</v>
      </c>
      <c r="B790" s="79" t="str">
        <f ca="1">IFERROR(__xludf.DUMMYFUNCTION("""COMPUTED_VALUE"""),"Finn Pierson")</f>
        <v>Finn Pierson</v>
      </c>
      <c r="C790" s="78">
        <f ca="1">IFERROR(__xludf.DUMMYFUNCTION("""COMPUTED_VALUE"""),8)</f>
        <v>8</v>
      </c>
      <c r="D790" s="78" t="str">
        <f ca="1">IFERROR(__xludf.DUMMYFUNCTION("""COMPUTED_VALUE"""),"B")</f>
        <v>B</v>
      </c>
      <c r="E790" s="80" t="str">
        <f ca="1">IFERROR(__xludf.DUMMYFUNCTION("""COMPUTED_VALUE"""),"F")</f>
        <v>F</v>
      </c>
      <c r="F790" s="80" t="str">
        <f ca="1">IFERROR(__xludf.DUMMYFUNCTION("""COMPUTED_VALUE"""),"J")</f>
        <v>J</v>
      </c>
      <c r="G790" s="80">
        <f ca="1">IFERROR(__xludf.DUMMYFUNCTION("""COMPUTED_VALUE"""),2)</f>
        <v>2</v>
      </c>
      <c r="H790" s="80" t="str">
        <f ca="1">IFERROR(__xludf.DUMMYFUNCTION("""COMPUTED_VALUE"""),"GF")</f>
        <v>GF</v>
      </c>
      <c r="I790" s="80">
        <f ca="1">IFERROR(__xludf.DUMMYFUNCTION("""COMPUTED_VALUE"""),3)</f>
        <v>3</v>
      </c>
      <c r="J790" s="81">
        <f ca="1">IFERROR(__xludf.DUMMYFUNCTION("""COMPUTED_VALUE"""),0)</f>
        <v>0</v>
      </c>
      <c r="K790" s="81">
        <f ca="1">IFERROR(__xludf.DUMMYFUNCTION("""COMPUTED_VALUE"""),0)</f>
        <v>0</v>
      </c>
      <c r="L790" s="81">
        <f ca="1">IFERROR(__xludf.DUMMYFUNCTION("""COMPUTED_VALUE"""),0)</f>
        <v>0</v>
      </c>
      <c r="M790" s="81"/>
      <c r="N790" s="81">
        <f ca="1">IFERROR(__xludf.DUMMYFUNCTION("""COMPUTED_VALUE"""),0)</f>
        <v>0</v>
      </c>
      <c r="O790" s="81"/>
      <c r="P790" s="81">
        <f ca="1">IFERROR(__xludf.DUMMYFUNCTION("""COMPUTED_VALUE"""),0)</f>
        <v>0</v>
      </c>
      <c r="Q790" s="81"/>
      <c r="R790" s="81">
        <f ca="1">IFERROR(__xludf.DUMMYFUNCTION("""COMPUTED_VALUE"""),0)</f>
        <v>0</v>
      </c>
      <c r="S790" s="81"/>
      <c r="T790" s="81"/>
      <c r="U790" s="82"/>
      <c r="V790" s="82"/>
      <c r="W790" s="83"/>
      <c r="X790" s="83"/>
      <c r="Y790" s="83"/>
    </row>
    <row r="791" spans="1:25" ht="13.8">
      <c r="A791" s="78" t="str">
        <f ca="1">IFERROR(__xludf.DUMMYFUNCTION("""COMPUTED_VALUE"""),"GF")</f>
        <v>GF</v>
      </c>
      <c r="B791" s="79" t="str">
        <f ca="1">IFERROR(__xludf.DUMMYFUNCTION("""COMPUTED_VALUE"""),"Sutton Pierson")</f>
        <v>Sutton Pierson</v>
      </c>
      <c r="C791" s="78">
        <f ca="1">IFERROR(__xludf.DUMMYFUNCTION("""COMPUTED_VALUE"""),5)</f>
        <v>5</v>
      </c>
      <c r="D791" s="78" t="str">
        <f ca="1">IFERROR(__xludf.DUMMYFUNCTION("""COMPUTED_VALUE"""),"B")</f>
        <v>B</v>
      </c>
      <c r="E791" s="80" t="str">
        <f ca="1">IFERROR(__xludf.DUMMYFUNCTION("""COMPUTED_VALUE"""),"F")</f>
        <v>F</v>
      </c>
      <c r="F791" s="80" t="str">
        <f ca="1">IFERROR(__xludf.DUMMYFUNCTION("""COMPUTED_VALUE"""),"J")</f>
        <v>J</v>
      </c>
      <c r="G791" s="80">
        <f ca="1">IFERROR(__xludf.DUMMYFUNCTION("""COMPUTED_VALUE"""),2)</f>
        <v>2</v>
      </c>
      <c r="H791" s="80" t="str">
        <f ca="1">IFERROR(__xludf.DUMMYFUNCTION("""COMPUTED_VALUE"""),"GF")</f>
        <v>GF</v>
      </c>
      <c r="I791" s="80">
        <f ca="1">IFERROR(__xludf.DUMMYFUNCTION("""COMPUTED_VALUE"""),3)</f>
        <v>3</v>
      </c>
      <c r="J791" s="81">
        <f ca="1">IFERROR(__xludf.DUMMYFUNCTION("""COMPUTED_VALUE"""),2)</f>
        <v>2</v>
      </c>
      <c r="K791" s="81">
        <f ca="1">IFERROR(__xludf.DUMMYFUNCTION("""COMPUTED_VALUE"""),27)</f>
        <v>27</v>
      </c>
      <c r="L791" s="81">
        <f ca="1">IFERROR(__xludf.DUMMYFUNCTION("""COMPUTED_VALUE"""),0)</f>
        <v>0</v>
      </c>
      <c r="M791" s="81"/>
      <c r="N791" s="81">
        <f ca="1">IFERROR(__xludf.DUMMYFUNCTION("""COMPUTED_VALUE"""),0)</f>
        <v>0</v>
      </c>
      <c r="O791" s="81"/>
      <c r="P791" s="81">
        <f ca="1">IFERROR(__xludf.DUMMYFUNCTION("""COMPUTED_VALUE"""),27)</f>
        <v>27</v>
      </c>
      <c r="Q791" s="81"/>
      <c r="R791" s="81">
        <f ca="1">IFERROR(__xludf.DUMMYFUNCTION("""COMPUTED_VALUE"""),26.25)</f>
        <v>26.25</v>
      </c>
      <c r="S791" s="81"/>
      <c r="T791" s="81"/>
      <c r="U791" s="82"/>
      <c r="V791" s="82"/>
      <c r="W791" s="83"/>
      <c r="X791" s="83"/>
      <c r="Y791" s="83"/>
    </row>
    <row r="792" spans="1:25" ht="13.8">
      <c r="A792" s="78" t="str">
        <f ca="1">IFERROR(__xludf.DUMMYFUNCTION("""COMPUTED_VALUE"""),"GF")</f>
        <v>GF</v>
      </c>
      <c r="B792" s="79" t="str">
        <f ca="1">IFERROR(__xludf.DUMMYFUNCTION("""COMPUTED_VALUE"""),"Zade Shoheiber")</f>
        <v>Zade Shoheiber</v>
      </c>
      <c r="C792" s="78">
        <f ca="1">IFERROR(__xludf.DUMMYFUNCTION("""COMPUTED_VALUE"""),7)</f>
        <v>7</v>
      </c>
      <c r="D792" s="78" t="str">
        <f ca="1">IFERROR(__xludf.DUMMYFUNCTION("""COMPUTED_VALUE"""),"B")</f>
        <v>B</v>
      </c>
      <c r="E792" s="80" t="str">
        <f ca="1">IFERROR(__xludf.DUMMYFUNCTION("""COMPUTED_VALUE"""),"F")</f>
        <v>F</v>
      </c>
      <c r="F792" s="80" t="str">
        <f ca="1">IFERROR(__xludf.DUMMYFUNCTION("""COMPUTED_VALUE"""),"J")</f>
        <v>J</v>
      </c>
      <c r="G792" s="80">
        <f ca="1">IFERROR(__xludf.DUMMYFUNCTION("""COMPUTED_VALUE"""),2)</f>
        <v>2</v>
      </c>
      <c r="H792" s="80" t="str">
        <f ca="1">IFERROR(__xludf.DUMMYFUNCTION("""COMPUTED_VALUE"""),"GF")</f>
        <v>GF</v>
      </c>
      <c r="I792" s="80">
        <f ca="1">IFERROR(__xludf.DUMMYFUNCTION("""COMPUTED_VALUE"""),3)</f>
        <v>3</v>
      </c>
      <c r="J792" s="81">
        <f ca="1">IFERROR(__xludf.DUMMYFUNCTION("""COMPUTED_VALUE"""),0)</f>
        <v>0</v>
      </c>
      <c r="K792" s="81">
        <f ca="1">IFERROR(__xludf.DUMMYFUNCTION("""COMPUTED_VALUE"""),0)</f>
        <v>0</v>
      </c>
      <c r="L792" s="81">
        <f ca="1">IFERROR(__xludf.DUMMYFUNCTION("""COMPUTED_VALUE"""),0)</f>
        <v>0</v>
      </c>
      <c r="M792" s="81"/>
      <c r="N792" s="81">
        <f ca="1">IFERROR(__xludf.DUMMYFUNCTION("""COMPUTED_VALUE"""),0)</f>
        <v>0</v>
      </c>
      <c r="O792" s="81"/>
      <c r="P792" s="81">
        <f ca="1">IFERROR(__xludf.DUMMYFUNCTION("""COMPUTED_VALUE"""),0)</f>
        <v>0</v>
      </c>
      <c r="Q792" s="81"/>
      <c r="R792" s="81">
        <f ca="1">IFERROR(__xludf.DUMMYFUNCTION("""COMPUTED_VALUE"""),0)</f>
        <v>0</v>
      </c>
      <c r="S792" s="81"/>
      <c r="T792" s="81"/>
      <c r="U792" s="82"/>
      <c r="V792" s="82"/>
      <c r="W792" s="83"/>
      <c r="X792" s="83"/>
      <c r="Y792" s="83"/>
    </row>
    <row r="793" spans="1:25" ht="13.8">
      <c r="A793" s="78" t="str">
        <f ca="1">IFERROR(__xludf.DUMMYFUNCTION("""COMPUTED_VALUE"""),"GF")</f>
        <v>GF</v>
      </c>
      <c r="B793" s="79" t="str">
        <f ca="1">IFERROR(__xludf.DUMMYFUNCTION("""COMPUTED_VALUE"""),"Mary Clare Abela")</f>
        <v>Mary Clare Abela</v>
      </c>
      <c r="C793" s="78">
        <f ca="1">IFERROR(__xludf.DUMMYFUNCTION("""COMPUTED_VALUE"""),12)</f>
        <v>12</v>
      </c>
      <c r="D793" s="78" t="str">
        <f ca="1">IFERROR(__xludf.DUMMYFUNCTION("""COMPUTED_VALUE"""),"G")</f>
        <v>G</v>
      </c>
      <c r="E793" s="80" t="str">
        <f ca="1">IFERROR(__xludf.DUMMYFUNCTION("""COMPUTED_VALUE"""),"J")</f>
        <v>J</v>
      </c>
      <c r="F793" s="80" t="str">
        <f ca="1">IFERROR(__xludf.DUMMYFUNCTION("""COMPUTED_VALUE"""),"I")</f>
        <v>I</v>
      </c>
      <c r="G793" s="80">
        <f ca="1">IFERROR(__xludf.DUMMYFUNCTION("""COMPUTED_VALUE"""),2)</f>
        <v>2</v>
      </c>
      <c r="H793" s="80" t="str">
        <f ca="1">IFERROR(__xludf.DUMMYFUNCTION("""COMPUTED_VALUE"""),"GF")</f>
        <v>GF</v>
      </c>
      <c r="I793" s="80">
        <f ca="1">IFERROR(__xludf.DUMMYFUNCTION("""COMPUTED_VALUE"""),4)</f>
        <v>4</v>
      </c>
      <c r="J793" s="81">
        <f ca="1">IFERROR(__xludf.DUMMYFUNCTION("""COMPUTED_VALUE"""),5)</f>
        <v>5</v>
      </c>
      <c r="K793" s="81">
        <f ca="1">IFERROR(__xludf.DUMMYFUNCTION("""COMPUTED_VALUE"""),88.8)</f>
        <v>88.8</v>
      </c>
      <c r="L793" s="81">
        <f ca="1">IFERROR(__xludf.DUMMYFUNCTION("""COMPUTED_VALUE"""),83.7)</f>
        <v>83.7</v>
      </c>
      <c r="M793" s="81"/>
      <c r="N793" s="81">
        <f ca="1">IFERROR(__xludf.DUMMYFUNCTION("""COMPUTED_VALUE"""),75.35)</f>
        <v>75.349999999999994</v>
      </c>
      <c r="O793" s="81"/>
      <c r="P793" s="81">
        <f ca="1">IFERROR(__xludf.DUMMYFUNCTION("""COMPUTED_VALUE"""),86.35)</f>
        <v>86.35</v>
      </c>
      <c r="Q793" s="81"/>
      <c r="R793" s="81">
        <f ca="1">IFERROR(__xludf.DUMMYFUNCTION("""COMPUTED_VALUE"""),88.8)</f>
        <v>88.8</v>
      </c>
      <c r="S793" s="81"/>
      <c r="T793" s="81"/>
      <c r="U793" s="82"/>
      <c r="V793" s="82"/>
      <c r="W793" s="83"/>
      <c r="X793" s="83"/>
      <c r="Y793" s="83"/>
    </row>
    <row r="794" spans="1:25" ht="13.8">
      <c r="A794" s="78" t="str">
        <f ca="1">IFERROR(__xludf.DUMMYFUNCTION("""COMPUTED_VALUE"""),"GF")</f>
        <v>GF</v>
      </c>
      <c r="B794" s="79" t="str">
        <f ca="1">IFERROR(__xludf.DUMMYFUNCTION("""COMPUTED_VALUE"""),"Natalie Aucoin")</f>
        <v>Natalie Aucoin</v>
      </c>
      <c r="C794" s="78">
        <f ca="1">IFERROR(__xludf.DUMMYFUNCTION("""COMPUTED_VALUE"""),12)</f>
        <v>12</v>
      </c>
      <c r="D794" s="78" t="str">
        <f ca="1">IFERROR(__xludf.DUMMYFUNCTION("""COMPUTED_VALUE"""),"G")</f>
        <v>G</v>
      </c>
      <c r="E794" s="80" t="str">
        <f ca="1">IFERROR(__xludf.DUMMYFUNCTION("""COMPUTED_VALUE"""),"J")</f>
        <v>J</v>
      </c>
      <c r="F794" s="80" t="str">
        <f ca="1">IFERROR(__xludf.DUMMYFUNCTION("""COMPUTED_VALUE"""),"I")</f>
        <v>I</v>
      </c>
      <c r="G794" s="80">
        <f ca="1">IFERROR(__xludf.DUMMYFUNCTION("""COMPUTED_VALUE"""),2)</f>
        <v>2</v>
      </c>
      <c r="H794" s="80" t="str">
        <f ca="1">IFERROR(__xludf.DUMMYFUNCTION("""COMPUTED_VALUE"""),"GF")</f>
        <v>GF</v>
      </c>
      <c r="I794" s="80">
        <f ca="1">IFERROR(__xludf.DUMMYFUNCTION("""COMPUTED_VALUE"""),4)</f>
        <v>4</v>
      </c>
      <c r="J794" s="81">
        <f ca="1">IFERROR(__xludf.DUMMYFUNCTION("""COMPUTED_VALUE"""),0)</f>
        <v>0</v>
      </c>
      <c r="K794" s="81">
        <f ca="1">IFERROR(__xludf.DUMMYFUNCTION("""COMPUTED_VALUE"""),0)</f>
        <v>0</v>
      </c>
      <c r="L794" s="81">
        <f ca="1">IFERROR(__xludf.DUMMYFUNCTION("""COMPUTED_VALUE"""),0)</f>
        <v>0</v>
      </c>
      <c r="M794" s="81"/>
      <c r="N794" s="81">
        <f ca="1">IFERROR(__xludf.DUMMYFUNCTION("""COMPUTED_VALUE"""),0)</f>
        <v>0</v>
      </c>
      <c r="O794" s="81"/>
      <c r="P794" s="81">
        <f ca="1">IFERROR(__xludf.DUMMYFUNCTION("""COMPUTED_VALUE"""),0)</f>
        <v>0</v>
      </c>
      <c r="Q794" s="81"/>
      <c r="R794" s="81">
        <f ca="1">IFERROR(__xludf.DUMMYFUNCTION("""COMPUTED_VALUE"""),0)</f>
        <v>0</v>
      </c>
      <c r="S794" s="81"/>
      <c r="T794" s="81"/>
      <c r="U794" s="82"/>
      <c r="V794" s="82"/>
      <c r="W794" s="83"/>
      <c r="X794" s="83"/>
      <c r="Y794" s="83"/>
    </row>
    <row r="795" spans="1:25" ht="13.8">
      <c r="A795" s="78" t="str">
        <f ca="1">IFERROR(__xludf.DUMMYFUNCTION("""COMPUTED_VALUE"""),"GF")</f>
        <v>GF</v>
      </c>
      <c r="B795" s="79" t="str">
        <f ca="1">IFERROR(__xludf.DUMMYFUNCTION("""COMPUTED_VALUE"""),"Teagan Coulon")</f>
        <v>Teagan Coulon</v>
      </c>
      <c r="C795" s="78">
        <f ca="1">IFERROR(__xludf.DUMMYFUNCTION("""COMPUTED_VALUE"""),11)</f>
        <v>11</v>
      </c>
      <c r="D795" s="78" t="str">
        <f ca="1">IFERROR(__xludf.DUMMYFUNCTION("""COMPUTED_VALUE"""),"G")</f>
        <v>G</v>
      </c>
      <c r="E795" s="80" t="str">
        <f ca="1">IFERROR(__xludf.DUMMYFUNCTION("""COMPUTED_VALUE"""),"J")</f>
        <v>J</v>
      </c>
      <c r="F795" s="80" t="str">
        <f ca="1">IFERROR(__xludf.DUMMYFUNCTION("""COMPUTED_VALUE"""),"I")</f>
        <v>I</v>
      </c>
      <c r="G795" s="80">
        <f ca="1">IFERROR(__xludf.DUMMYFUNCTION("""COMPUTED_VALUE"""),2)</f>
        <v>2</v>
      </c>
      <c r="H795" s="80" t="str">
        <f ca="1">IFERROR(__xludf.DUMMYFUNCTION("""COMPUTED_VALUE"""),"GF")</f>
        <v>GF</v>
      </c>
      <c r="I795" s="80">
        <f ca="1">IFERROR(__xludf.DUMMYFUNCTION("""COMPUTED_VALUE"""),4)</f>
        <v>4</v>
      </c>
      <c r="J795" s="81">
        <f ca="1">IFERROR(__xludf.DUMMYFUNCTION("""COMPUTED_VALUE"""),0)</f>
        <v>0</v>
      </c>
      <c r="K795" s="81">
        <f ca="1">IFERROR(__xludf.DUMMYFUNCTION("""COMPUTED_VALUE"""),0)</f>
        <v>0</v>
      </c>
      <c r="L795" s="81">
        <f ca="1">IFERROR(__xludf.DUMMYFUNCTION("""COMPUTED_VALUE"""),0)</f>
        <v>0</v>
      </c>
      <c r="M795" s="81"/>
      <c r="N795" s="81">
        <f ca="1">IFERROR(__xludf.DUMMYFUNCTION("""COMPUTED_VALUE"""),0)</f>
        <v>0</v>
      </c>
      <c r="O795" s="81"/>
      <c r="P795" s="81">
        <f ca="1">IFERROR(__xludf.DUMMYFUNCTION("""COMPUTED_VALUE"""),0)</f>
        <v>0</v>
      </c>
      <c r="Q795" s="81"/>
      <c r="R795" s="81">
        <f ca="1">IFERROR(__xludf.DUMMYFUNCTION("""COMPUTED_VALUE"""),0)</f>
        <v>0</v>
      </c>
      <c r="S795" s="81"/>
      <c r="T795" s="81"/>
      <c r="U795" s="82"/>
      <c r="V795" s="82"/>
      <c r="W795" s="83"/>
      <c r="X795" s="83"/>
      <c r="Y795" s="83"/>
    </row>
    <row r="796" spans="1:25" ht="13.8">
      <c r="A796" s="78" t="str">
        <f ca="1">IFERROR(__xludf.DUMMYFUNCTION("""COMPUTED_VALUE"""),"GF")</f>
        <v>GF</v>
      </c>
      <c r="B796" s="79" t="str">
        <f ca="1">IFERROR(__xludf.DUMMYFUNCTION("""COMPUTED_VALUE"""),"Elizabeth Crawford")</f>
        <v>Elizabeth Crawford</v>
      </c>
      <c r="C796" s="78">
        <f ca="1">IFERROR(__xludf.DUMMYFUNCTION("""COMPUTED_VALUE"""),11)</f>
        <v>11</v>
      </c>
      <c r="D796" s="78" t="str">
        <f ca="1">IFERROR(__xludf.DUMMYFUNCTION("""COMPUTED_VALUE"""),"G")</f>
        <v>G</v>
      </c>
      <c r="E796" s="80" t="str">
        <f ca="1">IFERROR(__xludf.DUMMYFUNCTION("""COMPUTED_VALUE"""),"J")</f>
        <v>J</v>
      </c>
      <c r="F796" s="80" t="str">
        <f ca="1">IFERROR(__xludf.DUMMYFUNCTION("""COMPUTED_VALUE"""),"I")</f>
        <v>I</v>
      </c>
      <c r="G796" s="80">
        <f ca="1">IFERROR(__xludf.DUMMYFUNCTION("""COMPUTED_VALUE"""),2)</f>
        <v>2</v>
      </c>
      <c r="H796" s="80" t="str">
        <f ca="1">IFERROR(__xludf.DUMMYFUNCTION("""COMPUTED_VALUE"""),"GF")</f>
        <v>GF</v>
      </c>
      <c r="I796" s="80">
        <f ca="1">IFERROR(__xludf.DUMMYFUNCTION("""COMPUTED_VALUE"""),4)</f>
        <v>4</v>
      </c>
      <c r="J796" s="81">
        <f ca="1">IFERROR(__xludf.DUMMYFUNCTION("""COMPUTED_VALUE"""),0)</f>
        <v>0</v>
      </c>
      <c r="K796" s="81">
        <f ca="1">IFERROR(__xludf.DUMMYFUNCTION("""COMPUTED_VALUE"""),0)</f>
        <v>0</v>
      </c>
      <c r="L796" s="81">
        <f ca="1">IFERROR(__xludf.DUMMYFUNCTION("""COMPUTED_VALUE"""),0)</f>
        <v>0</v>
      </c>
      <c r="M796" s="81"/>
      <c r="N796" s="81">
        <f ca="1">IFERROR(__xludf.DUMMYFUNCTION("""COMPUTED_VALUE"""),0)</f>
        <v>0</v>
      </c>
      <c r="O796" s="81"/>
      <c r="P796" s="81">
        <f ca="1">IFERROR(__xludf.DUMMYFUNCTION("""COMPUTED_VALUE"""),0)</f>
        <v>0</v>
      </c>
      <c r="Q796" s="81"/>
      <c r="R796" s="81">
        <f ca="1">IFERROR(__xludf.DUMMYFUNCTION("""COMPUTED_VALUE"""),0)</f>
        <v>0</v>
      </c>
      <c r="S796" s="81"/>
      <c r="T796" s="81"/>
      <c r="U796" s="82"/>
      <c r="V796" s="82"/>
      <c r="W796" s="83"/>
      <c r="X796" s="83"/>
      <c r="Y796" s="83"/>
    </row>
    <row r="797" spans="1:25" ht="13.8">
      <c r="A797" s="78" t="str">
        <f ca="1">IFERROR(__xludf.DUMMYFUNCTION("""COMPUTED_VALUE"""),"GF")</f>
        <v>GF</v>
      </c>
      <c r="B797" s="79" t="str">
        <f ca="1">IFERROR(__xludf.DUMMYFUNCTION("""COMPUTED_VALUE"""),"Sophia Dalton")</f>
        <v>Sophia Dalton</v>
      </c>
      <c r="C797" s="78">
        <f ca="1">IFERROR(__xludf.DUMMYFUNCTION("""COMPUTED_VALUE"""),11)</f>
        <v>11</v>
      </c>
      <c r="D797" s="78" t="str">
        <f ca="1">IFERROR(__xludf.DUMMYFUNCTION("""COMPUTED_VALUE"""),"G")</f>
        <v>G</v>
      </c>
      <c r="E797" s="80" t="str">
        <f ca="1">IFERROR(__xludf.DUMMYFUNCTION("""COMPUTED_VALUE"""),"J")</f>
        <v>J</v>
      </c>
      <c r="F797" s="80" t="str">
        <f ca="1">IFERROR(__xludf.DUMMYFUNCTION("""COMPUTED_VALUE"""),"I")</f>
        <v>I</v>
      </c>
      <c r="G797" s="80">
        <f ca="1">IFERROR(__xludf.DUMMYFUNCTION("""COMPUTED_VALUE"""),2)</f>
        <v>2</v>
      </c>
      <c r="H797" s="80" t="str">
        <f ca="1">IFERROR(__xludf.DUMMYFUNCTION("""COMPUTED_VALUE"""),"GF")</f>
        <v>GF</v>
      </c>
      <c r="I797" s="80">
        <f ca="1">IFERROR(__xludf.DUMMYFUNCTION("""COMPUTED_VALUE"""),4)</f>
        <v>4</v>
      </c>
      <c r="J797" s="81">
        <f ca="1">IFERROR(__xludf.DUMMYFUNCTION("""COMPUTED_VALUE"""),0)</f>
        <v>0</v>
      </c>
      <c r="K797" s="81">
        <f ca="1">IFERROR(__xludf.DUMMYFUNCTION("""COMPUTED_VALUE"""),0)</f>
        <v>0</v>
      </c>
      <c r="L797" s="81">
        <f ca="1">IFERROR(__xludf.DUMMYFUNCTION("""COMPUTED_VALUE"""),0)</f>
        <v>0</v>
      </c>
      <c r="M797" s="81"/>
      <c r="N797" s="81">
        <f ca="1">IFERROR(__xludf.DUMMYFUNCTION("""COMPUTED_VALUE"""),0)</f>
        <v>0</v>
      </c>
      <c r="O797" s="81"/>
      <c r="P797" s="81">
        <f ca="1">IFERROR(__xludf.DUMMYFUNCTION("""COMPUTED_VALUE"""),0)</f>
        <v>0</v>
      </c>
      <c r="Q797" s="81"/>
      <c r="R797" s="81">
        <f ca="1">IFERROR(__xludf.DUMMYFUNCTION("""COMPUTED_VALUE"""),0)</f>
        <v>0</v>
      </c>
      <c r="S797" s="81"/>
      <c r="T797" s="81"/>
      <c r="U797" s="82"/>
      <c r="V797" s="82"/>
      <c r="W797" s="83"/>
      <c r="X797" s="83"/>
      <c r="Y797" s="83"/>
    </row>
    <row r="798" spans="1:25" ht="13.8">
      <c r="A798" s="78" t="str">
        <f ca="1">IFERROR(__xludf.DUMMYFUNCTION("""COMPUTED_VALUE"""),"GF")</f>
        <v>GF</v>
      </c>
      <c r="B798" s="79" t="str">
        <f ca="1">IFERROR(__xludf.DUMMYFUNCTION("""COMPUTED_VALUE"""),"Caroline Mascatella")</f>
        <v>Caroline Mascatella</v>
      </c>
      <c r="C798" s="78">
        <f ca="1">IFERROR(__xludf.DUMMYFUNCTION("""COMPUTED_VALUE"""),11)</f>
        <v>11</v>
      </c>
      <c r="D798" s="78" t="str">
        <f ca="1">IFERROR(__xludf.DUMMYFUNCTION("""COMPUTED_VALUE"""),"G")</f>
        <v>G</v>
      </c>
      <c r="E798" s="80" t="str">
        <f ca="1">IFERROR(__xludf.DUMMYFUNCTION("""COMPUTED_VALUE"""),"J")</f>
        <v>J</v>
      </c>
      <c r="F798" s="80" t="str">
        <f ca="1">IFERROR(__xludf.DUMMYFUNCTION("""COMPUTED_VALUE"""),"I")</f>
        <v>I</v>
      </c>
      <c r="G798" s="80">
        <f ca="1">IFERROR(__xludf.DUMMYFUNCTION("""COMPUTED_VALUE"""),2)</f>
        <v>2</v>
      </c>
      <c r="H798" s="80" t="str">
        <f ca="1">IFERROR(__xludf.DUMMYFUNCTION("""COMPUTED_VALUE"""),"GF")</f>
        <v>GF</v>
      </c>
      <c r="I798" s="80">
        <f ca="1">IFERROR(__xludf.DUMMYFUNCTION("""COMPUTED_VALUE"""),4)</f>
        <v>4</v>
      </c>
      <c r="J798" s="81">
        <f ca="1">IFERROR(__xludf.DUMMYFUNCTION("""COMPUTED_VALUE"""),0)</f>
        <v>0</v>
      </c>
      <c r="K798" s="81">
        <f ca="1">IFERROR(__xludf.DUMMYFUNCTION("""COMPUTED_VALUE"""),0)</f>
        <v>0</v>
      </c>
      <c r="L798" s="81">
        <f ca="1">IFERROR(__xludf.DUMMYFUNCTION("""COMPUTED_VALUE"""),0)</f>
        <v>0</v>
      </c>
      <c r="M798" s="81"/>
      <c r="N798" s="81">
        <f ca="1">IFERROR(__xludf.DUMMYFUNCTION("""COMPUTED_VALUE"""),0)</f>
        <v>0</v>
      </c>
      <c r="O798" s="81"/>
      <c r="P798" s="81">
        <f ca="1">IFERROR(__xludf.DUMMYFUNCTION("""COMPUTED_VALUE"""),0)</f>
        <v>0</v>
      </c>
      <c r="Q798" s="81"/>
      <c r="R798" s="81">
        <f ca="1">IFERROR(__xludf.DUMMYFUNCTION("""COMPUTED_VALUE"""),0)</f>
        <v>0</v>
      </c>
      <c r="S798" s="81"/>
      <c r="T798" s="81"/>
      <c r="U798" s="82"/>
      <c r="V798" s="82"/>
      <c r="W798" s="83"/>
      <c r="X798" s="83"/>
      <c r="Y798" s="83"/>
    </row>
    <row r="799" spans="1:25" ht="13.8">
      <c r="A799" s="78" t="str">
        <f ca="1">IFERROR(__xludf.DUMMYFUNCTION("""COMPUTED_VALUE"""),"GF")</f>
        <v>GF</v>
      </c>
      <c r="B799" s="79" t="str">
        <f ca="1">IFERROR(__xludf.DUMMYFUNCTION("""COMPUTED_VALUE"""),"Mia Nash")</f>
        <v>Mia Nash</v>
      </c>
      <c r="C799" s="78">
        <f ca="1">IFERROR(__xludf.DUMMYFUNCTION("""COMPUTED_VALUE"""),12)</f>
        <v>12</v>
      </c>
      <c r="D799" s="78" t="str">
        <f ca="1">IFERROR(__xludf.DUMMYFUNCTION("""COMPUTED_VALUE"""),"G")</f>
        <v>G</v>
      </c>
      <c r="E799" s="80" t="str">
        <f ca="1">IFERROR(__xludf.DUMMYFUNCTION("""COMPUTED_VALUE"""),"J")</f>
        <v>J</v>
      </c>
      <c r="F799" s="80" t="str">
        <f ca="1">IFERROR(__xludf.DUMMYFUNCTION("""COMPUTED_VALUE"""),"I")</f>
        <v>I</v>
      </c>
      <c r="G799" s="80">
        <f ca="1">IFERROR(__xludf.DUMMYFUNCTION("""COMPUTED_VALUE"""),2)</f>
        <v>2</v>
      </c>
      <c r="H799" s="80" t="str">
        <f ca="1">IFERROR(__xludf.DUMMYFUNCTION("""COMPUTED_VALUE"""),"GF")</f>
        <v>GF</v>
      </c>
      <c r="I799" s="80">
        <f ca="1">IFERROR(__xludf.DUMMYFUNCTION("""COMPUTED_VALUE"""),4)</f>
        <v>4</v>
      </c>
      <c r="J799" s="81">
        <f ca="1">IFERROR(__xludf.DUMMYFUNCTION("""COMPUTED_VALUE"""),5)</f>
        <v>5</v>
      </c>
      <c r="K799" s="81">
        <f ca="1">IFERROR(__xludf.DUMMYFUNCTION("""COMPUTED_VALUE"""),80.95)</f>
        <v>80.95</v>
      </c>
      <c r="L799" s="81">
        <f ca="1">IFERROR(__xludf.DUMMYFUNCTION("""COMPUTED_VALUE"""),75.25)</f>
        <v>75.25</v>
      </c>
      <c r="M799" s="81"/>
      <c r="N799" s="81">
        <f ca="1">IFERROR(__xludf.DUMMYFUNCTION("""COMPUTED_VALUE"""),80.95)</f>
        <v>80.95</v>
      </c>
      <c r="O799" s="81"/>
      <c r="P799" s="81">
        <f ca="1">IFERROR(__xludf.DUMMYFUNCTION("""COMPUTED_VALUE"""),76.55)</f>
        <v>76.55</v>
      </c>
      <c r="Q799" s="81"/>
      <c r="R799" s="81">
        <f ca="1">IFERROR(__xludf.DUMMYFUNCTION("""COMPUTED_VALUE"""),-101.5)</f>
        <v>-101.5</v>
      </c>
      <c r="S799" s="81"/>
      <c r="T799" s="81"/>
      <c r="U799" s="82"/>
      <c r="V799" s="82"/>
      <c r="W799" s="83"/>
      <c r="X799" s="83"/>
      <c r="Y799" s="83"/>
    </row>
    <row r="800" spans="1:25" ht="13.8">
      <c r="A800" s="78" t="str">
        <f ca="1">IFERROR(__xludf.DUMMYFUNCTION("""COMPUTED_VALUE"""),"GF")</f>
        <v>GF</v>
      </c>
      <c r="B800" s="79" t="str">
        <f ca="1">IFERROR(__xludf.DUMMYFUNCTION("""COMPUTED_VALUE"""),"Christine Rolph")</f>
        <v>Christine Rolph</v>
      </c>
      <c r="C800" s="78">
        <f ca="1">IFERROR(__xludf.DUMMYFUNCTION("""COMPUTED_VALUE"""),11)</f>
        <v>11</v>
      </c>
      <c r="D800" s="78" t="str">
        <f ca="1">IFERROR(__xludf.DUMMYFUNCTION("""COMPUTED_VALUE"""),"G")</f>
        <v>G</v>
      </c>
      <c r="E800" s="80" t="str">
        <f ca="1">IFERROR(__xludf.DUMMYFUNCTION("""COMPUTED_VALUE"""),"J")</f>
        <v>J</v>
      </c>
      <c r="F800" s="80" t="str">
        <f ca="1">IFERROR(__xludf.DUMMYFUNCTION("""COMPUTED_VALUE"""),"I")</f>
        <v>I</v>
      </c>
      <c r="G800" s="80">
        <f ca="1">IFERROR(__xludf.DUMMYFUNCTION("""COMPUTED_VALUE"""),2)</f>
        <v>2</v>
      </c>
      <c r="H800" s="80" t="str">
        <f ca="1">IFERROR(__xludf.DUMMYFUNCTION("""COMPUTED_VALUE"""),"GF")</f>
        <v>GF</v>
      </c>
      <c r="I800" s="80">
        <f ca="1">IFERROR(__xludf.DUMMYFUNCTION("""COMPUTED_VALUE"""),4)</f>
        <v>4</v>
      </c>
      <c r="J800" s="81">
        <f ca="1">IFERROR(__xludf.DUMMYFUNCTION("""COMPUTED_VALUE"""),0)</f>
        <v>0</v>
      </c>
      <c r="K800" s="81">
        <f ca="1">IFERROR(__xludf.DUMMYFUNCTION("""COMPUTED_VALUE"""),0)</f>
        <v>0</v>
      </c>
      <c r="L800" s="81">
        <f ca="1">IFERROR(__xludf.DUMMYFUNCTION("""COMPUTED_VALUE"""),0)</f>
        <v>0</v>
      </c>
      <c r="M800" s="81"/>
      <c r="N800" s="81">
        <f ca="1">IFERROR(__xludf.DUMMYFUNCTION("""COMPUTED_VALUE"""),0)</f>
        <v>0</v>
      </c>
      <c r="O800" s="81"/>
      <c r="P800" s="81">
        <f ca="1">IFERROR(__xludf.DUMMYFUNCTION("""COMPUTED_VALUE"""),0)</f>
        <v>0</v>
      </c>
      <c r="Q800" s="81"/>
      <c r="R800" s="81">
        <f ca="1">IFERROR(__xludf.DUMMYFUNCTION("""COMPUTED_VALUE"""),0)</f>
        <v>0</v>
      </c>
      <c r="S800" s="81"/>
      <c r="T800" s="81"/>
      <c r="U800" s="82"/>
      <c r="V800" s="82"/>
      <c r="W800" s="83"/>
      <c r="X800" s="83"/>
      <c r="Y800" s="83"/>
    </row>
    <row r="801" spans="1:25" ht="13.8">
      <c r="A801" s="78" t="str">
        <f ca="1">IFERROR(__xludf.DUMMYFUNCTION("""COMPUTED_VALUE"""),"GF")</f>
        <v>GF</v>
      </c>
      <c r="B801" s="79" t="str">
        <f ca="1">IFERROR(__xludf.DUMMYFUNCTION("""COMPUTED_VALUE"""),"Gigi Ruse")</f>
        <v>Gigi Ruse</v>
      </c>
      <c r="C801" s="78">
        <f ca="1">IFERROR(__xludf.DUMMYFUNCTION("""COMPUTED_VALUE"""),12)</f>
        <v>12</v>
      </c>
      <c r="D801" s="78" t="str">
        <f ca="1">IFERROR(__xludf.DUMMYFUNCTION("""COMPUTED_VALUE"""),"G")</f>
        <v>G</v>
      </c>
      <c r="E801" s="80" t="str">
        <f ca="1">IFERROR(__xludf.DUMMYFUNCTION("""COMPUTED_VALUE"""),"J")</f>
        <v>J</v>
      </c>
      <c r="F801" s="80" t="str">
        <f ca="1">IFERROR(__xludf.DUMMYFUNCTION("""COMPUTED_VALUE"""),"I")</f>
        <v>I</v>
      </c>
      <c r="G801" s="80">
        <f ca="1">IFERROR(__xludf.DUMMYFUNCTION("""COMPUTED_VALUE"""),2)</f>
        <v>2</v>
      </c>
      <c r="H801" s="80" t="str">
        <f ca="1">IFERROR(__xludf.DUMMYFUNCTION("""COMPUTED_VALUE"""),"GF")</f>
        <v>GF</v>
      </c>
      <c r="I801" s="80">
        <f ca="1">IFERROR(__xludf.DUMMYFUNCTION("""COMPUTED_VALUE"""),4)</f>
        <v>4</v>
      </c>
      <c r="J801" s="81">
        <f ca="1">IFERROR(__xludf.DUMMYFUNCTION("""COMPUTED_VALUE"""),3)</f>
        <v>3</v>
      </c>
      <c r="K801" s="81">
        <f ca="1">IFERROR(__xludf.DUMMYFUNCTION("""COMPUTED_VALUE"""),85.05)</f>
        <v>85.05</v>
      </c>
      <c r="L801" s="81">
        <f ca="1">IFERROR(__xludf.DUMMYFUNCTION("""COMPUTED_VALUE"""),0)</f>
        <v>0</v>
      </c>
      <c r="M801" s="81"/>
      <c r="N801" s="81">
        <f ca="1">IFERROR(__xludf.DUMMYFUNCTION("""COMPUTED_VALUE"""),0)</f>
        <v>0</v>
      </c>
      <c r="O801" s="81"/>
      <c r="P801" s="81">
        <f ca="1">IFERROR(__xludf.DUMMYFUNCTION("""COMPUTED_VALUE"""),82.5)</f>
        <v>82.5</v>
      </c>
      <c r="Q801" s="81"/>
      <c r="R801" s="81">
        <f ca="1">IFERROR(__xludf.DUMMYFUNCTION("""COMPUTED_VALUE"""),85.05)</f>
        <v>85.05</v>
      </c>
      <c r="S801" s="81"/>
      <c r="T801" s="81"/>
      <c r="U801" s="82"/>
      <c r="V801" s="82"/>
      <c r="W801" s="83"/>
      <c r="X801" s="83"/>
      <c r="Y801" s="83"/>
    </row>
    <row r="802" spans="1:25" ht="13.8">
      <c r="A802" s="78" t="str">
        <f ca="1">IFERROR(__xludf.DUMMYFUNCTION("""COMPUTED_VALUE"""),"GF")</f>
        <v>GF</v>
      </c>
      <c r="B802" s="79" t="str">
        <f ca="1">IFERROR(__xludf.DUMMYFUNCTION("""COMPUTED_VALUE"""),"Samantha Schiller")</f>
        <v>Samantha Schiller</v>
      </c>
      <c r="C802" s="78">
        <f ca="1">IFERROR(__xludf.DUMMYFUNCTION("""COMPUTED_VALUE"""),12)</f>
        <v>12</v>
      </c>
      <c r="D802" s="78" t="str">
        <f ca="1">IFERROR(__xludf.DUMMYFUNCTION("""COMPUTED_VALUE"""),"G")</f>
        <v>G</v>
      </c>
      <c r="E802" s="80" t="str">
        <f ca="1">IFERROR(__xludf.DUMMYFUNCTION("""COMPUTED_VALUE"""),"J")</f>
        <v>J</v>
      </c>
      <c r="F802" s="80" t="str">
        <f ca="1">IFERROR(__xludf.DUMMYFUNCTION("""COMPUTED_VALUE"""),"I")</f>
        <v>I</v>
      </c>
      <c r="G802" s="80">
        <f ca="1">IFERROR(__xludf.DUMMYFUNCTION("""COMPUTED_VALUE"""),2)</f>
        <v>2</v>
      </c>
      <c r="H802" s="80" t="str">
        <f ca="1">IFERROR(__xludf.DUMMYFUNCTION("""COMPUTED_VALUE"""),"GF")</f>
        <v>GF</v>
      </c>
      <c r="I802" s="80">
        <f ca="1">IFERROR(__xludf.DUMMYFUNCTION("""COMPUTED_VALUE"""),4)</f>
        <v>4</v>
      </c>
      <c r="J802" s="81">
        <f ca="1">IFERROR(__xludf.DUMMYFUNCTION("""COMPUTED_VALUE"""),0)</f>
        <v>0</v>
      </c>
      <c r="K802" s="81">
        <f ca="1">IFERROR(__xludf.DUMMYFUNCTION("""COMPUTED_VALUE"""),0)</f>
        <v>0</v>
      </c>
      <c r="L802" s="81">
        <f ca="1">IFERROR(__xludf.DUMMYFUNCTION("""COMPUTED_VALUE"""),0)</f>
        <v>0</v>
      </c>
      <c r="M802" s="81"/>
      <c r="N802" s="81">
        <f ca="1">IFERROR(__xludf.DUMMYFUNCTION("""COMPUTED_VALUE"""),0)</f>
        <v>0</v>
      </c>
      <c r="O802" s="81"/>
      <c r="P802" s="81">
        <f ca="1">IFERROR(__xludf.DUMMYFUNCTION("""COMPUTED_VALUE"""),0)</f>
        <v>0</v>
      </c>
      <c r="Q802" s="81"/>
      <c r="R802" s="81">
        <f ca="1">IFERROR(__xludf.DUMMYFUNCTION("""COMPUTED_VALUE"""),0)</f>
        <v>0</v>
      </c>
      <c r="S802" s="81"/>
      <c r="T802" s="81"/>
      <c r="U802" s="82"/>
      <c r="V802" s="82"/>
      <c r="W802" s="83"/>
      <c r="X802" s="83"/>
      <c r="Y802" s="83"/>
    </row>
    <row r="803" spans="1:25" ht="13.8">
      <c r="A803" s="78" t="str">
        <f ca="1">IFERROR(__xludf.DUMMYFUNCTION("""COMPUTED_VALUE"""),"GF")</f>
        <v>GF</v>
      </c>
      <c r="B803" s="79" t="str">
        <f ca="1">IFERROR(__xludf.DUMMYFUNCTION("""COMPUTED_VALUE"""),"Peter Baird")</f>
        <v>Peter Baird</v>
      </c>
      <c r="C803" s="78">
        <f ca="1">IFERROR(__xludf.DUMMYFUNCTION("""COMPUTED_VALUE"""),12)</f>
        <v>12</v>
      </c>
      <c r="D803" s="78" t="str">
        <f ca="1">IFERROR(__xludf.DUMMYFUNCTION("""COMPUTED_VALUE"""),"B")</f>
        <v>B</v>
      </c>
      <c r="E803" s="80" t="str">
        <f ca="1">IFERROR(__xludf.DUMMYFUNCTION("""COMPUTED_VALUE"""),"J")</f>
        <v>J</v>
      </c>
      <c r="F803" s="80" t="str">
        <f ca="1">IFERROR(__xludf.DUMMYFUNCTION("""COMPUTED_VALUE"""),"I")</f>
        <v>I</v>
      </c>
      <c r="G803" s="80">
        <f ca="1">IFERROR(__xludf.DUMMYFUNCTION("""COMPUTED_VALUE"""),2)</f>
        <v>2</v>
      </c>
      <c r="H803" s="80" t="str">
        <f ca="1">IFERROR(__xludf.DUMMYFUNCTION("""COMPUTED_VALUE"""),"GF")</f>
        <v>GF</v>
      </c>
      <c r="I803" s="80">
        <f ca="1">IFERROR(__xludf.DUMMYFUNCTION("""COMPUTED_VALUE"""),5)</f>
        <v>5</v>
      </c>
      <c r="J803" s="81">
        <f ca="1">IFERROR(__xludf.DUMMYFUNCTION("""COMPUTED_VALUE"""),4)</f>
        <v>4</v>
      </c>
      <c r="K803" s="81">
        <f ca="1">IFERROR(__xludf.DUMMYFUNCTION("""COMPUTED_VALUE"""),80.05)</f>
        <v>80.05</v>
      </c>
      <c r="L803" s="81">
        <f ca="1">IFERROR(__xludf.DUMMYFUNCTION("""COMPUTED_VALUE"""),71.2)</f>
        <v>71.2</v>
      </c>
      <c r="M803" s="81"/>
      <c r="N803" s="81">
        <f ca="1">IFERROR(__xludf.DUMMYFUNCTION("""COMPUTED_VALUE"""),-103.8)</f>
        <v>-103.8</v>
      </c>
      <c r="O803" s="81"/>
      <c r="P803" s="81">
        <f ca="1">IFERROR(__xludf.DUMMYFUNCTION("""COMPUTED_VALUE"""),0)</f>
        <v>0</v>
      </c>
      <c r="Q803" s="81"/>
      <c r="R803" s="81">
        <f ca="1">IFERROR(__xludf.DUMMYFUNCTION("""COMPUTED_VALUE"""),80.05)</f>
        <v>80.05</v>
      </c>
      <c r="S803" s="81"/>
      <c r="T803" s="81"/>
      <c r="U803" s="82"/>
      <c r="V803" s="82"/>
      <c r="W803" s="83"/>
      <c r="X803" s="83"/>
      <c r="Y803" s="83"/>
    </row>
    <row r="804" spans="1:25" ht="13.8">
      <c r="A804" s="78" t="str">
        <f ca="1">IFERROR(__xludf.DUMMYFUNCTION("""COMPUTED_VALUE"""),"GF")</f>
        <v>GF</v>
      </c>
      <c r="B804" s="79" t="str">
        <f ca="1">IFERROR(__xludf.DUMMYFUNCTION("""COMPUTED_VALUE"""),"Grant Clark")</f>
        <v>Grant Clark</v>
      </c>
      <c r="C804" s="78">
        <f ca="1">IFERROR(__xludf.DUMMYFUNCTION("""COMPUTED_VALUE"""),11)</f>
        <v>11</v>
      </c>
      <c r="D804" s="78" t="str">
        <f ca="1">IFERROR(__xludf.DUMMYFUNCTION("""COMPUTED_VALUE"""),"B")</f>
        <v>B</v>
      </c>
      <c r="E804" s="80" t="str">
        <f ca="1">IFERROR(__xludf.DUMMYFUNCTION("""COMPUTED_VALUE"""),"J")</f>
        <v>J</v>
      </c>
      <c r="F804" s="80" t="str">
        <f ca="1">IFERROR(__xludf.DUMMYFUNCTION("""COMPUTED_VALUE"""),"I")</f>
        <v>I</v>
      </c>
      <c r="G804" s="80">
        <f ca="1">IFERROR(__xludf.DUMMYFUNCTION("""COMPUTED_VALUE"""),2)</f>
        <v>2</v>
      </c>
      <c r="H804" s="80" t="str">
        <f ca="1">IFERROR(__xludf.DUMMYFUNCTION("""COMPUTED_VALUE"""),"GF")</f>
        <v>GF</v>
      </c>
      <c r="I804" s="80">
        <f ca="1">IFERROR(__xludf.DUMMYFUNCTION("""COMPUTED_VALUE"""),5)</f>
        <v>5</v>
      </c>
      <c r="J804" s="81">
        <f ca="1">IFERROR(__xludf.DUMMYFUNCTION("""COMPUTED_VALUE"""),0)</f>
        <v>0</v>
      </c>
      <c r="K804" s="81">
        <f ca="1">IFERROR(__xludf.DUMMYFUNCTION("""COMPUTED_VALUE"""),0)</f>
        <v>0</v>
      </c>
      <c r="L804" s="81">
        <f ca="1">IFERROR(__xludf.DUMMYFUNCTION("""COMPUTED_VALUE"""),0)</f>
        <v>0</v>
      </c>
      <c r="M804" s="81"/>
      <c r="N804" s="81">
        <f ca="1">IFERROR(__xludf.DUMMYFUNCTION("""COMPUTED_VALUE"""),0)</f>
        <v>0</v>
      </c>
      <c r="O804" s="81"/>
      <c r="P804" s="81">
        <f ca="1">IFERROR(__xludf.DUMMYFUNCTION("""COMPUTED_VALUE"""),0)</f>
        <v>0</v>
      </c>
      <c r="Q804" s="81"/>
      <c r="R804" s="81">
        <f ca="1">IFERROR(__xludf.DUMMYFUNCTION("""COMPUTED_VALUE"""),0)</f>
        <v>0</v>
      </c>
      <c r="S804" s="81"/>
      <c r="T804" s="81"/>
      <c r="U804" s="82"/>
      <c r="V804" s="82"/>
      <c r="W804" s="83"/>
      <c r="X804" s="83"/>
      <c r="Y804" s="83"/>
    </row>
    <row r="805" spans="1:25" ht="13.8">
      <c r="A805" s="78" t="str">
        <f ca="1">IFERROR(__xludf.DUMMYFUNCTION("""COMPUTED_VALUE"""),"GF")</f>
        <v>GF</v>
      </c>
      <c r="B805" s="79" t="str">
        <f ca="1">IFERROR(__xludf.DUMMYFUNCTION("""COMPUTED_VALUE"""),"Hudson Clayton")</f>
        <v>Hudson Clayton</v>
      </c>
      <c r="C805" s="78">
        <f ca="1">IFERROR(__xludf.DUMMYFUNCTION("""COMPUTED_VALUE"""),11)</f>
        <v>11</v>
      </c>
      <c r="D805" s="78" t="str">
        <f ca="1">IFERROR(__xludf.DUMMYFUNCTION("""COMPUTED_VALUE"""),"B")</f>
        <v>B</v>
      </c>
      <c r="E805" s="80" t="str">
        <f ca="1">IFERROR(__xludf.DUMMYFUNCTION("""COMPUTED_VALUE"""),"J")</f>
        <v>J</v>
      </c>
      <c r="F805" s="80" t="str">
        <f ca="1">IFERROR(__xludf.DUMMYFUNCTION("""COMPUTED_VALUE"""),"I")</f>
        <v>I</v>
      </c>
      <c r="G805" s="80">
        <f ca="1">IFERROR(__xludf.DUMMYFUNCTION("""COMPUTED_VALUE"""),2)</f>
        <v>2</v>
      </c>
      <c r="H805" s="80" t="str">
        <f ca="1">IFERROR(__xludf.DUMMYFUNCTION("""COMPUTED_VALUE"""),"GF")</f>
        <v>GF</v>
      </c>
      <c r="I805" s="80">
        <f ca="1">IFERROR(__xludf.DUMMYFUNCTION("""COMPUTED_VALUE"""),5)</f>
        <v>5</v>
      </c>
      <c r="J805" s="81">
        <f ca="1">IFERROR(__xludf.DUMMYFUNCTION("""COMPUTED_VALUE"""),0)</f>
        <v>0</v>
      </c>
      <c r="K805" s="81">
        <f ca="1">IFERROR(__xludf.DUMMYFUNCTION("""COMPUTED_VALUE"""),0)</f>
        <v>0</v>
      </c>
      <c r="L805" s="81">
        <f ca="1">IFERROR(__xludf.DUMMYFUNCTION("""COMPUTED_VALUE"""),0)</f>
        <v>0</v>
      </c>
      <c r="M805" s="81"/>
      <c r="N805" s="81">
        <f ca="1">IFERROR(__xludf.DUMMYFUNCTION("""COMPUTED_VALUE"""),0)</f>
        <v>0</v>
      </c>
      <c r="O805" s="81"/>
      <c r="P805" s="81">
        <f ca="1">IFERROR(__xludf.DUMMYFUNCTION("""COMPUTED_VALUE"""),0)</f>
        <v>0</v>
      </c>
      <c r="Q805" s="81"/>
      <c r="R805" s="81">
        <f ca="1">IFERROR(__xludf.DUMMYFUNCTION("""COMPUTED_VALUE"""),0)</f>
        <v>0</v>
      </c>
      <c r="S805" s="81"/>
      <c r="T805" s="81"/>
      <c r="U805" s="82"/>
      <c r="V805" s="82"/>
      <c r="W805" s="83"/>
      <c r="X805" s="83"/>
      <c r="Y805" s="83"/>
    </row>
    <row r="806" spans="1:25" ht="13.8">
      <c r="A806" s="78" t="str">
        <f ca="1">IFERROR(__xludf.DUMMYFUNCTION("""COMPUTED_VALUE"""),"GF")</f>
        <v>GF</v>
      </c>
      <c r="B806" s="79" t="str">
        <f ca="1">IFERROR(__xludf.DUMMYFUNCTION("""COMPUTED_VALUE"""),"Lucian DeBellia")</f>
        <v>Lucian DeBellia</v>
      </c>
      <c r="C806" s="78">
        <f ca="1">IFERROR(__xludf.DUMMYFUNCTION("""COMPUTED_VALUE"""),11)</f>
        <v>11</v>
      </c>
      <c r="D806" s="78" t="str">
        <f ca="1">IFERROR(__xludf.DUMMYFUNCTION("""COMPUTED_VALUE"""),"B")</f>
        <v>B</v>
      </c>
      <c r="E806" s="80" t="str">
        <f ca="1">IFERROR(__xludf.DUMMYFUNCTION("""COMPUTED_VALUE"""),"J")</f>
        <v>J</v>
      </c>
      <c r="F806" s="80" t="str">
        <f ca="1">IFERROR(__xludf.DUMMYFUNCTION("""COMPUTED_VALUE"""),"I")</f>
        <v>I</v>
      </c>
      <c r="G806" s="80">
        <f ca="1">IFERROR(__xludf.DUMMYFUNCTION("""COMPUTED_VALUE"""),2)</f>
        <v>2</v>
      </c>
      <c r="H806" s="80" t="str">
        <f ca="1">IFERROR(__xludf.DUMMYFUNCTION("""COMPUTED_VALUE"""),"GF")</f>
        <v>GF</v>
      </c>
      <c r="I806" s="80">
        <f ca="1">IFERROR(__xludf.DUMMYFUNCTION("""COMPUTED_VALUE"""),5)</f>
        <v>5</v>
      </c>
      <c r="J806" s="81">
        <f ca="1">IFERROR(__xludf.DUMMYFUNCTION("""COMPUTED_VALUE"""),1)</f>
        <v>1</v>
      </c>
      <c r="K806" s="81">
        <f ca="1">IFERROR(__xludf.DUMMYFUNCTION("""COMPUTED_VALUE"""),0)</f>
        <v>0</v>
      </c>
      <c r="L806" s="81" t="str">
        <f ca="1">IFERROR(__xludf.DUMMYFUNCTION("""COMPUTED_VALUE""")," DQ")</f>
        <v xml:space="preserve"> DQ</v>
      </c>
      <c r="M806" s="81"/>
      <c r="N806" s="81">
        <f ca="1">IFERROR(__xludf.DUMMYFUNCTION("""COMPUTED_VALUE"""),0)</f>
        <v>0</v>
      </c>
      <c r="O806" s="81"/>
      <c r="P806" s="81">
        <f ca="1">IFERROR(__xludf.DUMMYFUNCTION("""COMPUTED_VALUE"""),0)</f>
        <v>0</v>
      </c>
      <c r="Q806" s="81"/>
      <c r="R806" s="81">
        <f ca="1">IFERROR(__xludf.DUMMYFUNCTION("""COMPUTED_VALUE"""),0)</f>
        <v>0</v>
      </c>
      <c r="S806" s="81"/>
      <c r="T806" s="81"/>
      <c r="U806" s="82"/>
      <c r="V806" s="82"/>
      <c r="W806" s="83"/>
      <c r="X806" s="83"/>
      <c r="Y806" s="83"/>
    </row>
    <row r="807" spans="1:25" ht="13.8">
      <c r="A807" s="78" t="str">
        <f ca="1">IFERROR(__xludf.DUMMYFUNCTION("""COMPUTED_VALUE"""),"GF")</f>
        <v>GF</v>
      </c>
      <c r="B807" s="79" t="str">
        <f ca="1">IFERROR(__xludf.DUMMYFUNCTION("""COMPUTED_VALUE"""),"Trey Donovan")</f>
        <v>Trey Donovan</v>
      </c>
      <c r="C807" s="78">
        <f ca="1">IFERROR(__xludf.DUMMYFUNCTION("""COMPUTED_VALUE"""),11)</f>
        <v>11</v>
      </c>
      <c r="D807" s="78" t="str">
        <f ca="1">IFERROR(__xludf.DUMMYFUNCTION("""COMPUTED_VALUE"""),"B")</f>
        <v>B</v>
      </c>
      <c r="E807" s="80" t="str">
        <f ca="1">IFERROR(__xludf.DUMMYFUNCTION("""COMPUTED_VALUE"""),"J")</f>
        <v>J</v>
      </c>
      <c r="F807" s="80" t="str">
        <f ca="1">IFERROR(__xludf.DUMMYFUNCTION("""COMPUTED_VALUE"""),"I")</f>
        <v>I</v>
      </c>
      <c r="G807" s="80">
        <f ca="1">IFERROR(__xludf.DUMMYFUNCTION("""COMPUTED_VALUE"""),2)</f>
        <v>2</v>
      </c>
      <c r="H807" s="80" t="str">
        <f ca="1">IFERROR(__xludf.DUMMYFUNCTION("""COMPUTED_VALUE"""),"GF")</f>
        <v>GF</v>
      </c>
      <c r="I807" s="80">
        <f ca="1">IFERROR(__xludf.DUMMYFUNCTION("""COMPUTED_VALUE"""),5)</f>
        <v>5</v>
      </c>
      <c r="J807" s="81">
        <f ca="1">IFERROR(__xludf.DUMMYFUNCTION("""COMPUTED_VALUE"""),1)</f>
        <v>1</v>
      </c>
      <c r="K807" s="81">
        <f ca="1">IFERROR(__xludf.DUMMYFUNCTION("""COMPUTED_VALUE"""),55.8)</f>
        <v>55.8</v>
      </c>
      <c r="L807" s="81">
        <f ca="1">IFERROR(__xludf.DUMMYFUNCTION("""COMPUTED_VALUE"""),0)</f>
        <v>0</v>
      </c>
      <c r="M807" s="81"/>
      <c r="N807" s="81">
        <f ca="1">IFERROR(__xludf.DUMMYFUNCTION("""COMPUTED_VALUE"""),55.8)</f>
        <v>55.8</v>
      </c>
      <c r="O807" s="81"/>
      <c r="P807" s="81">
        <f ca="1">IFERROR(__xludf.DUMMYFUNCTION("""COMPUTED_VALUE"""),0)</f>
        <v>0</v>
      </c>
      <c r="Q807" s="81"/>
      <c r="R807" s="81">
        <f ca="1">IFERROR(__xludf.DUMMYFUNCTION("""COMPUTED_VALUE"""),0)</f>
        <v>0</v>
      </c>
      <c r="S807" s="81"/>
      <c r="T807" s="81"/>
      <c r="U807" s="82"/>
      <c r="V807" s="82"/>
      <c r="W807" s="83"/>
      <c r="X807" s="83"/>
      <c r="Y807" s="83"/>
    </row>
    <row r="808" spans="1:25" ht="13.8">
      <c r="A808" s="78" t="str">
        <f ca="1">IFERROR(__xludf.DUMMYFUNCTION("""COMPUTED_VALUE"""),"GF")</f>
        <v>GF</v>
      </c>
      <c r="B808" s="79" t="str">
        <f ca="1">IFERROR(__xludf.DUMMYFUNCTION("""COMPUTED_VALUE"""),"Vincent Landi")</f>
        <v>Vincent Landi</v>
      </c>
      <c r="C808" s="78">
        <f ca="1">IFERROR(__xludf.DUMMYFUNCTION("""COMPUTED_VALUE"""),11)</f>
        <v>11</v>
      </c>
      <c r="D808" s="78" t="str">
        <f ca="1">IFERROR(__xludf.DUMMYFUNCTION("""COMPUTED_VALUE"""),"B")</f>
        <v>B</v>
      </c>
      <c r="E808" s="80" t="str">
        <f ca="1">IFERROR(__xludf.DUMMYFUNCTION("""COMPUTED_VALUE"""),"J")</f>
        <v>J</v>
      </c>
      <c r="F808" s="80" t="str">
        <f ca="1">IFERROR(__xludf.DUMMYFUNCTION("""COMPUTED_VALUE"""),"I")</f>
        <v>I</v>
      </c>
      <c r="G808" s="80">
        <f ca="1">IFERROR(__xludf.DUMMYFUNCTION("""COMPUTED_VALUE"""),2)</f>
        <v>2</v>
      </c>
      <c r="H808" s="80" t="str">
        <f ca="1">IFERROR(__xludf.DUMMYFUNCTION("""COMPUTED_VALUE"""),"GF")</f>
        <v>GF</v>
      </c>
      <c r="I808" s="80">
        <f ca="1">IFERROR(__xludf.DUMMYFUNCTION("""COMPUTED_VALUE"""),5)</f>
        <v>5</v>
      </c>
      <c r="J808" s="81">
        <f ca="1">IFERROR(__xludf.DUMMYFUNCTION("""COMPUTED_VALUE"""),3)</f>
        <v>3</v>
      </c>
      <c r="K808" s="81">
        <f ca="1">IFERROR(__xludf.DUMMYFUNCTION("""COMPUTED_VALUE"""),73.25)</f>
        <v>73.25</v>
      </c>
      <c r="L808" s="81">
        <f ca="1">IFERROR(__xludf.DUMMYFUNCTION("""COMPUTED_VALUE"""),73.25)</f>
        <v>73.25</v>
      </c>
      <c r="M808" s="81"/>
      <c r="N808" s="81">
        <f ca="1">IFERROR(__xludf.DUMMYFUNCTION("""COMPUTED_VALUE"""),0)</f>
        <v>0</v>
      </c>
      <c r="O808" s="81"/>
      <c r="P808" s="81">
        <f ca="1">IFERROR(__xludf.DUMMYFUNCTION("""COMPUTED_VALUE"""),68.55)</f>
        <v>68.55</v>
      </c>
      <c r="Q808" s="81"/>
      <c r="R808" s="81">
        <f ca="1">IFERROR(__xludf.DUMMYFUNCTION("""COMPUTED_VALUE"""),0)</f>
        <v>0</v>
      </c>
      <c r="S808" s="81"/>
      <c r="T808" s="81"/>
      <c r="U808" s="82"/>
      <c r="V808" s="82"/>
      <c r="W808" s="83"/>
      <c r="X808" s="83"/>
      <c r="Y808" s="83"/>
    </row>
    <row r="809" spans="1:25" ht="13.8">
      <c r="A809" s="78" t="str">
        <f ca="1">IFERROR(__xludf.DUMMYFUNCTION("""COMPUTED_VALUE"""),"GF")</f>
        <v>GF</v>
      </c>
      <c r="B809" s="79" t="str">
        <f ca="1">IFERROR(__xludf.DUMMYFUNCTION("""COMPUTED_VALUE"""),"Ella Decker")</f>
        <v>Ella Decker</v>
      </c>
      <c r="C809" s="78">
        <f ca="1">IFERROR(__xludf.DUMMYFUNCTION("""COMPUTED_VALUE"""),13)</f>
        <v>13</v>
      </c>
      <c r="D809" s="78" t="str">
        <f ca="1">IFERROR(__xludf.DUMMYFUNCTION("""COMPUTED_VALUE"""),"G")</f>
        <v>G</v>
      </c>
      <c r="E809" s="80" t="str">
        <f ca="1">IFERROR(__xludf.DUMMYFUNCTION("""COMPUTED_VALUE"""),"I")</f>
        <v>I</v>
      </c>
      <c r="F809" s="80" t="str">
        <f ca="1">IFERROR(__xludf.DUMMYFUNCTION("""COMPUTED_VALUE"""),"S")</f>
        <v>S</v>
      </c>
      <c r="G809" s="80">
        <f ca="1">IFERROR(__xludf.DUMMYFUNCTION("""COMPUTED_VALUE"""),2)</f>
        <v>2</v>
      </c>
      <c r="H809" s="80" t="str">
        <f ca="1">IFERROR(__xludf.DUMMYFUNCTION("""COMPUTED_VALUE"""),"GF")</f>
        <v>GF</v>
      </c>
      <c r="I809" s="80">
        <f ca="1">IFERROR(__xludf.DUMMYFUNCTION("""COMPUTED_VALUE"""),6)</f>
        <v>6</v>
      </c>
      <c r="J809" s="81">
        <f ca="1">IFERROR(__xludf.DUMMYFUNCTION("""COMPUTED_VALUE"""),4)</f>
        <v>4</v>
      </c>
      <c r="K809" s="81">
        <f ca="1">IFERROR(__xludf.DUMMYFUNCTION("""COMPUTED_VALUE"""),111.8)</f>
        <v>111.8</v>
      </c>
      <c r="L809" s="81">
        <f ca="1">IFERROR(__xludf.DUMMYFUNCTION("""COMPUTED_VALUE"""),111.8)</f>
        <v>111.8</v>
      </c>
      <c r="M809" s="81"/>
      <c r="N809" s="81">
        <f ca="1">IFERROR(__xludf.DUMMYFUNCTION("""COMPUTED_VALUE"""),0)</f>
        <v>0</v>
      </c>
      <c r="O809" s="81"/>
      <c r="P809" s="81">
        <f ca="1">IFERROR(__xludf.DUMMYFUNCTION("""COMPUTED_VALUE"""),107.4)</f>
        <v>107.4</v>
      </c>
      <c r="Q809" s="81"/>
      <c r="R809" s="81">
        <f ca="1">IFERROR(__xludf.DUMMYFUNCTION("""COMPUTED_VALUE"""),103.3)</f>
        <v>103.3</v>
      </c>
      <c r="S809" s="81"/>
      <c r="T809" s="81"/>
      <c r="U809" s="82"/>
      <c r="V809" s="82"/>
      <c r="W809" s="83"/>
      <c r="X809" s="83"/>
      <c r="Y809" s="83"/>
    </row>
    <row r="810" spans="1:25" ht="13.8">
      <c r="A810" s="78" t="str">
        <f ca="1">IFERROR(__xludf.DUMMYFUNCTION("""COMPUTED_VALUE"""),"GF")</f>
        <v>GF</v>
      </c>
      <c r="B810" s="79" t="str">
        <f ca="1">IFERROR(__xludf.DUMMYFUNCTION("""COMPUTED_VALUE"""),"Corinne Jaggard")</f>
        <v>Corinne Jaggard</v>
      </c>
      <c r="C810" s="78">
        <f ca="1">IFERROR(__xludf.DUMMYFUNCTION("""COMPUTED_VALUE"""),14)</f>
        <v>14</v>
      </c>
      <c r="D810" s="78" t="str">
        <f ca="1">IFERROR(__xludf.DUMMYFUNCTION("""COMPUTED_VALUE"""),"G")</f>
        <v>G</v>
      </c>
      <c r="E810" s="80" t="str">
        <f ca="1">IFERROR(__xludf.DUMMYFUNCTION("""COMPUTED_VALUE"""),"I")</f>
        <v>I</v>
      </c>
      <c r="F810" s="80" t="str">
        <f ca="1">IFERROR(__xludf.DUMMYFUNCTION("""COMPUTED_VALUE"""),"S")</f>
        <v>S</v>
      </c>
      <c r="G810" s="80">
        <f ca="1">IFERROR(__xludf.DUMMYFUNCTION("""COMPUTED_VALUE"""),2)</f>
        <v>2</v>
      </c>
      <c r="H810" s="80" t="str">
        <f ca="1">IFERROR(__xludf.DUMMYFUNCTION("""COMPUTED_VALUE"""),"GF")</f>
        <v>GF</v>
      </c>
      <c r="I810" s="80">
        <f ca="1">IFERROR(__xludf.DUMMYFUNCTION("""COMPUTED_VALUE"""),6)</f>
        <v>6</v>
      </c>
      <c r="J810" s="81">
        <f ca="1">IFERROR(__xludf.DUMMYFUNCTION("""COMPUTED_VALUE"""),1)</f>
        <v>1</v>
      </c>
      <c r="K810" s="81">
        <f ca="1">IFERROR(__xludf.DUMMYFUNCTION("""COMPUTED_VALUE"""),114.85)</f>
        <v>114.85</v>
      </c>
      <c r="L810" s="81">
        <f ca="1">IFERROR(__xludf.DUMMYFUNCTION("""COMPUTED_VALUE"""),0)</f>
        <v>0</v>
      </c>
      <c r="M810" s="81"/>
      <c r="N810" s="81">
        <f ca="1">IFERROR(__xludf.DUMMYFUNCTION("""COMPUTED_VALUE"""),114.85)</f>
        <v>114.85</v>
      </c>
      <c r="O810" s="81"/>
      <c r="P810" s="81">
        <f ca="1">IFERROR(__xludf.DUMMYFUNCTION("""COMPUTED_VALUE"""),0)</f>
        <v>0</v>
      </c>
      <c r="Q810" s="81"/>
      <c r="R810" s="81">
        <f ca="1">IFERROR(__xludf.DUMMYFUNCTION("""COMPUTED_VALUE"""),0)</f>
        <v>0</v>
      </c>
      <c r="S810" s="81"/>
      <c r="T810" s="81"/>
      <c r="U810" s="82"/>
      <c r="V810" s="82"/>
      <c r="W810" s="83"/>
      <c r="X810" s="83"/>
      <c r="Y810" s="83"/>
    </row>
    <row r="811" spans="1:25" ht="13.8">
      <c r="A811" s="78" t="str">
        <f ca="1">IFERROR(__xludf.DUMMYFUNCTION("""COMPUTED_VALUE"""),"GF")</f>
        <v>GF</v>
      </c>
      <c r="B811" s="79" t="str">
        <f ca="1">IFERROR(__xludf.DUMMYFUNCTION("""COMPUTED_VALUE"""),"Cami Knight")</f>
        <v>Cami Knight</v>
      </c>
      <c r="C811" s="78">
        <f ca="1">IFERROR(__xludf.DUMMYFUNCTION("""COMPUTED_VALUE"""),14)</f>
        <v>14</v>
      </c>
      <c r="D811" s="78" t="str">
        <f ca="1">IFERROR(__xludf.DUMMYFUNCTION("""COMPUTED_VALUE"""),"G")</f>
        <v>G</v>
      </c>
      <c r="E811" s="80" t="str">
        <f ca="1">IFERROR(__xludf.DUMMYFUNCTION("""COMPUTED_VALUE"""),"I")</f>
        <v>I</v>
      </c>
      <c r="F811" s="80" t="str">
        <f ca="1">IFERROR(__xludf.DUMMYFUNCTION("""COMPUTED_VALUE"""),"S")</f>
        <v>S</v>
      </c>
      <c r="G811" s="80">
        <f ca="1">IFERROR(__xludf.DUMMYFUNCTION("""COMPUTED_VALUE"""),2)</f>
        <v>2</v>
      </c>
      <c r="H811" s="80" t="str">
        <f ca="1">IFERROR(__xludf.DUMMYFUNCTION("""COMPUTED_VALUE"""),"GF")</f>
        <v>GF</v>
      </c>
      <c r="I811" s="80">
        <f ca="1">IFERROR(__xludf.DUMMYFUNCTION("""COMPUTED_VALUE"""),6)</f>
        <v>6</v>
      </c>
      <c r="J811" s="81">
        <f ca="1">IFERROR(__xludf.DUMMYFUNCTION("""COMPUTED_VALUE"""),0)</f>
        <v>0</v>
      </c>
      <c r="K811" s="81">
        <f ca="1">IFERROR(__xludf.DUMMYFUNCTION("""COMPUTED_VALUE"""),0)</f>
        <v>0</v>
      </c>
      <c r="L811" s="81">
        <f ca="1">IFERROR(__xludf.DUMMYFUNCTION("""COMPUTED_VALUE"""),0)</f>
        <v>0</v>
      </c>
      <c r="M811" s="81"/>
      <c r="N811" s="81">
        <f ca="1">IFERROR(__xludf.DUMMYFUNCTION("""COMPUTED_VALUE"""),0)</f>
        <v>0</v>
      </c>
      <c r="O811" s="81"/>
      <c r="P811" s="81">
        <f ca="1">IFERROR(__xludf.DUMMYFUNCTION("""COMPUTED_VALUE"""),0)</f>
        <v>0</v>
      </c>
      <c r="Q811" s="81"/>
      <c r="R811" s="81">
        <f ca="1">IFERROR(__xludf.DUMMYFUNCTION("""COMPUTED_VALUE"""),0)</f>
        <v>0</v>
      </c>
      <c r="S811" s="81"/>
      <c r="T811" s="81"/>
      <c r="U811" s="82"/>
      <c r="V811" s="82"/>
      <c r="W811" s="83"/>
      <c r="X811" s="83"/>
      <c r="Y811" s="83"/>
    </row>
    <row r="812" spans="1:25" ht="13.8">
      <c r="A812" s="78" t="str">
        <f ca="1">IFERROR(__xludf.DUMMYFUNCTION("""COMPUTED_VALUE"""),"GF")</f>
        <v>GF</v>
      </c>
      <c r="B812" s="79" t="str">
        <f ca="1">IFERROR(__xludf.DUMMYFUNCTION("""COMPUTED_VALUE"""),"Kebeer Chawla")</f>
        <v>Kebeer Chawla</v>
      </c>
      <c r="C812" s="78">
        <f ca="1">IFERROR(__xludf.DUMMYFUNCTION("""COMPUTED_VALUE"""),13)</f>
        <v>13</v>
      </c>
      <c r="D812" s="78" t="str">
        <f ca="1">IFERROR(__xludf.DUMMYFUNCTION("""COMPUTED_VALUE"""),"B")</f>
        <v>B</v>
      </c>
      <c r="E812" s="80" t="str">
        <f ca="1">IFERROR(__xludf.DUMMYFUNCTION("""COMPUTED_VALUE"""),"I")</f>
        <v>I</v>
      </c>
      <c r="F812" s="80" t="str">
        <f ca="1">IFERROR(__xludf.DUMMYFUNCTION("""COMPUTED_VALUE"""),"S")</f>
        <v>S</v>
      </c>
      <c r="G812" s="80">
        <f ca="1">IFERROR(__xludf.DUMMYFUNCTION("""COMPUTED_VALUE"""),2)</f>
        <v>2</v>
      </c>
      <c r="H812" s="80" t="str">
        <f ca="1">IFERROR(__xludf.DUMMYFUNCTION("""COMPUTED_VALUE"""),"GF")</f>
        <v>GF</v>
      </c>
      <c r="I812" s="80">
        <f ca="1">IFERROR(__xludf.DUMMYFUNCTION("""COMPUTED_VALUE"""),7)</f>
        <v>7</v>
      </c>
      <c r="J812" s="81">
        <f ca="1">IFERROR(__xludf.DUMMYFUNCTION("""COMPUTED_VALUE"""),0)</f>
        <v>0</v>
      </c>
      <c r="K812" s="81">
        <f ca="1">IFERROR(__xludf.DUMMYFUNCTION("""COMPUTED_VALUE"""),0)</f>
        <v>0</v>
      </c>
      <c r="L812" s="81">
        <f ca="1">IFERROR(__xludf.DUMMYFUNCTION("""COMPUTED_VALUE"""),0)</f>
        <v>0</v>
      </c>
      <c r="M812" s="81"/>
      <c r="N812" s="81">
        <f ca="1">IFERROR(__xludf.DUMMYFUNCTION("""COMPUTED_VALUE"""),0)</f>
        <v>0</v>
      </c>
      <c r="O812" s="81"/>
      <c r="P812" s="81">
        <f ca="1">IFERROR(__xludf.DUMMYFUNCTION("""COMPUTED_VALUE"""),0)</f>
        <v>0</v>
      </c>
      <c r="Q812" s="81"/>
      <c r="R812" s="81">
        <f ca="1">IFERROR(__xludf.DUMMYFUNCTION("""COMPUTED_VALUE"""),0)</f>
        <v>0</v>
      </c>
      <c r="S812" s="81"/>
      <c r="T812" s="81"/>
      <c r="U812" s="82"/>
      <c r="V812" s="82"/>
      <c r="W812" s="83"/>
      <c r="X812" s="83"/>
      <c r="Y812" s="83"/>
    </row>
    <row r="813" spans="1:25" ht="13.8">
      <c r="A813" s="78" t="str">
        <f ca="1">IFERROR(__xludf.DUMMYFUNCTION("""COMPUTED_VALUE"""),"GF")</f>
        <v>GF</v>
      </c>
      <c r="B813" s="79" t="str">
        <f ca="1">IFERROR(__xludf.DUMMYFUNCTION("""COMPUTED_VALUE"""),"Cameron Crawford")</f>
        <v>Cameron Crawford</v>
      </c>
      <c r="C813" s="78">
        <f ca="1">IFERROR(__xludf.DUMMYFUNCTION("""COMPUTED_VALUE"""),13)</f>
        <v>13</v>
      </c>
      <c r="D813" s="78" t="str">
        <f ca="1">IFERROR(__xludf.DUMMYFUNCTION("""COMPUTED_VALUE"""),"B")</f>
        <v>B</v>
      </c>
      <c r="E813" s="80" t="str">
        <f ca="1">IFERROR(__xludf.DUMMYFUNCTION("""COMPUTED_VALUE"""),"I")</f>
        <v>I</v>
      </c>
      <c r="F813" s="80" t="str">
        <f ca="1">IFERROR(__xludf.DUMMYFUNCTION("""COMPUTED_VALUE"""),"S")</f>
        <v>S</v>
      </c>
      <c r="G813" s="80">
        <f ca="1">IFERROR(__xludf.DUMMYFUNCTION("""COMPUTED_VALUE"""),2)</f>
        <v>2</v>
      </c>
      <c r="H813" s="80" t="str">
        <f ca="1">IFERROR(__xludf.DUMMYFUNCTION("""COMPUTED_VALUE"""),"GF")</f>
        <v>GF</v>
      </c>
      <c r="I813" s="80">
        <f ca="1">IFERROR(__xludf.DUMMYFUNCTION("""COMPUTED_VALUE"""),7)</f>
        <v>7</v>
      </c>
      <c r="J813" s="81">
        <f ca="1">IFERROR(__xludf.DUMMYFUNCTION("""COMPUTED_VALUE"""),0)</f>
        <v>0</v>
      </c>
      <c r="K813" s="81">
        <f ca="1">IFERROR(__xludf.DUMMYFUNCTION("""COMPUTED_VALUE"""),0)</f>
        <v>0</v>
      </c>
      <c r="L813" s="81">
        <f ca="1">IFERROR(__xludf.DUMMYFUNCTION("""COMPUTED_VALUE"""),0)</f>
        <v>0</v>
      </c>
      <c r="M813" s="81"/>
      <c r="N813" s="81">
        <f ca="1">IFERROR(__xludf.DUMMYFUNCTION("""COMPUTED_VALUE"""),0)</f>
        <v>0</v>
      </c>
      <c r="O813" s="81"/>
      <c r="P813" s="81">
        <f ca="1">IFERROR(__xludf.DUMMYFUNCTION("""COMPUTED_VALUE"""),0)</f>
        <v>0</v>
      </c>
      <c r="Q813" s="81"/>
      <c r="R813" s="81">
        <f ca="1">IFERROR(__xludf.DUMMYFUNCTION("""COMPUTED_VALUE"""),0)</f>
        <v>0</v>
      </c>
      <c r="S813" s="81"/>
      <c r="T813" s="81"/>
      <c r="U813" s="82"/>
      <c r="V813" s="82"/>
      <c r="W813" s="83"/>
      <c r="X813" s="83"/>
      <c r="Y813" s="83"/>
    </row>
    <row r="814" spans="1:25" ht="13.8">
      <c r="A814" s="78" t="str">
        <f ca="1">IFERROR(__xludf.DUMMYFUNCTION("""COMPUTED_VALUE"""),"GF")</f>
        <v>GF</v>
      </c>
      <c r="B814" s="79" t="str">
        <f ca="1">IFERROR(__xludf.DUMMYFUNCTION("""COMPUTED_VALUE"""),"Cian Gallagher")</f>
        <v>Cian Gallagher</v>
      </c>
      <c r="C814" s="78">
        <f ca="1">IFERROR(__xludf.DUMMYFUNCTION("""COMPUTED_VALUE"""),13)</f>
        <v>13</v>
      </c>
      <c r="D814" s="78" t="str">
        <f ca="1">IFERROR(__xludf.DUMMYFUNCTION("""COMPUTED_VALUE"""),"B")</f>
        <v>B</v>
      </c>
      <c r="E814" s="80" t="str">
        <f ca="1">IFERROR(__xludf.DUMMYFUNCTION("""COMPUTED_VALUE"""),"I")</f>
        <v>I</v>
      </c>
      <c r="F814" s="80" t="str">
        <f ca="1">IFERROR(__xludf.DUMMYFUNCTION("""COMPUTED_VALUE"""),"S")</f>
        <v>S</v>
      </c>
      <c r="G814" s="80">
        <f ca="1">IFERROR(__xludf.DUMMYFUNCTION("""COMPUTED_VALUE"""),2)</f>
        <v>2</v>
      </c>
      <c r="H814" s="80" t="str">
        <f ca="1">IFERROR(__xludf.DUMMYFUNCTION("""COMPUTED_VALUE"""),"GF")</f>
        <v>GF</v>
      </c>
      <c r="I814" s="80">
        <f ca="1">IFERROR(__xludf.DUMMYFUNCTION("""COMPUTED_VALUE"""),7)</f>
        <v>7</v>
      </c>
      <c r="J814" s="81">
        <f ca="1">IFERROR(__xludf.DUMMYFUNCTION("""COMPUTED_VALUE"""),2)</f>
        <v>2</v>
      </c>
      <c r="K814" s="81">
        <f ca="1">IFERROR(__xludf.DUMMYFUNCTION("""COMPUTED_VALUE"""),108.15)</f>
        <v>108.15</v>
      </c>
      <c r="L814" s="81">
        <f ca="1">IFERROR(__xludf.DUMMYFUNCTION("""COMPUTED_VALUE"""),0)</f>
        <v>0</v>
      </c>
      <c r="M814" s="81"/>
      <c r="N814" s="81">
        <f ca="1">IFERROR(__xludf.DUMMYFUNCTION("""COMPUTED_VALUE"""),0)</f>
        <v>0</v>
      </c>
      <c r="O814" s="81"/>
      <c r="P814" s="81">
        <f ca="1">IFERROR(__xludf.DUMMYFUNCTION("""COMPUTED_VALUE"""),103.15)</f>
        <v>103.15</v>
      </c>
      <c r="Q814" s="81"/>
      <c r="R814" s="81">
        <f ca="1">IFERROR(__xludf.DUMMYFUNCTION("""COMPUTED_VALUE"""),108.15)</f>
        <v>108.15</v>
      </c>
      <c r="S814" s="81"/>
      <c r="T814" s="81"/>
      <c r="U814" s="82"/>
      <c r="V814" s="82"/>
      <c r="W814" s="83"/>
      <c r="X814" s="83"/>
      <c r="Y814" s="83"/>
    </row>
    <row r="815" spans="1:25" ht="13.8">
      <c r="A815" s="78" t="str">
        <f ca="1">IFERROR(__xludf.DUMMYFUNCTION("""COMPUTED_VALUE"""),"GF")</f>
        <v>GF</v>
      </c>
      <c r="B815" s="79" t="str">
        <f ca="1">IFERROR(__xludf.DUMMYFUNCTION("""COMPUTED_VALUE"""),"Will Pourbabai")</f>
        <v>Will Pourbabai</v>
      </c>
      <c r="C815" s="78">
        <f ca="1">IFERROR(__xludf.DUMMYFUNCTION("""COMPUTED_VALUE"""),13)</f>
        <v>13</v>
      </c>
      <c r="D815" s="78" t="str">
        <f ca="1">IFERROR(__xludf.DUMMYFUNCTION("""COMPUTED_VALUE"""),"B")</f>
        <v>B</v>
      </c>
      <c r="E815" s="80" t="str">
        <f ca="1">IFERROR(__xludf.DUMMYFUNCTION("""COMPUTED_VALUE"""),"I")</f>
        <v>I</v>
      </c>
      <c r="F815" s="80" t="str">
        <f ca="1">IFERROR(__xludf.DUMMYFUNCTION("""COMPUTED_VALUE"""),"S")</f>
        <v>S</v>
      </c>
      <c r="G815" s="80">
        <f ca="1">IFERROR(__xludf.DUMMYFUNCTION("""COMPUTED_VALUE"""),2)</f>
        <v>2</v>
      </c>
      <c r="H815" s="80" t="str">
        <f ca="1">IFERROR(__xludf.DUMMYFUNCTION("""COMPUTED_VALUE"""),"GF")</f>
        <v>GF</v>
      </c>
      <c r="I815" s="80">
        <f ca="1">IFERROR(__xludf.DUMMYFUNCTION("""COMPUTED_VALUE"""),7)</f>
        <v>7</v>
      </c>
      <c r="J815" s="81">
        <f ca="1">IFERROR(__xludf.DUMMYFUNCTION("""COMPUTED_VALUE"""),0)</f>
        <v>0</v>
      </c>
      <c r="K815" s="81">
        <f ca="1">IFERROR(__xludf.DUMMYFUNCTION("""COMPUTED_VALUE"""),0)</f>
        <v>0</v>
      </c>
      <c r="L815" s="81">
        <f ca="1">IFERROR(__xludf.DUMMYFUNCTION("""COMPUTED_VALUE"""),0)</f>
        <v>0</v>
      </c>
      <c r="M815" s="81"/>
      <c r="N815" s="81">
        <f ca="1">IFERROR(__xludf.DUMMYFUNCTION("""COMPUTED_VALUE"""),0)</f>
        <v>0</v>
      </c>
      <c r="O815" s="81"/>
      <c r="P815" s="81">
        <f ca="1">IFERROR(__xludf.DUMMYFUNCTION("""COMPUTED_VALUE"""),0)</f>
        <v>0</v>
      </c>
      <c r="Q815" s="81"/>
      <c r="R815" s="81">
        <f ca="1">IFERROR(__xludf.DUMMYFUNCTION("""COMPUTED_VALUE"""),0)</f>
        <v>0</v>
      </c>
      <c r="S815" s="81"/>
      <c r="T815" s="81"/>
      <c r="U815" s="82"/>
      <c r="V815" s="82"/>
      <c r="W815" s="83"/>
      <c r="X815" s="83"/>
      <c r="Y815" s="83"/>
    </row>
    <row r="816" spans="1:25" ht="13.8">
      <c r="A816" s="78" t="str">
        <f ca="1">IFERROR(__xludf.DUMMYFUNCTION("""COMPUTED_VALUE"""),"GF")</f>
        <v>GF</v>
      </c>
      <c r="B816" s="79" t="str">
        <f ca="1">IFERROR(__xludf.DUMMYFUNCTION("""COMPUTED_VALUE"""),"Tajan Wiley-Jimenez")</f>
        <v>Tajan Wiley-Jimenez</v>
      </c>
      <c r="C816" s="78">
        <f ca="1">IFERROR(__xludf.DUMMYFUNCTION("""COMPUTED_VALUE"""),13)</f>
        <v>13</v>
      </c>
      <c r="D816" s="78" t="str">
        <f ca="1">IFERROR(__xludf.DUMMYFUNCTION("""COMPUTED_VALUE"""),"B")</f>
        <v>B</v>
      </c>
      <c r="E816" s="80" t="str">
        <f ca="1">IFERROR(__xludf.DUMMYFUNCTION("""COMPUTED_VALUE"""),"I")</f>
        <v>I</v>
      </c>
      <c r="F816" s="80" t="str">
        <f ca="1">IFERROR(__xludf.DUMMYFUNCTION("""COMPUTED_VALUE"""),"S")</f>
        <v>S</v>
      </c>
      <c r="G816" s="80">
        <f ca="1">IFERROR(__xludf.DUMMYFUNCTION("""COMPUTED_VALUE"""),2)</f>
        <v>2</v>
      </c>
      <c r="H816" s="80" t="str">
        <f ca="1">IFERROR(__xludf.DUMMYFUNCTION("""COMPUTED_VALUE"""),"GF")</f>
        <v>GF</v>
      </c>
      <c r="I816" s="80">
        <f ca="1">IFERROR(__xludf.DUMMYFUNCTION("""COMPUTED_VALUE"""),7)</f>
        <v>7</v>
      </c>
      <c r="J816" s="81">
        <f ca="1">IFERROR(__xludf.DUMMYFUNCTION("""COMPUTED_VALUE"""),0)</f>
        <v>0</v>
      </c>
      <c r="K816" s="81">
        <f ca="1">IFERROR(__xludf.DUMMYFUNCTION("""COMPUTED_VALUE"""),0)</f>
        <v>0</v>
      </c>
      <c r="L816" s="81">
        <f ca="1">IFERROR(__xludf.DUMMYFUNCTION("""COMPUTED_VALUE"""),0)</f>
        <v>0</v>
      </c>
      <c r="M816" s="81"/>
      <c r="N816" s="81">
        <f ca="1">IFERROR(__xludf.DUMMYFUNCTION("""COMPUTED_VALUE"""),0)</f>
        <v>0</v>
      </c>
      <c r="O816" s="81"/>
      <c r="P816" s="81">
        <f ca="1">IFERROR(__xludf.DUMMYFUNCTION("""COMPUTED_VALUE"""),0)</f>
        <v>0</v>
      </c>
      <c r="Q816" s="81"/>
      <c r="R816" s="81">
        <f ca="1">IFERROR(__xludf.DUMMYFUNCTION("""COMPUTED_VALUE"""),0)</f>
        <v>0</v>
      </c>
      <c r="S816" s="81"/>
      <c r="T816" s="81"/>
      <c r="U816" s="82"/>
      <c r="V816" s="82"/>
      <c r="W816" s="83"/>
      <c r="X816" s="83"/>
      <c r="Y816" s="83"/>
    </row>
    <row r="817" spans="1:25" ht="13.8">
      <c r="A817" s="78" t="str">
        <f ca="1">IFERROR(__xludf.DUMMYFUNCTION("""COMPUTED_VALUE"""),"GF")</f>
        <v>GF</v>
      </c>
      <c r="B817" s="79" t="str">
        <f ca="1">IFERROR(__xludf.DUMMYFUNCTION("""COMPUTED_VALUE"""),"Caroline Gallagher")</f>
        <v>Caroline Gallagher</v>
      </c>
      <c r="C817" s="78">
        <f ca="1">IFERROR(__xludf.DUMMYFUNCTION("""COMPUTED_VALUE"""),15)</f>
        <v>15</v>
      </c>
      <c r="D817" s="78" t="str">
        <f ca="1">IFERROR(__xludf.DUMMYFUNCTION("""COMPUTED_VALUE"""),"G")</f>
        <v>G</v>
      </c>
      <c r="E817" s="80" t="str">
        <f ca="1">IFERROR(__xludf.DUMMYFUNCTION("""COMPUTED_VALUE"""),"S")</f>
        <v>S</v>
      </c>
      <c r="F817" s="80" t="str">
        <f ca="1">IFERROR(__xludf.DUMMYFUNCTION("""COMPUTED_VALUE"""),"S")</f>
        <v>S</v>
      </c>
      <c r="G817" s="80">
        <f ca="1">IFERROR(__xludf.DUMMYFUNCTION("""COMPUTED_VALUE"""),2)</f>
        <v>2</v>
      </c>
      <c r="H817" s="80" t="str">
        <f ca="1">IFERROR(__xludf.DUMMYFUNCTION("""COMPUTED_VALUE"""),"GF")</f>
        <v>GF</v>
      </c>
      <c r="I817" s="80">
        <f ca="1">IFERROR(__xludf.DUMMYFUNCTION("""COMPUTED_VALUE"""),8)</f>
        <v>8</v>
      </c>
      <c r="J817" s="81">
        <f ca="1">IFERROR(__xludf.DUMMYFUNCTION("""COMPUTED_VALUE"""),4)</f>
        <v>4</v>
      </c>
      <c r="K817" s="81">
        <f ca="1">IFERROR(__xludf.DUMMYFUNCTION("""COMPUTED_VALUE"""),143.8)</f>
        <v>143.80000000000001</v>
      </c>
      <c r="L817" s="81">
        <f ca="1">IFERROR(__xludf.DUMMYFUNCTION("""COMPUTED_VALUE"""),135.65)</f>
        <v>135.65</v>
      </c>
      <c r="M817" s="81"/>
      <c r="N817" s="81">
        <f ca="1">IFERROR(__xludf.DUMMYFUNCTION("""COMPUTED_VALUE"""),0)</f>
        <v>0</v>
      </c>
      <c r="O817" s="81"/>
      <c r="P817" s="81">
        <f ca="1">IFERROR(__xludf.DUMMYFUNCTION("""COMPUTED_VALUE"""),116.7)</f>
        <v>116.7</v>
      </c>
      <c r="Q817" s="81"/>
      <c r="R817" s="81">
        <f ca="1">IFERROR(__xludf.DUMMYFUNCTION("""COMPUTED_VALUE"""),143.8)</f>
        <v>143.80000000000001</v>
      </c>
      <c r="S817" s="81"/>
      <c r="T817" s="81"/>
      <c r="U817" s="82"/>
      <c r="V817" s="82"/>
      <c r="W817" s="83"/>
      <c r="X817" s="83"/>
      <c r="Y817" s="83"/>
    </row>
    <row r="818" spans="1:25" ht="13.8">
      <c r="A818" s="78" t="str">
        <f ca="1">IFERROR(__xludf.DUMMYFUNCTION("""COMPUTED_VALUE"""),"GF")</f>
        <v>GF</v>
      </c>
      <c r="B818" s="79" t="str">
        <f ca="1">IFERROR(__xludf.DUMMYFUNCTION("""COMPUTED_VALUE"""),"Julia Toloczko")</f>
        <v>Julia Toloczko</v>
      </c>
      <c r="C818" s="78">
        <f ca="1">IFERROR(__xludf.DUMMYFUNCTION("""COMPUTED_VALUE"""),17)</f>
        <v>17</v>
      </c>
      <c r="D818" s="78" t="str">
        <f ca="1">IFERROR(__xludf.DUMMYFUNCTION("""COMPUTED_VALUE"""),"G")</f>
        <v>G</v>
      </c>
      <c r="E818" s="80" t="str">
        <f ca="1">IFERROR(__xludf.DUMMYFUNCTION("""COMPUTED_VALUE"""),"S")</f>
        <v>S</v>
      </c>
      <c r="F818" s="80" t="str">
        <f ca="1">IFERROR(__xludf.DUMMYFUNCTION("""COMPUTED_VALUE"""),"S")</f>
        <v>S</v>
      </c>
      <c r="G818" s="80">
        <f ca="1">IFERROR(__xludf.DUMMYFUNCTION("""COMPUTED_VALUE"""),2)</f>
        <v>2</v>
      </c>
      <c r="H818" s="80" t="str">
        <f ca="1">IFERROR(__xludf.DUMMYFUNCTION("""COMPUTED_VALUE"""),"GF")</f>
        <v>GF</v>
      </c>
      <c r="I818" s="80">
        <f ca="1">IFERROR(__xludf.DUMMYFUNCTION("""COMPUTED_VALUE"""),8)</f>
        <v>8</v>
      </c>
      <c r="J818" s="81">
        <f ca="1">IFERROR(__xludf.DUMMYFUNCTION("""COMPUTED_VALUE"""),1)</f>
        <v>1</v>
      </c>
      <c r="K818" s="81">
        <f ca="1">IFERROR(__xludf.DUMMYFUNCTION("""COMPUTED_VALUE"""),140.05)</f>
        <v>140.05000000000001</v>
      </c>
      <c r="L818" s="81">
        <f ca="1">IFERROR(__xludf.DUMMYFUNCTION("""COMPUTED_VALUE"""),140.05)</f>
        <v>140.05000000000001</v>
      </c>
      <c r="M818" s="81"/>
      <c r="N818" s="81">
        <f ca="1">IFERROR(__xludf.DUMMYFUNCTION("""COMPUTED_VALUE"""),0)</f>
        <v>0</v>
      </c>
      <c r="O818" s="81"/>
      <c r="P818" s="81">
        <f ca="1">IFERROR(__xludf.DUMMYFUNCTION("""COMPUTED_VALUE"""),0)</f>
        <v>0</v>
      </c>
      <c r="Q818" s="81"/>
      <c r="R818" s="81">
        <f ca="1">IFERROR(__xludf.DUMMYFUNCTION("""COMPUTED_VALUE"""),0)</f>
        <v>0</v>
      </c>
      <c r="S818" s="81"/>
      <c r="T818" s="81"/>
      <c r="U818" s="82"/>
      <c r="V818" s="82"/>
      <c r="W818" s="83"/>
      <c r="X818" s="83"/>
      <c r="Y818" s="83"/>
    </row>
    <row r="819" spans="1:25" ht="13.8">
      <c r="A819" s="78" t="str">
        <f ca="1">IFERROR(__xludf.DUMMYFUNCTION("""COMPUTED_VALUE"""),"GF")</f>
        <v>GF</v>
      </c>
      <c r="B819" s="79" t="str">
        <f ca="1">IFERROR(__xludf.DUMMYFUNCTION("""COMPUTED_VALUE"""),"Claire Vroom")</f>
        <v>Claire Vroom</v>
      </c>
      <c r="C819" s="78">
        <f ca="1">IFERROR(__xludf.DUMMYFUNCTION("""COMPUTED_VALUE"""),17)</f>
        <v>17</v>
      </c>
      <c r="D819" s="78" t="str">
        <f ca="1">IFERROR(__xludf.DUMMYFUNCTION("""COMPUTED_VALUE"""),"G")</f>
        <v>G</v>
      </c>
      <c r="E819" s="80" t="str">
        <f ca="1">IFERROR(__xludf.DUMMYFUNCTION("""COMPUTED_VALUE"""),"S")</f>
        <v>S</v>
      </c>
      <c r="F819" s="80" t="str">
        <f ca="1">IFERROR(__xludf.DUMMYFUNCTION("""COMPUTED_VALUE"""),"S")</f>
        <v>S</v>
      </c>
      <c r="G819" s="80">
        <f ca="1">IFERROR(__xludf.DUMMYFUNCTION("""COMPUTED_VALUE"""),2)</f>
        <v>2</v>
      </c>
      <c r="H819" s="80" t="str">
        <f ca="1">IFERROR(__xludf.DUMMYFUNCTION("""COMPUTED_VALUE"""),"GF")</f>
        <v>GF</v>
      </c>
      <c r="I819" s="80">
        <f ca="1">IFERROR(__xludf.DUMMYFUNCTION("""COMPUTED_VALUE"""),8)</f>
        <v>8</v>
      </c>
      <c r="J819" s="81">
        <f ca="1">IFERROR(__xludf.DUMMYFUNCTION("""COMPUTED_VALUE"""),3)</f>
        <v>3</v>
      </c>
      <c r="K819" s="81">
        <f ca="1">IFERROR(__xludf.DUMMYFUNCTION("""COMPUTED_VALUE"""),209.4)</f>
        <v>209.4</v>
      </c>
      <c r="L819" s="81">
        <f ca="1">IFERROR(__xludf.DUMMYFUNCTION("""COMPUTED_VALUE"""),209.4)</f>
        <v>209.4</v>
      </c>
      <c r="M819" s="81"/>
      <c r="N819" s="81">
        <f ca="1">IFERROR(__xludf.DUMMYFUNCTION("""COMPUTED_VALUE"""),0)</f>
        <v>0</v>
      </c>
      <c r="O819" s="81"/>
      <c r="P819" s="81">
        <f ca="1">IFERROR(__xludf.DUMMYFUNCTION("""COMPUTED_VALUE"""),206.05)</f>
        <v>206.05</v>
      </c>
      <c r="Q819" s="81"/>
      <c r="R819" s="81">
        <f ca="1">IFERROR(__xludf.DUMMYFUNCTION("""COMPUTED_VALUE"""),207.45)</f>
        <v>207.45</v>
      </c>
      <c r="S819" s="81"/>
      <c r="T819" s="81"/>
      <c r="U819" s="82"/>
      <c r="V819" s="82"/>
      <c r="W819" s="83"/>
      <c r="X819" s="83"/>
      <c r="Y819" s="83"/>
    </row>
    <row r="820" spans="1:25" ht="13.8">
      <c r="A820" s="78" t="str">
        <f ca="1">IFERROR(__xludf.DUMMYFUNCTION("""COMPUTED_VALUE"""),"GF")</f>
        <v>GF</v>
      </c>
      <c r="B820" s="79" t="str">
        <f ca="1">IFERROR(__xludf.DUMMYFUNCTION("""COMPUTED_VALUE"""),"Adam Manley")</f>
        <v>Adam Manley</v>
      </c>
      <c r="C820" s="78">
        <f ca="1">IFERROR(__xludf.DUMMYFUNCTION("""COMPUTED_VALUE"""),16)</f>
        <v>16</v>
      </c>
      <c r="D820" s="78" t="str">
        <f ca="1">IFERROR(__xludf.DUMMYFUNCTION("""COMPUTED_VALUE"""),"B")</f>
        <v>B</v>
      </c>
      <c r="E820" s="80" t="str">
        <f ca="1">IFERROR(__xludf.DUMMYFUNCTION("""COMPUTED_VALUE"""),"S")</f>
        <v>S</v>
      </c>
      <c r="F820" s="80" t="str">
        <f ca="1">IFERROR(__xludf.DUMMYFUNCTION("""COMPUTED_VALUE"""),"S")</f>
        <v>S</v>
      </c>
      <c r="G820" s="80">
        <f ca="1">IFERROR(__xludf.DUMMYFUNCTION("""COMPUTED_VALUE"""),2)</f>
        <v>2</v>
      </c>
      <c r="H820" s="80" t="str">
        <f ca="1">IFERROR(__xludf.DUMMYFUNCTION("""COMPUTED_VALUE"""),"GF")</f>
        <v>GF</v>
      </c>
      <c r="I820" s="80">
        <f ca="1">IFERROR(__xludf.DUMMYFUNCTION("""COMPUTED_VALUE"""),9)</f>
        <v>9</v>
      </c>
      <c r="J820" s="81">
        <f ca="1">IFERROR(__xludf.DUMMYFUNCTION("""COMPUTED_VALUE"""),4)</f>
        <v>4</v>
      </c>
      <c r="K820" s="81">
        <f ca="1">IFERROR(__xludf.DUMMYFUNCTION("""COMPUTED_VALUE"""),150.9)</f>
        <v>150.9</v>
      </c>
      <c r="L820" s="81">
        <f ca="1">IFERROR(__xludf.DUMMYFUNCTION("""COMPUTED_VALUE"""),146.95)</f>
        <v>146.94999999999999</v>
      </c>
      <c r="M820" s="81"/>
      <c r="N820" s="81">
        <f ca="1">IFERROR(__xludf.DUMMYFUNCTION("""COMPUTED_VALUE"""),0)</f>
        <v>0</v>
      </c>
      <c r="O820" s="81"/>
      <c r="P820" s="81">
        <f ca="1">IFERROR(__xludf.DUMMYFUNCTION("""COMPUTED_VALUE"""),149.55)</f>
        <v>149.55000000000001</v>
      </c>
      <c r="Q820" s="81"/>
      <c r="R820" s="81">
        <f ca="1">IFERROR(__xludf.DUMMYFUNCTION("""COMPUTED_VALUE"""),150.9)</f>
        <v>150.9</v>
      </c>
      <c r="S820" s="81"/>
      <c r="T820" s="81"/>
      <c r="U820" s="82"/>
      <c r="V820" s="82"/>
      <c r="W820" s="83"/>
      <c r="X820" s="83"/>
      <c r="Y820" s="83"/>
    </row>
    <row r="821" spans="1:25" ht="13.8">
      <c r="A821" s="78" t="str">
        <f ca="1">IFERROR(__xludf.DUMMYFUNCTION("""COMPUTED_VALUE"""),"GF")</f>
        <v>GF</v>
      </c>
      <c r="B821" s="79" t="str">
        <f ca="1">IFERROR(__xludf.DUMMYFUNCTION("""COMPUTED_VALUE"""),"Dan McGaughey")</f>
        <v>Dan McGaughey</v>
      </c>
      <c r="C821" s="78">
        <f ca="1">IFERROR(__xludf.DUMMYFUNCTION("""COMPUTED_VALUE"""),16)</f>
        <v>16</v>
      </c>
      <c r="D821" s="78" t="str">
        <f ca="1">IFERROR(__xludf.DUMMYFUNCTION("""COMPUTED_VALUE"""),"B")</f>
        <v>B</v>
      </c>
      <c r="E821" s="80" t="str">
        <f ca="1">IFERROR(__xludf.DUMMYFUNCTION("""COMPUTED_VALUE"""),"S")</f>
        <v>S</v>
      </c>
      <c r="F821" s="80" t="str">
        <f ca="1">IFERROR(__xludf.DUMMYFUNCTION("""COMPUTED_VALUE"""),"S")</f>
        <v>S</v>
      </c>
      <c r="G821" s="80">
        <f ca="1">IFERROR(__xludf.DUMMYFUNCTION("""COMPUTED_VALUE"""),2)</f>
        <v>2</v>
      </c>
      <c r="H821" s="80" t="str">
        <f ca="1">IFERROR(__xludf.DUMMYFUNCTION("""COMPUTED_VALUE"""),"GF")</f>
        <v>GF</v>
      </c>
      <c r="I821" s="80">
        <f ca="1">IFERROR(__xludf.DUMMYFUNCTION("""COMPUTED_VALUE"""),9)</f>
        <v>9</v>
      </c>
      <c r="J821" s="81">
        <f ca="1">IFERROR(__xludf.DUMMYFUNCTION("""COMPUTED_VALUE"""),4)</f>
        <v>4</v>
      </c>
      <c r="K821" s="81">
        <f ca="1">IFERROR(__xludf.DUMMYFUNCTION("""COMPUTED_VALUE"""),218.95)</f>
        <v>218.95</v>
      </c>
      <c r="L821" s="81">
        <f ca="1">IFERROR(__xludf.DUMMYFUNCTION("""COMPUTED_VALUE"""),218.95)</f>
        <v>218.95</v>
      </c>
      <c r="M821" s="81"/>
      <c r="N821" s="81">
        <f ca="1">IFERROR(__xludf.DUMMYFUNCTION("""COMPUTED_VALUE"""),0)</f>
        <v>0</v>
      </c>
      <c r="O821" s="81"/>
      <c r="P821" s="81">
        <f ca="1">IFERROR(__xludf.DUMMYFUNCTION("""COMPUTED_VALUE"""),217.2)</f>
        <v>217.2</v>
      </c>
      <c r="Q821" s="81"/>
      <c r="R821" s="81">
        <f ca="1">IFERROR(__xludf.DUMMYFUNCTION("""COMPUTED_VALUE"""),201.25)</f>
        <v>201.25</v>
      </c>
      <c r="S821" s="81"/>
      <c r="T821" s="81"/>
      <c r="U821" s="82"/>
      <c r="V821" s="82"/>
      <c r="W821" s="83"/>
      <c r="X821" s="83"/>
      <c r="Y821" s="83"/>
    </row>
    <row r="822" spans="1:25" ht="13.8">
      <c r="A822" s="78" t="str">
        <f ca="1">IFERROR(__xludf.DUMMYFUNCTION("""COMPUTED_VALUE"""),"GF")</f>
        <v>GF</v>
      </c>
      <c r="B822" s="79" t="str">
        <f ca="1">IFERROR(__xludf.DUMMYFUNCTION("""COMPUTED_VALUE"""),"Max Pourbabai")</f>
        <v>Max Pourbabai</v>
      </c>
      <c r="C822" s="78">
        <f ca="1">IFERROR(__xludf.DUMMYFUNCTION("""COMPUTED_VALUE"""),16)</f>
        <v>16</v>
      </c>
      <c r="D822" s="78" t="str">
        <f ca="1">IFERROR(__xludf.DUMMYFUNCTION("""COMPUTED_VALUE"""),"B")</f>
        <v>B</v>
      </c>
      <c r="E822" s="80" t="str">
        <f ca="1">IFERROR(__xludf.DUMMYFUNCTION("""COMPUTED_VALUE"""),"S")</f>
        <v>S</v>
      </c>
      <c r="F822" s="80" t="str">
        <f ca="1">IFERROR(__xludf.DUMMYFUNCTION("""COMPUTED_VALUE"""),"S")</f>
        <v>S</v>
      </c>
      <c r="G822" s="80">
        <f ca="1">IFERROR(__xludf.DUMMYFUNCTION("""COMPUTED_VALUE"""),2)</f>
        <v>2</v>
      </c>
      <c r="H822" s="80" t="str">
        <f ca="1">IFERROR(__xludf.DUMMYFUNCTION("""COMPUTED_VALUE"""),"GF")</f>
        <v>GF</v>
      </c>
      <c r="I822" s="80">
        <f ca="1">IFERROR(__xludf.DUMMYFUNCTION("""COMPUTED_VALUE"""),9)</f>
        <v>9</v>
      </c>
      <c r="J822" s="81">
        <f ca="1">IFERROR(__xludf.DUMMYFUNCTION("""COMPUTED_VALUE"""),0)</f>
        <v>0</v>
      </c>
      <c r="K822" s="81">
        <f ca="1">IFERROR(__xludf.DUMMYFUNCTION("""COMPUTED_VALUE"""),0)</f>
        <v>0</v>
      </c>
      <c r="L822" s="81">
        <f ca="1">IFERROR(__xludf.DUMMYFUNCTION("""COMPUTED_VALUE"""),0)</f>
        <v>0</v>
      </c>
      <c r="M822" s="81"/>
      <c r="N822" s="81">
        <f ca="1">IFERROR(__xludf.DUMMYFUNCTION("""COMPUTED_VALUE"""),0)</f>
        <v>0</v>
      </c>
      <c r="O822" s="81"/>
      <c r="P822" s="81">
        <f ca="1">IFERROR(__xludf.DUMMYFUNCTION("""COMPUTED_VALUE"""),0)</f>
        <v>0</v>
      </c>
      <c r="Q822" s="81"/>
      <c r="R822" s="81">
        <f ca="1">IFERROR(__xludf.DUMMYFUNCTION("""COMPUTED_VALUE"""),0)</f>
        <v>0</v>
      </c>
      <c r="S822" s="81"/>
      <c r="T822" s="81"/>
      <c r="U822" s="82"/>
      <c r="V822" s="82"/>
      <c r="W822" s="83"/>
      <c r="X822" s="83"/>
      <c r="Y822" s="83"/>
    </row>
    <row r="823" spans="1:25" ht="13.8">
      <c r="A823" s="78" t="str">
        <f ca="1">IFERROR(__xludf.DUMMYFUNCTION("""COMPUTED_VALUE"""),"HF")</f>
        <v>HF</v>
      </c>
      <c r="B823" s="79" t="str">
        <f ca="1">IFERROR(__xludf.DUMMYFUNCTION("""COMPUTED_VALUE"""),"Julianna Butler")</f>
        <v>Julianna Butler</v>
      </c>
      <c r="C823" s="78">
        <f ca="1">IFERROR(__xludf.DUMMYFUNCTION("""COMPUTED_VALUE"""),9)</f>
        <v>9</v>
      </c>
      <c r="D823" s="78" t="str">
        <f ca="1">IFERROR(__xludf.DUMMYFUNCTION("""COMPUTED_VALUE"""),"G")</f>
        <v>G</v>
      </c>
      <c r="E823" s="80" t="str">
        <f ca="1">IFERROR(__xludf.DUMMYFUNCTION("""COMPUTED_VALUE"""),"F")</f>
        <v>F</v>
      </c>
      <c r="F823" s="80" t="str">
        <f ca="1">IFERROR(__xludf.DUMMYFUNCTION("""COMPUTED_VALUE"""),"J")</f>
        <v>J</v>
      </c>
      <c r="G823" s="80">
        <f ca="1">IFERROR(__xludf.DUMMYFUNCTION("""COMPUTED_VALUE"""),4)</f>
        <v>4</v>
      </c>
      <c r="H823" s="80" t="str">
        <f ca="1">IFERROR(__xludf.DUMMYFUNCTION("""COMPUTED_VALUE"""),"HF")</f>
        <v>HF</v>
      </c>
      <c r="I823" s="80">
        <f ca="1">IFERROR(__xludf.DUMMYFUNCTION("""COMPUTED_VALUE"""),2)</f>
        <v>2</v>
      </c>
      <c r="J823" s="81">
        <f ca="1">IFERROR(__xludf.DUMMYFUNCTION("""COMPUTED_VALUE"""),5)</f>
        <v>5</v>
      </c>
      <c r="K823" s="81">
        <f ca="1">IFERROR(__xludf.DUMMYFUNCTION("""COMPUTED_VALUE"""),81)</f>
        <v>81</v>
      </c>
      <c r="L823" s="81">
        <f ca="1">IFERROR(__xludf.DUMMYFUNCTION("""COMPUTED_VALUE"""),81)</f>
        <v>81</v>
      </c>
      <c r="M823" s="81"/>
      <c r="N823" s="81">
        <f ca="1">IFERROR(__xludf.DUMMYFUNCTION("""COMPUTED_VALUE"""),74.35)</f>
        <v>74.349999999999994</v>
      </c>
      <c r="O823" s="81"/>
      <c r="P823" s="81">
        <f ca="1">IFERROR(__xludf.DUMMYFUNCTION("""COMPUTED_VALUE"""),67.2)</f>
        <v>67.2</v>
      </c>
      <c r="Q823" s="81"/>
      <c r="R823" s="81">
        <f ca="1">IFERROR(__xludf.DUMMYFUNCTION("""COMPUTED_VALUE"""),76.4)</f>
        <v>76.400000000000006</v>
      </c>
      <c r="S823" s="81"/>
      <c r="T823" s="81"/>
      <c r="U823" s="82"/>
      <c r="V823" s="82"/>
      <c r="W823" s="83"/>
      <c r="X823" s="83"/>
      <c r="Y823" s="83"/>
    </row>
    <row r="824" spans="1:25" ht="13.8">
      <c r="A824" s="78" t="str">
        <f ca="1">IFERROR(__xludf.DUMMYFUNCTION("""COMPUTED_VALUE"""),"HF")</f>
        <v>HF</v>
      </c>
      <c r="B824" s="79" t="str">
        <f ca="1">IFERROR(__xludf.DUMMYFUNCTION("""COMPUTED_VALUE"""),"Ava Kowalchick")</f>
        <v>Ava Kowalchick</v>
      </c>
      <c r="C824" s="78">
        <f ca="1">IFERROR(__xludf.DUMMYFUNCTION("""COMPUTED_VALUE"""),6)</f>
        <v>6</v>
      </c>
      <c r="D824" s="78" t="str">
        <f ca="1">IFERROR(__xludf.DUMMYFUNCTION("""COMPUTED_VALUE"""),"G")</f>
        <v>G</v>
      </c>
      <c r="E824" s="80" t="str">
        <f ca="1">IFERROR(__xludf.DUMMYFUNCTION("""COMPUTED_VALUE"""),"F")</f>
        <v>F</v>
      </c>
      <c r="F824" s="80" t="str">
        <f ca="1">IFERROR(__xludf.DUMMYFUNCTION("""COMPUTED_VALUE"""),"J")</f>
        <v>J</v>
      </c>
      <c r="G824" s="80">
        <f ca="1">IFERROR(__xludf.DUMMYFUNCTION("""COMPUTED_VALUE"""),4)</f>
        <v>4</v>
      </c>
      <c r="H824" s="80" t="str">
        <f ca="1">IFERROR(__xludf.DUMMYFUNCTION("""COMPUTED_VALUE"""),"HF")</f>
        <v>HF</v>
      </c>
      <c r="I824" s="80">
        <f ca="1">IFERROR(__xludf.DUMMYFUNCTION("""COMPUTED_VALUE"""),2)</f>
        <v>2</v>
      </c>
      <c r="J824" s="81">
        <f ca="1">IFERROR(__xludf.DUMMYFUNCTION("""COMPUTED_VALUE"""),2)</f>
        <v>2</v>
      </c>
      <c r="K824" s="81">
        <f ca="1">IFERROR(__xludf.DUMMYFUNCTION("""COMPUTED_VALUE"""),39.4)</f>
        <v>39.4</v>
      </c>
      <c r="L824" s="81">
        <f ca="1">IFERROR(__xludf.DUMMYFUNCTION("""COMPUTED_VALUE"""),0)</f>
        <v>0</v>
      </c>
      <c r="M824" s="81"/>
      <c r="N824" s="81">
        <f ca="1">IFERROR(__xludf.DUMMYFUNCTION("""COMPUTED_VALUE"""),0)</f>
        <v>0</v>
      </c>
      <c r="O824" s="81"/>
      <c r="P824" s="81">
        <f ca="1">IFERROR(__xludf.DUMMYFUNCTION("""COMPUTED_VALUE"""),31.1)</f>
        <v>31.1</v>
      </c>
      <c r="Q824" s="81"/>
      <c r="R824" s="81">
        <f ca="1">IFERROR(__xludf.DUMMYFUNCTION("""COMPUTED_VALUE"""),39.4)</f>
        <v>39.4</v>
      </c>
      <c r="S824" s="81"/>
      <c r="T824" s="81"/>
      <c r="U824" s="82"/>
      <c r="V824" s="82"/>
      <c r="W824" s="83"/>
      <c r="X824" s="83"/>
      <c r="Y824" s="83"/>
    </row>
    <row r="825" spans="1:25" ht="13.8">
      <c r="A825" s="78" t="str">
        <f ca="1">IFERROR(__xludf.DUMMYFUNCTION("""COMPUTED_VALUE"""),"HF")</f>
        <v>HF</v>
      </c>
      <c r="B825" s="79" t="str">
        <f ca="1">IFERROR(__xludf.DUMMYFUNCTION("""COMPUTED_VALUE"""),"Kate Payne")</f>
        <v>Kate Payne</v>
      </c>
      <c r="C825" s="78">
        <f ca="1">IFERROR(__xludf.DUMMYFUNCTION("""COMPUTED_VALUE"""),10)</f>
        <v>10</v>
      </c>
      <c r="D825" s="78" t="str">
        <f ca="1">IFERROR(__xludf.DUMMYFUNCTION("""COMPUTED_VALUE"""),"G")</f>
        <v>G</v>
      </c>
      <c r="E825" s="80" t="str">
        <f ca="1">IFERROR(__xludf.DUMMYFUNCTION("""COMPUTED_VALUE"""),"F")</f>
        <v>F</v>
      </c>
      <c r="F825" s="80" t="str">
        <f ca="1">IFERROR(__xludf.DUMMYFUNCTION("""COMPUTED_VALUE"""),"J")</f>
        <v>J</v>
      </c>
      <c r="G825" s="80">
        <f ca="1">IFERROR(__xludf.DUMMYFUNCTION("""COMPUTED_VALUE"""),4)</f>
        <v>4</v>
      </c>
      <c r="H825" s="80" t="str">
        <f ca="1">IFERROR(__xludf.DUMMYFUNCTION("""COMPUTED_VALUE"""),"HF")</f>
        <v>HF</v>
      </c>
      <c r="I825" s="80">
        <f ca="1">IFERROR(__xludf.DUMMYFUNCTION("""COMPUTED_VALUE"""),2)</f>
        <v>2</v>
      </c>
      <c r="J825" s="81">
        <f ca="1">IFERROR(__xludf.DUMMYFUNCTION("""COMPUTED_VALUE"""),4)</f>
        <v>4</v>
      </c>
      <c r="K825" s="81">
        <f ca="1">IFERROR(__xludf.DUMMYFUNCTION("""COMPUTED_VALUE"""),49.3)</f>
        <v>49.3</v>
      </c>
      <c r="L825" s="81">
        <f ca="1">IFERROR(__xludf.DUMMYFUNCTION("""COMPUTED_VALUE"""),40.85)</f>
        <v>40.85</v>
      </c>
      <c r="M825" s="81"/>
      <c r="N825" s="81">
        <f ca="1">IFERROR(__xludf.DUMMYFUNCTION("""COMPUTED_VALUE"""),41.85)</f>
        <v>41.85</v>
      </c>
      <c r="O825" s="81"/>
      <c r="P825" s="81">
        <f ca="1">IFERROR(__xludf.DUMMYFUNCTION("""COMPUTED_VALUE"""),42.25)</f>
        <v>42.25</v>
      </c>
      <c r="Q825" s="81"/>
      <c r="R825" s="81">
        <f ca="1">IFERROR(__xludf.DUMMYFUNCTION("""COMPUTED_VALUE"""),49.3)</f>
        <v>49.3</v>
      </c>
      <c r="S825" s="81"/>
      <c r="T825" s="81"/>
      <c r="U825" s="82"/>
      <c r="V825" s="82"/>
      <c r="W825" s="83"/>
      <c r="X825" s="83"/>
      <c r="Y825" s="83"/>
    </row>
    <row r="826" spans="1:25" ht="13.8">
      <c r="A826" s="78" t="str">
        <f ca="1">IFERROR(__xludf.DUMMYFUNCTION("""COMPUTED_VALUE"""),"HF")</f>
        <v>HF</v>
      </c>
      <c r="B826" s="79" t="str">
        <f ca="1">IFERROR(__xludf.DUMMYFUNCTION("""COMPUTED_VALUE"""),"Molly Payne")</f>
        <v>Molly Payne</v>
      </c>
      <c r="C826" s="78">
        <f ca="1">IFERROR(__xludf.DUMMYFUNCTION("""COMPUTED_VALUE"""),8)</f>
        <v>8</v>
      </c>
      <c r="D826" s="78" t="str">
        <f ca="1">IFERROR(__xludf.DUMMYFUNCTION("""COMPUTED_VALUE"""),"G")</f>
        <v>G</v>
      </c>
      <c r="E826" s="80" t="str">
        <f ca="1">IFERROR(__xludf.DUMMYFUNCTION("""COMPUTED_VALUE"""),"F")</f>
        <v>F</v>
      </c>
      <c r="F826" s="80" t="str">
        <f ca="1">IFERROR(__xludf.DUMMYFUNCTION("""COMPUTED_VALUE"""),"J")</f>
        <v>J</v>
      </c>
      <c r="G826" s="80">
        <f ca="1">IFERROR(__xludf.DUMMYFUNCTION("""COMPUTED_VALUE"""),4)</f>
        <v>4</v>
      </c>
      <c r="H826" s="80" t="str">
        <f ca="1">IFERROR(__xludf.DUMMYFUNCTION("""COMPUTED_VALUE"""),"HF")</f>
        <v>HF</v>
      </c>
      <c r="I826" s="80">
        <f ca="1">IFERROR(__xludf.DUMMYFUNCTION("""COMPUTED_VALUE"""),2)</f>
        <v>2</v>
      </c>
      <c r="J826" s="81">
        <f ca="1">IFERROR(__xludf.DUMMYFUNCTION("""COMPUTED_VALUE"""),4)</f>
        <v>4</v>
      </c>
      <c r="K826" s="81">
        <f ca="1">IFERROR(__xludf.DUMMYFUNCTION("""COMPUTED_VALUE"""),32.35)</f>
        <v>32.35</v>
      </c>
      <c r="L826" s="81">
        <f ca="1">IFERROR(__xludf.DUMMYFUNCTION("""COMPUTED_VALUE"""),32.35)</f>
        <v>32.35</v>
      </c>
      <c r="M826" s="81"/>
      <c r="N826" s="81">
        <f ca="1">IFERROR(__xludf.DUMMYFUNCTION("""COMPUTED_VALUE"""),29.65)</f>
        <v>29.65</v>
      </c>
      <c r="O826" s="81"/>
      <c r="P826" s="81">
        <f ca="1">IFERROR(__xludf.DUMMYFUNCTION("""COMPUTED_VALUE"""),30.8)</f>
        <v>30.8</v>
      </c>
      <c r="Q826" s="81"/>
      <c r="R826" s="81">
        <f ca="1">IFERROR(__xludf.DUMMYFUNCTION("""COMPUTED_VALUE"""),32.05)</f>
        <v>32.049999999999997</v>
      </c>
      <c r="S826" s="81"/>
      <c r="T826" s="81"/>
      <c r="U826" s="82"/>
      <c r="V826" s="82"/>
      <c r="W826" s="83"/>
      <c r="X826" s="83"/>
      <c r="Y826" s="83"/>
    </row>
    <row r="827" spans="1:25" ht="13.8">
      <c r="A827" s="78" t="str">
        <f ca="1">IFERROR(__xludf.DUMMYFUNCTION("""COMPUTED_VALUE"""),"HF")</f>
        <v>HF</v>
      </c>
      <c r="B827" s="79" t="str">
        <f ca="1">IFERROR(__xludf.DUMMYFUNCTION("""COMPUTED_VALUE"""),"Allie Pearson")</f>
        <v>Allie Pearson</v>
      </c>
      <c r="C827" s="78">
        <f ca="1">IFERROR(__xludf.DUMMYFUNCTION("""COMPUTED_VALUE"""),8)</f>
        <v>8</v>
      </c>
      <c r="D827" s="78" t="str">
        <f ca="1">IFERROR(__xludf.DUMMYFUNCTION("""COMPUTED_VALUE"""),"G")</f>
        <v>G</v>
      </c>
      <c r="E827" s="80" t="str">
        <f ca="1">IFERROR(__xludf.DUMMYFUNCTION("""COMPUTED_VALUE"""),"F")</f>
        <v>F</v>
      </c>
      <c r="F827" s="80" t="str">
        <f ca="1">IFERROR(__xludf.DUMMYFUNCTION("""COMPUTED_VALUE"""),"J")</f>
        <v>J</v>
      </c>
      <c r="G827" s="80">
        <f ca="1">IFERROR(__xludf.DUMMYFUNCTION("""COMPUTED_VALUE"""),4)</f>
        <v>4</v>
      </c>
      <c r="H827" s="80" t="str">
        <f ca="1">IFERROR(__xludf.DUMMYFUNCTION("""COMPUTED_VALUE"""),"HF")</f>
        <v>HF</v>
      </c>
      <c r="I827" s="80">
        <f ca="1">IFERROR(__xludf.DUMMYFUNCTION("""COMPUTED_VALUE"""),2)</f>
        <v>2</v>
      </c>
      <c r="J827" s="81">
        <f ca="1">IFERROR(__xludf.DUMMYFUNCTION("""COMPUTED_VALUE"""),3)</f>
        <v>3</v>
      </c>
      <c r="K827" s="81">
        <f ca="1">IFERROR(__xludf.DUMMYFUNCTION("""COMPUTED_VALUE"""),29.45)</f>
        <v>29.45</v>
      </c>
      <c r="L827" s="81">
        <f ca="1">IFERROR(__xludf.DUMMYFUNCTION("""COMPUTED_VALUE"""),0)</f>
        <v>0</v>
      </c>
      <c r="M827" s="81"/>
      <c r="N827" s="81">
        <f ca="1">IFERROR(__xludf.DUMMYFUNCTION("""COMPUTED_VALUE"""),0)</f>
        <v>0</v>
      </c>
      <c r="O827" s="81"/>
      <c r="P827" s="81">
        <f ca="1">IFERROR(__xludf.DUMMYFUNCTION("""COMPUTED_VALUE"""),29.45)</f>
        <v>29.45</v>
      </c>
      <c r="Q827" s="81"/>
      <c r="R827" s="81">
        <f ca="1">IFERROR(__xludf.DUMMYFUNCTION("""COMPUTED_VALUE"""),26.3)</f>
        <v>26.3</v>
      </c>
      <c r="S827" s="81"/>
      <c r="T827" s="81"/>
      <c r="U827" s="82"/>
      <c r="V827" s="82"/>
      <c r="W827" s="83"/>
      <c r="X827" s="83"/>
      <c r="Y827" s="83"/>
    </row>
    <row r="828" spans="1:25" ht="13.8">
      <c r="A828" s="78" t="str">
        <f ca="1">IFERROR(__xludf.DUMMYFUNCTION("""COMPUTED_VALUE"""),"HF")</f>
        <v>HF</v>
      </c>
      <c r="B828" s="79" t="str">
        <f ca="1">IFERROR(__xludf.DUMMYFUNCTION("""COMPUTED_VALUE"""),"Q Perdue")</f>
        <v>Q Perdue</v>
      </c>
      <c r="C828" s="78">
        <f ca="1">IFERROR(__xludf.DUMMYFUNCTION("""COMPUTED_VALUE"""),9)</f>
        <v>9</v>
      </c>
      <c r="D828" s="78" t="str">
        <f ca="1">IFERROR(__xludf.DUMMYFUNCTION("""COMPUTED_VALUE"""),"G")</f>
        <v>G</v>
      </c>
      <c r="E828" s="80" t="str">
        <f ca="1">IFERROR(__xludf.DUMMYFUNCTION("""COMPUTED_VALUE"""),"F")</f>
        <v>F</v>
      </c>
      <c r="F828" s="80" t="str">
        <f ca="1">IFERROR(__xludf.DUMMYFUNCTION("""COMPUTED_VALUE"""),"J")</f>
        <v>J</v>
      </c>
      <c r="G828" s="80">
        <f ca="1">IFERROR(__xludf.DUMMYFUNCTION("""COMPUTED_VALUE"""),4)</f>
        <v>4</v>
      </c>
      <c r="H828" s="80" t="str">
        <f ca="1">IFERROR(__xludf.DUMMYFUNCTION("""COMPUTED_VALUE"""),"HF")</f>
        <v>HF</v>
      </c>
      <c r="I828" s="80">
        <f ca="1">IFERROR(__xludf.DUMMYFUNCTION("""COMPUTED_VALUE"""),2)</f>
        <v>2</v>
      </c>
      <c r="J828" s="81">
        <f ca="1">IFERROR(__xludf.DUMMYFUNCTION("""COMPUTED_VALUE"""),4)</f>
        <v>4</v>
      </c>
      <c r="K828" s="81">
        <f ca="1">IFERROR(__xludf.DUMMYFUNCTION("""COMPUTED_VALUE"""),79.15)</f>
        <v>79.150000000000006</v>
      </c>
      <c r="L828" s="81">
        <f ca="1">IFERROR(__xludf.DUMMYFUNCTION("""COMPUTED_VALUE"""),79.15)</f>
        <v>79.150000000000006</v>
      </c>
      <c r="M828" s="81"/>
      <c r="N828" s="81">
        <f ca="1">IFERROR(__xludf.DUMMYFUNCTION("""COMPUTED_VALUE"""),0)</f>
        <v>0</v>
      </c>
      <c r="O828" s="81"/>
      <c r="P828" s="81">
        <f ca="1">IFERROR(__xludf.DUMMYFUNCTION("""COMPUTED_VALUE"""),52.75)</f>
        <v>52.75</v>
      </c>
      <c r="Q828" s="81"/>
      <c r="R828" s="81">
        <f ca="1">IFERROR(__xludf.DUMMYFUNCTION("""COMPUTED_VALUE"""),51.45)</f>
        <v>51.45</v>
      </c>
      <c r="S828" s="81"/>
      <c r="T828" s="81"/>
      <c r="U828" s="82"/>
      <c r="V828" s="82"/>
      <c r="W828" s="83"/>
      <c r="X828" s="83"/>
      <c r="Y828" s="83"/>
    </row>
    <row r="829" spans="1:25" ht="13.8">
      <c r="A829" s="78" t="str">
        <f ca="1">IFERROR(__xludf.DUMMYFUNCTION("""COMPUTED_VALUE"""),"HF")</f>
        <v>HF</v>
      </c>
      <c r="B829" s="79" t="str">
        <f ca="1">IFERROR(__xludf.DUMMYFUNCTION("""COMPUTED_VALUE"""),"Isabelle Quinn")</f>
        <v>Isabelle Quinn</v>
      </c>
      <c r="C829" s="78">
        <f ca="1">IFERROR(__xludf.DUMMYFUNCTION("""COMPUTED_VALUE"""),10)</f>
        <v>10</v>
      </c>
      <c r="D829" s="78" t="str">
        <f ca="1">IFERROR(__xludf.DUMMYFUNCTION("""COMPUTED_VALUE"""),"G")</f>
        <v>G</v>
      </c>
      <c r="E829" s="80" t="str">
        <f ca="1">IFERROR(__xludf.DUMMYFUNCTION("""COMPUTED_VALUE"""),"F")</f>
        <v>F</v>
      </c>
      <c r="F829" s="80" t="str">
        <f ca="1">IFERROR(__xludf.DUMMYFUNCTION("""COMPUTED_VALUE"""),"J")</f>
        <v>J</v>
      </c>
      <c r="G829" s="80">
        <f ca="1">IFERROR(__xludf.DUMMYFUNCTION("""COMPUTED_VALUE"""),4)</f>
        <v>4</v>
      </c>
      <c r="H829" s="80" t="str">
        <f ca="1">IFERROR(__xludf.DUMMYFUNCTION("""COMPUTED_VALUE"""),"HF")</f>
        <v>HF</v>
      </c>
      <c r="I829" s="80">
        <f ca="1">IFERROR(__xludf.DUMMYFUNCTION("""COMPUTED_VALUE"""),2)</f>
        <v>2</v>
      </c>
      <c r="J829" s="81">
        <f ca="1">IFERROR(__xludf.DUMMYFUNCTION("""COMPUTED_VALUE"""),4)</f>
        <v>4</v>
      </c>
      <c r="K829" s="81">
        <f ca="1">IFERROR(__xludf.DUMMYFUNCTION("""COMPUTED_VALUE"""),54.25)</f>
        <v>54.25</v>
      </c>
      <c r="L829" s="81">
        <f ca="1">IFERROR(__xludf.DUMMYFUNCTION("""COMPUTED_VALUE"""),47.5)</f>
        <v>47.5</v>
      </c>
      <c r="M829" s="81"/>
      <c r="N829" s="81">
        <f ca="1">IFERROR(__xludf.DUMMYFUNCTION("""COMPUTED_VALUE"""),0)</f>
        <v>0</v>
      </c>
      <c r="O829" s="81"/>
      <c r="P829" s="81">
        <f ca="1">IFERROR(__xludf.DUMMYFUNCTION("""COMPUTED_VALUE"""),53.05)</f>
        <v>53.05</v>
      </c>
      <c r="Q829" s="81"/>
      <c r="R829" s="81">
        <f ca="1">IFERROR(__xludf.DUMMYFUNCTION("""COMPUTED_VALUE"""),54.25)</f>
        <v>54.25</v>
      </c>
      <c r="S829" s="81"/>
      <c r="T829" s="81"/>
      <c r="U829" s="82"/>
      <c r="V829" s="82"/>
      <c r="W829" s="83"/>
      <c r="X829" s="83"/>
      <c r="Y829" s="83"/>
    </row>
    <row r="830" spans="1:25" ht="13.8">
      <c r="A830" s="78" t="str">
        <f ca="1">IFERROR(__xludf.DUMMYFUNCTION("""COMPUTED_VALUE"""),"HF")</f>
        <v>HF</v>
      </c>
      <c r="B830" s="79" t="str">
        <f ca="1">IFERROR(__xludf.DUMMYFUNCTION("""COMPUTED_VALUE"""),"Sydney Stewart")</f>
        <v>Sydney Stewart</v>
      </c>
      <c r="C830" s="78">
        <f ca="1">IFERROR(__xludf.DUMMYFUNCTION("""COMPUTED_VALUE"""),10)</f>
        <v>10</v>
      </c>
      <c r="D830" s="78" t="str">
        <f ca="1">IFERROR(__xludf.DUMMYFUNCTION("""COMPUTED_VALUE"""),"G")</f>
        <v>G</v>
      </c>
      <c r="E830" s="80" t="str">
        <f ca="1">IFERROR(__xludf.DUMMYFUNCTION("""COMPUTED_VALUE"""),"F")</f>
        <v>F</v>
      </c>
      <c r="F830" s="80" t="str">
        <f ca="1">IFERROR(__xludf.DUMMYFUNCTION("""COMPUTED_VALUE"""),"J")</f>
        <v>J</v>
      </c>
      <c r="G830" s="80">
        <f ca="1">IFERROR(__xludf.DUMMYFUNCTION("""COMPUTED_VALUE"""),4)</f>
        <v>4</v>
      </c>
      <c r="H830" s="80" t="str">
        <f ca="1">IFERROR(__xludf.DUMMYFUNCTION("""COMPUTED_VALUE"""),"HF")</f>
        <v>HF</v>
      </c>
      <c r="I830" s="80">
        <f ca="1">IFERROR(__xludf.DUMMYFUNCTION("""COMPUTED_VALUE"""),2)</f>
        <v>2</v>
      </c>
      <c r="J830" s="81">
        <f ca="1">IFERROR(__xludf.DUMMYFUNCTION("""COMPUTED_VALUE"""),4)</f>
        <v>4</v>
      </c>
      <c r="K830" s="81">
        <f ca="1">IFERROR(__xludf.DUMMYFUNCTION("""COMPUTED_VALUE"""),73.1)</f>
        <v>73.099999999999994</v>
      </c>
      <c r="L830" s="81">
        <f ca="1">IFERROR(__xludf.DUMMYFUNCTION("""COMPUTED_VALUE"""),73.1)</f>
        <v>73.099999999999994</v>
      </c>
      <c r="M830" s="81"/>
      <c r="N830" s="81">
        <f ca="1">IFERROR(__xludf.DUMMYFUNCTION("""COMPUTED_VALUE"""),64.3)</f>
        <v>64.3</v>
      </c>
      <c r="O830" s="81"/>
      <c r="P830" s="81">
        <f ca="1">IFERROR(__xludf.DUMMYFUNCTION("""COMPUTED_VALUE"""),0)</f>
        <v>0</v>
      </c>
      <c r="Q830" s="81"/>
      <c r="R830" s="81">
        <f ca="1">IFERROR(__xludf.DUMMYFUNCTION("""COMPUTED_VALUE"""),60.25)</f>
        <v>60.25</v>
      </c>
      <c r="S830" s="81"/>
      <c r="T830" s="81"/>
      <c r="U830" s="82"/>
      <c r="V830" s="82"/>
      <c r="W830" s="83"/>
      <c r="X830" s="83"/>
      <c r="Y830" s="83"/>
    </row>
    <row r="831" spans="1:25" ht="13.8">
      <c r="A831" s="78" t="str">
        <f ca="1">IFERROR(__xludf.DUMMYFUNCTION("""COMPUTED_VALUE"""),"HF")</f>
        <v>HF</v>
      </c>
      <c r="B831" s="79" t="str">
        <f ca="1">IFERROR(__xludf.DUMMYFUNCTION("""COMPUTED_VALUE"""),"Moira Terebesi")</f>
        <v>Moira Terebesi</v>
      </c>
      <c r="C831" s="78">
        <f ca="1">IFERROR(__xludf.DUMMYFUNCTION("""COMPUTED_VALUE"""),7)</f>
        <v>7</v>
      </c>
      <c r="D831" s="78" t="str">
        <f ca="1">IFERROR(__xludf.DUMMYFUNCTION("""COMPUTED_VALUE"""),"G")</f>
        <v>G</v>
      </c>
      <c r="E831" s="80" t="str">
        <f ca="1">IFERROR(__xludf.DUMMYFUNCTION("""COMPUTED_VALUE"""),"F")</f>
        <v>F</v>
      </c>
      <c r="F831" s="80" t="str">
        <f ca="1">IFERROR(__xludf.DUMMYFUNCTION("""COMPUTED_VALUE"""),"J")</f>
        <v>J</v>
      </c>
      <c r="G831" s="80">
        <f ca="1">IFERROR(__xludf.DUMMYFUNCTION("""COMPUTED_VALUE"""),4)</f>
        <v>4</v>
      </c>
      <c r="H831" s="80" t="str">
        <f ca="1">IFERROR(__xludf.DUMMYFUNCTION("""COMPUTED_VALUE"""),"HF")</f>
        <v>HF</v>
      </c>
      <c r="I831" s="80">
        <f ca="1">IFERROR(__xludf.DUMMYFUNCTION("""COMPUTED_VALUE"""),2)</f>
        <v>2</v>
      </c>
      <c r="J831" s="81">
        <f ca="1">IFERROR(__xludf.DUMMYFUNCTION("""COMPUTED_VALUE"""),0)</f>
        <v>0</v>
      </c>
      <c r="K831" s="81">
        <f ca="1">IFERROR(__xludf.DUMMYFUNCTION("""COMPUTED_VALUE"""),0)</f>
        <v>0</v>
      </c>
      <c r="L831" s="81">
        <f ca="1">IFERROR(__xludf.DUMMYFUNCTION("""COMPUTED_VALUE"""),0)</f>
        <v>0</v>
      </c>
      <c r="M831" s="81"/>
      <c r="N831" s="81">
        <f ca="1">IFERROR(__xludf.DUMMYFUNCTION("""COMPUTED_VALUE"""),0)</f>
        <v>0</v>
      </c>
      <c r="O831" s="81"/>
      <c r="P831" s="81">
        <f ca="1">IFERROR(__xludf.DUMMYFUNCTION("""COMPUTED_VALUE"""),0)</f>
        <v>0</v>
      </c>
      <c r="Q831" s="81"/>
      <c r="R831" s="81">
        <f ca="1">IFERROR(__xludf.DUMMYFUNCTION("""COMPUTED_VALUE"""),0)</f>
        <v>0</v>
      </c>
      <c r="S831" s="81"/>
      <c r="T831" s="81"/>
      <c r="U831" s="82"/>
      <c r="V831" s="82"/>
      <c r="W831" s="83"/>
      <c r="X831" s="83"/>
      <c r="Y831" s="83"/>
    </row>
    <row r="832" spans="1:25" ht="13.8">
      <c r="A832" s="78" t="str">
        <f ca="1">IFERROR(__xludf.DUMMYFUNCTION("""COMPUTED_VALUE"""),"HF")</f>
        <v>HF</v>
      </c>
      <c r="B832" s="79" t="str">
        <f ca="1">IFERROR(__xludf.DUMMYFUNCTION("""COMPUTED_VALUE"""),"Annabella Wilder")</f>
        <v>Annabella Wilder</v>
      </c>
      <c r="C832" s="78">
        <f ca="1">IFERROR(__xludf.DUMMYFUNCTION("""COMPUTED_VALUE"""),9)</f>
        <v>9</v>
      </c>
      <c r="D832" s="78" t="str">
        <f ca="1">IFERROR(__xludf.DUMMYFUNCTION("""COMPUTED_VALUE"""),"G")</f>
        <v>G</v>
      </c>
      <c r="E832" s="80" t="str">
        <f ca="1">IFERROR(__xludf.DUMMYFUNCTION("""COMPUTED_VALUE"""),"F")</f>
        <v>F</v>
      </c>
      <c r="F832" s="80" t="str">
        <f ca="1">IFERROR(__xludf.DUMMYFUNCTION("""COMPUTED_VALUE"""),"J")</f>
        <v>J</v>
      </c>
      <c r="G832" s="80">
        <f ca="1">IFERROR(__xludf.DUMMYFUNCTION("""COMPUTED_VALUE"""),4)</f>
        <v>4</v>
      </c>
      <c r="H832" s="80" t="str">
        <f ca="1">IFERROR(__xludf.DUMMYFUNCTION("""COMPUTED_VALUE"""),"HF")</f>
        <v>HF</v>
      </c>
      <c r="I832" s="80">
        <f ca="1">IFERROR(__xludf.DUMMYFUNCTION("""COMPUTED_VALUE"""),2)</f>
        <v>2</v>
      </c>
      <c r="J832" s="81">
        <f ca="1">IFERROR(__xludf.DUMMYFUNCTION("""COMPUTED_VALUE"""),0)</f>
        <v>0</v>
      </c>
      <c r="K832" s="81">
        <f ca="1">IFERROR(__xludf.DUMMYFUNCTION("""COMPUTED_VALUE"""),0)</f>
        <v>0</v>
      </c>
      <c r="L832" s="81">
        <f ca="1">IFERROR(__xludf.DUMMYFUNCTION("""COMPUTED_VALUE"""),0)</f>
        <v>0</v>
      </c>
      <c r="M832" s="81"/>
      <c r="N832" s="81">
        <f ca="1">IFERROR(__xludf.DUMMYFUNCTION("""COMPUTED_VALUE"""),0)</f>
        <v>0</v>
      </c>
      <c r="O832" s="81"/>
      <c r="P832" s="81">
        <f ca="1">IFERROR(__xludf.DUMMYFUNCTION("""COMPUTED_VALUE"""),0)</f>
        <v>0</v>
      </c>
      <c r="Q832" s="81"/>
      <c r="R832" s="81">
        <f ca="1">IFERROR(__xludf.DUMMYFUNCTION("""COMPUTED_VALUE"""),0)</f>
        <v>0</v>
      </c>
      <c r="S832" s="81"/>
      <c r="T832" s="81"/>
      <c r="U832" s="82"/>
      <c r="V832" s="82"/>
      <c r="W832" s="83"/>
      <c r="X832" s="83"/>
      <c r="Y832" s="83"/>
    </row>
    <row r="833" spans="1:25" ht="13.8">
      <c r="A833" s="78" t="str">
        <f ca="1">IFERROR(__xludf.DUMMYFUNCTION("""COMPUTED_VALUE"""),"HF")</f>
        <v>HF</v>
      </c>
      <c r="B833" s="79" t="str">
        <f ca="1">IFERROR(__xludf.DUMMYFUNCTION("""COMPUTED_VALUE"""),"Harper Wilder")</f>
        <v>Harper Wilder</v>
      </c>
      <c r="C833" s="78">
        <f ca="1">IFERROR(__xludf.DUMMYFUNCTION("""COMPUTED_VALUE"""),8)</f>
        <v>8</v>
      </c>
      <c r="D833" s="78" t="str">
        <f ca="1">IFERROR(__xludf.DUMMYFUNCTION("""COMPUTED_VALUE"""),"G")</f>
        <v>G</v>
      </c>
      <c r="E833" s="80" t="str">
        <f ca="1">IFERROR(__xludf.DUMMYFUNCTION("""COMPUTED_VALUE"""),"F")</f>
        <v>F</v>
      </c>
      <c r="F833" s="80" t="str">
        <f ca="1">IFERROR(__xludf.DUMMYFUNCTION("""COMPUTED_VALUE"""),"J")</f>
        <v>J</v>
      </c>
      <c r="G833" s="80">
        <f ca="1">IFERROR(__xludf.DUMMYFUNCTION("""COMPUTED_VALUE"""),4)</f>
        <v>4</v>
      </c>
      <c r="H833" s="80" t="str">
        <f ca="1">IFERROR(__xludf.DUMMYFUNCTION("""COMPUTED_VALUE"""),"HF")</f>
        <v>HF</v>
      </c>
      <c r="I833" s="80">
        <f ca="1">IFERROR(__xludf.DUMMYFUNCTION("""COMPUTED_VALUE"""),2)</f>
        <v>2</v>
      </c>
      <c r="J833" s="81">
        <f ca="1">IFERROR(__xludf.DUMMYFUNCTION("""COMPUTED_VALUE"""),1)</f>
        <v>1</v>
      </c>
      <c r="K833" s="81">
        <f ca="1">IFERROR(__xludf.DUMMYFUNCTION("""COMPUTED_VALUE"""),23.15)</f>
        <v>23.15</v>
      </c>
      <c r="L833" s="81">
        <f ca="1">IFERROR(__xludf.DUMMYFUNCTION("""COMPUTED_VALUE"""),0)</f>
        <v>0</v>
      </c>
      <c r="M833" s="81"/>
      <c r="N833" s="81">
        <f ca="1">IFERROR(__xludf.DUMMYFUNCTION("""COMPUTED_VALUE"""),0)</f>
        <v>0</v>
      </c>
      <c r="O833" s="81"/>
      <c r="P833" s="81">
        <f ca="1">IFERROR(__xludf.DUMMYFUNCTION("""COMPUTED_VALUE"""),0)</f>
        <v>0</v>
      </c>
      <c r="Q833" s="81"/>
      <c r="R833" s="81">
        <f ca="1">IFERROR(__xludf.DUMMYFUNCTION("""COMPUTED_VALUE"""),23.15)</f>
        <v>23.15</v>
      </c>
      <c r="S833" s="81"/>
      <c r="T833" s="81"/>
      <c r="U833" s="82"/>
      <c r="V833" s="82"/>
      <c r="W833" s="83"/>
      <c r="X833" s="83"/>
      <c r="Y833" s="83"/>
    </row>
    <row r="834" spans="1:25" ht="13.8">
      <c r="A834" s="78" t="str">
        <f ca="1">IFERROR(__xludf.DUMMYFUNCTION("""COMPUTED_VALUE"""),"HF")</f>
        <v>HF</v>
      </c>
      <c r="B834" s="79" t="str">
        <f ca="1">IFERROR(__xludf.DUMMYFUNCTION("""COMPUTED_VALUE"""),"Davis Carter")</f>
        <v>Davis Carter</v>
      </c>
      <c r="C834" s="78">
        <f ca="1">IFERROR(__xludf.DUMMYFUNCTION("""COMPUTED_VALUE"""),9)</f>
        <v>9</v>
      </c>
      <c r="D834" s="78" t="str">
        <f ca="1">IFERROR(__xludf.DUMMYFUNCTION("""COMPUTED_VALUE"""),"B")</f>
        <v>B</v>
      </c>
      <c r="E834" s="80" t="str">
        <f ca="1">IFERROR(__xludf.DUMMYFUNCTION("""COMPUTED_VALUE"""),"F")</f>
        <v>F</v>
      </c>
      <c r="F834" s="80" t="str">
        <f ca="1">IFERROR(__xludf.DUMMYFUNCTION("""COMPUTED_VALUE"""),"J")</f>
        <v>J</v>
      </c>
      <c r="G834" s="80">
        <f ca="1">IFERROR(__xludf.DUMMYFUNCTION("""COMPUTED_VALUE"""),4)</f>
        <v>4</v>
      </c>
      <c r="H834" s="80" t="str">
        <f ca="1">IFERROR(__xludf.DUMMYFUNCTION("""COMPUTED_VALUE"""),"HF")</f>
        <v>HF</v>
      </c>
      <c r="I834" s="80">
        <f ca="1">IFERROR(__xludf.DUMMYFUNCTION("""COMPUTED_VALUE"""),3)</f>
        <v>3</v>
      </c>
      <c r="J834" s="81">
        <f ca="1">IFERROR(__xludf.DUMMYFUNCTION("""COMPUTED_VALUE"""),4)</f>
        <v>4</v>
      </c>
      <c r="K834" s="81">
        <f ca="1">IFERROR(__xludf.DUMMYFUNCTION("""COMPUTED_VALUE"""),37.15)</f>
        <v>37.15</v>
      </c>
      <c r="L834" s="81">
        <f ca="1">IFERROR(__xludf.DUMMYFUNCTION("""COMPUTED_VALUE"""),37.15)</f>
        <v>37.15</v>
      </c>
      <c r="M834" s="81"/>
      <c r="N834" s="81">
        <f ca="1">IFERROR(__xludf.DUMMYFUNCTION("""COMPUTED_VALUE"""),0)</f>
        <v>0</v>
      </c>
      <c r="O834" s="81"/>
      <c r="P834" s="81">
        <f ca="1">IFERROR(__xludf.DUMMYFUNCTION("""COMPUTED_VALUE"""),30.7)</f>
        <v>30.7</v>
      </c>
      <c r="Q834" s="81"/>
      <c r="R834" s="81">
        <f ca="1">IFERROR(__xludf.DUMMYFUNCTION("""COMPUTED_VALUE"""),35.85)</f>
        <v>35.85</v>
      </c>
      <c r="S834" s="81"/>
      <c r="T834" s="81"/>
      <c r="U834" s="82"/>
      <c r="V834" s="82"/>
      <c r="W834" s="83"/>
      <c r="X834" s="83"/>
      <c r="Y834" s="83"/>
    </row>
    <row r="835" spans="1:25" ht="13.8">
      <c r="A835" s="78" t="str">
        <f ca="1">IFERROR(__xludf.DUMMYFUNCTION("""COMPUTED_VALUE"""),"HF")</f>
        <v>HF</v>
      </c>
      <c r="B835" s="79" t="str">
        <f ca="1">IFERROR(__xludf.DUMMYFUNCTION("""COMPUTED_VALUE"""),"Will Copes")</f>
        <v>Will Copes</v>
      </c>
      <c r="C835" s="78">
        <f ca="1">IFERROR(__xludf.DUMMYFUNCTION("""COMPUTED_VALUE"""),9)</f>
        <v>9</v>
      </c>
      <c r="D835" s="78" t="str">
        <f ca="1">IFERROR(__xludf.DUMMYFUNCTION("""COMPUTED_VALUE"""),"B")</f>
        <v>B</v>
      </c>
      <c r="E835" s="80" t="str">
        <f ca="1">IFERROR(__xludf.DUMMYFUNCTION("""COMPUTED_VALUE"""),"F")</f>
        <v>F</v>
      </c>
      <c r="F835" s="80" t="str">
        <f ca="1">IFERROR(__xludf.DUMMYFUNCTION("""COMPUTED_VALUE"""),"J")</f>
        <v>J</v>
      </c>
      <c r="G835" s="80">
        <f ca="1">IFERROR(__xludf.DUMMYFUNCTION("""COMPUTED_VALUE"""),4)</f>
        <v>4</v>
      </c>
      <c r="H835" s="80" t="str">
        <f ca="1">IFERROR(__xludf.DUMMYFUNCTION("""COMPUTED_VALUE"""),"HF")</f>
        <v>HF</v>
      </c>
      <c r="I835" s="80">
        <f ca="1">IFERROR(__xludf.DUMMYFUNCTION("""COMPUTED_VALUE"""),3)</f>
        <v>3</v>
      </c>
      <c r="J835" s="81">
        <f ca="1">IFERROR(__xludf.DUMMYFUNCTION("""COMPUTED_VALUE"""),3)</f>
        <v>3</v>
      </c>
      <c r="K835" s="81">
        <f ca="1">IFERROR(__xludf.DUMMYFUNCTION("""COMPUTED_VALUE"""),53.55)</f>
        <v>53.55</v>
      </c>
      <c r="L835" s="81">
        <f ca="1">IFERROR(__xludf.DUMMYFUNCTION("""COMPUTED_VALUE"""),0)</f>
        <v>0</v>
      </c>
      <c r="M835" s="81"/>
      <c r="N835" s="81">
        <f ca="1">IFERROR(__xludf.DUMMYFUNCTION("""COMPUTED_VALUE"""),53.55)</f>
        <v>53.55</v>
      </c>
      <c r="O835" s="81"/>
      <c r="P835" s="81">
        <f ca="1">IFERROR(__xludf.DUMMYFUNCTION("""COMPUTED_VALUE"""),47.15)</f>
        <v>47.15</v>
      </c>
      <c r="Q835" s="81"/>
      <c r="R835" s="81">
        <f ca="1">IFERROR(__xludf.DUMMYFUNCTION("""COMPUTED_VALUE"""),0)</f>
        <v>0</v>
      </c>
      <c r="S835" s="81"/>
      <c r="T835" s="81"/>
      <c r="U835" s="82"/>
      <c r="V835" s="82"/>
      <c r="W835" s="83"/>
      <c r="X835" s="83"/>
      <c r="Y835" s="83"/>
    </row>
    <row r="836" spans="1:25" ht="13.8">
      <c r="A836" s="78" t="str">
        <f ca="1">IFERROR(__xludf.DUMMYFUNCTION("""COMPUTED_VALUE"""),"HF")</f>
        <v>HF</v>
      </c>
      <c r="B836" s="79" t="str">
        <f ca="1">IFERROR(__xludf.DUMMYFUNCTION("""COMPUTED_VALUE"""),"Michael Davis")</f>
        <v>Michael Davis</v>
      </c>
      <c r="C836" s="78">
        <f ca="1">IFERROR(__xludf.DUMMYFUNCTION("""COMPUTED_VALUE"""),10)</f>
        <v>10</v>
      </c>
      <c r="D836" s="78" t="str">
        <f ca="1">IFERROR(__xludf.DUMMYFUNCTION("""COMPUTED_VALUE"""),"B")</f>
        <v>B</v>
      </c>
      <c r="E836" s="80" t="str">
        <f ca="1">IFERROR(__xludf.DUMMYFUNCTION("""COMPUTED_VALUE"""),"F")</f>
        <v>F</v>
      </c>
      <c r="F836" s="80" t="str">
        <f ca="1">IFERROR(__xludf.DUMMYFUNCTION("""COMPUTED_VALUE"""),"J")</f>
        <v>J</v>
      </c>
      <c r="G836" s="80">
        <f ca="1">IFERROR(__xludf.DUMMYFUNCTION("""COMPUTED_VALUE"""),4)</f>
        <v>4</v>
      </c>
      <c r="H836" s="80" t="str">
        <f ca="1">IFERROR(__xludf.DUMMYFUNCTION("""COMPUTED_VALUE"""),"HF")</f>
        <v>HF</v>
      </c>
      <c r="I836" s="80">
        <f ca="1">IFERROR(__xludf.DUMMYFUNCTION("""COMPUTED_VALUE"""),3)</f>
        <v>3</v>
      </c>
      <c r="J836" s="81">
        <f ca="1">IFERROR(__xludf.DUMMYFUNCTION("""COMPUTED_VALUE"""),2)</f>
        <v>2</v>
      </c>
      <c r="K836" s="81">
        <f ca="1">IFERROR(__xludf.DUMMYFUNCTION("""COMPUTED_VALUE"""),67.25)</f>
        <v>67.25</v>
      </c>
      <c r="L836" s="81">
        <f ca="1">IFERROR(__xludf.DUMMYFUNCTION("""COMPUTED_VALUE"""),0)</f>
        <v>0</v>
      </c>
      <c r="M836" s="81"/>
      <c r="N836" s="81">
        <f ca="1">IFERROR(__xludf.DUMMYFUNCTION("""COMPUTED_VALUE"""),0)</f>
        <v>0</v>
      </c>
      <c r="O836" s="81"/>
      <c r="P836" s="81">
        <f ca="1">IFERROR(__xludf.DUMMYFUNCTION("""COMPUTED_VALUE"""),0)</f>
        <v>0</v>
      </c>
      <c r="Q836" s="81"/>
      <c r="R836" s="81">
        <f ca="1">IFERROR(__xludf.DUMMYFUNCTION("""COMPUTED_VALUE"""),67.25)</f>
        <v>67.25</v>
      </c>
      <c r="S836" s="81"/>
      <c r="T836" s="81"/>
      <c r="U836" s="82"/>
      <c r="V836" s="82"/>
      <c r="W836" s="83"/>
      <c r="X836" s="83"/>
      <c r="Y836" s="83"/>
    </row>
    <row r="837" spans="1:25" ht="13.8">
      <c r="A837" s="78" t="str">
        <f ca="1">IFERROR(__xludf.DUMMYFUNCTION("""COMPUTED_VALUE"""),"HF")</f>
        <v>HF</v>
      </c>
      <c r="B837" s="79" t="str">
        <f ca="1">IFERROR(__xludf.DUMMYFUNCTION("""COMPUTED_VALUE"""),"Henry Dulaney")</f>
        <v>Henry Dulaney</v>
      </c>
      <c r="C837" s="78">
        <f ca="1">IFERROR(__xludf.DUMMYFUNCTION("""COMPUTED_VALUE"""),9)</f>
        <v>9</v>
      </c>
      <c r="D837" s="78" t="str">
        <f ca="1">IFERROR(__xludf.DUMMYFUNCTION("""COMPUTED_VALUE"""),"B")</f>
        <v>B</v>
      </c>
      <c r="E837" s="80" t="str">
        <f ca="1">IFERROR(__xludf.DUMMYFUNCTION("""COMPUTED_VALUE"""),"F")</f>
        <v>F</v>
      </c>
      <c r="F837" s="80" t="str">
        <f ca="1">IFERROR(__xludf.DUMMYFUNCTION("""COMPUTED_VALUE"""),"J")</f>
        <v>J</v>
      </c>
      <c r="G837" s="80">
        <f ca="1">IFERROR(__xludf.DUMMYFUNCTION("""COMPUTED_VALUE"""),4)</f>
        <v>4</v>
      </c>
      <c r="H837" s="80" t="str">
        <f ca="1">IFERROR(__xludf.DUMMYFUNCTION("""COMPUTED_VALUE"""),"HF")</f>
        <v>HF</v>
      </c>
      <c r="I837" s="80">
        <f ca="1">IFERROR(__xludf.DUMMYFUNCTION("""COMPUTED_VALUE"""),3)</f>
        <v>3</v>
      </c>
      <c r="J837" s="81">
        <f ca="1">IFERROR(__xludf.DUMMYFUNCTION("""COMPUTED_VALUE"""),3)</f>
        <v>3</v>
      </c>
      <c r="K837" s="81">
        <f ca="1">IFERROR(__xludf.DUMMYFUNCTION("""COMPUTED_VALUE"""),32.15)</f>
        <v>32.15</v>
      </c>
      <c r="L837" s="81">
        <f ca="1">IFERROR(__xludf.DUMMYFUNCTION("""COMPUTED_VALUE"""),32.15)</f>
        <v>32.15</v>
      </c>
      <c r="M837" s="81"/>
      <c r="N837" s="81">
        <f ca="1">IFERROR(__xludf.DUMMYFUNCTION("""COMPUTED_VALUE"""),0)</f>
        <v>0</v>
      </c>
      <c r="O837" s="81"/>
      <c r="P837" s="81">
        <f ca="1">IFERROR(__xludf.DUMMYFUNCTION("""COMPUTED_VALUE"""),0)</f>
        <v>0</v>
      </c>
      <c r="Q837" s="81"/>
      <c r="R837" s="81">
        <f ca="1">IFERROR(__xludf.DUMMYFUNCTION("""COMPUTED_VALUE"""),31.5)</f>
        <v>31.5</v>
      </c>
      <c r="S837" s="81"/>
      <c r="T837" s="81"/>
      <c r="U837" s="82"/>
      <c r="V837" s="82"/>
      <c r="W837" s="83"/>
      <c r="X837" s="83"/>
      <c r="Y837" s="83"/>
    </row>
    <row r="838" spans="1:25" ht="13.8">
      <c r="A838" s="78" t="str">
        <f ca="1">IFERROR(__xludf.DUMMYFUNCTION("""COMPUTED_VALUE"""),"HF")</f>
        <v>HF</v>
      </c>
      <c r="B838" s="79" t="str">
        <f ca="1">IFERROR(__xludf.DUMMYFUNCTION("""COMPUTED_VALUE"""),"Jonah Dulaney")</f>
        <v>Jonah Dulaney</v>
      </c>
      <c r="C838" s="78">
        <f ca="1">IFERROR(__xludf.DUMMYFUNCTION("""COMPUTED_VALUE"""),6)</f>
        <v>6</v>
      </c>
      <c r="D838" s="78" t="str">
        <f ca="1">IFERROR(__xludf.DUMMYFUNCTION("""COMPUTED_VALUE"""),"B")</f>
        <v>B</v>
      </c>
      <c r="E838" s="80" t="str">
        <f ca="1">IFERROR(__xludf.DUMMYFUNCTION("""COMPUTED_VALUE"""),"F")</f>
        <v>F</v>
      </c>
      <c r="F838" s="80" t="str">
        <f ca="1">IFERROR(__xludf.DUMMYFUNCTION("""COMPUTED_VALUE"""),"J")</f>
        <v>J</v>
      </c>
      <c r="G838" s="80">
        <f ca="1">IFERROR(__xludf.DUMMYFUNCTION("""COMPUTED_VALUE"""),4)</f>
        <v>4</v>
      </c>
      <c r="H838" s="80" t="str">
        <f ca="1">IFERROR(__xludf.DUMMYFUNCTION("""COMPUTED_VALUE"""),"HF")</f>
        <v>HF</v>
      </c>
      <c r="I838" s="80">
        <f ca="1">IFERROR(__xludf.DUMMYFUNCTION("""COMPUTED_VALUE"""),3)</f>
        <v>3</v>
      </c>
      <c r="J838" s="81">
        <f ca="1">IFERROR(__xludf.DUMMYFUNCTION("""COMPUTED_VALUE"""),0)</f>
        <v>0</v>
      </c>
      <c r="K838" s="81">
        <f ca="1">IFERROR(__xludf.DUMMYFUNCTION("""COMPUTED_VALUE"""),0)</f>
        <v>0</v>
      </c>
      <c r="L838" s="81">
        <f ca="1">IFERROR(__xludf.DUMMYFUNCTION("""COMPUTED_VALUE"""),0)</f>
        <v>0</v>
      </c>
      <c r="M838" s="81"/>
      <c r="N838" s="81">
        <f ca="1">IFERROR(__xludf.DUMMYFUNCTION("""COMPUTED_VALUE"""),0)</f>
        <v>0</v>
      </c>
      <c r="O838" s="81"/>
      <c r="P838" s="81">
        <f ca="1">IFERROR(__xludf.DUMMYFUNCTION("""COMPUTED_VALUE"""),0)</f>
        <v>0</v>
      </c>
      <c r="Q838" s="81"/>
      <c r="R838" s="81">
        <f ca="1">IFERROR(__xludf.DUMMYFUNCTION("""COMPUTED_VALUE"""),0)</f>
        <v>0</v>
      </c>
      <c r="S838" s="81"/>
      <c r="T838" s="81"/>
      <c r="U838" s="82"/>
      <c r="V838" s="82"/>
      <c r="W838" s="83"/>
      <c r="X838" s="83"/>
      <c r="Y838" s="83"/>
    </row>
    <row r="839" spans="1:25" ht="13.8">
      <c r="A839" s="78" t="str">
        <f ca="1">IFERROR(__xludf.DUMMYFUNCTION("""COMPUTED_VALUE"""),"HF")</f>
        <v>HF</v>
      </c>
      <c r="B839" s="79" t="str">
        <f ca="1">IFERROR(__xludf.DUMMYFUNCTION("""COMPUTED_VALUE"""),"Oliver Klueber")</f>
        <v>Oliver Klueber</v>
      </c>
      <c r="C839" s="78">
        <f ca="1">IFERROR(__xludf.DUMMYFUNCTION("""COMPUTED_VALUE"""),8)</f>
        <v>8</v>
      </c>
      <c r="D839" s="78" t="str">
        <f ca="1">IFERROR(__xludf.DUMMYFUNCTION("""COMPUTED_VALUE"""),"B")</f>
        <v>B</v>
      </c>
      <c r="E839" s="80" t="str">
        <f ca="1">IFERROR(__xludf.DUMMYFUNCTION("""COMPUTED_VALUE"""),"F")</f>
        <v>F</v>
      </c>
      <c r="F839" s="80" t="str">
        <f ca="1">IFERROR(__xludf.DUMMYFUNCTION("""COMPUTED_VALUE"""),"J")</f>
        <v>J</v>
      </c>
      <c r="G839" s="80">
        <f ca="1">IFERROR(__xludf.DUMMYFUNCTION("""COMPUTED_VALUE"""),4)</f>
        <v>4</v>
      </c>
      <c r="H839" s="80" t="str">
        <f ca="1">IFERROR(__xludf.DUMMYFUNCTION("""COMPUTED_VALUE"""),"HF")</f>
        <v>HF</v>
      </c>
      <c r="I839" s="80">
        <f ca="1">IFERROR(__xludf.DUMMYFUNCTION("""COMPUTED_VALUE"""),3)</f>
        <v>3</v>
      </c>
      <c r="J839" s="81">
        <f ca="1">IFERROR(__xludf.DUMMYFUNCTION("""COMPUTED_VALUE"""),3)</f>
        <v>3</v>
      </c>
      <c r="K839" s="81">
        <f ca="1">IFERROR(__xludf.DUMMYFUNCTION("""COMPUTED_VALUE"""),36.85)</f>
        <v>36.85</v>
      </c>
      <c r="L839" s="81">
        <f ca="1">IFERROR(__xludf.DUMMYFUNCTION("""COMPUTED_VALUE"""),0)</f>
        <v>0</v>
      </c>
      <c r="M839" s="81"/>
      <c r="N839" s="81">
        <f ca="1">IFERROR(__xludf.DUMMYFUNCTION("""COMPUTED_VALUE"""),25.15)</f>
        <v>25.15</v>
      </c>
      <c r="O839" s="81"/>
      <c r="P839" s="81">
        <f ca="1">IFERROR(__xludf.DUMMYFUNCTION("""COMPUTED_VALUE"""),36.85)</f>
        <v>36.85</v>
      </c>
      <c r="Q839" s="81"/>
      <c r="R839" s="81">
        <f ca="1">IFERROR(__xludf.DUMMYFUNCTION("""COMPUTED_VALUE"""),0)</f>
        <v>0</v>
      </c>
      <c r="S839" s="81"/>
      <c r="T839" s="81"/>
      <c r="U839" s="82"/>
      <c r="V839" s="82"/>
      <c r="W839" s="83"/>
      <c r="X839" s="83"/>
      <c r="Y839" s="83"/>
    </row>
    <row r="840" spans="1:25" ht="13.8">
      <c r="A840" s="78" t="str">
        <f ca="1">IFERROR(__xludf.DUMMYFUNCTION("""COMPUTED_VALUE"""),"HF")</f>
        <v>HF</v>
      </c>
      <c r="B840" s="79" t="str">
        <f ca="1">IFERROR(__xludf.DUMMYFUNCTION("""COMPUTED_VALUE"""),"Ben Lyon")</f>
        <v>Ben Lyon</v>
      </c>
      <c r="C840" s="78">
        <f ca="1">IFERROR(__xludf.DUMMYFUNCTION("""COMPUTED_VALUE"""),6)</f>
        <v>6</v>
      </c>
      <c r="D840" s="78" t="str">
        <f ca="1">IFERROR(__xludf.DUMMYFUNCTION("""COMPUTED_VALUE"""),"B")</f>
        <v>B</v>
      </c>
      <c r="E840" s="80" t="str">
        <f ca="1">IFERROR(__xludf.DUMMYFUNCTION("""COMPUTED_VALUE"""),"F")</f>
        <v>F</v>
      </c>
      <c r="F840" s="80" t="str">
        <f ca="1">IFERROR(__xludf.DUMMYFUNCTION("""COMPUTED_VALUE"""),"J")</f>
        <v>J</v>
      </c>
      <c r="G840" s="80">
        <f ca="1">IFERROR(__xludf.DUMMYFUNCTION("""COMPUTED_VALUE"""),4)</f>
        <v>4</v>
      </c>
      <c r="H840" s="80" t="str">
        <f ca="1">IFERROR(__xludf.DUMMYFUNCTION("""COMPUTED_VALUE"""),"HF")</f>
        <v>HF</v>
      </c>
      <c r="I840" s="80">
        <f ca="1">IFERROR(__xludf.DUMMYFUNCTION("""COMPUTED_VALUE"""),3)</f>
        <v>3</v>
      </c>
      <c r="J840" s="81">
        <f ca="1">IFERROR(__xludf.DUMMYFUNCTION("""COMPUTED_VALUE"""),0)</f>
        <v>0</v>
      </c>
      <c r="K840" s="81">
        <f ca="1">IFERROR(__xludf.DUMMYFUNCTION("""COMPUTED_VALUE"""),0)</f>
        <v>0</v>
      </c>
      <c r="L840" s="81">
        <f ca="1">IFERROR(__xludf.DUMMYFUNCTION("""COMPUTED_VALUE"""),0)</f>
        <v>0</v>
      </c>
      <c r="M840" s="81"/>
      <c r="N840" s="81">
        <f ca="1">IFERROR(__xludf.DUMMYFUNCTION("""COMPUTED_VALUE"""),0)</f>
        <v>0</v>
      </c>
      <c r="O840" s="81"/>
      <c r="P840" s="81">
        <f ca="1">IFERROR(__xludf.DUMMYFUNCTION("""COMPUTED_VALUE"""),0)</f>
        <v>0</v>
      </c>
      <c r="Q840" s="81"/>
      <c r="R840" s="81">
        <f ca="1">IFERROR(__xludf.DUMMYFUNCTION("""COMPUTED_VALUE"""),0)</f>
        <v>0</v>
      </c>
      <c r="S840" s="81"/>
      <c r="T840" s="81"/>
      <c r="U840" s="82"/>
      <c r="V840" s="82"/>
      <c r="W840" s="83"/>
      <c r="X840" s="83"/>
      <c r="Y840" s="83"/>
    </row>
    <row r="841" spans="1:25" ht="13.8">
      <c r="A841" s="78" t="str">
        <f ca="1">IFERROR(__xludf.DUMMYFUNCTION("""COMPUTED_VALUE"""),"HF")</f>
        <v>HF</v>
      </c>
      <c r="B841" s="79" t="str">
        <f ca="1">IFERROR(__xludf.DUMMYFUNCTION("""COMPUTED_VALUE"""),"Caleb Lyon")</f>
        <v>Caleb Lyon</v>
      </c>
      <c r="C841" s="78">
        <f ca="1">IFERROR(__xludf.DUMMYFUNCTION("""COMPUTED_VALUE"""),8)</f>
        <v>8</v>
      </c>
      <c r="D841" s="78" t="str">
        <f ca="1">IFERROR(__xludf.DUMMYFUNCTION("""COMPUTED_VALUE"""),"B")</f>
        <v>B</v>
      </c>
      <c r="E841" s="80" t="str">
        <f ca="1">IFERROR(__xludf.DUMMYFUNCTION("""COMPUTED_VALUE"""),"F")</f>
        <v>F</v>
      </c>
      <c r="F841" s="80" t="str">
        <f ca="1">IFERROR(__xludf.DUMMYFUNCTION("""COMPUTED_VALUE"""),"J")</f>
        <v>J</v>
      </c>
      <c r="G841" s="80">
        <f ca="1">IFERROR(__xludf.DUMMYFUNCTION("""COMPUTED_VALUE"""),4)</f>
        <v>4</v>
      </c>
      <c r="H841" s="80" t="str">
        <f ca="1">IFERROR(__xludf.DUMMYFUNCTION("""COMPUTED_VALUE"""),"HF")</f>
        <v>HF</v>
      </c>
      <c r="I841" s="80">
        <f ca="1">IFERROR(__xludf.DUMMYFUNCTION("""COMPUTED_VALUE"""),3)</f>
        <v>3</v>
      </c>
      <c r="J841" s="81">
        <f ca="1">IFERROR(__xludf.DUMMYFUNCTION("""COMPUTED_VALUE"""),0)</f>
        <v>0</v>
      </c>
      <c r="K841" s="81">
        <f ca="1">IFERROR(__xludf.DUMMYFUNCTION("""COMPUTED_VALUE"""),0)</f>
        <v>0</v>
      </c>
      <c r="L841" s="81">
        <f ca="1">IFERROR(__xludf.DUMMYFUNCTION("""COMPUTED_VALUE"""),0)</f>
        <v>0</v>
      </c>
      <c r="M841" s="81"/>
      <c r="N841" s="81">
        <f ca="1">IFERROR(__xludf.DUMMYFUNCTION("""COMPUTED_VALUE"""),0)</f>
        <v>0</v>
      </c>
      <c r="O841" s="81"/>
      <c r="P841" s="81">
        <f ca="1">IFERROR(__xludf.DUMMYFUNCTION("""COMPUTED_VALUE"""),0)</f>
        <v>0</v>
      </c>
      <c r="Q841" s="81"/>
      <c r="R841" s="81">
        <f ca="1">IFERROR(__xludf.DUMMYFUNCTION("""COMPUTED_VALUE"""),0)</f>
        <v>0</v>
      </c>
      <c r="S841" s="81"/>
      <c r="T841" s="81"/>
      <c r="U841" s="82"/>
      <c r="V841" s="82"/>
      <c r="W841" s="83"/>
      <c r="X841" s="83"/>
      <c r="Y841" s="83"/>
    </row>
    <row r="842" spans="1:25" ht="13.8">
      <c r="A842" s="78" t="str">
        <f ca="1">IFERROR(__xludf.DUMMYFUNCTION("""COMPUTED_VALUE"""),"HF")</f>
        <v>HF</v>
      </c>
      <c r="B842" s="79" t="str">
        <f ca="1">IFERROR(__xludf.DUMMYFUNCTION("""COMPUTED_VALUE"""),"Jack McGuire")</f>
        <v>Jack McGuire</v>
      </c>
      <c r="C842" s="78">
        <f ca="1">IFERROR(__xludf.DUMMYFUNCTION("""COMPUTED_VALUE"""),10)</f>
        <v>10</v>
      </c>
      <c r="D842" s="78" t="str">
        <f ca="1">IFERROR(__xludf.DUMMYFUNCTION("""COMPUTED_VALUE"""),"B")</f>
        <v>B</v>
      </c>
      <c r="E842" s="80" t="str">
        <f ca="1">IFERROR(__xludf.DUMMYFUNCTION("""COMPUTED_VALUE"""),"F")</f>
        <v>F</v>
      </c>
      <c r="F842" s="80" t="str">
        <f ca="1">IFERROR(__xludf.DUMMYFUNCTION("""COMPUTED_VALUE"""),"J")</f>
        <v>J</v>
      </c>
      <c r="G842" s="80">
        <f ca="1">IFERROR(__xludf.DUMMYFUNCTION("""COMPUTED_VALUE"""),4)</f>
        <v>4</v>
      </c>
      <c r="H842" s="80" t="str">
        <f ca="1">IFERROR(__xludf.DUMMYFUNCTION("""COMPUTED_VALUE"""),"HF")</f>
        <v>HF</v>
      </c>
      <c r="I842" s="80">
        <f ca="1">IFERROR(__xludf.DUMMYFUNCTION("""COMPUTED_VALUE"""),3)</f>
        <v>3</v>
      </c>
      <c r="J842" s="81">
        <f ca="1">IFERROR(__xludf.DUMMYFUNCTION("""COMPUTED_VALUE"""),4)</f>
        <v>4</v>
      </c>
      <c r="K842" s="81">
        <f ca="1">IFERROR(__xludf.DUMMYFUNCTION("""COMPUTED_VALUE"""),45.65)</f>
        <v>45.65</v>
      </c>
      <c r="L842" s="81">
        <f ca="1">IFERROR(__xludf.DUMMYFUNCTION("""COMPUTED_VALUE"""),45.65)</f>
        <v>45.65</v>
      </c>
      <c r="M842" s="81"/>
      <c r="N842" s="81">
        <f ca="1">IFERROR(__xludf.DUMMYFUNCTION("""COMPUTED_VALUE"""),41.5)</f>
        <v>41.5</v>
      </c>
      <c r="O842" s="81"/>
      <c r="P842" s="81">
        <f ca="1">IFERROR(__xludf.DUMMYFUNCTION("""COMPUTED_VALUE"""),0)</f>
        <v>0</v>
      </c>
      <c r="Q842" s="81"/>
      <c r="R842" s="81">
        <f ca="1">IFERROR(__xludf.DUMMYFUNCTION("""COMPUTED_VALUE"""),40.6)</f>
        <v>40.6</v>
      </c>
      <c r="S842" s="81"/>
      <c r="T842" s="81"/>
      <c r="U842" s="82"/>
      <c r="V842" s="82"/>
      <c r="W842" s="83"/>
      <c r="X842" s="83"/>
      <c r="Y842" s="83"/>
    </row>
    <row r="843" spans="1:25" ht="13.8">
      <c r="A843" s="78" t="str">
        <f ca="1">IFERROR(__xludf.DUMMYFUNCTION("""COMPUTED_VALUE"""),"HF")</f>
        <v>HF</v>
      </c>
      <c r="B843" s="79" t="str">
        <f ca="1">IFERROR(__xludf.DUMMYFUNCTION("""COMPUTED_VALUE"""),"Stone Perdue")</f>
        <v>Stone Perdue</v>
      </c>
      <c r="C843" s="78">
        <f ca="1">IFERROR(__xludf.DUMMYFUNCTION("""COMPUTED_VALUE"""),10)</f>
        <v>10</v>
      </c>
      <c r="D843" s="78" t="str">
        <f ca="1">IFERROR(__xludf.DUMMYFUNCTION("""COMPUTED_VALUE"""),"B")</f>
        <v>B</v>
      </c>
      <c r="E843" s="80" t="str">
        <f ca="1">IFERROR(__xludf.DUMMYFUNCTION("""COMPUTED_VALUE"""),"F")</f>
        <v>F</v>
      </c>
      <c r="F843" s="80" t="str">
        <f ca="1">IFERROR(__xludf.DUMMYFUNCTION("""COMPUTED_VALUE"""),"J")</f>
        <v>J</v>
      </c>
      <c r="G843" s="80">
        <f ca="1">IFERROR(__xludf.DUMMYFUNCTION("""COMPUTED_VALUE"""),4)</f>
        <v>4</v>
      </c>
      <c r="H843" s="80" t="str">
        <f ca="1">IFERROR(__xludf.DUMMYFUNCTION("""COMPUTED_VALUE"""),"HF")</f>
        <v>HF</v>
      </c>
      <c r="I843" s="80">
        <f ca="1">IFERROR(__xludf.DUMMYFUNCTION("""COMPUTED_VALUE"""),3)</f>
        <v>3</v>
      </c>
      <c r="J843" s="81">
        <f ca="1">IFERROR(__xludf.DUMMYFUNCTION("""COMPUTED_VALUE"""),4)</f>
        <v>4</v>
      </c>
      <c r="K843" s="81">
        <f ca="1">IFERROR(__xludf.DUMMYFUNCTION("""COMPUTED_VALUE"""),48.45)</f>
        <v>48.45</v>
      </c>
      <c r="L843" s="81">
        <f ca="1">IFERROR(__xludf.DUMMYFUNCTION("""COMPUTED_VALUE"""),47.85)</f>
        <v>47.85</v>
      </c>
      <c r="M843" s="81"/>
      <c r="N843" s="81">
        <f ca="1">IFERROR(__xludf.DUMMYFUNCTION("""COMPUTED_VALUE"""),37.25)</f>
        <v>37.25</v>
      </c>
      <c r="O843" s="81"/>
      <c r="P843" s="81">
        <f ca="1">IFERROR(__xludf.DUMMYFUNCTION("""COMPUTED_VALUE"""),48.45)</f>
        <v>48.45</v>
      </c>
      <c r="Q843" s="81"/>
      <c r="R843" s="81">
        <f ca="1">IFERROR(__xludf.DUMMYFUNCTION("""COMPUTED_VALUE"""),43.95)</f>
        <v>43.95</v>
      </c>
      <c r="S843" s="81"/>
      <c r="T843" s="81"/>
      <c r="U843" s="82"/>
      <c r="V843" s="82"/>
      <c r="W843" s="83"/>
      <c r="X843" s="83"/>
      <c r="Y843" s="83"/>
    </row>
    <row r="844" spans="1:25" ht="13.8">
      <c r="A844" s="78" t="str">
        <f ca="1">IFERROR(__xludf.DUMMYFUNCTION("""COMPUTED_VALUE"""),"HF")</f>
        <v>HF</v>
      </c>
      <c r="B844" s="79" t="str">
        <f ca="1">IFERROR(__xludf.DUMMYFUNCTION("""COMPUTED_VALUE"""),"Luke Peters")</f>
        <v>Luke Peters</v>
      </c>
      <c r="C844" s="78">
        <f ca="1">IFERROR(__xludf.DUMMYFUNCTION("""COMPUTED_VALUE"""),9)</f>
        <v>9</v>
      </c>
      <c r="D844" s="78" t="str">
        <f ca="1">IFERROR(__xludf.DUMMYFUNCTION("""COMPUTED_VALUE"""),"B")</f>
        <v>B</v>
      </c>
      <c r="E844" s="80" t="str">
        <f ca="1">IFERROR(__xludf.DUMMYFUNCTION("""COMPUTED_VALUE"""),"F")</f>
        <v>F</v>
      </c>
      <c r="F844" s="80" t="str">
        <f ca="1">IFERROR(__xludf.DUMMYFUNCTION("""COMPUTED_VALUE"""),"J")</f>
        <v>J</v>
      </c>
      <c r="G844" s="80">
        <f ca="1">IFERROR(__xludf.DUMMYFUNCTION("""COMPUTED_VALUE"""),4)</f>
        <v>4</v>
      </c>
      <c r="H844" s="80" t="str">
        <f ca="1">IFERROR(__xludf.DUMMYFUNCTION("""COMPUTED_VALUE"""),"HF")</f>
        <v>HF</v>
      </c>
      <c r="I844" s="80">
        <f ca="1">IFERROR(__xludf.DUMMYFUNCTION("""COMPUTED_VALUE"""),3)</f>
        <v>3</v>
      </c>
      <c r="J844" s="81">
        <f ca="1">IFERROR(__xludf.DUMMYFUNCTION("""COMPUTED_VALUE"""),3)</f>
        <v>3</v>
      </c>
      <c r="K844" s="81">
        <f ca="1">IFERROR(__xludf.DUMMYFUNCTION("""COMPUTED_VALUE"""),56.05)</f>
        <v>56.05</v>
      </c>
      <c r="L844" s="81">
        <f ca="1">IFERROR(__xludf.DUMMYFUNCTION("""COMPUTED_VALUE"""),0)</f>
        <v>0</v>
      </c>
      <c r="M844" s="81"/>
      <c r="N844" s="81">
        <f ca="1">IFERROR(__xludf.DUMMYFUNCTION("""COMPUTED_VALUE"""),0)</f>
        <v>0</v>
      </c>
      <c r="O844" s="81"/>
      <c r="P844" s="81">
        <f ca="1">IFERROR(__xludf.DUMMYFUNCTION("""COMPUTED_VALUE"""),56.05)</f>
        <v>56.05</v>
      </c>
      <c r="Q844" s="81"/>
      <c r="R844" s="81">
        <f ca="1">IFERROR(__xludf.DUMMYFUNCTION("""COMPUTED_VALUE"""),43.1)</f>
        <v>43.1</v>
      </c>
      <c r="S844" s="81"/>
      <c r="T844" s="81"/>
      <c r="U844" s="82"/>
      <c r="V844" s="82"/>
      <c r="W844" s="83"/>
      <c r="X844" s="83"/>
      <c r="Y844" s="83"/>
    </row>
    <row r="845" spans="1:25" ht="13.8">
      <c r="A845" s="78" t="str">
        <f ca="1">IFERROR(__xludf.DUMMYFUNCTION("""COMPUTED_VALUE"""),"HF")</f>
        <v>HF</v>
      </c>
      <c r="B845" s="79" t="str">
        <f ca="1">IFERROR(__xludf.DUMMYFUNCTION("""COMPUTED_VALUE"""),"Carsten Stewart")</f>
        <v>Carsten Stewart</v>
      </c>
      <c r="C845" s="78">
        <f ca="1">IFERROR(__xludf.DUMMYFUNCTION("""COMPUTED_VALUE"""),8)</f>
        <v>8</v>
      </c>
      <c r="D845" s="78" t="str">
        <f ca="1">IFERROR(__xludf.DUMMYFUNCTION("""COMPUTED_VALUE"""),"B")</f>
        <v>B</v>
      </c>
      <c r="E845" s="80" t="str">
        <f ca="1">IFERROR(__xludf.DUMMYFUNCTION("""COMPUTED_VALUE"""),"F")</f>
        <v>F</v>
      </c>
      <c r="F845" s="80" t="str">
        <f ca="1">IFERROR(__xludf.DUMMYFUNCTION("""COMPUTED_VALUE"""),"J")</f>
        <v>J</v>
      </c>
      <c r="G845" s="80">
        <f ca="1">IFERROR(__xludf.DUMMYFUNCTION("""COMPUTED_VALUE"""),4)</f>
        <v>4</v>
      </c>
      <c r="H845" s="80" t="str">
        <f ca="1">IFERROR(__xludf.DUMMYFUNCTION("""COMPUTED_VALUE"""),"HF")</f>
        <v>HF</v>
      </c>
      <c r="I845" s="80">
        <f ca="1">IFERROR(__xludf.DUMMYFUNCTION("""COMPUTED_VALUE"""),3)</f>
        <v>3</v>
      </c>
      <c r="J845" s="81">
        <f ca="1">IFERROR(__xludf.DUMMYFUNCTION("""COMPUTED_VALUE"""),4)</f>
        <v>4</v>
      </c>
      <c r="K845" s="81">
        <f ca="1">IFERROR(__xludf.DUMMYFUNCTION("""COMPUTED_VALUE"""),56.3)</f>
        <v>56.3</v>
      </c>
      <c r="L845" s="81">
        <f ca="1">IFERROR(__xludf.DUMMYFUNCTION("""COMPUTED_VALUE"""),49.35)</f>
        <v>49.35</v>
      </c>
      <c r="M845" s="81"/>
      <c r="N845" s="81">
        <f ca="1">IFERROR(__xludf.DUMMYFUNCTION("""COMPUTED_VALUE"""),45)</f>
        <v>45</v>
      </c>
      <c r="O845" s="81"/>
      <c r="P845" s="81">
        <f ca="1">IFERROR(__xludf.DUMMYFUNCTION("""COMPUTED_VALUE"""),0)</f>
        <v>0</v>
      </c>
      <c r="Q845" s="81"/>
      <c r="R845" s="81">
        <f ca="1">IFERROR(__xludf.DUMMYFUNCTION("""COMPUTED_VALUE"""),56.3)</f>
        <v>56.3</v>
      </c>
      <c r="S845" s="81"/>
      <c r="T845" s="81"/>
      <c r="U845" s="82"/>
      <c r="V845" s="82"/>
      <c r="W845" s="83"/>
      <c r="X845" s="83"/>
      <c r="Y845" s="83"/>
    </row>
    <row r="846" spans="1:25" ht="13.8">
      <c r="A846" s="78" t="str">
        <f ca="1">IFERROR(__xludf.DUMMYFUNCTION("""COMPUTED_VALUE"""),"HF")</f>
        <v>HF</v>
      </c>
      <c r="B846" s="79" t="str">
        <f ca="1">IFERROR(__xludf.DUMMYFUNCTION("""COMPUTED_VALUE"""),"Emma Kowalchick")</f>
        <v>Emma Kowalchick</v>
      </c>
      <c r="C846" s="78">
        <f ca="1">IFERROR(__xludf.DUMMYFUNCTION("""COMPUTED_VALUE"""),11)</f>
        <v>11</v>
      </c>
      <c r="D846" s="78" t="str">
        <f ca="1">IFERROR(__xludf.DUMMYFUNCTION("""COMPUTED_VALUE"""),"G")</f>
        <v>G</v>
      </c>
      <c r="E846" s="80" t="str">
        <f ca="1">IFERROR(__xludf.DUMMYFUNCTION("""COMPUTED_VALUE"""),"J")</f>
        <v>J</v>
      </c>
      <c r="F846" s="80" t="str">
        <f ca="1">IFERROR(__xludf.DUMMYFUNCTION("""COMPUTED_VALUE"""),"I")</f>
        <v>I</v>
      </c>
      <c r="G846" s="80">
        <f ca="1">IFERROR(__xludf.DUMMYFUNCTION("""COMPUTED_VALUE"""),4)</f>
        <v>4</v>
      </c>
      <c r="H846" s="80" t="str">
        <f ca="1">IFERROR(__xludf.DUMMYFUNCTION("""COMPUTED_VALUE"""),"HF")</f>
        <v>HF</v>
      </c>
      <c r="I846" s="80">
        <f ca="1">IFERROR(__xludf.DUMMYFUNCTION("""COMPUTED_VALUE"""),4)</f>
        <v>4</v>
      </c>
      <c r="J846" s="81">
        <f ca="1">IFERROR(__xludf.DUMMYFUNCTION("""COMPUTED_VALUE"""),4)</f>
        <v>4</v>
      </c>
      <c r="K846" s="81">
        <f ca="1">IFERROR(__xludf.DUMMYFUNCTION("""COMPUTED_VALUE"""),89.85)</f>
        <v>89.85</v>
      </c>
      <c r="L846" s="81">
        <f ca="1">IFERROR(__xludf.DUMMYFUNCTION("""COMPUTED_VALUE"""),86.4)</f>
        <v>86.4</v>
      </c>
      <c r="M846" s="81"/>
      <c r="N846" s="81">
        <f ca="1">IFERROR(__xludf.DUMMYFUNCTION("""COMPUTED_VALUE"""),65.65)</f>
        <v>65.650000000000006</v>
      </c>
      <c r="O846" s="81"/>
      <c r="P846" s="81">
        <f ca="1">IFERROR(__xludf.DUMMYFUNCTION("""COMPUTED_VALUE"""),82.8)</f>
        <v>82.8</v>
      </c>
      <c r="Q846" s="81"/>
      <c r="R846" s="81">
        <f ca="1">IFERROR(__xludf.DUMMYFUNCTION("""COMPUTED_VALUE"""),89.85)</f>
        <v>89.85</v>
      </c>
      <c r="S846" s="81"/>
      <c r="T846" s="81"/>
      <c r="U846" s="82"/>
      <c r="V846" s="82"/>
      <c r="W846" s="83"/>
      <c r="X846" s="83"/>
      <c r="Y846" s="83"/>
    </row>
    <row r="847" spans="1:25" ht="13.8">
      <c r="A847" s="78" t="str">
        <f ca="1">IFERROR(__xludf.DUMMYFUNCTION("""COMPUTED_VALUE"""),"HF")</f>
        <v>HF</v>
      </c>
      <c r="B847" s="79" t="str">
        <f ca="1">IFERROR(__xludf.DUMMYFUNCTION("""COMPUTED_VALUE"""),"Maeve McGuire")</f>
        <v>Maeve McGuire</v>
      </c>
      <c r="C847" s="78">
        <f ca="1">IFERROR(__xludf.DUMMYFUNCTION("""COMPUTED_VALUE"""),12)</f>
        <v>12</v>
      </c>
      <c r="D847" s="78" t="str">
        <f ca="1">IFERROR(__xludf.DUMMYFUNCTION("""COMPUTED_VALUE"""),"G")</f>
        <v>G</v>
      </c>
      <c r="E847" s="80" t="str">
        <f ca="1">IFERROR(__xludf.DUMMYFUNCTION("""COMPUTED_VALUE"""),"J")</f>
        <v>J</v>
      </c>
      <c r="F847" s="80" t="str">
        <f ca="1">IFERROR(__xludf.DUMMYFUNCTION("""COMPUTED_VALUE"""),"I")</f>
        <v>I</v>
      </c>
      <c r="G847" s="80">
        <f ca="1">IFERROR(__xludf.DUMMYFUNCTION("""COMPUTED_VALUE"""),4)</f>
        <v>4</v>
      </c>
      <c r="H847" s="80" t="str">
        <f ca="1">IFERROR(__xludf.DUMMYFUNCTION("""COMPUTED_VALUE"""),"HF")</f>
        <v>HF</v>
      </c>
      <c r="I847" s="80">
        <f ca="1">IFERROR(__xludf.DUMMYFUNCTION("""COMPUTED_VALUE"""),4)</f>
        <v>4</v>
      </c>
      <c r="J847" s="81">
        <f ca="1">IFERROR(__xludf.DUMMYFUNCTION("""COMPUTED_VALUE"""),4)</f>
        <v>4</v>
      </c>
      <c r="K847" s="81">
        <f ca="1">IFERROR(__xludf.DUMMYFUNCTION("""COMPUTED_VALUE"""),98.35)</f>
        <v>98.35</v>
      </c>
      <c r="L847" s="81">
        <f ca="1">IFERROR(__xludf.DUMMYFUNCTION("""COMPUTED_VALUE"""),0)</f>
        <v>0</v>
      </c>
      <c r="M847" s="81"/>
      <c r="N847" s="81">
        <f ca="1">IFERROR(__xludf.DUMMYFUNCTION("""COMPUTED_VALUE"""),89.7)</f>
        <v>89.7</v>
      </c>
      <c r="O847" s="81"/>
      <c r="P847" s="81">
        <f ca="1">IFERROR(__xludf.DUMMYFUNCTION("""COMPUTED_VALUE"""),98.35)</f>
        <v>98.35</v>
      </c>
      <c r="Q847" s="81"/>
      <c r="R847" s="81">
        <f ca="1">IFERROR(__xludf.DUMMYFUNCTION("""COMPUTED_VALUE"""),-102.65)</f>
        <v>-102.65</v>
      </c>
      <c r="S847" s="81"/>
      <c r="T847" s="81"/>
      <c r="U847" s="82"/>
      <c r="V847" s="82"/>
      <c r="W847" s="83"/>
      <c r="X847" s="83"/>
      <c r="Y847" s="83"/>
    </row>
    <row r="848" spans="1:25" ht="13.8">
      <c r="A848" s="78" t="str">
        <f ca="1">IFERROR(__xludf.DUMMYFUNCTION("""COMPUTED_VALUE"""),"HF")</f>
        <v>HF</v>
      </c>
      <c r="B848" s="79" t="str">
        <f ca="1">IFERROR(__xludf.DUMMYFUNCTION("""COMPUTED_VALUE"""),"Clayre Payne")</f>
        <v>Clayre Payne</v>
      </c>
      <c r="C848" s="78">
        <f ca="1">IFERROR(__xludf.DUMMYFUNCTION("""COMPUTED_VALUE"""),12)</f>
        <v>12</v>
      </c>
      <c r="D848" s="78" t="str">
        <f ca="1">IFERROR(__xludf.DUMMYFUNCTION("""COMPUTED_VALUE"""),"G")</f>
        <v>G</v>
      </c>
      <c r="E848" s="80" t="str">
        <f ca="1">IFERROR(__xludf.DUMMYFUNCTION("""COMPUTED_VALUE"""),"J")</f>
        <v>J</v>
      </c>
      <c r="F848" s="80" t="str">
        <f ca="1">IFERROR(__xludf.DUMMYFUNCTION("""COMPUTED_VALUE"""),"I")</f>
        <v>I</v>
      </c>
      <c r="G848" s="80">
        <f ca="1">IFERROR(__xludf.DUMMYFUNCTION("""COMPUTED_VALUE"""),4)</f>
        <v>4</v>
      </c>
      <c r="H848" s="80" t="str">
        <f ca="1">IFERROR(__xludf.DUMMYFUNCTION("""COMPUTED_VALUE"""),"HF")</f>
        <v>HF</v>
      </c>
      <c r="I848" s="80">
        <f ca="1">IFERROR(__xludf.DUMMYFUNCTION("""COMPUTED_VALUE"""),4)</f>
        <v>4</v>
      </c>
      <c r="J848" s="81">
        <f ca="1">IFERROR(__xludf.DUMMYFUNCTION("""COMPUTED_VALUE"""),3)</f>
        <v>3</v>
      </c>
      <c r="K848" s="81">
        <f ca="1">IFERROR(__xludf.DUMMYFUNCTION("""COMPUTED_VALUE"""),81.3)</f>
        <v>81.3</v>
      </c>
      <c r="L848" s="81">
        <f ca="1">IFERROR(__xludf.DUMMYFUNCTION("""COMPUTED_VALUE"""),81.3)</f>
        <v>81.3</v>
      </c>
      <c r="M848" s="81"/>
      <c r="N848" s="81">
        <f ca="1">IFERROR(__xludf.DUMMYFUNCTION("""COMPUTED_VALUE"""),0)</f>
        <v>0</v>
      </c>
      <c r="O848" s="81"/>
      <c r="P848" s="81">
        <f ca="1">IFERROR(__xludf.DUMMYFUNCTION("""COMPUTED_VALUE"""),77.8)</f>
        <v>77.8</v>
      </c>
      <c r="Q848" s="81"/>
      <c r="R848" s="81">
        <f ca="1">IFERROR(__xludf.DUMMYFUNCTION("""COMPUTED_VALUE"""),79.45)</f>
        <v>79.45</v>
      </c>
      <c r="S848" s="81"/>
      <c r="T848" s="81"/>
      <c r="U848" s="82"/>
      <c r="V848" s="82"/>
      <c r="W848" s="83"/>
      <c r="X848" s="83"/>
      <c r="Y848" s="83"/>
    </row>
    <row r="849" spans="1:25" ht="13.8">
      <c r="A849" s="78" t="str">
        <f ca="1">IFERROR(__xludf.DUMMYFUNCTION("""COMPUTED_VALUE"""),"HF")</f>
        <v>HF</v>
      </c>
      <c r="B849" s="79" t="str">
        <f ca="1">IFERROR(__xludf.DUMMYFUNCTION("""COMPUTED_VALUE"""),"Zakir Chinoy")</f>
        <v>Zakir Chinoy</v>
      </c>
      <c r="C849" s="78">
        <f ca="1">IFERROR(__xludf.DUMMYFUNCTION("""COMPUTED_VALUE"""),12)</f>
        <v>12</v>
      </c>
      <c r="D849" s="78" t="str">
        <f ca="1">IFERROR(__xludf.DUMMYFUNCTION("""COMPUTED_VALUE"""),"B")</f>
        <v>B</v>
      </c>
      <c r="E849" s="80" t="str">
        <f ca="1">IFERROR(__xludf.DUMMYFUNCTION("""COMPUTED_VALUE"""),"J")</f>
        <v>J</v>
      </c>
      <c r="F849" s="80" t="str">
        <f ca="1">IFERROR(__xludf.DUMMYFUNCTION("""COMPUTED_VALUE"""),"I")</f>
        <v>I</v>
      </c>
      <c r="G849" s="80">
        <f ca="1">IFERROR(__xludf.DUMMYFUNCTION("""COMPUTED_VALUE"""),4)</f>
        <v>4</v>
      </c>
      <c r="H849" s="80" t="str">
        <f ca="1">IFERROR(__xludf.DUMMYFUNCTION("""COMPUTED_VALUE"""),"HF")</f>
        <v>HF</v>
      </c>
      <c r="I849" s="80">
        <f ca="1">IFERROR(__xludf.DUMMYFUNCTION("""COMPUTED_VALUE"""),5)</f>
        <v>5</v>
      </c>
      <c r="J849" s="81">
        <f ca="1">IFERROR(__xludf.DUMMYFUNCTION("""COMPUTED_VALUE"""),4)</f>
        <v>4</v>
      </c>
      <c r="K849" s="81">
        <f ca="1">IFERROR(__xludf.DUMMYFUNCTION("""COMPUTED_VALUE"""),62.7)</f>
        <v>62.7</v>
      </c>
      <c r="L849" s="81">
        <f ca="1">IFERROR(__xludf.DUMMYFUNCTION("""COMPUTED_VALUE"""),0)</f>
        <v>0</v>
      </c>
      <c r="M849" s="81"/>
      <c r="N849" s="81">
        <f ca="1">IFERROR(__xludf.DUMMYFUNCTION("""COMPUTED_VALUE"""),50.15)</f>
        <v>50.15</v>
      </c>
      <c r="O849" s="81"/>
      <c r="P849" s="81">
        <f ca="1">IFERROR(__xludf.DUMMYFUNCTION("""COMPUTED_VALUE"""),57.8)</f>
        <v>57.8</v>
      </c>
      <c r="Q849" s="81"/>
      <c r="R849" s="81">
        <f ca="1">IFERROR(__xludf.DUMMYFUNCTION("""COMPUTED_VALUE"""),62.7)</f>
        <v>62.7</v>
      </c>
      <c r="S849" s="81"/>
      <c r="T849" s="81"/>
      <c r="U849" s="82"/>
      <c r="V849" s="82"/>
      <c r="W849" s="83"/>
      <c r="X849" s="83"/>
      <c r="Y849" s="83"/>
    </row>
    <row r="850" spans="1:25" ht="13.8">
      <c r="A850" s="78" t="str">
        <f ca="1">IFERROR(__xludf.DUMMYFUNCTION("""COMPUTED_VALUE"""),"HF")</f>
        <v>HF</v>
      </c>
      <c r="B850" s="79" t="str">
        <f ca="1">IFERROR(__xludf.DUMMYFUNCTION("""COMPUTED_VALUE"""),"Kellen Courtney")</f>
        <v>Kellen Courtney</v>
      </c>
      <c r="C850" s="78">
        <f ca="1">IFERROR(__xludf.DUMMYFUNCTION("""COMPUTED_VALUE"""),11)</f>
        <v>11</v>
      </c>
      <c r="D850" s="78" t="str">
        <f ca="1">IFERROR(__xludf.DUMMYFUNCTION("""COMPUTED_VALUE"""),"B")</f>
        <v>B</v>
      </c>
      <c r="E850" s="80" t="str">
        <f ca="1">IFERROR(__xludf.DUMMYFUNCTION("""COMPUTED_VALUE"""),"J")</f>
        <v>J</v>
      </c>
      <c r="F850" s="80" t="str">
        <f ca="1">IFERROR(__xludf.DUMMYFUNCTION("""COMPUTED_VALUE"""),"I")</f>
        <v>I</v>
      </c>
      <c r="G850" s="80">
        <f ca="1">IFERROR(__xludf.DUMMYFUNCTION("""COMPUTED_VALUE"""),4)</f>
        <v>4</v>
      </c>
      <c r="H850" s="80" t="str">
        <f ca="1">IFERROR(__xludf.DUMMYFUNCTION("""COMPUTED_VALUE"""),"HF")</f>
        <v>HF</v>
      </c>
      <c r="I850" s="80">
        <f ca="1">IFERROR(__xludf.DUMMYFUNCTION("""COMPUTED_VALUE"""),5)</f>
        <v>5</v>
      </c>
      <c r="J850" s="81">
        <f ca="1">IFERROR(__xludf.DUMMYFUNCTION("""COMPUTED_VALUE"""),5)</f>
        <v>5</v>
      </c>
      <c r="K850" s="81">
        <f ca="1">IFERROR(__xludf.DUMMYFUNCTION("""COMPUTED_VALUE"""),107.55)</f>
        <v>107.55</v>
      </c>
      <c r="L850" s="81">
        <f ca="1">IFERROR(__xludf.DUMMYFUNCTION("""COMPUTED_VALUE"""),107.55)</f>
        <v>107.55</v>
      </c>
      <c r="M850" s="81"/>
      <c r="N850" s="81">
        <f ca="1">IFERROR(__xludf.DUMMYFUNCTION("""COMPUTED_VALUE"""),87.4)</f>
        <v>87.4</v>
      </c>
      <c r="O850" s="81"/>
      <c r="P850" s="81">
        <f ca="1">IFERROR(__xludf.DUMMYFUNCTION("""COMPUTED_VALUE"""),84.05)</f>
        <v>84.05</v>
      </c>
      <c r="Q850" s="81"/>
      <c r="R850" s="81">
        <f ca="1">IFERROR(__xludf.DUMMYFUNCTION("""COMPUTED_VALUE"""),98.75)</f>
        <v>98.75</v>
      </c>
      <c r="S850" s="81"/>
      <c r="T850" s="81"/>
      <c r="U850" s="82"/>
      <c r="V850" s="82"/>
      <c r="W850" s="83"/>
      <c r="X850" s="83"/>
      <c r="Y850" s="83"/>
    </row>
    <row r="851" spans="1:25" ht="13.8">
      <c r="A851" s="78" t="str">
        <f ca="1">IFERROR(__xludf.DUMMYFUNCTION("""COMPUTED_VALUE"""),"HF")</f>
        <v>HF</v>
      </c>
      <c r="B851" s="79" t="str">
        <f ca="1">IFERROR(__xludf.DUMMYFUNCTION("""COMPUTED_VALUE"""),"Cooper Belt")</f>
        <v>Cooper Belt</v>
      </c>
      <c r="C851" s="78">
        <f ca="1">IFERROR(__xludf.DUMMYFUNCTION("""COMPUTED_VALUE"""),14)</f>
        <v>14</v>
      </c>
      <c r="D851" s="78" t="str">
        <f ca="1">IFERROR(__xludf.DUMMYFUNCTION("""COMPUTED_VALUE"""),"B")</f>
        <v>B</v>
      </c>
      <c r="E851" s="80" t="str">
        <f ca="1">IFERROR(__xludf.DUMMYFUNCTION("""COMPUTED_VALUE"""),"I")</f>
        <v>I</v>
      </c>
      <c r="F851" s="80" t="str">
        <f ca="1">IFERROR(__xludf.DUMMYFUNCTION("""COMPUTED_VALUE"""),"S")</f>
        <v>S</v>
      </c>
      <c r="G851" s="80">
        <f ca="1">IFERROR(__xludf.DUMMYFUNCTION("""COMPUTED_VALUE"""),4)</f>
        <v>4</v>
      </c>
      <c r="H851" s="80" t="str">
        <f ca="1">IFERROR(__xludf.DUMMYFUNCTION("""COMPUTED_VALUE"""),"HF")</f>
        <v>HF</v>
      </c>
      <c r="I851" s="80">
        <f ca="1">IFERROR(__xludf.DUMMYFUNCTION("""COMPUTED_VALUE"""),7)</f>
        <v>7</v>
      </c>
      <c r="J851" s="81">
        <f ca="1">IFERROR(__xludf.DUMMYFUNCTION("""COMPUTED_VALUE"""),5)</f>
        <v>5</v>
      </c>
      <c r="K851" s="81">
        <f ca="1">IFERROR(__xludf.DUMMYFUNCTION("""COMPUTED_VALUE"""),142.65)</f>
        <v>142.65</v>
      </c>
      <c r="L851" s="81">
        <f ca="1">IFERROR(__xludf.DUMMYFUNCTION("""COMPUTED_VALUE"""),105.95)</f>
        <v>105.95</v>
      </c>
      <c r="M851" s="81"/>
      <c r="N851" s="81">
        <f ca="1">IFERROR(__xludf.DUMMYFUNCTION("""COMPUTED_VALUE"""),115.95)</f>
        <v>115.95</v>
      </c>
      <c r="O851" s="81"/>
      <c r="P851" s="81">
        <f ca="1">IFERROR(__xludf.DUMMYFUNCTION("""COMPUTED_VALUE"""),125.15)</f>
        <v>125.15</v>
      </c>
      <c r="Q851" s="81"/>
      <c r="R851" s="81">
        <f ca="1">IFERROR(__xludf.DUMMYFUNCTION("""COMPUTED_VALUE"""),142.65)</f>
        <v>142.65</v>
      </c>
      <c r="S851" s="81"/>
      <c r="T851" s="81"/>
      <c r="U851" s="82"/>
      <c r="V851" s="82"/>
      <c r="W851" s="83"/>
      <c r="X851" s="83"/>
      <c r="Y851" s="83"/>
    </row>
    <row r="852" spans="1:25" ht="13.8">
      <c r="A852" s="78" t="str">
        <f ca="1">IFERROR(__xludf.DUMMYFUNCTION("""COMPUTED_VALUE"""),"HF")</f>
        <v>HF</v>
      </c>
      <c r="B852" s="79" t="str">
        <f ca="1">IFERROR(__xludf.DUMMYFUNCTION("""COMPUTED_VALUE"""),"George Brennan")</f>
        <v>George Brennan</v>
      </c>
      <c r="C852" s="78">
        <f ca="1">IFERROR(__xludf.DUMMYFUNCTION("""COMPUTED_VALUE"""),14)</f>
        <v>14</v>
      </c>
      <c r="D852" s="78" t="str">
        <f ca="1">IFERROR(__xludf.DUMMYFUNCTION("""COMPUTED_VALUE"""),"B")</f>
        <v>B</v>
      </c>
      <c r="E852" s="80" t="str">
        <f ca="1">IFERROR(__xludf.DUMMYFUNCTION("""COMPUTED_VALUE"""),"I")</f>
        <v>I</v>
      </c>
      <c r="F852" s="80" t="str">
        <f ca="1">IFERROR(__xludf.DUMMYFUNCTION("""COMPUTED_VALUE"""),"S")</f>
        <v>S</v>
      </c>
      <c r="G852" s="80">
        <f ca="1">IFERROR(__xludf.DUMMYFUNCTION("""COMPUTED_VALUE"""),4)</f>
        <v>4</v>
      </c>
      <c r="H852" s="80" t="str">
        <f ca="1">IFERROR(__xludf.DUMMYFUNCTION("""COMPUTED_VALUE"""),"HF")</f>
        <v>HF</v>
      </c>
      <c r="I852" s="80">
        <f ca="1">IFERROR(__xludf.DUMMYFUNCTION("""COMPUTED_VALUE"""),7)</f>
        <v>7</v>
      </c>
      <c r="J852" s="81">
        <f ca="1">IFERROR(__xludf.DUMMYFUNCTION("""COMPUTED_VALUE"""),4)</f>
        <v>4</v>
      </c>
      <c r="K852" s="81">
        <f ca="1">IFERROR(__xludf.DUMMYFUNCTION("""COMPUTED_VALUE"""),97.45)</f>
        <v>97.45</v>
      </c>
      <c r="L852" s="81">
        <f ca="1">IFERROR(__xludf.DUMMYFUNCTION("""COMPUTED_VALUE"""),94.9)</f>
        <v>94.9</v>
      </c>
      <c r="M852" s="81"/>
      <c r="N852" s="81">
        <f ca="1">IFERROR(__xludf.DUMMYFUNCTION("""COMPUTED_VALUE"""),93.8)</f>
        <v>93.8</v>
      </c>
      <c r="O852" s="81"/>
      <c r="P852" s="81">
        <f ca="1">IFERROR(__xludf.DUMMYFUNCTION("""COMPUTED_VALUE"""),88.6)</f>
        <v>88.6</v>
      </c>
      <c r="Q852" s="81"/>
      <c r="R852" s="81">
        <f ca="1">IFERROR(__xludf.DUMMYFUNCTION("""COMPUTED_VALUE"""),97.45)</f>
        <v>97.45</v>
      </c>
      <c r="S852" s="81"/>
      <c r="T852" s="81"/>
      <c r="U852" s="82"/>
      <c r="V852" s="82"/>
      <c r="W852" s="83"/>
      <c r="X852" s="83"/>
      <c r="Y852" s="83"/>
    </row>
    <row r="853" spans="1:25" ht="13.8">
      <c r="A853" s="78" t="str">
        <f ca="1">IFERROR(__xludf.DUMMYFUNCTION("""COMPUTED_VALUE"""),"HF")</f>
        <v>HF</v>
      </c>
      <c r="B853" s="79" t="str">
        <f ca="1">IFERROR(__xludf.DUMMYFUNCTION("""COMPUTED_VALUE"""),"Sam Johnson")</f>
        <v>Sam Johnson</v>
      </c>
      <c r="C853" s="78">
        <f ca="1">IFERROR(__xludf.DUMMYFUNCTION("""COMPUTED_VALUE"""),13)</f>
        <v>13</v>
      </c>
      <c r="D853" s="78" t="str">
        <f ca="1">IFERROR(__xludf.DUMMYFUNCTION("""COMPUTED_VALUE"""),"B")</f>
        <v>B</v>
      </c>
      <c r="E853" s="80" t="str">
        <f ca="1">IFERROR(__xludf.DUMMYFUNCTION("""COMPUTED_VALUE"""),"I")</f>
        <v>I</v>
      </c>
      <c r="F853" s="80" t="str">
        <f ca="1">IFERROR(__xludf.DUMMYFUNCTION("""COMPUTED_VALUE"""),"S")</f>
        <v>S</v>
      </c>
      <c r="G853" s="80">
        <f ca="1">IFERROR(__xludf.DUMMYFUNCTION("""COMPUTED_VALUE"""),4)</f>
        <v>4</v>
      </c>
      <c r="H853" s="80" t="str">
        <f ca="1">IFERROR(__xludf.DUMMYFUNCTION("""COMPUTED_VALUE"""),"HF")</f>
        <v>HF</v>
      </c>
      <c r="I853" s="80">
        <f ca="1">IFERROR(__xludf.DUMMYFUNCTION("""COMPUTED_VALUE"""),7)</f>
        <v>7</v>
      </c>
      <c r="J853" s="81">
        <f ca="1">IFERROR(__xludf.DUMMYFUNCTION("""COMPUTED_VALUE"""),4)</f>
        <v>4</v>
      </c>
      <c r="K853" s="81">
        <f ca="1">IFERROR(__xludf.DUMMYFUNCTION("""COMPUTED_VALUE"""),132.25)</f>
        <v>132.25</v>
      </c>
      <c r="L853" s="81">
        <f ca="1">IFERROR(__xludf.DUMMYFUNCTION("""COMPUTED_VALUE"""),132.25)</f>
        <v>132.25</v>
      </c>
      <c r="M853" s="81"/>
      <c r="N853" s="81">
        <f ca="1">IFERROR(__xludf.DUMMYFUNCTION("""COMPUTED_VALUE"""),131.15)</f>
        <v>131.15</v>
      </c>
      <c r="O853" s="81"/>
      <c r="P853" s="81">
        <f ca="1">IFERROR(__xludf.DUMMYFUNCTION("""COMPUTED_VALUE"""),123.75)</f>
        <v>123.75</v>
      </c>
      <c r="Q853" s="81"/>
      <c r="R853" s="81">
        <f ca="1">IFERROR(__xludf.DUMMYFUNCTION("""COMPUTED_VALUE"""),0)</f>
        <v>0</v>
      </c>
      <c r="S853" s="81"/>
      <c r="T853" s="81"/>
      <c r="U853" s="82"/>
      <c r="V853" s="82"/>
      <c r="W853" s="83"/>
      <c r="X853" s="83"/>
      <c r="Y853" s="83"/>
    </row>
    <row r="854" spans="1:25" ht="13.8">
      <c r="A854" s="78" t="str">
        <f ca="1">IFERROR(__xludf.DUMMYFUNCTION("""COMPUTED_VALUE"""),"HF")</f>
        <v>HF</v>
      </c>
      <c r="B854" s="79" t="str">
        <f ca="1">IFERROR(__xludf.DUMMYFUNCTION("""COMPUTED_VALUE"""),"Jack Rusch")</f>
        <v>Jack Rusch</v>
      </c>
      <c r="C854" s="78">
        <f ca="1">IFERROR(__xludf.DUMMYFUNCTION("""COMPUTED_VALUE"""),13)</f>
        <v>13</v>
      </c>
      <c r="D854" s="78" t="str">
        <f ca="1">IFERROR(__xludf.DUMMYFUNCTION("""COMPUTED_VALUE"""),"B")</f>
        <v>B</v>
      </c>
      <c r="E854" s="80" t="str">
        <f ca="1">IFERROR(__xludf.DUMMYFUNCTION("""COMPUTED_VALUE"""),"I")</f>
        <v>I</v>
      </c>
      <c r="F854" s="80" t="str">
        <f ca="1">IFERROR(__xludf.DUMMYFUNCTION("""COMPUTED_VALUE"""),"S")</f>
        <v>S</v>
      </c>
      <c r="G854" s="80">
        <f ca="1">IFERROR(__xludf.DUMMYFUNCTION("""COMPUTED_VALUE"""),4)</f>
        <v>4</v>
      </c>
      <c r="H854" s="80" t="str">
        <f ca="1">IFERROR(__xludf.DUMMYFUNCTION("""COMPUTED_VALUE"""),"HF")</f>
        <v>HF</v>
      </c>
      <c r="I854" s="80">
        <f ca="1">IFERROR(__xludf.DUMMYFUNCTION("""COMPUTED_VALUE"""),7)</f>
        <v>7</v>
      </c>
      <c r="J854" s="81">
        <f ca="1">IFERROR(__xludf.DUMMYFUNCTION("""COMPUTED_VALUE"""),0)</f>
        <v>0</v>
      </c>
      <c r="K854" s="81">
        <f ca="1">IFERROR(__xludf.DUMMYFUNCTION("""COMPUTED_VALUE"""),0)</f>
        <v>0</v>
      </c>
      <c r="L854" s="81">
        <f ca="1">IFERROR(__xludf.DUMMYFUNCTION("""COMPUTED_VALUE"""),0)</f>
        <v>0</v>
      </c>
      <c r="M854" s="81"/>
      <c r="N854" s="81">
        <f ca="1">IFERROR(__xludf.DUMMYFUNCTION("""COMPUTED_VALUE"""),0)</f>
        <v>0</v>
      </c>
      <c r="O854" s="81"/>
      <c r="P854" s="81">
        <f ca="1">IFERROR(__xludf.DUMMYFUNCTION("""COMPUTED_VALUE"""),0)</f>
        <v>0</v>
      </c>
      <c r="Q854" s="81"/>
      <c r="R854" s="81">
        <f ca="1">IFERROR(__xludf.DUMMYFUNCTION("""COMPUTED_VALUE"""),0)</f>
        <v>0</v>
      </c>
      <c r="S854" s="81"/>
      <c r="T854" s="81"/>
      <c r="U854" s="82"/>
      <c r="V854" s="82"/>
      <c r="W854" s="83"/>
      <c r="X854" s="83"/>
      <c r="Y854" s="83"/>
    </row>
    <row r="855" spans="1:25" ht="13.8">
      <c r="A855" s="78" t="str">
        <f ca="1">IFERROR(__xludf.DUMMYFUNCTION("""COMPUTED_VALUE"""),"HF")</f>
        <v>HF</v>
      </c>
      <c r="B855" s="79" t="str">
        <f ca="1">IFERROR(__xludf.DUMMYFUNCTION("""COMPUTED_VALUE"""),"Sean Watson")</f>
        <v>Sean Watson</v>
      </c>
      <c r="C855" s="78">
        <f ca="1">IFERROR(__xludf.DUMMYFUNCTION("""COMPUTED_VALUE"""),13)</f>
        <v>13</v>
      </c>
      <c r="D855" s="78" t="str">
        <f ca="1">IFERROR(__xludf.DUMMYFUNCTION("""COMPUTED_VALUE"""),"B")</f>
        <v>B</v>
      </c>
      <c r="E855" s="80" t="str">
        <f ca="1">IFERROR(__xludf.DUMMYFUNCTION("""COMPUTED_VALUE"""),"I")</f>
        <v>I</v>
      </c>
      <c r="F855" s="80" t="str">
        <f ca="1">IFERROR(__xludf.DUMMYFUNCTION("""COMPUTED_VALUE"""),"S")</f>
        <v>S</v>
      </c>
      <c r="G855" s="80">
        <f ca="1">IFERROR(__xludf.DUMMYFUNCTION("""COMPUTED_VALUE"""),4)</f>
        <v>4</v>
      </c>
      <c r="H855" s="80" t="str">
        <f ca="1">IFERROR(__xludf.DUMMYFUNCTION("""COMPUTED_VALUE"""),"HF")</f>
        <v>HF</v>
      </c>
      <c r="I855" s="80">
        <f ca="1">IFERROR(__xludf.DUMMYFUNCTION("""COMPUTED_VALUE"""),7)</f>
        <v>7</v>
      </c>
      <c r="J855" s="81">
        <f ca="1">IFERROR(__xludf.DUMMYFUNCTION("""COMPUTED_VALUE"""),3)</f>
        <v>3</v>
      </c>
      <c r="K855" s="81">
        <f ca="1">IFERROR(__xludf.DUMMYFUNCTION("""COMPUTED_VALUE"""),91.55)</f>
        <v>91.55</v>
      </c>
      <c r="L855" s="81">
        <f ca="1">IFERROR(__xludf.DUMMYFUNCTION("""COMPUTED_VALUE"""),0)</f>
        <v>0</v>
      </c>
      <c r="M855" s="81"/>
      <c r="N855" s="81">
        <f ca="1">IFERROR(__xludf.DUMMYFUNCTION("""COMPUTED_VALUE"""),0)</f>
        <v>0</v>
      </c>
      <c r="O855" s="81"/>
      <c r="P855" s="81">
        <f ca="1">IFERROR(__xludf.DUMMYFUNCTION("""COMPUTED_VALUE"""),91.05)</f>
        <v>91.05</v>
      </c>
      <c r="Q855" s="81"/>
      <c r="R855" s="81">
        <f ca="1">IFERROR(__xludf.DUMMYFUNCTION("""COMPUTED_VALUE"""),91.55)</f>
        <v>91.55</v>
      </c>
      <c r="S855" s="81"/>
      <c r="T855" s="81"/>
      <c r="U855" s="82"/>
      <c r="V855" s="82"/>
      <c r="W855" s="83"/>
      <c r="X855" s="83"/>
      <c r="Y855" s="83"/>
    </row>
    <row r="856" spans="1:25" ht="13.8">
      <c r="A856" s="78" t="str">
        <f ca="1">IFERROR(__xludf.DUMMYFUNCTION("""COMPUTED_VALUE"""),"HF")</f>
        <v>HF</v>
      </c>
      <c r="B856" s="79" t="str">
        <f ca="1">IFERROR(__xludf.DUMMYFUNCTION("""COMPUTED_VALUE"""),"Lucy Porter")</f>
        <v>Lucy Porter</v>
      </c>
      <c r="C856" s="78">
        <f ca="1">IFERROR(__xludf.DUMMYFUNCTION("""COMPUTED_VALUE"""),16)</f>
        <v>16</v>
      </c>
      <c r="D856" s="78" t="str">
        <f ca="1">IFERROR(__xludf.DUMMYFUNCTION("""COMPUTED_VALUE"""),"G")</f>
        <v>G</v>
      </c>
      <c r="E856" s="80" t="str">
        <f ca="1">IFERROR(__xludf.DUMMYFUNCTION("""COMPUTED_VALUE"""),"S")</f>
        <v>S</v>
      </c>
      <c r="F856" s="80" t="str">
        <f ca="1">IFERROR(__xludf.DUMMYFUNCTION("""COMPUTED_VALUE"""),"S")</f>
        <v>S</v>
      </c>
      <c r="G856" s="80">
        <f ca="1">IFERROR(__xludf.DUMMYFUNCTION("""COMPUTED_VALUE"""),4)</f>
        <v>4</v>
      </c>
      <c r="H856" s="80" t="str">
        <f ca="1">IFERROR(__xludf.DUMMYFUNCTION("""COMPUTED_VALUE"""),"HF")</f>
        <v>HF</v>
      </c>
      <c r="I856" s="80">
        <f ca="1">IFERROR(__xludf.DUMMYFUNCTION("""COMPUTED_VALUE"""),8)</f>
        <v>8</v>
      </c>
      <c r="J856" s="81">
        <f ca="1">IFERROR(__xludf.DUMMYFUNCTION("""COMPUTED_VALUE"""),3)</f>
        <v>3</v>
      </c>
      <c r="K856" s="81">
        <f ca="1">IFERROR(__xludf.DUMMYFUNCTION("""COMPUTED_VALUE"""),179.05)</f>
        <v>179.05</v>
      </c>
      <c r="L856" s="81">
        <f ca="1">IFERROR(__xludf.DUMMYFUNCTION("""COMPUTED_VALUE"""),0)</f>
        <v>0</v>
      </c>
      <c r="M856" s="81"/>
      <c r="N856" s="81">
        <f ca="1">IFERROR(__xludf.DUMMYFUNCTION("""COMPUTED_VALUE"""),166.2)</f>
        <v>166.2</v>
      </c>
      <c r="O856" s="81"/>
      <c r="P856" s="81">
        <f ca="1">IFERROR(__xludf.DUMMYFUNCTION("""COMPUTED_VALUE"""),179.05)</f>
        <v>179.05</v>
      </c>
      <c r="Q856" s="81"/>
      <c r="R856" s="81">
        <f ca="1">IFERROR(__xludf.DUMMYFUNCTION("""COMPUTED_VALUE"""),0)</f>
        <v>0</v>
      </c>
      <c r="S856" s="81"/>
      <c r="T856" s="81"/>
      <c r="U856" s="82"/>
      <c r="V856" s="82"/>
      <c r="W856" s="83"/>
      <c r="X856" s="83"/>
      <c r="Y856" s="83"/>
    </row>
    <row r="857" spans="1:25" ht="13.8">
      <c r="A857" s="78" t="str">
        <f ca="1">IFERROR(__xludf.DUMMYFUNCTION("""COMPUTED_VALUE"""),"HF")</f>
        <v>HF</v>
      </c>
      <c r="B857" s="79" t="str">
        <f ca="1">IFERROR(__xludf.DUMMYFUNCTION("""COMPUTED_VALUE"""),"Fin Belt")</f>
        <v>Fin Belt</v>
      </c>
      <c r="C857" s="78">
        <f ca="1">IFERROR(__xludf.DUMMYFUNCTION("""COMPUTED_VALUE"""),16)</f>
        <v>16</v>
      </c>
      <c r="D857" s="78" t="str">
        <f ca="1">IFERROR(__xludf.DUMMYFUNCTION("""COMPUTED_VALUE"""),"B")</f>
        <v>B</v>
      </c>
      <c r="E857" s="80" t="str">
        <f ca="1">IFERROR(__xludf.DUMMYFUNCTION("""COMPUTED_VALUE"""),"S")</f>
        <v>S</v>
      </c>
      <c r="F857" s="80" t="str">
        <f ca="1">IFERROR(__xludf.DUMMYFUNCTION("""COMPUTED_VALUE"""),"S")</f>
        <v>S</v>
      </c>
      <c r="G857" s="80">
        <f ca="1">IFERROR(__xludf.DUMMYFUNCTION("""COMPUTED_VALUE"""),4)</f>
        <v>4</v>
      </c>
      <c r="H857" s="80" t="str">
        <f ca="1">IFERROR(__xludf.DUMMYFUNCTION("""COMPUTED_VALUE"""),"HF")</f>
        <v>HF</v>
      </c>
      <c r="I857" s="80">
        <f ca="1">IFERROR(__xludf.DUMMYFUNCTION("""COMPUTED_VALUE"""),9)</f>
        <v>9</v>
      </c>
      <c r="J857" s="81">
        <f ca="1">IFERROR(__xludf.DUMMYFUNCTION("""COMPUTED_VALUE"""),5)</f>
        <v>5</v>
      </c>
      <c r="K857" s="81">
        <f ca="1">IFERROR(__xludf.DUMMYFUNCTION("""COMPUTED_VALUE"""),206.05)</f>
        <v>206.05</v>
      </c>
      <c r="L857" s="81">
        <f ca="1">IFERROR(__xludf.DUMMYFUNCTION("""COMPUTED_VALUE"""),206.05)</f>
        <v>206.05</v>
      </c>
      <c r="M857" s="81"/>
      <c r="N857" s="81">
        <f ca="1">IFERROR(__xludf.DUMMYFUNCTION("""COMPUTED_VALUE"""),196.85)</f>
        <v>196.85</v>
      </c>
      <c r="O857" s="81"/>
      <c r="P857" s="81">
        <f ca="1">IFERROR(__xludf.DUMMYFUNCTION("""COMPUTED_VALUE"""),160.75)</f>
        <v>160.75</v>
      </c>
      <c r="Q857" s="81"/>
      <c r="R857" s="81">
        <f ca="1">IFERROR(__xludf.DUMMYFUNCTION("""COMPUTED_VALUE"""),192.4)</f>
        <v>192.4</v>
      </c>
      <c r="S857" s="81"/>
      <c r="T857" s="81"/>
      <c r="U857" s="82"/>
      <c r="V857" s="82"/>
      <c r="W857" s="83"/>
      <c r="X857" s="83"/>
      <c r="Y857" s="83"/>
    </row>
    <row r="858" spans="1:25" ht="13.8">
      <c r="A858" s="78" t="str">
        <f ca="1">IFERROR(__xludf.DUMMYFUNCTION("""COMPUTED_VALUE"""),"HF")</f>
        <v>HF</v>
      </c>
      <c r="B858" s="79" t="str">
        <f ca="1">IFERROR(__xludf.DUMMYFUNCTION("""COMPUTED_VALUE"""),"Gavin Bergen-Hill")</f>
        <v>Gavin Bergen-Hill</v>
      </c>
      <c r="C858" s="78">
        <f ca="1">IFERROR(__xludf.DUMMYFUNCTION("""COMPUTED_VALUE"""),18)</f>
        <v>18</v>
      </c>
      <c r="D858" s="78" t="str">
        <f ca="1">IFERROR(__xludf.DUMMYFUNCTION("""COMPUTED_VALUE"""),"B")</f>
        <v>B</v>
      </c>
      <c r="E858" s="80" t="str">
        <f ca="1">IFERROR(__xludf.DUMMYFUNCTION("""COMPUTED_VALUE"""),"S")</f>
        <v>S</v>
      </c>
      <c r="F858" s="80" t="str">
        <f ca="1">IFERROR(__xludf.DUMMYFUNCTION("""COMPUTED_VALUE"""),"S")</f>
        <v>S</v>
      </c>
      <c r="G858" s="80">
        <f ca="1">IFERROR(__xludf.DUMMYFUNCTION("""COMPUTED_VALUE"""),4)</f>
        <v>4</v>
      </c>
      <c r="H858" s="80" t="str">
        <f ca="1">IFERROR(__xludf.DUMMYFUNCTION("""COMPUTED_VALUE"""),"HF")</f>
        <v>HF</v>
      </c>
      <c r="I858" s="80">
        <f ca="1">IFERROR(__xludf.DUMMYFUNCTION("""COMPUTED_VALUE"""),9)</f>
        <v>9</v>
      </c>
      <c r="J858" s="81">
        <f ca="1">IFERROR(__xludf.DUMMYFUNCTION("""COMPUTED_VALUE"""),4)</f>
        <v>4</v>
      </c>
      <c r="K858" s="81">
        <f ca="1">IFERROR(__xludf.DUMMYFUNCTION("""COMPUTED_VALUE"""),173.5)</f>
        <v>173.5</v>
      </c>
      <c r="L858" s="81">
        <f ca="1">IFERROR(__xludf.DUMMYFUNCTION("""COMPUTED_VALUE"""),169.45)</f>
        <v>169.45</v>
      </c>
      <c r="M858" s="81"/>
      <c r="N858" s="81">
        <f ca="1">IFERROR(__xludf.DUMMYFUNCTION("""COMPUTED_VALUE"""),149.05)</f>
        <v>149.05000000000001</v>
      </c>
      <c r="O858" s="81"/>
      <c r="P858" s="81">
        <f ca="1">IFERROR(__xludf.DUMMYFUNCTION("""COMPUTED_VALUE"""),146.85)</f>
        <v>146.85</v>
      </c>
      <c r="Q858" s="81"/>
      <c r="R858" s="81">
        <f ca="1">IFERROR(__xludf.DUMMYFUNCTION("""COMPUTED_VALUE"""),173.5)</f>
        <v>173.5</v>
      </c>
      <c r="S858" s="81"/>
      <c r="T858" s="81"/>
      <c r="U858" s="82"/>
      <c r="V858" s="82"/>
      <c r="W858" s="83"/>
      <c r="X858" s="83"/>
      <c r="Y858" s="83"/>
    </row>
    <row r="859" spans="1:25" ht="13.8">
      <c r="A859" s="78" t="str">
        <f ca="1">IFERROR(__xludf.DUMMYFUNCTION("""COMPUTED_VALUE"""),"HP")</f>
        <v>HP</v>
      </c>
      <c r="B859" s="79" t="str">
        <f ca="1">IFERROR(__xludf.DUMMYFUNCTION("""COMPUTED_VALUE"""),"Peyton Anderson")</f>
        <v>Peyton Anderson</v>
      </c>
      <c r="C859" s="78">
        <f ca="1">IFERROR(__xludf.DUMMYFUNCTION("""COMPUTED_VALUE"""),7)</f>
        <v>7</v>
      </c>
      <c r="D859" s="78" t="str">
        <f ca="1">IFERROR(__xludf.DUMMYFUNCTION("""COMPUTED_VALUE"""),"G")</f>
        <v>G</v>
      </c>
      <c r="E859" s="80" t="str">
        <f ca="1">IFERROR(__xludf.DUMMYFUNCTION("""COMPUTED_VALUE"""),"F")</f>
        <v>F</v>
      </c>
      <c r="F859" s="80" t="str">
        <f ca="1">IFERROR(__xludf.DUMMYFUNCTION("""COMPUTED_VALUE"""),"J")</f>
        <v>J</v>
      </c>
      <c r="G859" s="80">
        <f ca="1">IFERROR(__xludf.DUMMYFUNCTION("""COMPUTED_VALUE"""),6)</f>
        <v>6</v>
      </c>
      <c r="H859" s="80" t="str">
        <f ca="1">IFERROR(__xludf.DUMMYFUNCTION("""COMPUTED_VALUE"""),"HP")</f>
        <v>HP</v>
      </c>
      <c r="I859" s="80">
        <f ca="1">IFERROR(__xludf.DUMMYFUNCTION("""COMPUTED_VALUE"""),2)</f>
        <v>2</v>
      </c>
      <c r="J859" s="81">
        <f ca="1">IFERROR(__xludf.DUMMYFUNCTION("""COMPUTED_VALUE"""),2)</f>
        <v>2</v>
      </c>
      <c r="K859" s="81">
        <f ca="1">IFERROR(__xludf.DUMMYFUNCTION("""COMPUTED_VALUE"""),22.2)</f>
        <v>22.2</v>
      </c>
      <c r="L859" s="81">
        <f ca="1">IFERROR(__xludf.DUMMYFUNCTION("""COMPUTED_VALUE"""),0)</f>
        <v>0</v>
      </c>
      <c r="M859" s="81"/>
      <c r="N859" s="81">
        <f ca="1">IFERROR(__xludf.DUMMYFUNCTION("""COMPUTED_VALUE"""),0)</f>
        <v>0</v>
      </c>
      <c r="O859" s="81"/>
      <c r="P859" s="81">
        <f ca="1">IFERROR(__xludf.DUMMYFUNCTION("""COMPUTED_VALUE"""),22.2)</f>
        <v>22.2</v>
      </c>
      <c r="Q859" s="81"/>
      <c r="R859" s="81">
        <f ca="1">IFERROR(__xludf.DUMMYFUNCTION("""COMPUTED_VALUE"""),0)</f>
        <v>0</v>
      </c>
      <c r="S859" s="81"/>
      <c r="T859" s="81"/>
      <c r="U859" s="82"/>
      <c r="V859" s="82"/>
      <c r="W859" s="83"/>
      <c r="X859" s="83"/>
      <c r="Y859" s="83"/>
    </row>
    <row r="860" spans="1:25" ht="13.8">
      <c r="A860" s="78" t="str">
        <f ca="1">IFERROR(__xludf.DUMMYFUNCTION("""COMPUTED_VALUE"""),"HP")</f>
        <v>HP</v>
      </c>
      <c r="B860" s="79" t="str">
        <f ca="1">IFERROR(__xludf.DUMMYFUNCTION("""COMPUTED_VALUE"""),"Imogene Cutts")</f>
        <v>Imogene Cutts</v>
      </c>
      <c r="C860" s="78">
        <f ca="1">IFERROR(__xludf.DUMMYFUNCTION("""COMPUTED_VALUE"""),6)</f>
        <v>6</v>
      </c>
      <c r="D860" s="78" t="str">
        <f ca="1">IFERROR(__xludf.DUMMYFUNCTION("""COMPUTED_VALUE"""),"G")</f>
        <v>G</v>
      </c>
      <c r="E860" s="80" t="str">
        <f ca="1">IFERROR(__xludf.DUMMYFUNCTION("""COMPUTED_VALUE"""),"F")</f>
        <v>F</v>
      </c>
      <c r="F860" s="80" t="str">
        <f ca="1">IFERROR(__xludf.DUMMYFUNCTION("""COMPUTED_VALUE"""),"J")</f>
        <v>J</v>
      </c>
      <c r="G860" s="80">
        <f ca="1">IFERROR(__xludf.DUMMYFUNCTION("""COMPUTED_VALUE"""),6)</f>
        <v>6</v>
      </c>
      <c r="H860" s="80" t="str">
        <f ca="1">IFERROR(__xludf.DUMMYFUNCTION("""COMPUTED_VALUE"""),"HP")</f>
        <v>HP</v>
      </c>
      <c r="I860" s="80">
        <f ca="1">IFERROR(__xludf.DUMMYFUNCTION("""COMPUTED_VALUE"""),2)</f>
        <v>2</v>
      </c>
      <c r="J860" s="81">
        <f ca="1">IFERROR(__xludf.DUMMYFUNCTION("""COMPUTED_VALUE"""),3)</f>
        <v>3</v>
      </c>
      <c r="K860" s="81">
        <f ca="1">IFERROR(__xludf.DUMMYFUNCTION("""COMPUTED_VALUE"""),41.1)</f>
        <v>41.1</v>
      </c>
      <c r="L860" s="81">
        <f ca="1">IFERROR(__xludf.DUMMYFUNCTION("""COMPUTED_VALUE"""),23.5)</f>
        <v>23.5</v>
      </c>
      <c r="M860" s="81"/>
      <c r="N860" s="81">
        <f ca="1">IFERROR(__xludf.DUMMYFUNCTION("""COMPUTED_VALUE"""),38.2)</f>
        <v>38.200000000000003</v>
      </c>
      <c r="O860" s="81"/>
      <c r="P860" s="81">
        <f ca="1">IFERROR(__xludf.DUMMYFUNCTION("""COMPUTED_VALUE"""),0)</f>
        <v>0</v>
      </c>
      <c r="Q860" s="81"/>
      <c r="R860" s="81">
        <f ca="1">IFERROR(__xludf.DUMMYFUNCTION("""COMPUTED_VALUE"""),41.1)</f>
        <v>41.1</v>
      </c>
      <c r="S860" s="81"/>
      <c r="T860" s="81"/>
      <c r="U860" s="82"/>
      <c r="V860" s="82"/>
      <c r="W860" s="83"/>
      <c r="X860" s="83"/>
      <c r="Y860" s="83"/>
    </row>
    <row r="861" spans="1:25" ht="13.8">
      <c r="A861" s="78" t="str">
        <f ca="1">IFERROR(__xludf.DUMMYFUNCTION("""COMPUTED_VALUE"""),"HP")</f>
        <v>HP</v>
      </c>
      <c r="B861" s="79" t="str">
        <f ca="1">IFERROR(__xludf.DUMMYFUNCTION("""COMPUTED_VALUE"""),"Katie Lee Cutts")</f>
        <v>Katie Lee Cutts</v>
      </c>
      <c r="C861" s="78">
        <f ca="1">IFERROR(__xludf.DUMMYFUNCTION("""COMPUTED_VALUE"""),10)</f>
        <v>10</v>
      </c>
      <c r="D861" s="78" t="str">
        <f ca="1">IFERROR(__xludf.DUMMYFUNCTION("""COMPUTED_VALUE"""),"G")</f>
        <v>G</v>
      </c>
      <c r="E861" s="80" t="str">
        <f ca="1">IFERROR(__xludf.DUMMYFUNCTION("""COMPUTED_VALUE"""),"F")</f>
        <v>F</v>
      </c>
      <c r="F861" s="80" t="str">
        <f ca="1">IFERROR(__xludf.DUMMYFUNCTION("""COMPUTED_VALUE"""),"J")</f>
        <v>J</v>
      </c>
      <c r="G861" s="80">
        <f ca="1">IFERROR(__xludf.DUMMYFUNCTION("""COMPUTED_VALUE"""),6)</f>
        <v>6</v>
      </c>
      <c r="H861" s="80" t="str">
        <f ca="1">IFERROR(__xludf.DUMMYFUNCTION("""COMPUTED_VALUE"""),"HP")</f>
        <v>HP</v>
      </c>
      <c r="I861" s="80">
        <f ca="1">IFERROR(__xludf.DUMMYFUNCTION("""COMPUTED_VALUE"""),2)</f>
        <v>2</v>
      </c>
      <c r="J861" s="81">
        <f ca="1">IFERROR(__xludf.DUMMYFUNCTION("""COMPUTED_VALUE"""),4)</f>
        <v>4</v>
      </c>
      <c r="K861" s="81">
        <f ca="1">IFERROR(__xludf.DUMMYFUNCTION("""COMPUTED_VALUE"""),63.85)</f>
        <v>63.85</v>
      </c>
      <c r="L861" s="81">
        <f ca="1">IFERROR(__xludf.DUMMYFUNCTION("""COMPUTED_VALUE"""),48.45)</f>
        <v>48.45</v>
      </c>
      <c r="M861" s="81"/>
      <c r="N861" s="81">
        <f ca="1">IFERROR(__xludf.DUMMYFUNCTION("""COMPUTED_VALUE"""),58.1)</f>
        <v>58.1</v>
      </c>
      <c r="O861" s="81"/>
      <c r="P861" s="81">
        <f ca="1">IFERROR(__xludf.DUMMYFUNCTION("""COMPUTED_VALUE"""),63.85)</f>
        <v>63.85</v>
      </c>
      <c r="Q861" s="81"/>
      <c r="R861" s="81">
        <f ca="1">IFERROR(__xludf.DUMMYFUNCTION("""COMPUTED_VALUE"""),54.3)</f>
        <v>54.3</v>
      </c>
      <c r="S861" s="81"/>
      <c r="T861" s="81"/>
      <c r="U861" s="82"/>
      <c r="V861" s="82"/>
      <c r="W861" s="83"/>
      <c r="X861" s="83"/>
      <c r="Y861" s="83"/>
    </row>
    <row r="862" spans="1:25" ht="13.8">
      <c r="A862" s="78" t="str">
        <f ca="1">IFERROR(__xludf.DUMMYFUNCTION("""COMPUTED_VALUE"""),"HP")</f>
        <v>HP</v>
      </c>
      <c r="B862" s="79" t="str">
        <f ca="1">IFERROR(__xludf.DUMMYFUNCTION("""COMPUTED_VALUE"""),"Molly Foster")</f>
        <v>Molly Foster</v>
      </c>
      <c r="C862" s="78">
        <f ca="1">IFERROR(__xludf.DUMMYFUNCTION("""COMPUTED_VALUE"""),8)</f>
        <v>8</v>
      </c>
      <c r="D862" s="78" t="str">
        <f ca="1">IFERROR(__xludf.DUMMYFUNCTION("""COMPUTED_VALUE"""),"G")</f>
        <v>G</v>
      </c>
      <c r="E862" s="80" t="str">
        <f ca="1">IFERROR(__xludf.DUMMYFUNCTION("""COMPUTED_VALUE"""),"F")</f>
        <v>F</v>
      </c>
      <c r="F862" s="80" t="str">
        <f ca="1">IFERROR(__xludf.DUMMYFUNCTION("""COMPUTED_VALUE"""),"J")</f>
        <v>J</v>
      </c>
      <c r="G862" s="80">
        <f ca="1">IFERROR(__xludf.DUMMYFUNCTION("""COMPUTED_VALUE"""),6)</f>
        <v>6</v>
      </c>
      <c r="H862" s="80" t="str">
        <f ca="1">IFERROR(__xludf.DUMMYFUNCTION("""COMPUTED_VALUE"""),"HP")</f>
        <v>HP</v>
      </c>
      <c r="I862" s="80">
        <f ca="1">IFERROR(__xludf.DUMMYFUNCTION("""COMPUTED_VALUE"""),2)</f>
        <v>2</v>
      </c>
      <c r="J862" s="81">
        <f ca="1">IFERROR(__xludf.DUMMYFUNCTION("""COMPUTED_VALUE"""),4)</f>
        <v>4</v>
      </c>
      <c r="K862" s="81">
        <f ca="1">IFERROR(__xludf.DUMMYFUNCTION("""COMPUTED_VALUE"""),43.05)</f>
        <v>43.05</v>
      </c>
      <c r="L862" s="81">
        <f ca="1">IFERROR(__xludf.DUMMYFUNCTION("""COMPUTED_VALUE"""),26.4)</f>
        <v>26.4</v>
      </c>
      <c r="M862" s="81"/>
      <c r="N862" s="81">
        <f ca="1">IFERROR(__xludf.DUMMYFUNCTION("""COMPUTED_VALUE"""),0)</f>
        <v>0</v>
      </c>
      <c r="O862" s="81"/>
      <c r="P862" s="81">
        <f ca="1">IFERROR(__xludf.DUMMYFUNCTION("""COMPUTED_VALUE"""),43.05)</f>
        <v>43.05</v>
      </c>
      <c r="Q862" s="81"/>
      <c r="R862" s="81">
        <f ca="1">IFERROR(__xludf.DUMMYFUNCTION("""COMPUTED_VALUE"""),26.05)</f>
        <v>26.05</v>
      </c>
      <c r="S862" s="81"/>
      <c r="T862" s="81"/>
      <c r="U862" s="82"/>
      <c r="V862" s="82"/>
      <c r="W862" s="83"/>
      <c r="X862" s="83"/>
      <c r="Y862" s="83"/>
    </row>
    <row r="863" spans="1:25" ht="13.8">
      <c r="A863" s="78" t="str">
        <f ca="1">IFERROR(__xludf.DUMMYFUNCTION("""COMPUTED_VALUE"""),"HP")</f>
        <v>HP</v>
      </c>
      <c r="B863" s="79" t="str">
        <f ca="1">IFERROR(__xludf.DUMMYFUNCTION("""COMPUTED_VALUE"""),"Emmy Guy")</f>
        <v>Emmy Guy</v>
      </c>
      <c r="C863" s="78">
        <f ca="1">IFERROR(__xludf.DUMMYFUNCTION("""COMPUTED_VALUE"""),7)</f>
        <v>7</v>
      </c>
      <c r="D863" s="78" t="str">
        <f ca="1">IFERROR(__xludf.DUMMYFUNCTION("""COMPUTED_VALUE"""),"G")</f>
        <v>G</v>
      </c>
      <c r="E863" s="80" t="str">
        <f ca="1">IFERROR(__xludf.DUMMYFUNCTION("""COMPUTED_VALUE"""),"F")</f>
        <v>F</v>
      </c>
      <c r="F863" s="80" t="str">
        <f ca="1">IFERROR(__xludf.DUMMYFUNCTION("""COMPUTED_VALUE"""),"J")</f>
        <v>J</v>
      </c>
      <c r="G863" s="80">
        <f ca="1">IFERROR(__xludf.DUMMYFUNCTION("""COMPUTED_VALUE"""),6)</f>
        <v>6</v>
      </c>
      <c r="H863" s="80" t="str">
        <f ca="1">IFERROR(__xludf.DUMMYFUNCTION("""COMPUTED_VALUE"""),"HP")</f>
        <v>HP</v>
      </c>
      <c r="I863" s="80">
        <f ca="1">IFERROR(__xludf.DUMMYFUNCTION("""COMPUTED_VALUE"""),2)</f>
        <v>2</v>
      </c>
      <c r="J863" s="81">
        <f ca="1">IFERROR(__xludf.DUMMYFUNCTION("""COMPUTED_VALUE"""),4)</f>
        <v>4</v>
      </c>
      <c r="K863" s="81">
        <f ca="1">IFERROR(__xludf.DUMMYFUNCTION("""COMPUTED_VALUE"""),29.4)</f>
        <v>29.4</v>
      </c>
      <c r="L863" s="81">
        <f ca="1">IFERROR(__xludf.DUMMYFUNCTION("""COMPUTED_VALUE"""),26.9)</f>
        <v>26.9</v>
      </c>
      <c r="M863" s="81"/>
      <c r="N863" s="81">
        <f ca="1">IFERROR(__xludf.DUMMYFUNCTION("""COMPUTED_VALUE"""),29.4)</f>
        <v>29.4</v>
      </c>
      <c r="O863" s="81"/>
      <c r="P863" s="81">
        <f ca="1">IFERROR(__xludf.DUMMYFUNCTION("""COMPUTED_VALUE"""),0)</f>
        <v>0</v>
      </c>
      <c r="Q863" s="81"/>
      <c r="R863" s="81">
        <f ca="1">IFERROR(__xludf.DUMMYFUNCTION("""COMPUTED_VALUE"""),21.9)</f>
        <v>21.9</v>
      </c>
      <c r="S863" s="81"/>
      <c r="T863" s="81"/>
      <c r="U863" s="82"/>
      <c r="V863" s="82"/>
      <c r="W863" s="83"/>
      <c r="X863" s="83"/>
      <c r="Y863" s="83"/>
    </row>
    <row r="864" spans="1:25" ht="13.8">
      <c r="A864" s="78" t="str">
        <f ca="1">IFERROR(__xludf.DUMMYFUNCTION("""COMPUTED_VALUE"""),"HP")</f>
        <v>HP</v>
      </c>
      <c r="B864" s="79" t="str">
        <f ca="1">IFERROR(__xludf.DUMMYFUNCTION("""COMPUTED_VALUE"""),"Maddy Guy")</f>
        <v>Maddy Guy</v>
      </c>
      <c r="C864" s="78">
        <f ca="1">IFERROR(__xludf.DUMMYFUNCTION("""COMPUTED_VALUE"""),8)</f>
        <v>8</v>
      </c>
      <c r="D864" s="78" t="str">
        <f ca="1">IFERROR(__xludf.DUMMYFUNCTION("""COMPUTED_VALUE"""),"G")</f>
        <v>G</v>
      </c>
      <c r="E864" s="80" t="str">
        <f ca="1">IFERROR(__xludf.DUMMYFUNCTION("""COMPUTED_VALUE"""),"F")</f>
        <v>F</v>
      </c>
      <c r="F864" s="80" t="str">
        <f ca="1">IFERROR(__xludf.DUMMYFUNCTION("""COMPUTED_VALUE"""),"J")</f>
        <v>J</v>
      </c>
      <c r="G864" s="80">
        <f ca="1">IFERROR(__xludf.DUMMYFUNCTION("""COMPUTED_VALUE"""),6)</f>
        <v>6</v>
      </c>
      <c r="H864" s="80" t="str">
        <f ca="1">IFERROR(__xludf.DUMMYFUNCTION("""COMPUTED_VALUE"""),"HP")</f>
        <v>HP</v>
      </c>
      <c r="I864" s="80">
        <f ca="1">IFERROR(__xludf.DUMMYFUNCTION("""COMPUTED_VALUE"""),2)</f>
        <v>2</v>
      </c>
      <c r="J864" s="81">
        <f ca="1">IFERROR(__xludf.DUMMYFUNCTION("""COMPUTED_VALUE"""),5)</f>
        <v>5</v>
      </c>
      <c r="K864" s="81">
        <f ca="1">IFERROR(__xludf.DUMMYFUNCTION("""COMPUTED_VALUE"""),49.75)</f>
        <v>49.75</v>
      </c>
      <c r="L864" s="81">
        <f ca="1">IFERROR(__xludf.DUMMYFUNCTION("""COMPUTED_VALUE"""),44.3)</f>
        <v>44.3</v>
      </c>
      <c r="M864" s="81"/>
      <c r="N864" s="81">
        <f ca="1">IFERROR(__xludf.DUMMYFUNCTION("""COMPUTED_VALUE"""),46.8)</f>
        <v>46.8</v>
      </c>
      <c r="O864" s="81"/>
      <c r="P864" s="81">
        <f ca="1">IFERROR(__xludf.DUMMYFUNCTION("""COMPUTED_VALUE"""),49.75)</f>
        <v>49.75</v>
      </c>
      <c r="Q864" s="81"/>
      <c r="R864" s="81">
        <f ca="1">IFERROR(__xludf.DUMMYFUNCTION("""COMPUTED_VALUE"""),44.8)</f>
        <v>44.8</v>
      </c>
      <c r="S864" s="81"/>
      <c r="T864" s="81"/>
      <c r="U864" s="82"/>
      <c r="V864" s="82"/>
      <c r="W864" s="83"/>
      <c r="X864" s="83"/>
      <c r="Y864" s="83"/>
    </row>
    <row r="865" spans="1:25" ht="13.8">
      <c r="A865" s="78" t="str">
        <f ca="1">IFERROR(__xludf.DUMMYFUNCTION("""COMPUTED_VALUE"""),"HP")</f>
        <v>HP</v>
      </c>
      <c r="B865" s="79" t="str">
        <f ca="1">IFERROR(__xludf.DUMMYFUNCTION("""COMPUTED_VALUE"""),"Phoebe Guy")</f>
        <v>Phoebe Guy</v>
      </c>
      <c r="C865" s="78">
        <f ca="1">IFERROR(__xludf.DUMMYFUNCTION("""COMPUTED_VALUE"""),9)</f>
        <v>9</v>
      </c>
      <c r="D865" s="78" t="str">
        <f ca="1">IFERROR(__xludf.DUMMYFUNCTION("""COMPUTED_VALUE"""),"G")</f>
        <v>G</v>
      </c>
      <c r="E865" s="80" t="str">
        <f ca="1">IFERROR(__xludf.DUMMYFUNCTION("""COMPUTED_VALUE"""),"F")</f>
        <v>F</v>
      </c>
      <c r="F865" s="80" t="str">
        <f ca="1">IFERROR(__xludf.DUMMYFUNCTION("""COMPUTED_VALUE"""),"J")</f>
        <v>J</v>
      </c>
      <c r="G865" s="80">
        <f ca="1">IFERROR(__xludf.DUMMYFUNCTION("""COMPUTED_VALUE"""),6)</f>
        <v>6</v>
      </c>
      <c r="H865" s="80" t="str">
        <f ca="1">IFERROR(__xludf.DUMMYFUNCTION("""COMPUTED_VALUE"""),"HP")</f>
        <v>HP</v>
      </c>
      <c r="I865" s="80">
        <f ca="1">IFERROR(__xludf.DUMMYFUNCTION("""COMPUTED_VALUE"""),2)</f>
        <v>2</v>
      </c>
      <c r="J865" s="81">
        <f ca="1">IFERROR(__xludf.DUMMYFUNCTION("""COMPUTED_VALUE"""),4)</f>
        <v>4</v>
      </c>
      <c r="K865" s="81">
        <f ca="1">IFERROR(__xludf.DUMMYFUNCTION("""COMPUTED_VALUE"""),45.25)</f>
        <v>45.25</v>
      </c>
      <c r="L865" s="81">
        <f ca="1">IFERROR(__xludf.DUMMYFUNCTION("""COMPUTED_VALUE"""),34)</f>
        <v>34</v>
      </c>
      <c r="M865" s="81"/>
      <c r="N865" s="81">
        <f ca="1">IFERROR(__xludf.DUMMYFUNCTION("""COMPUTED_VALUE"""),32.15)</f>
        <v>32.15</v>
      </c>
      <c r="O865" s="81"/>
      <c r="P865" s="81">
        <f ca="1">IFERROR(__xludf.DUMMYFUNCTION("""COMPUTED_VALUE"""),45.25)</f>
        <v>45.25</v>
      </c>
      <c r="Q865" s="81"/>
      <c r="R865" s="81">
        <f ca="1">IFERROR(__xludf.DUMMYFUNCTION("""COMPUTED_VALUE"""),0)</f>
        <v>0</v>
      </c>
      <c r="S865" s="81"/>
      <c r="T865" s="81"/>
      <c r="U865" s="82"/>
      <c r="V865" s="82"/>
      <c r="W865" s="83"/>
      <c r="X865" s="83"/>
      <c r="Y865" s="83"/>
    </row>
    <row r="866" spans="1:25" ht="13.8">
      <c r="A866" s="78" t="str">
        <f ca="1">IFERROR(__xludf.DUMMYFUNCTION("""COMPUTED_VALUE"""),"HP")</f>
        <v>HP</v>
      </c>
      <c r="B866" s="79" t="str">
        <f ca="1">IFERROR(__xludf.DUMMYFUNCTION("""COMPUTED_VALUE"""),"Leah Jandrain")</f>
        <v>Leah Jandrain</v>
      </c>
      <c r="C866" s="78">
        <f ca="1">IFERROR(__xludf.DUMMYFUNCTION("""COMPUTED_VALUE"""),8)</f>
        <v>8</v>
      </c>
      <c r="D866" s="78" t="str">
        <f ca="1">IFERROR(__xludf.DUMMYFUNCTION("""COMPUTED_VALUE"""),"G")</f>
        <v>G</v>
      </c>
      <c r="E866" s="80" t="str">
        <f ca="1">IFERROR(__xludf.DUMMYFUNCTION("""COMPUTED_VALUE"""),"F")</f>
        <v>F</v>
      </c>
      <c r="F866" s="80" t="str">
        <f ca="1">IFERROR(__xludf.DUMMYFUNCTION("""COMPUTED_VALUE"""),"J")</f>
        <v>J</v>
      </c>
      <c r="G866" s="80">
        <f ca="1">IFERROR(__xludf.DUMMYFUNCTION("""COMPUTED_VALUE"""),6)</f>
        <v>6</v>
      </c>
      <c r="H866" s="80" t="str">
        <f ca="1">IFERROR(__xludf.DUMMYFUNCTION("""COMPUTED_VALUE"""),"HP")</f>
        <v>HP</v>
      </c>
      <c r="I866" s="80">
        <f ca="1">IFERROR(__xludf.DUMMYFUNCTION("""COMPUTED_VALUE"""),2)</f>
        <v>2</v>
      </c>
      <c r="J866" s="81">
        <f ca="1">IFERROR(__xludf.DUMMYFUNCTION("""COMPUTED_VALUE"""),3)</f>
        <v>3</v>
      </c>
      <c r="K866" s="81">
        <f ca="1">IFERROR(__xludf.DUMMYFUNCTION("""COMPUTED_VALUE"""),49.3)</f>
        <v>49.3</v>
      </c>
      <c r="L866" s="81">
        <f ca="1">IFERROR(__xludf.DUMMYFUNCTION("""COMPUTED_VALUE"""),0)</f>
        <v>0</v>
      </c>
      <c r="M866" s="81"/>
      <c r="N866" s="81">
        <f ca="1">IFERROR(__xludf.DUMMYFUNCTION("""COMPUTED_VALUE"""),0)</f>
        <v>0</v>
      </c>
      <c r="O866" s="81"/>
      <c r="P866" s="81">
        <f ca="1">IFERROR(__xludf.DUMMYFUNCTION("""COMPUTED_VALUE"""),37.2)</f>
        <v>37.200000000000003</v>
      </c>
      <c r="Q866" s="81"/>
      <c r="R866" s="81">
        <f ca="1">IFERROR(__xludf.DUMMYFUNCTION("""COMPUTED_VALUE"""),49.3)</f>
        <v>49.3</v>
      </c>
      <c r="S866" s="81"/>
      <c r="T866" s="81"/>
      <c r="U866" s="82"/>
      <c r="V866" s="82"/>
      <c r="W866" s="83"/>
      <c r="X866" s="83"/>
      <c r="Y866" s="83"/>
    </row>
    <row r="867" spans="1:25" ht="13.8">
      <c r="A867" s="78" t="str">
        <f ca="1">IFERROR(__xludf.DUMMYFUNCTION("""COMPUTED_VALUE"""),"HP")</f>
        <v>HP</v>
      </c>
      <c r="B867" s="79" t="str">
        <f ca="1">IFERROR(__xludf.DUMMYFUNCTION("""COMPUTED_VALUE"""),"Emily LaSalle")</f>
        <v>Emily LaSalle</v>
      </c>
      <c r="C867" s="78">
        <f ca="1">IFERROR(__xludf.DUMMYFUNCTION("""COMPUTED_VALUE"""),10)</f>
        <v>10</v>
      </c>
      <c r="D867" s="78" t="str">
        <f ca="1">IFERROR(__xludf.DUMMYFUNCTION("""COMPUTED_VALUE"""),"G")</f>
        <v>G</v>
      </c>
      <c r="E867" s="80" t="str">
        <f ca="1">IFERROR(__xludf.DUMMYFUNCTION("""COMPUTED_VALUE"""),"F")</f>
        <v>F</v>
      </c>
      <c r="F867" s="80" t="str">
        <f ca="1">IFERROR(__xludf.DUMMYFUNCTION("""COMPUTED_VALUE"""),"J")</f>
        <v>J</v>
      </c>
      <c r="G867" s="80">
        <f ca="1">IFERROR(__xludf.DUMMYFUNCTION("""COMPUTED_VALUE"""),6)</f>
        <v>6</v>
      </c>
      <c r="H867" s="80" t="str">
        <f ca="1">IFERROR(__xludf.DUMMYFUNCTION("""COMPUTED_VALUE"""),"HP")</f>
        <v>HP</v>
      </c>
      <c r="I867" s="80">
        <f ca="1">IFERROR(__xludf.DUMMYFUNCTION("""COMPUTED_VALUE"""),2)</f>
        <v>2</v>
      </c>
      <c r="J867" s="81">
        <f ca="1">IFERROR(__xludf.DUMMYFUNCTION("""COMPUTED_VALUE"""),2)</f>
        <v>2</v>
      </c>
      <c r="K867" s="81">
        <f ca="1">IFERROR(__xludf.DUMMYFUNCTION("""COMPUTED_VALUE"""),42.75)</f>
        <v>42.75</v>
      </c>
      <c r="L867" s="81">
        <f ca="1">IFERROR(__xludf.DUMMYFUNCTION("""COMPUTED_VALUE"""),0)</f>
        <v>0</v>
      </c>
      <c r="M867" s="81"/>
      <c r="N867" s="81">
        <f ca="1">IFERROR(__xludf.DUMMYFUNCTION("""COMPUTED_VALUE"""),0)</f>
        <v>0</v>
      </c>
      <c r="O867" s="81"/>
      <c r="P867" s="81">
        <f ca="1">IFERROR(__xludf.DUMMYFUNCTION("""COMPUTED_VALUE"""),39)</f>
        <v>39</v>
      </c>
      <c r="Q867" s="81"/>
      <c r="R867" s="81">
        <f ca="1">IFERROR(__xludf.DUMMYFUNCTION("""COMPUTED_VALUE"""),42.75)</f>
        <v>42.75</v>
      </c>
      <c r="S867" s="81"/>
      <c r="T867" s="81"/>
      <c r="U867" s="82"/>
      <c r="V867" s="82"/>
      <c r="W867" s="83"/>
      <c r="X867" s="83"/>
      <c r="Y867" s="83"/>
    </row>
    <row r="868" spans="1:25" ht="13.8">
      <c r="A868" s="78" t="str">
        <f ca="1">IFERROR(__xludf.DUMMYFUNCTION("""COMPUTED_VALUE"""),"HP")</f>
        <v>HP</v>
      </c>
      <c r="B868" s="79" t="str">
        <f ca="1">IFERROR(__xludf.DUMMYFUNCTION("""COMPUTED_VALUE"""),"Bridget Snyder")</f>
        <v>Bridget Snyder</v>
      </c>
      <c r="C868" s="78">
        <f ca="1">IFERROR(__xludf.DUMMYFUNCTION("""COMPUTED_VALUE"""),6)</f>
        <v>6</v>
      </c>
      <c r="D868" s="78" t="str">
        <f ca="1">IFERROR(__xludf.DUMMYFUNCTION("""COMPUTED_VALUE"""),"G")</f>
        <v>G</v>
      </c>
      <c r="E868" s="80" t="str">
        <f ca="1">IFERROR(__xludf.DUMMYFUNCTION("""COMPUTED_VALUE"""),"F")</f>
        <v>F</v>
      </c>
      <c r="F868" s="80" t="str">
        <f ca="1">IFERROR(__xludf.DUMMYFUNCTION("""COMPUTED_VALUE"""),"J")</f>
        <v>J</v>
      </c>
      <c r="G868" s="80">
        <f ca="1">IFERROR(__xludf.DUMMYFUNCTION("""COMPUTED_VALUE"""),6)</f>
        <v>6</v>
      </c>
      <c r="H868" s="80" t="str">
        <f ca="1">IFERROR(__xludf.DUMMYFUNCTION("""COMPUTED_VALUE"""),"HP")</f>
        <v>HP</v>
      </c>
      <c r="I868" s="80">
        <f ca="1">IFERROR(__xludf.DUMMYFUNCTION("""COMPUTED_VALUE"""),2)</f>
        <v>2</v>
      </c>
      <c r="J868" s="81">
        <f ca="1">IFERROR(__xludf.DUMMYFUNCTION("""COMPUTED_VALUE"""),3)</f>
        <v>3</v>
      </c>
      <c r="K868" s="81">
        <f ca="1">IFERROR(__xludf.DUMMYFUNCTION("""COMPUTED_VALUE"""),25.75)</f>
        <v>25.75</v>
      </c>
      <c r="L868" s="81">
        <f ca="1">IFERROR(__xludf.DUMMYFUNCTION("""COMPUTED_VALUE"""),0)</f>
        <v>0</v>
      </c>
      <c r="M868" s="81"/>
      <c r="N868" s="81">
        <f ca="1">IFERROR(__xludf.DUMMYFUNCTION("""COMPUTED_VALUE"""),21)</f>
        <v>21</v>
      </c>
      <c r="O868" s="81"/>
      <c r="P868" s="81">
        <f ca="1">IFERROR(__xludf.DUMMYFUNCTION("""COMPUTED_VALUE"""),25.75)</f>
        <v>25.75</v>
      </c>
      <c r="Q868" s="81"/>
      <c r="R868" s="81">
        <f ca="1">IFERROR(__xludf.DUMMYFUNCTION("""COMPUTED_VALUE"""),0)</f>
        <v>0</v>
      </c>
      <c r="S868" s="81"/>
      <c r="T868" s="81"/>
      <c r="U868" s="82"/>
      <c r="V868" s="82"/>
      <c r="W868" s="83"/>
      <c r="X868" s="83"/>
      <c r="Y868" s="83"/>
    </row>
    <row r="869" spans="1:25" ht="13.8">
      <c r="A869" s="78" t="str">
        <f ca="1">IFERROR(__xludf.DUMMYFUNCTION("""COMPUTED_VALUE"""),"HP")</f>
        <v>HP</v>
      </c>
      <c r="B869" s="79" t="str">
        <f ca="1">IFERROR(__xludf.DUMMYFUNCTION("""COMPUTED_VALUE"""),"Clara Taylor")</f>
        <v>Clara Taylor</v>
      </c>
      <c r="C869" s="78">
        <f ca="1">IFERROR(__xludf.DUMMYFUNCTION("""COMPUTED_VALUE"""),8)</f>
        <v>8</v>
      </c>
      <c r="D869" s="78" t="str">
        <f ca="1">IFERROR(__xludf.DUMMYFUNCTION("""COMPUTED_VALUE"""),"G")</f>
        <v>G</v>
      </c>
      <c r="E869" s="80" t="str">
        <f ca="1">IFERROR(__xludf.DUMMYFUNCTION("""COMPUTED_VALUE"""),"F")</f>
        <v>F</v>
      </c>
      <c r="F869" s="80" t="str">
        <f ca="1">IFERROR(__xludf.DUMMYFUNCTION("""COMPUTED_VALUE"""),"J")</f>
        <v>J</v>
      </c>
      <c r="G869" s="80">
        <f ca="1">IFERROR(__xludf.DUMMYFUNCTION("""COMPUTED_VALUE"""),6)</f>
        <v>6</v>
      </c>
      <c r="H869" s="80" t="str">
        <f ca="1">IFERROR(__xludf.DUMMYFUNCTION("""COMPUTED_VALUE"""),"HP")</f>
        <v>HP</v>
      </c>
      <c r="I869" s="80">
        <f ca="1">IFERROR(__xludf.DUMMYFUNCTION("""COMPUTED_VALUE"""),2)</f>
        <v>2</v>
      </c>
      <c r="J869" s="81">
        <f ca="1">IFERROR(__xludf.DUMMYFUNCTION("""COMPUTED_VALUE"""),1)</f>
        <v>1</v>
      </c>
      <c r="K869" s="81">
        <f ca="1">IFERROR(__xludf.DUMMYFUNCTION("""COMPUTED_VALUE"""),0)</f>
        <v>0</v>
      </c>
      <c r="L869" s="81">
        <f ca="1">IFERROR(__xludf.DUMMYFUNCTION("""COMPUTED_VALUE"""),0)</f>
        <v>0</v>
      </c>
      <c r="M869" s="81"/>
      <c r="N869" s="81">
        <f ca="1">IFERROR(__xludf.DUMMYFUNCTION("""COMPUTED_VALUE"""),0)</f>
        <v>0</v>
      </c>
      <c r="O869" s="81"/>
      <c r="P869" s="81" t="str">
        <f ca="1">IFERROR(__xludf.DUMMYFUNCTION("""COMPUTED_VALUE""")," DQ")</f>
        <v xml:space="preserve"> DQ</v>
      </c>
      <c r="Q869" s="81"/>
      <c r="R869" s="81">
        <f ca="1">IFERROR(__xludf.DUMMYFUNCTION("""COMPUTED_VALUE"""),0)</f>
        <v>0</v>
      </c>
      <c r="S869" s="81"/>
      <c r="T869" s="81"/>
      <c r="U869" s="82"/>
      <c r="V869" s="82"/>
      <c r="W869" s="83"/>
      <c r="X869" s="83"/>
      <c r="Y869" s="83"/>
    </row>
    <row r="870" spans="1:25" ht="13.8">
      <c r="A870" s="78" t="str">
        <f ca="1">IFERROR(__xludf.DUMMYFUNCTION("""COMPUTED_VALUE"""),"HP")</f>
        <v>HP</v>
      </c>
      <c r="B870" s="79" t="str">
        <f ca="1">IFERROR(__xludf.DUMMYFUNCTION("""COMPUTED_VALUE"""),"Caroline Todd")</f>
        <v>Caroline Todd</v>
      </c>
      <c r="C870" s="78">
        <f ca="1">IFERROR(__xludf.DUMMYFUNCTION("""COMPUTED_VALUE"""),7)</f>
        <v>7</v>
      </c>
      <c r="D870" s="78" t="str">
        <f ca="1">IFERROR(__xludf.DUMMYFUNCTION("""COMPUTED_VALUE"""),"G")</f>
        <v>G</v>
      </c>
      <c r="E870" s="80" t="str">
        <f ca="1">IFERROR(__xludf.DUMMYFUNCTION("""COMPUTED_VALUE"""),"F")</f>
        <v>F</v>
      </c>
      <c r="F870" s="80" t="str">
        <f ca="1">IFERROR(__xludf.DUMMYFUNCTION("""COMPUTED_VALUE"""),"J")</f>
        <v>J</v>
      </c>
      <c r="G870" s="80">
        <f ca="1">IFERROR(__xludf.DUMMYFUNCTION("""COMPUTED_VALUE"""),6)</f>
        <v>6</v>
      </c>
      <c r="H870" s="80" t="str">
        <f ca="1">IFERROR(__xludf.DUMMYFUNCTION("""COMPUTED_VALUE"""),"HP")</f>
        <v>HP</v>
      </c>
      <c r="I870" s="80">
        <f ca="1">IFERROR(__xludf.DUMMYFUNCTION("""COMPUTED_VALUE"""),2)</f>
        <v>2</v>
      </c>
      <c r="J870" s="81">
        <f ca="1">IFERROR(__xludf.DUMMYFUNCTION("""COMPUTED_VALUE"""),3)</f>
        <v>3</v>
      </c>
      <c r="K870" s="81">
        <f ca="1">IFERROR(__xludf.DUMMYFUNCTION("""COMPUTED_VALUE"""),49.65)</f>
        <v>49.65</v>
      </c>
      <c r="L870" s="81">
        <f ca="1">IFERROR(__xludf.DUMMYFUNCTION("""COMPUTED_VALUE"""),28.25)</f>
        <v>28.25</v>
      </c>
      <c r="M870" s="81"/>
      <c r="N870" s="81">
        <f ca="1">IFERROR(__xludf.DUMMYFUNCTION("""COMPUTED_VALUE"""),0)</f>
        <v>0</v>
      </c>
      <c r="O870" s="81"/>
      <c r="P870" s="81">
        <f ca="1">IFERROR(__xludf.DUMMYFUNCTION("""COMPUTED_VALUE"""),49.65)</f>
        <v>49.65</v>
      </c>
      <c r="Q870" s="81"/>
      <c r="R870" s="81">
        <f ca="1">IFERROR(__xludf.DUMMYFUNCTION("""COMPUTED_VALUE"""),36.4)</f>
        <v>36.4</v>
      </c>
      <c r="S870" s="81"/>
      <c r="T870" s="81"/>
      <c r="U870" s="82"/>
      <c r="V870" s="82"/>
      <c r="W870" s="83"/>
      <c r="X870" s="83"/>
      <c r="Y870" s="83"/>
    </row>
    <row r="871" spans="1:25" ht="13.8">
      <c r="A871" s="78" t="str">
        <f ca="1">IFERROR(__xludf.DUMMYFUNCTION("""COMPUTED_VALUE"""),"HP")</f>
        <v>HP</v>
      </c>
      <c r="B871" s="79" t="str">
        <f ca="1">IFERROR(__xludf.DUMMYFUNCTION("""COMPUTED_VALUE"""),"Benjamin Allen")</f>
        <v>Benjamin Allen</v>
      </c>
      <c r="C871" s="78">
        <f ca="1">IFERROR(__xludf.DUMMYFUNCTION("""COMPUTED_VALUE"""),9)</f>
        <v>9</v>
      </c>
      <c r="D871" s="78" t="str">
        <f ca="1">IFERROR(__xludf.DUMMYFUNCTION("""COMPUTED_VALUE"""),"B")</f>
        <v>B</v>
      </c>
      <c r="E871" s="80" t="str">
        <f ca="1">IFERROR(__xludf.DUMMYFUNCTION("""COMPUTED_VALUE"""),"F")</f>
        <v>F</v>
      </c>
      <c r="F871" s="80" t="str">
        <f ca="1">IFERROR(__xludf.DUMMYFUNCTION("""COMPUTED_VALUE"""),"J")</f>
        <v>J</v>
      </c>
      <c r="G871" s="80">
        <f ca="1">IFERROR(__xludf.DUMMYFUNCTION("""COMPUTED_VALUE"""),6)</f>
        <v>6</v>
      </c>
      <c r="H871" s="80" t="str">
        <f ca="1">IFERROR(__xludf.DUMMYFUNCTION("""COMPUTED_VALUE"""),"HP")</f>
        <v>HP</v>
      </c>
      <c r="I871" s="80">
        <f ca="1">IFERROR(__xludf.DUMMYFUNCTION("""COMPUTED_VALUE"""),3)</f>
        <v>3</v>
      </c>
      <c r="J871" s="81">
        <f ca="1">IFERROR(__xludf.DUMMYFUNCTION("""COMPUTED_VALUE"""),3)</f>
        <v>3</v>
      </c>
      <c r="K871" s="81">
        <f ca="1">IFERROR(__xludf.DUMMYFUNCTION("""COMPUTED_VALUE"""),43.2)</f>
        <v>43.2</v>
      </c>
      <c r="L871" s="81">
        <f ca="1">IFERROR(__xludf.DUMMYFUNCTION("""COMPUTED_VALUE"""),0)</f>
        <v>0</v>
      </c>
      <c r="M871" s="81"/>
      <c r="N871" s="81">
        <f ca="1">IFERROR(__xludf.DUMMYFUNCTION("""COMPUTED_VALUE"""),0)</f>
        <v>0</v>
      </c>
      <c r="O871" s="81"/>
      <c r="P871" s="81">
        <f ca="1">IFERROR(__xludf.DUMMYFUNCTION("""COMPUTED_VALUE"""),43.2)</f>
        <v>43.2</v>
      </c>
      <c r="Q871" s="81"/>
      <c r="R871" s="81">
        <f ca="1">IFERROR(__xludf.DUMMYFUNCTION("""COMPUTED_VALUE"""),30.8)</f>
        <v>30.8</v>
      </c>
      <c r="S871" s="81"/>
      <c r="T871" s="81"/>
      <c r="U871" s="82"/>
      <c r="V871" s="82"/>
      <c r="W871" s="83"/>
      <c r="X871" s="83"/>
      <c r="Y871" s="83"/>
    </row>
    <row r="872" spans="1:25" ht="13.8">
      <c r="A872" s="78" t="str">
        <f ca="1">IFERROR(__xludf.DUMMYFUNCTION("""COMPUTED_VALUE"""),"HP")</f>
        <v>HP</v>
      </c>
      <c r="B872" s="79" t="str">
        <f ca="1">IFERROR(__xludf.DUMMYFUNCTION("""COMPUTED_VALUE"""),"Teddy Anderson")</f>
        <v>Teddy Anderson</v>
      </c>
      <c r="C872" s="78">
        <f ca="1">IFERROR(__xludf.DUMMYFUNCTION("""COMPUTED_VALUE"""),9)</f>
        <v>9</v>
      </c>
      <c r="D872" s="78" t="str">
        <f ca="1">IFERROR(__xludf.DUMMYFUNCTION("""COMPUTED_VALUE"""),"B")</f>
        <v>B</v>
      </c>
      <c r="E872" s="80" t="str">
        <f ca="1">IFERROR(__xludf.DUMMYFUNCTION("""COMPUTED_VALUE"""),"F")</f>
        <v>F</v>
      </c>
      <c r="F872" s="80" t="str">
        <f ca="1">IFERROR(__xludf.DUMMYFUNCTION("""COMPUTED_VALUE"""),"J")</f>
        <v>J</v>
      </c>
      <c r="G872" s="80">
        <f ca="1">IFERROR(__xludf.DUMMYFUNCTION("""COMPUTED_VALUE"""),6)</f>
        <v>6</v>
      </c>
      <c r="H872" s="80" t="str">
        <f ca="1">IFERROR(__xludf.DUMMYFUNCTION("""COMPUTED_VALUE"""),"HP")</f>
        <v>HP</v>
      </c>
      <c r="I872" s="80">
        <f ca="1">IFERROR(__xludf.DUMMYFUNCTION("""COMPUTED_VALUE"""),3)</f>
        <v>3</v>
      </c>
      <c r="J872" s="81">
        <f ca="1">IFERROR(__xludf.DUMMYFUNCTION("""COMPUTED_VALUE"""),5)</f>
        <v>5</v>
      </c>
      <c r="K872" s="81">
        <f ca="1">IFERROR(__xludf.DUMMYFUNCTION("""COMPUTED_VALUE"""),61.15)</f>
        <v>61.15</v>
      </c>
      <c r="L872" s="81">
        <f ca="1">IFERROR(__xludf.DUMMYFUNCTION("""COMPUTED_VALUE"""),52.75)</f>
        <v>52.75</v>
      </c>
      <c r="M872" s="81"/>
      <c r="N872" s="81">
        <f ca="1">IFERROR(__xludf.DUMMYFUNCTION("""COMPUTED_VALUE"""),61.15)</f>
        <v>61.15</v>
      </c>
      <c r="O872" s="81"/>
      <c r="P872" s="81">
        <f ca="1">IFERROR(__xludf.DUMMYFUNCTION("""COMPUTED_VALUE"""),47.9)</f>
        <v>47.9</v>
      </c>
      <c r="Q872" s="81"/>
      <c r="R872" s="81">
        <f ca="1">IFERROR(__xludf.DUMMYFUNCTION("""COMPUTED_VALUE"""),48)</f>
        <v>48</v>
      </c>
      <c r="S872" s="81"/>
      <c r="T872" s="81"/>
      <c r="U872" s="82"/>
      <c r="V872" s="82"/>
      <c r="W872" s="83"/>
      <c r="X872" s="83"/>
      <c r="Y872" s="83"/>
    </row>
    <row r="873" spans="1:25" ht="13.8">
      <c r="A873" s="78" t="str">
        <f ca="1">IFERROR(__xludf.DUMMYFUNCTION("""COMPUTED_VALUE"""),"HP")</f>
        <v>HP</v>
      </c>
      <c r="B873" s="79" t="str">
        <f ca="1">IFERROR(__xludf.DUMMYFUNCTION("""COMPUTED_VALUE"""),"Julian Castro")</f>
        <v>Julian Castro</v>
      </c>
      <c r="C873" s="78">
        <f ca="1">IFERROR(__xludf.DUMMYFUNCTION("""COMPUTED_VALUE"""),8)</f>
        <v>8</v>
      </c>
      <c r="D873" s="78" t="str">
        <f ca="1">IFERROR(__xludf.DUMMYFUNCTION("""COMPUTED_VALUE"""),"B")</f>
        <v>B</v>
      </c>
      <c r="E873" s="80" t="str">
        <f ca="1">IFERROR(__xludf.DUMMYFUNCTION("""COMPUTED_VALUE"""),"F")</f>
        <v>F</v>
      </c>
      <c r="F873" s="80" t="str">
        <f ca="1">IFERROR(__xludf.DUMMYFUNCTION("""COMPUTED_VALUE"""),"J")</f>
        <v>J</v>
      </c>
      <c r="G873" s="80">
        <f ca="1">IFERROR(__xludf.DUMMYFUNCTION("""COMPUTED_VALUE"""),6)</f>
        <v>6</v>
      </c>
      <c r="H873" s="80" t="str">
        <f ca="1">IFERROR(__xludf.DUMMYFUNCTION("""COMPUTED_VALUE"""),"HP")</f>
        <v>HP</v>
      </c>
      <c r="I873" s="80">
        <f ca="1">IFERROR(__xludf.DUMMYFUNCTION("""COMPUTED_VALUE"""),3)</f>
        <v>3</v>
      </c>
      <c r="J873" s="81">
        <f ca="1">IFERROR(__xludf.DUMMYFUNCTION("""COMPUTED_VALUE"""),2)</f>
        <v>2</v>
      </c>
      <c r="K873" s="81">
        <f ca="1">IFERROR(__xludf.DUMMYFUNCTION("""COMPUTED_VALUE"""),34)</f>
        <v>34</v>
      </c>
      <c r="L873" s="81">
        <f ca="1">IFERROR(__xludf.DUMMYFUNCTION("""COMPUTED_VALUE"""),0)</f>
        <v>0</v>
      </c>
      <c r="M873" s="81"/>
      <c r="N873" s="81">
        <f ca="1">IFERROR(__xludf.DUMMYFUNCTION("""COMPUTED_VALUE"""),23.1)</f>
        <v>23.1</v>
      </c>
      <c r="O873" s="81"/>
      <c r="P873" s="81">
        <f ca="1">IFERROR(__xludf.DUMMYFUNCTION("""COMPUTED_VALUE"""),0)</f>
        <v>0</v>
      </c>
      <c r="Q873" s="81"/>
      <c r="R873" s="81">
        <f ca="1">IFERROR(__xludf.DUMMYFUNCTION("""COMPUTED_VALUE"""),34)</f>
        <v>34</v>
      </c>
      <c r="S873" s="81"/>
      <c r="T873" s="81"/>
      <c r="U873" s="82"/>
      <c r="V873" s="82"/>
      <c r="W873" s="83"/>
      <c r="X873" s="83"/>
      <c r="Y873" s="83"/>
    </row>
    <row r="874" spans="1:25" ht="13.8">
      <c r="A874" s="78" t="str">
        <f ca="1">IFERROR(__xludf.DUMMYFUNCTION("""COMPUTED_VALUE"""),"HP")</f>
        <v>HP</v>
      </c>
      <c r="B874" s="79" t="str">
        <f ca="1">IFERROR(__xludf.DUMMYFUNCTION("""COMPUTED_VALUE"""),"Cameron Cohen")</f>
        <v>Cameron Cohen</v>
      </c>
      <c r="C874" s="78">
        <f ca="1">IFERROR(__xludf.DUMMYFUNCTION("""COMPUTED_VALUE"""),8)</f>
        <v>8</v>
      </c>
      <c r="D874" s="78" t="str">
        <f ca="1">IFERROR(__xludf.DUMMYFUNCTION("""COMPUTED_VALUE"""),"B")</f>
        <v>B</v>
      </c>
      <c r="E874" s="80" t="str">
        <f ca="1">IFERROR(__xludf.DUMMYFUNCTION("""COMPUTED_VALUE"""),"F")</f>
        <v>F</v>
      </c>
      <c r="F874" s="80" t="str">
        <f ca="1">IFERROR(__xludf.DUMMYFUNCTION("""COMPUTED_VALUE"""),"J")</f>
        <v>J</v>
      </c>
      <c r="G874" s="80">
        <f ca="1">IFERROR(__xludf.DUMMYFUNCTION("""COMPUTED_VALUE"""),6)</f>
        <v>6</v>
      </c>
      <c r="H874" s="80" t="str">
        <f ca="1">IFERROR(__xludf.DUMMYFUNCTION("""COMPUTED_VALUE"""),"HP")</f>
        <v>HP</v>
      </c>
      <c r="I874" s="80">
        <f ca="1">IFERROR(__xludf.DUMMYFUNCTION("""COMPUTED_VALUE"""),3)</f>
        <v>3</v>
      </c>
      <c r="J874" s="81">
        <f ca="1">IFERROR(__xludf.DUMMYFUNCTION("""COMPUTED_VALUE"""),1)</f>
        <v>1</v>
      </c>
      <c r="K874" s="81">
        <f ca="1">IFERROR(__xludf.DUMMYFUNCTION("""COMPUTED_VALUE"""),0)</f>
        <v>0</v>
      </c>
      <c r="L874" s="81">
        <f ca="1">IFERROR(__xludf.DUMMYFUNCTION("""COMPUTED_VALUE"""),0)</f>
        <v>0</v>
      </c>
      <c r="M874" s="81"/>
      <c r="N874" s="81">
        <f ca="1">IFERROR(__xludf.DUMMYFUNCTION("""COMPUTED_VALUE"""),0)</f>
        <v>0</v>
      </c>
      <c r="O874" s="81"/>
      <c r="P874" s="81">
        <f ca="1">IFERROR(__xludf.DUMMYFUNCTION("""COMPUTED_VALUE"""),0)</f>
        <v>0</v>
      </c>
      <c r="Q874" s="81"/>
      <c r="R874" s="81">
        <f ca="1">IFERROR(__xludf.DUMMYFUNCTION("""COMPUTED_VALUE"""),0)</f>
        <v>0</v>
      </c>
      <c r="S874" s="81"/>
      <c r="T874" s="81"/>
      <c r="U874" s="82"/>
      <c r="V874" s="82"/>
      <c r="W874" s="83"/>
      <c r="X874" s="83"/>
      <c r="Y874" s="83"/>
    </row>
    <row r="875" spans="1:25" ht="13.8">
      <c r="A875" s="78" t="str">
        <f ca="1">IFERROR(__xludf.DUMMYFUNCTION("""COMPUTED_VALUE"""),"HP")</f>
        <v>HP</v>
      </c>
      <c r="B875" s="79" t="str">
        <f ca="1">IFERROR(__xludf.DUMMYFUNCTION("""COMPUTED_VALUE"""),"Henry Cutts")</f>
        <v>Henry Cutts</v>
      </c>
      <c r="C875" s="78">
        <f ca="1">IFERROR(__xludf.DUMMYFUNCTION("""COMPUTED_VALUE"""),8)</f>
        <v>8</v>
      </c>
      <c r="D875" s="78" t="str">
        <f ca="1">IFERROR(__xludf.DUMMYFUNCTION("""COMPUTED_VALUE"""),"B")</f>
        <v>B</v>
      </c>
      <c r="E875" s="80" t="str">
        <f ca="1">IFERROR(__xludf.DUMMYFUNCTION("""COMPUTED_VALUE"""),"F")</f>
        <v>F</v>
      </c>
      <c r="F875" s="80" t="str">
        <f ca="1">IFERROR(__xludf.DUMMYFUNCTION("""COMPUTED_VALUE"""),"J")</f>
        <v>J</v>
      </c>
      <c r="G875" s="80">
        <f ca="1">IFERROR(__xludf.DUMMYFUNCTION("""COMPUTED_VALUE"""),6)</f>
        <v>6</v>
      </c>
      <c r="H875" s="80" t="str">
        <f ca="1">IFERROR(__xludf.DUMMYFUNCTION("""COMPUTED_VALUE"""),"HP")</f>
        <v>HP</v>
      </c>
      <c r="I875" s="80">
        <f ca="1">IFERROR(__xludf.DUMMYFUNCTION("""COMPUTED_VALUE"""),3)</f>
        <v>3</v>
      </c>
      <c r="J875" s="81">
        <f ca="1">IFERROR(__xludf.DUMMYFUNCTION("""COMPUTED_VALUE"""),4)</f>
        <v>4</v>
      </c>
      <c r="K875" s="81">
        <f ca="1">IFERROR(__xludf.DUMMYFUNCTION("""COMPUTED_VALUE"""),40.2)</f>
        <v>40.200000000000003</v>
      </c>
      <c r="L875" s="81">
        <f ca="1">IFERROR(__xludf.DUMMYFUNCTION("""COMPUTED_VALUE"""),40.2)</f>
        <v>40.200000000000003</v>
      </c>
      <c r="M875" s="81"/>
      <c r="N875" s="81">
        <f ca="1">IFERROR(__xludf.DUMMYFUNCTION("""COMPUTED_VALUE"""),-60.6)</f>
        <v>-60.6</v>
      </c>
      <c r="O875" s="81"/>
      <c r="P875" s="81">
        <f ca="1">IFERROR(__xludf.DUMMYFUNCTION("""COMPUTED_VALUE"""),-49.9)</f>
        <v>-49.9</v>
      </c>
      <c r="Q875" s="81"/>
      <c r="R875" s="81">
        <f ca="1">IFERROR(__xludf.DUMMYFUNCTION("""COMPUTED_VALUE"""),33.5)</f>
        <v>33.5</v>
      </c>
      <c r="S875" s="81"/>
      <c r="T875" s="81"/>
      <c r="U875" s="82"/>
      <c r="V875" s="82"/>
      <c r="W875" s="83"/>
      <c r="X875" s="83"/>
      <c r="Y875" s="83"/>
    </row>
    <row r="876" spans="1:25" ht="13.8">
      <c r="A876" s="78" t="str">
        <f ca="1">IFERROR(__xludf.DUMMYFUNCTION("""COMPUTED_VALUE"""),"HP")</f>
        <v>HP</v>
      </c>
      <c r="B876" s="79" t="str">
        <f ca="1">IFERROR(__xludf.DUMMYFUNCTION("""COMPUTED_VALUE"""),"Adam Elbekri")</f>
        <v>Adam Elbekri</v>
      </c>
      <c r="C876" s="78">
        <f ca="1">IFERROR(__xludf.DUMMYFUNCTION("""COMPUTED_VALUE"""),9)</f>
        <v>9</v>
      </c>
      <c r="D876" s="78" t="str">
        <f ca="1">IFERROR(__xludf.DUMMYFUNCTION("""COMPUTED_VALUE"""),"B")</f>
        <v>B</v>
      </c>
      <c r="E876" s="80" t="str">
        <f ca="1">IFERROR(__xludf.DUMMYFUNCTION("""COMPUTED_VALUE"""),"F")</f>
        <v>F</v>
      </c>
      <c r="F876" s="80" t="str">
        <f ca="1">IFERROR(__xludf.DUMMYFUNCTION("""COMPUTED_VALUE"""),"J")</f>
        <v>J</v>
      </c>
      <c r="G876" s="80">
        <f ca="1">IFERROR(__xludf.DUMMYFUNCTION("""COMPUTED_VALUE"""),6)</f>
        <v>6</v>
      </c>
      <c r="H876" s="80" t="str">
        <f ca="1">IFERROR(__xludf.DUMMYFUNCTION("""COMPUTED_VALUE"""),"HP")</f>
        <v>HP</v>
      </c>
      <c r="I876" s="80">
        <f ca="1">IFERROR(__xludf.DUMMYFUNCTION("""COMPUTED_VALUE"""),3)</f>
        <v>3</v>
      </c>
      <c r="J876" s="81">
        <f ca="1">IFERROR(__xludf.DUMMYFUNCTION("""COMPUTED_VALUE"""),1)</f>
        <v>1</v>
      </c>
      <c r="K876" s="81">
        <f ca="1">IFERROR(__xludf.DUMMYFUNCTION("""COMPUTED_VALUE"""),30.1)</f>
        <v>30.1</v>
      </c>
      <c r="L876" s="81">
        <f ca="1">IFERROR(__xludf.DUMMYFUNCTION("""COMPUTED_VALUE"""),30.1)</f>
        <v>30.1</v>
      </c>
      <c r="M876" s="81"/>
      <c r="N876" s="81">
        <f ca="1">IFERROR(__xludf.DUMMYFUNCTION("""COMPUTED_VALUE"""),0)</f>
        <v>0</v>
      </c>
      <c r="O876" s="81"/>
      <c r="P876" s="81">
        <f ca="1">IFERROR(__xludf.DUMMYFUNCTION("""COMPUTED_VALUE"""),0)</f>
        <v>0</v>
      </c>
      <c r="Q876" s="81"/>
      <c r="R876" s="81">
        <f ca="1">IFERROR(__xludf.DUMMYFUNCTION("""COMPUTED_VALUE"""),0)</f>
        <v>0</v>
      </c>
      <c r="S876" s="81"/>
      <c r="T876" s="81"/>
      <c r="U876" s="82"/>
      <c r="V876" s="82"/>
      <c r="W876" s="83"/>
      <c r="X876" s="83"/>
      <c r="Y876" s="83"/>
    </row>
    <row r="877" spans="1:25" ht="13.8">
      <c r="A877" s="78" t="str">
        <f ca="1">IFERROR(__xludf.DUMMYFUNCTION("""COMPUTED_VALUE"""),"HP")</f>
        <v>HP</v>
      </c>
      <c r="B877" s="79" t="str">
        <f ca="1">IFERROR(__xludf.DUMMYFUNCTION("""COMPUTED_VALUE"""),"Liam Geyer")</f>
        <v>Liam Geyer</v>
      </c>
      <c r="C877" s="78">
        <f ca="1">IFERROR(__xludf.DUMMYFUNCTION("""COMPUTED_VALUE"""),10)</f>
        <v>10</v>
      </c>
      <c r="D877" s="78" t="str">
        <f ca="1">IFERROR(__xludf.DUMMYFUNCTION("""COMPUTED_VALUE"""),"B")</f>
        <v>B</v>
      </c>
      <c r="E877" s="80" t="str">
        <f ca="1">IFERROR(__xludf.DUMMYFUNCTION("""COMPUTED_VALUE"""),"F")</f>
        <v>F</v>
      </c>
      <c r="F877" s="80" t="str">
        <f ca="1">IFERROR(__xludf.DUMMYFUNCTION("""COMPUTED_VALUE"""),"J")</f>
        <v>J</v>
      </c>
      <c r="G877" s="80">
        <f ca="1">IFERROR(__xludf.DUMMYFUNCTION("""COMPUTED_VALUE"""),6)</f>
        <v>6</v>
      </c>
      <c r="H877" s="80" t="str">
        <f ca="1">IFERROR(__xludf.DUMMYFUNCTION("""COMPUTED_VALUE"""),"HP")</f>
        <v>HP</v>
      </c>
      <c r="I877" s="80">
        <f ca="1">IFERROR(__xludf.DUMMYFUNCTION("""COMPUTED_VALUE"""),3)</f>
        <v>3</v>
      </c>
      <c r="J877" s="81">
        <f ca="1">IFERROR(__xludf.DUMMYFUNCTION("""COMPUTED_VALUE"""),0)</f>
        <v>0</v>
      </c>
      <c r="K877" s="81">
        <f ca="1">IFERROR(__xludf.DUMMYFUNCTION("""COMPUTED_VALUE"""),0)</f>
        <v>0</v>
      </c>
      <c r="L877" s="81">
        <f ca="1">IFERROR(__xludf.DUMMYFUNCTION("""COMPUTED_VALUE"""),0)</f>
        <v>0</v>
      </c>
      <c r="M877" s="81"/>
      <c r="N877" s="81">
        <f ca="1">IFERROR(__xludf.DUMMYFUNCTION("""COMPUTED_VALUE"""),0)</f>
        <v>0</v>
      </c>
      <c r="O877" s="81"/>
      <c r="P877" s="81">
        <f ca="1">IFERROR(__xludf.DUMMYFUNCTION("""COMPUTED_VALUE"""),0)</f>
        <v>0</v>
      </c>
      <c r="Q877" s="81"/>
      <c r="R877" s="81">
        <f ca="1">IFERROR(__xludf.DUMMYFUNCTION("""COMPUTED_VALUE"""),0)</f>
        <v>0</v>
      </c>
      <c r="S877" s="81"/>
      <c r="T877" s="81"/>
      <c r="U877" s="82"/>
      <c r="V877" s="82"/>
      <c r="W877" s="83"/>
      <c r="X877" s="83"/>
      <c r="Y877" s="83"/>
    </row>
    <row r="878" spans="1:25" ht="13.8">
      <c r="A878" s="78" t="str">
        <f ca="1">IFERROR(__xludf.DUMMYFUNCTION("""COMPUTED_VALUE"""),"HP")</f>
        <v>HP</v>
      </c>
      <c r="B878" s="79" t="str">
        <f ca="1">IFERROR(__xludf.DUMMYFUNCTION("""COMPUTED_VALUE"""),"Max Gura")</f>
        <v>Max Gura</v>
      </c>
      <c r="C878" s="78">
        <f ca="1">IFERROR(__xludf.DUMMYFUNCTION("""COMPUTED_VALUE"""),8)</f>
        <v>8</v>
      </c>
      <c r="D878" s="78" t="str">
        <f ca="1">IFERROR(__xludf.DUMMYFUNCTION("""COMPUTED_VALUE"""),"B")</f>
        <v>B</v>
      </c>
      <c r="E878" s="80" t="str">
        <f ca="1">IFERROR(__xludf.DUMMYFUNCTION("""COMPUTED_VALUE"""),"F")</f>
        <v>F</v>
      </c>
      <c r="F878" s="80" t="str">
        <f ca="1">IFERROR(__xludf.DUMMYFUNCTION("""COMPUTED_VALUE"""),"J")</f>
        <v>J</v>
      </c>
      <c r="G878" s="80">
        <f ca="1">IFERROR(__xludf.DUMMYFUNCTION("""COMPUTED_VALUE"""),6)</f>
        <v>6</v>
      </c>
      <c r="H878" s="80" t="str">
        <f ca="1">IFERROR(__xludf.DUMMYFUNCTION("""COMPUTED_VALUE"""),"HP")</f>
        <v>HP</v>
      </c>
      <c r="I878" s="80">
        <f ca="1">IFERROR(__xludf.DUMMYFUNCTION("""COMPUTED_VALUE"""),3)</f>
        <v>3</v>
      </c>
      <c r="J878" s="81">
        <f ca="1">IFERROR(__xludf.DUMMYFUNCTION("""COMPUTED_VALUE"""),3)</f>
        <v>3</v>
      </c>
      <c r="K878" s="81">
        <f ca="1">IFERROR(__xludf.DUMMYFUNCTION("""COMPUTED_VALUE"""),38.95)</f>
        <v>38.950000000000003</v>
      </c>
      <c r="L878" s="81">
        <f ca="1">IFERROR(__xludf.DUMMYFUNCTION("""COMPUTED_VALUE"""),0)</f>
        <v>0</v>
      </c>
      <c r="M878" s="81"/>
      <c r="N878" s="81">
        <f ca="1">IFERROR(__xludf.DUMMYFUNCTION("""COMPUTED_VALUE"""),38.95)</f>
        <v>38.950000000000003</v>
      </c>
      <c r="O878" s="81"/>
      <c r="P878" s="81">
        <f ca="1">IFERROR(__xludf.DUMMYFUNCTION("""COMPUTED_VALUE"""),19.95)</f>
        <v>19.95</v>
      </c>
      <c r="Q878" s="81"/>
      <c r="R878" s="81">
        <f ca="1">IFERROR(__xludf.DUMMYFUNCTION("""COMPUTED_VALUE"""),0)</f>
        <v>0</v>
      </c>
      <c r="S878" s="81"/>
      <c r="T878" s="81"/>
      <c r="U878" s="82"/>
      <c r="V878" s="82"/>
      <c r="W878" s="83"/>
      <c r="X878" s="83"/>
      <c r="Y878" s="83"/>
    </row>
    <row r="879" spans="1:25" ht="13.8">
      <c r="A879" s="78" t="str">
        <f ca="1">IFERROR(__xludf.DUMMYFUNCTION("""COMPUTED_VALUE"""),"HP")</f>
        <v>HP</v>
      </c>
      <c r="B879" s="79" t="str">
        <f ca="1">IFERROR(__xludf.DUMMYFUNCTION("""COMPUTED_VALUE"""),"Steven Knott")</f>
        <v>Steven Knott</v>
      </c>
      <c r="C879" s="78">
        <f ca="1">IFERROR(__xludf.DUMMYFUNCTION("""COMPUTED_VALUE"""),9)</f>
        <v>9</v>
      </c>
      <c r="D879" s="78" t="str">
        <f ca="1">IFERROR(__xludf.DUMMYFUNCTION("""COMPUTED_VALUE"""),"B")</f>
        <v>B</v>
      </c>
      <c r="E879" s="80" t="str">
        <f ca="1">IFERROR(__xludf.DUMMYFUNCTION("""COMPUTED_VALUE"""),"F")</f>
        <v>F</v>
      </c>
      <c r="F879" s="80" t="str">
        <f ca="1">IFERROR(__xludf.DUMMYFUNCTION("""COMPUTED_VALUE"""),"J")</f>
        <v>J</v>
      </c>
      <c r="G879" s="80">
        <f ca="1">IFERROR(__xludf.DUMMYFUNCTION("""COMPUTED_VALUE"""),6)</f>
        <v>6</v>
      </c>
      <c r="H879" s="80" t="str">
        <f ca="1">IFERROR(__xludf.DUMMYFUNCTION("""COMPUTED_VALUE"""),"HP")</f>
        <v>HP</v>
      </c>
      <c r="I879" s="80">
        <f ca="1">IFERROR(__xludf.DUMMYFUNCTION("""COMPUTED_VALUE"""),3)</f>
        <v>3</v>
      </c>
      <c r="J879" s="81">
        <f ca="1">IFERROR(__xludf.DUMMYFUNCTION("""COMPUTED_VALUE"""),0)</f>
        <v>0</v>
      </c>
      <c r="K879" s="81">
        <f ca="1">IFERROR(__xludf.DUMMYFUNCTION("""COMPUTED_VALUE"""),0)</f>
        <v>0</v>
      </c>
      <c r="L879" s="81">
        <f ca="1">IFERROR(__xludf.DUMMYFUNCTION("""COMPUTED_VALUE"""),0)</f>
        <v>0</v>
      </c>
      <c r="M879" s="81"/>
      <c r="N879" s="81">
        <f ca="1">IFERROR(__xludf.DUMMYFUNCTION("""COMPUTED_VALUE"""),0)</f>
        <v>0</v>
      </c>
      <c r="O879" s="81"/>
      <c r="P879" s="81">
        <f ca="1">IFERROR(__xludf.DUMMYFUNCTION("""COMPUTED_VALUE"""),0)</f>
        <v>0</v>
      </c>
      <c r="Q879" s="81"/>
      <c r="R879" s="81">
        <f ca="1">IFERROR(__xludf.DUMMYFUNCTION("""COMPUTED_VALUE"""),0)</f>
        <v>0</v>
      </c>
      <c r="S879" s="81"/>
      <c r="T879" s="81"/>
      <c r="U879" s="82"/>
      <c r="V879" s="82"/>
      <c r="W879" s="83"/>
      <c r="X879" s="83"/>
      <c r="Y879" s="83"/>
    </row>
    <row r="880" spans="1:25" ht="13.8">
      <c r="A880" s="78" t="str">
        <f ca="1">IFERROR(__xludf.DUMMYFUNCTION("""COMPUTED_VALUE"""),"HP")</f>
        <v>HP</v>
      </c>
      <c r="B880" s="79" t="str">
        <f ca="1">IFERROR(__xludf.DUMMYFUNCTION("""COMPUTED_VALUE"""),"Elliot Kobus")</f>
        <v>Elliot Kobus</v>
      </c>
      <c r="C880" s="78">
        <f ca="1">IFERROR(__xludf.DUMMYFUNCTION("""COMPUTED_VALUE"""),8)</f>
        <v>8</v>
      </c>
      <c r="D880" s="78" t="str">
        <f ca="1">IFERROR(__xludf.DUMMYFUNCTION("""COMPUTED_VALUE"""),"B")</f>
        <v>B</v>
      </c>
      <c r="E880" s="80" t="str">
        <f ca="1">IFERROR(__xludf.DUMMYFUNCTION("""COMPUTED_VALUE"""),"F")</f>
        <v>F</v>
      </c>
      <c r="F880" s="80" t="str">
        <f ca="1">IFERROR(__xludf.DUMMYFUNCTION("""COMPUTED_VALUE"""),"J")</f>
        <v>J</v>
      </c>
      <c r="G880" s="80">
        <f ca="1">IFERROR(__xludf.DUMMYFUNCTION("""COMPUTED_VALUE"""),6)</f>
        <v>6</v>
      </c>
      <c r="H880" s="80" t="str">
        <f ca="1">IFERROR(__xludf.DUMMYFUNCTION("""COMPUTED_VALUE"""),"HP")</f>
        <v>HP</v>
      </c>
      <c r="I880" s="80">
        <f ca="1">IFERROR(__xludf.DUMMYFUNCTION("""COMPUTED_VALUE"""),3)</f>
        <v>3</v>
      </c>
      <c r="J880" s="81">
        <f ca="1">IFERROR(__xludf.DUMMYFUNCTION("""COMPUTED_VALUE"""),1)</f>
        <v>1</v>
      </c>
      <c r="K880" s="81">
        <f ca="1">IFERROR(__xludf.DUMMYFUNCTION("""COMPUTED_VALUE"""),0)</f>
        <v>0</v>
      </c>
      <c r="L880" s="81">
        <f ca="1">IFERROR(__xludf.DUMMYFUNCTION("""COMPUTED_VALUE"""),0)</f>
        <v>0</v>
      </c>
      <c r="M880" s="81"/>
      <c r="N880" s="81">
        <f ca="1">IFERROR(__xludf.DUMMYFUNCTION("""COMPUTED_VALUE"""),0)</f>
        <v>0</v>
      </c>
      <c r="O880" s="81"/>
      <c r="P880" s="81">
        <f ca="1">IFERROR(__xludf.DUMMYFUNCTION("""COMPUTED_VALUE"""),0)</f>
        <v>0</v>
      </c>
      <c r="Q880" s="81"/>
      <c r="R880" s="81">
        <f ca="1">IFERROR(__xludf.DUMMYFUNCTION("""COMPUTED_VALUE"""),0)</f>
        <v>0</v>
      </c>
      <c r="S880" s="81"/>
      <c r="T880" s="81"/>
      <c r="U880" s="82"/>
      <c r="V880" s="82"/>
      <c r="W880" s="83"/>
      <c r="X880" s="83"/>
      <c r="Y880" s="83"/>
    </row>
    <row r="881" spans="1:25" ht="13.8">
      <c r="A881" s="78" t="str">
        <f ca="1">IFERROR(__xludf.DUMMYFUNCTION("""COMPUTED_VALUE"""),"HP")</f>
        <v>HP</v>
      </c>
      <c r="B881" s="79" t="str">
        <f ca="1">IFERROR(__xludf.DUMMYFUNCTION("""COMPUTED_VALUE"""),"Benjamin Margolis")</f>
        <v>Benjamin Margolis</v>
      </c>
      <c r="C881" s="78">
        <f ca="1">IFERROR(__xludf.DUMMYFUNCTION("""COMPUTED_VALUE"""),9)</f>
        <v>9</v>
      </c>
      <c r="D881" s="78" t="str">
        <f ca="1">IFERROR(__xludf.DUMMYFUNCTION("""COMPUTED_VALUE"""),"B")</f>
        <v>B</v>
      </c>
      <c r="E881" s="80" t="str">
        <f ca="1">IFERROR(__xludf.DUMMYFUNCTION("""COMPUTED_VALUE"""),"F")</f>
        <v>F</v>
      </c>
      <c r="F881" s="80" t="str">
        <f ca="1">IFERROR(__xludf.DUMMYFUNCTION("""COMPUTED_VALUE"""),"J")</f>
        <v>J</v>
      </c>
      <c r="G881" s="80">
        <f ca="1">IFERROR(__xludf.DUMMYFUNCTION("""COMPUTED_VALUE"""),6)</f>
        <v>6</v>
      </c>
      <c r="H881" s="80" t="str">
        <f ca="1">IFERROR(__xludf.DUMMYFUNCTION("""COMPUTED_VALUE"""),"HP")</f>
        <v>HP</v>
      </c>
      <c r="I881" s="80">
        <f ca="1">IFERROR(__xludf.DUMMYFUNCTION("""COMPUTED_VALUE"""),3)</f>
        <v>3</v>
      </c>
      <c r="J881" s="81">
        <f ca="1">IFERROR(__xludf.DUMMYFUNCTION("""COMPUTED_VALUE"""),5)</f>
        <v>5</v>
      </c>
      <c r="K881" s="81">
        <f ca="1">IFERROR(__xludf.DUMMYFUNCTION("""COMPUTED_VALUE"""),77)</f>
        <v>77</v>
      </c>
      <c r="L881" s="81">
        <f ca="1">IFERROR(__xludf.DUMMYFUNCTION("""COMPUTED_VALUE"""),77)</f>
        <v>77</v>
      </c>
      <c r="M881" s="81"/>
      <c r="N881" s="81">
        <f ca="1">IFERROR(__xludf.DUMMYFUNCTION("""COMPUTED_VALUE"""),68.2)</f>
        <v>68.2</v>
      </c>
      <c r="O881" s="81"/>
      <c r="P881" s="81">
        <f ca="1">IFERROR(__xludf.DUMMYFUNCTION("""COMPUTED_VALUE"""),74.9)</f>
        <v>74.900000000000006</v>
      </c>
      <c r="Q881" s="81"/>
      <c r="R881" s="81">
        <f ca="1">IFERROR(__xludf.DUMMYFUNCTION("""COMPUTED_VALUE"""),56.2)</f>
        <v>56.2</v>
      </c>
      <c r="S881" s="81"/>
      <c r="T881" s="81"/>
      <c r="U881" s="82"/>
      <c r="V881" s="82"/>
      <c r="W881" s="83"/>
      <c r="X881" s="83"/>
      <c r="Y881" s="83"/>
    </row>
    <row r="882" spans="1:25" ht="13.8">
      <c r="A882" s="78" t="str">
        <f ca="1">IFERROR(__xludf.DUMMYFUNCTION("""COMPUTED_VALUE"""),"HP")</f>
        <v>HP</v>
      </c>
      <c r="B882" s="79" t="str">
        <f ca="1">IFERROR(__xludf.DUMMYFUNCTION("""COMPUTED_VALUE"""),"Joseph Mosinski")</f>
        <v>Joseph Mosinski</v>
      </c>
      <c r="C882" s="78">
        <f ca="1">IFERROR(__xludf.DUMMYFUNCTION("""COMPUTED_VALUE"""),9)</f>
        <v>9</v>
      </c>
      <c r="D882" s="78" t="str">
        <f ca="1">IFERROR(__xludf.DUMMYFUNCTION("""COMPUTED_VALUE"""),"B")</f>
        <v>B</v>
      </c>
      <c r="E882" s="80" t="str">
        <f ca="1">IFERROR(__xludf.DUMMYFUNCTION("""COMPUTED_VALUE"""),"F")</f>
        <v>F</v>
      </c>
      <c r="F882" s="80" t="str">
        <f ca="1">IFERROR(__xludf.DUMMYFUNCTION("""COMPUTED_VALUE"""),"J")</f>
        <v>J</v>
      </c>
      <c r="G882" s="80">
        <f ca="1">IFERROR(__xludf.DUMMYFUNCTION("""COMPUTED_VALUE"""),6)</f>
        <v>6</v>
      </c>
      <c r="H882" s="80" t="str">
        <f ca="1">IFERROR(__xludf.DUMMYFUNCTION("""COMPUTED_VALUE"""),"HP")</f>
        <v>HP</v>
      </c>
      <c r="I882" s="80">
        <f ca="1">IFERROR(__xludf.DUMMYFUNCTION("""COMPUTED_VALUE"""),3)</f>
        <v>3</v>
      </c>
      <c r="J882" s="81">
        <f ca="1">IFERROR(__xludf.DUMMYFUNCTION("""COMPUTED_VALUE"""),2)</f>
        <v>2</v>
      </c>
      <c r="K882" s="81">
        <f ca="1">IFERROR(__xludf.DUMMYFUNCTION("""COMPUTED_VALUE"""),22.1)</f>
        <v>22.1</v>
      </c>
      <c r="L882" s="81">
        <f ca="1">IFERROR(__xludf.DUMMYFUNCTION("""COMPUTED_VALUE"""),22.1)</f>
        <v>22.1</v>
      </c>
      <c r="M882" s="81"/>
      <c r="N882" s="81">
        <f ca="1">IFERROR(__xludf.DUMMYFUNCTION("""COMPUTED_VALUE"""),0)</f>
        <v>0</v>
      </c>
      <c r="O882" s="81"/>
      <c r="P882" s="81">
        <f ca="1">IFERROR(__xludf.DUMMYFUNCTION("""COMPUTED_VALUE"""),0)</f>
        <v>0</v>
      </c>
      <c r="Q882" s="81"/>
      <c r="R882" s="81">
        <f ca="1">IFERROR(__xludf.DUMMYFUNCTION("""COMPUTED_VALUE"""),0)</f>
        <v>0</v>
      </c>
      <c r="S882" s="81"/>
      <c r="T882" s="81"/>
      <c r="U882" s="82"/>
      <c r="V882" s="82"/>
      <c r="W882" s="83"/>
      <c r="X882" s="83"/>
      <c r="Y882" s="83"/>
    </row>
    <row r="883" spans="1:25" ht="13.8">
      <c r="A883" s="78" t="str">
        <f ca="1">IFERROR(__xludf.DUMMYFUNCTION("""COMPUTED_VALUE"""),"HP")</f>
        <v>HP</v>
      </c>
      <c r="B883" s="79" t="str">
        <f ca="1">IFERROR(__xludf.DUMMYFUNCTION("""COMPUTED_VALUE"""),"Liam Painter")</f>
        <v>Liam Painter</v>
      </c>
      <c r="C883" s="78">
        <f ca="1">IFERROR(__xludf.DUMMYFUNCTION("""COMPUTED_VALUE"""),10)</f>
        <v>10</v>
      </c>
      <c r="D883" s="78" t="str">
        <f ca="1">IFERROR(__xludf.DUMMYFUNCTION("""COMPUTED_VALUE"""),"B")</f>
        <v>B</v>
      </c>
      <c r="E883" s="80" t="str">
        <f ca="1">IFERROR(__xludf.DUMMYFUNCTION("""COMPUTED_VALUE"""),"F")</f>
        <v>F</v>
      </c>
      <c r="F883" s="80" t="str">
        <f ca="1">IFERROR(__xludf.DUMMYFUNCTION("""COMPUTED_VALUE"""),"J")</f>
        <v>J</v>
      </c>
      <c r="G883" s="80">
        <f ca="1">IFERROR(__xludf.DUMMYFUNCTION("""COMPUTED_VALUE"""),6)</f>
        <v>6</v>
      </c>
      <c r="H883" s="80" t="str">
        <f ca="1">IFERROR(__xludf.DUMMYFUNCTION("""COMPUTED_VALUE"""),"HP")</f>
        <v>HP</v>
      </c>
      <c r="I883" s="80">
        <f ca="1">IFERROR(__xludf.DUMMYFUNCTION("""COMPUTED_VALUE"""),3)</f>
        <v>3</v>
      </c>
      <c r="J883" s="81">
        <f ca="1">IFERROR(__xludf.DUMMYFUNCTION("""COMPUTED_VALUE"""),4)</f>
        <v>4</v>
      </c>
      <c r="K883" s="81">
        <f ca="1">IFERROR(__xludf.DUMMYFUNCTION("""COMPUTED_VALUE"""),47.25)</f>
        <v>47.25</v>
      </c>
      <c r="L883" s="81">
        <f ca="1">IFERROR(__xludf.DUMMYFUNCTION("""COMPUTED_VALUE"""),37.55)</f>
        <v>37.549999999999997</v>
      </c>
      <c r="M883" s="81"/>
      <c r="N883" s="81">
        <f ca="1">IFERROR(__xludf.DUMMYFUNCTION("""COMPUTED_VALUE"""),43.3)</f>
        <v>43.3</v>
      </c>
      <c r="O883" s="81"/>
      <c r="P883" s="81">
        <f ca="1">IFERROR(__xludf.DUMMYFUNCTION("""COMPUTED_VALUE"""),47.25)</f>
        <v>47.25</v>
      </c>
      <c r="Q883" s="81"/>
      <c r="R883" s="81">
        <f ca="1">IFERROR(__xludf.DUMMYFUNCTION("""COMPUTED_VALUE"""),11.05)</f>
        <v>11.05</v>
      </c>
      <c r="S883" s="81"/>
      <c r="T883" s="81"/>
      <c r="U883" s="82"/>
      <c r="V883" s="82"/>
      <c r="W883" s="83"/>
      <c r="X883" s="83"/>
      <c r="Y883" s="83"/>
    </row>
    <row r="884" spans="1:25" ht="13.8">
      <c r="A884" s="78" t="str">
        <f ca="1">IFERROR(__xludf.DUMMYFUNCTION("""COMPUTED_VALUE"""),"HP")</f>
        <v>HP</v>
      </c>
      <c r="B884" s="79" t="str">
        <f ca="1">IFERROR(__xludf.DUMMYFUNCTION("""COMPUTED_VALUE"""),"Theodore Romanosky")</f>
        <v>Theodore Romanosky</v>
      </c>
      <c r="C884" s="78">
        <f ca="1">IFERROR(__xludf.DUMMYFUNCTION("""COMPUTED_VALUE"""),8)</f>
        <v>8</v>
      </c>
      <c r="D884" s="78" t="str">
        <f ca="1">IFERROR(__xludf.DUMMYFUNCTION("""COMPUTED_VALUE"""),"B")</f>
        <v>B</v>
      </c>
      <c r="E884" s="80" t="str">
        <f ca="1">IFERROR(__xludf.DUMMYFUNCTION("""COMPUTED_VALUE"""),"F")</f>
        <v>F</v>
      </c>
      <c r="F884" s="80" t="str">
        <f ca="1">IFERROR(__xludf.DUMMYFUNCTION("""COMPUTED_VALUE"""),"J")</f>
        <v>J</v>
      </c>
      <c r="G884" s="80">
        <f ca="1">IFERROR(__xludf.DUMMYFUNCTION("""COMPUTED_VALUE"""),6)</f>
        <v>6</v>
      </c>
      <c r="H884" s="80" t="str">
        <f ca="1">IFERROR(__xludf.DUMMYFUNCTION("""COMPUTED_VALUE"""),"HP")</f>
        <v>HP</v>
      </c>
      <c r="I884" s="80">
        <f ca="1">IFERROR(__xludf.DUMMYFUNCTION("""COMPUTED_VALUE"""),3)</f>
        <v>3</v>
      </c>
      <c r="J884" s="81">
        <f ca="1">IFERROR(__xludf.DUMMYFUNCTION("""COMPUTED_VALUE"""),4)</f>
        <v>4</v>
      </c>
      <c r="K884" s="81">
        <f ca="1">IFERROR(__xludf.DUMMYFUNCTION("""COMPUTED_VALUE"""),51.4)</f>
        <v>51.4</v>
      </c>
      <c r="L884" s="81">
        <f ca="1">IFERROR(__xludf.DUMMYFUNCTION("""COMPUTED_VALUE"""),35.7)</f>
        <v>35.700000000000003</v>
      </c>
      <c r="M884" s="81"/>
      <c r="N884" s="81">
        <f ca="1">IFERROR(__xludf.DUMMYFUNCTION("""COMPUTED_VALUE"""),37.8)</f>
        <v>37.799999999999997</v>
      </c>
      <c r="O884" s="81"/>
      <c r="P884" s="81">
        <f ca="1">IFERROR(__xludf.DUMMYFUNCTION("""COMPUTED_VALUE"""),51.4)</f>
        <v>51.4</v>
      </c>
      <c r="Q884" s="81"/>
      <c r="R884" s="81">
        <f ca="1">IFERROR(__xludf.DUMMYFUNCTION("""COMPUTED_VALUE"""),34.2)</f>
        <v>34.200000000000003</v>
      </c>
      <c r="S884" s="81"/>
      <c r="T884" s="81"/>
      <c r="U884" s="82"/>
      <c r="V884" s="82"/>
      <c r="W884" s="83"/>
      <c r="X884" s="83"/>
      <c r="Y884" s="83"/>
    </row>
    <row r="885" spans="1:25" ht="13.8">
      <c r="A885" s="78" t="str">
        <f ca="1">IFERROR(__xludf.DUMMYFUNCTION("""COMPUTED_VALUE"""),"HP")</f>
        <v>HP</v>
      </c>
      <c r="B885" s="79" t="str">
        <f ca="1">IFERROR(__xludf.DUMMYFUNCTION("""COMPUTED_VALUE"""),"Johnny Simon")</f>
        <v>Johnny Simon</v>
      </c>
      <c r="C885" s="78">
        <f ca="1">IFERROR(__xludf.DUMMYFUNCTION("""COMPUTED_VALUE"""),9)</f>
        <v>9</v>
      </c>
      <c r="D885" s="78" t="str">
        <f ca="1">IFERROR(__xludf.DUMMYFUNCTION("""COMPUTED_VALUE"""),"B")</f>
        <v>B</v>
      </c>
      <c r="E885" s="80" t="str">
        <f ca="1">IFERROR(__xludf.DUMMYFUNCTION("""COMPUTED_VALUE"""),"F")</f>
        <v>F</v>
      </c>
      <c r="F885" s="80" t="str">
        <f ca="1">IFERROR(__xludf.DUMMYFUNCTION("""COMPUTED_VALUE"""),"J")</f>
        <v>J</v>
      </c>
      <c r="G885" s="80">
        <f ca="1">IFERROR(__xludf.DUMMYFUNCTION("""COMPUTED_VALUE"""),6)</f>
        <v>6</v>
      </c>
      <c r="H885" s="80" t="str">
        <f ca="1">IFERROR(__xludf.DUMMYFUNCTION("""COMPUTED_VALUE"""),"HP")</f>
        <v>HP</v>
      </c>
      <c r="I885" s="80">
        <f ca="1">IFERROR(__xludf.DUMMYFUNCTION("""COMPUTED_VALUE"""),3)</f>
        <v>3</v>
      </c>
      <c r="J885" s="81">
        <f ca="1">IFERROR(__xludf.DUMMYFUNCTION("""COMPUTED_VALUE"""),0)</f>
        <v>0</v>
      </c>
      <c r="K885" s="81">
        <f ca="1">IFERROR(__xludf.DUMMYFUNCTION("""COMPUTED_VALUE"""),0)</f>
        <v>0</v>
      </c>
      <c r="L885" s="81">
        <f ca="1">IFERROR(__xludf.DUMMYFUNCTION("""COMPUTED_VALUE"""),0)</f>
        <v>0</v>
      </c>
      <c r="M885" s="81"/>
      <c r="N885" s="81">
        <f ca="1">IFERROR(__xludf.DUMMYFUNCTION("""COMPUTED_VALUE"""),0)</f>
        <v>0</v>
      </c>
      <c r="O885" s="81"/>
      <c r="P885" s="81">
        <f ca="1">IFERROR(__xludf.DUMMYFUNCTION("""COMPUTED_VALUE"""),0)</f>
        <v>0</v>
      </c>
      <c r="Q885" s="81"/>
      <c r="R885" s="81">
        <f ca="1">IFERROR(__xludf.DUMMYFUNCTION("""COMPUTED_VALUE"""),0)</f>
        <v>0</v>
      </c>
      <c r="S885" s="81"/>
      <c r="T885" s="81"/>
      <c r="U885" s="82"/>
      <c r="V885" s="82"/>
      <c r="W885" s="83"/>
      <c r="X885" s="83"/>
      <c r="Y885" s="83"/>
    </row>
    <row r="886" spans="1:25" ht="13.8">
      <c r="A886" s="78" t="str">
        <f ca="1">IFERROR(__xludf.DUMMYFUNCTION("""COMPUTED_VALUE"""),"HP")</f>
        <v>HP</v>
      </c>
      <c r="B886" s="79" t="str">
        <f ca="1">IFERROR(__xludf.DUMMYFUNCTION("""COMPUTED_VALUE"""),"JJ Snyder")</f>
        <v>JJ Snyder</v>
      </c>
      <c r="C886" s="78">
        <f ca="1">IFERROR(__xludf.DUMMYFUNCTION("""COMPUTED_VALUE"""),8)</f>
        <v>8</v>
      </c>
      <c r="D886" s="78" t="str">
        <f ca="1">IFERROR(__xludf.DUMMYFUNCTION("""COMPUTED_VALUE"""),"B")</f>
        <v>B</v>
      </c>
      <c r="E886" s="80" t="str">
        <f ca="1">IFERROR(__xludf.DUMMYFUNCTION("""COMPUTED_VALUE"""),"F")</f>
        <v>F</v>
      </c>
      <c r="F886" s="80" t="str">
        <f ca="1">IFERROR(__xludf.DUMMYFUNCTION("""COMPUTED_VALUE"""),"J")</f>
        <v>J</v>
      </c>
      <c r="G886" s="80">
        <f ca="1">IFERROR(__xludf.DUMMYFUNCTION("""COMPUTED_VALUE"""),6)</f>
        <v>6</v>
      </c>
      <c r="H886" s="80" t="str">
        <f ca="1">IFERROR(__xludf.DUMMYFUNCTION("""COMPUTED_VALUE"""),"HP")</f>
        <v>HP</v>
      </c>
      <c r="I886" s="80">
        <f ca="1">IFERROR(__xludf.DUMMYFUNCTION("""COMPUTED_VALUE"""),3)</f>
        <v>3</v>
      </c>
      <c r="J886" s="81">
        <f ca="1">IFERROR(__xludf.DUMMYFUNCTION("""COMPUTED_VALUE"""),2)</f>
        <v>2</v>
      </c>
      <c r="K886" s="81">
        <f ca="1">IFERROR(__xludf.DUMMYFUNCTION("""COMPUTED_VALUE"""),38.75)</f>
        <v>38.75</v>
      </c>
      <c r="L886" s="81">
        <f ca="1">IFERROR(__xludf.DUMMYFUNCTION("""COMPUTED_VALUE"""),0)</f>
        <v>0</v>
      </c>
      <c r="M886" s="81"/>
      <c r="N886" s="81">
        <f ca="1">IFERROR(__xludf.DUMMYFUNCTION("""COMPUTED_VALUE"""),38.75)</f>
        <v>38.75</v>
      </c>
      <c r="O886" s="81"/>
      <c r="P886" s="81">
        <f ca="1">IFERROR(__xludf.DUMMYFUNCTION("""COMPUTED_VALUE"""),0)</f>
        <v>0</v>
      </c>
      <c r="Q886" s="81"/>
      <c r="R886" s="81">
        <f ca="1">IFERROR(__xludf.DUMMYFUNCTION("""COMPUTED_VALUE"""),0)</f>
        <v>0</v>
      </c>
      <c r="S886" s="81"/>
      <c r="T886" s="81"/>
      <c r="U886" s="82"/>
      <c r="V886" s="82"/>
      <c r="W886" s="83"/>
      <c r="X886" s="83"/>
      <c r="Y886" s="83"/>
    </row>
    <row r="887" spans="1:25" ht="13.8">
      <c r="A887" s="78" t="str">
        <f ca="1">IFERROR(__xludf.DUMMYFUNCTION("""COMPUTED_VALUE"""),"HP")</f>
        <v>HP</v>
      </c>
      <c r="B887" s="79" t="str">
        <f ca="1">IFERROR(__xludf.DUMMYFUNCTION("""COMPUTED_VALUE"""),"Jacob Stigliano")</f>
        <v>Jacob Stigliano</v>
      </c>
      <c r="C887" s="78">
        <f ca="1">IFERROR(__xludf.DUMMYFUNCTION("""COMPUTED_VALUE"""),6)</f>
        <v>6</v>
      </c>
      <c r="D887" s="78" t="str">
        <f ca="1">IFERROR(__xludf.DUMMYFUNCTION("""COMPUTED_VALUE"""),"B")</f>
        <v>B</v>
      </c>
      <c r="E887" s="80" t="str">
        <f ca="1">IFERROR(__xludf.DUMMYFUNCTION("""COMPUTED_VALUE"""),"F")</f>
        <v>F</v>
      </c>
      <c r="F887" s="80" t="str">
        <f ca="1">IFERROR(__xludf.DUMMYFUNCTION("""COMPUTED_VALUE"""),"J")</f>
        <v>J</v>
      </c>
      <c r="G887" s="80">
        <f ca="1">IFERROR(__xludf.DUMMYFUNCTION("""COMPUTED_VALUE"""),6)</f>
        <v>6</v>
      </c>
      <c r="H887" s="80" t="str">
        <f ca="1">IFERROR(__xludf.DUMMYFUNCTION("""COMPUTED_VALUE"""),"HP")</f>
        <v>HP</v>
      </c>
      <c r="I887" s="80">
        <f ca="1">IFERROR(__xludf.DUMMYFUNCTION("""COMPUTED_VALUE"""),3)</f>
        <v>3</v>
      </c>
      <c r="J887" s="81">
        <f ca="1">IFERROR(__xludf.DUMMYFUNCTION("""COMPUTED_VALUE"""),1)</f>
        <v>1</v>
      </c>
      <c r="K887" s="81">
        <f ca="1">IFERROR(__xludf.DUMMYFUNCTION("""COMPUTED_VALUE"""),23)</f>
        <v>23</v>
      </c>
      <c r="L887" s="81">
        <f ca="1">IFERROR(__xludf.DUMMYFUNCTION("""COMPUTED_VALUE"""),0)</f>
        <v>0</v>
      </c>
      <c r="M887" s="81"/>
      <c r="N887" s="81">
        <f ca="1">IFERROR(__xludf.DUMMYFUNCTION("""COMPUTED_VALUE"""),0)</f>
        <v>0</v>
      </c>
      <c r="O887" s="81"/>
      <c r="P887" s="81">
        <f ca="1">IFERROR(__xludf.DUMMYFUNCTION("""COMPUTED_VALUE"""),0)</f>
        <v>0</v>
      </c>
      <c r="Q887" s="81"/>
      <c r="R887" s="81">
        <f ca="1">IFERROR(__xludf.DUMMYFUNCTION("""COMPUTED_VALUE"""),23)</f>
        <v>23</v>
      </c>
      <c r="S887" s="81"/>
      <c r="T887" s="81"/>
      <c r="U887" s="82"/>
      <c r="V887" s="82"/>
      <c r="W887" s="83"/>
      <c r="X887" s="83"/>
      <c r="Y887" s="83"/>
    </row>
    <row r="888" spans="1:25" ht="13.8">
      <c r="A888" s="78" t="str">
        <f ca="1">IFERROR(__xludf.DUMMYFUNCTION("""COMPUTED_VALUE"""),"HP")</f>
        <v>HP</v>
      </c>
      <c r="B888" s="79" t="str">
        <f ca="1">IFERROR(__xludf.DUMMYFUNCTION("""COMPUTED_VALUE"""),"Philip Stigliano")</f>
        <v>Philip Stigliano</v>
      </c>
      <c r="C888" s="78">
        <f ca="1">IFERROR(__xludf.DUMMYFUNCTION("""COMPUTED_VALUE"""),8)</f>
        <v>8</v>
      </c>
      <c r="D888" s="78" t="str">
        <f ca="1">IFERROR(__xludf.DUMMYFUNCTION("""COMPUTED_VALUE"""),"B")</f>
        <v>B</v>
      </c>
      <c r="E888" s="80" t="str">
        <f ca="1">IFERROR(__xludf.DUMMYFUNCTION("""COMPUTED_VALUE"""),"F")</f>
        <v>F</v>
      </c>
      <c r="F888" s="80" t="str">
        <f ca="1">IFERROR(__xludf.DUMMYFUNCTION("""COMPUTED_VALUE"""),"J")</f>
        <v>J</v>
      </c>
      <c r="G888" s="80">
        <f ca="1">IFERROR(__xludf.DUMMYFUNCTION("""COMPUTED_VALUE"""),6)</f>
        <v>6</v>
      </c>
      <c r="H888" s="80" t="str">
        <f ca="1">IFERROR(__xludf.DUMMYFUNCTION("""COMPUTED_VALUE"""),"HP")</f>
        <v>HP</v>
      </c>
      <c r="I888" s="80">
        <f ca="1">IFERROR(__xludf.DUMMYFUNCTION("""COMPUTED_VALUE"""),3)</f>
        <v>3</v>
      </c>
      <c r="J888" s="81">
        <f ca="1">IFERROR(__xludf.DUMMYFUNCTION("""COMPUTED_VALUE"""),4)</f>
        <v>4</v>
      </c>
      <c r="K888" s="81">
        <f ca="1">IFERROR(__xludf.DUMMYFUNCTION("""COMPUTED_VALUE"""),59)</f>
        <v>59</v>
      </c>
      <c r="L888" s="81">
        <f ca="1">IFERROR(__xludf.DUMMYFUNCTION("""COMPUTED_VALUE"""),57.7)</f>
        <v>57.7</v>
      </c>
      <c r="M888" s="81"/>
      <c r="N888" s="81">
        <f ca="1">IFERROR(__xludf.DUMMYFUNCTION("""COMPUTED_VALUE"""),47.7)</f>
        <v>47.7</v>
      </c>
      <c r="O888" s="81"/>
      <c r="P888" s="81">
        <f ca="1">IFERROR(__xludf.DUMMYFUNCTION("""COMPUTED_VALUE"""),59)</f>
        <v>59</v>
      </c>
      <c r="Q888" s="81"/>
      <c r="R888" s="81">
        <f ca="1">IFERROR(__xludf.DUMMYFUNCTION("""COMPUTED_VALUE"""),43)</f>
        <v>43</v>
      </c>
      <c r="S888" s="81"/>
      <c r="T888" s="81"/>
      <c r="U888" s="82"/>
      <c r="V888" s="82"/>
      <c r="W888" s="83"/>
      <c r="X888" s="83"/>
      <c r="Y888" s="83"/>
    </row>
    <row r="889" spans="1:25" ht="13.8">
      <c r="A889" s="78" t="str">
        <f ca="1">IFERROR(__xludf.DUMMYFUNCTION("""COMPUTED_VALUE"""),"HP")</f>
        <v>HP</v>
      </c>
      <c r="B889" s="79" t="str">
        <f ca="1">IFERROR(__xludf.DUMMYFUNCTION("""COMPUTED_VALUE"""),"Devon Taylor")</f>
        <v>Devon Taylor</v>
      </c>
      <c r="C889" s="78">
        <f ca="1">IFERROR(__xludf.DUMMYFUNCTION("""COMPUTED_VALUE"""),6)</f>
        <v>6</v>
      </c>
      <c r="D889" s="78" t="str">
        <f ca="1">IFERROR(__xludf.DUMMYFUNCTION("""COMPUTED_VALUE"""),"B")</f>
        <v>B</v>
      </c>
      <c r="E889" s="80" t="str">
        <f ca="1">IFERROR(__xludf.DUMMYFUNCTION("""COMPUTED_VALUE"""),"F")</f>
        <v>F</v>
      </c>
      <c r="F889" s="80" t="str">
        <f ca="1">IFERROR(__xludf.DUMMYFUNCTION("""COMPUTED_VALUE"""),"J")</f>
        <v>J</v>
      </c>
      <c r="G889" s="80">
        <f ca="1">IFERROR(__xludf.DUMMYFUNCTION("""COMPUTED_VALUE"""),6)</f>
        <v>6</v>
      </c>
      <c r="H889" s="80" t="str">
        <f ca="1">IFERROR(__xludf.DUMMYFUNCTION("""COMPUTED_VALUE"""),"HP")</f>
        <v>HP</v>
      </c>
      <c r="I889" s="80">
        <f ca="1">IFERROR(__xludf.DUMMYFUNCTION("""COMPUTED_VALUE"""),3)</f>
        <v>3</v>
      </c>
      <c r="J889" s="81">
        <f ca="1">IFERROR(__xludf.DUMMYFUNCTION("""COMPUTED_VALUE"""),1)</f>
        <v>1</v>
      </c>
      <c r="K889" s="81">
        <f ca="1">IFERROR(__xludf.DUMMYFUNCTION("""COMPUTED_VALUE"""),12.5)</f>
        <v>12.5</v>
      </c>
      <c r="L889" s="81">
        <f ca="1">IFERROR(__xludf.DUMMYFUNCTION("""COMPUTED_VALUE"""),0)</f>
        <v>0</v>
      </c>
      <c r="M889" s="81"/>
      <c r="N889" s="81">
        <f ca="1">IFERROR(__xludf.DUMMYFUNCTION("""COMPUTED_VALUE"""),0)</f>
        <v>0</v>
      </c>
      <c r="O889" s="81"/>
      <c r="P889" s="81">
        <f ca="1">IFERROR(__xludf.DUMMYFUNCTION("""COMPUTED_VALUE"""),12.5)</f>
        <v>12.5</v>
      </c>
      <c r="Q889" s="81"/>
      <c r="R889" s="81">
        <f ca="1">IFERROR(__xludf.DUMMYFUNCTION("""COMPUTED_VALUE"""),0)</f>
        <v>0</v>
      </c>
      <c r="S889" s="81"/>
      <c r="T889" s="81"/>
      <c r="U889" s="82"/>
      <c r="V889" s="82"/>
      <c r="W889" s="83"/>
      <c r="X889" s="83"/>
      <c r="Y889" s="83"/>
    </row>
    <row r="890" spans="1:25" ht="13.8">
      <c r="A890" s="78" t="str">
        <f ca="1">IFERROR(__xludf.DUMMYFUNCTION("""COMPUTED_VALUE"""),"HP")</f>
        <v>HP</v>
      </c>
      <c r="B890" s="79" t="str">
        <f ca="1">IFERROR(__xludf.DUMMYFUNCTION("""COMPUTED_VALUE"""),"Azeem Tyabji")</f>
        <v>Azeem Tyabji</v>
      </c>
      <c r="C890" s="78">
        <f ca="1">IFERROR(__xludf.DUMMYFUNCTION("""COMPUTED_VALUE"""),8)</f>
        <v>8</v>
      </c>
      <c r="D890" s="78" t="str">
        <f ca="1">IFERROR(__xludf.DUMMYFUNCTION("""COMPUTED_VALUE"""),"B")</f>
        <v>B</v>
      </c>
      <c r="E890" s="80" t="str">
        <f ca="1">IFERROR(__xludf.DUMMYFUNCTION("""COMPUTED_VALUE"""),"F")</f>
        <v>F</v>
      </c>
      <c r="F890" s="80" t="str">
        <f ca="1">IFERROR(__xludf.DUMMYFUNCTION("""COMPUTED_VALUE"""),"J")</f>
        <v>J</v>
      </c>
      <c r="G890" s="80">
        <f ca="1">IFERROR(__xludf.DUMMYFUNCTION("""COMPUTED_VALUE"""),6)</f>
        <v>6</v>
      </c>
      <c r="H890" s="80" t="str">
        <f ca="1">IFERROR(__xludf.DUMMYFUNCTION("""COMPUTED_VALUE"""),"HP")</f>
        <v>HP</v>
      </c>
      <c r="I890" s="80">
        <f ca="1">IFERROR(__xludf.DUMMYFUNCTION("""COMPUTED_VALUE"""),3)</f>
        <v>3</v>
      </c>
      <c r="J890" s="81">
        <f ca="1">IFERROR(__xludf.DUMMYFUNCTION("""COMPUTED_VALUE"""),1)</f>
        <v>1</v>
      </c>
      <c r="K890" s="81">
        <f ca="1">IFERROR(__xludf.DUMMYFUNCTION("""COMPUTED_VALUE"""),0)</f>
        <v>0</v>
      </c>
      <c r="L890" s="81">
        <f ca="1">IFERROR(__xludf.DUMMYFUNCTION("""COMPUTED_VALUE"""),0)</f>
        <v>0</v>
      </c>
      <c r="M890" s="81"/>
      <c r="N890" s="81">
        <f ca="1">IFERROR(__xludf.DUMMYFUNCTION("""COMPUTED_VALUE"""),0)</f>
        <v>0</v>
      </c>
      <c r="O890" s="81"/>
      <c r="P890" s="81">
        <f ca="1">IFERROR(__xludf.DUMMYFUNCTION("""COMPUTED_VALUE"""),0)</f>
        <v>0</v>
      </c>
      <c r="Q890" s="81"/>
      <c r="R890" s="81">
        <f ca="1">IFERROR(__xludf.DUMMYFUNCTION("""COMPUTED_VALUE"""),0)</f>
        <v>0</v>
      </c>
      <c r="S890" s="81"/>
      <c r="T890" s="81"/>
      <c r="U890" s="82"/>
      <c r="V890" s="82"/>
      <c r="W890" s="83"/>
      <c r="X890" s="83"/>
      <c r="Y890" s="83"/>
    </row>
    <row r="891" spans="1:25" ht="13.8">
      <c r="A891" s="78" t="str">
        <f ca="1">IFERROR(__xludf.DUMMYFUNCTION("""COMPUTED_VALUE"""),"HP")</f>
        <v>HP</v>
      </c>
      <c r="B891" s="79" t="str">
        <f ca="1">IFERROR(__xludf.DUMMYFUNCTION("""COMPUTED_VALUE"""),"Lily Coulby")</f>
        <v>Lily Coulby</v>
      </c>
      <c r="C891" s="78">
        <f ca="1">IFERROR(__xludf.DUMMYFUNCTION("""COMPUTED_VALUE"""),12)</f>
        <v>12</v>
      </c>
      <c r="D891" s="78" t="str">
        <f ca="1">IFERROR(__xludf.DUMMYFUNCTION("""COMPUTED_VALUE"""),"G")</f>
        <v>G</v>
      </c>
      <c r="E891" s="80" t="str">
        <f ca="1">IFERROR(__xludf.DUMMYFUNCTION("""COMPUTED_VALUE"""),"J")</f>
        <v>J</v>
      </c>
      <c r="F891" s="80" t="str">
        <f ca="1">IFERROR(__xludf.DUMMYFUNCTION("""COMPUTED_VALUE"""),"I")</f>
        <v>I</v>
      </c>
      <c r="G891" s="80">
        <f ca="1">IFERROR(__xludf.DUMMYFUNCTION("""COMPUTED_VALUE"""),6)</f>
        <v>6</v>
      </c>
      <c r="H891" s="80" t="str">
        <f ca="1">IFERROR(__xludf.DUMMYFUNCTION("""COMPUTED_VALUE"""),"HP")</f>
        <v>HP</v>
      </c>
      <c r="I891" s="80">
        <f ca="1">IFERROR(__xludf.DUMMYFUNCTION("""COMPUTED_VALUE"""),4)</f>
        <v>4</v>
      </c>
      <c r="J891" s="81">
        <f ca="1">IFERROR(__xludf.DUMMYFUNCTION("""COMPUTED_VALUE"""),5)</f>
        <v>5</v>
      </c>
      <c r="K891" s="81">
        <f ca="1">IFERROR(__xludf.DUMMYFUNCTION("""COMPUTED_VALUE"""),85.65)</f>
        <v>85.65</v>
      </c>
      <c r="L891" s="81">
        <f ca="1">IFERROR(__xludf.DUMMYFUNCTION("""COMPUTED_VALUE"""),62.85)</f>
        <v>62.85</v>
      </c>
      <c r="M891" s="81"/>
      <c r="N891" s="81">
        <f ca="1">IFERROR(__xludf.DUMMYFUNCTION("""COMPUTED_VALUE"""),85.65)</f>
        <v>85.65</v>
      </c>
      <c r="O891" s="81"/>
      <c r="P891" s="81">
        <f ca="1">IFERROR(__xludf.DUMMYFUNCTION("""COMPUTED_VALUE"""),84.35)</f>
        <v>84.35</v>
      </c>
      <c r="Q891" s="81"/>
      <c r="R891" s="81">
        <f ca="1">IFERROR(__xludf.DUMMYFUNCTION("""COMPUTED_VALUE"""),80.5)</f>
        <v>80.5</v>
      </c>
      <c r="S891" s="81"/>
      <c r="T891" s="81"/>
      <c r="U891" s="82"/>
      <c r="V891" s="82"/>
      <c r="W891" s="83"/>
      <c r="X891" s="83"/>
      <c r="Y891" s="83"/>
    </row>
    <row r="892" spans="1:25" ht="13.8">
      <c r="A892" s="78" t="str">
        <f ca="1">IFERROR(__xludf.DUMMYFUNCTION("""COMPUTED_VALUE"""),"HP")</f>
        <v>HP</v>
      </c>
      <c r="B892" s="79" t="str">
        <f ca="1">IFERROR(__xludf.DUMMYFUNCTION("""COMPUTED_VALUE"""),"Lina Elbekri")</f>
        <v>Lina Elbekri</v>
      </c>
      <c r="C892" s="78">
        <f ca="1">IFERROR(__xludf.DUMMYFUNCTION("""COMPUTED_VALUE"""),11)</f>
        <v>11</v>
      </c>
      <c r="D892" s="78" t="str">
        <f ca="1">IFERROR(__xludf.DUMMYFUNCTION("""COMPUTED_VALUE"""),"G")</f>
        <v>G</v>
      </c>
      <c r="E892" s="80" t="str">
        <f ca="1">IFERROR(__xludf.DUMMYFUNCTION("""COMPUTED_VALUE"""),"J")</f>
        <v>J</v>
      </c>
      <c r="F892" s="80" t="str">
        <f ca="1">IFERROR(__xludf.DUMMYFUNCTION("""COMPUTED_VALUE"""),"I")</f>
        <v>I</v>
      </c>
      <c r="G892" s="80">
        <f ca="1">IFERROR(__xludf.DUMMYFUNCTION("""COMPUTED_VALUE"""),6)</f>
        <v>6</v>
      </c>
      <c r="H892" s="80" t="str">
        <f ca="1">IFERROR(__xludf.DUMMYFUNCTION("""COMPUTED_VALUE"""),"HP")</f>
        <v>HP</v>
      </c>
      <c r="I892" s="80">
        <f ca="1">IFERROR(__xludf.DUMMYFUNCTION("""COMPUTED_VALUE"""),4)</f>
        <v>4</v>
      </c>
      <c r="J892" s="81">
        <f ca="1">IFERROR(__xludf.DUMMYFUNCTION("""COMPUTED_VALUE"""),4)</f>
        <v>4</v>
      </c>
      <c r="K892" s="81">
        <f ca="1">IFERROR(__xludf.DUMMYFUNCTION("""COMPUTED_VALUE"""),65.2)</f>
        <v>65.2</v>
      </c>
      <c r="L892" s="81">
        <f ca="1">IFERROR(__xludf.DUMMYFUNCTION("""COMPUTED_VALUE"""),52.45)</f>
        <v>52.45</v>
      </c>
      <c r="M892" s="81"/>
      <c r="N892" s="81">
        <f ca="1">IFERROR(__xludf.DUMMYFUNCTION("""COMPUTED_VALUE"""),65.2)</f>
        <v>65.2</v>
      </c>
      <c r="O892" s="81"/>
      <c r="P892" s="81">
        <f ca="1">IFERROR(__xludf.DUMMYFUNCTION("""COMPUTED_VALUE"""),62.55)</f>
        <v>62.55</v>
      </c>
      <c r="Q892" s="81"/>
      <c r="R892" s="81">
        <f ca="1">IFERROR(__xludf.DUMMYFUNCTION("""COMPUTED_VALUE"""),0)</f>
        <v>0</v>
      </c>
      <c r="S892" s="81"/>
      <c r="T892" s="81"/>
      <c r="U892" s="82"/>
      <c r="V892" s="82"/>
      <c r="W892" s="83"/>
      <c r="X892" s="83"/>
      <c r="Y892" s="83"/>
    </row>
    <row r="893" spans="1:25" ht="13.8">
      <c r="A893" s="78" t="str">
        <f ca="1">IFERROR(__xludf.DUMMYFUNCTION("""COMPUTED_VALUE"""),"HP")</f>
        <v>HP</v>
      </c>
      <c r="B893" s="79" t="str">
        <f ca="1">IFERROR(__xludf.DUMMYFUNCTION("""COMPUTED_VALUE"""),"Launa Goodbar")</f>
        <v>Launa Goodbar</v>
      </c>
      <c r="C893" s="78">
        <f ca="1">IFERROR(__xludf.DUMMYFUNCTION("""COMPUTED_VALUE"""),12)</f>
        <v>12</v>
      </c>
      <c r="D893" s="78" t="str">
        <f ca="1">IFERROR(__xludf.DUMMYFUNCTION("""COMPUTED_VALUE"""),"G")</f>
        <v>G</v>
      </c>
      <c r="E893" s="80" t="str">
        <f ca="1">IFERROR(__xludf.DUMMYFUNCTION("""COMPUTED_VALUE"""),"J")</f>
        <v>J</v>
      </c>
      <c r="F893" s="80" t="str">
        <f ca="1">IFERROR(__xludf.DUMMYFUNCTION("""COMPUTED_VALUE"""),"I")</f>
        <v>I</v>
      </c>
      <c r="G893" s="80">
        <f ca="1">IFERROR(__xludf.DUMMYFUNCTION("""COMPUTED_VALUE"""),6)</f>
        <v>6</v>
      </c>
      <c r="H893" s="80" t="str">
        <f ca="1">IFERROR(__xludf.DUMMYFUNCTION("""COMPUTED_VALUE"""),"HP")</f>
        <v>HP</v>
      </c>
      <c r="I893" s="80">
        <f ca="1">IFERROR(__xludf.DUMMYFUNCTION("""COMPUTED_VALUE"""),4)</f>
        <v>4</v>
      </c>
      <c r="J893" s="81">
        <f ca="1">IFERROR(__xludf.DUMMYFUNCTION("""COMPUTED_VALUE"""),1)</f>
        <v>1</v>
      </c>
      <c r="K893" s="81">
        <f ca="1">IFERROR(__xludf.DUMMYFUNCTION("""COMPUTED_VALUE"""),0)</f>
        <v>0</v>
      </c>
      <c r="L893" s="81">
        <f ca="1">IFERROR(__xludf.DUMMYFUNCTION("""COMPUTED_VALUE"""),0)</f>
        <v>0</v>
      </c>
      <c r="M893" s="81"/>
      <c r="N893" s="81">
        <f ca="1">IFERROR(__xludf.DUMMYFUNCTION("""COMPUTED_VALUE"""),0)</f>
        <v>0</v>
      </c>
      <c r="O893" s="81"/>
      <c r="P893" s="81">
        <f ca="1">IFERROR(__xludf.DUMMYFUNCTION("""COMPUTED_VALUE"""),0)</f>
        <v>0</v>
      </c>
      <c r="Q893" s="81"/>
      <c r="R893" s="81">
        <f ca="1">IFERROR(__xludf.DUMMYFUNCTION("""COMPUTED_VALUE"""),0)</f>
        <v>0</v>
      </c>
      <c r="S893" s="81"/>
      <c r="T893" s="81"/>
      <c r="U893" s="82"/>
      <c r="V893" s="82"/>
      <c r="W893" s="83"/>
      <c r="X893" s="83"/>
      <c r="Y893" s="83"/>
    </row>
    <row r="894" spans="1:25" ht="13.8">
      <c r="A894" s="78" t="str">
        <f ca="1">IFERROR(__xludf.DUMMYFUNCTION("""COMPUTED_VALUE"""),"HP")</f>
        <v>HP</v>
      </c>
      <c r="B894" s="79" t="str">
        <f ca="1">IFERROR(__xludf.DUMMYFUNCTION("""COMPUTED_VALUE"""),"Piper Guy")</f>
        <v>Piper Guy</v>
      </c>
      <c r="C894" s="78">
        <f ca="1">IFERROR(__xludf.DUMMYFUNCTION("""COMPUTED_VALUE"""),11)</f>
        <v>11</v>
      </c>
      <c r="D894" s="78" t="str">
        <f ca="1">IFERROR(__xludf.DUMMYFUNCTION("""COMPUTED_VALUE"""),"G")</f>
        <v>G</v>
      </c>
      <c r="E894" s="80" t="str">
        <f ca="1">IFERROR(__xludf.DUMMYFUNCTION("""COMPUTED_VALUE"""),"J")</f>
        <v>J</v>
      </c>
      <c r="F894" s="80" t="str">
        <f ca="1">IFERROR(__xludf.DUMMYFUNCTION("""COMPUTED_VALUE"""),"I")</f>
        <v>I</v>
      </c>
      <c r="G894" s="80">
        <f ca="1">IFERROR(__xludf.DUMMYFUNCTION("""COMPUTED_VALUE"""),6)</f>
        <v>6</v>
      </c>
      <c r="H894" s="80" t="str">
        <f ca="1">IFERROR(__xludf.DUMMYFUNCTION("""COMPUTED_VALUE"""),"HP")</f>
        <v>HP</v>
      </c>
      <c r="I894" s="80">
        <f ca="1">IFERROR(__xludf.DUMMYFUNCTION("""COMPUTED_VALUE"""),4)</f>
        <v>4</v>
      </c>
      <c r="J894" s="81">
        <f ca="1">IFERROR(__xludf.DUMMYFUNCTION("""COMPUTED_VALUE"""),5)</f>
        <v>5</v>
      </c>
      <c r="K894" s="81">
        <f ca="1">IFERROR(__xludf.DUMMYFUNCTION("""COMPUTED_VALUE"""),70.8)</f>
        <v>70.8</v>
      </c>
      <c r="L894" s="81">
        <f ca="1">IFERROR(__xludf.DUMMYFUNCTION("""COMPUTED_VALUE"""),37.95)</f>
        <v>37.950000000000003</v>
      </c>
      <c r="M894" s="81"/>
      <c r="N894" s="81">
        <f ca="1">IFERROR(__xludf.DUMMYFUNCTION("""COMPUTED_VALUE"""),70.55)</f>
        <v>70.55</v>
      </c>
      <c r="O894" s="81"/>
      <c r="P894" s="81">
        <f ca="1">IFERROR(__xludf.DUMMYFUNCTION("""COMPUTED_VALUE"""),70.05)</f>
        <v>70.05</v>
      </c>
      <c r="Q894" s="81"/>
      <c r="R894" s="81">
        <f ca="1">IFERROR(__xludf.DUMMYFUNCTION("""COMPUTED_VALUE"""),70.8)</f>
        <v>70.8</v>
      </c>
      <c r="S894" s="81"/>
      <c r="T894" s="81"/>
      <c r="U894" s="82"/>
      <c r="V894" s="82"/>
      <c r="W894" s="83"/>
      <c r="X894" s="83"/>
      <c r="Y894" s="83"/>
    </row>
    <row r="895" spans="1:25" ht="13.8">
      <c r="A895" s="78" t="str">
        <f ca="1">IFERROR(__xludf.DUMMYFUNCTION("""COMPUTED_VALUE"""),"HP")</f>
        <v>HP</v>
      </c>
      <c r="B895" s="79" t="str">
        <f ca="1">IFERROR(__xludf.DUMMYFUNCTION("""COMPUTED_VALUE"""),"Mabel Margolis")</f>
        <v>Mabel Margolis</v>
      </c>
      <c r="C895" s="78">
        <f ca="1">IFERROR(__xludf.DUMMYFUNCTION("""COMPUTED_VALUE"""),12)</f>
        <v>12</v>
      </c>
      <c r="D895" s="78" t="str">
        <f ca="1">IFERROR(__xludf.DUMMYFUNCTION("""COMPUTED_VALUE"""),"G")</f>
        <v>G</v>
      </c>
      <c r="E895" s="80" t="str">
        <f ca="1">IFERROR(__xludf.DUMMYFUNCTION("""COMPUTED_VALUE"""),"J")</f>
        <v>J</v>
      </c>
      <c r="F895" s="80" t="str">
        <f ca="1">IFERROR(__xludf.DUMMYFUNCTION("""COMPUTED_VALUE"""),"I")</f>
        <v>I</v>
      </c>
      <c r="G895" s="80">
        <f ca="1">IFERROR(__xludf.DUMMYFUNCTION("""COMPUTED_VALUE"""),6)</f>
        <v>6</v>
      </c>
      <c r="H895" s="80" t="str">
        <f ca="1">IFERROR(__xludf.DUMMYFUNCTION("""COMPUTED_VALUE"""),"HP")</f>
        <v>HP</v>
      </c>
      <c r="I895" s="80">
        <f ca="1">IFERROR(__xludf.DUMMYFUNCTION("""COMPUTED_VALUE"""),4)</f>
        <v>4</v>
      </c>
      <c r="J895" s="81">
        <f ca="1">IFERROR(__xludf.DUMMYFUNCTION("""COMPUTED_VALUE"""),4)</f>
        <v>4</v>
      </c>
      <c r="K895" s="81">
        <f ca="1">IFERROR(__xludf.DUMMYFUNCTION("""COMPUTED_VALUE"""),71.65)</f>
        <v>71.650000000000006</v>
      </c>
      <c r="L895" s="81">
        <f ca="1">IFERROR(__xludf.DUMMYFUNCTION("""COMPUTED_VALUE"""),54.25)</f>
        <v>54.25</v>
      </c>
      <c r="M895" s="81"/>
      <c r="N895" s="81">
        <f ca="1">IFERROR(__xludf.DUMMYFUNCTION("""COMPUTED_VALUE"""),71.65)</f>
        <v>71.650000000000006</v>
      </c>
      <c r="O895" s="81"/>
      <c r="P895" s="81">
        <f ca="1">IFERROR(__xludf.DUMMYFUNCTION("""COMPUTED_VALUE"""),0)</f>
        <v>0</v>
      </c>
      <c r="Q895" s="81"/>
      <c r="R895" s="81">
        <f ca="1">IFERROR(__xludf.DUMMYFUNCTION("""COMPUTED_VALUE"""),71.3)</f>
        <v>71.3</v>
      </c>
      <c r="S895" s="81"/>
      <c r="T895" s="81"/>
      <c r="U895" s="82"/>
      <c r="V895" s="82"/>
      <c r="W895" s="83"/>
      <c r="X895" s="83"/>
      <c r="Y895" s="83"/>
    </row>
    <row r="896" spans="1:25" ht="13.8">
      <c r="A896" s="78" t="str">
        <f ca="1">IFERROR(__xludf.DUMMYFUNCTION("""COMPUTED_VALUE"""),"HP")</f>
        <v>HP</v>
      </c>
      <c r="B896" s="79" t="str">
        <f ca="1">IFERROR(__xludf.DUMMYFUNCTION("""COMPUTED_VALUE"""),"Nate Anderson")</f>
        <v>Nate Anderson</v>
      </c>
      <c r="C896" s="78">
        <f ca="1">IFERROR(__xludf.DUMMYFUNCTION("""COMPUTED_VALUE"""),12)</f>
        <v>12</v>
      </c>
      <c r="D896" s="78" t="str">
        <f ca="1">IFERROR(__xludf.DUMMYFUNCTION("""COMPUTED_VALUE"""),"B")</f>
        <v>B</v>
      </c>
      <c r="E896" s="80" t="str">
        <f ca="1">IFERROR(__xludf.DUMMYFUNCTION("""COMPUTED_VALUE"""),"J")</f>
        <v>J</v>
      </c>
      <c r="F896" s="80" t="str">
        <f ca="1">IFERROR(__xludf.DUMMYFUNCTION("""COMPUTED_VALUE"""),"I")</f>
        <v>I</v>
      </c>
      <c r="G896" s="80">
        <f ca="1">IFERROR(__xludf.DUMMYFUNCTION("""COMPUTED_VALUE"""),6)</f>
        <v>6</v>
      </c>
      <c r="H896" s="80" t="str">
        <f ca="1">IFERROR(__xludf.DUMMYFUNCTION("""COMPUTED_VALUE"""),"HP")</f>
        <v>HP</v>
      </c>
      <c r="I896" s="80">
        <f ca="1">IFERROR(__xludf.DUMMYFUNCTION("""COMPUTED_VALUE"""),5)</f>
        <v>5</v>
      </c>
      <c r="J896" s="81">
        <f ca="1">IFERROR(__xludf.DUMMYFUNCTION("""COMPUTED_VALUE"""),4)</f>
        <v>4</v>
      </c>
      <c r="K896" s="81">
        <f ca="1">IFERROR(__xludf.DUMMYFUNCTION("""COMPUTED_VALUE"""),51.65)</f>
        <v>51.65</v>
      </c>
      <c r="L896" s="81">
        <f ca="1">IFERROR(__xludf.DUMMYFUNCTION("""COMPUTED_VALUE"""),25.55)</f>
        <v>25.55</v>
      </c>
      <c r="M896" s="81"/>
      <c r="N896" s="81">
        <f ca="1">IFERROR(__xludf.DUMMYFUNCTION("""COMPUTED_VALUE"""),51.65)</f>
        <v>51.65</v>
      </c>
      <c r="O896" s="81"/>
      <c r="P896" s="81">
        <f ca="1">IFERROR(__xludf.DUMMYFUNCTION("""COMPUTED_VALUE"""),-59.95)</f>
        <v>-59.95</v>
      </c>
      <c r="Q896" s="81"/>
      <c r="R896" s="81">
        <f ca="1">IFERROR(__xludf.DUMMYFUNCTION("""COMPUTED_VALUE"""),31.3)</f>
        <v>31.3</v>
      </c>
      <c r="S896" s="81"/>
      <c r="T896" s="81"/>
      <c r="U896" s="82"/>
      <c r="V896" s="82"/>
      <c r="W896" s="83"/>
      <c r="X896" s="83"/>
      <c r="Y896" s="83"/>
    </row>
    <row r="897" spans="1:25" ht="13.8">
      <c r="A897" s="78" t="str">
        <f ca="1">IFERROR(__xludf.DUMMYFUNCTION("""COMPUTED_VALUE"""),"HP")</f>
        <v>HP</v>
      </c>
      <c r="B897" s="79" t="str">
        <f ca="1">IFERROR(__xludf.DUMMYFUNCTION("""COMPUTED_VALUE"""),"Tobias Damico Lassman")</f>
        <v>Tobias Damico Lassman</v>
      </c>
      <c r="C897" s="78">
        <f ca="1">IFERROR(__xludf.DUMMYFUNCTION("""COMPUTED_VALUE"""),12)</f>
        <v>12</v>
      </c>
      <c r="D897" s="78" t="str">
        <f ca="1">IFERROR(__xludf.DUMMYFUNCTION("""COMPUTED_VALUE"""),"B")</f>
        <v>B</v>
      </c>
      <c r="E897" s="80" t="str">
        <f ca="1">IFERROR(__xludf.DUMMYFUNCTION("""COMPUTED_VALUE"""),"J")</f>
        <v>J</v>
      </c>
      <c r="F897" s="80" t="str">
        <f ca="1">IFERROR(__xludf.DUMMYFUNCTION("""COMPUTED_VALUE"""),"I")</f>
        <v>I</v>
      </c>
      <c r="G897" s="80">
        <f ca="1">IFERROR(__xludf.DUMMYFUNCTION("""COMPUTED_VALUE"""),6)</f>
        <v>6</v>
      </c>
      <c r="H897" s="80" t="str">
        <f ca="1">IFERROR(__xludf.DUMMYFUNCTION("""COMPUTED_VALUE"""),"HP")</f>
        <v>HP</v>
      </c>
      <c r="I897" s="80">
        <f ca="1">IFERROR(__xludf.DUMMYFUNCTION("""COMPUTED_VALUE"""),5)</f>
        <v>5</v>
      </c>
      <c r="J897" s="81">
        <f ca="1">IFERROR(__xludf.DUMMYFUNCTION("""COMPUTED_VALUE"""),1)</f>
        <v>1</v>
      </c>
      <c r="K897" s="81">
        <f ca="1">IFERROR(__xludf.DUMMYFUNCTION("""COMPUTED_VALUE"""),85.15)</f>
        <v>85.15</v>
      </c>
      <c r="L897" s="81">
        <f ca="1">IFERROR(__xludf.DUMMYFUNCTION("""COMPUTED_VALUE"""),85.15)</f>
        <v>85.15</v>
      </c>
      <c r="M897" s="81"/>
      <c r="N897" s="81">
        <f ca="1">IFERROR(__xludf.DUMMYFUNCTION("""COMPUTED_VALUE"""),0)</f>
        <v>0</v>
      </c>
      <c r="O897" s="81"/>
      <c r="P897" s="81">
        <f ca="1">IFERROR(__xludf.DUMMYFUNCTION("""COMPUTED_VALUE"""),0)</f>
        <v>0</v>
      </c>
      <c r="Q897" s="81"/>
      <c r="R897" s="81">
        <f ca="1">IFERROR(__xludf.DUMMYFUNCTION("""COMPUTED_VALUE"""),0)</f>
        <v>0</v>
      </c>
      <c r="S897" s="81"/>
      <c r="T897" s="81"/>
      <c r="U897" s="82"/>
      <c r="V897" s="82"/>
      <c r="W897" s="83"/>
      <c r="X897" s="83"/>
      <c r="Y897" s="83"/>
    </row>
    <row r="898" spans="1:25" ht="13.8">
      <c r="A898" s="78" t="str">
        <f ca="1">IFERROR(__xludf.DUMMYFUNCTION("""COMPUTED_VALUE"""),"HP")</f>
        <v>HP</v>
      </c>
      <c r="B898" s="79" t="str">
        <f ca="1">IFERROR(__xludf.DUMMYFUNCTION("""COMPUTED_VALUE"""),"Karsten Tregaskis Gordon")</f>
        <v>Karsten Tregaskis Gordon</v>
      </c>
      <c r="C898" s="78">
        <f ca="1">IFERROR(__xludf.DUMMYFUNCTION("""COMPUTED_VALUE"""),11)</f>
        <v>11</v>
      </c>
      <c r="D898" s="78" t="str">
        <f ca="1">IFERROR(__xludf.DUMMYFUNCTION("""COMPUTED_VALUE"""),"B")</f>
        <v>B</v>
      </c>
      <c r="E898" s="80" t="str">
        <f ca="1">IFERROR(__xludf.DUMMYFUNCTION("""COMPUTED_VALUE"""),"J")</f>
        <v>J</v>
      </c>
      <c r="F898" s="80" t="str">
        <f ca="1">IFERROR(__xludf.DUMMYFUNCTION("""COMPUTED_VALUE"""),"I")</f>
        <v>I</v>
      </c>
      <c r="G898" s="80">
        <f ca="1">IFERROR(__xludf.DUMMYFUNCTION("""COMPUTED_VALUE"""),6)</f>
        <v>6</v>
      </c>
      <c r="H898" s="80" t="str">
        <f ca="1">IFERROR(__xludf.DUMMYFUNCTION("""COMPUTED_VALUE"""),"HP")</f>
        <v>HP</v>
      </c>
      <c r="I898" s="80">
        <f ca="1">IFERROR(__xludf.DUMMYFUNCTION("""COMPUTED_VALUE"""),5)</f>
        <v>5</v>
      </c>
      <c r="J898" s="81">
        <f ca="1">IFERROR(__xludf.DUMMYFUNCTION("""COMPUTED_VALUE"""),4)</f>
        <v>4</v>
      </c>
      <c r="K898" s="81">
        <f ca="1">IFERROR(__xludf.DUMMYFUNCTION("""COMPUTED_VALUE"""),67.85)</f>
        <v>67.849999999999994</v>
      </c>
      <c r="L898" s="81">
        <f ca="1">IFERROR(__xludf.DUMMYFUNCTION("""COMPUTED_VALUE"""),51.65)</f>
        <v>51.65</v>
      </c>
      <c r="M898" s="81"/>
      <c r="N898" s="81">
        <f ca="1">IFERROR(__xludf.DUMMYFUNCTION("""COMPUTED_VALUE"""),67.85)</f>
        <v>67.849999999999994</v>
      </c>
      <c r="O898" s="81"/>
      <c r="P898" s="81">
        <f ca="1">IFERROR(__xludf.DUMMYFUNCTION("""COMPUTED_VALUE"""),0)</f>
        <v>0</v>
      </c>
      <c r="Q898" s="81"/>
      <c r="R898" s="81">
        <f ca="1">IFERROR(__xludf.DUMMYFUNCTION("""COMPUTED_VALUE"""),53.95)</f>
        <v>53.95</v>
      </c>
      <c r="S898" s="81"/>
      <c r="T898" s="81"/>
      <c r="U898" s="82"/>
      <c r="V898" s="82"/>
      <c r="W898" s="83"/>
      <c r="X898" s="83"/>
      <c r="Y898" s="83"/>
    </row>
    <row r="899" spans="1:25" ht="13.8">
      <c r="A899" s="78" t="str">
        <f ca="1">IFERROR(__xludf.DUMMYFUNCTION("""COMPUTED_VALUE"""),"HP")</f>
        <v>HP</v>
      </c>
      <c r="B899" s="79" t="str">
        <f ca="1">IFERROR(__xludf.DUMMYFUNCTION("""COMPUTED_VALUE"""),"Ginny Coulby")</f>
        <v>Ginny Coulby</v>
      </c>
      <c r="C899" s="78">
        <f ca="1">IFERROR(__xludf.DUMMYFUNCTION("""COMPUTED_VALUE"""),14)</f>
        <v>14</v>
      </c>
      <c r="D899" s="78" t="str">
        <f ca="1">IFERROR(__xludf.DUMMYFUNCTION("""COMPUTED_VALUE"""),"G")</f>
        <v>G</v>
      </c>
      <c r="E899" s="80" t="str">
        <f ca="1">IFERROR(__xludf.DUMMYFUNCTION("""COMPUTED_VALUE"""),"I")</f>
        <v>I</v>
      </c>
      <c r="F899" s="80" t="str">
        <f ca="1">IFERROR(__xludf.DUMMYFUNCTION("""COMPUTED_VALUE"""),"S")</f>
        <v>S</v>
      </c>
      <c r="G899" s="80">
        <f ca="1">IFERROR(__xludf.DUMMYFUNCTION("""COMPUTED_VALUE"""),6)</f>
        <v>6</v>
      </c>
      <c r="H899" s="80" t="str">
        <f ca="1">IFERROR(__xludf.DUMMYFUNCTION("""COMPUTED_VALUE"""),"HP")</f>
        <v>HP</v>
      </c>
      <c r="I899" s="80">
        <f ca="1">IFERROR(__xludf.DUMMYFUNCTION("""COMPUTED_VALUE"""),6)</f>
        <v>6</v>
      </c>
      <c r="J899" s="81">
        <f ca="1">IFERROR(__xludf.DUMMYFUNCTION("""COMPUTED_VALUE"""),5)</f>
        <v>5</v>
      </c>
      <c r="K899" s="81">
        <f ca="1">IFERROR(__xludf.DUMMYFUNCTION("""COMPUTED_VALUE"""),114.55)</f>
        <v>114.55</v>
      </c>
      <c r="L899" s="81">
        <f ca="1">IFERROR(__xludf.DUMMYFUNCTION("""COMPUTED_VALUE"""),103)</f>
        <v>103</v>
      </c>
      <c r="M899" s="81"/>
      <c r="N899" s="81">
        <f ca="1">IFERROR(__xludf.DUMMYFUNCTION("""COMPUTED_VALUE"""),114.55)</f>
        <v>114.55</v>
      </c>
      <c r="O899" s="81"/>
      <c r="P899" s="81">
        <f ca="1">IFERROR(__xludf.DUMMYFUNCTION("""COMPUTED_VALUE"""),107.25)</f>
        <v>107.25</v>
      </c>
      <c r="Q899" s="81"/>
      <c r="R899" s="81">
        <f ca="1">IFERROR(__xludf.DUMMYFUNCTION("""COMPUTED_VALUE"""),107)</f>
        <v>107</v>
      </c>
      <c r="S899" s="81"/>
      <c r="T899" s="81"/>
      <c r="U899" s="82"/>
      <c r="V899" s="82"/>
      <c r="W899" s="83"/>
      <c r="X899" s="83"/>
      <c r="Y899" s="83"/>
    </row>
    <row r="900" spans="1:25" ht="13.8">
      <c r="A900" s="78" t="str">
        <f ca="1">IFERROR(__xludf.DUMMYFUNCTION("""COMPUTED_VALUE"""),"HP")</f>
        <v>HP</v>
      </c>
      <c r="B900" s="79" t="str">
        <f ca="1">IFERROR(__xludf.DUMMYFUNCTION("""COMPUTED_VALUE"""),"Josephine Damico Lassman")</f>
        <v>Josephine Damico Lassman</v>
      </c>
      <c r="C900" s="78">
        <f ca="1">IFERROR(__xludf.DUMMYFUNCTION("""COMPUTED_VALUE"""),14)</f>
        <v>14</v>
      </c>
      <c r="D900" s="78" t="str">
        <f ca="1">IFERROR(__xludf.DUMMYFUNCTION("""COMPUTED_VALUE"""),"G")</f>
        <v>G</v>
      </c>
      <c r="E900" s="80" t="str">
        <f ca="1">IFERROR(__xludf.DUMMYFUNCTION("""COMPUTED_VALUE"""),"I")</f>
        <v>I</v>
      </c>
      <c r="F900" s="80" t="str">
        <f ca="1">IFERROR(__xludf.DUMMYFUNCTION("""COMPUTED_VALUE"""),"S")</f>
        <v>S</v>
      </c>
      <c r="G900" s="80">
        <f ca="1">IFERROR(__xludf.DUMMYFUNCTION("""COMPUTED_VALUE"""),6)</f>
        <v>6</v>
      </c>
      <c r="H900" s="80" t="str">
        <f ca="1">IFERROR(__xludf.DUMMYFUNCTION("""COMPUTED_VALUE"""),"HP")</f>
        <v>HP</v>
      </c>
      <c r="I900" s="80">
        <f ca="1">IFERROR(__xludf.DUMMYFUNCTION("""COMPUTED_VALUE"""),6)</f>
        <v>6</v>
      </c>
      <c r="J900" s="81">
        <f ca="1">IFERROR(__xludf.DUMMYFUNCTION("""COMPUTED_VALUE"""),5)</f>
        <v>5</v>
      </c>
      <c r="K900" s="81">
        <f ca="1">IFERROR(__xludf.DUMMYFUNCTION("""COMPUTED_VALUE"""),119.55)</f>
        <v>119.55</v>
      </c>
      <c r="L900" s="81">
        <f ca="1">IFERROR(__xludf.DUMMYFUNCTION("""COMPUTED_VALUE"""),104.35)</f>
        <v>104.35</v>
      </c>
      <c r="M900" s="81"/>
      <c r="N900" s="81">
        <f ca="1">IFERROR(__xludf.DUMMYFUNCTION("""COMPUTED_VALUE"""),114)</f>
        <v>114</v>
      </c>
      <c r="O900" s="81"/>
      <c r="P900" s="81">
        <f ca="1">IFERROR(__xludf.DUMMYFUNCTION("""COMPUTED_VALUE"""),119.55)</f>
        <v>119.55</v>
      </c>
      <c r="Q900" s="81"/>
      <c r="R900" s="81">
        <f ca="1">IFERROR(__xludf.DUMMYFUNCTION("""COMPUTED_VALUE"""),102.1)</f>
        <v>102.1</v>
      </c>
      <c r="S900" s="81"/>
      <c r="T900" s="81"/>
      <c r="U900" s="82"/>
      <c r="V900" s="82"/>
      <c r="W900" s="83"/>
      <c r="X900" s="83"/>
      <c r="Y900" s="83"/>
    </row>
    <row r="901" spans="1:25" ht="13.8">
      <c r="A901" s="78" t="str">
        <f ca="1">IFERROR(__xludf.DUMMYFUNCTION("""COMPUTED_VALUE"""),"HP")</f>
        <v>HP</v>
      </c>
      <c r="B901" s="79" t="str">
        <f ca="1">IFERROR(__xludf.DUMMYFUNCTION("""COMPUTED_VALUE"""),"Mac Coulby")</f>
        <v>Mac Coulby</v>
      </c>
      <c r="C901" s="78">
        <f ca="1">IFERROR(__xludf.DUMMYFUNCTION("""COMPUTED_VALUE"""),14)</f>
        <v>14</v>
      </c>
      <c r="D901" s="78" t="str">
        <f ca="1">IFERROR(__xludf.DUMMYFUNCTION("""COMPUTED_VALUE"""),"B")</f>
        <v>B</v>
      </c>
      <c r="E901" s="80" t="str">
        <f ca="1">IFERROR(__xludf.DUMMYFUNCTION("""COMPUTED_VALUE"""),"I")</f>
        <v>I</v>
      </c>
      <c r="F901" s="80" t="str">
        <f ca="1">IFERROR(__xludf.DUMMYFUNCTION("""COMPUTED_VALUE"""),"S")</f>
        <v>S</v>
      </c>
      <c r="G901" s="80">
        <f ca="1">IFERROR(__xludf.DUMMYFUNCTION("""COMPUTED_VALUE"""),6)</f>
        <v>6</v>
      </c>
      <c r="H901" s="80" t="str">
        <f ca="1">IFERROR(__xludf.DUMMYFUNCTION("""COMPUTED_VALUE"""),"HP")</f>
        <v>HP</v>
      </c>
      <c r="I901" s="80">
        <f ca="1">IFERROR(__xludf.DUMMYFUNCTION("""COMPUTED_VALUE"""),7)</f>
        <v>7</v>
      </c>
      <c r="J901" s="81">
        <f ca="1">IFERROR(__xludf.DUMMYFUNCTION("""COMPUTED_VALUE"""),3)</f>
        <v>3</v>
      </c>
      <c r="K901" s="81">
        <f ca="1">IFERROR(__xludf.DUMMYFUNCTION("""COMPUTED_VALUE"""),114.95)</f>
        <v>114.95</v>
      </c>
      <c r="L901" s="81">
        <f ca="1">IFERROR(__xludf.DUMMYFUNCTION("""COMPUTED_VALUE"""),110.25)</f>
        <v>110.25</v>
      </c>
      <c r="M901" s="81"/>
      <c r="N901" s="81">
        <f ca="1">IFERROR(__xludf.DUMMYFUNCTION("""COMPUTED_VALUE"""),114.95)</f>
        <v>114.95</v>
      </c>
      <c r="O901" s="81"/>
      <c r="P901" s="81">
        <f ca="1">IFERROR(__xludf.DUMMYFUNCTION("""COMPUTED_VALUE"""),0)</f>
        <v>0</v>
      </c>
      <c r="Q901" s="81"/>
      <c r="R901" s="81">
        <f ca="1">IFERROR(__xludf.DUMMYFUNCTION("""COMPUTED_VALUE"""),0)</f>
        <v>0</v>
      </c>
      <c r="S901" s="81"/>
      <c r="T901" s="81"/>
      <c r="U901" s="82"/>
      <c r="V901" s="82"/>
      <c r="W901" s="83"/>
      <c r="X901" s="83"/>
      <c r="Y901" s="83"/>
    </row>
    <row r="902" spans="1:25" ht="13.8">
      <c r="A902" s="78" t="str">
        <f ca="1">IFERROR(__xludf.DUMMYFUNCTION("""COMPUTED_VALUE"""),"HP")</f>
        <v>HP</v>
      </c>
      <c r="B902" s="79" t="str">
        <f ca="1">IFERROR(__xludf.DUMMYFUNCTION("""COMPUTED_VALUE"""),"Desmond Damico Lassman")</f>
        <v>Desmond Damico Lassman</v>
      </c>
      <c r="C902" s="78">
        <f ca="1">IFERROR(__xludf.DUMMYFUNCTION("""COMPUTED_VALUE"""),14)</f>
        <v>14</v>
      </c>
      <c r="D902" s="78" t="str">
        <f ca="1">IFERROR(__xludf.DUMMYFUNCTION("""COMPUTED_VALUE"""),"B")</f>
        <v>B</v>
      </c>
      <c r="E902" s="80" t="str">
        <f ca="1">IFERROR(__xludf.DUMMYFUNCTION("""COMPUTED_VALUE"""),"I")</f>
        <v>I</v>
      </c>
      <c r="F902" s="80" t="str">
        <f ca="1">IFERROR(__xludf.DUMMYFUNCTION("""COMPUTED_VALUE"""),"S")</f>
        <v>S</v>
      </c>
      <c r="G902" s="80">
        <f ca="1">IFERROR(__xludf.DUMMYFUNCTION("""COMPUTED_VALUE"""),6)</f>
        <v>6</v>
      </c>
      <c r="H902" s="80" t="str">
        <f ca="1">IFERROR(__xludf.DUMMYFUNCTION("""COMPUTED_VALUE"""),"HP")</f>
        <v>HP</v>
      </c>
      <c r="I902" s="80">
        <f ca="1">IFERROR(__xludf.DUMMYFUNCTION("""COMPUTED_VALUE"""),7)</f>
        <v>7</v>
      </c>
      <c r="J902" s="81">
        <f ca="1">IFERROR(__xludf.DUMMYFUNCTION("""COMPUTED_VALUE"""),5)</f>
        <v>5</v>
      </c>
      <c r="K902" s="81">
        <f ca="1">IFERROR(__xludf.DUMMYFUNCTION("""COMPUTED_VALUE"""),111.85)</f>
        <v>111.85</v>
      </c>
      <c r="L902" s="81">
        <f ca="1">IFERROR(__xludf.DUMMYFUNCTION("""COMPUTED_VALUE"""),110)</f>
        <v>110</v>
      </c>
      <c r="M902" s="81"/>
      <c r="N902" s="81">
        <f ca="1">IFERROR(__xludf.DUMMYFUNCTION("""COMPUTED_VALUE"""),111.85)</f>
        <v>111.85</v>
      </c>
      <c r="O902" s="81"/>
      <c r="P902" s="81">
        <f ca="1">IFERROR(__xludf.DUMMYFUNCTION("""COMPUTED_VALUE"""),111.5)</f>
        <v>111.5</v>
      </c>
      <c r="Q902" s="81"/>
      <c r="R902" s="81">
        <f ca="1">IFERROR(__xludf.DUMMYFUNCTION("""COMPUTED_VALUE"""),103.75)</f>
        <v>103.75</v>
      </c>
      <c r="S902" s="81"/>
      <c r="T902" s="81"/>
      <c r="U902" s="82"/>
      <c r="V902" s="82"/>
      <c r="W902" s="83"/>
      <c r="X902" s="83"/>
      <c r="Y902" s="83"/>
    </row>
    <row r="903" spans="1:25" ht="13.8">
      <c r="A903" s="78" t="str">
        <f ca="1">IFERROR(__xludf.DUMMYFUNCTION("""COMPUTED_VALUE"""),"HP")</f>
        <v>HP</v>
      </c>
      <c r="B903" s="79" t="str">
        <f ca="1">IFERROR(__xludf.DUMMYFUNCTION("""COMPUTED_VALUE"""),"Esme Damico Lassman")</f>
        <v>Esme Damico Lassman</v>
      </c>
      <c r="C903" s="78">
        <f ca="1">IFERROR(__xludf.DUMMYFUNCTION("""COMPUTED_VALUE"""),16)</f>
        <v>16</v>
      </c>
      <c r="D903" s="78" t="str">
        <f ca="1">IFERROR(__xludf.DUMMYFUNCTION("""COMPUTED_VALUE"""),"G")</f>
        <v>G</v>
      </c>
      <c r="E903" s="80" t="str">
        <f ca="1">IFERROR(__xludf.DUMMYFUNCTION("""COMPUTED_VALUE"""),"S")</f>
        <v>S</v>
      </c>
      <c r="F903" s="80" t="str">
        <f ca="1">IFERROR(__xludf.DUMMYFUNCTION("""COMPUTED_VALUE"""),"S")</f>
        <v>S</v>
      </c>
      <c r="G903" s="80">
        <f ca="1">IFERROR(__xludf.DUMMYFUNCTION("""COMPUTED_VALUE"""),6)</f>
        <v>6</v>
      </c>
      <c r="H903" s="80" t="str">
        <f ca="1">IFERROR(__xludf.DUMMYFUNCTION("""COMPUTED_VALUE"""),"HP")</f>
        <v>HP</v>
      </c>
      <c r="I903" s="80">
        <f ca="1">IFERROR(__xludf.DUMMYFUNCTION("""COMPUTED_VALUE"""),8)</f>
        <v>8</v>
      </c>
      <c r="J903" s="81">
        <f ca="1">IFERROR(__xludf.DUMMYFUNCTION("""COMPUTED_VALUE"""),4)</f>
        <v>4</v>
      </c>
      <c r="K903" s="81">
        <f ca="1">IFERROR(__xludf.DUMMYFUNCTION("""COMPUTED_VALUE"""),160.5)</f>
        <v>160.5</v>
      </c>
      <c r="L903" s="81">
        <f ca="1">IFERROR(__xludf.DUMMYFUNCTION("""COMPUTED_VALUE"""),123.85)</f>
        <v>123.85</v>
      </c>
      <c r="M903" s="81"/>
      <c r="N903" s="81">
        <f ca="1">IFERROR(__xludf.DUMMYFUNCTION("""COMPUTED_VALUE"""),137.7)</f>
        <v>137.69999999999999</v>
      </c>
      <c r="O903" s="81"/>
      <c r="P903" s="81">
        <f ca="1">IFERROR(__xludf.DUMMYFUNCTION("""COMPUTED_VALUE"""),160.5)</f>
        <v>160.5</v>
      </c>
      <c r="Q903" s="81"/>
      <c r="R903" s="81">
        <f ca="1">IFERROR(__xludf.DUMMYFUNCTION("""COMPUTED_VALUE"""),140.7)</f>
        <v>140.69999999999999</v>
      </c>
      <c r="S903" s="81"/>
      <c r="T903" s="81"/>
      <c r="U903" s="82"/>
      <c r="V903" s="82"/>
      <c r="W903" s="83"/>
      <c r="X903" s="83"/>
      <c r="Y903" s="83"/>
    </row>
    <row r="904" spans="1:25" ht="13.8">
      <c r="A904" s="78" t="str">
        <f ca="1">IFERROR(__xludf.DUMMYFUNCTION("""COMPUTED_VALUE"""),"HP")</f>
        <v>HP</v>
      </c>
      <c r="B904" s="79" t="str">
        <f ca="1">IFERROR(__xludf.DUMMYFUNCTION("""COMPUTED_VALUE"""),"Emily Townsend")</f>
        <v>Emily Townsend</v>
      </c>
      <c r="C904" s="78">
        <f ca="1">IFERROR(__xludf.DUMMYFUNCTION("""COMPUTED_VALUE"""),17)</f>
        <v>17</v>
      </c>
      <c r="D904" s="78" t="str">
        <f ca="1">IFERROR(__xludf.DUMMYFUNCTION("""COMPUTED_VALUE"""),"G")</f>
        <v>G</v>
      </c>
      <c r="E904" s="80" t="str">
        <f ca="1">IFERROR(__xludf.DUMMYFUNCTION("""COMPUTED_VALUE"""),"S")</f>
        <v>S</v>
      </c>
      <c r="F904" s="80" t="str">
        <f ca="1">IFERROR(__xludf.DUMMYFUNCTION("""COMPUTED_VALUE"""),"S")</f>
        <v>S</v>
      </c>
      <c r="G904" s="80">
        <f ca="1">IFERROR(__xludf.DUMMYFUNCTION("""COMPUTED_VALUE"""),6)</f>
        <v>6</v>
      </c>
      <c r="H904" s="80" t="str">
        <f ca="1">IFERROR(__xludf.DUMMYFUNCTION("""COMPUTED_VALUE"""),"HP")</f>
        <v>HP</v>
      </c>
      <c r="I904" s="80">
        <f ca="1">IFERROR(__xludf.DUMMYFUNCTION("""COMPUTED_VALUE"""),8)</f>
        <v>8</v>
      </c>
      <c r="J904" s="81">
        <f ca="1">IFERROR(__xludf.DUMMYFUNCTION("""COMPUTED_VALUE"""),5)</f>
        <v>5</v>
      </c>
      <c r="K904" s="81">
        <f ca="1">IFERROR(__xludf.DUMMYFUNCTION("""COMPUTED_VALUE"""),141.2)</f>
        <v>141.19999999999999</v>
      </c>
      <c r="L904" s="81">
        <f ca="1">IFERROR(__xludf.DUMMYFUNCTION("""COMPUTED_VALUE"""),89.5)</f>
        <v>89.5</v>
      </c>
      <c r="M904" s="81"/>
      <c r="N904" s="81">
        <f ca="1">IFERROR(__xludf.DUMMYFUNCTION("""COMPUTED_VALUE"""),141.2)</f>
        <v>141.19999999999999</v>
      </c>
      <c r="O904" s="81"/>
      <c r="P904" s="81">
        <f ca="1">IFERROR(__xludf.DUMMYFUNCTION("""COMPUTED_VALUE"""),102.85)</f>
        <v>102.85</v>
      </c>
      <c r="Q904" s="81"/>
      <c r="R904" s="81">
        <f ca="1">IFERROR(__xludf.DUMMYFUNCTION("""COMPUTED_VALUE"""),121.75)</f>
        <v>121.75</v>
      </c>
      <c r="S904" s="81"/>
      <c r="T904" s="81"/>
      <c r="U904" s="82"/>
      <c r="V904" s="82"/>
      <c r="W904" s="83"/>
      <c r="X904" s="83"/>
      <c r="Y904" s="83"/>
    </row>
    <row r="905" spans="1:25" ht="13.8">
      <c r="A905" s="78" t="str">
        <f ca="1">IFERROR(__xludf.DUMMYFUNCTION("""COMPUTED_VALUE"""),"HP")</f>
        <v>HP</v>
      </c>
      <c r="B905" s="79" t="str">
        <f ca="1">IFERROR(__xludf.DUMMYFUNCTION("""COMPUTED_VALUE"""),"Jackson Bertman")</f>
        <v>Jackson Bertman</v>
      </c>
      <c r="C905" s="78">
        <f ca="1">IFERROR(__xludf.DUMMYFUNCTION("""COMPUTED_VALUE"""),16)</f>
        <v>16</v>
      </c>
      <c r="D905" s="78" t="str">
        <f ca="1">IFERROR(__xludf.DUMMYFUNCTION("""COMPUTED_VALUE"""),"B")</f>
        <v>B</v>
      </c>
      <c r="E905" s="80" t="str">
        <f ca="1">IFERROR(__xludf.DUMMYFUNCTION("""COMPUTED_VALUE"""),"S")</f>
        <v>S</v>
      </c>
      <c r="F905" s="80" t="str">
        <f ca="1">IFERROR(__xludf.DUMMYFUNCTION("""COMPUTED_VALUE"""),"S")</f>
        <v>S</v>
      </c>
      <c r="G905" s="80">
        <f ca="1">IFERROR(__xludf.DUMMYFUNCTION("""COMPUTED_VALUE"""),6)</f>
        <v>6</v>
      </c>
      <c r="H905" s="80" t="str">
        <f ca="1">IFERROR(__xludf.DUMMYFUNCTION("""COMPUTED_VALUE"""),"HP")</f>
        <v>HP</v>
      </c>
      <c r="I905" s="80">
        <f ca="1">IFERROR(__xludf.DUMMYFUNCTION("""COMPUTED_VALUE"""),9)</f>
        <v>9</v>
      </c>
      <c r="J905" s="81">
        <f ca="1">IFERROR(__xludf.DUMMYFUNCTION("""COMPUTED_VALUE"""),5)</f>
        <v>5</v>
      </c>
      <c r="K905" s="81">
        <f ca="1">IFERROR(__xludf.DUMMYFUNCTION("""COMPUTED_VALUE"""),202.6)</f>
        <v>202.6</v>
      </c>
      <c r="L905" s="81">
        <f ca="1">IFERROR(__xludf.DUMMYFUNCTION("""COMPUTED_VALUE"""),169.2)</f>
        <v>169.2</v>
      </c>
      <c r="M905" s="81"/>
      <c r="N905" s="81">
        <f ca="1">IFERROR(__xludf.DUMMYFUNCTION("""COMPUTED_VALUE"""),176.55)</f>
        <v>176.55</v>
      </c>
      <c r="O905" s="81"/>
      <c r="P905" s="81">
        <f ca="1">IFERROR(__xludf.DUMMYFUNCTION("""COMPUTED_VALUE"""),202.6)</f>
        <v>202.6</v>
      </c>
      <c r="Q905" s="81"/>
      <c r="R905" s="81">
        <f ca="1">IFERROR(__xludf.DUMMYFUNCTION("""COMPUTED_VALUE"""),185.3)</f>
        <v>185.3</v>
      </c>
      <c r="S905" s="81"/>
      <c r="T905" s="81"/>
      <c r="U905" s="82"/>
      <c r="V905" s="82"/>
      <c r="W905" s="83"/>
      <c r="X905" s="83"/>
      <c r="Y905" s="83"/>
    </row>
    <row r="906" spans="1:25" ht="13.8">
      <c r="A906" s="78" t="str">
        <f ca="1">IFERROR(__xludf.DUMMYFUNCTION("""COMPUTED_VALUE"""),"HP")</f>
        <v>HP</v>
      </c>
      <c r="B906" s="79" t="str">
        <f ca="1">IFERROR(__xludf.DUMMYFUNCTION("""COMPUTED_VALUE"""),"Porter Bertman")</f>
        <v>Porter Bertman</v>
      </c>
      <c r="C906" s="78">
        <f ca="1">IFERROR(__xludf.DUMMYFUNCTION("""COMPUTED_VALUE"""),15)</f>
        <v>15</v>
      </c>
      <c r="D906" s="78" t="str">
        <f ca="1">IFERROR(__xludf.DUMMYFUNCTION("""COMPUTED_VALUE"""),"B")</f>
        <v>B</v>
      </c>
      <c r="E906" s="80" t="str">
        <f ca="1">IFERROR(__xludf.DUMMYFUNCTION("""COMPUTED_VALUE"""),"S")</f>
        <v>S</v>
      </c>
      <c r="F906" s="80" t="str">
        <f ca="1">IFERROR(__xludf.DUMMYFUNCTION("""COMPUTED_VALUE"""),"S")</f>
        <v>S</v>
      </c>
      <c r="G906" s="80">
        <f ca="1">IFERROR(__xludf.DUMMYFUNCTION("""COMPUTED_VALUE"""),6)</f>
        <v>6</v>
      </c>
      <c r="H906" s="80" t="str">
        <f ca="1">IFERROR(__xludf.DUMMYFUNCTION("""COMPUTED_VALUE"""),"HP")</f>
        <v>HP</v>
      </c>
      <c r="I906" s="80">
        <f ca="1">IFERROR(__xludf.DUMMYFUNCTION("""COMPUTED_VALUE"""),9)</f>
        <v>9</v>
      </c>
      <c r="J906" s="81">
        <f ca="1">IFERROR(__xludf.DUMMYFUNCTION("""COMPUTED_VALUE"""),4)</f>
        <v>4</v>
      </c>
      <c r="K906" s="81">
        <f ca="1">IFERROR(__xludf.DUMMYFUNCTION("""COMPUTED_VALUE"""),141.5)</f>
        <v>141.5</v>
      </c>
      <c r="L906" s="81">
        <f ca="1">IFERROR(__xludf.DUMMYFUNCTION("""COMPUTED_VALUE"""),0)</f>
        <v>0</v>
      </c>
      <c r="M906" s="81"/>
      <c r="N906" s="81">
        <f ca="1">IFERROR(__xludf.DUMMYFUNCTION("""COMPUTED_VALUE"""),110.6)</f>
        <v>110.6</v>
      </c>
      <c r="O906" s="81"/>
      <c r="P906" s="81">
        <f ca="1">IFERROR(__xludf.DUMMYFUNCTION("""COMPUTED_VALUE"""),141.5)</f>
        <v>141.5</v>
      </c>
      <c r="Q906" s="81"/>
      <c r="R906" s="81">
        <f ca="1">IFERROR(__xludf.DUMMYFUNCTION("""COMPUTED_VALUE"""),131.45)</f>
        <v>131.44999999999999</v>
      </c>
      <c r="S906" s="81"/>
      <c r="T906" s="81"/>
      <c r="U906" s="82"/>
      <c r="V906" s="82"/>
      <c r="W906" s="83"/>
      <c r="X906" s="83"/>
      <c r="Y906" s="83"/>
    </row>
    <row r="907" spans="1:25" ht="13.8">
      <c r="A907" s="78" t="str">
        <f ca="1">IFERROR(__xludf.DUMMYFUNCTION("""COMPUTED_VALUE"""),"HP")</f>
        <v>HP</v>
      </c>
      <c r="B907" s="79" t="str">
        <f ca="1">IFERROR(__xludf.DUMMYFUNCTION("""COMPUTED_VALUE"""),"Caden Guy")</f>
        <v>Caden Guy</v>
      </c>
      <c r="C907" s="78">
        <f ca="1">IFERROR(__xludf.DUMMYFUNCTION("""COMPUTED_VALUE"""),15)</f>
        <v>15</v>
      </c>
      <c r="D907" s="78" t="str">
        <f ca="1">IFERROR(__xludf.DUMMYFUNCTION("""COMPUTED_VALUE"""),"B")</f>
        <v>B</v>
      </c>
      <c r="E907" s="80" t="str">
        <f ca="1">IFERROR(__xludf.DUMMYFUNCTION("""COMPUTED_VALUE"""),"S")</f>
        <v>S</v>
      </c>
      <c r="F907" s="80" t="str">
        <f ca="1">IFERROR(__xludf.DUMMYFUNCTION("""COMPUTED_VALUE"""),"S")</f>
        <v>S</v>
      </c>
      <c r="G907" s="80">
        <f ca="1">IFERROR(__xludf.DUMMYFUNCTION("""COMPUTED_VALUE"""),6)</f>
        <v>6</v>
      </c>
      <c r="H907" s="80" t="str">
        <f ca="1">IFERROR(__xludf.DUMMYFUNCTION("""COMPUTED_VALUE"""),"HP")</f>
        <v>HP</v>
      </c>
      <c r="I907" s="80">
        <f ca="1">IFERROR(__xludf.DUMMYFUNCTION("""COMPUTED_VALUE"""),9)</f>
        <v>9</v>
      </c>
      <c r="J907" s="81">
        <f ca="1">IFERROR(__xludf.DUMMYFUNCTION("""COMPUTED_VALUE"""),4)</f>
        <v>4</v>
      </c>
      <c r="K907" s="81">
        <f ca="1">IFERROR(__xludf.DUMMYFUNCTION("""COMPUTED_VALUE"""),189.35)</f>
        <v>189.35</v>
      </c>
      <c r="L907" s="81">
        <f ca="1">IFERROR(__xludf.DUMMYFUNCTION("""COMPUTED_VALUE"""),162.25)</f>
        <v>162.25</v>
      </c>
      <c r="M907" s="81"/>
      <c r="N907" s="81">
        <f ca="1">IFERROR(__xludf.DUMMYFUNCTION("""COMPUTED_VALUE"""),175.55)</f>
        <v>175.55</v>
      </c>
      <c r="O907" s="81"/>
      <c r="P907" s="81">
        <f ca="1">IFERROR(__xludf.DUMMYFUNCTION("""COMPUTED_VALUE"""),183.35)</f>
        <v>183.35</v>
      </c>
      <c r="Q907" s="81"/>
      <c r="R907" s="81">
        <f ca="1">IFERROR(__xludf.DUMMYFUNCTION("""COMPUTED_VALUE"""),189.35)</f>
        <v>189.35</v>
      </c>
      <c r="S907" s="81"/>
      <c r="T907" s="81"/>
      <c r="U907" s="82"/>
      <c r="V907" s="82"/>
      <c r="W907" s="83"/>
      <c r="X907" s="83"/>
      <c r="Y907" s="83"/>
    </row>
    <row r="908" spans="1:25" ht="13.8">
      <c r="A908" s="78" t="str">
        <f ca="1">IFERROR(__xludf.DUMMYFUNCTION("""COMPUTED_VALUE"""),"HP")</f>
        <v>HP</v>
      </c>
      <c r="B908" s="79" t="str">
        <f ca="1">IFERROR(__xludf.DUMMYFUNCTION("""COMPUTED_VALUE"""),"Steven McCormick")</f>
        <v>Steven McCormick</v>
      </c>
      <c r="C908" s="78">
        <f ca="1">IFERROR(__xludf.DUMMYFUNCTION("""COMPUTED_VALUE"""),15)</f>
        <v>15</v>
      </c>
      <c r="D908" s="78" t="str">
        <f ca="1">IFERROR(__xludf.DUMMYFUNCTION("""COMPUTED_VALUE"""),"B")</f>
        <v>B</v>
      </c>
      <c r="E908" s="80" t="str">
        <f ca="1">IFERROR(__xludf.DUMMYFUNCTION("""COMPUTED_VALUE"""),"S")</f>
        <v>S</v>
      </c>
      <c r="F908" s="80" t="str">
        <f ca="1">IFERROR(__xludf.DUMMYFUNCTION("""COMPUTED_VALUE"""),"S")</f>
        <v>S</v>
      </c>
      <c r="G908" s="80">
        <f ca="1">IFERROR(__xludf.DUMMYFUNCTION("""COMPUTED_VALUE"""),6)</f>
        <v>6</v>
      </c>
      <c r="H908" s="80" t="str">
        <f ca="1">IFERROR(__xludf.DUMMYFUNCTION("""COMPUTED_VALUE"""),"HP")</f>
        <v>HP</v>
      </c>
      <c r="I908" s="80">
        <f ca="1">IFERROR(__xludf.DUMMYFUNCTION("""COMPUTED_VALUE"""),9)</f>
        <v>9</v>
      </c>
      <c r="J908" s="81">
        <f ca="1">IFERROR(__xludf.DUMMYFUNCTION("""COMPUTED_VALUE"""),5)</f>
        <v>5</v>
      </c>
      <c r="K908" s="81">
        <f ca="1">IFERROR(__xludf.DUMMYFUNCTION("""COMPUTED_VALUE"""),138.7)</f>
        <v>138.69999999999999</v>
      </c>
      <c r="L908" s="81">
        <f ca="1">IFERROR(__xludf.DUMMYFUNCTION("""COMPUTED_VALUE"""),75)</f>
        <v>75</v>
      </c>
      <c r="M908" s="81"/>
      <c r="N908" s="81">
        <f ca="1">IFERROR(__xludf.DUMMYFUNCTION("""COMPUTED_VALUE"""),134)</f>
        <v>134</v>
      </c>
      <c r="O908" s="81"/>
      <c r="P908" s="81">
        <f ca="1">IFERROR(__xludf.DUMMYFUNCTION("""COMPUTED_VALUE"""),138.7)</f>
        <v>138.69999999999999</v>
      </c>
      <c r="Q908" s="81"/>
      <c r="R908" s="81">
        <f ca="1">IFERROR(__xludf.DUMMYFUNCTION("""COMPUTED_VALUE"""),127.15)</f>
        <v>127.15</v>
      </c>
      <c r="S908" s="81"/>
      <c r="T908" s="81"/>
      <c r="U908" s="82"/>
      <c r="V908" s="82"/>
      <c r="W908" s="83"/>
      <c r="X908" s="83"/>
      <c r="Y908" s="83"/>
    </row>
    <row r="909" spans="1:25" ht="13.8">
      <c r="A909" s="78" t="str">
        <f ca="1">IFERROR(__xludf.DUMMYFUNCTION("""COMPUTED_VALUE"""),"HP")</f>
        <v>HP</v>
      </c>
      <c r="B909" s="79" t="str">
        <f ca="1">IFERROR(__xludf.DUMMYFUNCTION("""COMPUTED_VALUE"""),"Brett Townsend")</f>
        <v>Brett Townsend</v>
      </c>
      <c r="C909" s="84">
        <f ca="1">IFERROR(__xludf.DUMMYFUNCTION("""COMPUTED_VALUE"""),15)</f>
        <v>15</v>
      </c>
      <c r="D909" s="78" t="str">
        <f ca="1">IFERROR(__xludf.DUMMYFUNCTION("""COMPUTED_VALUE"""),"B")</f>
        <v>B</v>
      </c>
      <c r="E909" s="80" t="str">
        <f ca="1">IFERROR(__xludf.DUMMYFUNCTION("""COMPUTED_VALUE"""),"S")</f>
        <v>S</v>
      </c>
      <c r="F909" s="80" t="str">
        <f ca="1">IFERROR(__xludf.DUMMYFUNCTION("""COMPUTED_VALUE"""),"S")</f>
        <v>S</v>
      </c>
      <c r="G909" s="80">
        <f ca="1">IFERROR(__xludf.DUMMYFUNCTION("""COMPUTED_VALUE"""),6)</f>
        <v>6</v>
      </c>
      <c r="H909" s="80" t="str">
        <f ca="1">IFERROR(__xludf.DUMMYFUNCTION("""COMPUTED_VALUE"""),"HP")</f>
        <v>HP</v>
      </c>
      <c r="I909" s="80">
        <f ca="1">IFERROR(__xludf.DUMMYFUNCTION("""COMPUTED_VALUE"""),9)</f>
        <v>9</v>
      </c>
      <c r="J909" s="81">
        <f ca="1">IFERROR(__xludf.DUMMYFUNCTION("""COMPUTED_VALUE"""),4)</f>
        <v>4</v>
      </c>
      <c r="K909" s="81">
        <f ca="1">IFERROR(__xludf.DUMMYFUNCTION("""COMPUTED_VALUE"""),108.3)</f>
        <v>108.3</v>
      </c>
      <c r="L909" s="81">
        <f ca="1">IFERROR(__xludf.DUMMYFUNCTION("""COMPUTED_VALUE"""),83.45)</f>
        <v>83.45</v>
      </c>
      <c r="M909" s="81"/>
      <c r="N909" s="81">
        <f ca="1">IFERROR(__xludf.DUMMYFUNCTION("""COMPUTED_VALUE"""),108.3)</f>
        <v>108.3</v>
      </c>
      <c r="O909" s="81"/>
      <c r="P909" s="81">
        <f ca="1">IFERROR(__xludf.DUMMYFUNCTION("""COMPUTED_VALUE"""),0)</f>
        <v>0</v>
      </c>
      <c r="Q909" s="81"/>
      <c r="R909" s="81">
        <f ca="1">IFERROR(__xludf.DUMMYFUNCTION("""COMPUTED_VALUE"""),106.35)</f>
        <v>106.35</v>
      </c>
      <c r="S909" s="81"/>
      <c r="T909" s="81"/>
      <c r="U909" s="82"/>
      <c r="V909" s="82"/>
      <c r="W909" s="83"/>
      <c r="X909" s="83"/>
      <c r="Y909" s="83"/>
    </row>
    <row r="910" spans="1:25" ht="13.8">
      <c r="A910" s="78" t="str">
        <f ca="1">IFERROR(__xludf.DUMMYFUNCTION("""COMPUTED_VALUE"""),"HS")</f>
        <v>HS</v>
      </c>
      <c r="B910" s="79" t="str">
        <f ca="1">IFERROR(__xludf.DUMMYFUNCTION("""COMPUTED_VALUE"""),"Aspen Rose Abruzzese")</f>
        <v>Aspen Rose Abruzzese</v>
      </c>
      <c r="C910" s="78">
        <f ca="1">IFERROR(__xludf.DUMMYFUNCTION("""COMPUTED_VALUE"""),9)</f>
        <v>9</v>
      </c>
      <c r="D910" s="78" t="str">
        <f ca="1">IFERROR(__xludf.DUMMYFUNCTION("""COMPUTED_VALUE"""),"G")</f>
        <v>G</v>
      </c>
      <c r="E910" s="80" t="str">
        <f ca="1">IFERROR(__xludf.DUMMYFUNCTION("""COMPUTED_VALUE"""),"F")</f>
        <v>F</v>
      </c>
      <c r="F910" s="80" t="str">
        <f ca="1">IFERROR(__xludf.DUMMYFUNCTION("""COMPUTED_VALUE"""),"J")</f>
        <v>J</v>
      </c>
      <c r="G910" s="80">
        <f ca="1">IFERROR(__xludf.DUMMYFUNCTION("""COMPUTED_VALUE"""),4)</f>
        <v>4</v>
      </c>
      <c r="H910" s="80" t="str">
        <f ca="1">IFERROR(__xludf.DUMMYFUNCTION("""COMPUTED_VALUE"""),"HS")</f>
        <v>HS</v>
      </c>
      <c r="I910" s="80">
        <f ca="1">IFERROR(__xludf.DUMMYFUNCTION("""COMPUTED_VALUE"""),2)</f>
        <v>2</v>
      </c>
      <c r="J910" s="81">
        <f ca="1">IFERROR(__xludf.DUMMYFUNCTION("""COMPUTED_VALUE"""),2)</f>
        <v>2</v>
      </c>
      <c r="K910" s="81">
        <f ca="1">IFERROR(__xludf.DUMMYFUNCTION("""COMPUTED_VALUE"""),42.3)</f>
        <v>42.3</v>
      </c>
      <c r="L910" s="81">
        <f ca="1">IFERROR(__xludf.DUMMYFUNCTION("""COMPUTED_VALUE"""),22.5)</f>
        <v>22.5</v>
      </c>
      <c r="M910" s="81"/>
      <c r="N910" s="81">
        <f ca="1">IFERROR(__xludf.DUMMYFUNCTION("""COMPUTED_VALUE"""),0)</f>
        <v>0</v>
      </c>
      <c r="O910" s="81"/>
      <c r="P910" s="81">
        <f ca="1">IFERROR(__xludf.DUMMYFUNCTION("""COMPUTED_VALUE"""),42.3)</f>
        <v>42.3</v>
      </c>
      <c r="Q910" s="81"/>
      <c r="R910" s="81">
        <f ca="1">IFERROR(__xludf.DUMMYFUNCTION("""COMPUTED_VALUE"""),0)</f>
        <v>0</v>
      </c>
      <c r="S910" s="81"/>
      <c r="T910" s="81"/>
      <c r="U910" s="82"/>
      <c r="V910" s="82"/>
      <c r="W910" s="83"/>
      <c r="X910" s="83"/>
      <c r="Y910" s="83"/>
    </row>
    <row r="911" spans="1:25" ht="13.8">
      <c r="A911" s="78" t="str">
        <f ca="1">IFERROR(__xludf.DUMMYFUNCTION("""COMPUTED_VALUE"""),"HS")</f>
        <v>HS</v>
      </c>
      <c r="B911" s="79" t="str">
        <f ca="1">IFERROR(__xludf.DUMMYFUNCTION("""COMPUTED_VALUE"""),"Olivia Berik")</f>
        <v>Olivia Berik</v>
      </c>
      <c r="C911" s="78">
        <f ca="1">IFERROR(__xludf.DUMMYFUNCTION("""COMPUTED_VALUE"""),10)</f>
        <v>10</v>
      </c>
      <c r="D911" s="78" t="str">
        <f ca="1">IFERROR(__xludf.DUMMYFUNCTION("""COMPUTED_VALUE"""),"G")</f>
        <v>G</v>
      </c>
      <c r="E911" s="80" t="str">
        <f ca="1">IFERROR(__xludf.DUMMYFUNCTION("""COMPUTED_VALUE"""),"F")</f>
        <v>F</v>
      </c>
      <c r="F911" s="80" t="str">
        <f ca="1">IFERROR(__xludf.DUMMYFUNCTION("""COMPUTED_VALUE"""),"J")</f>
        <v>J</v>
      </c>
      <c r="G911" s="80">
        <f ca="1">IFERROR(__xludf.DUMMYFUNCTION("""COMPUTED_VALUE"""),4)</f>
        <v>4</v>
      </c>
      <c r="H911" s="80" t="str">
        <f ca="1">IFERROR(__xludf.DUMMYFUNCTION("""COMPUTED_VALUE"""),"HS")</f>
        <v>HS</v>
      </c>
      <c r="I911" s="80">
        <f ca="1">IFERROR(__xludf.DUMMYFUNCTION("""COMPUTED_VALUE"""),2)</f>
        <v>2</v>
      </c>
      <c r="J911" s="81">
        <f ca="1">IFERROR(__xludf.DUMMYFUNCTION("""COMPUTED_VALUE"""),5)</f>
        <v>5</v>
      </c>
      <c r="K911" s="81">
        <f ca="1">IFERROR(__xludf.DUMMYFUNCTION("""COMPUTED_VALUE"""),68.45)</f>
        <v>68.45</v>
      </c>
      <c r="L911" s="81">
        <f ca="1">IFERROR(__xludf.DUMMYFUNCTION("""COMPUTED_VALUE"""),65.55)</f>
        <v>65.55</v>
      </c>
      <c r="M911" s="81"/>
      <c r="N911" s="81">
        <f ca="1">IFERROR(__xludf.DUMMYFUNCTION("""COMPUTED_VALUE"""),-115.3)</f>
        <v>-115.3</v>
      </c>
      <c r="O911" s="81"/>
      <c r="P911" s="81">
        <f ca="1">IFERROR(__xludf.DUMMYFUNCTION("""COMPUTED_VALUE"""),-111.4)</f>
        <v>-111.4</v>
      </c>
      <c r="Q911" s="81"/>
      <c r="R911" s="81">
        <f ca="1">IFERROR(__xludf.DUMMYFUNCTION("""COMPUTED_VALUE"""),68.45)</f>
        <v>68.45</v>
      </c>
      <c r="S911" s="81"/>
      <c r="T911" s="81"/>
      <c r="U911" s="82"/>
      <c r="V911" s="82"/>
      <c r="W911" s="83"/>
      <c r="X911" s="83"/>
      <c r="Y911" s="83"/>
    </row>
    <row r="912" spans="1:25" ht="13.8">
      <c r="A912" s="78" t="str">
        <f ca="1">IFERROR(__xludf.DUMMYFUNCTION("""COMPUTED_VALUE"""),"HS")</f>
        <v>HS</v>
      </c>
      <c r="B912" s="79" t="str">
        <f ca="1">IFERROR(__xludf.DUMMYFUNCTION("""COMPUTED_VALUE"""),"Adelheid Campbell")</f>
        <v>Adelheid Campbell</v>
      </c>
      <c r="C912" s="78">
        <f ca="1">IFERROR(__xludf.DUMMYFUNCTION("""COMPUTED_VALUE"""),9)</f>
        <v>9</v>
      </c>
      <c r="D912" s="78" t="str">
        <f ca="1">IFERROR(__xludf.DUMMYFUNCTION("""COMPUTED_VALUE"""),"G")</f>
        <v>G</v>
      </c>
      <c r="E912" s="80" t="str">
        <f ca="1">IFERROR(__xludf.DUMMYFUNCTION("""COMPUTED_VALUE"""),"F")</f>
        <v>F</v>
      </c>
      <c r="F912" s="80" t="str">
        <f ca="1">IFERROR(__xludf.DUMMYFUNCTION("""COMPUTED_VALUE"""),"J")</f>
        <v>J</v>
      </c>
      <c r="G912" s="80">
        <f ca="1">IFERROR(__xludf.DUMMYFUNCTION("""COMPUTED_VALUE"""),4)</f>
        <v>4</v>
      </c>
      <c r="H912" s="80" t="str">
        <f ca="1">IFERROR(__xludf.DUMMYFUNCTION("""COMPUTED_VALUE"""),"HS")</f>
        <v>HS</v>
      </c>
      <c r="I912" s="80">
        <f ca="1">IFERROR(__xludf.DUMMYFUNCTION("""COMPUTED_VALUE"""),2)</f>
        <v>2</v>
      </c>
      <c r="J912" s="81">
        <f ca="1">IFERROR(__xludf.DUMMYFUNCTION("""COMPUTED_VALUE"""),0)</f>
        <v>0</v>
      </c>
      <c r="K912" s="81">
        <f ca="1">IFERROR(__xludf.DUMMYFUNCTION("""COMPUTED_VALUE"""),0)</f>
        <v>0</v>
      </c>
      <c r="L912" s="81">
        <f ca="1">IFERROR(__xludf.DUMMYFUNCTION("""COMPUTED_VALUE"""),0)</f>
        <v>0</v>
      </c>
      <c r="M912" s="81"/>
      <c r="N912" s="81">
        <f ca="1">IFERROR(__xludf.DUMMYFUNCTION("""COMPUTED_VALUE"""),0)</f>
        <v>0</v>
      </c>
      <c r="O912" s="81"/>
      <c r="P912" s="81">
        <f ca="1">IFERROR(__xludf.DUMMYFUNCTION("""COMPUTED_VALUE"""),0)</f>
        <v>0</v>
      </c>
      <c r="Q912" s="81"/>
      <c r="R912" s="81">
        <f ca="1">IFERROR(__xludf.DUMMYFUNCTION("""COMPUTED_VALUE"""),0)</f>
        <v>0</v>
      </c>
      <c r="S912" s="81"/>
      <c r="T912" s="81"/>
      <c r="U912" s="82"/>
      <c r="V912" s="82"/>
      <c r="W912" s="83"/>
      <c r="X912" s="83"/>
      <c r="Y912" s="83"/>
    </row>
    <row r="913" spans="1:25" ht="13.8">
      <c r="A913" s="78" t="str">
        <f ca="1">IFERROR(__xludf.DUMMYFUNCTION("""COMPUTED_VALUE"""),"HS")</f>
        <v>HS</v>
      </c>
      <c r="B913" s="79" t="str">
        <f ca="1">IFERROR(__xludf.DUMMYFUNCTION("""COMPUTED_VALUE"""),"Kara Carpenter")</f>
        <v>Kara Carpenter</v>
      </c>
      <c r="C913" s="78">
        <f ca="1">IFERROR(__xludf.DUMMYFUNCTION("""COMPUTED_VALUE"""),9)</f>
        <v>9</v>
      </c>
      <c r="D913" s="78" t="str">
        <f ca="1">IFERROR(__xludf.DUMMYFUNCTION("""COMPUTED_VALUE"""),"G")</f>
        <v>G</v>
      </c>
      <c r="E913" s="80" t="str">
        <f ca="1">IFERROR(__xludf.DUMMYFUNCTION("""COMPUTED_VALUE"""),"F")</f>
        <v>F</v>
      </c>
      <c r="F913" s="80" t="str">
        <f ca="1">IFERROR(__xludf.DUMMYFUNCTION("""COMPUTED_VALUE"""),"J")</f>
        <v>J</v>
      </c>
      <c r="G913" s="80">
        <f ca="1">IFERROR(__xludf.DUMMYFUNCTION("""COMPUTED_VALUE"""),4)</f>
        <v>4</v>
      </c>
      <c r="H913" s="80" t="str">
        <f ca="1">IFERROR(__xludf.DUMMYFUNCTION("""COMPUTED_VALUE"""),"HS")</f>
        <v>HS</v>
      </c>
      <c r="I913" s="80">
        <f ca="1">IFERROR(__xludf.DUMMYFUNCTION("""COMPUTED_VALUE"""),2)</f>
        <v>2</v>
      </c>
      <c r="J913" s="81">
        <f ca="1">IFERROR(__xludf.DUMMYFUNCTION("""COMPUTED_VALUE"""),1)</f>
        <v>1</v>
      </c>
      <c r="K913" s="81">
        <f ca="1">IFERROR(__xludf.DUMMYFUNCTION("""COMPUTED_VALUE"""),42.3)</f>
        <v>42.3</v>
      </c>
      <c r="L913" s="81">
        <f ca="1">IFERROR(__xludf.DUMMYFUNCTION("""COMPUTED_VALUE"""),42.3)</f>
        <v>42.3</v>
      </c>
      <c r="M913" s="81"/>
      <c r="N913" s="81">
        <f ca="1">IFERROR(__xludf.DUMMYFUNCTION("""COMPUTED_VALUE"""),0)</f>
        <v>0</v>
      </c>
      <c r="O913" s="81"/>
      <c r="P913" s="81">
        <f ca="1">IFERROR(__xludf.DUMMYFUNCTION("""COMPUTED_VALUE"""),0)</f>
        <v>0</v>
      </c>
      <c r="Q913" s="81"/>
      <c r="R913" s="81">
        <f ca="1">IFERROR(__xludf.DUMMYFUNCTION("""COMPUTED_VALUE"""),0)</f>
        <v>0</v>
      </c>
      <c r="S913" s="81"/>
      <c r="T913" s="81"/>
      <c r="U913" s="82"/>
      <c r="V913" s="82"/>
      <c r="W913" s="83"/>
      <c r="X913" s="83"/>
      <c r="Y913" s="83"/>
    </row>
    <row r="914" spans="1:25" ht="13.8">
      <c r="A914" s="78" t="str">
        <f ca="1">IFERROR(__xludf.DUMMYFUNCTION("""COMPUTED_VALUE"""),"HS")</f>
        <v>HS</v>
      </c>
      <c r="B914" s="79" t="str">
        <f ca="1">IFERROR(__xludf.DUMMYFUNCTION("""COMPUTED_VALUE"""),"Elsa Fitzharris")</f>
        <v>Elsa Fitzharris</v>
      </c>
      <c r="C914" s="78">
        <f ca="1">IFERROR(__xludf.DUMMYFUNCTION("""COMPUTED_VALUE"""),10)</f>
        <v>10</v>
      </c>
      <c r="D914" s="78" t="str">
        <f ca="1">IFERROR(__xludf.DUMMYFUNCTION("""COMPUTED_VALUE"""),"G")</f>
        <v>G</v>
      </c>
      <c r="E914" s="80" t="str">
        <f ca="1">IFERROR(__xludf.DUMMYFUNCTION("""COMPUTED_VALUE"""),"F")</f>
        <v>F</v>
      </c>
      <c r="F914" s="80" t="str">
        <f ca="1">IFERROR(__xludf.DUMMYFUNCTION("""COMPUTED_VALUE"""),"J")</f>
        <v>J</v>
      </c>
      <c r="G914" s="80">
        <f ca="1">IFERROR(__xludf.DUMMYFUNCTION("""COMPUTED_VALUE"""),4)</f>
        <v>4</v>
      </c>
      <c r="H914" s="80" t="str">
        <f ca="1">IFERROR(__xludf.DUMMYFUNCTION("""COMPUTED_VALUE"""),"HS")</f>
        <v>HS</v>
      </c>
      <c r="I914" s="80">
        <f ca="1">IFERROR(__xludf.DUMMYFUNCTION("""COMPUTED_VALUE"""),2)</f>
        <v>2</v>
      </c>
      <c r="J914" s="81">
        <f ca="1">IFERROR(__xludf.DUMMYFUNCTION("""COMPUTED_VALUE"""),0)</f>
        <v>0</v>
      </c>
      <c r="K914" s="81">
        <f ca="1">IFERROR(__xludf.DUMMYFUNCTION("""COMPUTED_VALUE"""),0)</f>
        <v>0</v>
      </c>
      <c r="L914" s="81">
        <f ca="1">IFERROR(__xludf.DUMMYFUNCTION("""COMPUTED_VALUE"""),0)</f>
        <v>0</v>
      </c>
      <c r="M914" s="81"/>
      <c r="N914" s="81">
        <f ca="1">IFERROR(__xludf.DUMMYFUNCTION("""COMPUTED_VALUE"""),0)</f>
        <v>0</v>
      </c>
      <c r="O914" s="81"/>
      <c r="P914" s="81">
        <f ca="1">IFERROR(__xludf.DUMMYFUNCTION("""COMPUTED_VALUE"""),0)</f>
        <v>0</v>
      </c>
      <c r="Q914" s="81"/>
      <c r="R914" s="81">
        <f ca="1">IFERROR(__xludf.DUMMYFUNCTION("""COMPUTED_VALUE"""),0)</f>
        <v>0</v>
      </c>
      <c r="S914" s="81"/>
      <c r="T914" s="81"/>
      <c r="U914" s="82"/>
      <c r="V914" s="82"/>
      <c r="W914" s="83"/>
      <c r="X914" s="83"/>
      <c r="Y914" s="83"/>
    </row>
    <row r="915" spans="1:25" ht="13.8">
      <c r="A915" s="78" t="str">
        <f ca="1">IFERROR(__xludf.DUMMYFUNCTION("""COMPUTED_VALUE"""),"HS")</f>
        <v>HS</v>
      </c>
      <c r="B915" s="79" t="str">
        <f ca="1">IFERROR(__xludf.DUMMYFUNCTION("""COMPUTED_VALUE"""),"Darby Henman")</f>
        <v>Darby Henman</v>
      </c>
      <c r="C915" s="78">
        <f ca="1">IFERROR(__xludf.DUMMYFUNCTION("""COMPUTED_VALUE"""),9)</f>
        <v>9</v>
      </c>
      <c r="D915" s="78" t="str">
        <f ca="1">IFERROR(__xludf.DUMMYFUNCTION("""COMPUTED_VALUE"""),"G")</f>
        <v>G</v>
      </c>
      <c r="E915" s="80" t="str">
        <f ca="1">IFERROR(__xludf.DUMMYFUNCTION("""COMPUTED_VALUE"""),"F")</f>
        <v>F</v>
      </c>
      <c r="F915" s="80" t="str">
        <f ca="1">IFERROR(__xludf.DUMMYFUNCTION("""COMPUTED_VALUE"""),"J")</f>
        <v>J</v>
      </c>
      <c r="G915" s="80">
        <f ca="1">IFERROR(__xludf.DUMMYFUNCTION("""COMPUTED_VALUE"""),4)</f>
        <v>4</v>
      </c>
      <c r="H915" s="80" t="str">
        <f ca="1">IFERROR(__xludf.DUMMYFUNCTION("""COMPUTED_VALUE"""),"HS")</f>
        <v>HS</v>
      </c>
      <c r="I915" s="80">
        <f ca="1">IFERROR(__xludf.DUMMYFUNCTION("""COMPUTED_VALUE"""),2)</f>
        <v>2</v>
      </c>
      <c r="J915" s="81">
        <f ca="1">IFERROR(__xludf.DUMMYFUNCTION("""COMPUTED_VALUE"""),1)</f>
        <v>1</v>
      </c>
      <c r="K915" s="81">
        <f ca="1">IFERROR(__xludf.DUMMYFUNCTION("""COMPUTED_VALUE"""),51.3)</f>
        <v>51.3</v>
      </c>
      <c r="L915" s="81">
        <f ca="1">IFERROR(__xludf.DUMMYFUNCTION("""COMPUTED_VALUE"""),0)</f>
        <v>0</v>
      </c>
      <c r="M915" s="81"/>
      <c r="N915" s="81">
        <f ca="1">IFERROR(__xludf.DUMMYFUNCTION("""COMPUTED_VALUE"""),51.3)</f>
        <v>51.3</v>
      </c>
      <c r="O915" s="81"/>
      <c r="P915" s="81">
        <f ca="1">IFERROR(__xludf.DUMMYFUNCTION("""COMPUTED_VALUE"""),0)</f>
        <v>0</v>
      </c>
      <c r="Q915" s="81"/>
      <c r="R915" s="81">
        <f ca="1">IFERROR(__xludf.DUMMYFUNCTION("""COMPUTED_VALUE"""),0)</f>
        <v>0</v>
      </c>
      <c r="S915" s="81"/>
      <c r="T915" s="81"/>
      <c r="U915" s="82"/>
      <c r="V915" s="82"/>
      <c r="W915" s="83"/>
      <c r="X915" s="83"/>
      <c r="Y915" s="83"/>
    </row>
    <row r="916" spans="1:25" ht="13.8">
      <c r="A916" s="78" t="str">
        <f ca="1">IFERROR(__xludf.DUMMYFUNCTION("""COMPUTED_VALUE"""),"HS")</f>
        <v>HS</v>
      </c>
      <c r="B916" s="79" t="str">
        <f ca="1">IFERROR(__xludf.DUMMYFUNCTION("""COMPUTED_VALUE"""),"Lily Kissinger")</f>
        <v>Lily Kissinger</v>
      </c>
      <c r="C916" s="78">
        <f ca="1">IFERROR(__xludf.DUMMYFUNCTION("""COMPUTED_VALUE"""),8)</f>
        <v>8</v>
      </c>
      <c r="D916" s="78" t="str">
        <f ca="1">IFERROR(__xludf.DUMMYFUNCTION("""COMPUTED_VALUE"""),"G")</f>
        <v>G</v>
      </c>
      <c r="E916" s="80" t="str">
        <f ca="1">IFERROR(__xludf.DUMMYFUNCTION("""COMPUTED_VALUE"""),"F")</f>
        <v>F</v>
      </c>
      <c r="F916" s="80" t="str">
        <f ca="1">IFERROR(__xludf.DUMMYFUNCTION("""COMPUTED_VALUE"""),"J")</f>
        <v>J</v>
      </c>
      <c r="G916" s="80">
        <f ca="1">IFERROR(__xludf.DUMMYFUNCTION("""COMPUTED_VALUE"""),4)</f>
        <v>4</v>
      </c>
      <c r="H916" s="80" t="str">
        <f ca="1">IFERROR(__xludf.DUMMYFUNCTION("""COMPUTED_VALUE"""),"HS")</f>
        <v>HS</v>
      </c>
      <c r="I916" s="80">
        <f ca="1">IFERROR(__xludf.DUMMYFUNCTION("""COMPUTED_VALUE"""),2)</f>
        <v>2</v>
      </c>
      <c r="J916" s="81">
        <f ca="1">IFERROR(__xludf.DUMMYFUNCTION("""COMPUTED_VALUE"""),5)</f>
        <v>5</v>
      </c>
      <c r="K916" s="81">
        <f ca="1">IFERROR(__xludf.DUMMYFUNCTION("""COMPUTED_VALUE"""),58.25)</f>
        <v>58.25</v>
      </c>
      <c r="L916" s="81">
        <f ca="1">IFERROR(__xludf.DUMMYFUNCTION("""COMPUTED_VALUE"""),40.9)</f>
        <v>40.9</v>
      </c>
      <c r="M916" s="81"/>
      <c r="N916" s="81">
        <f ca="1">IFERROR(__xludf.DUMMYFUNCTION("""COMPUTED_VALUE"""),52.55)</f>
        <v>52.55</v>
      </c>
      <c r="O916" s="81"/>
      <c r="P916" s="81">
        <f ca="1">IFERROR(__xludf.DUMMYFUNCTION("""COMPUTED_VALUE"""),37.3)</f>
        <v>37.299999999999997</v>
      </c>
      <c r="Q916" s="81"/>
      <c r="R916" s="81">
        <f ca="1">IFERROR(__xludf.DUMMYFUNCTION("""COMPUTED_VALUE"""),58.25)</f>
        <v>58.25</v>
      </c>
      <c r="S916" s="81"/>
      <c r="T916" s="81"/>
      <c r="U916" s="82"/>
      <c r="V916" s="82"/>
      <c r="W916" s="83"/>
      <c r="X916" s="83"/>
      <c r="Y916" s="83"/>
    </row>
    <row r="917" spans="1:25" ht="13.8">
      <c r="A917" s="78" t="str">
        <f ca="1">IFERROR(__xludf.DUMMYFUNCTION("""COMPUTED_VALUE"""),"HS")</f>
        <v>HS</v>
      </c>
      <c r="B917" s="79" t="str">
        <f ca="1">IFERROR(__xludf.DUMMYFUNCTION("""COMPUTED_VALUE"""),"Audrey Kumar")</f>
        <v>Audrey Kumar</v>
      </c>
      <c r="C917" s="78">
        <f ca="1">IFERROR(__xludf.DUMMYFUNCTION("""COMPUTED_VALUE"""),6)</f>
        <v>6</v>
      </c>
      <c r="D917" s="78" t="str">
        <f ca="1">IFERROR(__xludf.DUMMYFUNCTION("""COMPUTED_VALUE"""),"G")</f>
        <v>G</v>
      </c>
      <c r="E917" s="80" t="str">
        <f ca="1">IFERROR(__xludf.DUMMYFUNCTION("""COMPUTED_VALUE"""),"F")</f>
        <v>F</v>
      </c>
      <c r="F917" s="80" t="str">
        <f ca="1">IFERROR(__xludf.DUMMYFUNCTION("""COMPUTED_VALUE"""),"J")</f>
        <v>J</v>
      </c>
      <c r="G917" s="80">
        <f ca="1">IFERROR(__xludf.DUMMYFUNCTION("""COMPUTED_VALUE"""),4)</f>
        <v>4</v>
      </c>
      <c r="H917" s="80" t="str">
        <f ca="1">IFERROR(__xludf.DUMMYFUNCTION("""COMPUTED_VALUE"""),"HS")</f>
        <v>HS</v>
      </c>
      <c r="I917" s="80">
        <f ca="1">IFERROR(__xludf.DUMMYFUNCTION("""COMPUTED_VALUE"""),2)</f>
        <v>2</v>
      </c>
      <c r="J917" s="81">
        <f ca="1">IFERROR(__xludf.DUMMYFUNCTION("""COMPUTED_VALUE"""),1)</f>
        <v>1</v>
      </c>
      <c r="K917" s="81">
        <f ca="1">IFERROR(__xludf.DUMMYFUNCTION("""COMPUTED_VALUE"""),37.76)</f>
        <v>37.76</v>
      </c>
      <c r="L917" s="81">
        <f ca="1">IFERROR(__xludf.DUMMYFUNCTION("""COMPUTED_VALUE"""),0)</f>
        <v>0</v>
      </c>
      <c r="M917" s="81"/>
      <c r="N917" s="81">
        <f ca="1">IFERROR(__xludf.DUMMYFUNCTION("""COMPUTED_VALUE"""),37.76)</f>
        <v>37.76</v>
      </c>
      <c r="O917" s="81"/>
      <c r="P917" s="81">
        <f ca="1">IFERROR(__xludf.DUMMYFUNCTION("""COMPUTED_VALUE"""),0)</f>
        <v>0</v>
      </c>
      <c r="Q917" s="81"/>
      <c r="R917" s="81">
        <f ca="1">IFERROR(__xludf.DUMMYFUNCTION("""COMPUTED_VALUE"""),0)</f>
        <v>0</v>
      </c>
      <c r="S917" s="81"/>
      <c r="T917" s="81"/>
      <c r="U917" s="82"/>
      <c r="V917" s="82"/>
      <c r="W917" s="83"/>
      <c r="X917" s="83"/>
      <c r="Y917" s="83"/>
    </row>
    <row r="918" spans="1:25" ht="13.8">
      <c r="A918" s="78" t="str">
        <f ca="1">IFERROR(__xludf.DUMMYFUNCTION("""COMPUTED_VALUE"""),"HS")</f>
        <v>HS</v>
      </c>
      <c r="B918" s="79" t="str">
        <f ca="1">IFERROR(__xludf.DUMMYFUNCTION("""COMPUTED_VALUE"""),"Anna Noonan")</f>
        <v>Anna Noonan</v>
      </c>
      <c r="C918" s="78">
        <f ca="1">IFERROR(__xludf.DUMMYFUNCTION("""COMPUTED_VALUE"""),9)</f>
        <v>9</v>
      </c>
      <c r="D918" s="78" t="str">
        <f ca="1">IFERROR(__xludf.DUMMYFUNCTION("""COMPUTED_VALUE"""),"G")</f>
        <v>G</v>
      </c>
      <c r="E918" s="80" t="str">
        <f ca="1">IFERROR(__xludf.DUMMYFUNCTION("""COMPUTED_VALUE"""),"F")</f>
        <v>F</v>
      </c>
      <c r="F918" s="80" t="str">
        <f ca="1">IFERROR(__xludf.DUMMYFUNCTION("""COMPUTED_VALUE"""),"J")</f>
        <v>J</v>
      </c>
      <c r="G918" s="80">
        <f ca="1">IFERROR(__xludf.DUMMYFUNCTION("""COMPUTED_VALUE"""),4)</f>
        <v>4</v>
      </c>
      <c r="H918" s="80" t="str">
        <f ca="1">IFERROR(__xludf.DUMMYFUNCTION("""COMPUTED_VALUE"""),"HS")</f>
        <v>HS</v>
      </c>
      <c r="I918" s="80">
        <f ca="1">IFERROR(__xludf.DUMMYFUNCTION("""COMPUTED_VALUE"""),2)</f>
        <v>2</v>
      </c>
      <c r="J918" s="81">
        <f ca="1">IFERROR(__xludf.DUMMYFUNCTION("""COMPUTED_VALUE"""),0)</f>
        <v>0</v>
      </c>
      <c r="K918" s="81">
        <f ca="1">IFERROR(__xludf.DUMMYFUNCTION("""COMPUTED_VALUE"""),0)</f>
        <v>0</v>
      </c>
      <c r="L918" s="81">
        <f ca="1">IFERROR(__xludf.DUMMYFUNCTION("""COMPUTED_VALUE"""),0)</f>
        <v>0</v>
      </c>
      <c r="M918" s="81"/>
      <c r="N918" s="81">
        <f ca="1">IFERROR(__xludf.DUMMYFUNCTION("""COMPUTED_VALUE"""),0)</f>
        <v>0</v>
      </c>
      <c r="O918" s="81"/>
      <c r="P918" s="81">
        <f ca="1">IFERROR(__xludf.DUMMYFUNCTION("""COMPUTED_VALUE"""),0)</f>
        <v>0</v>
      </c>
      <c r="Q918" s="81"/>
      <c r="R918" s="81">
        <f ca="1">IFERROR(__xludf.DUMMYFUNCTION("""COMPUTED_VALUE"""),0)</f>
        <v>0</v>
      </c>
      <c r="S918" s="81"/>
      <c r="T918" s="81"/>
      <c r="U918" s="82"/>
      <c r="V918" s="82"/>
      <c r="W918" s="83"/>
      <c r="X918" s="83"/>
      <c r="Y918" s="83"/>
    </row>
    <row r="919" spans="1:25" ht="13.8">
      <c r="A919" s="78" t="str">
        <f ca="1">IFERROR(__xludf.DUMMYFUNCTION("""COMPUTED_VALUE"""),"HS")</f>
        <v>HS</v>
      </c>
      <c r="B919" s="79" t="str">
        <f ca="1">IFERROR(__xludf.DUMMYFUNCTION("""COMPUTED_VALUE"""),"Julia Paukovits")</f>
        <v>Julia Paukovits</v>
      </c>
      <c r="C919" s="78">
        <f ca="1">IFERROR(__xludf.DUMMYFUNCTION("""COMPUTED_VALUE"""),9)</f>
        <v>9</v>
      </c>
      <c r="D919" s="78" t="str">
        <f ca="1">IFERROR(__xludf.DUMMYFUNCTION("""COMPUTED_VALUE"""),"G")</f>
        <v>G</v>
      </c>
      <c r="E919" s="80" t="str">
        <f ca="1">IFERROR(__xludf.DUMMYFUNCTION("""COMPUTED_VALUE"""),"F")</f>
        <v>F</v>
      </c>
      <c r="F919" s="80" t="str">
        <f ca="1">IFERROR(__xludf.DUMMYFUNCTION("""COMPUTED_VALUE"""),"J")</f>
        <v>J</v>
      </c>
      <c r="G919" s="80">
        <f ca="1">IFERROR(__xludf.DUMMYFUNCTION("""COMPUTED_VALUE"""),4)</f>
        <v>4</v>
      </c>
      <c r="H919" s="80" t="str">
        <f ca="1">IFERROR(__xludf.DUMMYFUNCTION("""COMPUTED_VALUE"""),"HS")</f>
        <v>HS</v>
      </c>
      <c r="I919" s="80">
        <f ca="1">IFERROR(__xludf.DUMMYFUNCTION("""COMPUTED_VALUE"""),2)</f>
        <v>2</v>
      </c>
      <c r="J919" s="81">
        <f ca="1">IFERROR(__xludf.DUMMYFUNCTION("""COMPUTED_VALUE"""),2)</f>
        <v>2</v>
      </c>
      <c r="K919" s="81">
        <f ca="1">IFERROR(__xludf.DUMMYFUNCTION("""COMPUTED_VALUE"""),57.3)</f>
        <v>57.3</v>
      </c>
      <c r="L919" s="81">
        <f ca="1">IFERROR(__xludf.DUMMYFUNCTION("""COMPUTED_VALUE"""),0)</f>
        <v>0</v>
      </c>
      <c r="M919" s="81"/>
      <c r="N919" s="81">
        <f ca="1">IFERROR(__xludf.DUMMYFUNCTION("""COMPUTED_VALUE"""),0)</f>
        <v>0</v>
      </c>
      <c r="O919" s="81"/>
      <c r="P919" s="81">
        <f ca="1">IFERROR(__xludf.DUMMYFUNCTION("""COMPUTED_VALUE"""),57.3)</f>
        <v>57.3</v>
      </c>
      <c r="Q919" s="81"/>
      <c r="R919" s="81">
        <f ca="1">IFERROR(__xludf.DUMMYFUNCTION("""COMPUTED_VALUE"""),0)</f>
        <v>0</v>
      </c>
      <c r="S919" s="81"/>
      <c r="T919" s="81"/>
      <c r="U919" s="82"/>
      <c r="V919" s="82"/>
      <c r="W919" s="83"/>
      <c r="X919" s="83"/>
      <c r="Y919" s="83"/>
    </row>
    <row r="920" spans="1:25" ht="13.8">
      <c r="A920" s="78" t="str">
        <f ca="1">IFERROR(__xludf.DUMMYFUNCTION("""COMPUTED_VALUE"""),"HS")</f>
        <v>HS</v>
      </c>
      <c r="B920" s="79" t="str">
        <f ca="1">IFERROR(__xludf.DUMMYFUNCTION("""COMPUTED_VALUE"""),"Charlotte Segreti")</f>
        <v>Charlotte Segreti</v>
      </c>
      <c r="C920" s="78">
        <f ca="1">IFERROR(__xludf.DUMMYFUNCTION("""COMPUTED_VALUE"""),8)</f>
        <v>8</v>
      </c>
      <c r="D920" s="78" t="str">
        <f ca="1">IFERROR(__xludf.DUMMYFUNCTION("""COMPUTED_VALUE"""),"G")</f>
        <v>G</v>
      </c>
      <c r="E920" s="80" t="str">
        <f ca="1">IFERROR(__xludf.DUMMYFUNCTION("""COMPUTED_VALUE"""),"F")</f>
        <v>F</v>
      </c>
      <c r="F920" s="80" t="str">
        <f ca="1">IFERROR(__xludf.DUMMYFUNCTION("""COMPUTED_VALUE"""),"J")</f>
        <v>J</v>
      </c>
      <c r="G920" s="80">
        <f ca="1">IFERROR(__xludf.DUMMYFUNCTION("""COMPUTED_VALUE"""),4)</f>
        <v>4</v>
      </c>
      <c r="H920" s="80" t="str">
        <f ca="1">IFERROR(__xludf.DUMMYFUNCTION("""COMPUTED_VALUE"""),"HS")</f>
        <v>HS</v>
      </c>
      <c r="I920" s="80">
        <f ca="1">IFERROR(__xludf.DUMMYFUNCTION("""COMPUTED_VALUE"""),2)</f>
        <v>2</v>
      </c>
      <c r="J920" s="81">
        <f ca="1">IFERROR(__xludf.DUMMYFUNCTION("""COMPUTED_VALUE"""),1)</f>
        <v>1</v>
      </c>
      <c r="K920" s="81">
        <f ca="1">IFERROR(__xludf.DUMMYFUNCTION("""COMPUTED_VALUE"""),5.5)</f>
        <v>5.5</v>
      </c>
      <c r="L920" s="81">
        <f ca="1">IFERROR(__xludf.DUMMYFUNCTION("""COMPUTED_VALUE"""),0)</f>
        <v>0</v>
      </c>
      <c r="M920" s="81"/>
      <c r="N920" s="81">
        <f ca="1">IFERROR(__xludf.DUMMYFUNCTION("""COMPUTED_VALUE"""),5.5)</f>
        <v>5.5</v>
      </c>
      <c r="O920" s="81"/>
      <c r="P920" s="81">
        <f ca="1">IFERROR(__xludf.DUMMYFUNCTION("""COMPUTED_VALUE"""),0)</f>
        <v>0</v>
      </c>
      <c r="Q920" s="81"/>
      <c r="R920" s="81">
        <f ca="1">IFERROR(__xludf.DUMMYFUNCTION("""COMPUTED_VALUE"""),0)</f>
        <v>0</v>
      </c>
      <c r="S920" s="81"/>
      <c r="T920" s="81"/>
      <c r="U920" s="82"/>
      <c r="V920" s="82"/>
      <c r="W920" s="83"/>
      <c r="X920" s="83"/>
      <c r="Y920" s="83"/>
    </row>
    <row r="921" spans="1:25" ht="13.8">
      <c r="A921" s="78" t="str">
        <f ca="1">IFERROR(__xludf.DUMMYFUNCTION("""COMPUTED_VALUE"""),"HS")</f>
        <v>HS</v>
      </c>
      <c r="B921" s="79" t="str">
        <f ca="1">IFERROR(__xludf.DUMMYFUNCTION("""COMPUTED_VALUE"""),"Leah Thoman")</f>
        <v>Leah Thoman</v>
      </c>
      <c r="C921" s="78">
        <f ca="1">IFERROR(__xludf.DUMMYFUNCTION("""COMPUTED_VALUE"""),9)</f>
        <v>9</v>
      </c>
      <c r="D921" s="78" t="str">
        <f ca="1">IFERROR(__xludf.DUMMYFUNCTION("""COMPUTED_VALUE"""),"G")</f>
        <v>G</v>
      </c>
      <c r="E921" s="80" t="str">
        <f ca="1">IFERROR(__xludf.DUMMYFUNCTION("""COMPUTED_VALUE"""),"F")</f>
        <v>F</v>
      </c>
      <c r="F921" s="80" t="str">
        <f ca="1">IFERROR(__xludf.DUMMYFUNCTION("""COMPUTED_VALUE"""),"J")</f>
        <v>J</v>
      </c>
      <c r="G921" s="80">
        <f ca="1">IFERROR(__xludf.DUMMYFUNCTION("""COMPUTED_VALUE"""),4)</f>
        <v>4</v>
      </c>
      <c r="H921" s="80" t="str">
        <f ca="1">IFERROR(__xludf.DUMMYFUNCTION("""COMPUTED_VALUE"""),"HS")</f>
        <v>HS</v>
      </c>
      <c r="I921" s="80">
        <f ca="1">IFERROR(__xludf.DUMMYFUNCTION("""COMPUTED_VALUE"""),2)</f>
        <v>2</v>
      </c>
      <c r="J921" s="81">
        <f ca="1">IFERROR(__xludf.DUMMYFUNCTION("""COMPUTED_VALUE"""),2)</f>
        <v>2</v>
      </c>
      <c r="K921" s="81">
        <f ca="1">IFERROR(__xludf.DUMMYFUNCTION("""COMPUTED_VALUE"""),33.85)</f>
        <v>33.85</v>
      </c>
      <c r="L921" s="81">
        <f ca="1">IFERROR(__xludf.DUMMYFUNCTION("""COMPUTED_VALUE"""),0)</f>
        <v>0</v>
      </c>
      <c r="M921" s="81"/>
      <c r="N921" s="81">
        <f ca="1">IFERROR(__xludf.DUMMYFUNCTION("""COMPUTED_VALUE"""),0)</f>
        <v>0</v>
      </c>
      <c r="O921" s="81"/>
      <c r="P921" s="81">
        <f ca="1">IFERROR(__xludf.DUMMYFUNCTION("""COMPUTED_VALUE"""),0)</f>
        <v>0</v>
      </c>
      <c r="Q921" s="81"/>
      <c r="R921" s="81">
        <f ca="1">IFERROR(__xludf.DUMMYFUNCTION("""COMPUTED_VALUE"""),33.85)</f>
        <v>33.85</v>
      </c>
      <c r="S921" s="81"/>
      <c r="T921" s="81"/>
      <c r="U921" s="82"/>
      <c r="V921" s="82"/>
      <c r="W921" s="83"/>
      <c r="X921" s="83"/>
      <c r="Y921" s="83"/>
    </row>
    <row r="922" spans="1:25" ht="13.8">
      <c r="A922" s="78" t="str">
        <f ca="1">IFERROR(__xludf.DUMMYFUNCTION("""COMPUTED_VALUE"""),"HS")</f>
        <v>HS</v>
      </c>
      <c r="B922" s="79" t="str">
        <f ca="1">IFERROR(__xludf.DUMMYFUNCTION("""COMPUTED_VALUE"""),"Vivienne Vaughan")</f>
        <v>Vivienne Vaughan</v>
      </c>
      <c r="C922" s="78">
        <f ca="1">IFERROR(__xludf.DUMMYFUNCTION("""COMPUTED_VALUE"""),7)</f>
        <v>7</v>
      </c>
      <c r="D922" s="78" t="str">
        <f ca="1">IFERROR(__xludf.DUMMYFUNCTION("""COMPUTED_VALUE"""),"G")</f>
        <v>G</v>
      </c>
      <c r="E922" s="80" t="str">
        <f ca="1">IFERROR(__xludf.DUMMYFUNCTION("""COMPUTED_VALUE"""),"F")</f>
        <v>F</v>
      </c>
      <c r="F922" s="80" t="str">
        <f ca="1">IFERROR(__xludf.DUMMYFUNCTION("""COMPUTED_VALUE"""),"J")</f>
        <v>J</v>
      </c>
      <c r="G922" s="80">
        <f ca="1">IFERROR(__xludf.DUMMYFUNCTION("""COMPUTED_VALUE"""),4)</f>
        <v>4</v>
      </c>
      <c r="H922" s="80" t="str">
        <f ca="1">IFERROR(__xludf.DUMMYFUNCTION("""COMPUTED_VALUE"""),"HS")</f>
        <v>HS</v>
      </c>
      <c r="I922" s="80">
        <f ca="1">IFERROR(__xludf.DUMMYFUNCTION("""COMPUTED_VALUE"""),2)</f>
        <v>2</v>
      </c>
      <c r="J922" s="81">
        <f ca="1">IFERROR(__xludf.DUMMYFUNCTION("""COMPUTED_VALUE"""),0)</f>
        <v>0</v>
      </c>
      <c r="K922" s="81">
        <f ca="1">IFERROR(__xludf.DUMMYFUNCTION("""COMPUTED_VALUE"""),0)</f>
        <v>0</v>
      </c>
      <c r="L922" s="81">
        <f ca="1">IFERROR(__xludf.DUMMYFUNCTION("""COMPUTED_VALUE"""),0)</f>
        <v>0</v>
      </c>
      <c r="M922" s="81"/>
      <c r="N922" s="81">
        <f ca="1">IFERROR(__xludf.DUMMYFUNCTION("""COMPUTED_VALUE"""),0)</f>
        <v>0</v>
      </c>
      <c r="O922" s="81"/>
      <c r="P922" s="81">
        <f ca="1">IFERROR(__xludf.DUMMYFUNCTION("""COMPUTED_VALUE"""),0)</f>
        <v>0</v>
      </c>
      <c r="Q922" s="81"/>
      <c r="R922" s="81">
        <f ca="1">IFERROR(__xludf.DUMMYFUNCTION("""COMPUTED_VALUE"""),0)</f>
        <v>0</v>
      </c>
      <c r="S922" s="81"/>
      <c r="T922" s="81"/>
      <c r="U922" s="82"/>
      <c r="V922" s="82"/>
      <c r="W922" s="83"/>
      <c r="X922" s="83"/>
      <c r="Y922" s="83"/>
    </row>
    <row r="923" spans="1:25" ht="13.8">
      <c r="A923" s="78" t="str">
        <f ca="1">IFERROR(__xludf.DUMMYFUNCTION("""COMPUTED_VALUE"""),"HS")</f>
        <v>HS</v>
      </c>
      <c r="B923" s="79" t="str">
        <f ca="1">IFERROR(__xludf.DUMMYFUNCTION("""COMPUTED_VALUE"""),"Emilia Vayra")</f>
        <v>Emilia Vayra</v>
      </c>
      <c r="C923" s="78">
        <f ca="1">IFERROR(__xludf.DUMMYFUNCTION("""COMPUTED_VALUE"""),9)</f>
        <v>9</v>
      </c>
      <c r="D923" s="78" t="str">
        <f ca="1">IFERROR(__xludf.DUMMYFUNCTION("""COMPUTED_VALUE"""),"G")</f>
        <v>G</v>
      </c>
      <c r="E923" s="80" t="str">
        <f ca="1">IFERROR(__xludf.DUMMYFUNCTION("""COMPUTED_VALUE"""),"F")</f>
        <v>F</v>
      </c>
      <c r="F923" s="80" t="str">
        <f ca="1">IFERROR(__xludf.DUMMYFUNCTION("""COMPUTED_VALUE"""),"J")</f>
        <v>J</v>
      </c>
      <c r="G923" s="80">
        <f ca="1">IFERROR(__xludf.DUMMYFUNCTION("""COMPUTED_VALUE"""),4)</f>
        <v>4</v>
      </c>
      <c r="H923" s="80" t="str">
        <f ca="1">IFERROR(__xludf.DUMMYFUNCTION("""COMPUTED_VALUE"""),"HS")</f>
        <v>HS</v>
      </c>
      <c r="I923" s="80">
        <f ca="1">IFERROR(__xludf.DUMMYFUNCTION("""COMPUTED_VALUE"""),2)</f>
        <v>2</v>
      </c>
      <c r="J923" s="81">
        <f ca="1">IFERROR(__xludf.DUMMYFUNCTION("""COMPUTED_VALUE"""),4)</f>
        <v>4</v>
      </c>
      <c r="K923" s="81">
        <f ca="1">IFERROR(__xludf.DUMMYFUNCTION("""COMPUTED_VALUE"""),58.6)</f>
        <v>58.6</v>
      </c>
      <c r="L923" s="81">
        <f ca="1">IFERROR(__xludf.DUMMYFUNCTION("""COMPUTED_VALUE"""),0)</f>
        <v>0</v>
      </c>
      <c r="M923" s="81"/>
      <c r="N923" s="81">
        <f ca="1">IFERROR(__xludf.DUMMYFUNCTION("""COMPUTED_VALUE"""),53.95)</f>
        <v>53.95</v>
      </c>
      <c r="O923" s="81"/>
      <c r="P923" s="81">
        <f ca="1">IFERROR(__xludf.DUMMYFUNCTION("""COMPUTED_VALUE"""),58.6)</f>
        <v>58.6</v>
      </c>
      <c r="Q923" s="81"/>
      <c r="R923" s="81">
        <f ca="1">IFERROR(__xludf.DUMMYFUNCTION("""COMPUTED_VALUE"""),48)</f>
        <v>48</v>
      </c>
      <c r="S923" s="81"/>
      <c r="T923" s="81"/>
      <c r="U923" s="82"/>
      <c r="V923" s="82"/>
      <c r="W923" s="83"/>
      <c r="X923" s="83"/>
      <c r="Y923" s="83"/>
    </row>
    <row r="924" spans="1:25" ht="13.8">
      <c r="A924" s="78" t="str">
        <f ca="1">IFERROR(__xludf.DUMMYFUNCTION("""COMPUTED_VALUE"""),"HS")</f>
        <v>HS</v>
      </c>
      <c r="B924" s="79" t="str">
        <f ca="1">IFERROR(__xludf.DUMMYFUNCTION("""COMPUTED_VALUE"""),"John Berik")</f>
        <v>John Berik</v>
      </c>
      <c r="C924" s="78">
        <f ca="1">IFERROR(__xludf.DUMMYFUNCTION("""COMPUTED_VALUE"""),7)</f>
        <v>7</v>
      </c>
      <c r="D924" s="78" t="str">
        <f ca="1">IFERROR(__xludf.DUMMYFUNCTION("""COMPUTED_VALUE"""),"B")</f>
        <v>B</v>
      </c>
      <c r="E924" s="80" t="str">
        <f ca="1">IFERROR(__xludf.DUMMYFUNCTION("""COMPUTED_VALUE"""),"F")</f>
        <v>F</v>
      </c>
      <c r="F924" s="80" t="str">
        <f ca="1">IFERROR(__xludf.DUMMYFUNCTION("""COMPUTED_VALUE"""),"J")</f>
        <v>J</v>
      </c>
      <c r="G924" s="80">
        <f ca="1">IFERROR(__xludf.DUMMYFUNCTION("""COMPUTED_VALUE"""),4)</f>
        <v>4</v>
      </c>
      <c r="H924" s="80" t="str">
        <f ca="1">IFERROR(__xludf.DUMMYFUNCTION("""COMPUTED_VALUE"""),"HS")</f>
        <v>HS</v>
      </c>
      <c r="I924" s="80">
        <f ca="1">IFERROR(__xludf.DUMMYFUNCTION("""COMPUTED_VALUE"""),3)</f>
        <v>3</v>
      </c>
      <c r="J924" s="81">
        <f ca="1">IFERROR(__xludf.DUMMYFUNCTION("""COMPUTED_VALUE"""),4)</f>
        <v>4</v>
      </c>
      <c r="K924" s="81">
        <f ca="1">IFERROR(__xludf.DUMMYFUNCTION("""COMPUTED_VALUE"""),54.75)</f>
        <v>54.75</v>
      </c>
      <c r="L924" s="81">
        <f ca="1">IFERROR(__xludf.DUMMYFUNCTION("""COMPUTED_VALUE"""),54.75)</f>
        <v>54.75</v>
      </c>
      <c r="M924" s="81"/>
      <c r="N924" s="81">
        <f ca="1">IFERROR(__xludf.DUMMYFUNCTION("""COMPUTED_VALUE"""),-76.9)</f>
        <v>-76.900000000000006</v>
      </c>
      <c r="O924" s="81"/>
      <c r="P924" s="81">
        <f ca="1">IFERROR(__xludf.DUMMYFUNCTION("""COMPUTED_VALUE"""),-73.7)</f>
        <v>-73.7</v>
      </c>
      <c r="Q924" s="81"/>
      <c r="R924" s="81">
        <f ca="1">IFERROR(__xludf.DUMMYFUNCTION("""COMPUTED_VALUE"""),0)</f>
        <v>0</v>
      </c>
      <c r="S924" s="81"/>
      <c r="T924" s="81"/>
      <c r="U924" s="82"/>
      <c r="V924" s="82"/>
      <c r="W924" s="83"/>
      <c r="X924" s="83"/>
      <c r="Y924" s="83"/>
    </row>
    <row r="925" spans="1:25" ht="13.8">
      <c r="A925" s="78" t="str">
        <f ca="1">IFERROR(__xludf.DUMMYFUNCTION("""COMPUTED_VALUE"""),"HS")</f>
        <v>HS</v>
      </c>
      <c r="B925" s="79" t="str">
        <f ca="1">IFERROR(__xludf.DUMMYFUNCTION("""COMPUTED_VALUE"""),"Azadi Castellano")</f>
        <v>Azadi Castellano</v>
      </c>
      <c r="C925" s="78">
        <f ca="1">IFERROR(__xludf.DUMMYFUNCTION("""COMPUTED_VALUE"""),9)</f>
        <v>9</v>
      </c>
      <c r="D925" s="78" t="str">
        <f ca="1">IFERROR(__xludf.DUMMYFUNCTION("""COMPUTED_VALUE"""),"B")</f>
        <v>B</v>
      </c>
      <c r="E925" s="80" t="str">
        <f ca="1">IFERROR(__xludf.DUMMYFUNCTION("""COMPUTED_VALUE"""),"F")</f>
        <v>F</v>
      </c>
      <c r="F925" s="80" t="str">
        <f ca="1">IFERROR(__xludf.DUMMYFUNCTION("""COMPUTED_VALUE"""),"J")</f>
        <v>J</v>
      </c>
      <c r="G925" s="80">
        <f ca="1">IFERROR(__xludf.DUMMYFUNCTION("""COMPUTED_VALUE"""),4)</f>
        <v>4</v>
      </c>
      <c r="H925" s="80" t="str">
        <f ca="1">IFERROR(__xludf.DUMMYFUNCTION("""COMPUTED_VALUE"""),"HS")</f>
        <v>HS</v>
      </c>
      <c r="I925" s="80">
        <f ca="1">IFERROR(__xludf.DUMMYFUNCTION("""COMPUTED_VALUE"""),3)</f>
        <v>3</v>
      </c>
      <c r="J925" s="81">
        <f ca="1">IFERROR(__xludf.DUMMYFUNCTION("""COMPUTED_VALUE"""),5)</f>
        <v>5</v>
      </c>
      <c r="K925" s="81">
        <f ca="1">IFERROR(__xludf.DUMMYFUNCTION("""COMPUTED_VALUE"""),62.95)</f>
        <v>62.95</v>
      </c>
      <c r="L925" s="81">
        <f ca="1">IFERROR(__xludf.DUMMYFUNCTION("""COMPUTED_VALUE"""),51.15)</f>
        <v>51.15</v>
      </c>
      <c r="M925" s="81"/>
      <c r="N925" s="81">
        <f ca="1">IFERROR(__xludf.DUMMYFUNCTION("""COMPUTED_VALUE"""),62.95)</f>
        <v>62.95</v>
      </c>
      <c r="O925" s="81"/>
      <c r="P925" s="81">
        <f ca="1">IFERROR(__xludf.DUMMYFUNCTION("""COMPUTED_VALUE"""),42.8)</f>
        <v>42.8</v>
      </c>
      <c r="Q925" s="81"/>
      <c r="R925" s="81">
        <f ca="1">IFERROR(__xludf.DUMMYFUNCTION("""COMPUTED_VALUE"""),37.35)</f>
        <v>37.35</v>
      </c>
      <c r="S925" s="81"/>
      <c r="T925" s="81"/>
      <c r="U925" s="82"/>
      <c r="V925" s="82"/>
      <c r="W925" s="83"/>
      <c r="X925" s="83"/>
      <c r="Y925" s="83"/>
    </row>
    <row r="926" spans="1:25" ht="13.8">
      <c r="A926" s="78" t="str">
        <f ca="1">IFERROR(__xludf.DUMMYFUNCTION("""COMPUTED_VALUE"""),"HS")</f>
        <v>HS</v>
      </c>
      <c r="B926" s="79" t="str">
        <f ca="1">IFERROR(__xludf.DUMMYFUNCTION("""COMPUTED_VALUE"""),"Franklin Fiske")</f>
        <v>Franklin Fiske</v>
      </c>
      <c r="C926" s="78">
        <f ca="1">IFERROR(__xludf.DUMMYFUNCTION("""COMPUTED_VALUE"""),9)</f>
        <v>9</v>
      </c>
      <c r="D926" s="78" t="str">
        <f ca="1">IFERROR(__xludf.DUMMYFUNCTION("""COMPUTED_VALUE"""),"B")</f>
        <v>B</v>
      </c>
      <c r="E926" s="80" t="str">
        <f ca="1">IFERROR(__xludf.DUMMYFUNCTION("""COMPUTED_VALUE"""),"F")</f>
        <v>F</v>
      </c>
      <c r="F926" s="80" t="str">
        <f ca="1">IFERROR(__xludf.DUMMYFUNCTION("""COMPUTED_VALUE"""),"J")</f>
        <v>J</v>
      </c>
      <c r="G926" s="80">
        <f ca="1">IFERROR(__xludf.DUMMYFUNCTION("""COMPUTED_VALUE"""),4)</f>
        <v>4</v>
      </c>
      <c r="H926" s="80" t="str">
        <f ca="1">IFERROR(__xludf.DUMMYFUNCTION("""COMPUTED_VALUE"""),"HS")</f>
        <v>HS</v>
      </c>
      <c r="I926" s="80">
        <f ca="1">IFERROR(__xludf.DUMMYFUNCTION("""COMPUTED_VALUE"""),3)</f>
        <v>3</v>
      </c>
      <c r="J926" s="81">
        <f ca="1">IFERROR(__xludf.DUMMYFUNCTION("""COMPUTED_VALUE"""),4)</f>
        <v>4</v>
      </c>
      <c r="K926" s="81">
        <f ca="1">IFERROR(__xludf.DUMMYFUNCTION("""COMPUTED_VALUE"""),48.05)</f>
        <v>48.05</v>
      </c>
      <c r="L926" s="81">
        <f ca="1">IFERROR(__xludf.DUMMYFUNCTION("""COMPUTED_VALUE"""),45.35)</f>
        <v>45.35</v>
      </c>
      <c r="M926" s="81"/>
      <c r="N926" s="81">
        <f ca="1">IFERROR(__xludf.DUMMYFUNCTION("""COMPUTED_VALUE"""),48.05)</f>
        <v>48.05</v>
      </c>
      <c r="O926" s="81"/>
      <c r="P926" s="81">
        <f ca="1">IFERROR(__xludf.DUMMYFUNCTION("""COMPUTED_VALUE"""),43.1)</f>
        <v>43.1</v>
      </c>
      <c r="Q926" s="81"/>
      <c r="R926" s="81">
        <f ca="1">IFERROR(__xludf.DUMMYFUNCTION("""COMPUTED_VALUE"""),0)</f>
        <v>0</v>
      </c>
      <c r="S926" s="81"/>
      <c r="T926" s="81"/>
      <c r="U926" s="82"/>
      <c r="V926" s="82"/>
      <c r="W926" s="83"/>
      <c r="X926" s="83"/>
      <c r="Y926" s="83"/>
    </row>
    <row r="927" spans="1:25" ht="13.8">
      <c r="A927" s="78" t="str">
        <f ca="1">IFERROR(__xludf.DUMMYFUNCTION("""COMPUTED_VALUE"""),"HS")</f>
        <v>HS</v>
      </c>
      <c r="B927" s="79" t="str">
        <f ca="1">IFERROR(__xludf.DUMMYFUNCTION("""COMPUTED_VALUE"""),"Faustino Fredes")</f>
        <v>Faustino Fredes</v>
      </c>
      <c r="C927" s="78">
        <f ca="1">IFERROR(__xludf.DUMMYFUNCTION("""COMPUTED_VALUE"""),9)</f>
        <v>9</v>
      </c>
      <c r="D927" s="78" t="str">
        <f ca="1">IFERROR(__xludf.DUMMYFUNCTION("""COMPUTED_VALUE"""),"B")</f>
        <v>B</v>
      </c>
      <c r="E927" s="80" t="str">
        <f ca="1">IFERROR(__xludf.DUMMYFUNCTION("""COMPUTED_VALUE"""),"F")</f>
        <v>F</v>
      </c>
      <c r="F927" s="80" t="str">
        <f ca="1">IFERROR(__xludf.DUMMYFUNCTION("""COMPUTED_VALUE"""),"J")</f>
        <v>J</v>
      </c>
      <c r="G927" s="80">
        <f ca="1">IFERROR(__xludf.DUMMYFUNCTION("""COMPUTED_VALUE"""),4)</f>
        <v>4</v>
      </c>
      <c r="H927" s="80" t="str">
        <f ca="1">IFERROR(__xludf.DUMMYFUNCTION("""COMPUTED_VALUE"""),"HS")</f>
        <v>HS</v>
      </c>
      <c r="I927" s="80">
        <f ca="1">IFERROR(__xludf.DUMMYFUNCTION("""COMPUTED_VALUE"""),3)</f>
        <v>3</v>
      </c>
      <c r="J927" s="81">
        <f ca="1">IFERROR(__xludf.DUMMYFUNCTION("""COMPUTED_VALUE"""),3)</f>
        <v>3</v>
      </c>
      <c r="K927" s="81">
        <f ca="1">IFERROR(__xludf.DUMMYFUNCTION("""COMPUTED_VALUE"""),49.8)</f>
        <v>49.8</v>
      </c>
      <c r="L927" s="81">
        <f ca="1">IFERROR(__xludf.DUMMYFUNCTION("""COMPUTED_VALUE"""),0)</f>
        <v>0</v>
      </c>
      <c r="M927" s="81"/>
      <c r="N927" s="81">
        <f ca="1">IFERROR(__xludf.DUMMYFUNCTION("""COMPUTED_VALUE"""),0)</f>
        <v>0</v>
      </c>
      <c r="O927" s="81"/>
      <c r="P927" s="81">
        <f ca="1">IFERROR(__xludf.DUMMYFUNCTION("""COMPUTED_VALUE"""),36.1)</f>
        <v>36.1</v>
      </c>
      <c r="Q927" s="81"/>
      <c r="R927" s="81">
        <f ca="1">IFERROR(__xludf.DUMMYFUNCTION("""COMPUTED_VALUE"""),49.8)</f>
        <v>49.8</v>
      </c>
      <c r="S927" s="81"/>
      <c r="T927" s="81"/>
      <c r="U927" s="82"/>
      <c r="V927" s="82"/>
      <c r="W927" s="83"/>
      <c r="X927" s="83"/>
      <c r="Y927" s="83"/>
    </row>
    <row r="928" spans="1:25" ht="13.8">
      <c r="A928" s="78" t="str">
        <f ca="1">IFERROR(__xludf.DUMMYFUNCTION("""COMPUTED_VALUE"""),"HS")</f>
        <v>HS</v>
      </c>
      <c r="B928" s="79" t="str">
        <f ca="1">IFERROR(__xludf.DUMMYFUNCTION("""COMPUTED_VALUE"""),"Henry Janicke")</f>
        <v>Henry Janicke</v>
      </c>
      <c r="C928" s="78">
        <f ca="1">IFERROR(__xludf.DUMMYFUNCTION("""COMPUTED_VALUE"""),9)</f>
        <v>9</v>
      </c>
      <c r="D928" s="78" t="str">
        <f ca="1">IFERROR(__xludf.DUMMYFUNCTION("""COMPUTED_VALUE"""),"B")</f>
        <v>B</v>
      </c>
      <c r="E928" s="80" t="str">
        <f ca="1">IFERROR(__xludf.DUMMYFUNCTION("""COMPUTED_VALUE"""),"F")</f>
        <v>F</v>
      </c>
      <c r="F928" s="80" t="str">
        <f ca="1">IFERROR(__xludf.DUMMYFUNCTION("""COMPUTED_VALUE"""),"J")</f>
        <v>J</v>
      </c>
      <c r="G928" s="80">
        <f ca="1">IFERROR(__xludf.DUMMYFUNCTION("""COMPUTED_VALUE"""),4)</f>
        <v>4</v>
      </c>
      <c r="H928" s="80" t="str">
        <f ca="1">IFERROR(__xludf.DUMMYFUNCTION("""COMPUTED_VALUE"""),"HS")</f>
        <v>HS</v>
      </c>
      <c r="I928" s="80">
        <f ca="1">IFERROR(__xludf.DUMMYFUNCTION("""COMPUTED_VALUE"""),3)</f>
        <v>3</v>
      </c>
      <c r="J928" s="81">
        <f ca="1">IFERROR(__xludf.DUMMYFUNCTION("""COMPUTED_VALUE"""),0)</f>
        <v>0</v>
      </c>
      <c r="K928" s="81">
        <f ca="1">IFERROR(__xludf.DUMMYFUNCTION("""COMPUTED_VALUE"""),0)</f>
        <v>0</v>
      </c>
      <c r="L928" s="81">
        <f ca="1">IFERROR(__xludf.DUMMYFUNCTION("""COMPUTED_VALUE"""),0)</f>
        <v>0</v>
      </c>
      <c r="M928" s="81"/>
      <c r="N928" s="81">
        <f ca="1">IFERROR(__xludf.DUMMYFUNCTION("""COMPUTED_VALUE"""),0)</f>
        <v>0</v>
      </c>
      <c r="O928" s="81"/>
      <c r="P928" s="81">
        <f ca="1">IFERROR(__xludf.DUMMYFUNCTION("""COMPUTED_VALUE"""),0)</f>
        <v>0</v>
      </c>
      <c r="Q928" s="81"/>
      <c r="R928" s="81">
        <f ca="1">IFERROR(__xludf.DUMMYFUNCTION("""COMPUTED_VALUE"""),0)</f>
        <v>0</v>
      </c>
      <c r="S928" s="81"/>
      <c r="T928" s="81"/>
      <c r="U928" s="82"/>
      <c r="V928" s="82"/>
      <c r="W928" s="83"/>
      <c r="X928" s="83"/>
      <c r="Y928" s="83"/>
    </row>
    <row r="929" spans="1:25" ht="13.8">
      <c r="A929" s="78" t="str">
        <f ca="1">IFERROR(__xludf.DUMMYFUNCTION("""COMPUTED_VALUE"""),"HS")</f>
        <v>HS</v>
      </c>
      <c r="B929" s="79" t="str">
        <f ca="1">IFERROR(__xludf.DUMMYFUNCTION("""COMPUTED_VALUE"""),"Vier Kilburg")</f>
        <v>Vier Kilburg</v>
      </c>
      <c r="C929" s="78">
        <f ca="1">IFERROR(__xludf.DUMMYFUNCTION("""COMPUTED_VALUE"""),10)</f>
        <v>10</v>
      </c>
      <c r="D929" s="78" t="str">
        <f ca="1">IFERROR(__xludf.DUMMYFUNCTION("""COMPUTED_VALUE"""),"B")</f>
        <v>B</v>
      </c>
      <c r="E929" s="80" t="str">
        <f ca="1">IFERROR(__xludf.DUMMYFUNCTION("""COMPUTED_VALUE"""),"F")</f>
        <v>F</v>
      </c>
      <c r="F929" s="80" t="str">
        <f ca="1">IFERROR(__xludf.DUMMYFUNCTION("""COMPUTED_VALUE"""),"J")</f>
        <v>J</v>
      </c>
      <c r="G929" s="80">
        <f ca="1">IFERROR(__xludf.DUMMYFUNCTION("""COMPUTED_VALUE"""),4)</f>
        <v>4</v>
      </c>
      <c r="H929" s="80" t="str">
        <f ca="1">IFERROR(__xludf.DUMMYFUNCTION("""COMPUTED_VALUE"""),"HS")</f>
        <v>HS</v>
      </c>
      <c r="I929" s="80">
        <f ca="1">IFERROR(__xludf.DUMMYFUNCTION("""COMPUTED_VALUE"""),3)</f>
        <v>3</v>
      </c>
      <c r="J929" s="81">
        <f ca="1">IFERROR(__xludf.DUMMYFUNCTION("""COMPUTED_VALUE"""),0)</f>
        <v>0</v>
      </c>
      <c r="K929" s="81">
        <f ca="1">IFERROR(__xludf.DUMMYFUNCTION("""COMPUTED_VALUE"""),0)</f>
        <v>0</v>
      </c>
      <c r="L929" s="81">
        <f ca="1">IFERROR(__xludf.DUMMYFUNCTION("""COMPUTED_VALUE"""),0)</f>
        <v>0</v>
      </c>
      <c r="M929" s="81"/>
      <c r="N929" s="81">
        <f ca="1">IFERROR(__xludf.DUMMYFUNCTION("""COMPUTED_VALUE"""),0)</f>
        <v>0</v>
      </c>
      <c r="O929" s="81"/>
      <c r="P929" s="81">
        <f ca="1">IFERROR(__xludf.DUMMYFUNCTION("""COMPUTED_VALUE"""),0)</f>
        <v>0</v>
      </c>
      <c r="Q929" s="81"/>
      <c r="R929" s="81">
        <f ca="1">IFERROR(__xludf.DUMMYFUNCTION("""COMPUTED_VALUE"""),0)</f>
        <v>0</v>
      </c>
      <c r="S929" s="81"/>
      <c r="T929" s="81"/>
      <c r="U929" s="82"/>
      <c r="V929" s="82"/>
      <c r="W929" s="83"/>
      <c r="X929" s="83"/>
      <c r="Y929" s="83"/>
    </row>
    <row r="930" spans="1:25" ht="13.8">
      <c r="A930" s="78" t="str">
        <f ca="1">IFERROR(__xludf.DUMMYFUNCTION("""COMPUTED_VALUE"""),"HS")</f>
        <v>HS</v>
      </c>
      <c r="B930" s="79" t="str">
        <f ca="1">IFERROR(__xludf.DUMMYFUNCTION("""COMPUTED_VALUE"""),"Barrett Kinzler")</f>
        <v>Barrett Kinzler</v>
      </c>
      <c r="C930" s="78">
        <f ca="1">IFERROR(__xludf.DUMMYFUNCTION("""COMPUTED_VALUE"""),9)</f>
        <v>9</v>
      </c>
      <c r="D930" s="78" t="str">
        <f ca="1">IFERROR(__xludf.DUMMYFUNCTION("""COMPUTED_VALUE"""),"B")</f>
        <v>B</v>
      </c>
      <c r="E930" s="80" t="str">
        <f ca="1">IFERROR(__xludf.DUMMYFUNCTION("""COMPUTED_VALUE"""),"F")</f>
        <v>F</v>
      </c>
      <c r="F930" s="80" t="str">
        <f ca="1">IFERROR(__xludf.DUMMYFUNCTION("""COMPUTED_VALUE"""),"J")</f>
        <v>J</v>
      </c>
      <c r="G930" s="80">
        <f ca="1">IFERROR(__xludf.DUMMYFUNCTION("""COMPUTED_VALUE"""),4)</f>
        <v>4</v>
      </c>
      <c r="H930" s="80" t="str">
        <f ca="1">IFERROR(__xludf.DUMMYFUNCTION("""COMPUTED_VALUE"""),"HS")</f>
        <v>HS</v>
      </c>
      <c r="I930" s="80">
        <f ca="1">IFERROR(__xludf.DUMMYFUNCTION("""COMPUTED_VALUE"""),3)</f>
        <v>3</v>
      </c>
      <c r="J930" s="81">
        <f ca="1">IFERROR(__xludf.DUMMYFUNCTION("""COMPUTED_VALUE"""),0)</f>
        <v>0</v>
      </c>
      <c r="K930" s="81">
        <f ca="1">IFERROR(__xludf.DUMMYFUNCTION("""COMPUTED_VALUE"""),0)</f>
        <v>0</v>
      </c>
      <c r="L930" s="81">
        <f ca="1">IFERROR(__xludf.DUMMYFUNCTION("""COMPUTED_VALUE"""),0)</f>
        <v>0</v>
      </c>
      <c r="M930" s="81"/>
      <c r="N930" s="81">
        <f ca="1">IFERROR(__xludf.DUMMYFUNCTION("""COMPUTED_VALUE"""),0)</f>
        <v>0</v>
      </c>
      <c r="O930" s="81"/>
      <c r="P930" s="81">
        <f ca="1">IFERROR(__xludf.DUMMYFUNCTION("""COMPUTED_VALUE"""),0)</f>
        <v>0</v>
      </c>
      <c r="Q930" s="81"/>
      <c r="R930" s="81">
        <f ca="1">IFERROR(__xludf.DUMMYFUNCTION("""COMPUTED_VALUE"""),0)</f>
        <v>0</v>
      </c>
      <c r="S930" s="81"/>
      <c r="T930" s="81"/>
      <c r="U930" s="82"/>
      <c r="V930" s="82"/>
      <c r="W930" s="83"/>
      <c r="X930" s="83"/>
      <c r="Y930" s="83"/>
    </row>
    <row r="931" spans="1:25" ht="13.8">
      <c r="A931" s="78" t="str">
        <f ca="1">IFERROR(__xludf.DUMMYFUNCTION("""COMPUTED_VALUE"""),"HS")</f>
        <v>HS</v>
      </c>
      <c r="B931" s="79" t="str">
        <f ca="1">IFERROR(__xludf.DUMMYFUNCTION("""COMPUTED_VALUE"""),"John Paul Kissinger")</f>
        <v>John Paul Kissinger</v>
      </c>
      <c r="C931" s="78">
        <f ca="1">IFERROR(__xludf.DUMMYFUNCTION("""COMPUTED_VALUE"""),9)</f>
        <v>9</v>
      </c>
      <c r="D931" s="78" t="str">
        <f ca="1">IFERROR(__xludf.DUMMYFUNCTION("""COMPUTED_VALUE"""),"B")</f>
        <v>B</v>
      </c>
      <c r="E931" s="80" t="str">
        <f ca="1">IFERROR(__xludf.DUMMYFUNCTION("""COMPUTED_VALUE"""),"F")</f>
        <v>F</v>
      </c>
      <c r="F931" s="80" t="str">
        <f ca="1">IFERROR(__xludf.DUMMYFUNCTION("""COMPUTED_VALUE"""),"J")</f>
        <v>J</v>
      </c>
      <c r="G931" s="80">
        <f ca="1">IFERROR(__xludf.DUMMYFUNCTION("""COMPUTED_VALUE"""),4)</f>
        <v>4</v>
      </c>
      <c r="H931" s="80" t="str">
        <f ca="1">IFERROR(__xludf.DUMMYFUNCTION("""COMPUTED_VALUE"""),"HS")</f>
        <v>HS</v>
      </c>
      <c r="I931" s="80">
        <f ca="1">IFERROR(__xludf.DUMMYFUNCTION("""COMPUTED_VALUE"""),3)</f>
        <v>3</v>
      </c>
      <c r="J931" s="81">
        <f ca="1">IFERROR(__xludf.DUMMYFUNCTION("""COMPUTED_VALUE"""),5)</f>
        <v>5</v>
      </c>
      <c r="K931" s="81">
        <f ca="1">IFERROR(__xludf.DUMMYFUNCTION("""COMPUTED_VALUE"""),75.45)</f>
        <v>75.45</v>
      </c>
      <c r="L931" s="81">
        <f ca="1">IFERROR(__xludf.DUMMYFUNCTION("""COMPUTED_VALUE"""),-81.05)</f>
        <v>-81.05</v>
      </c>
      <c r="M931" s="81"/>
      <c r="N931" s="81">
        <f ca="1">IFERROR(__xludf.DUMMYFUNCTION("""COMPUTED_VALUE"""),75.45)</f>
        <v>75.45</v>
      </c>
      <c r="O931" s="81"/>
      <c r="P931" s="81">
        <f ca="1">IFERROR(__xludf.DUMMYFUNCTION("""COMPUTED_VALUE"""),-76.8)</f>
        <v>-76.8</v>
      </c>
      <c r="Q931" s="81"/>
      <c r="R931" s="81">
        <f ca="1">IFERROR(__xludf.DUMMYFUNCTION("""COMPUTED_VALUE"""),-73.7)</f>
        <v>-73.7</v>
      </c>
      <c r="S931" s="81"/>
      <c r="T931" s="81"/>
      <c r="U931" s="82"/>
      <c r="V931" s="82"/>
      <c r="W931" s="83"/>
      <c r="X931" s="83"/>
      <c r="Y931" s="83"/>
    </row>
    <row r="932" spans="1:25" ht="13.8">
      <c r="A932" s="78" t="str">
        <f ca="1">IFERROR(__xludf.DUMMYFUNCTION("""COMPUTED_VALUE"""),"HS")</f>
        <v>HS</v>
      </c>
      <c r="B932" s="79" t="str">
        <f ca="1">IFERROR(__xludf.DUMMYFUNCTION("""COMPUTED_VALUE"""),"Martin Shiu")</f>
        <v>Martin Shiu</v>
      </c>
      <c r="C932" s="78">
        <f ca="1">IFERROR(__xludf.DUMMYFUNCTION("""COMPUTED_VALUE"""),8)</f>
        <v>8</v>
      </c>
      <c r="D932" s="78" t="str">
        <f ca="1">IFERROR(__xludf.DUMMYFUNCTION("""COMPUTED_VALUE"""),"B")</f>
        <v>B</v>
      </c>
      <c r="E932" s="80" t="str">
        <f ca="1">IFERROR(__xludf.DUMMYFUNCTION("""COMPUTED_VALUE"""),"F")</f>
        <v>F</v>
      </c>
      <c r="F932" s="80" t="str">
        <f ca="1">IFERROR(__xludf.DUMMYFUNCTION("""COMPUTED_VALUE"""),"J")</f>
        <v>J</v>
      </c>
      <c r="G932" s="80">
        <f ca="1">IFERROR(__xludf.DUMMYFUNCTION("""COMPUTED_VALUE"""),4)</f>
        <v>4</v>
      </c>
      <c r="H932" s="80" t="str">
        <f ca="1">IFERROR(__xludf.DUMMYFUNCTION("""COMPUTED_VALUE"""),"HS")</f>
        <v>HS</v>
      </c>
      <c r="I932" s="80">
        <f ca="1">IFERROR(__xludf.DUMMYFUNCTION("""COMPUTED_VALUE"""),3)</f>
        <v>3</v>
      </c>
      <c r="J932" s="81">
        <f ca="1">IFERROR(__xludf.DUMMYFUNCTION("""COMPUTED_VALUE"""),0)</f>
        <v>0</v>
      </c>
      <c r="K932" s="81">
        <f ca="1">IFERROR(__xludf.DUMMYFUNCTION("""COMPUTED_VALUE"""),0)</f>
        <v>0</v>
      </c>
      <c r="L932" s="81">
        <f ca="1">IFERROR(__xludf.DUMMYFUNCTION("""COMPUTED_VALUE"""),0)</f>
        <v>0</v>
      </c>
      <c r="M932" s="81"/>
      <c r="N932" s="81">
        <f ca="1">IFERROR(__xludf.DUMMYFUNCTION("""COMPUTED_VALUE"""),0)</f>
        <v>0</v>
      </c>
      <c r="O932" s="81"/>
      <c r="P932" s="81">
        <f ca="1">IFERROR(__xludf.DUMMYFUNCTION("""COMPUTED_VALUE"""),0)</f>
        <v>0</v>
      </c>
      <c r="Q932" s="81"/>
      <c r="R932" s="81">
        <f ca="1">IFERROR(__xludf.DUMMYFUNCTION("""COMPUTED_VALUE"""),0)</f>
        <v>0</v>
      </c>
      <c r="S932" s="81"/>
      <c r="T932" s="81"/>
      <c r="U932" s="82"/>
      <c r="V932" s="82"/>
      <c r="W932" s="83"/>
      <c r="X932" s="83"/>
      <c r="Y932" s="83"/>
    </row>
    <row r="933" spans="1:25" ht="13.8">
      <c r="A933" s="78" t="str">
        <f ca="1">IFERROR(__xludf.DUMMYFUNCTION("""COMPUTED_VALUE"""),"HS")</f>
        <v>HS</v>
      </c>
      <c r="B933" s="79" t="str">
        <f ca="1">IFERROR(__xludf.DUMMYFUNCTION("""COMPUTED_VALUE"""),"Charlotte Berik")</f>
        <v>Charlotte Berik</v>
      </c>
      <c r="C933" s="78">
        <f ca="1">IFERROR(__xludf.DUMMYFUNCTION("""COMPUTED_VALUE"""),12)</f>
        <v>12</v>
      </c>
      <c r="D933" s="78" t="str">
        <f ca="1">IFERROR(__xludf.DUMMYFUNCTION("""COMPUTED_VALUE"""),"G")</f>
        <v>G</v>
      </c>
      <c r="E933" s="80" t="str">
        <f ca="1">IFERROR(__xludf.DUMMYFUNCTION("""COMPUTED_VALUE"""),"J")</f>
        <v>J</v>
      </c>
      <c r="F933" s="80" t="str">
        <f ca="1">IFERROR(__xludf.DUMMYFUNCTION("""COMPUTED_VALUE"""),"I")</f>
        <v>I</v>
      </c>
      <c r="G933" s="80">
        <f ca="1">IFERROR(__xludf.DUMMYFUNCTION("""COMPUTED_VALUE"""),4)</f>
        <v>4</v>
      </c>
      <c r="H933" s="80" t="str">
        <f ca="1">IFERROR(__xludf.DUMMYFUNCTION("""COMPUTED_VALUE"""),"HS")</f>
        <v>HS</v>
      </c>
      <c r="I933" s="80">
        <f ca="1">IFERROR(__xludf.DUMMYFUNCTION("""COMPUTED_VALUE"""),4)</f>
        <v>4</v>
      </c>
      <c r="J933" s="81">
        <f ca="1">IFERROR(__xludf.DUMMYFUNCTION("""COMPUTED_VALUE"""),5)</f>
        <v>5</v>
      </c>
      <c r="K933" s="81">
        <f ca="1">IFERROR(__xludf.DUMMYFUNCTION("""COMPUTED_VALUE"""),106.55)</f>
        <v>106.55</v>
      </c>
      <c r="L933" s="81">
        <f ca="1">IFERROR(__xludf.DUMMYFUNCTION("""COMPUTED_VALUE"""),84.05)</f>
        <v>84.05</v>
      </c>
      <c r="M933" s="81"/>
      <c r="N933" s="81">
        <f ca="1">IFERROR(__xludf.DUMMYFUNCTION("""COMPUTED_VALUE"""),106.55)</f>
        <v>106.55</v>
      </c>
      <c r="O933" s="81"/>
      <c r="P933" s="81">
        <f ca="1">IFERROR(__xludf.DUMMYFUNCTION("""COMPUTED_VALUE"""),86.7)</f>
        <v>86.7</v>
      </c>
      <c r="Q933" s="81"/>
      <c r="R933" s="81">
        <f ca="1">IFERROR(__xludf.DUMMYFUNCTION("""COMPUTED_VALUE"""),78.25)</f>
        <v>78.25</v>
      </c>
      <c r="S933" s="81"/>
      <c r="T933" s="81"/>
      <c r="U933" s="82"/>
      <c r="V933" s="82"/>
      <c r="W933" s="83"/>
      <c r="X933" s="83"/>
      <c r="Y933" s="83"/>
    </row>
    <row r="934" spans="1:25" ht="13.8">
      <c r="A934" s="78" t="str">
        <f ca="1">IFERROR(__xludf.DUMMYFUNCTION("""COMPUTED_VALUE"""),"HS")</f>
        <v>HS</v>
      </c>
      <c r="B934" s="79" t="str">
        <f ca="1">IFERROR(__xludf.DUMMYFUNCTION("""COMPUTED_VALUE"""),"Heloise Campbell")</f>
        <v>Heloise Campbell</v>
      </c>
      <c r="C934" s="78">
        <f ca="1">IFERROR(__xludf.DUMMYFUNCTION("""COMPUTED_VALUE"""),11)</f>
        <v>11</v>
      </c>
      <c r="D934" s="78" t="str">
        <f ca="1">IFERROR(__xludf.DUMMYFUNCTION("""COMPUTED_VALUE"""),"G")</f>
        <v>G</v>
      </c>
      <c r="E934" s="80" t="str">
        <f ca="1">IFERROR(__xludf.DUMMYFUNCTION("""COMPUTED_VALUE"""),"J")</f>
        <v>J</v>
      </c>
      <c r="F934" s="80" t="str">
        <f ca="1">IFERROR(__xludf.DUMMYFUNCTION("""COMPUTED_VALUE"""),"I")</f>
        <v>I</v>
      </c>
      <c r="G934" s="80">
        <f ca="1">IFERROR(__xludf.DUMMYFUNCTION("""COMPUTED_VALUE"""),4)</f>
        <v>4</v>
      </c>
      <c r="H934" s="80" t="str">
        <f ca="1">IFERROR(__xludf.DUMMYFUNCTION("""COMPUTED_VALUE"""),"HS")</f>
        <v>HS</v>
      </c>
      <c r="I934" s="80">
        <f ca="1">IFERROR(__xludf.DUMMYFUNCTION("""COMPUTED_VALUE"""),4)</f>
        <v>4</v>
      </c>
      <c r="J934" s="81">
        <f ca="1">IFERROR(__xludf.DUMMYFUNCTION("""COMPUTED_VALUE"""),0)</f>
        <v>0</v>
      </c>
      <c r="K934" s="81">
        <f ca="1">IFERROR(__xludf.DUMMYFUNCTION("""COMPUTED_VALUE"""),0)</f>
        <v>0</v>
      </c>
      <c r="L934" s="81">
        <f ca="1">IFERROR(__xludf.DUMMYFUNCTION("""COMPUTED_VALUE"""),0)</f>
        <v>0</v>
      </c>
      <c r="M934" s="81"/>
      <c r="N934" s="81">
        <f ca="1">IFERROR(__xludf.DUMMYFUNCTION("""COMPUTED_VALUE"""),0)</f>
        <v>0</v>
      </c>
      <c r="O934" s="81"/>
      <c r="P934" s="81">
        <f ca="1">IFERROR(__xludf.DUMMYFUNCTION("""COMPUTED_VALUE"""),0)</f>
        <v>0</v>
      </c>
      <c r="Q934" s="81"/>
      <c r="R934" s="81">
        <f ca="1">IFERROR(__xludf.DUMMYFUNCTION("""COMPUTED_VALUE"""),0)</f>
        <v>0</v>
      </c>
      <c r="S934" s="81"/>
      <c r="T934" s="81"/>
      <c r="U934" s="82"/>
      <c r="V934" s="82"/>
      <c r="W934" s="83"/>
      <c r="X934" s="83"/>
      <c r="Y934" s="83"/>
    </row>
    <row r="935" spans="1:25" ht="13.8">
      <c r="A935" s="78" t="str">
        <f ca="1">IFERROR(__xludf.DUMMYFUNCTION("""COMPUTED_VALUE"""),"HS")</f>
        <v>HS</v>
      </c>
      <c r="B935" s="79" t="str">
        <f ca="1">IFERROR(__xludf.DUMMYFUNCTION("""COMPUTED_VALUE"""),"Isabel Karam")</f>
        <v>Isabel Karam</v>
      </c>
      <c r="C935" s="78">
        <f ca="1">IFERROR(__xludf.DUMMYFUNCTION("""COMPUTED_VALUE"""),12)</f>
        <v>12</v>
      </c>
      <c r="D935" s="78" t="str">
        <f ca="1">IFERROR(__xludf.DUMMYFUNCTION("""COMPUTED_VALUE"""),"G")</f>
        <v>G</v>
      </c>
      <c r="E935" s="80" t="str">
        <f ca="1">IFERROR(__xludf.DUMMYFUNCTION("""COMPUTED_VALUE"""),"J")</f>
        <v>J</v>
      </c>
      <c r="F935" s="80" t="str">
        <f ca="1">IFERROR(__xludf.DUMMYFUNCTION("""COMPUTED_VALUE"""),"I")</f>
        <v>I</v>
      </c>
      <c r="G935" s="80">
        <f ca="1">IFERROR(__xludf.DUMMYFUNCTION("""COMPUTED_VALUE"""),4)</f>
        <v>4</v>
      </c>
      <c r="H935" s="80" t="str">
        <f ca="1">IFERROR(__xludf.DUMMYFUNCTION("""COMPUTED_VALUE"""),"HS")</f>
        <v>HS</v>
      </c>
      <c r="I935" s="80">
        <f ca="1">IFERROR(__xludf.DUMMYFUNCTION("""COMPUTED_VALUE"""),4)</f>
        <v>4</v>
      </c>
      <c r="J935" s="81">
        <f ca="1">IFERROR(__xludf.DUMMYFUNCTION("""COMPUTED_VALUE"""),3)</f>
        <v>3</v>
      </c>
      <c r="K935" s="81">
        <f ca="1">IFERROR(__xludf.DUMMYFUNCTION("""COMPUTED_VALUE"""),78.85)</f>
        <v>78.849999999999994</v>
      </c>
      <c r="L935" s="81">
        <f ca="1">IFERROR(__xludf.DUMMYFUNCTION("""COMPUTED_VALUE"""),0)</f>
        <v>0</v>
      </c>
      <c r="M935" s="81"/>
      <c r="N935" s="81">
        <f ca="1">IFERROR(__xludf.DUMMYFUNCTION("""COMPUTED_VALUE"""),0)</f>
        <v>0</v>
      </c>
      <c r="O935" s="81"/>
      <c r="P935" s="81">
        <f ca="1">IFERROR(__xludf.DUMMYFUNCTION("""COMPUTED_VALUE"""),-77.6)</f>
        <v>-77.599999999999994</v>
      </c>
      <c r="Q935" s="81"/>
      <c r="R935" s="81">
        <f ca="1">IFERROR(__xludf.DUMMYFUNCTION("""COMPUTED_VALUE"""),78.85)</f>
        <v>78.849999999999994</v>
      </c>
      <c r="S935" s="81"/>
      <c r="T935" s="81"/>
      <c r="U935" s="82"/>
      <c r="V935" s="82"/>
      <c r="W935" s="83"/>
      <c r="X935" s="83"/>
      <c r="Y935" s="83"/>
    </row>
    <row r="936" spans="1:25" ht="13.8">
      <c r="A936" s="78" t="str">
        <f ca="1">IFERROR(__xludf.DUMMYFUNCTION("""COMPUTED_VALUE"""),"HS")</f>
        <v>HS</v>
      </c>
      <c r="B936" s="79" t="str">
        <f ca="1">IFERROR(__xludf.DUMMYFUNCTION("""COMPUTED_VALUE"""),"Lauren Kleinberg")</f>
        <v>Lauren Kleinberg</v>
      </c>
      <c r="C936" s="78">
        <f ca="1">IFERROR(__xludf.DUMMYFUNCTION("""COMPUTED_VALUE"""),12)</f>
        <v>12</v>
      </c>
      <c r="D936" s="78" t="str">
        <f ca="1">IFERROR(__xludf.DUMMYFUNCTION("""COMPUTED_VALUE"""),"G")</f>
        <v>G</v>
      </c>
      <c r="E936" s="80" t="str">
        <f ca="1">IFERROR(__xludf.DUMMYFUNCTION("""COMPUTED_VALUE"""),"J")</f>
        <v>J</v>
      </c>
      <c r="F936" s="80" t="str">
        <f ca="1">IFERROR(__xludf.DUMMYFUNCTION("""COMPUTED_VALUE"""),"I")</f>
        <v>I</v>
      </c>
      <c r="G936" s="80">
        <f ca="1">IFERROR(__xludf.DUMMYFUNCTION("""COMPUTED_VALUE"""),4)</f>
        <v>4</v>
      </c>
      <c r="H936" s="80" t="str">
        <f ca="1">IFERROR(__xludf.DUMMYFUNCTION("""COMPUTED_VALUE"""),"HS")</f>
        <v>HS</v>
      </c>
      <c r="I936" s="80">
        <f ca="1">IFERROR(__xludf.DUMMYFUNCTION("""COMPUTED_VALUE"""),4)</f>
        <v>4</v>
      </c>
      <c r="J936" s="81">
        <f ca="1">IFERROR(__xludf.DUMMYFUNCTION("""COMPUTED_VALUE"""),1)</f>
        <v>1</v>
      </c>
      <c r="K936" s="81">
        <f ca="1">IFERROR(__xludf.DUMMYFUNCTION("""COMPUTED_VALUE"""),57.7)</f>
        <v>57.7</v>
      </c>
      <c r="L936" s="81">
        <f ca="1">IFERROR(__xludf.DUMMYFUNCTION("""COMPUTED_VALUE"""),0)</f>
        <v>0</v>
      </c>
      <c r="M936" s="81"/>
      <c r="N936" s="81">
        <f ca="1">IFERROR(__xludf.DUMMYFUNCTION("""COMPUTED_VALUE"""),0)</f>
        <v>0</v>
      </c>
      <c r="O936" s="81"/>
      <c r="P936" s="81">
        <f ca="1">IFERROR(__xludf.DUMMYFUNCTION("""COMPUTED_VALUE"""),0)</f>
        <v>0</v>
      </c>
      <c r="Q936" s="81"/>
      <c r="R936" s="81">
        <f ca="1">IFERROR(__xludf.DUMMYFUNCTION("""COMPUTED_VALUE"""),57.7)</f>
        <v>57.7</v>
      </c>
      <c r="S936" s="81"/>
      <c r="T936" s="81"/>
      <c r="U936" s="82"/>
      <c r="V936" s="82"/>
      <c r="W936" s="83"/>
      <c r="X936" s="83"/>
      <c r="Y936" s="83"/>
    </row>
    <row r="937" spans="1:25" ht="13.8">
      <c r="A937" s="78" t="str">
        <f ca="1">IFERROR(__xludf.DUMMYFUNCTION("""COMPUTED_VALUE"""),"HS")</f>
        <v>HS</v>
      </c>
      <c r="B937" s="79" t="str">
        <f ca="1">IFERROR(__xludf.DUMMYFUNCTION("""COMPUTED_VALUE"""),"Grace Noonan")</f>
        <v>Grace Noonan</v>
      </c>
      <c r="C937" s="78">
        <f ca="1">IFERROR(__xludf.DUMMYFUNCTION("""COMPUTED_VALUE"""),11)</f>
        <v>11</v>
      </c>
      <c r="D937" s="78" t="str">
        <f ca="1">IFERROR(__xludf.DUMMYFUNCTION("""COMPUTED_VALUE"""),"G")</f>
        <v>G</v>
      </c>
      <c r="E937" s="80" t="str">
        <f ca="1">IFERROR(__xludf.DUMMYFUNCTION("""COMPUTED_VALUE"""),"J")</f>
        <v>J</v>
      </c>
      <c r="F937" s="80" t="str">
        <f ca="1">IFERROR(__xludf.DUMMYFUNCTION("""COMPUTED_VALUE"""),"I")</f>
        <v>I</v>
      </c>
      <c r="G937" s="80">
        <f ca="1">IFERROR(__xludf.DUMMYFUNCTION("""COMPUTED_VALUE"""),4)</f>
        <v>4</v>
      </c>
      <c r="H937" s="80" t="str">
        <f ca="1">IFERROR(__xludf.DUMMYFUNCTION("""COMPUTED_VALUE"""),"HS")</f>
        <v>HS</v>
      </c>
      <c r="I937" s="80">
        <f ca="1">IFERROR(__xludf.DUMMYFUNCTION("""COMPUTED_VALUE"""),4)</f>
        <v>4</v>
      </c>
      <c r="J937" s="81">
        <f ca="1">IFERROR(__xludf.DUMMYFUNCTION("""COMPUTED_VALUE"""),0)</f>
        <v>0</v>
      </c>
      <c r="K937" s="81">
        <f ca="1">IFERROR(__xludf.DUMMYFUNCTION("""COMPUTED_VALUE"""),0)</f>
        <v>0</v>
      </c>
      <c r="L937" s="81">
        <f ca="1">IFERROR(__xludf.DUMMYFUNCTION("""COMPUTED_VALUE"""),0)</f>
        <v>0</v>
      </c>
      <c r="M937" s="81"/>
      <c r="N937" s="81">
        <f ca="1">IFERROR(__xludf.DUMMYFUNCTION("""COMPUTED_VALUE"""),0)</f>
        <v>0</v>
      </c>
      <c r="O937" s="81"/>
      <c r="P937" s="81">
        <f ca="1">IFERROR(__xludf.DUMMYFUNCTION("""COMPUTED_VALUE"""),0)</f>
        <v>0</v>
      </c>
      <c r="Q937" s="81"/>
      <c r="R937" s="81">
        <f ca="1">IFERROR(__xludf.DUMMYFUNCTION("""COMPUTED_VALUE"""),0)</f>
        <v>0</v>
      </c>
      <c r="S937" s="81"/>
      <c r="T937" s="81"/>
      <c r="U937" s="82"/>
      <c r="V937" s="82"/>
      <c r="W937" s="83"/>
      <c r="X937" s="83"/>
      <c r="Y937" s="83"/>
    </row>
    <row r="938" spans="1:25" ht="13.8">
      <c r="A938" s="78" t="str">
        <f ca="1">IFERROR(__xludf.DUMMYFUNCTION("""COMPUTED_VALUE"""),"HS")</f>
        <v>HS</v>
      </c>
      <c r="B938" s="79" t="str">
        <f ca="1">IFERROR(__xludf.DUMMYFUNCTION("""COMPUTED_VALUE"""),"Claire O’Sullivan")</f>
        <v>Claire O’Sullivan</v>
      </c>
      <c r="C938" s="78">
        <f ca="1">IFERROR(__xludf.DUMMYFUNCTION("""COMPUTED_VALUE"""),11)</f>
        <v>11</v>
      </c>
      <c r="D938" s="78" t="str">
        <f ca="1">IFERROR(__xludf.DUMMYFUNCTION("""COMPUTED_VALUE"""),"G")</f>
        <v>G</v>
      </c>
      <c r="E938" s="80" t="str">
        <f ca="1">IFERROR(__xludf.DUMMYFUNCTION("""COMPUTED_VALUE"""),"J")</f>
        <v>J</v>
      </c>
      <c r="F938" s="80" t="str">
        <f ca="1">IFERROR(__xludf.DUMMYFUNCTION("""COMPUTED_VALUE"""),"I")</f>
        <v>I</v>
      </c>
      <c r="G938" s="80">
        <f ca="1">IFERROR(__xludf.DUMMYFUNCTION("""COMPUTED_VALUE"""),4)</f>
        <v>4</v>
      </c>
      <c r="H938" s="80" t="str">
        <f ca="1">IFERROR(__xludf.DUMMYFUNCTION("""COMPUTED_VALUE"""),"HS")</f>
        <v>HS</v>
      </c>
      <c r="I938" s="80">
        <f ca="1">IFERROR(__xludf.DUMMYFUNCTION("""COMPUTED_VALUE"""),4)</f>
        <v>4</v>
      </c>
      <c r="J938" s="81">
        <f ca="1">IFERROR(__xludf.DUMMYFUNCTION("""COMPUTED_VALUE"""),1)</f>
        <v>1</v>
      </c>
      <c r="K938" s="81">
        <f ca="1">IFERROR(__xludf.DUMMYFUNCTION("""COMPUTED_VALUE"""),0)</f>
        <v>0</v>
      </c>
      <c r="L938" s="81">
        <f ca="1">IFERROR(__xludf.DUMMYFUNCTION("""COMPUTED_VALUE"""),0)</f>
        <v>0</v>
      </c>
      <c r="M938" s="81"/>
      <c r="N938" s="81">
        <f ca="1">IFERROR(__xludf.DUMMYFUNCTION("""COMPUTED_VALUE"""),0)</f>
        <v>0</v>
      </c>
      <c r="O938" s="81"/>
      <c r="P938" s="81">
        <f ca="1">IFERROR(__xludf.DUMMYFUNCTION("""COMPUTED_VALUE"""),0)</f>
        <v>0</v>
      </c>
      <c r="Q938" s="81"/>
      <c r="R938" s="81">
        <f ca="1">IFERROR(__xludf.DUMMYFUNCTION("""COMPUTED_VALUE"""),0)</f>
        <v>0</v>
      </c>
      <c r="S938" s="81"/>
      <c r="T938" s="81"/>
      <c r="U938" s="82"/>
      <c r="V938" s="82"/>
      <c r="W938" s="83"/>
      <c r="X938" s="83"/>
      <c r="Y938" s="83"/>
    </row>
    <row r="939" spans="1:25" ht="13.8">
      <c r="A939" s="78" t="str">
        <f ca="1">IFERROR(__xludf.DUMMYFUNCTION("""COMPUTED_VALUE"""),"HS")</f>
        <v>HS</v>
      </c>
      <c r="B939" s="79" t="str">
        <f ca="1">IFERROR(__xludf.DUMMYFUNCTION("""COMPUTED_VALUE"""),"Madeline Roche")</f>
        <v>Madeline Roche</v>
      </c>
      <c r="C939" s="78">
        <f ca="1">IFERROR(__xludf.DUMMYFUNCTION("""COMPUTED_VALUE"""),11)</f>
        <v>11</v>
      </c>
      <c r="D939" s="78" t="str">
        <f ca="1">IFERROR(__xludf.DUMMYFUNCTION("""COMPUTED_VALUE"""),"G")</f>
        <v>G</v>
      </c>
      <c r="E939" s="80" t="str">
        <f ca="1">IFERROR(__xludf.DUMMYFUNCTION("""COMPUTED_VALUE"""),"J")</f>
        <v>J</v>
      </c>
      <c r="F939" s="80" t="str">
        <f ca="1">IFERROR(__xludf.DUMMYFUNCTION("""COMPUTED_VALUE"""),"I")</f>
        <v>I</v>
      </c>
      <c r="G939" s="80">
        <f ca="1">IFERROR(__xludf.DUMMYFUNCTION("""COMPUTED_VALUE"""),4)</f>
        <v>4</v>
      </c>
      <c r="H939" s="80" t="str">
        <f ca="1">IFERROR(__xludf.DUMMYFUNCTION("""COMPUTED_VALUE"""),"HS")</f>
        <v>HS</v>
      </c>
      <c r="I939" s="80">
        <f ca="1">IFERROR(__xludf.DUMMYFUNCTION("""COMPUTED_VALUE"""),4)</f>
        <v>4</v>
      </c>
      <c r="J939" s="81">
        <f ca="1">IFERROR(__xludf.DUMMYFUNCTION("""COMPUTED_VALUE"""),2)</f>
        <v>2</v>
      </c>
      <c r="K939" s="81">
        <f ca="1">IFERROR(__xludf.DUMMYFUNCTION("""COMPUTED_VALUE"""),85)</f>
        <v>85</v>
      </c>
      <c r="L939" s="81">
        <f ca="1">IFERROR(__xludf.DUMMYFUNCTION("""COMPUTED_VALUE"""),0)</f>
        <v>0</v>
      </c>
      <c r="M939" s="81"/>
      <c r="N939" s="81">
        <f ca="1">IFERROR(__xludf.DUMMYFUNCTION("""COMPUTED_VALUE"""),85)</f>
        <v>85</v>
      </c>
      <c r="O939" s="81"/>
      <c r="P939" s="81">
        <f ca="1">IFERROR(__xludf.DUMMYFUNCTION("""COMPUTED_VALUE"""),72.2)</f>
        <v>72.2</v>
      </c>
      <c r="Q939" s="81"/>
      <c r="R939" s="81">
        <f ca="1">IFERROR(__xludf.DUMMYFUNCTION("""COMPUTED_VALUE"""),0)</f>
        <v>0</v>
      </c>
      <c r="S939" s="81"/>
      <c r="T939" s="81"/>
      <c r="U939" s="82"/>
      <c r="V939" s="82"/>
      <c r="W939" s="83"/>
      <c r="X939" s="83"/>
      <c r="Y939" s="83"/>
    </row>
    <row r="940" spans="1:25" ht="13.8">
      <c r="A940" s="78" t="str">
        <f ca="1">IFERROR(__xludf.DUMMYFUNCTION("""COMPUTED_VALUE"""),"HS")</f>
        <v>HS</v>
      </c>
      <c r="B940" s="79" t="str">
        <f ca="1">IFERROR(__xludf.DUMMYFUNCTION("""COMPUTED_VALUE"""),"Margaret-May Segreti")</f>
        <v>Margaret-May Segreti</v>
      </c>
      <c r="C940" s="78">
        <f ca="1">IFERROR(__xludf.DUMMYFUNCTION("""COMPUTED_VALUE"""),11)</f>
        <v>11</v>
      </c>
      <c r="D940" s="78" t="str">
        <f ca="1">IFERROR(__xludf.DUMMYFUNCTION("""COMPUTED_VALUE"""),"G")</f>
        <v>G</v>
      </c>
      <c r="E940" s="80" t="str">
        <f ca="1">IFERROR(__xludf.DUMMYFUNCTION("""COMPUTED_VALUE"""),"J")</f>
        <v>J</v>
      </c>
      <c r="F940" s="80" t="str">
        <f ca="1">IFERROR(__xludf.DUMMYFUNCTION("""COMPUTED_VALUE"""),"I")</f>
        <v>I</v>
      </c>
      <c r="G940" s="80">
        <f ca="1">IFERROR(__xludf.DUMMYFUNCTION("""COMPUTED_VALUE"""),4)</f>
        <v>4</v>
      </c>
      <c r="H940" s="80" t="str">
        <f ca="1">IFERROR(__xludf.DUMMYFUNCTION("""COMPUTED_VALUE"""),"HS")</f>
        <v>HS</v>
      </c>
      <c r="I940" s="80">
        <f ca="1">IFERROR(__xludf.DUMMYFUNCTION("""COMPUTED_VALUE"""),4)</f>
        <v>4</v>
      </c>
      <c r="J940" s="81">
        <f ca="1">IFERROR(__xludf.DUMMYFUNCTION("""COMPUTED_VALUE"""),0)</f>
        <v>0</v>
      </c>
      <c r="K940" s="81">
        <f ca="1">IFERROR(__xludf.DUMMYFUNCTION("""COMPUTED_VALUE"""),0)</f>
        <v>0</v>
      </c>
      <c r="L940" s="81">
        <f ca="1">IFERROR(__xludf.DUMMYFUNCTION("""COMPUTED_VALUE"""),0)</f>
        <v>0</v>
      </c>
      <c r="M940" s="81"/>
      <c r="N940" s="81">
        <f ca="1">IFERROR(__xludf.DUMMYFUNCTION("""COMPUTED_VALUE"""),0)</f>
        <v>0</v>
      </c>
      <c r="O940" s="81"/>
      <c r="P940" s="81">
        <f ca="1">IFERROR(__xludf.DUMMYFUNCTION("""COMPUTED_VALUE"""),0)</f>
        <v>0</v>
      </c>
      <c r="Q940" s="81"/>
      <c r="R940" s="81">
        <f ca="1">IFERROR(__xludf.DUMMYFUNCTION("""COMPUTED_VALUE"""),0)</f>
        <v>0</v>
      </c>
      <c r="S940" s="81"/>
      <c r="T940" s="81"/>
      <c r="U940" s="82"/>
      <c r="V940" s="82"/>
      <c r="W940" s="83"/>
      <c r="X940" s="83"/>
      <c r="Y940" s="83"/>
    </row>
    <row r="941" spans="1:25" ht="13.8">
      <c r="A941" s="78" t="str">
        <f ca="1">IFERROR(__xludf.DUMMYFUNCTION("""COMPUTED_VALUE"""),"HS")</f>
        <v>HS</v>
      </c>
      <c r="B941" s="79" t="str">
        <f ca="1">IFERROR(__xludf.DUMMYFUNCTION("""COMPUTED_VALUE"""),"Abigail Taylor")</f>
        <v>Abigail Taylor</v>
      </c>
      <c r="C941" s="78">
        <f ca="1">IFERROR(__xludf.DUMMYFUNCTION("""COMPUTED_VALUE"""),11)</f>
        <v>11</v>
      </c>
      <c r="D941" s="78" t="str">
        <f ca="1">IFERROR(__xludf.DUMMYFUNCTION("""COMPUTED_VALUE"""),"G")</f>
        <v>G</v>
      </c>
      <c r="E941" s="80" t="str">
        <f ca="1">IFERROR(__xludf.DUMMYFUNCTION("""COMPUTED_VALUE"""),"J")</f>
        <v>J</v>
      </c>
      <c r="F941" s="80" t="str">
        <f ca="1">IFERROR(__xludf.DUMMYFUNCTION("""COMPUTED_VALUE"""),"I")</f>
        <v>I</v>
      </c>
      <c r="G941" s="80">
        <f ca="1">IFERROR(__xludf.DUMMYFUNCTION("""COMPUTED_VALUE"""),4)</f>
        <v>4</v>
      </c>
      <c r="H941" s="80" t="str">
        <f ca="1">IFERROR(__xludf.DUMMYFUNCTION("""COMPUTED_VALUE"""),"HS")</f>
        <v>HS</v>
      </c>
      <c r="I941" s="80">
        <f ca="1">IFERROR(__xludf.DUMMYFUNCTION("""COMPUTED_VALUE"""),4)</f>
        <v>4</v>
      </c>
      <c r="J941" s="81">
        <f ca="1">IFERROR(__xludf.DUMMYFUNCTION("""COMPUTED_VALUE"""),2)</f>
        <v>2</v>
      </c>
      <c r="K941" s="81">
        <f ca="1">IFERROR(__xludf.DUMMYFUNCTION("""COMPUTED_VALUE"""),67.9)</f>
        <v>67.900000000000006</v>
      </c>
      <c r="L941" s="81">
        <f ca="1">IFERROR(__xludf.DUMMYFUNCTION("""COMPUTED_VALUE"""),48.85)</f>
        <v>48.85</v>
      </c>
      <c r="M941" s="81"/>
      <c r="N941" s="81">
        <f ca="1">IFERROR(__xludf.DUMMYFUNCTION("""COMPUTED_VALUE"""),0)</f>
        <v>0</v>
      </c>
      <c r="O941" s="81"/>
      <c r="P941" s="81">
        <f ca="1">IFERROR(__xludf.DUMMYFUNCTION("""COMPUTED_VALUE"""),0)</f>
        <v>0</v>
      </c>
      <c r="Q941" s="81"/>
      <c r="R941" s="81">
        <f ca="1">IFERROR(__xludf.DUMMYFUNCTION("""COMPUTED_VALUE"""),67.9)</f>
        <v>67.900000000000006</v>
      </c>
      <c r="S941" s="81"/>
      <c r="T941" s="81"/>
      <c r="U941" s="82"/>
      <c r="V941" s="82"/>
      <c r="W941" s="83"/>
      <c r="X941" s="83"/>
      <c r="Y941" s="83"/>
    </row>
    <row r="942" spans="1:25" ht="13.8">
      <c r="A942" s="78" t="str">
        <f ca="1">IFERROR(__xludf.DUMMYFUNCTION("""COMPUTED_VALUE"""),"HS")</f>
        <v>HS</v>
      </c>
      <c r="B942" s="79" t="str">
        <f ca="1">IFERROR(__xludf.DUMMYFUNCTION("""COMPUTED_VALUE"""),"Axel Fitzharris")</f>
        <v>Axel Fitzharris</v>
      </c>
      <c r="C942" s="78">
        <f ca="1">IFERROR(__xludf.DUMMYFUNCTION("""COMPUTED_VALUE"""),12)</f>
        <v>12</v>
      </c>
      <c r="D942" s="78" t="str">
        <f ca="1">IFERROR(__xludf.DUMMYFUNCTION("""COMPUTED_VALUE"""),"B")</f>
        <v>B</v>
      </c>
      <c r="E942" s="80" t="str">
        <f ca="1">IFERROR(__xludf.DUMMYFUNCTION("""COMPUTED_VALUE"""),"J")</f>
        <v>J</v>
      </c>
      <c r="F942" s="80" t="str">
        <f ca="1">IFERROR(__xludf.DUMMYFUNCTION("""COMPUTED_VALUE"""),"I")</f>
        <v>I</v>
      </c>
      <c r="G942" s="80">
        <f ca="1">IFERROR(__xludf.DUMMYFUNCTION("""COMPUTED_VALUE"""),4)</f>
        <v>4</v>
      </c>
      <c r="H942" s="80" t="str">
        <f ca="1">IFERROR(__xludf.DUMMYFUNCTION("""COMPUTED_VALUE"""),"HS")</f>
        <v>HS</v>
      </c>
      <c r="I942" s="80">
        <f ca="1">IFERROR(__xludf.DUMMYFUNCTION("""COMPUTED_VALUE"""),5)</f>
        <v>5</v>
      </c>
      <c r="J942" s="81">
        <f ca="1">IFERROR(__xludf.DUMMYFUNCTION("""COMPUTED_VALUE"""),0)</f>
        <v>0</v>
      </c>
      <c r="K942" s="81">
        <f ca="1">IFERROR(__xludf.DUMMYFUNCTION("""COMPUTED_VALUE"""),0)</f>
        <v>0</v>
      </c>
      <c r="L942" s="81">
        <f ca="1">IFERROR(__xludf.DUMMYFUNCTION("""COMPUTED_VALUE"""),0)</f>
        <v>0</v>
      </c>
      <c r="M942" s="81"/>
      <c r="N942" s="81">
        <f ca="1">IFERROR(__xludf.DUMMYFUNCTION("""COMPUTED_VALUE"""),0)</f>
        <v>0</v>
      </c>
      <c r="O942" s="81"/>
      <c r="P942" s="81">
        <f ca="1">IFERROR(__xludf.DUMMYFUNCTION("""COMPUTED_VALUE"""),0)</f>
        <v>0</v>
      </c>
      <c r="Q942" s="81"/>
      <c r="R942" s="81">
        <f ca="1">IFERROR(__xludf.DUMMYFUNCTION("""COMPUTED_VALUE"""),0)</f>
        <v>0</v>
      </c>
      <c r="S942" s="81"/>
      <c r="T942" s="81"/>
      <c r="U942" s="82"/>
      <c r="V942" s="82"/>
      <c r="W942" s="83"/>
      <c r="X942" s="83"/>
      <c r="Y942" s="83"/>
    </row>
    <row r="943" spans="1:25" ht="13.8">
      <c r="A943" s="78" t="str">
        <f ca="1">IFERROR(__xludf.DUMMYFUNCTION("""COMPUTED_VALUE"""),"HS")</f>
        <v>HS</v>
      </c>
      <c r="B943" s="79" t="str">
        <f ca="1">IFERROR(__xludf.DUMMYFUNCTION("""COMPUTED_VALUE"""),"Jay Gillen")</f>
        <v>Jay Gillen</v>
      </c>
      <c r="C943" s="78">
        <f ca="1">IFERROR(__xludf.DUMMYFUNCTION("""COMPUTED_VALUE"""),11)</f>
        <v>11</v>
      </c>
      <c r="D943" s="78" t="str">
        <f ca="1">IFERROR(__xludf.DUMMYFUNCTION("""COMPUTED_VALUE"""),"B")</f>
        <v>B</v>
      </c>
      <c r="E943" s="80" t="str">
        <f ca="1">IFERROR(__xludf.DUMMYFUNCTION("""COMPUTED_VALUE"""),"J")</f>
        <v>J</v>
      </c>
      <c r="F943" s="80" t="str">
        <f ca="1">IFERROR(__xludf.DUMMYFUNCTION("""COMPUTED_VALUE"""),"I")</f>
        <v>I</v>
      </c>
      <c r="G943" s="80">
        <f ca="1">IFERROR(__xludf.DUMMYFUNCTION("""COMPUTED_VALUE"""),4)</f>
        <v>4</v>
      </c>
      <c r="H943" s="80" t="str">
        <f ca="1">IFERROR(__xludf.DUMMYFUNCTION("""COMPUTED_VALUE"""),"HS")</f>
        <v>HS</v>
      </c>
      <c r="I943" s="80">
        <f ca="1">IFERROR(__xludf.DUMMYFUNCTION("""COMPUTED_VALUE"""),5)</f>
        <v>5</v>
      </c>
      <c r="J943" s="81">
        <f ca="1">IFERROR(__xludf.DUMMYFUNCTION("""COMPUTED_VALUE"""),0)</f>
        <v>0</v>
      </c>
      <c r="K943" s="81">
        <f ca="1">IFERROR(__xludf.DUMMYFUNCTION("""COMPUTED_VALUE"""),0)</f>
        <v>0</v>
      </c>
      <c r="L943" s="81">
        <f ca="1">IFERROR(__xludf.DUMMYFUNCTION("""COMPUTED_VALUE"""),0)</f>
        <v>0</v>
      </c>
      <c r="M943" s="81"/>
      <c r="N943" s="81">
        <f ca="1">IFERROR(__xludf.DUMMYFUNCTION("""COMPUTED_VALUE"""),0)</f>
        <v>0</v>
      </c>
      <c r="O943" s="81"/>
      <c r="P943" s="81">
        <f ca="1">IFERROR(__xludf.DUMMYFUNCTION("""COMPUTED_VALUE"""),0)</f>
        <v>0</v>
      </c>
      <c r="Q943" s="81"/>
      <c r="R943" s="81">
        <f ca="1">IFERROR(__xludf.DUMMYFUNCTION("""COMPUTED_VALUE"""),0)</f>
        <v>0</v>
      </c>
      <c r="S943" s="81"/>
      <c r="T943" s="81"/>
      <c r="U943" s="82"/>
      <c r="V943" s="82"/>
      <c r="W943" s="83"/>
      <c r="X943" s="83"/>
      <c r="Y943" s="83"/>
    </row>
    <row r="944" spans="1:25" ht="13.8">
      <c r="A944" s="78" t="str">
        <f ca="1">IFERROR(__xludf.DUMMYFUNCTION("""COMPUTED_VALUE"""),"HS")</f>
        <v>HS</v>
      </c>
      <c r="B944" s="79" t="str">
        <f ca="1">IFERROR(__xludf.DUMMYFUNCTION("""COMPUTED_VALUE"""),"Adrith Kamat")</f>
        <v>Adrith Kamat</v>
      </c>
      <c r="C944" s="78">
        <f ca="1">IFERROR(__xludf.DUMMYFUNCTION("""COMPUTED_VALUE"""),11)</f>
        <v>11</v>
      </c>
      <c r="D944" s="78" t="str">
        <f ca="1">IFERROR(__xludf.DUMMYFUNCTION("""COMPUTED_VALUE"""),"B")</f>
        <v>B</v>
      </c>
      <c r="E944" s="80" t="str">
        <f ca="1">IFERROR(__xludf.DUMMYFUNCTION("""COMPUTED_VALUE"""),"J")</f>
        <v>J</v>
      </c>
      <c r="F944" s="80" t="str">
        <f ca="1">IFERROR(__xludf.DUMMYFUNCTION("""COMPUTED_VALUE"""),"I")</f>
        <v>I</v>
      </c>
      <c r="G944" s="80">
        <f ca="1">IFERROR(__xludf.DUMMYFUNCTION("""COMPUTED_VALUE"""),4)</f>
        <v>4</v>
      </c>
      <c r="H944" s="80" t="str">
        <f ca="1">IFERROR(__xludf.DUMMYFUNCTION("""COMPUTED_VALUE"""),"HS")</f>
        <v>HS</v>
      </c>
      <c r="I944" s="80">
        <f ca="1">IFERROR(__xludf.DUMMYFUNCTION("""COMPUTED_VALUE"""),5)</f>
        <v>5</v>
      </c>
      <c r="J944" s="81">
        <f ca="1">IFERROR(__xludf.DUMMYFUNCTION("""COMPUTED_VALUE"""),1)</f>
        <v>1</v>
      </c>
      <c r="K944" s="81">
        <f ca="1">IFERROR(__xludf.DUMMYFUNCTION("""COMPUTED_VALUE"""),50.5)</f>
        <v>50.5</v>
      </c>
      <c r="L944" s="81">
        <f ca="1">IFERROR(__xludf.DUMMYFUNCTION("""COMPUTED_VALUE"""),0)</f>
        <v>0</v>
      </c>
      <c r="M944" s="81"/>
      <c r="N944" s="81">
        <f ca="1">IFERROR(__xludf.DUMMYFUNCTION("""COMPUTED_VALUE"""),50.5)</f>
        <v>50.5</v>
      </c>
      <c r="O944" s="81"/>
      <c r="P944" s="81">
        <f ca="1">IFERROR(__xludf.DUMMYFUNCTION("""COMPUTED_VALUE"""),0)</f>
        <v>0</v>
      </c>
      <c r="Q944" s="81"/>
      <c r="R944" s="81">
        <f ca="1">IFERROR(__xludf.DUMMYFUNCTION("""COMPUTED_VALUE"""),0)</f>
        <v>0</v>
      </c>
      <c r="S944" s="81"/>
      <c r="T944" s="81"/>
      <c r="U944" s="82"/>
      <c r="V944" s="82"/>
      <c r="W944" s="83"/>
      <c r="X944" s="83"/>
      <c r="Y944" s="83"/>
    </row>
    <row r="945" spans="1:25" ht="13.8">
      <c r="A945" s="78" t="str">
        <f ca="1">IFERROR(__xludf.DUMMYFUNCTION("""COMPUTED_VALUE"""),"HS")</f>
        <v>HS</v>
      </c>
      <c r="B945" s="79" t="str">
        <f ca="1">IFERROR(__xludf.DUMMYFUNCTION("""COMPUTED_VALUE"""),"Walter Shiu")</f>
        <v>Walter Shiu</v>
      </c>
      <c r="C945" s="78">
        <f ca="1">IFERROR(__xludf.DUMMYFUNCTION("""COMPUTED_VALUE"""),11)</f>
        <v>11</v>
      </c>
      <c r="D945" s="78" t="str">
        <f ca="1">IFERROR(__xludf.DUMMYFUNCTION("""COMPUTED_VALUE"""),"B")</f>
        <v>B</v>
      </c>
      <c r="E945" s="80" t="str">
        <f ca="1">IFERROR(__xludf.DUMMYFUNCTION("""COMPUTED_VALUE"""),"J")</f>
        <v>J</v>
      </c>
      <c r="F945" s="80" t="str">
        <f ca="1">IFERROR(__xludf.DUMMYFUNCTION("""COMPUTED_VALUE"""),"I")</f>
        <v>I</v>
      </c>
      <c r="G945" s="80">
        <f ca="1">IFERROR(__xludf.DUMMYFUNCTION("""COMPUTED_VALUE"""),4)</f>
        <v>4</v>
      </c>
      <c r="H945" s="80" t="str">
        <f ca="1">IFERROR(__xludf.DUMMYFUNCTION("""COMPUTED_VALUE"""),"HS")</f>
        <v>HS</v>
      </c>
      <c r="I945" s="80">
        <f ca="1">IFERROR(__xludf.DUMMYFUNCTION("""COMPUTED_VALUE"""),5)</f>
        <v>5</v>
      </c>
      <c r="J945" s="81">
        <f ca="1">IFERROR(__xludf.DUMMYFUNCTION("""COMPUTED_VALUE"""),2)</f>
        <v>2</v>
      </c>
      <c r="K945" s="81">
        <f ca="1">IFERROR(__xludf.DUMMYFUNCTION("""COMPUTED_VALUE"""),50)</f>
        <v>50</v>
      </c>
      <c r="L945" s="81">
        <f ca="1">IFERROR(__xludf.DUMMYFUNCTION("""COMPUTED_VALUE"""),0)</f>
        <v>0</v>
      </c>
      <c r="M945" s="81"/>
      <c r="N945" s="81">
        <f ca="1">IFERROR(__xludf.DUMMYFUNCTION("""COMPUTED_VALUE"""),0)</f>
        <v>0</v>
      </c>
      <c r="O945" s="81"/>
      <c r="P945" s="81">
        <f ca="1">IFERROR(__xludf.DUMMYFUNCTION("""COMPUTED_VALUE"""),50)</f>
        <v>50</v>
      </c>
      <c r="Q945" s="81"/>
      <c r="R945" s="81">
        <f ca="1">IFERROR(__xludf.DUMMYFUNCTION("""COMPUTED_VALUE"""),0)</f>
        <v>0</v>
      </c>
      <c r="S945" s="81"/>
      <c r="T945" s="81"/>
      <c r="U945" s="82"/>
      <c r="V945" s="82"/>
      <c r="W945" s="83"/>
      <c r="X945" s="83"/>
      <c r="Y945" s="83"/>
    </row>
    <row r="946" spans="1:25" ht="13.8">
      <c r="A946" s="78" t="str">
        <f ca="1">IFERROR(__xludf.DUMMYFUNCTION("""COMPUTED_VALUE"""),"HS")</f>
        <v>HS</v>
      </c>
      <c r="B946" s="79" t="str">
        <f ca="1">IFERROR(__xludf.DUMMYFUNCTION("""COMPUTED_VALUE"""),"Grace Berik")</f>
        <v>Grace Berik</v>
      </c>
      <c r="C946" s="78">
        <f ca="1">IFERROR(__xludf.DUMMYFUNCTION("""COMPUTED_VALUE"""),13)</f>
        <v>13</v>
      </c>
      <c r="D946" s="78" t="str">
        <f ca="1">IFERROR(__xludf.DUMMYFUNCTION("""COMPUTED_VALUE"""),"G")</f>
        <v>G</v>
      </c>
      <c r="E946" s="80" t="str">
        <f ca="1">IFERROR(__xludf.DUMMYFUNCTION("""COMPUTED_VALUE"""),"I")</f>
        <v>I</v>
      </c>
      <c r="F946" s="80" t="str">
        <f ca="1">IFERROR(__xludf.DUMMYFUNCTION("""COMPUTED_VALUE"""),"S")</f>
        <v>S</v>
      </c>
      <c r="G946" s="80">
        <f ca="1">IFERROR(__xludf.DUMMYFUNCTION("""COMPUTED_VALUE"""),4)</f>
        <v>4</v>
      </c>
      <c r="H946" s="80" t="str">
        <f ca="1">IFERROR(__xludf.DUMMYFUNCTION("""COMPUTED_VALUE"""),"HS")</f>
        <v>HS</v>
      </c>
      <c r="I946" s="80">
        <f ca="1">IFERROR(__xludf.DUMMYFUNCTION("""COMPUTED_VALUE"""),6)</f>
        <v>6</v>
      </c>
      <c r="J946" s="81">
        <f ca="1">IFERROR(__xludf.DUMMYFUNCTION("""COMPUTED_VALUE"""),4)</f>
        <v>4</v>
      </c>
      <c r="K946" s="81">
        <f ca="1">IFERROR(__xludf.DUMMYFUNCTION("""COMPUTED_VALUE"""),123.95)</f>
        <v>123.95</v>
      </c>
      <c r="L946" s="81">
        <f ca="1">IFERROR(__xludf.DUMMYFUNCTION("""COMPUTED_VALUE"""),108.85)</f>
        <v>108.85</v>
      </c>
      <c r="M946" s="81"/>
      <c r="N946" s="81">
        <f ca="1">IFERROR(__xludf.DUMMYFUNCTION("""COMPUTED_VALUE"""),123.95)</f>
        <v>123.95</v>
      </c>
      <c r="O946" s="81"/>
      <c r="P946" s="81">
        <f ca="1">IFERROR(__xludf.DUMMYFUNCTION("""COMPUTED_VALUE"""),0)</f>
        <v>0</v>
      </c>
      <c r="Q946" s="81"/>
      <c r="R946" s="81">
        <f ca="1">IFERROR(__xludf.DUMMYFUNCTION("""COMPUTED_VALUE"""),99.5)</f>
        <v>99.5</v>
      </c>
      <c r="S946" s="81"/>
      <c r="T946" s="81"/>
      <c r="U946" s="82"/>
      <c r="V946" s="82"/>
      <c r="W946" s="83"/>
      <c r="X946" s="83"/>
      <c r="Y946" s="83"/>
    </row>
    <row r="947" spans="1:25" ht="13.8">
      <c r="A947" s="78" t="str">
        <f ca="1">IFERROR(__xludf.DUMMYFUNCTION("""COMPUTED_VALUE"""),"HS")</f>
        <v>HS</v>
      </c>
      <c r="B947" s="79" t="str">
        <f ca="1">IFERROR(__xludf.DUMMYFUNCTION("""COMPUTED_VALUE"""),"Norah Kissinger")</f>
        <v>Norah Kissinger</v>
      </c>
      <c r="C947" s="78">
        <f ca="1">IFERROR(__xludf.DUMMYFUNCTION("""COMPUTED_VALUE"""),14)</f>
        <v>14</v>
      </c>
      <c r="D947" s="78" t="str">
        <f ca="1">IFERROR(__xludf.DUMMYFUNCTION("""COMPUTED_VALUE"""),"G")</f>
        <v>G</v>
      </c>
      <c r="E947" s="80" t="str">
        <f ca="1">IFERROR(__xludf.DUMMYFUNCTION("""COMPUTED_VALUE"""),"I")</f>
        <v>I</v>
      </c>
      <c r="F947" s="80" t="str">
        <f ca="1">IFERROR(__xludf.DUMMYFUNCTION("""COMPUTED_VALUE"""),"S")</f>
        <v>S</v>
      </c>
      <c r="G947" s="80">
        <f ca="1">IFERROR(__xludf.DUMMYFUNCTION("""COMPUTED_VALUE"""),4)</f>
        <v>4</v>
      </c>
      <c r="H947" s="80" t="str">
        <f ca="1">IFERROR(__xludf.DUMMYFUNCTION("""COMPUTED_VALUE"""),"HS")</f>
        <v>HS</v>
      </c>
      <c r="I947" s="80">
        <f ca="1">IFERROR(__xludf.DUMMYFUNCTION("""COMPUTED_VALUE"""),6)</f>
        <v>6</v>
      </c>
      <c r="J947" s="81">
        <f ca="1">IFERROR(__xludf.DUMMYFUNCTION("""COMPUTED_VALUE"""),5)</f>
        <v>5</v>
      </c>
      <c r="K947" s="81">
        <f ca="1">IFERROR(__xludf.DUMMYFUNCTION("""COMPUTED_VALUE"""),151.15)</f>
        <v>151.15</v>
      </c>
      <c r="L947" s="81">
        <f ca="1">IFERROR(__xludf.DUMMYFUNCTION("""COMPUTED_VALUE"""),127.1)</f>
        <v>127.1</v>
      </c>
      <c r="M947" s="81"/>
      <c r="N947" s="81">
        <f ca="1">IFERROR(__xludf.DUMMYFUNCTION("""COMPUTED_VALUE"""),151.15)</f>
        <v>151.15</v>
      </c>
      <c r="O947" s="81"/>
      <c r="P947" s="81">
        <f ca="1">IFERROR(__xludf.DUMMYFUNCTION("""COMPUTED_VALUE"""),128.9)</f>
        <v>128.9</v>
      </c>
      <c r="Q947" s="81"/>
      <c r="R947" s="81">
        <f ca="1">IFERROR(__xludf.DUMMYFUNCTION("""COMPUTED_VALUE"""),127.05)</f>
        <v>127.05</v>
      </c>
      <c r="S947" s="81"/>
      <c r="T947" s="81"/>
      <c r="U947" s="82"/>
      <c r="V947" s="82"/>
      <c r="W947" s="83"/>
      <c r="X947" s="83"/>
      <c r="Y947" s="83"/>
    </row>
    <row r="948" spans="1:25" ht="13.8">
      <c r="A948" s="78" t="str">
        <f ca="1">IFERROR(__xludf.DUMMYFUNCTION("""COMPUTED_VALUE"""),"HS")</f>
        <v>HS</v>
      </c>
      <c r="B948" s="79" t="str">
        <f ca="1">IFERROR(__xludf.DUMMYFUNCTION("""COMPUTED_VALUE"""),"Elena Marques-Davila")</f>
        <v>Elena Marques-Davila</v>
      </c>
      <c r="C948" s="78">
        <f ca="1">IFERROR(__xludf.DUMMYFUNCTION("""COMPUTED_VALUE"""),14)</f>
        <v>14</v>
      </c>
      <c r="D948" s="78" t="str">
        <f ca="1">IFERROR(__xludf.DUMMYFUNCTION("""COMPUTED_VALUE"""),"G")</f>
        <v>G</v>
      </c>
      <c r="E948" s="80" t="str">
        <f ca="1">IFERROR(__xludf.DUMMYFUNCTION("""COMPUTED_VALUE"""),"I")</f>
        <v>I</v>
      </c>
      <c r="F948" s="80" t="str">
        <f ca="1">IFERROR(__xludf.DUMMYFUNCTION("""COMPUTED_VALUE"""),"S")</f>
        <v>S</v>
      </c>
      <c r="G948" s="80">
        <f ca="1">IFERROR(__xludf.DUMMYFUNCTION("""COMPUTED_VALUE"""),4)</f>
        <v>4</v>
      </c>
      <c r="H948" s="80" t="str">
        <f ca="1">IFERROR(__xludf.DUMMYFUNCTION("""COMPUTED_VALUE"""),"HS")</f>
        <v>HS</v>
      </c>
      <c r="I948" s="80">
        <f ca="1">IFERROR(__xludf.DUMMYFUNCTION("""COMPUTED_VALUE"""),6)</f>
        <v>6</v>
      </c>
      <c r="J948" s="81">
        <f ca="1">IFERROR(__xludf.DUMMYFUNCTION("""COMPUTED_VALUE"""),3)</f>
        <v>3</v>
      </c>
      <c r="K948" s="81">
        <f ca="1">IFERROR(__xludf.DUMMYFUNCTION("""COMPUTED_VALUE"""),99.1)</f>
        <v>99.1</v>
      </c>
      <c r="L948" s="81">
        <f ca="1">IFERROR(__xludf.DUMMYFUNCTION("""COMPUTED_VALUE"""),0)</f>
        <v>0</v>
      </c>
      <c r="M948" s="81"/>
      <c r="N948" s="81">
        <f ca="1">IFERROR(__xludf.DUMMYFUNCTION("""COMPUTED_VALUE"""),0)</f>
        <v>0</v>
      </c>
      <c r="O948" s="81"/>
      <c r="P948" s="81">
        <f ca="1">IFERROR(__xludf.DUMMYFUNCTION("""COMPUTED_VALUE"""),99.1)</f>
        <v>99.1</v>
      </c>
      <c r="Q948" s="81"/>
      <c r="R948" s="81">
        <f ca="1">IFERROR(__xludf.DUMMYFUNCTION("""COMPUTED_VALUE"""),88.6)</f>
        <v>88.6</v>
      </c>
      <c r="S948" s="81"/>
      <c r="T948" s="81"/>
      <c r="U948" s="82"/>
      <c r="V948" s="82"/>
      <c r="W948" s="83"/>
      <c r="X948" s="83"/>
      <c r="Y948" s="83"/>
    </row>
    <row r="949" spans="1:25" ht="13.8">
      <c r="A949" s="78" t="str">
        <f ca="1">IFERROR(__xludf.DUMMYFUNCTION("""COMPUTED_VALUE"""),"HS")</f>
        <v>HS</v>
      </c>
      <c r="B949" s="79" t="str">
        <f ca="1">IFERROR(__xludf.DUMMYFUNCTION("""COMPUTED_VALUE"""),"Laura Marques-Davila")</f>
        <v>Laura Marques-Davila</v>
      </c>
      <c r="C949" s="78">
        <f ca="1">IFERROR(__xludf.DUMMYFUNCTION("""COMPUTED_VALUE"""),13)</f>
        <v>13</v>
      </c>
      <c r="D949" s="78" t="str">
        <f ca="1">IFERROR(__xludf.DUMMYFUNCTION("""COMPUTED_VALUE"""),"G")</f>
        <v>G</v>
      </c>
      <c r="E949" s="80" t="str">
        <f ca="1">IFERROR(__xludf.DUMMYFUNCTION("""COMPUTED_VALUE"""),"I")</f>
        <v>I</v>
      </c>
      <c r="F949" s="80" t="str">
        <f ca="1">IFERROR(__xludf.DUMMYFUNCTION("""COMPUTED_VALUE"""),"S")</f>
        <v>S</v>
      </c>
      <c r="G949" s="80">
        <f ca="1">IFERROR(__xludf.DUMMYFUNCTION("""COMPUTED_VALUE"""),4)</f>
        <v>4</v>
      </c>
      <c r="H949" s="80" t="str">
        <f ca="1">IFERROR(__xludf.DUMMYFUNCTION("""COMPUTED_VALUE"""),"HS")</f>
        <v>HS</v>
      </c>
      <c r="I949" s="80">
        <f ca="1">IFERROR(__xludf.DUMMYFUNCTION("""COMPUTED_VALUE"""),6)</f>
        <v>6</v>
      </c>
      <c r="J949" s="81">
        <f ca="1">IFERROR(__xludf.DUMMYFUNCTION("""COMPUTED_VALUE"""),0)</f>
        <v>0</v>
      </c>
      <c r="K949" s="81">
        <f ca="1">IFERROR(__xludf.DUMMYFUNCTION("""COMPUTED_VALUE"""),0)</f>
        <v>0</v>
      </c>
      <c r="L949" s="81">
        <f ca="1">IFERROR(__xludf.DUMMYFUNCTION("""COMPUTED_VALUE"""),0)</f>
        <v>0</v>
      </c>
      <c r="M949" s="81"/>
      <c r="N949" s="81">
        <f ca="1">IFERROR(__xludf.DUMMYFUNCTION("""COMPUTED_VALUE"""),0)</f>
        <v>0</v>
      </c>
      <c r="O949" s="81"/>
      <c r="P949" s="81">
        <f ca="1">IFERROR(__xludf.DUMMYFUNCTION("""COMPUTED_VALUE"""),0)</f>
        <v>0</v>
      </c>
      <c r="Q949" s="81"/>
      <c r="R949" s="81">
        <f ca="1">IFERROR(__xludf.DUMMYFUNCTION("""COMPUTED_VALUE"""),0)</f>
        <v>0</v>
      </c>
      <c r="S949" s="81"/>
      <c r="T949" s="81"/>
      <c r="U949" s="82"/>
      <c r="V949" s="82"/>
      <c r="W949" s="83"/>
      <c r="X949" s="83"/>
      <c r="Y949" s="83"/>
    </row>
    <row r="950" spans="1:25" ht="13.8">
      <c r="A950" s="78" t="str">
        <f ca="1">IFERROR(__xludf.DUMMYFUNCTION("""COMPUTED_VALUE"""),"HS")</f>
        <v>HS</v>
      </c>
      <c r="B950" s="79" t="str">
        <f ca="1">IFERROR(__xludf.DUMMYFUNCTION("""COMPUTED_VALUE"""),"Katharine Taylor")</f>
        <v>Katharine Taylor</v>
      </c>
      <c r="C950" s="78">
        <f ca="1">IFERROR(__xludf.DUMMYFUNCTION("""COMPUTED_VALUE"""),13)</f>
        <v>13</v>
      </c>
      <c r="D950" s="78" t="str">
        <f ca="1">IFERROR(__xludf.DUMMYFUNCTION("""COMPUTED_VALUE"""),"G")</f>
        <v>G</v>
      </c>
      <c r="E950" s="80" t="str">
        <f ca="1">IFERROR(__xludf.DUMMYFUNCTION("""COMPUTED_VALUE"""),"I")</f>
        <v>I</v>
      </c>
      <c r="F950" s="80" t="str">
        <f ca="1">IFERROR(__xludf.DUMMYFUNCTION("""COMPUTED_VALUE"""),"S")</f>
        <v>S</v>
      </c>
      <c r="G950" s="80">
        <f ca="1">IFERROR(__xludf.DUMMYFUNCTION("""COMPUTED_VALUE"""),4)</f>
        <v>4</v>
      </c>
      <c r="H950" s="80" t="str">
        <f ca="1">IFERROR(__xludf.DUMMYFUNCTION("""COMPUTED_VALUE"""),"HS")</f>
        <v>HS</v>
      </c>
      <c r="I950" s="80">
        <f ca="1">IFERROR(__xludf.DUMMYFUNCTION("""COMPUTED_VALUE"""),6)</f>
        <v>6</v>
      </c>
      <c r="J950" s="81">
        <f ca="1">IFERROR(__xludf.DUMMYFUNCTION("""COMPUTED_VALUE"""),3)</f>
        <v>3</v>
      </c>
      <c r="K950" s="81">
        <f ca="1">IFERROR(__xludf.DUMMYFUNCTION("""COMPUTED_VALUE"""),118.45)</f>
        <v>118.45</v>
      </c>
      <c r="L950" s="81">
        <f ca="1">IFERROR(__xludf.DUMMYFUNCTION("""COMPUTED_VALUE"""),94.75)</f>
        <v>94.75</v>
      </c>
      <c r="M950" s="81"/>
      <c r="N950" s="81">
        <f ca="1">IFERROR(__xludf.DUMMYFUNCTION("""COMPUTED_VALUE"""),118.45)</f>
        <v>118.45</v>
      </c>
      <c r="O950" s="81"/>
      <c r="P950" s="81">
        <f ca="1">IFERROR(__xludf.DUMMYFUNCTION("""COMPUTED_VALUE"""),0)</f>
        <v>0</v>
      </c>
      <c r="Q950" s="81"/>
      <c r="R950" s="81">
        <f ca="1">IFERROR(__xludf.DUMMYFUNCTION("""COMPUTED_VALUE"""),88.95)</f>
        <v>88.95</v>
      </c>
      <c r="S950" s="81"/>
      <c r="T950" s="81"/>
      <c r="U950" s="82"/>
      <c r="V950" s="82"/>
      <c r="W950" s="83"/>
      <c r="X950" s="83"/>
      <c r="Y950" s="83"/>
    </row>
    <row r="951" spans="1:25" ht="13.8">
      <c r="A951" s="78" t="str">
        <f ca="1">IFERROR(__xludf.DUMMYFUNCTION("""COMPUTED_VALUE"""),"HS")</f>
        <v>HS</v>
      </c>
      <c r="B951" s="79" t="str">
        <f ca="1">IFERROR(__xludf.DUMMYFUNCTION("""COMPUTED_VALUE"""),"Olie Fitzharris")</f>
        <v>Olie Fitzharris</v>
      </c>
      <c r="C951" s="78">
        <f ca="1">IFERROR(__xludf.DUMMYFUNCTION("""COMPUTED_VALUE"""),13)</f>
        <v>13</v>
      </c>
      <c r="D951" s="78" t="str">
        <f ca="1">IFERROR(__xludf.DUMMYFUNCTION("""COMPUTED_VALUE"""),"B")</f>
        <v>B</v>
      </c>
      <c r="E951" s="80" t="str">
        <f ca="1">IFERROR(__xludf.DUMMYFUNCTION("""COMPUTED_VALUE"""),"I")</f>
        <v>I</v>
      </c>
      <c r="F951" s="80" t="str">
        <f ca="1">IFERROR(__xludf.DUMMYFUNCTION("""COMPUTED_VALUE"""),"S")</f>
        <v>S</v>
      </c>
      <c r="G951" s="80">
        <f ca="1">IFERROR(__xludf.DUMMYFUNCTION("""COMPUTED_VALUE"""),4)</f>
        <v>4</v>
      </c>
      <c r="H951" s="80" t="str">
        <f ca="1">IFERROR(__xludf.DUMMYFUNCTION("""COMPUTED_VALUE"""),"HS")</f>
        <v>HS</v>
      </c>
      <c r="I951" s="80">
        <f ca="1">IFERROR(__xludf.DUMMYFUNCTION("""COMPUTED_VALUE"""),7)</f>
        <v>7</v>
      </c>
      <c r="J951" s="81">
        <f ca="1">IFERROR(__xludf.DUMMYFUNCTION("""COMPUTED_VALUE"""),0)</f>
        <v>0</v>
      </c>
      <c r="K951" s="81">
        <f ca="1">IFERROR(__xludf.DUMMYFUNCTION("""COMPUTED_VALUE"""),0)</f>
        <v>0</v>
      </c>
      <c r="L951" s="81">
        <f ca="1">IFERROR(__xludf.DUMMYFUNCTION("""COMPUTED_VALUE"""),0)</f>
        <v>0</v>
      </c>
      <c r="M951" s="81"/>
      <c r="N951" s="81">
        <f ca="1">IFERROR(__xludf.DUMMYFUNCTION("""COMPUTED_VALUE"""),0)</f>
        <v>0</v>
      </c>
      <c r="O951" s="81"/>
      <c r="P951" s="81">
        <f ca="1">IFERROR(__xludf.DUMMYFUNCTION("""COMPUTED_VALUE"""),0)</f>
        <v>0</v>
      </c>
      <c r="Q951" s="81"/>
      <c r="R951" s="81">
        <f ca="1">IFERROR(__xludf.DUMMYFUNCTION("""COMPUTED_VALUE"""),0)</f>
        <v>0</v>
      </c>
      <c r="S951" s="81"/>
      <c r="T951" s="81"/>
      <c r="U951" s="82"/>
      <c r="V951" s="82"/>
      <c r="W951" s="83"/>
      <c r="X951" s="83"/>
      <c r="Y951" s="83"/>
    </row>
    <row r="952" spans="1:25" ht="13.8">
      <c r="A952" s="78" t="str">
        <f ca="1">IFERROR(__xludf.DUMMYFUNCTION("""COMPUTED_VALUE"""),"HS")</f>
        <v>HS</v>
      </c>
      <c r="B952" s="79" t="str">
        <f ca="1">IFERROR(__xludf.DUMMYFUNCTION("""COMPUTED_VALUE"""),"Karenna Keane")</f>
        <v>Karenna Keane</v>
      </c>
      <c r="C952" s="78">
        <f ca="1">IFERROR(__xludf.DUMMYFUNCTION("""COMPUTED_VALUE"""),16)</f>
        <v>16</v>
      </c>
      <c r="D952" s="78" t="str">
        <f ca="1">IFERROR(__xludf.DUMMYFUNCTION("""COMPUTED_VALUE"""),"G")</f>
        <v>G</v>
      </c>
      <c r="E952" s="80" t="str">
        <f ca="1">IFERROR(__xludf.DUMMYFUNCTION("""COMPUTED_VALUE"""),"S")</f>
        <v>S</v>
      </c>
      <c r="F952" s="80" t="str">
        <f ca="1">IFERROR(__xludf.DUMMYFUNCTION("""COMPUTED_VALUE"""),"S")</f>
        <v>S</v>
      </c>
      <c r="G952" s="80">
        <f ca="1">IFERROR(__xludf.DUMMYFUNCTION("""COMPUTED_VALUE"""),4)</f>
        <v>4</v>
      </c>
      <c r="H952" s="80" t="str">
        <f ca="1">IFERROR(__xludf.DUMMYFUNCTION("""COMPUTED_VALUE"""),"HS")</f>
        <v>HS</v>
      </c>
      <c r="I952" s="80">
        <f ca="1">IFERROR(__xludf.DUMMYFUNCTION("""COMPUTED_VALUE"""),8)</f>
        <v>8</v>
      </c>
      <c r="J952" s="81">
        <f ca="1">IFERROR(__xludf.DUMMYFUNCTION("""COMPUTED_VALUE"""),3)</f>
        <v>3</v>
      </c>
      <c r="K952" s="81">
        <f ca="1">IFERROR(__xludf.DUMMYFUNCTION("""COMPUTED_VALUE"""),157.55)</f>
        <v>157.55000000000001</v>
      </c>
      <c r="L952" s="81">
        <f ca="1">IFERROR(__xludf.DUMMYFUNCTION("""COMPUTED_VALUE"""),117.65)</f>
        <v>117.65</v>
      </c>
      <c r="M952" s="81"/>
      <c r="N952" s="81">
        <f ca="1">IFERROR(__xludf.DUMMYFUNCTION("""COMPUTED_VALUE"""),157.55)</f>
        <v>157.55000000000001</v>
      </c>
      <c r="O952" s="81"/>
      <c r="P952" s="81">
        <f ca="1">IFERROR(__xludf.DUMMYFUNCTION("""COMPUTED_VALUE"""),140.3)</f>
        <v>140.30000000000001</v>
      </c>
      <c r="Q952" s="81"/>
      <c r="R952" s="81">
        <f ca="1">IFERROR(__xludf.DUMMYFUNCTION("""COMPUTED_VALUE"""),0)</f>
        <v>0</v>
      </c>
      <c r="S952" s="81"/>
      <c r="T952" s="81"/>
      <c r="U952" s="82"/>
      <c r="V952" s="82"/>
      <c r="W952" s="83"/>
      <c r="X952" s="83"/>
      <c r="Y952" s="83"/>
    </row>
    <row r="953" spans="1:25" ht="13.8">
      <c r="A953" s="78" t="str">
        <f ca="1">IFERROR(__xludf.DUMMYFUNCTION("""COMPUTED_VALUE"""),"HS")</f>
        <v>HS</v>
      </c>
      <c r="B953" s="79" t="str">
        <f ca="1">IFERROR(__xludf.DUMMYFUNCTION("""COMPUTED_VALUE"""),"Meghan Kissinger")</f>
        <v>Meghan Kissinger</v>
      </c>
      <c r="C953" s="78">
        <f ca="1">IFERROR(__xludf.DUMMYFUNCTION("""COMPUTED_VALUE"""),16)</f>
        <v>16</v>
      </c>
      <c r="D953" s="78" t="str">
        <f ca="1">IFERROR(__xludf.DUMMYFUNCTION("""COMPUTED_VALUE"""),"G")</f>
        <v>G</v>
      </c>
      <c r="E953" s="80" t="str">
        <f ca="1">IFERROR(__xludf.DUMMYFUNCTION("""COMPUTED_VALUE"""),"S")</f>
        <v>S</v>
      </c>
      <c r="F953" s="80" t="str">
        <f ca="1">IFERROR(__xludf.DUMMYFUNCTION("""COMPUTED_VALUE"""),"S")</f>
        <v>S</v>
      </c>
      <c r="G953" s="80">
        <f ca="1">IFERROR(__xludf.DUMMYFUNCTION("""COMPUTED_VALUE"""),4)</f>
        <v>4</v>
      </c>
      <c r="H953" s="80" t="str">
        <f ca="1">IFERROR(__xludf.DUMMYFUNCTION("""COMPUTED_VALUE"""),"HS")</f>
        <v>HS</v>
      </c>
      <c r="I953" s="80">
        <f ca="1">IFERROR(__xludf.DUMMYFUNCTION("""COMPUTED_VALUE"""),8)</f>
        <v>8</v>
      </c>
      <c r="J953" s="81">
        <f ca="1">IFERROR(__xludf.DUMMYFUNCTION("""COMPUTED_VALUE"""),5)</f>
        <v>5</v>
      </c>
      <c r="K953" s="81">
        <f ca="1">IFERROR(__xludf.DUMMYFUNCTION("""COMPUTED_VALUE"""),193.7)</f>
        <v>193.7</v>
      </c>
      <c r="L953" s="81">
        <f ca="1">IFERROR(__xludf.DUMMYFUNCTION("""COMPUTED_VALUE"""),155.3)</f>
        <v>155.30000000000001</v>
      </c>
      <c r="M953" s="81"/>
      <c r="N953" s="81">
        <f ca="1">IFERROR(__xludf.DUMMYFUNCTION("""COMPUTED_VALUE"""),193.7)</f>
        <v>193.7</v>
      </c>
      <c r="O953" s="81"/>
      <c r="P953" s="81">
        <f ca="1">IFERROR(__xludf.DUMMYFUNCTION("""COMPUTED_VALUE"""),152.6)</f>
        <v>152.6</v>
      </c>
      <c r="Q953" s="81"/>
      <c r="R953" s="81">
        <f ca="1">IFERROR(__xludf.DUMMYFUNCTION("""COMPUTED_VALUE"""),141.2)</f>
        <v>141.19999999999999</v>
      </c>
      <c r="S953" s="81"/>
      <c r="T953" s="81"/>
      <c r="U953" s="82"/>
      <c r="V953" s="82"/>
      <c r="W953" s="83"/>
      <c r="X953" s="83"/>
      <c r="Y953" s="83"/>
    </row>
    <row r="954" spans="1:25" ht="13.8">
      <c r="A954" s="78" t="str">
        <f ca="1">IFERROR(__xludf.DUMMYFUNCTION("""COMPUTED_VALUE"""),"HS")</f>
        <v>HS</v>
      </c>
      <c r="B954" s="79" t="str">
        <f ca="1">IFERROR(__xludf.DUMMYFUNCTION("""COMPUTED_VALUE"""),"Erin Wills")</f>
        <v>Erin Wills</v>
      </c>
      <c r="C954" s="78">
        <f ca="1">IFERROR(__xludf.DUMMYFUNCTION("""COMPUTED_VALUE"""),15)</f>
        <v>15</v>
      </c>
      <c r="D954" s="78" t="str">
        <f ca="1">IFERROR(__xludf.DUMMYFUNCTION("""COMPUTED_VALUE"""),"G")</f>
        <v>G</v>
      </c>
      <c r="E954" s="80" t="str">
        <f ca="1">IFERROR(__xludf.DUMMYFUNCTION("""COMPUTED_VALUE"""),"S")</f>
        <v>S</v>
      </c>
      <c r="F954" s="80" t="str">
        <f ca="1">IFERROR(__xludf.DUMMYFUNCTION("""COMPUTED_VALUE"""),"S")</f>
        <v>S</v>
      </c>
      <c r="G954" s="80">
        <f ca="1">IFERROR(__xludf.DUMMYFUNCTION("""COMPUTED_VALUE"""),4)</f>
        <v>4</v>
      </c>
      <c r="H954" s="80" t="str">
        <f ca="1">IFERROR(__xludf.DUMMYFUNCTION("""COMPUTED_VALUE"""),"HS")</f>
        <v>HS</v>
      </c>
      <c r="I954" s="80">
        <f ca="1">IFERROR(__xludf.DUMMYFUNCTION("""COMPUTED_VALUE"""),8)</f>
        <v>8</v>
      </c>
      <c r="J954" s="81">
        <f ca="1">IFERROR(__xludf.DUMMYFUNCTION("""COMPUTED_VALUE"""),5)</f>
        <v>5</v>
      </c>
      <c r="K954" s="81">
        <f ca="1">IFERROR(__xludf.DUMMYFUNCTION("""COMPUTED_VALUE"""),201.3)</f>
        <v>201.3</v>
      </c>
      <c r="L954" s="81">
        <f ca="1">IFERROR(__xludf.DUMMYFUNCTION("""COMPUTED_VALUE"""),156.05)</f>
        <v>156.05000000000001</v>
      </c>
      <c r="M954" s="81"/>
      <c r="N954" s="81">
        <f ca="1">IFERROR(__xludf.DUMMYFUNCTION("""COMPUTED_VALUE"""),201.3)</f>
        <v>201.3</v>
      </c>
      <c r="O954" s="81"/>
      <c r="P954" s="81">
        <f ca="1">IFERROR(__xludf.DUMMYFUNCTION("""COMPUTED_VALUE"""),152.2)</f>
        <v>152.19999999999999</v>
      </c>
      <c r="Q954" s="81"/>
      <c r="R954" s="81">
        <f ca="1">IFERROR(__xludf.DUMMYFUNCTION("""COMPUTED_VALUE"""),157.5)</f>
        <v>157.5</v>
      </c>
      <c r="S954" s="81"/>
      <c r="T954" s="81"/>
      <c r="U954" s="82"/>
      <c r="V954" s="82"/>
      <c r="W954" s="83"/>
      <c r="X954" s="83"/>
      <c r="Y954" s="83"/>
    </row>
    <row r="955" spans="1:25" ht="13.8">
      <c r="A955" s="78" t="str">
        <f ca="1">IFERROR(__xludf.DUMMYFUNCTION("""COMPUTED_VALUE"""),"HS")</f>
        <v>HS</v>
      </c>
      <c r="B955" s="79" t="str">
        <f ca="1">IFERROR(__xludf.DUMMYFUNCTION("""COMPUTED_VALUE"""),"Zachary Abruzzese")</f>
        <v>Zachary Abruzzese</v>
      </c>
      <c r="C955" s="78">
        <f ca="1">IFERROR(__xludf.DUMMYFUNCTION("""COMPUTED_VALUE"""),15)</f>
        <v>15</v>
      </c>
      <c r="D955" s="78" t="str">
        <f ca="1">IFERROR(__xludf.DUMMYFUNCTION("""COMPUTED_VALUE"""),"B")</f>
        <v>B</v>
      </c>
      <c r="E955" s="80" t="str">
        <f ca="1">IFERROR(__xludf.DUMMYFUNCTION("""COMPUTED_VALUE"""),"S")</f>
        <v>S</v>
      </c>
      <c r="F955" s="80" t="str">
        <f ca="1">IFERROR(__xludf.DUMMYFUNCTION("""COMPUTED_VALUE"""),"S")</f>
        <v>S</v>
      </c>
      <c r="G955" s="80">
        <f ca="1">IFERROR(__xludf.DUMMYFUNCTION("""COMPUTED_VALUE"""),4)</f>
        <v>4</v>
      </c>
      <c r="H955" s="80" t="str">
        <f ca="1">IFERROR(__xludf.DUMMYFUNCTION("""COMPUTED_VALUE"""),"HS")</f>
        <v>HS</v>
      </c>
      <c r="I955" s="80">
        <f ca="1">IFERROR(__xludf.DUMMYFUNCTION("""COMPUTED_VALUE"""),9)</f>
        <v>9</v>
      </c>
      <c r="J955" s="81">
        <f ca="1">IFERROR(__xludf.DUMMYFUNCTION("""COMPUTED_VALUE"""),3)</f>
        <v>3</v>
      </c>
      <c r="K955" s="81">
        <f ca="1">IFERROR(__xludf.DUMMYFUNCTION("""COMPUTED_VALUE"""),105)</f>
        <v>105</v>
      </c>
      <c r="L955" s="81">
        <f ca="1">IFERROR(__xludf.DUMMYFUNCTION("""COMPUTED_VALUE"""),0)</f>
        <v>0</v>
      </c>
      <c r="M955" s="81"/>
      <c r="N955" s="81">
        <f ca="1">IFERROR(__xludf.DUMMYFUNCTION("""COMPUTED_VALUE"""),0)</f>
        <v>0</v>
      </c>
      <c r="O955" s="81"/>
      <c r="P955" s="81">
        <f ca="1">IFERROR(__xludf.DUMMYFUNCTION("""COMPUTED_VALUE"""),105)</f>
        <v>105</v>
      </c>
      <c r="Q955" s="81"/>
      <c r="R955" s="81">
        <f ca="1">IFERROR(__xludf.DUMMYFUNCTION("""COMPUTED_VALUE"""),74.1)</f>
        <v>74.099999999999994</v>
      </c>
      <c r="S955" s="81"/>
      <c r="T955" s="81"/>
      <c r="U955" s="82"/>
      <c r="V955" s="82"/>
      <c r="W955" s="83"/>
      <c r="X955" s="83"/>
      <c r="Y955" s="83"/>
    </row>
    <row r="956" spans="1:25" ht="13.8">
      <c r="A956" s="78" t="str">
        <f ca="1">IFERROR(__xludf.DUMMYFUNCTION("""COMPUTED_VALUE"""),"HS")</f>
        <v>HS</v>
      </c>
      <c r="B956" s="79" t="str">
        <f ca="1">IFERROR(__xludf.DUMMYFUNCTION("""COMPUTED_VALUE"""),"Tanner Moore")</f>
        <v>Tanner Moore</v>
      </c>
      <c r="C956" s="78">
        <f ca="1">IFERROR(__xludf.DUMMYFUNCTION("""COMPUTED_VALUE"""),17)</f>
        <v>17</v>
      </c>
      <c r="D956" s="78" t="str">
        <f ca="1">IFERROR(__xludf.DUMMYFUNCTION("""COMPUTED_VALUE"""),"B")</f>
        <v>B</v>
      </c>
      <c r="E956" s="80" t="str">
        <f ca="1">IFERROR(__xludf.DUMMYFUNCTION("""COMPUTED_VALUE"""),"S")</f>
        <v>S</v>
      </c>
      <c r="F956" s="80" t="str">
        <f ca="1">IFERROR(__xludf.DUMMYFUNCTION("""COMPUTED_VALUE"""),"S")</f>
        <v>S</v>
      </c>
      <c r="G956" s="80">
        <f ca="1">IFERROR(__xludf.DUMMYFUNCTION("""COMPUTED_VALUE"""),4)</f>
        <v>4</v>
      </c>
      <c r="H956" s="80" t="str">
        <f ca="1">IFERROR(__xludf.DUMMYFUNCTION("""COMPUTED_VALUE"""),"HS")</f>
        <v>HS</v>
      </c>
      <c r="I956" s="80">
        <f ca="1">IFERROR(__xludf.DUMMYFUNCTION("""COMPUTED_VALUE"""),9)</f>
        <v>9</v>
      </c>
      <c r="J956" s="81">
        <f ca="1">IFERROR(__xludf.DUMMYFUNCTION("""COMPUTED_VALUE"""),5)</f>
        <v>5</v>
      </c>
      <c r="K956" s="81">
        <f ca="1">IFERROR(__xludf.DUMMYFUNCTION("""COMPUTED_VALUE"""),222.05)</f>
        <v>222.05</v>
      </c>
      <c r="L956" s="81">
        <f ca="1">IFERROR(__xludf.DUMMYFUNCTION("""COMPUTED_VALUE"""),189.95)</f>
        <v>189.95</v>
      </c>
      <c r="M956" s="81"/>
      <c r="N956" s="81">
        <f ca="1">IFERROR(__xludf.DUMMYFUNCTION("""COMPUTED_VALUE"""),222.05)</f>
        <v>222.05</v>
      </c>
      <c r="O956" s="81"/>
      <c r="P956" s="81">
        <f ca="1">IFERROR(__xludf.DUMMYFUNCTION("""COMPUTED_VALUE"""),213.9)</f>
        <v>213.9</v>
      </c>
      <c r="Q956" s="81"/>
      <c r="R956" s="81">
        <f ca="1">IFERROR(__xludf.DUMMYFUNCTION("""COMPUTED_VALUE"""),183.4)</f>
        <v>183.4</v>
      </c>
      <c r="S956" s="81"/>
      <c r="T956" s="81"/>
      <c r="U956" s="82"/>
      <c r="V956" s="82"/>
      <c r="W956" s="83"/>
      <c r="X956" s="83"/>
      <c r="Y956" s="83"/>
    </row>
    <row r="957" spans="1:25" ht="13.8">
      <c r="A957" s="78" t="str">
        <f ca="1">IFERROR(__xludf.DUMMYFUNCTION("""COMPUTED_VALUE"""),"HS")</f>
        <v>HS</v>
      </c>
      <c r="B957" s="79" t="str">
        <f ca="1">IFERROR(__xludf.DUMMYFUNCTION("""COMPUTED_VALUE"""),"Jeremy Simon")</f>
        <v>Jeremy Simon</v>
      </c>
      <c r="C957" s="78">
        <f ca="1">IFERROR(__xludf.DUMMYFUNCTION("""COMPUTED_VALUE"""),16)</f>
        <v>16</v>
      </c>
      <c r="D957" s="78" t="str">
        <f ca="1">IFERROR(__xludf.DUMMYFUNCTION("""COMPUTED_VALUE"""),"B")</f>
        <v>B</v>
      </c>
      <c r="E957" s="80" t="str">
        <f ca="1">IFERROR(__xludf.DUMMYFUNCTION("""COMPUTED_VALUE"""),"S")</f>
        <v>S</v>
      </c>
      <c r="F957" s="80" t="str">
        <f ca="1">IFERROR(__xludf.DUMMYFUNCTION("""COMPUTED_VALUE"""),"S")</f>
        <v>S</v>
      </c>
      <c r="G957" s="80">
        <f ca="1">IFERROR(__xludf.DUMMYFUNCTION("""COMPUTED_VALUE"""),4)</f>
        <v>4</v>
      </c>
      <c r="H957" s="80" t="str">
        <f ca="1">IFERROR(__xludf.DUMMYFUNCTION("""COMPUTED_VALUE"""),"HS")</f>
        <v>HS</v>
      </c>
      <c r="I957" s="80">
        <f ca="1">IFERROR(__xludf.DUMMYFUNCTION("""COMPUTED_VALUE"""),9)</f>
        <v>9</v>
      </c>
      <c r="J957" s="81">
        <f ca="1">IFERROR(__xludf.DUMMYFUNCTION("""COMPUTED_VALUE"""),3)</f>
        <v>3</v>
      </c>
      <c r="K957" s="81">
        <f ca="1">IFERROR(__xludf.DUMMYFUNCTION("""COMPUTED_VALUE"""),169.5)</f>
        <v>169.5</v>
      </c>
      <c r="L957" s="81">
        <f ca="1">IFERROR(__xludf.DUMMYFUNCTION("""COMPUTED_VALUE"""),125.65)</f>
        <v>125.65</v>
      </c>
      <c r="M957" s="81"/>
      <c r="N957" s="81">
        <f ca="1">IFERROR(__xludf.DUMMYFUNCTION("""COMPUTED_VALUE"""),169.5)</f>
        <v>169.5</v>
      </c>
      <c r="O957" s="81"/>
      <c r="P957" s="81">
        <f ca="1">IFERROR(__xludf.DUMMYFUNCTION("""COMPUTED_VALUE"""),0)</f>
        <v>0</v>
      </c>
      <c r="Q957" s="81"/>
      <c r="R957" s="81">
        <f ca="1">IFERROR(__xludf.DUMMYFUNCTION("""COMPUTED_VALUE"""),0)</f>
        <v>0</v>
      </c>
      <c r="S957" s="81"/>
      <c r="T957" s="81"/>
      <c r="U957" s="82"/>
      <c r="V957" s="82"/>
      <c r="W957" s="83"/>
      <c r="X957" s="83"/>
      <c r="Y957" s="83"/>
    </row>
    <row r="958" spans="1:25" ht="13.8">
      <c r="A958" s="78" t="str">
        <f ca="1">IFERROR(__xludf.DUMMYFUNCTION("""COMPUTED_VALUE"""),"HSC")</f>
        <v>HSC</v>
      </c>
      <c r="B958" s="79" t="str">
        <f ca="1">IFERROR(__xludf.DUMMYFUNCTION("""COMPUTED_VALUE"""),"Alison Bricker")</f>
        <v>Alison Bricker</v>
      </c>
      <c r="C958" s="78">
        <f ca="1">IFERROR(__xludf.DUMMYFUNCTION("""COMPUTED_VALUE"""),6)</f>
        <v>6</v>
      </c>
      <c r="D958" s="78" t="str">
        <f ca="1">IFERROR(__xludf.DUMMYFUNCTION("""COMPUTED_VALUE"""),"G")</f>
        <v>G</v>
      </c>
      <c r="E958" s="80" t="str">
        <f ca="1">IFERROR(__xludf.DUMMYFUNCTION("""COMPUTED_VALUE"""),"F")</f>
        <v>F</v>
      </c>
      <c r="F958" s="80" t="str">
        <f ca="1">IFERROR(__xludf.DUMMYFUNCTION("""COMPUTED_VALUE"""),"J")</f>
        <v>J</v>
      </c>
      <c r="G958" s="80">
        <f ca="1">IFERROR(__xludf.DUMMYFUNCTION("""COMPUTED_VALUE"""),7)</f>
        <v>7</v>
      </c>
      <c r="H958" s="80" t="str">
        <f ca="1">IFERROR(__xludf.DUMMYFUNCTION("""COMPUTED_VALUE"""),"HSC")</f>
        <v>HSC</v>
      </c>
      <c r="I958" s="80">
        <f ca="1">IFERROR(__xludf.DUMMYFUNCTION("""COMPUTED_VALUE"""),2)</f>
        <v>2</v>
      </c>
      <c r="J958" s="81">
        <f ca="1">IFERROR(__xludf.DUMMYFUNCTION("""COMPUTED_VALUE"""),0)</f>
        <v>0</v>
      </c>
      <c r="K958" s="81">
        <f ca="1">IFERROR(__xludf.DUMMYFUNCTION("""COMPUTED_VALUE"""),0)</f>
        <v>0</v>
      </c>
      <c r="L958" s="81">
        <f ca="1">IFERROR(__xludf.DUMMYFUNCTION("""COMPUTED_VALUE"""),0)</f>
        <v>0</v>
      </c>
      <c r="M958" s="81"/>
      <c r="N958" s="81">
        <f ca="1">IFERROR(__xludf.DUMMYFUNCTION("""COMPUTED_VALUE"""),0)</f>
        <v>0</v>
      </c>
      <c r="O958" s="81"/>
      <c r="P958" s="81">
        <f ca="1">IFERROR(__xludf.DUMMYFUNCTION("""COMPUTED_VALUE"""),0)</f>
        <v>0</v>
      </c>
      <c r="Q958" s="81"/>
      <c r="R958" s="81">
        <f ca="1">IFERROR(__xludf.DUMMYFUNCTION("""COMPUTED_VALUE"""),0)</f>
        <v>0</v>
      </c>
      <c r="S958" s="81"/>
      <c r="T958" s="81"/>
      <c r="U958" s="82"/>
      <c r="V958" s="82"/>
      <c r="W958" s="83"/>
      <c r="X958" s="83"/>
      <c r="Y958" s="83"/>
    </row>
    <row r="959" spans="1:25" ht="13.8">
      <c r="A959" s="78" t="str">
        <f ca="1">IFERROR(__xludf.DUMMYFUNCTION("""COMPUTED_VALUE"""),"HSC")</f>
        <v>HSC</v>
      </c>
      <c r="B959" s="79" t="str">
        <f ca="1">IFERROR(__xludf.DUMMYFUNCTION("""COMPUTED_VALUE"""),"Saachi Chandrasekar")</f>
        <v>Saachi Chandrasekar</v>
      </c>
      <c r="C959" s="78">
        <f ca="1">IFERROR(__xludf.DUMMYFUNCTION("""COMPUTED_VALUE"""),10)</f>
        <v>10</v>
      </c>
      <c r="D959" s="78" t="str">
        <f ca="1">IFERROR(__xludf.DUMMYFUNCTION("""COMPUTED_VALUE"""),"G")</f>
        <v>G</v>
      </c>
      <c r="E959" s="80" t="str">
        <f ca="1">IFERROR(__xludf.DUMMYFUNCTION("""COMPUTED_VALUE"""),"F")</f>
        <v>F</v>
      </c>
      <c r="F959" s="80" t="str">
        <f ca="1">IFERROR(__xludf.DUMMYFUNCTION("""COMPUTED_VALUE"""),"J")</f>
        <v>J</v>
      </c>
      <c r="G959" s="80">
        <f ca="1">IFERROR(__xludf.DUMMYFUNCTION("""COMPUTED_VALUE"""),7)</f>
        <v>7</v>
      </c>
      <c r="H959" s="80" t="str">
        <f ca="1">IFERROR(__xludf.DUMMYFUNCTION("""COMPUTED_VALUE"""),"HSC")</f>
        <v>HSC</v>
      </c>
      <c r="I959" s="80">
        <f ca="1">IFERROR(__xludf.DUMMYFUNCTION("""COMPUTED_VALUE"""),2)</f>
        <v>2</v>
      </c>
      <c r="J959" s="81">
        <f ca="1">IFERROR(__xludf.DUMMYFUNCTION("""COMPUTED_VALUE"""),0)</f>
        <v>0</v>
      </c>
      <c r="K959" s="81">
        <f ca="1">IFERROR(__xludf.DUMMYFUNCTION("""COMPUTED_VALUE"""),0)</f>
        <v>0</v>
      </c>
      <c r="L959" s="81">
        <f ca="1">IFERROR(__xludf.DUMMYFUNCTION("""COMPUTED_VALUE"""),0)</f>
        <v>0</v>
      </c>
      <c r="M959" s="81"/>
      <c r="N959" s="81">
        <f ca="1">IFERROR(__xludf.DUMMYFUNCTION("""COMPUTED_VALUE"""),0)</f>
        <v>0</v>
      </c>
      <c r="O959" s="81"/>
      <c r="P959" s="81">
        <f ca="1">IFERROR(__xludf.DUMMYFUNCTION("""COMPUTED_VALUE"""),0)</f>
        <v>0</v>
      </c>
      <c r="Q959" s="81"/>
      <c r="R959" s="81">
        <f ca="1">IFERROR(__xludf.DUMMYFUNCTION("""COMPUTED_VALUE"""),0)</f>
        <v>0</v>
      </c>
      <c r="S959" s="81"/>
      <c r="T959" s="81"/>
      <c r="U959" s="82"/>
      <c r="V959" s="82"/>
      <c r="W959" s="83"/>
      <c r="X959" s="83"/>
      <c r="Y959" s="83"/>
    </row>
    <row r="960" spans="1:25" ht="13.8">
      <c r="A960" s="78" t="str">
        <f ca="1">IFERROR(__xludf.DUMMYFUNCTION("""COMPUTED_VALUE"""),"HSC")</f>
        <v>HSC</v>
      </c>
      <c r="B960" s="79" t="str">
        <f ca="1">IFERROR(__xludf.DUMMYFUNCTION("""COMPUTED_VALUE"""),"Abby Desai")</f>
        <v>Abby Desai</v>
      </c>
      <c r="C960" s="78">
        <f ca="1">IFERROR(__xludf.DUMMYFUNCTION("""COMPUTED_VALUE"""),8)</f>
        <v>8</v>
      </c>
      <c r="D960" s="78" t="str">
        <f ca="1">IFERROR(__xludf.DUMMYFUNCTION("""COMPUTED_VALUE"""),"G")</f>
        <v>G</v>
      </c>
      <c r="E960" s="80" t="str">
        <f ca="1">IFERROR(__xludf.DUMMYFUNCTION("""COMPUTED_VALUE"""),"F")</f>
        <v>F</v>
      </c>
      <c r="F960" s="80" t="str">
        <f ca="1">IFERROR(__xludf.DUMMYFUNCTION("""COMPUTED_VALUE"""),"J")</f>
        <v>J</v>
      </c>
      <c r="G960" s="80">
        <f ca="1">IFERROR(__xludf.DUMMYFUNCTION("""COMPUTED_VALUE"""),7)</f>
        <v>7</v>
      </c>
      <c r="H960" s="80" t="str">
        <f ca="1">IFERROR(__xludf.DUMMYFUNCTION("""COMPUTED_VALUE"""),"HSC")</f>
        <v>HSC</v>
      </c>
      <c r="I960" s="80">
        <f ca="1">IFERROR(__xludf.DUMMYFUNCTION("""COMPUTED_VALUE"""),2)</f>
        <v>2</v>
      </c>
      <c r="J960" s="81">
        <f ca="1">IFERROR(__xludf.DUMMYFUNCTION("""COMPUTED_VALUE"""),0)</f>
        <v>0</v>
      </c>
      <c r="K960" s="81">
        <f ca="1">IFERROR(__xludf.DUMMYFUNCTION("""COMPUTED_VALUE"""),0)</f>
        <v>0</v>
      </c>
      <c r="L960" s="81">
        <f ca="1">IFERROR(__xludf.DUMMYFUNCTION("""COMPUTED_VALUE"""),0)</f>
        <v>0</v>
      </c>
      <c r="M960" s="81"/>
      <c r="N960" s="81">
        <f ca="1">IFERROR(__xludf.DUMMYFUNCTION("""COMPUTED_VALUE"""),0)</f>
        <v>0</v>
      </c>
      <c r="O960" s="81"/>
      <c r="P960" s="81">
        <f ca="1">IFERROR(__xludf.DUMMYFUNCTION("""COMPUTED_VALUE"""),0)</f>
        <v>0</v>
      </c>
      <c r="Q960" s="81"/>
      <c r="R960" s="81">
        <f ca="1">IFERROR(__xludf.DUMMYFUNCTION("""COMPUTED_VALUE"""),0)</f>
        <v>0</v>
      </c>
      <c r="S960" s="81"/>
      <c r="T960" s="81"/>
      <c r="U960" s="82"/>
      <c r="V960" s="82"/>
      <c r="W960" s="83"/>
      <c r="X960" s="83"/>
      <c r="Y960" s="83"/>
    </row>
    <row r="961" spans="1:25" ht="13.8">
      <c r="A961" s="78" t="str">
        <f ca="1">IFERROR(__xludf.DUMMYFUNCTION("""COMPUTED_VALUE"""),"HSC")</f>
        <v>HSC</v>
      </c>
      <c r="B961" s="79" t="str">
        <f ca="1">IFERROR(__xludf.DUMMYFUNCTION("""COMPUTED_VALUE"""),"Audrey Fass")</f>
        <v>Audrey Fass</v>
      </c>
      <c r="C961" s="78">
        <f ca="1">IFERROR(__xludf.DUMMYFUNCTION("""COMPUTED_VALUE"""),10)</f>
        <v>10</v>
      </c>
      <c r="D961" s="78" t="str">
        <f ca="1">IFERROR(__xludf.DUMMYFUNCTION("""COMPUTED_VALUE"""),"G")</f>
        <v>G</v>
      </c>
      <c r="E961" s="80" t="str">
        <f ca="1">IFERROR(__xludf.DUMMYFUNCTION("""COMPUTED_VALUE"""),"F")</f>
        <v>F</v>
      </c>
      <c r="F961" s="80" t="str">
        <f ca="1">IFERROR(__xludf.DUMMYFUNCTION("""COMPUTED_VALUE"""),"J")</f>
        <v>J</v>
      </c>
      <c r="G961" s="80">
        <f ca="1">IFERROR(__xludf.DUMMYFUNCTION("""COMPUTED_VALUE"""),7)</f>
        <v>7</v>
      </c>
      <c r="H961" s="80" t="str">
        <f ca="1">IFERROR(__xludf.DUMMYFUNCTION("""COMPUTED_VALUE"""),"HSC")</f>
        <v>HSC</v>
      </c>
      <c r="I961" s="80">
        <f ca="1">IFERROR(__xludf.DUMMYFUNCTION("""COMPUTED_VALUE"""),2)</f>
        <v>2</v>
      </c>
      <c r="J961" s="81">
        <f ca="1">IFERROR(__xludf.DUMMYFUNCTION("""COMPUTED_VALUE"""),2)</f>
        <v>2</v>
      </c>
      <c r="K961" s="81">
        <f ca="1">IFERROR(__xludf.DUMMYFUNCTION("""COMPUTED_VALUE"""),23)</f>
        <v>23</v>
      </c>
      <c r="L961" s="81">
        <f ca="1">IFERROR(__xludf.DUMMYFUNCTION("""COMPUTED_VALUE"""),0)</f>
        <v>0</v>
      </c>
      <c r="M961" s="81"/>
      <c r="N961" s="81">
        <f ca="1">IFERROR(__xludf.DUMMYFUNCTION("""COMPUTED_VALUE"""),23)</f>
        <v>23</v>
      </c>
      <c r="O961" s="81"/>
      <c r="P961" s="81">
        <f ca="1">IFERROR(__xludf.DUMMYFUNCTION("""COMPUTED_VALUE"""),0)</f>
        <v>0</v>
      </c>
      <c r="Q961" s="81"/>
      <c r="R961" s="81">
        <f ca="1">IFERROR(__xludf.DUMMYFUNCTION("""COMPUTED_VALUE"""),16.3)</f>
        <v>16.3</v>
      </c>
      <c r="S961" s="81"/>
      <c r="T961" s="81"/>
      <c r="U961" s="82"/>
      <c r="V961" s="82"/>
      <c r="W961" s="83"/>
      <c r="X961" s="83"/>
      <c r="Y961" s="83"/>
    </row>
    <row r="962" spans="1:25" ht="13.8">
      <c r="A962" s="78" t="str">
        <f ca="1">IFERROR(__xludf.DUMMYFUNCTION("""COMPUTED_VALUE"""),"HSC")</f>
        <v>HSC</v>
      </c>
      <c r="B962" s="79" t="str">
        <f ca="1">IFERROR(__xludf.DUMMYFUNCTION("""COMPUTED_VALUE"""),"Amelia Gentry")</f>
        <v>Amelia Gentry</v>
      </c>
      <c r="C962" s="78">
        <f ca="1">IFERROR(__xludf.DUMMYFUNCTION("""COMPUTED_VALUE"""),7)</f>
        <v>7</v>
      </c>
      <c r="D962" s="78" t="str">
        <f ca="1">IFERROR(__xludf.DUMMYFUNCTION("""COMPUTED_VALUE"""),"G")</f>
        <v>G</v>
      </c>
      <c r="E962" s="80" t="str">
        <f ca="1">IFERROR(__xludf.DUMMYFUNCTION("""COMPUTED_VALUE"""),"F")</f>
        <v>F</v>
      </c>
      <c r="F962" s="80" t="str">
        <f ca="1">IFERROR(__xludf.DUMMYFUNCTION("""COMPUTED_VALUE"""),"J")</f>
        <v>J</v>
      </c>
      <c r="G962" s="80">
        <f ca="1">IFERROR(__xludf.DUMMYFUNCTION("""COMPUTED_VALUE"""),7)</f>
        <v>7</v>
      </c>
      <c r="H962" s="80" t="str">
        <f ca="1">IFERROR(__xludf.DUMMYFUNCTION("""COMPUTED_VALUE"""),"HSC")</f>
        <v>HSC</v>
      </c>
      <c r="I962" s="80">
        <f ca="1">IFERROR(__xludf.DUMMYFUNCTION("""COMPUTED_VALUE"""),2)</f>
        <v>2</v>
      </c>
      <c r="J962" s="81">
        <f ca="1">IFERROR(__xludf.DUMMYFUNCTION("""COMPUTED_VALUE"""),3)</f>
        <v>3</v>
      </c>
      <c r="K962" s="81">
        <f ca="1">IFERROR(__xludf.DUMMYFUNCTION("""COMPUTED_VALUE"""),17.5)</f>
        <v>17.5</v>
      </c>
      <c r="L962" s="81">
        <f ca="1">IFERROR(__xludf.DUMMYFUNCTION("""COMPUTED_VALUE"""),16.25)</f>
        <v>16.25</v>
      </c>
      <c r="M962" s="81"/>
      <c r="N962" s="81">
        <f ca="1">IFERROR(__xludf.DUMMYFUNCTION("""COMPUTED_VALUE"""),17.5)</f>
        <v>17.5</v>
      </c>
      <c r="O962" s="81"/>
      <c r="P962" s="81">
        <f ca="1">IFERROR(__xludf.DUMMYFUNCTION("""COMPUTED_VALUE"""),14.5)</f>
        <v>14.5</v>
      </c>
      <c r="Q962" s="81"/>
      <c r="R962" s="81">
        <f ca="1">IFERROR(__xludf.DUMMYFUNCTION("""COMPUTED_VALUE"""),0)</f>
        <v>0</v>
      </c>
      <c r="S962" s="81"/>
      <c r="T962" s="81"/>
      <c r="U962" s="82"/>
      <c r="V962" s="82"/>
      <c r="W962" s="83"/>
      <c r="X962" s="83"/>
      <c r="Y962" s="83"/>
    </row>
    <row r="963" spans="1:25" ht="13.8">
      <c r="A963" s="78" t="str">
        <f ca="1">IFERROR(__xludf.DUMMYFUNCTION("""COMPUTED_VALUE"""),"HSC")</f>
        <v>HSC</v>
      </c>
      <c r="B963" s="79" t="str">
        <f ca="1">IFERROR(__xludf.DUMMYFUNCTION("""COMPUTED_VALUE"""),"Kate Gentry")</f>
        <v>Kate Gentry</v>
      </c>
      <c r="C963" s="78">
        <f ca="1">IFERROR(__xludf.DUMMYFUNCTION("""COMPUTED_VALUE"""),9)</f>
        <v>9</v>
      </c>
      <c r="D963" s="78" t="str">
        <f ca="1">IFERROR(__xludf.DUMMYFUNCTION("""COMPUTED_VALUE"""),"G")</f>
        <v>G</v>
      </c>
      <c r="E963" s="80" t="str">
        <f ca="1">IFERROR(__xludf.DUMMYFUNCTION("""COMPUTED_VALUE"""),"F")</f>
        <v>F</v>
      </c>
      <c r="F963" s="80" t="str">
        <f ca="1">IFERROR(__xludf.DUMMYFUNCTION("""COMPUTED_VALUE"""),"J")</f>
        <v>J</v>
      </c>
      <c r="G963" s="80">
        <f ca="1">IFERROR(__xludf.DUMMYFUNCTION("""COMPUTED_VALUE"""),7)</f>
        <v>7</v>
      </c>
      <c r="H963" s="80" t="str">
        <f ca="1">IFERROR(__xludf.DUMMYFUNCTION("""COMPUTED_VALUE"""),"HSC")</f>
        <v>HSC</v>
      </c>
      <c r="I963" s="80">
        <f ca="1">IFERROR(__xludf.DUMMYFUNCTION("""COMPUTED_VALUE"""),2)</f>
        <v>2</v>
      </c>
      <c r="J963" s="81">
        <f ca="1">IFERROR(__xludf.DUMMYFUNCTION("""COMPUTED_VALUE"""),5)</f>
        <v>5</v>
      </c>
      <c r="K963" s="81">
        <f ca="1">IFERROR(__xludf.DUMMYFUNCTION("""COMPUTED_VALUE"""),46.15)</f>
        <v>46.15</v>
      </c>
      <c r="L963" s="81">
        <f ca="1">IFERROR(__xludf.DUMMYFUNCTION("""COMPUTED_VALUE"""),37.25)</f>
        <v>37.25</v>
      </c>
      <c r="M963" s="81"/>
      <c r="N963" s="81">
        <f ca="1">IFERROR(__xludf.DUMMYFUNCTION("""COMPUTED_VALUE"""),42.95)</f>
        <v>42.95</v>
      </c>
      <c r="O963" s="81"/>
      <c r="P963" s="81">
        <f ca="1">IFERROR(__xludf.DUMMYFUNCTION("""COMPUTED_VALUE"""),46.15)</f>
        <v>46.15</v>
      </c>
      <c r="Q963" s="81"/>
      <c r="R963" s="81">
        <f ca="1">IFERROR(__xludf.DUMMYFUNCTION("""COMPUTED_VALUE"""),33.3)</f>
        <v>33.299999999999997</v>
      </c>
      <c r="S963" s="81"/>
      <c r="T963" s="81"/>
      <c r="U963" s="82"/>
      <c r="V963" s="82"/>
      <c r="W963" s="83"/>
      <c r="X963" s="83"/>
      <c r="Y963" s="83"/>
    </row>
    <row r="964" spans="1:25" ht="13.8">
      <c r="A964" s="78" t="str">
        <f ca="1">IFERROR(__xludf.DUMMYFUNCTION("""COMPUTED_VALUE"""),"HSC")</f>
        <v>HSC</v>
      </c>
      <c r="B964" s="79" t="str">
        <f ca="1">IFERROR(__xludf.DUMMYFUNCTION("""COMPUTED_VALUE"""),"Olivia Gentry")</f>
        <v>Olivia Gentry</v>
      </c>
      <c r="C964" s="78">
        <f ca="1">IFERROR(__xludf.DUMMYFUNCTION("""COMPUTED_VALUE"""),7)</f>
        <v>7</v>
      </c>
      <c r="D964" s="78" t="str">
        <f ca="1">IFERROR(__xludf.DUMMYFUNCTION("""COMPUTED_VALUE"""),"G")</f>
        <v>G</v>
      </c>
      <c r="E964" s="80" t="str">
        <f ca="1">IFERROR(__xludf.DUMMYFUNCTION("""COMPUTED_VALUE"""),"F")</f>
        <v>F</v>
      </c>
      <c r="F964" s="80" t="str">
        <f ca="1">IFERROR(__xludf.DUMMYFUNCTION("""COMPUTED_VALUE"""),"J")</f>
        <v>J</v>
      </c>
      <c r="G964" s="80">
        <f ca="1">IFERROR(__xludf.DUMMYFUNCTION("""COMPUTED_VALUE"""),7)</f>
        <v>7</v>
      </c>
      <c r="H964" s="80" t="str">
        <f ca="1">IFERROR(__xludf.DUMMYFUNCTION("""COMPUTED_VALUE"""),"HSC")</f>
        <v>HSC</v>
      </c>
      <c r="I964" s="80">
        <f ca="1">IFERROR(__xludf.DUMMYFUNCTION("""COMPUTED_VALUE"""),2)</f>
        <v>2</v>
      </c>
      <c r="J964" s="81">
        <f ca="1">IFERROR(__xludf.DUMMYFUNCTION("""COMPUTED_VALUE"""),0)</f>
        <v>0</v>
      </c>
      <c r="K964" s="81">
        <f ca="1">IFERROR(__xludf.DUMMYFUNCTION("""COMPUTED_VALUE"""),0)</f>
        <v>0</v>
      </c>
      <c r="L964" s="81">
        <f ca="1">IFERROR(__xludf.DUMMYFUNCTION("""COMPUTED_VALUE"""),0)</f>
        <v>0</v>
      </c>
      <c r="M964" s="81"/>
      <c r="N964" s="81">
        <f ca="1">IFERROR(__xludf.DUMMYFUNCTION("""COMPUTED_VALUE"""),0)</f>
        <v>0</v>
      </c>
      <c r="O964" s="81"/>
      <c r="P964" s="81">
        <f ca="1">IFERROR(__xludf.DUMMYFUNCTION("""COMPUTED_VALUE"""),0)</f>
        <v>0</v>
      </c>
      <c r="Q964" s="81"/>
      <c r="R964" s="81">
        <f ca="1">IFERROR(__xludf.DUMMYFUNCTION("""COMPUTED_VALUE"""),0)</f>
        <v>0</v>
      </c>
      <c r="S964" s="81"/>
      <c r="T964" s="81"/>
      <c r="U964" s="82"/>
      <c r="V964" s="82"/>
      <c r="W964" s="83"/>
      <c r="X964" s="83"/>
      <c r="Y964" s="83"/>
    </row>
    <row r="965" spans="1:25" ht="13.8">
      <c r="A965" s="78" t="str">
        <f ca="1">IFERROR(__xludf.DUMMYFUNCTION("""COMPUTED_VALUE"""),"HSC")</f>
        <v>HSC</v>
      </c>
      <c r="B965" s="79" t="str">
        <f ca="1">IFERROR(__xludf.DUMMYFUNCTION("""COMPUTED_VALUE"""),"Artemisia Hashemi")</f>
        <v>Artemisia Hashemi</v>
      </c>
      <c r="C965" s="78">
        <f ca="1">IFERROR(__xludf.DUMMYFUNCTION("""COMPUTED_VALUE"""),8)</f>
        <v>8</v>
      </c>
      <c r="D965" s="78" t="str">
        <f ca="1">IFERROR(__xludf.DUMMYFUNCTION("""COMPUTED_VALUE"""),"G")</f>
        <v>G</v>
      </c>
      <c r="E965" s="80" t="str">
        <f ca="1">IFERROR(__xludf.DUMMYFUNCTION("""COMPUTED_VALUE"""),"F")</f>
        <v>F</v>
      </c>
      <c r="F965" s="80" t="str">
        <f ca="1">IFERROR(__xludf.DUMMYFUNCTION("""COMPUTED_VALUE"""),"J")</f>
        <v>J</v>
      </c>
      <c r="G965" s="80">
        <f ca="1">IFERROR(__xludf.DUMMYFUNCTION("""COMPUTED_VALUE"""),7)</f>
        <v>7</v>
      </c>
      <c r="H965" s="80" t="str">
        <f ca="1">IFERROR(__xludf.DUMMYFUNCTION("""COMPUTED_VALUE"""),"HSC")</f>
        <v>HSC</v>
      </c>
      <c r="I965" s="80">
        <f ca="1">IFERROR(__xludf.DUMMYFUNCTION("""COMPUTED_VALUE"""),2)</f>
        <v>2</v>
      </c>
      <c r="J965" s="81">
        <f ca="1">IFERROR(__xludf.DUMMYFUNCTION("""COMPUTED_VALUE"""),0)</f>
        <v>0</v>
      </c>
      <c r="K965" s="81">
        <f ca="1">IFERROR(__xludf.DUMMYFUNCTION("""COMPUTED_VALUE"""),0)</f>
        <v>0</v>
      </c>
      <c r="L965" s="81">
        <f ca="1">IFERROR(__xludf.DUMMYFUNCTION("""COMPUTED_VALUE"""),0)</f>
        <v>0</v>
      </c>
      <c r="M965" s="81"/>
      <c r="N965" s="81">
        <f ca="1">IFERROR(__xludf.DUMMYFUNCTION("""COMPUTED_VALUE"""),0)</f>
        <v>0</v>
      </c>
      <c r="O965" s="81"/>
      <c r="P965" s="81">
        <f ca="1">IFERROR(__xludf.DUMMYFUNCTION("""COMPUTED_VALUE"""),0)</f>
        <v>0</v>
      </c>
      <c r="Q965" s="81"/>
      <c r="R965" s="81">
        <f ca="1">IFERROR(__xludf.DUMMYFUNCTION("""COMPUTED_VALUE"""),0)</f>
        <v>0</v>
      </c>
      <c r="S965" s="81"/>
      <c r="T965" s="81"/>
      <c r="U965" s="82"/>
      <c r="V965" s="82"/>
      <c r="W965" s="83"/>
      <c r="X965" s="83"/>
      <c r="Y965" s="83"/>
    </row>
    <row r="966" spans="1:25" ht="13.8">
      <c r="A966" s="78" t="str">
        <f ca="1">IFERROR(__xludf.DUMMYFUNCTION("""COMPUTED_VALUE"""),"HSC")</f>
        <v>HSC</v>
      </c>
      <c r="B966" s="79" t="str">
        <f ca="1">IFERROR(__xludf.DUMMYFUNCTION("""COMPUTED_VALUE"""),"Soraya Hashemi")</f>
        <v>Soraya Hashemi</v>
      </c>
      <c r="C966" s="78">
        <f ca="1">IFERROR(__xludf.DUMMYFUNCTION("""COMPUTED_VALUE"""),6)</f>
        <v>6</v>
      </c>
      <c r="D966" s="78" t="str">
        <f ca="1">IFERROR(__xludf.DUMMYFUNCTION("""COMPUTED_VALUE"""),"G")</f>
        <v>G</v>
      </c>
      <c r="E966" s="80" t="str">
        <f ca="1">IFERROR(__xludf.DUMMYFUNCTION("""COMPUTED_VALUE"""),"F")</f>
        <v>F</v>
      </c>
      <c r="F966" s="80" t="str">
        <f ca="1">IFERROR(__xludf.DUMMYFUNCTION("""COMPUTED_VALUE"""),"J")</f>
        <v>J</v>
      </c>
      <c r="G966" s="80">
        <f ca="1">IFERROR(__xludf.DUMMYFUNCTION("""COMPUTED_VALUE"""),7)</f>
        <v>7</v>
      </c>
      <c r="H966" s="80" t="str">
        <f ca="1">IFERROR(__xludf.DUMMYFUNCTION("""COMPUTED_VALUE"""),"HSC")</f>
        <v>HSC</v>
      </c>
      <c r="I966" s="80">
        <f ca="1">IFERROR(__xludf.DUMMYFUNCTION("""COMPUTED_VALUE"""),2)</f>
        <v>2</v>
      </c>
      <c r="J966" s="81">
        <f ca="1">IFERROR(__xludf.DUMMYFUNCTION("""COMPUTED_VALUE"""),0)</f>
        <v>0</v>
      </c>
      <c r="K966" s="81">
        <f ca="1">IFERROR(__xludf.DUMMYFUNCTION("""COMPUTED_VALUE"""),0)</f>
        <v>0</v>
      </c>
      <c r="L966" s="81">
        <f ca="1">IFERROR(__xludf.DUMMYFUNCTION("""COMPUTED_VALUE"""),0)</f>
        <v>0</v>
      </c>
      <c r="M966" s="81"/>
      <c r="N966" s="81">
        <f ca="1">IFERROR(__xludf.DUMMYFUNCTION("""COMPUTED_VALUE"""),0)</f>
        <v>0</v>
      </c>
      <c r="O966" s="81"/>
      <c r="P966" s="81">
        <f ca="1">IFERROR(__xludf.DUMMYFUNCTION("""COMPUTED_VALUE"""),0)</f>
        <v>0</v>
      </c>
      <c r="Q966" s="81"/>
      <c r="R966" s="81">
        <f ca="1">IFERROR(__xludf.DUMMYFUNCTION("""COMPUTED_VALUE"""),0)</f>
        <v>0</v>
      </c>
      <c r="S966" s="81"/>
      <c r="T966" s="81"/>
      <c r="U966" s="82"/>
      <c r="V966" s="82"/>
      <c r="W966" s="83"/>
      <c r="X966" s="83"/>
      <c r="Y966" s="83"/>
    </row>
    <row r="967" spans="1:25" ht="13.8">
      <c r="A967" s="78" t="str">
        <f ca="1">IFERROR(__xludf.DUMMYFUNCTION("""COMPUTED_VALUE"""),"HSC")</f>
        <v>HSC</v>
      </c>
      <c r="B967" s="79" t="str">
        <f ca="1">IFERROR(__xludf.DUMMYFUNCTION("""COMPUTED_VALUE"""),"Julia Hernandez")</f>
        <v>Julia Hernandez</v>
      </c>
      <c r="C967" s="78">
        <f ca="1">IFERROR(__xludf.DUMMYFUNCTION("""COMPUTED_VALUE"""),6)</f>
        <v>6</v>
      </c>
      <c r="D967" s="78" t="str">
        <f ca="1">IFERROR(__xludf.DUMMYFUNCTION("""COMPUTED_VALUE"""),"G")</f>
        <v>G</v>
      </c>
      <c r="E967" s="80" t="str">
        <f ca="1">IFERROR(__xludf.DUMMYFUNCTION("""COMPUTED_VALUE"""),"F")</f>
        <v>F</v>
      </c>
      <c r="F967" s="80" t="str">
        <f ca="1">IFERROR(__xludf.DUMMYFUNCTION("""COMPUTED_VALUE"""),"J")</f>
        <v>J</v>
      </c>
      <c r="G967" s="80">
        <f ca="1">IFERROR(__xludf.DUMMYFUNCTION("""COMPUTED_VALUE"""),7)</f>
        <v>7</v>
      </c>
      <c r="H967" s="80" t="str">
        <f ca="1">IFERROR(__xludf.DUMMYFUNCTION("""COMPUTED_VALUE"""),"HSC")</f>
        <v>HSC</v>
      </c>
      <c r="I967" s="80">
        <f ca="1">IFERROR(__xludf.DUMMYFUNCTION("""COMPUTED_VALUE"""),2)</f>
        <v>2</v>
      </c>
      <c r="J967" s="81">
        <f ca="1">IFERROR(__xludf.DUMMYFUNCTION("""COMPUTED_VALUE"""),0)</f>
        <v>0</v>
      </c>
      <c r="K967" s="81">
        <f ca="1">IFERROR(__xludf.DUMMYFUNCTION("""COMPUTED_VALUE"""),0)</f>
        <v>0</v>
      </c>
      <c r="L967" s="81">
        <f ca="1">IFERROR(__xludf.DUMMYFUNCTION("""COMPUTED_VALUE"""),0)</f>
        <v>0</v>
      </c>
      <c r="M967" s="81"/>
      <c r="N967" s="81">
        <f ca="1">IFERROR(__xludf.DUMMYFUNCTION("""COMPUTED_VALUE"""),0)</f>
        <v>0</v>
      </c>
      <c r="O967" s="81"/>
      <c r="P967" s="81">
        <f ca="1">IFERROR(__xludf.DUMMYFUNCTION("""COMPUTED_VALUE"""),0)</f>
        <v>0</v>
      </c>
      <c r="Q967" s="81"/>
      <c r="R967" s="81">
        <f ca="1">IFERROR(__xludf.DUMMYFUNCTION("""COMPUTED_VALUE"""),0)</f>
        <v>0</v>
      </c>
      <c r="S967" s="81"/>
      <c r="T967" s="81"/>
      <c r="U967" s="82"/>
      <c r="V967" s="82"/>
      <c r="W967" s="83"/>
      <c r="X967" s="83"/>
      <c r="Y967" s="83"/>
    </row>
    <row r="968" spans="1:25" ht="13.8">
      <c r="A968" s="78" t="str">
        <f ca="1">IFERROR(__xludf.DUMMYFUNCTION("""COMPUTED_VALUE"""),"HSC")</f>
        <v>HSC</v>
      </c>
      <c r="B968" s="79" t="str">
        <f ca="1">IFERROR(__xludf.DUMMYFUNCTION("""COMPUTED_VALUE"""),"Campbell Kurpiel")</f>
        <v>Campbell Kurpiel</v>
      </c>
      <c r="C968" s="78">
        <f ca="1">IFERROR(__xludf.DUMMYFUNCTION("""COMPUTED_VALUE"""),10)</f>
        <v>10</v>
      </c>
      <c r="D968" s="78" t="str">
        <f ca="1">IFERROR(__xludf.DUMMYFUNCTION("""COMPUTED_VALUE"""),"G")</f>
        <v>G</v>
      </c>
      <c r="E968" s="80" t="str">
        <f ca="1">IFERROR(__xludf.DUMMYFUNCTION("""COMPUTED_VALUE"""),"F")</f>
        <v>F</v>
      </c>
      <c r="F968" s="80" t="str">
        <f ca="1">IFERROR(__xludf.DUMMYFUNCTION("""COMPUTED_VALUE"""),"J")</f>
        <v>J</v>
      </c>
      <c r="G968" s="80">
        <f ca="1">IFERROR(__xludf.DUMMYFUNCTION("""COMPUTED_VALUE"""),7)</f>
        <v>7</v>
      </c>
      <c r="H968" s="80" t="str">
        <f ca="1">IFERROR(__xludf.DUMMYFUNCTION("""COMPUTED_VALUE"""),"HSC")</f>
        <v>HSC</v>
      </c>
      <c r="I968" s="80">
        <f ca="1">IFERROR(__xludf.DUMMYFUNCTION("""COMPUTED_VALUE"""),2)</f>
        <v>2</v>
      </c>
      <c r="J968" s="81">
        <f ca="1">IFERROR(__xludf.DUMMYFUNCTION("""COMPUTED_VALUE"""),4)</f>
        <v>4</v>
      </c>
      <c r="K968" s="81">
        <f ca="1">IFERROR(__xludf.DUMMYFUNCTION("""COMPUTED_VALUE"""),48.95)</f>
        <v>48.95</v>
      </c>
      <c r="L968" s="81">
        <f ca="1">IFERROR(__xludf.DUMMYFUNCTION("""COMPUTED_VALUE"""),40.55)</f>
        <v>40.549999999999997</v>
      </c>
      <c r="M968" s="81"/>
      <c r="N968" s="81">
        <f ca="1">IFERROR(__xludf.DUMMYFUNCTION("""COMPUTED_VALUE"""),0)</f>
        <v>0</v>
      </c>
      <c r="O968" s="81"/>
      <c r="P968" s="81">
        <f ca="1">IFERROR(__xludf.DUMMYFUNCTION("""COMPUTED_VALUE"""),48.95)</f>
        <v>48.95</v>
      </c>
      <c r="Q968" s="81"/>
      <c r="R968" s="81">
        <f ca="1">IFERROR(__xludf.DUMMYFUNCTION("""COMPUTED_VALUE"""),42.3)</f>
        <v>42.3</v>
      </c>
      <c r="S968" s="81"/>
      <c r="T968" s="81"/>
      <c r="U968" s="82"/>
      <c r="V968" s="82"/>
      <c r="W968" s="83"/>
      <c r="X968" s="83"/>
      <c r="Y968" s="83"/>
    </row>
    <row r="969" spans="1:25" ht="13.8">
      <c r="A969" s="78" t="str">
        <f ca="1">IFERROR(__xludf.DUMMYFUNCTION("""COMPUTED_VALUE"""),"HSC")</f>
        <v>HSC</v>
      </c>
      <c r="B969" s="79" t="str">
        <f ca="1">IFERROR(__xludf.DUMMYFUNCTION("""COMPUTED_VALUE"""),"Aleska McCarthy")</f>
        <v>Aleska McCarthy</v>
      </c>
      <c r="C969" s="78">
        <f ca="1">IFERROR(__xludf.DUMMYFUNCTION("""COMPUTED_VALUE"""),9)</f>
        <v>9</v>
      </c>
      <c r="D969" s="78" t="str">
        <f ca="1">IFERROR(__xludf.DUMMYFUNCTION("""COMPUTED_VALUE"""),"G")</f>
        <v>G</v>
      </c>
      <c r="E969" s="80" t="str">
        <f ca="1">IFERROR(__xludf.DUMMYFUNCTION("""COMPUTED_VALUE"""),"F")</f>
        <v>F</v>
      </c>
      <c r="F969" s="80" t="str">
        <f ca="1">IFERROR(__xludf.DUMMYFUNCTION("""COMPUTED_VALUE"""),"J")</f>
        <v>J</v>
      </c>
      <c r="G969" s="80">
        <f ca="1">IFERROR(__xludf.DUMMYFUNCTION("""COMPUTED_VALUE"""),7)</f>
        <v>7</v>
      </c>
      <c r="H969" s="80" t="str">
        <f ca="1">IFERROR(__xludf.DUMMYFUNCTION("""COMPUTED_VALUE"""),"HSC")</f>
        <v>HSC</v>
      </c>
      <c r="I969" s="80">
        <f ca="1">IFERROR(__xludf.DUMMYFUNCTION("""COMPUTED_VALUE"""),2)</f>
        <v>2</v>
      </c>
      <c r="J969" s="81">
        <f ca="1">IFERROR(__xludf.DUMMYFUNCTION("""COMPUTED_VALUE"""),1)</f>
        <v>1</v>
      </c>
      <c r="K969" s="81">
        <f ca="1">IFERROR(__xludf.DUMMYFUNCTION("""COMPUTED_VALUE"""),0)</f>
        <v>0</v>
      </c>
      <c r="L969" s="81">
        <f ca="1">IFERROR(__xludf.DUMMYFUNCTION("""COMPUTED_VALUE"""),0)</f>
        <v>0</v>
      </c>
      <c r="M969" s="81"/>
      <c r="N969" s="81">
        <f ca="1">IFERROR(__xludf.DUMMYFUNCTION("""COMPUTED_VALUE"""),0)</f>
        <v>0</v>
      </c>
      <c r="O969" s="81"/>
      <c r="P969" s="81">
        <f ca="1">IFERROR(__xludf.DUMMYFUNCTION("""COMPUTED_VALUE"""),0)</f>
        <v>0</v>
      </c>
      <c r="Q969" s="81"/>
      <c r="R969" s="81">
        <f ca="1">IFERROR(__xludf.DUMMYFUNCTION("""COMPUTED_VALUE"""),0)</f>
        <v>0</v>
      </c>
      <c r="S969" s="81"/>
      <c r="T969" s="81"/>
      <c r="U969" s="82"/>
      <c r="V969" s="82"/>
      <c r="W969" s="83"/>
      <c r="X969" s="83"/>
      <c r="Y969" s="83"/>
    </row>
    <row r="970" spans="1:25" ht="13.8">
      <c r="A970" s="78" t="str">
        <f ca="1">IFERROR(__xludf.DUMMYFUNCTION("""COMPUTED_VALUE"""),"HSC")</f>
        <v>HSC</v>
      </c>
      <c r="B970" s="79" t="str">
        <f ca="1">IFERROR(__xludf.DUMMYFUNCTION("""COMPUTED_VALUE"""),"Victoria Moscoso")</f>
        <v>Victoria Moscoso</v>
      </c>
      <c r="C970" s="78">
        <f ca="1">IFERROR(__xludf.DUMMYFUNCTION("""COMPUTED_VALUE"""),8)</f>
        <v>8</v>
      </c>
      <c r="D970" s="78" t="str">
        <f ca="1">IFERROR(__xludf.DUMMYFUNCTION("""COMPUTED_VALUE"""),"G")</f>
        <v>G</v>
      </c>
      <c r="E970" s="80" t="str">
        <f ca="1">IFERROR(__xludf.DUMMYFUNCTION("""COMPUTED_VALUE"""),"F")</f>
        <v>F</v>
      </c>
      <c r="F970" s="80" t="str">
        <f ca="1">IFERROR(__xludf.DUMMYFUNCTION("""COMPUTED_VALUE"""),"J")</f>
        <v>J</v>
      </c>
      <c r="G970" s="80">
        <f ca="1">IFERROR(__xludf.DUMMYFUNCTION("""COMPUTED_VALUE"""),7)</f>
        <v>7</v>
      </c>
      <c r="H970" s="80" t="str">
        <f ca="1">IFERROR(__xludf.DUMMYFUNCTION("""COMPUTED_VALUE"""),"HSC")</f>
        <v>HSC</v>
      </c>
      <c r="I970" s="80">
        <f ca="1">IFERROR(__xludf.DUMMYFUNCTION("""COMPUTED_VALUE"""),2)</f>
        <v>2</v>
      </c>
      <c r="J970" s="81">
        <f ca="1">IFERROR(__xludf.DUMMYFUNCTION("""COMPUTED_VALUE"""),0)</f>
        <v>0</v>
      </c>
      <c r="K970" s="81">
        <f ca="1">IFERROR(__xludf.DUMMYFUNCTION("""COMPUTED_VALUE"""),0)</f>
        <v>0</v>
      </c>
      <c r="L970" s="81">
        <f ca="1">IFERROR(__xludf.DUMMYFUNCTION("""COMPUTED_VALUE"""),0)</f>
        <v>0</v>
      </c>
      <c r="M970" s="81"/>
      <c r="N970" s="81">
        <f ca="1">IFERROR(__xludf.DUMMYFUNCTION("""COMPUTED_VALUE"""),0)</f>
        <v>0</v>
      </c>
      <c r="O970" s="81"/>
      <c r="P970" s="81">
        <f ca="1">IFERROR(__xludf.DUMMYFUNCTION("""COMPUTED_VALUE"""),0)</f>
        <v>0</v>
      </c>
      <c r="Q970" s="81"/>
      <c r="R970" s="81">
        <f ca="1">IFERROR(__xludf.DUMMYFUNCTION("""COMPUTED_VALUE"""),0)</f>
        <v>0</v>
      </c>
      <c r="S970" s="81"/>
      <c r="T970" s="81"/>
      <c r="U970" s="82"/>
      <c r="V970" s="82"/>
      <c r="W970" s="83"/>
      <c r="X970" s="83"/>
      <c r="Y970" s="83"/>
    </row>
    <row r="971" spans="1:25" ht="13.8">
      <c r="A971" s="78" t="str">
        <f ca="1">IFERROR(__xludf.DUMMYFUNCTION("""COMPUTED_VALUE"""),"HSC")</f>
        <v>HSC</v>
      </c>
      <c r="B971" s="79" t="str">
        <f ca="1">IFERROR(__xludf.DUMMYFUNCTION("""COMPUTED_VALUE"""),"Siena Nguyen")</f>
        <v>Siena Nguyen</v>
      </c>
      <c r="C971" s="78">
        <f ca="1">IFERROR(__xludf.DUMMYFUNCTION("""COMPUTED_VALUE"""),9)</f>
        <v>9</v>
      </c>
      <c r="D971" s="78" t="str">
        <f ca="1">IFERROR(__xludf.DUMMYFUNCTION("""COMPUTED_VALUE"""),"G")</f>
        <v>G</v>
      </c>
      <c r="E971" s="80" t="str">
        <f ca="1">IFERROR(__xludf.DUMMYFUNCTION("""COMPUTED_VALUE"""),"F")</f>
        <v>F</v>
      </c>
      <c r="F971" s="80" t="str">
        <f ca="1">IFERROR(__xludf.DUMMYFUNCTION("""COMPUTED_VALUE"""),"J")</f>
        <v>J</v>
      </c>
      <c r="G971" s="80">
        <f ca="1">IFERROR(__xludf.DUMMYFUNCTION("""COMPUTED_VALUE"""),7)</f>
        <v>7</v>
      </c>
      <c r="H971" s="80" t="str">
        <f ca="1">IFERROR(__xludf.DUMMYFUNCTION("""COMPUTED_VALUE"""),"HSC")</f>
        <v>HSC</v>
      </c>
      <c r="I971" s="80">
        <f ca="1">IFERROR(__xludf.DUMMYFUNCTION("""COMPUTED_VALUE"""),2)</f>
        <v>2</v>
      </c>
      <c r="J971" s="81">
        <f ca="1">IFERROR(__xludf.DUMMYFUNCTION("""COMPUTED_VALUE"""),5)</f>
        <v>5</v>
      </c>
      <c r="K971" s="81">
        <f ca="1">IFERROR(__xludf.DUMMYFUNCTION("""COMPUTED_VALUE"""),18.25)</f>
        <v>18.25</v>
      </c>
      <c r="L971" s="81">
        <f ca="1">IFERROR(__xludf.DUMMYFUNCTION("""COMPUTED_VALUE"""),18.25)</f>
        <v>18.25</v>
      </c>
      <c r="M971" s="81"/>
      <c r="N971" s="81">
        <f ca="1">IFERROR(__xludf.DUMMYFUNCTION("""COMPUTED_VALUE"""),16.5)</f>
        <v>16.5</v>
      </c>
      <c r="O971" s="81"/>
      <c r="P971" s="81">
        <f ca="1">IFERROR(__xludf.DUMMYFUNCTION("""COMPUTED_VALUE"""),18.25)</f>
        <v>18.25</v>
      </c>
      <c r="Q971" s="81"/>
      <c r="R971" s="81">
        <f ca="1">IFERROR(__xludf.DUMMYFUNCTION("""COMPUTED_VALUE"""),14.6)</f>
        <v>14.6</v>
      </c>
      <c r="S971" s="81"/>
      <c r="T971" s="81"/>
      <c r="U971" s="82"/>
      <c r="V971" s="82"/>
      <c r="W971" s="83"/>
      <c r="X971" s="83"/>
      <c r="Y971" s="83"/>
    </row>
    <row r="972" spans="1:25" ht="13.8">
      <c r="A972" s="78" t="str">
        <f ca="1">IFERROR(__xludf.DUMMYFUNCTION("""COMPUTED_VALUE"""),"HSC")</f>
        <v>HSC</v>
      </c>
      <c r="B972" s="79" t="str">
        <f ca="1">IFERROR(__xludf.DUMMYFUNCTION("""COMPUTED_VALUE"""),"Ava Payan")</f>
        <v>Ava Payan</v>
      </c>
      <c r="C972" s="78">
        <f ca="1">IFERROR(__xludf.DUMMYFUNCTION("""COMPUTED_VALUE"""),7)</f>
        <v>7</v>
      </c>
      <c r="D972" s="78" t="str">
        <f ca="1">IFERROR(__xludf.DUMMYFUNCTION("""COMPUTED_VALUE"""),"G")</f>
        <v>G</v>
      </c>
      <c r="E972" s="80" t="str">
        <f ca="1">IFERROR(__xludf.DUMMYFUNCTION("""COMPUTED_VALUE"""),"F")</f>
        <v>F</v>
      </c>
      <c r="F972" s="80" t="str">
        <f ca="1">IFERROR(__xludf.DUMMYFUNCTION("""COMPUTED_VALUE"""),"J")</f>
        <v>J</v>
      </c>
      <c r="G972" s="80">
        <f ca="1">IFERROR(__xludf.DUMMYFUNCTION("""COMPUTED_VALUE"""),7)</f>
        <v>7</v>
      </c>
      <c r="H972" s="80" t="str">
        <f ca="1">IFERROR(__xludf.DUMMYFUNCTION("""COMPUTED_VALUE"""),"HSC")</f>
        <v>HSC</v>
      </c>
      <c r="I972" s="80">
        <f ca="1">IFERROR(__xludf.DUMMYFUNCTION("""COMPUTED_VALUE"""),2)</f>
        <v>2</v>
      </c>
      <c r="J972" s="81">
        <f ca="1">IFERROR(__xludf.DUMMYFUNCTION("""COMPUTED_VALUE"""),4)</f>
        <v>4</v>
      </c>
      <c r="K972" s="81">
        <f ca="1">IFERROR(__xludf.DUMMYFUNCTION("""COMPUTED_VALUE"""),26.05)</f>
        <v>26.05</v>
      </c>
      <c r="L972" s="81">
        <f ca="1">IFERROR(__xludf.DUMMYFUNCTION("""COMPUTED_VALUE"""),26.05)</f>
        <v>26.05</v>
      </c>
      <c r="M972" s="81"/>
      <c r="N972" s="81">
        <f ca="1">IFERROR(__xludf.DUMMYFUNCTION("""COMPUTED_VALUE"""),10.25)</f>
        <v>10.25</v>
      </c>
      <c r="O972" s="81"/>
      <c r="P972" s="81">
        <f ca="1">IFERROR(__xludf.DUMMYFUNCTION("""COMPUTED_VALUE"""),11)</f>
        <v>11</v>
      </c>
      <c r="Q972" s="81"/>
      <c r="R972" s="81">
        <f ca="1">IFERROR(__xludf.DUMMYFUNCTION("""COMPUTED_VALUE"""),25.7)</f>
        <v>25.7</v>
      </c>
      <c r="S972" s="81"/>
      <c r="T972" s="81"/>
      <c r="U972" s="82"/>
      <c r="V972" s="82"/>
      <c r="W972" s="83"/>
      <c r="X972" s="83"/>
      <c r="Y972" s="83"/>
    </row>
    <row r="973" spans="1:25" ht="13.8">
      <c r="A973" s="78" t="str">
        <f ca="1">IFERROR(__xludf.DUMMYFUNCTION("""COMPUTED_VALUE"""),"HSC")</f>
        <v>HSC</v>
      </c>
      <c r="B973" s="79" t="str">
        <f ca="1">IFERROR(__xludf.DUMMYFUNCTION("""COMPUTED_VALUE"""),"Elizabeth Peebles")</f>
        <v>Elizabeth Peebles</v>
      </c>
      <c r="C973" s="78">
        <f ca="1">IFERROR(__xludf.DUMMYFUNCTION("""COMPUTED_VALUE"""),9)</f>
        <v>9</v>
      </c>
      <c r="D973" s="78" t="str">
        <f ca="1">IFERROR(__xludf.DUMMYFUNCTION("""COMPUTED_VALUE"""),"G")</f>
        <v>G</v>
      </c>
      <c r="E973" s="80" t="str">
        <f ca="1">IFERROR(__xludf.DUMMYFUNCTION("""COMPUTED_VALUE"""),"F")</f>
        <v>F</v>
      </c>
      <c r="F973" s="80" t="str">
        <f ca="1">IFERROR(__xludf.DUMMYFUNCTION("""COMPUTED_VALUE"""),"J")</f>
        <v>J</v>
      </c>
      <c r="G973" s="80">
        <f ca="1">IFERROR(__xludf.DUMMYFUNCTION("""COMPUTED_VALUE"""),7)</f>
        <v>7</v>
      </c>
      <c r="H973" s="80" t="str">
        <f ca="1">IFERROR(__xludf.DUMMYFUNCTION("""COMPUTED_VALUE"""),"HSC")</f>
        <v>HSC</v>
      </c>
      <c r="I973" s="80">
        <f ca="1">IFERROR(__xludf.DUMMYFUNCTION("""COMPUTED_VALUE"""),2)</f>
        <v>2</v>
      </c>
      <c r="J973" s="81">
        <f ca="1">IFERROR(__xludf.DUMMYFUNCTION("""COMPUTED_VALUE"""),4)</f>
        <v>4</v>
      </c>
      <c r="K973" s="81">
        <f ca="1">IFERROR(__xludf.DUMMYFUNCTION("""COMPUTED_VALUE"""),36.95)</f>
        <v>36.950000000000003</v>
      </c>
      <c r="L973" s="81">
        <f ca="1">IFERROR(__xludf.DUMMYFUNCTION("""COMPUTED_VALUE"""),0)</f>
        <v>0</v>
      </c>
      <c r="M973" s="81"/>
      <c r="N973" s="81">
        <f ca="1">IFERROR(__xludf.DUMMYFUNCTION("""COMPUTED_VALUE"""),29.25)</f>
        <v>29.25</v>
      </c>
      <c r="O973" s="81"/>
      <c r="P973" s="81">
        <f ca="1">IFERROR(__xludf.DUMMYFUNCTION("""COMPUTED_VALUE"""),36.95)</f>
        <v>36.950000000000003</v>
      </c>
      <c r="Q973" s="81"/>
      <c r="R973" s="81">
        <f ca="1">IFERROR(__xludf.DUMMYFUNCTION("""COMPUTED_VALUE"""),26.5)</f>
        <v>26.5</v>
      </c>
      <c r="S973" s="81"/>
      <c r="T973" s="81"/>
      <c r="U973" s="82"/>
      <c r="V973" s="82"/>
      <c r="W973" s="83"/>
      <c r="X973" s="83"/>
      <c r="Y973" s="83"/>
    </row>
    <row r="974" spans="1:25" ht="13.8">
      <c r="A974" s="78" t="str">
        <f ca="1">IFERROR(__xludf.DUMMYFUNCTION("""COMPUTED_VALUE"""),"HSC")</f>
        <v>HSC</v>
      </c>
      <c r="B974" s="79" t="str">
        <f ca="1">IFERROR(__xludf.DUMMYFUNCTION("""COMPUTED_VALUE"""),"Abby Pickard")</f>
        <v>Abby Pickard</v>
      </c>
      <c r="C974" s="78">
        <f ca="1">IFERROR(__xludf.DUMMYFUNCTION("""COMPUTED_VALUE"""),10)</f>
        <v>10</v>
      </c>
      <c r="D974" s="78" t="str">
        <f ca="1">IFERROR(__xludf.DUMMYFUNCTION("""COMPUTED_VALUE"""),"G")</f>
        <v>G</v>
      </c>
      <c r="E974" s="80" t="str">
        <f ca="1">IFERROR(__xludf.DUMMYFUNCTION("""COMPUTED_VALUE"""),"F")</f>
        <v>F</v>
      </c>
      <c r="F974" s="80" t="str">
        <f ca="1">IFERROR(__xludf.DUMMYFUNCTION("""COMPUTED_VALUE"""),"J")</f>
        <v>J</v>
      </c>
      <c r="G974" s="80">
        <f ca="1">IFERROR(__xludf.DUMMYFUNCTION("""COMPUTED_VALUE"""),7)</f>
        <v>7</v>
      </c>
      <c r="H974" s="80" t="str">
        <f ca="1">IFERROR(__xludf.DUMMYFUNCTION("""COMPUTED_VALUE"""),"HSC")</f>
        <v>HSC</v>
      </c>
      <c r="I974" s="80">
        <f ca="1">IFERROR(__xludf.DUMMYFUNCTION("""COMPUTED_VALUE"""),2)</f>
        <v>2</v>
      </c>
      <c r="J974" s="81">
        <f ca="1">IFERROR(__xludf.DUMMYFUNCTION("""COMPUTED_VALUE"""),4)</f>
        <v>4</v>
      </c>
      <c r="K974" s="81">
        <f ca="1">IFERROR(__xludf.DUMMYFUNCTION("""COMPUTED_VALUE"""),59.5)</f>
        <v>59.5</v>
      </c>
      <c r="L974" s="81">
        <f ca="1">IFERROR(__xludf.DUMMYFUNCTION("""COMPUTED_VALUE"""),46.15)</f>
        <v>46.15</v>
      </c>
      <c r="M974" s="81"/>
      <c r="N974" s="81">
        <f ca="1">IFERROR(__xludf.DUMMYFUNCTION("""COMPUTED_VALUE"""),51.35)</f>
        <v>51.35</v>
      </c>
      <c r="O974" s="81"/>
      <c r="P974" s="81">
        <f ca="1">IFERROR(__xludf.DUMMYFUNCTION("""COMPUTED_VALUE"""),59.5)</f>
        <v>59.5</v>
      </c>
      <c r="Q974" s="81"/>
      <c r="R974" s="81">
        <f ca="1">IFERROR(__xludf.DUMMYFUNCTION("""COMPUTED_VALUE"""),0)</f>
        <v>0</v>
      </c>
      <c r="S974" s="81"/>
      <c r="T974" s="81"/>
      <c r="U974" s="82"/>
      <c r="V974" s="82"/>
      <c r="W974" s="83"/>
      <c r="X974" s="83"/>
      <c r="Y974" s="83"/>
    </row>
    <row r="975" spans="1:25" ht="13.8">
      <c r="A975" s="78" t="str">
        <f ca="1">IFERROR(__xludf.DUMMYFUNCTION("""COMPUTED_VALUE"""),"HSC")</f>
        <v>HSC</v>
      </c>
      <c r="B975" s="79" t="str">
        <f ca="1">IFERROR(__xludf.DUMMYFUNCTION("""COMPUTED_VALUE"""),"Noelle Rosser")</f>
        <v>Noelle Rosser</v>
      </c>
      <c r="C975" s="78">
        <f ca="1">IFERROR(__xludf.DUMMYFUNCTION("""COMPUTED_VALUE"""),8)</f>
        <v>8</v>
      </c>
      <c r="D975" s="78" t="str">
        <f ca="1">IFERROR(__xludf.DUMMYFUNCTION("""COMPUTED_VALUE"""),"G")</f>
        <v>G</v>
      </c>
      <c r="E975" s="80" t="str">
        <f ca="1">IFERROR(__xludf.DUMMYFUNCTION("""COMPUTED_VALUE"""),"F")</f>
        <v>F</v>
      </c>
      <c r="F975" s="80" t="str">
        <f ca="1">IFERROR(__xludf.DUMMYFUNCTION("""COMPUTED_VALUE"""),"J")</f>
        <v>J</v>
      </c>
      <c r="G975" s="80">
        <f ca="1">IFERROR(__xludf.DUMMYFUNCTION("""COMPUTED_VALUE"""),7)</f>
        <v>7</v>
      </c>
      <c r="H975" s="80" t="str">
        <f ca="1">IFERROR(__xludf.DUMMYFUNCTION("""COMPUTED_VALUE"""),"HSC")</f>
        <v>HSC</v>
      </c>
      <c r="I975" s="80">
        <f ca="1">IFERROR(__xludf.DUMMYFUNCTION("""COMPUTED_VALUE"""),2)</f>
        <v>2</v>
      </c>
      <c r="J975" s="81">
        <f ca="1">IFERROR(__xludf.DUMMYFUNCTION("""COMPUTED_VALUE"""),0)</f>
        <v>0</v>
      </c>
      <c r="K975" s="81">
        <f ca="1">IFERROR(__xludf.DUMMYFUNCTION("""COMPUTED_VALUE"""),0)</f>
        <v>0</v>
      </c>
      <c r="L975" s="81">
        <f ca="1">IFERROR(__xludf.DUMMYFUNCTION("""COMPUTED_VALUE"""),0)</f>
        <v>0</v>
      </c>
      <c r="M975" s="81"/>
      <c r="N975" s="81">
        <f ca="1">IFERROR(__xludf.DUMMYFUNCTION("""COMPUTED_VALUE"""),0)</f>
        <v>0</v>
      </c>
      <c r="O975" s="81"/>
      <c r="P975" s="81">
        <f ca="1">IFERROR(__xludf.DUMMYFUNCTION("""COMPUTED_VALUE"""),0)</f>
        <v>0</v>
      </c>
      <c r="Q975" s="81"/>
      <c r="R975" s="81">
        <f ca="1">IFERROR(__xludf.DUMMYFUNCTION("""COMPUTED_VALUE"""),0)</f>
        <v>0</v>
      </c>
      <c r="S975" s="81"/>
      <c r="T975" s="81"/>
      <c r="U975" s="82"/>
      <c r="V975" s="82"/>
      <c r="W975" s="83"/>
      <c r="X975" s="83"/>
      <c r="Y975" s="83"/>
    </row>
    <row r="976" spans="1:25" ht="13.8">
      <c r="A976" s="78" t="str">
        <f ca="1">IFERROR(__xludf.DUMMYFUNCTION("""COMPUTED_VALUE"""),"HSC")</f>
        <v>HSC</v>
      </c>
      <c r="B976" s="79" t="str">
        <f ca="1">IFERROR(__xludf.DUMMYFUNCTION("""COMPUTED_VALUE"""),"Leah Schwartz")</f>
        <v>Leah Schwartz</v>
      </c>
      <c r="C976" s="78">
        <f ca="1">IFERROR(__xludf.DUMMYFUNCTION("""COMPUTED_VALUE"""),5)</f>
        <v>5</v>
      </c>
      <c r="D976" s="78" t="str">
        <f ca="1">IFERROR(__xludf.DUMMYFUNCTION("""COMPUTED_VALUE"""),"G")</f>
        <v>G</v>
      </c>
      <c r="E976" s="80" t="str">
        <f ca="1">IFERROR(__xludf.DUMMYFUNCTION("""COMPUTED_VALUE"""),"F")</f>
        <v>F</v>
      </c>
      <c r="F976" s="80" t="str">
        <f ca="1">IFERROR(__xludf.DUMMYFUNCTION("""COMPUTED_VALUE"""),"J")</f>
        <v>J</v>
      </c>
      <c r="G976" s="80">
        <f ca="1">IFERROR(__xludf.DUMMYFUNCTION("""COMPUTED_VALUE"""),7)</f>
        <v>7</v>
      </c>
      <c r="H976" s="80" t="str">
        <f ca="1">IFERROR(__xludf.DUMMYFUNCTION("""COMPUTED_VALUE"""),"HSC")</f>
        <v>HSC</v>
      </c>
      <c r="I976" s="80">
        <f ca="1">IFERROR(__xludf.DUMMYFUNCTION("""COMPUTED_VALUE"""),2)</f>
        <v>2</v>
      </c>
      <c r="J976" s="81">
        <f ca="1">IFERROR(__xludf.DUMMYFUNCTION("""COMPUTED_VALUE"""),0)</f>
        <v>0</v>
      </c>
      <c r="K976" s="81">
        <f ca="1">IFERROR(__xludf.DUMMYFUNCTION("""COMPUTED_VALUE"""),0)</f>
        <v>0</v>
      </c>
      <c r="L976" s="81">
        <f ca="1">IFERROR(__xludf.DUMMYFUNCTION("""COMPUTED_VALUE"""),0)</f>
        <v>0</v>
      </c>
      <c r="M976" s="81"/>
      <c r="N976" s="81">
        <f ca="1">IFERROR(__xludf.DUMMYFUNCTION("""COMPUTED_VALUE"""),0)</f>
        <v>0</v>
      </c>
      <c r="O976" s="81"/>
      <c r="P976" s="81">
        <f ca="1">IFERROR(__xludf.DUMMYFUNCTION("""COMPUTED_VALUE"""),0)</f>
        <v>0</v>
      </c>
      <c r="Q976" s="81"/>
      <c r="R976" s="81">
        <f ca="1">IFERROR(__xludf.DUMMYFUNCTION("""COMPUTED_VALUE"""),0)</f>
        <v>0</v>
      </c>
      <c r="S976" s="81"/>
      <c r="T976" s="81"/>
      <c r="U976" s="82"/>
      <c r="V976" s="82"/>
      <c r="W976" s="83"/>
      <c r="X976" s="83"/>
      <c r="Y976" s="83"/>
    </row>
    <row r="977" spans="1:25" ht="13.8">
      <c r="A977" s="78" t="str">
        <f ca="1">IFERROR(__xludf.DUMMYFUNCTION("""COMPUTED_VALUE"""),"HSC")</f>
        <v>HSC</v>
      </c>
      <c r="B977" s="79" t="str">
        <f ca="1">IFERROR(__xludf.DUMMYFUNCTION("""COMPUTED_VALUE"""),"Georgia Steele")</f>
        <v>Georgia Steele</v>
      </c>
      <c r="C977" s="78">
        <f ca="1">IFERROR(__xludf.DUMMYFUNCTION("""COMPUTED_VALUE"""),10)</f>
        <v>10</v>
      </c>
      <c r="D977" s="78" t="str">
        <f ca="1">IFERROR(__xludf.DUMMYFUNCTION("""COMPUTED_VALUE"""),"G")</f>
        <v>G</v>
      </c>
      <c r="E977" s="80" t="str">
        <f ca="1">IFERROR(__xludf.DUMMYFUNCTION("""COMPUTED_VALUE"""),"F")</f>
        <v>F</v>
      </c>
      <c r="F977" s="80" t="str">
        <f ca="1">IFERROR(__xludf.DUMMYFUNCTION("""COMPUTED_VALUE"""),"J")</f>
        <v>J</v>
      </c>
      <c r="G977" s="80">
        <f ca="1">IFERROR(__xludf.DUMMYFUNCTION("""COMPUTED_VALUE"""),7)</f>
        <v>7</v>
      </c>
      <c r="H977" s="80" t="str">
        <f ca="1">IFERROR(__xludf.DUMMYFUNCTION("""COMPUTED_VALUE"""),"HSC")</f>
        <v>HSC</v>
      </c>
      <c r="I977" s="80">
        <f ca="1">IFERROR(__xludf.DUMMYFUNCTION("""COMPUTED_VALUE"""),2)</f>
        <v>2</v>
      </c>
      <c r="J977" s="81">
        <f ca="1">IFERROR(__xludf.DUMMYFUNCTION("""COMPUTED_VALUE"""),1)</f>
        <v>1</v>
      </c>
      <c r="K977" s="81">
        <f ca="1">IFERROR(__xludf.DUMMYFUNCTION("""COMPUTED_VALUE"""),0)</f>
        <v>0</v>
      </c>
      <c r="L977" s="81">
        <f ca="1">IFERROR(__xludf.DUMMYFUNCTION("""COMPUTED_VALUE"""),0)</f>
        <v>0</v>
      </c>
      <c r="M977" s="81"/>
      <c r="N977" s="81">
        <f ca="1">IFERROR(__xludf.DUMMYFUNCTION("""COMPUTED_VALUE"""),0)</f>
        <v>0</v>
      </c>
      <c r="O977" s="81"/>
      <c r="P977" s="81">
        <f ca="1">IFERROR(__xludf.DUMMYFUNCTION("""COMPUTED_VALUE"""),0)</f>
        <v>0</v>
      </c>
      <c r="Q977" s="81"/>
      <c r="R977" s="81">
        <f ca="1">IFERROR(__xludf.DUMMYFUNCTION("""COMPUTED_VALUE"""),0)</f>
        <v>0</v>
      </c>
      <c r="S977" s="81"/>
      <c r="T977" s="81"/>
      <c r="U977" s="82"/>
      <c r="V977" s="82"/>
      <c r="W977" s="83"/>
      <c r="X977" s="83"/>
      <c r="Y977" s="83"/>
    </row>
    <row r="978" spans="1:25" ht="13.8">
      <c r="A978" s="78" t="str">
        <f ca="1">IFERROR(__xludf.DUMMYFUNCTION("""COMPUTED_VALUE"""),"HSC")</f>
        <v>HSC</v>
      </c>
      <c r="B978" s="79" t="str">
        <f ca="1">IFERROR(__xludf.DUMMYFUNCTION("""COMPUTED_VALUE"""),"Thais Valkenburg")</f>
        <v>Thais Valkenburg</v>
      </c>
      <c r="C978" s="78">
        <f ca="1">IFERROR(__xludf.DUMMYFUNCTION("""COMPUTED_VALUE"""),5)</f>
        <v>5</v>
      </c>
      <c r="D978" s="78" t="str">
        <f ca="1">IFERROR(__xludf.DUMMYFUNCTION("""COMPUTED_VALUE"""),"G")</f>
        <v>G</v>
      </c>
      <c r="E978" s="80" t="str">
        <f ca="1">IFERROR(__xludf.DUMMYFUNCTION("""COMPUTED_VALUE"""),"F")</f>
        <v>F</v>
      </c>
      <c r="F978" s="80" t="str">
        <f ca="1">IFERROR(__xludf.DUMMYFUNCTION("""COMPUTED_VALUE"""),"J")</f>
        <v>J</v>
      </c>
      <c r="G978" s="80">
        <f ca="1">IFERROR(__xludf.DUMMYFUNCTION("""COMPUTED_VALUE"""),7)</f>
        <v>7</v>
      </c>
      <c r="H978" s="80" t="str">
        <f ca="1">IFERROR(__xludf.DUMMYFUNCTION("""COMPUTED_VALUE"""),"HSC")</f>
        <v>HSC</v>
      </c>
      <c r="I978" s="80">
        <f ca="1">IFERROR(__xludf.DUMMYFUNCTION("""COMPUTED_VALUE"""),2)</f>
        <v>2</v>
      </c>
      <c r="J978" s="81">
        <f ca="1">IFERROR(__xludf.DUMMYFUNCTION("""COMPUTED_VALUE"""),0)</f>
        <v>0</v>
      </c>
      <c r="K978" s="81">
        <f ca="1">IFERROR(__xludf.DUMMYFUNCTION("""COMPUTED_VALUE"""),0)</f>
        <v>0</v>
      </c>
      <c r="L978" s="81">
        <f ca="1">IFERROR(__xludf.DUMMYFUNCTION("""COMPUTED_VALUE"""),0)</f>
        <v>0</v>
      </c>
      <c r="M978" s="81"/>
      <c r="N978" s="81">
        <f ca="1">IFERROR(__xludf.DUMMYFUNCTION("""COMPUTED_VALUE"""),0)</f>
        <v>0</v>
      </c>
      <c r="O978" s="81"/>
      <c r="P978" s="81">
        <f ca="1">IFERROR(__xludf.DUMMYFUNCTION("""COMPUTED_VALUE"""),0)</f>
        <v>0</v>
      </c>
      <c r="Q978" s="81"/>
      <c r="R978" s="81">
        <f ca="1">IFERROR(__xludf.DUMMYFUNCTION("""COMPUTED_VALUE"""),0)</f>
        <v>0</v>
      </c>
      <c r="S978" s="81"/>
      <c r="T978" s="81"/>
      <c r="U978" s="82"/>
      <c r="V978" s="82"/>
      <c r="W978" s="83"/>
      <c r="X978" s="83"/>
      <c r="Y978" s="83"/>
    </row>
    <row r="979" spans="1:25" ht="13.8">
      <c r="A979" s="78" t="str">
        <f ca="1">IFERROR(__xludf.DUMMYFUNCTION("""COMPUTED_VALUE"""),"HSC")</f>
        <v>HSC</v>
      </c>
      <c r="B979" s="79" t="str">
        <f ca="1">IFERROR(__xludf.DUMMYFUNCTION("""COMPUTED_VALUE"""),"Mandi Wang")</f>
        <v>Mandi Wang</v>
      </c>
      <c r="C979" s="78">
        <f ca="1">IFERROR(__xludf.DUMMYFUNCTION("""COMPUTED_VALUE"""),8)</f>
        <v>8</v>
      </c>
      <c r="D979" s="78" t="str">
        <f ca="1">IFERROR(__xludf.DUMMYFUNCTION("""COMPUTED_VALUE"""),"G")</f>
        <v>G</v>
      </c>
      <c r="E979" s="80" t="str">
        <f ca="1">IFERROR(__xludf.DUMMYFUNCTION("""COMPUTED_VALUE"""),"F")</f>
        <v>F</v>
      </c>
      <c r="F979" s="80" t="str">
        <f ca="1">IFERROR(__xludf.DUMMYFUNCTION("""COMPUTED_VALUE"""),"J")</f>
        <v>J</v>
      </c>
      <c r="G979" s="80">
        <f ca="1">IFERROR(__xludf.DUMMYFUNCTION("""COMPUTED_VALUE"""),7)</f>
        <v>7</v>
      </c>
      <c r="H979" s="80" t="str">
        <f ca="1">IFERROR(__xludf.DUMMYFUNCTION("""COMPUTED_VALUE"""),"HSC")</f>
        <v>HSC</v>
      </c>
      <c r="I979" s="80">
        <f ca="1">IFERROR(__xludf.DUMMYFUNCTION("""COMPUTED_VALUE"""),2)</f>
        <v>2</v>
      </c>
      <c r="J979" s="81">
        <f ca="1">IFERROR(__xludf.DUMMYFUNCTION("""COMPUTED_VALUE"""),0)</f>
        <v>0</v>
      </c>
      <c r="K979" s="81">
        <f ca="1">IFERROR(__xludf.DUMMYFUNCTION("""COMPUTED_VALUE"""),0)</f>
        <v>0</v>
      </c>
      <c r="L979" s="81">
        <f ca="1">IFERROR(__xludf.DUMMYFUNCTION("""COMPUTED_VALUE"""),0)</f>
        <v>0</v>
      </c>
      <c r="M979" s="81"/>
      <c r="N979" s="81">
        <f ca="1">IFERROR(__xludf.DUMMYFUNCTION("""COMPUTED_VALUE"""),0)</f>
        <v>0</v>
      </c>
      <c r="O979" s="81"/>
      <c r="P979" s="81">
        <f ca="1">IFERROR(__xludf.DUMMYFUNCTION("""COMPUTED_VALUE"""),0)</f>
        <v>0</v>
      </c>
      <c r="Q979" s="81"/>
      <c r="R979" s="81">
        <f ca="1">IFERROR(__xludf.DUMMYFUNCTION("""COMPUTED_VALUE"""),0)</f>
        <v>0</v>
      </c>
      <c r="S979" s="81"/>
      <c r="T979" s="81"/>
      <c r="U979" s="82"/>
      <c r="V979" s="82"/>
      <c r="W979" s="83"/>
      <c r="X979" s="83"/>
      <c r="Y979" s="83"/>
    </row>
    <row r="980" spans="1:25" ht="13.8">
      <c r="A980" s="78" t="str">
        <f ca="1">IFERROR(__xludf.DUMMYFUNCTION("""COMPUTED_VALUE"""),"HSC")</f>
        <v>HSC</v>
      </c>
      <c r="B980" s="79" t="str">
        <f ca="1">IFERROR(__xludf.DUMMYFUNCTION("""COMPUTED_VALUE"""),"Grace Wegner")</f>
        <v>Grace Wegner</v>
      </c>
      <c r="C980" s="78">
        <f ca="1">IFERROR(__xludf.DUMMYFUNCTION("""COMPUTED_VALUE"""),7)</f>
        <v>7</v>
      </c>
      <c r="D980" s="78" t="str">
        <f ca="1">IFERROR(__xludf.DUMMYFUNCTION("""COMPUTED_VALUE"""),"G")</f>
        <v>G</v>
      </c>
      <c r="E980" s="80" t="str">
        <f ca="1">IFERROR(__xludf.DUMMYFUNCTION("""COMPUTED_VALUE"""),"F")</f>
        <v>F</v>
      </c>
      <c r="F980" s="80" t="str">
        <f ca="1">IFERROR(__xludf.DUMMYFUNCTION("""COMPUTED_VALUE"""),"J")</f>
        <v>J</v>
      </c>
      <c r="G980" s="80">
        <f ca="1">IFERROR(__xludf.DUMMYFUNCTION("""COMPUTED_VALUE"""),7)</f>
        <v>7</v>
      </c>
      <c r="H980" s="80" t="str">
        <f ca="1">IFERROR(__xludf.DUMMYFUNCTION("""COMPUTED_VALUE"""),"HSC")</f>
        <v>HSC</v>
      </c>
      <c r="I980" s="80">
        <f ca="1">IFERROR(__xludf.DUMMYFUNCTION("""COMPUTED_VALUE"""),2)</f>
        <v>2</v>
      </c>
      <c r="J980" s="81">
        <f ca="1">IFERROR(__xludf.DUMMYFUNCTION("""COMPUTED_VALUE"""),1)</f>
        <v>1</v>
      </c>
      <c r="K980" s="81">
        <f ca="1">IFERROR(__xludf.DUMMYFUNCTION("""COMPUTED_VALUE"""),0)</f>
        <v>0</v>
      </c>
      <c r="L980" s="81">
        <f ca="1">IFERROR(__xludf.DUMMYFUNCTION("""COMPUTED_VALUE"""),0)</f>
        <v>0</v>
      </c>
      <c r="M980" s="81"/>
      <c r="N980" s="81">
        <f ca="1">IFERROR(__xludf.DUMMYFUNCTION("""COMPUTED_VALUE"""),0)</f>
        <v>0</v>
      </c>
      <c r="O980" s="81"/>
      <c r="P980" s="81">
        <f ca="1">IFERROR(__xludf.DUMMYFUNCTION("""COMPUTED_VALUE"""),0)</f>
        <v>0</v>
      </c>
      <c r="Q980" s="81"/>
      <c r="R980" s="81">
        <f ca="1">IFERROR(__xludf.DUMMYFUNCTION("""COMPUTED_VALUE"""),0)</f>
        <v>0</v>
      </c>
      <c r="S980" s="81"/>
      <c r="T980" s="81"/>
      <c r="U980" s="82"/>
      <c r="V980" s="82"/>
      <c r="W980" s="83"/>
      <c r="X980" s="83"/>
      <c r="Y980" s="83"/>
    </row>
    <row r="981" spans="1:25" ht="13.8">
      <c r="A981" s="78" t="str">
        <f ca="1">IFERROR(__xludf.DUMMYFUNCTION("""COMPUTED_VALUE"""),"HSC")</f>
        <v>HSC</v>
      </c>
      <c r="B981" s="79" t="str">
        <f ca="1">IFERROR(__xludf.DUMMYFUNCTION("""COMPUTED_VALUE"""),"Peter Bricker")</f>
        <v>Peter Bricker</v>
      </c>
      <c r="C981" s="78">
        <f ca="1">IFERROR(__xludf.DUMMYFUNCTION("""COMPUTED_VALUE"""),6)</f>
        <v>6</v>
      </c>
      <c r="D981" s="78" t="str">
        <f ca="1">IFERROR(__xludf.DUMMYFUNCTION("""COMPUTED_VALUE"""),"B")</f>
        <v>B</v>
      </c>
      <c r="E981" s="80" t="str">
        <f ca="1">IFERROR(__xludf.DUMMYFUNCTION("""COMPUTED_VALUE"""),"F")</f>
        <v>F</v>
      </c>
      <c r="F981" s="80" t="str">
        <f ca="1">IFERROR(__xludf.DUMMYFUNCTION("""COMPUTED_VALUE"""),"J")</f>
        <v>J</v>
      </c>
      <c r="G981" s="80">
        <f ca="1">IFERROR(__xludf.DUMMYFUNCTION("""COMPUTED_VALUE"""),7)</f>
        <v>7</v>
      </c>
      <c r="H981" s="80" t="str">
        <f ca="1">IFERROR(__xludf.DUMMYFUNCTION("""COMPUTED_VALUE"""),"HSC")</f>
        <v>HSC</v>
      </c>
      <c r="I981" s="80">
        <f ca="1">IFERROR(__xludf.DUMMYFUNCTION("""COMPUTED_VALUE"""),3)</f>
        <v>3</v>
      </c>
      <c r="J981" s="81">
        <f ca="1">IFERROR(__xludf.DUMMYFUNCTION("""COMPUTED_VALUE"""),0)</f>
        <v>0</v>
      </c>
      <c r="K981" s="81">
        <f ca="1">IFERROR(__xludf.DUMMYFUNCTION("""COMPUTED_VALUE"""),0)</f>
        <v>0</v>
      </c>
      <c r="L981" s="81">
        <f ca="1">IFERROR(__xludf.DUMMYFUNCTION("""COMPUTED_VALUE"""),0)</f>
        <v>0</v>
      </c>
      <c r="M981" s="81"/>
      <c r="N981" s="81">
        <f ca="1">IFERROR(__xludf.DUMMYFUNCTION("""COMPUTED_VALUE"""),0)</f>
        <v>0</v>
      </c>
      <c r="O981" s="81"/>
      <c r="P981" s="81">
        <f ca="1">IFERROR(__xludf.DUMMYFUNCTION("""COMPUTED_VALUE"""),0)</f>
        <v>0</v>
      </c>
      <c r="Q981" s="81"/>
      <c r="R981" s="81">
        <f ca="1">IFERROR(__xludf.DUMMYFUNCTION("""COMPUTED_VALUE"""),0)</f>
        <v>0</v>
      </c>
      <c r="S981" s="81"/>
      <c r="T981" s="81"/>
      <c r="U981" s="82"/>
      <c r="V981" s="82"/>
      <c r="W981" s="83"/>
      <c r="X981" s="83"/>
      <c r="Y981" s="83"/>
    </row>
    <row r="982" spans="1:25" ht="13.8">
      <c r="A982" s="78" t="str">
        <f ca="1">IFERROR(__xludf.DUMMYFUNCTION("""COMPUTED_VALUE"""),"HSC")</f>
        <v>HSC</v>
      </c>
      <c r="B982" s="79" t="str">
        <f ca="1">IFERROR(__xludf.DUMMYFUNCTION("""COMPUTED_VALUE"""),"Samuel Bricker")</f>
        <v>Samuel Bricker</v>
      </c>
      <c r="C982" s="78">
        <f ca="1">IFERROR(__xludf.DUMMYFUNCTION("""COMPUTED_VALUE"""),9)</f>
        <v>9</v>
      </c>
      <c r="D982" s="78" t="str">
        <f ca="1">IFERROR(__xludf.DUMMYFUNCTION("""COMPUTED_VALUE"""),"B")</f>
        <v>B</v>
      </c>
      <c r="E982" s="80" t="str">
        <f ca="1">IFERROR(__xludf.DUMMYFUNCTION("""COMPUTED_VALUE"""),"F")</f>
        <v>F</v>
      </c>
      <c r="F982" s="80" t="str">
        <f ca="1">IFERROR(__xludf.DUMMYFUNCTION("""COMPUTED_VALUE"""),"J")</f>
        <v>J</v>
      </c>
      <c r="G982" s="80">
        <f ca="1">IFERROR(__xludf.DUMMYFUNCTION("""COMPUTED_VALUE"""),7)</f>
        <v>7</v>
      </c>
      <c r="H982" s="80" t="str">
        <f ca="1">IFERROR(__xludf.DUMMYFUNCTION("""COMPUTED_VALUE"""),"HSC")</f>
        <v>HSC</v>
      </c>
      <c r="I982" s="80">
        <f ca="1">IFERROR(__xludf.DUMMYFUNCTION("""COMPUTED_VALUE"""),3)</f>
        <v>3</v>
      </c>
      <c r="J982" s="81">
        <f ca="1">IFERROR(__xludf.DUMMYFUNCTION("""COMPUTED_VALUE"""),4)</f>
        <v>4</v>
      </c>
      <c r="K982" s="81">
        <f ca="1">IFERROR(__xludf.DUMMYFUNCTION("""COMPUTED_VALUE"""),30.95)</f>
        <v>30.95</v>
      </c>
      <c r="L982" s="81">
        <f ca="1">IFERROR(__xludf.DUMMYFUNCTION("""COMPUTED_VALUE"""),0)</f>
        <v>0</v>
      </c>
      <c r="M982" s="81"/>
      <c r="N982" s="81">
        <f ca="1">IFERROR(__xludf.DUMMYFUNCTION("""COMPUTED_VALUE"""),30.95)</f>
        <v>30.95</v>
      </c>
      <c r="O982" s="81"/>
      <c r="P982" s="81">
        <f ca="1">IFERROR(__xludf.DUMMYFUNCTION("""COMPUTED_VALUE"""),29.85)</f>
        <v>29.85</v>
      </c>
      <c r="Q982" s="81"/>
      <c r="R982" s="81">
        <f ca="1">IFERROR(__xludf.DUMMYFUNCTION("""COMPUTED_VALUE"""),29.3)</f>
        <v>29.3</v>
      </c>
      <c r="S982" s="81"/>
      <c r="T982" s="81"/>
      <c r="U982" s="82"/>
      <c r="V982" s="82"/>
      <c r="W982" s="83"/>
      <c r="X982" s="83"/>
      <c r="Y982" s="83"/>
    </row>
    <row r="983" spans="1:25" ht="13.8">
      <c r="A983" s="78" t="str">
        <f ca="1">IFERROR(__xludf.DUMMYFUNCTION("""COMPUTED_VALUE"""),"HSC")</f>
        <v>HSC</v>
      </c>
      <c r="B983" s="79" t="str">
        <f ca="1">IFERROR(__xludf.DUMMYFUNCTION("""COMPUTED_VALUE"""),"Liam Gentry")</f>
        <v>Liam Gentry</v>
      </c>
      <c r="C983" s="78">
        <f ca="1">IFERROR(__xludf.DUMMYFUNCTION("""COMPUTED_VALUE"""),9)</f>
        <v>9</v>
      </c>
      <c r="D983" s="78" t="str">
        <f ca="1">IFERROR(__xludf.DUMMYFUNCTION("""COMPUTED_VALUE"""),"B")</f>
        <v>B</v>
      </c>
      <c r="E983" s="80" t="str">
        <f ca="1">IFERROR(__xludf.DUMMYFUNCTION("""COMPUTED_VALUE"""),"F")</f>
        <v>F</v>
      </c>
      <c r="F983" s="80" t="str">
        <f ca="1">IFERROR(__xludf.DUMMYFUNCTION("""COMPUTED_VALUE"""),"J")</f>
        <v>J</v>
      </c>
      <c r="G983" s="80">
        <f ca="1">IFERROR(__xludf.DUMMYFUNCTION("""COMPUTED_VALUE"""),7)</f>
        <v>7</v>
      </c>
      <c r="H983" s="80" t="str">
        <f ca="1">IFERROR(__xludf.DUMMYFUNCTION("""COMPUTED_VALUE"""),"HSC")</f>
        <v>HSC</v>
      </c>
      <c r="I983" s="80">
        <f ca="1">IFERROR(__xludf.DUMMYFUNCTION("""COMPUTED_VALUE"""),3)</f>
        <v>3</v>
      </c>
      <c r="J983" s="81">
        <f ca="1">IFERROR(__xludf.DUMMYFUNCTION("""COMPUTED_VALUE"""),5)</f>
        <v>5</v>
      </c>
      <c r="K983" s="81">
        <f ca="1">IFERROR(__xludf.DUMMYFUNCTION("""COMPUTED_VALUE"""),33.75)</f>
        <v>33.75</v>
      </c>
      <c r="L983" s="81">
        <f ca="1">IFERROR(__xludf.DUMMYFUNCTION("""COMPUTED_VALUE"""),18.95)</f>
        <v>18.95</v>
      </c>
      <c r="M983" s="81"/>
      <c r="N983" s="81">
        <f ca="1">IFERROR(__xludf.DUMMYFUNCTION("""COMPUTED_VALUE"""),31.15)</f>
        <v>31.15</v>
      </c>
      <c r="O983" s="81"/>
      <c r="P983" s="81">
        <f ca="1">IFERROR(__xludf.DUMMYFUNCTION("""COMPUTED_VALUE"""),33.75)</f>
        <v>33.75</v>
      </c>
      <c r="Q983" s="81"/>
      <c r="R983" s="81">
        <f ca="1">IFERROR(__xludf.DUMMYFUNCTION("""COMPUTED_VALUE"""),27.6)</f>
        <v>27.6</v>
      </c>
      <c r="S983" s="81"/>
      <c r="T983" s="81"/>
      <c r="U983" s="82"/>
      <c r="V983" s="82"/>
      <c r="W983" s="83"/>
      <c r="X983" s="83"/>
      <c r="Y983" s="83"/>
    </row>
    <row r="984" spans="1:25" ht="13.8">
      <c r="A984" s="78" t="str">
        <f ca="1">IFERROR(__xludf.DUMMYFUNCTION("""COMPUTED_VALUE"""),"HSC")</f>
        <v>HSC</v>
      </c>
      <c r="B984" s="79" t="str">
        <f ca="1">IFERROR(__xludf.DUMMYFUNCTION("""COMPUTED_VALUE"""),"Declan Ghazal")</f>
        <v>Declan Ghazal</v>
      </c>
      <c r="C984" s="78">
        <f ca="1">IFERROR(__xludf.DUMMYFUNCTION("""COMPUTED_VALUE"""),8)</f>
        <v>8</v>
      </c>
      <c r="D984" s="78" t="str">
        <f ca="1">IFERROR(__xludf.DUMMYFUNCTION("""COMPUTED_VALUE"""),"B")</f>
        <v>B</v>
      </c>
      <c r="E984" s="80" t="str">
        <f ca="1">IFERROR(__xludf.DUMMYFUNCTION("""COMPUTED_VALUE"""),"F")</f>
        <v>F</v>
      </c>
      <c r="F984" s="80" t="str">
        <f ca="1">IFERROR(__xludf.DUMMYFUNCTION("""COMPUTED_VALUE"""),"J")</f>
        <v>J</v>
      </c>
      <c r="G984" s="80">
        <f ca="1">IFERROR(__xludf.DUMMYFUNCTION("""COMPUTED_VALUE"""),7)</f>
        <v>7</v>
      </c>
      <c r="H984" s="80" t="str">
        <f ca="1">IFERROR(__xludf.DUMMYFUNCTION("""COMPUTED_VALUE"""),"HSC")</f>
        <v>HSC</v>
      </c>
      <c r="I984" s="80">
        <f ca="1">IFERROR(__xludf.DUMMYFUNCTION("""COMPUTED_VALUE"""),3)</f>
        <v>3</v>
      </c>
      <c r="J984" s="81">
        <f ca="1">IFERROR(__xludf.DUMMYFUNCTION("""COMPUTED_VALUE"""),0)</f>
        <v>0</v>
      </c>
      <c r="K984" s="81">
        <f ca="1">IFERROR(__xludf.DUMMYFUNCTION("""COMPUTED_VALUE"""),0)</f>
        <v>0</v>
      </c>
      <c r="L984" s="81">
        <f ca="1">IFERROR(__xludf.DUMMYFUNCTION("""COMPUTED_VALUE"""),0)</f>
        <v>0</v>
      </c>
      <c r="M984" s="81"/>
      <c r="N984" s="81">
        <f ca="1">IFERROR(__xludf.DUMMYFUNCTION("""COMPUTED_VALUE"""),0)</f>
        <v>0</v>
      </c>
      <c r="O984" s="81"/>
      <c r="P984" s="81">
        <f ca="1">IFERROR(__xludf.DUMMYFUNCTION("""COMPUTED_VALUE"""),0)</f>
        <v>0</v>
      </c>
      <c r="Q984" s="81"/>
      <c r="R984" s="81">
        <f ca="1">IFERROR(__xludf.DUMMYFUNCTION("""COMPUTED_VALUE"""),0)</f>
        <v>0</v>
      </c>
      <c r="S984" s="81"/>
      <c r="T984" s="81"/>
      <c r="U984" s="82"/>
      <c r="V984" s="82"/>
      <c r="W984" s="83"/>
      <c r="X984" s="83"/>
      <c r="Y984" s="83"/>
    </row>
    <row r="985" spans="1:25" ht="13.8">
      <c r="A985" s="78" t="str">
        <f ca="1">IFERROR(__xludf.DUMMYFUNCTION("""COMPUTED_VALUE"""),"HSC")</f>
        <v>HSC</v>
      </c>
      <c r="B985" s="79" t="str">
        <f ca="1">IFERROR(__xludf.DUMMYFUNCTION("""COMPUTED_VALUE"""),"Sam Hernandez")</f>
        <v>Sam Hernandez</v>
      </c>
      <c r="C985" s="78">
        <f ca="1">IFERROR(__xludf.DUMMYFUNCTION("""COMPUTED_VALUE"""),9)</f>
        <v>9</v>
      </c>
      <c r="D985" s="78" t="str">
        <f ca="1">IFERROR(__xludf.DUMMYFUNCTION("""COMPUTED_VALUE"""),"B")</f>
        <v>B</v>
      </c>
      <c r="E985" s="80" t="str">
        <f ca="1">IFERROR(__xludf.DUMMYFUNCTION("""COMPUTED_VALUE"""),"F")</f>
        <v>F</v>
      </c>
      <c r="F985" s="80" t="str">
        <f ca="1">IFERROR(__xludf.DUMMYFUNCTION("""COMPUTED_VALUE"""),"J")</f>
        <v>J</v>
      </c>
      <c r="G985" s="80">
        <f ca="1">IFERROR(__xludf.DUMMYFUNCTION("""COMPUTED_VALUE"""),7)</f>
        <v>7</v>
      </c>
      <c r="H985" s="80" t="str">
        <f ca="1">IFERROR(__xludf.DUMMYFUNCTION("""COMPUTED_VALUE"""),"HSC")</f>
        <v>HSC</v>
      </c>
      <c r="I985" s="80">
        <f ca="1">IFERROR(__xludf.DUMMYFUNCTION("""COMPUTED_VALUE"""),3)</f>
        <v>3</v>
      </c>
      <c r="J985" s="81">
        <f ca="1">IFERROR(__xludf.DUMMYFUNCTION("""COMPUTED_VALUE"""),0)</f>
        <v>0</v>
      </c>
      <c r="K985" s="81">
        <f ca="1">IFERROR(__xludf.DUMMYFUNCTION("""COMPUTED_VALUE"""),0)</f>
        <v>0</v>
      </c>
      <c r="L985" s="81">
        <f ca="1">IFERROR(__xludf.DUMMYFUNCTION("""COMPUTED_VALUE"""),0)</f>
        <v>0</v>
      </c>
      <c r="M985" s="81"/>
      <c r="N985" s="81">
        <f ca="1">IFERROR(__xludf.DUMMYFUNCTION("""COMPUTED_VALUE"""),0)</f>
        <v>0</v>
      </c>
      <c r="O985" s="81"/>
      <c r="P985" s="81">
        <f ca="1">IFERROR(__xludf.DUMMYFUNCTION("""COMPUTED_VALUE"""),0)</f>
        <v>0</v>
      </c>
      <c r="Q985" s="81"/>
      <c r="R985" s="81">
        <f ca="1">IFERROR(__xludf.DUMMYFUNCTION("""COMPUTED_VALUE"""),0)</f>
        <v>0</v>
      </c>
      <c r="S985" s="81"/>
      <c r="T985" s="81"/>
      <c r="U985" s="82"/>
      <c r="V985" s="82"/>
      <c r="W985" s="83"/>
      <c r="X985" s="83"/>
      <c r="Y985" s="83"/>
    </row>
    <row r="986" spans="1:25" ht="13.8">
      <c r="A986" s="78" t="str">
        <f ca="1">IFERROR(__xludf.DUMMYFUNCTION("""COMPUTED_VALUE"""),"HSC")</f>
        <v>HSC</v>
      </c>
      <c r="B986" s="79" t="str">
        <f ca="1">IFERROR(__xludf.DUMMYFUNCTION("""COMPUTED_VALUE"""),"Denis Huric")</f>
        <v>Denis Huric</v>
      </c>
      <c r="C986" s="78">
        <f ca="1">IFERROR(__xludf.DUMMYFUNCTION("""COMPUTED_VALUE"""),9)</f>
        <v>9</v>
      </c>
      <c r="D986" s="78" t="str">
        <f ca="1">IFERROR(__xludf.DUMMYFUNCTION("""COMPUTED_VALUE"""),"B")</f>
        <v>B</v>
      </c>
      <c r="E986" s="80" t="str">
        <f ca="1">IFERROR(__xludf.DUMMYFUNCTION("""COMPUTED_VALUE"""),"F")</f>
        <v>F</v>
      </c>
      <c r="F986" s="80" t="str">
        <f ca="1">IFERROR(__xludf.DUMMYFUNCTION("""COMPUTED_VALUE"""),"J")</f>
        <v>J</v>
      </c>
      <c r="G986" s="80">
        <f ca="1">IFERROR(__xludf.DUMMYFUNCTION("""COMPUTED_VALUE"""),7)</f>
        <v>7</v>
      </c>
      <c r="H986" s="80" t="str">
        <f ca="1">IFERROR(__xludf.DUMMYFUNCTION("""COMPUTED_VALUE"""),"HSC")</f>
        <v>HSC</v>
      </c>
      <c r="I986" s="80">
        <f ca="1">IFERROR(__xludf.DUMMYFUNCTION("""COMPUTED_VALUE"""),3)</f>
        <v>3</v>
      </c>
      <c r="J986" s="81">
        <f ca="1">IFERROR(__xludf.DUMMYFUNCTION("""COMPUTED_VALUE"""),0)</f>
        <v>0</v>
      </c>
      <c r="K986" s="81">
        <f ca="1">IFERROR(__xludf.DUMMYFUNCTION("""COMPUTED_VALUE"""),0)</f>
        <v>0</v>
      </c>
      <c r="L986" s="81">
        <f ca="1">IFERROR(__xludf.DUMMYFUNCTION("""COMPUTED_VALUE"""),0)</f>
        <v>0</v>
      </c>
      <c r="M986" s="81"/>
      <c r="N986" s="81">
        <f ca="1">IFERROR(__xludf.DUMMYFUNCTION("""COMPUTED_VALUE"""),0)</f>
        <v>0</v>
      </c>
      <c r="O986" s="81"/>
      <c r="P986" s="81">
        <f ca="1">IFERROR(__xludf.DUMMYFUNCTION("""COMPUTED_VALUE"""),0)</f>
        <v>0</v>
      </c>
      <c r="Q986" s="81"/>
      <c r="R986" s="81">
        <f ca="1">IFERROR(__xludf.DUMMYFUNCTION("""COMPUTED_VALUE"""),0)</f>
        <v>0</v>
      </c>
      <c r="S986" s="81"/>
      <c r="T986" s="81"/>
      <c r="U986" s="82"/>
      <c r="V986" s="82"/>
      <c r="W986" s="83"/>
      <c r="X986" s="83"/>
      <c r="Y986" s="83"/>
    </row>
    <row r="987" spans="1:25" ht="13.8">
      <c r="A987" s="78" t="str">
        <f ca="1">IFERROR(__xludf.DUMMYFUNCTION("""COMPUTED_VALUE"""),"HSC")</f>
        <v>HSC</v>
      </c>
      <c r="B987" s="79" t="str">
        <f ca="1">IFERROR(__xludf.DUMMYFUNCTION("""COMPUTED_VALUE"""),"Alejandro Payan")</f>
        <v>Alejandro Payan</v>
      </c>
      <c r="C987" s="78">
        <f ca="1">IFERROR(__xludf.DUMMYFUNCTION("""COMPUTED_VALUE"""),8)</f>
        <v>8</v>
      </c>
      <c r="D987" s="78" t="str">
        <f ca="1">IFERROR(__xludf.DUMMYFUNCTION("""COMPUTED_VALUE"""),"B")</f>
        <v>B</v>
      </c>
      <c r="E987" s="80" t="str">
        <f ca="1">IFERROR(__xludf.DUMMYFUNCTION("""COMPUTED_VALUE"""),"F")</f>
        <v>F</v>
      </c>
      <c r="F987" s="80" t="str">
        <f ca="1">IFERROR(__xludf.DUMMYFUNCTION("""COMPUTED_VALUE"""),"J")</f>
        <v>J</v>
      </c>
      <c r="G987" s="80">
        <f ca="1">IFERROR(__xludf.DUMMYFUNCTION("""COMPUTED_VALUE"""),7)</f>
        <v>7</v>
      </c>
      <c r="H987" s="80" t="str">
        <f ca="1">IFERROR(__xludf.DUMMYFUNCTION("""COMPUTED_VALUE"""),"HSC")</f>
        <v>HSC</v>
      </c>
      <c r="I987" s="80">
        <f ca="1">IFERROR(__xludf.DUMMYFUNCTION("""COMPUTED_VALUE"""),3)</f>
        <v>3</v>
      </c>
      <c r="J987" s="81">
        <f ca="1">IFERROR(__xludf.DUMMYFUNCTION("""COMPUTED_VALUE"""),4)</f>
        <v>4</v>
      </c>
      <c r="K987" s="81">
        <f ca="1">IFERROR(__xludf.DUMMYFUNCTION("""COMPUTED_VALUE"""),32.05)</f>
        <v>32.049999999999997</v>
      </c>
      <c r="L987" s="81">
        <f ca="1">IFERROR(__xludf.DUMMYFUNCTION("""COMPUTED_VALUE"""),32.05)</f>
        <v>32.049999999999997</v>
      </c>
      <c r="M987" s="81"/>
      <c r="N987" s="81">
        <f ca="1">IFERROR(__xludf.DUMMYFUNCTION("""COMPUTED_VALUE"""),20.25)</f>
        <v>20.25</v>
      </c>
      <c r="O987" s="81"/>
      <c r="P987" s="81">
        <f ca="1">IFERROR(__xludf.DUMMYFUNCTION("""COMPUTED_VALUE"""),22.6)</f>
        <v>22.6</v>
      </c>
      <c r="Q987" s="81"/>
      <c r="R987" s="81">
        <f ca="1">IFERROR(__xludf.DUMMYFUNCTION("""COMPUTED_VALUE"""),25.3)</f>
        <v>25.3</v>
      </c>
      <c r="S987" s="81"/>
      <c r="T987" s="81"/>
      <c r="U987" s="82"/>
      <c r="V987" s="82"/>
      <c r="W987" s="83"/>
      <c r="X987" s="83"/>
      <c r="Y987" s="83"/>
    </row>
    <row r="988" spans="1:25" ht="13.8">
      <c r="A988" s="78" t="str">
        <f ca="1">IFERROR(__xludf.DUMMYFUNCTION("""COMPUTED_VALUE"""),"HSC")</f>
        <v>HSC</v>
      </c>
      <c r="B988" s="79" t="str">
        <f ca="1">IFERROR(__xludf.DUMMYFUNCTION("""COMPUTED_VALUE"""),"Ben Peebles")</f>
        <v>Ben Peebles</v>
      </c>
      <c r="C988" s="78">
        <f ca="1">IFERROR(__xludf.DUMMYFUNCTION("""COMPUTED_VALUE"""),7)</f>
        <v>7</v>
      </c>
      <c r="D988" s="78" t="str">
        <f ca="1">IFERROR(__xludf.DUMMYFUNCTION("""COMPUTED_VALUE"""),"B")</f>
        <v>B</v>
      </c>
      <c r="E988" s="80" t="str">
        <f ca="1">IFERROR(__xludf.DUMMYFUNCTION("""COMPUTED_VALUE"""),"F")</f>
        <v>F</v>
      </c>
      <c r="F988" s="80" t="str">
        <f ca="1">IFERROR(__xludf.DUMMYFUNCTION("""COMPUTED_VALUE"""),"J")</f>
        <v>J</v>
      </c>
      <c r="G988" s="80">
        <f ca="1">IFERROR(__xludf.DUMMYFUNCTION("""COMPUTED_VALUE"""),7)</f>
        <v>7</v>
      </c>
      <c r="H988" s="80" t="str">
        <f ca="1">IFERROR(__xludf.DUMMYFUNCTION("""COMPUTED_VALUE"""),"HSC")</f>
        <v>HSC</v>
      </c>
      <c r="I988" s="80">
        <f ca="1">IFERROR(__xludf.DUMMYFUNCTION("""COMPUTED_VALUE"""),3)</f>
        <v>3</v>
      </c>
      <c r="J988" s="81">
        <f ca="1">IFERROR(__xludf.DUMMYFUNCTION("""COMPUTED_VALUE"""),0)</f>
        <v>0</v>
      </c>
      <c r="K988" s="81">
        <f ca="1">IFERROR(__xludf.DUMMYFUNCTION("""COMPUTED_VALUE"""),0)</f>
        <v>0</v>
      </c>
      <c r="L988" s="81">
        <f ca="1">IFERROR(__xludf.DUMMYFUNCTION("""COMPUTED_VALUE"""),0)</f>
        <v>0</v>
      </c>
      <c r="M988" s="81"/>
      <c r="N988" s="81">
        <f ca="1">IFERROR(__xludf.DUMMYFUNCTION("""COMPUTED_VALUE"""),0)</f>
        <v>0</v>
      </c>
      <c r="O988" s="81"/>
      <c r="P988" s="81">
        <f ca="1">IFERROR(__xludf.DUMMYFUNCTION("""COMPUTED_VALUE"""),0)</f>
        <v>0</v>
      </c>
      <c r="Q988" s="81"/>
      <c r="R988" s="81">
        <f ca="1">IFERROR(__xludf.DUMMYFUNCTION("""COMPUTED_VALUE"""),0)</f>
        <v>0</v>
      </c>
      <c r="S988" s="81"/>
      <c r="T988" s="81"/>
      <c r="U988" s="82"/>
      <c r="V988" s="82"/>
      <c r="W988" s="83"/>
      <c r="X988" s="83"/>
      <c r="Y988" s="83"/>
    </row>
    <row r="989" spans="1:25" ht="13.8">
      <c r="A989" s="78" t="str">
        <f ca="1">IFERROR(__xludf.DUMMYFUNCTION("""COMPUTED_VALUE"""),"HSC")</f>
        <v>HSC</v>
      </c>
      <c r="B989" s="79" t="str">
        <f ca="1">IFERROR(__xludf.DUMMYFUNCTION("""COMPUTED_VALUE"""),"Ben Phillips")</f>
        <v>Ben Phillips</v>
      </c>
      <c r="C989" s="78">
        <f ca="1">IFERROR(__xludf.DUMMYFUNCTION("""COMPUTED_VALUE"""),9)</f>
        <v>9</v>
      </c>
      <c r="D989" s="78" t="str">
        <f ca="1">IFERROR(__xludf.DUMMYFUNCTION("""COMPUTED_VALUE"""),"B")</f>
        <v>B</v>
      </c>
      <c r="E989" s="80" t="str">
        <f ca="1">IFERROR(__xludf.DUMMYFUNCTION("""COMPUTED_VALUE"""),"F")</f>
        <v>F</v>
      </c>
      <c r="F989" s="80" t="str">
        <f ca="1">IFERROR(__xludf.DUMMYFUNCTION("""COMPUTED_VALUE"""),"J")</f>
        <v>J</v>
      </c>
      <c r="G989" s="80">
        <f ca="1">IFERROR(__xludf.DUMMYFUNCTION("""COMPUTED_VALUE"""),7)</f>
        <v>7</v>
      </c>
      <c r="H989" s="80" t="str">
        <f ca="1">IFERROR(__xludf.DUMMYFUNCTION("""COMPUTED_VALUE"""),"HSC")</f>
        <v>HSC</v>
      </c>
      <c r="I989" s="80">
        <f ca="1">IFERROR(__xludf.DUMMYFUNCTION("""COMPUTED_VALUE"""),3)</f>
        <v>3</v>
      </c>
      <c r="J989" s="81">
        <f ca="1">IFERROR(__xludf.DUMMYFUNCTION("""COMPUTED_VALUE"""),1)</f>
        <v>1</v>
      </c>
      <c r="K989" s="81">
        <f ca="1">IFERROR(__xludf.DUMMYFUNCTION("""COMPUTED_VALUE"""),33.4)</f>
        <v>33.4</v>
      </c>
      <c r="L989" s="81">
        <f ca="1">IFERROR(__xludf.DUMMYFUNCTION("""COMPUTED_VALUE"""),0)</f>
        <v>0</v>
      </c>
      <c r="M989" s="81"/>
      <c r="N989" s="81">
        <f ca="1">IFERROR(__xludf.DUMMYFUNCTION("""COMPUTED_VALUE"""),33.4)</f>
        <v>33.4</v>
      </c>
      <c r="O989" s="81"/>
      <c r="P989" s="81">
        <f ca="1">IFERROR(__xludf.DUMMYFUNCTION("""COMPUTED_VALUE"""),0)</f>
        <v>0</v>
      </c>
      <c r="Q989" s="81"/>
      <c r="R989" s="81">
        <f ca="1">IFERROR(__xludf.DUMMYFUNCTION("""COMPUTED_VALUE"""),0)</f>
        <v>0</v>
      </c>
      <c r="S989" s="81"/>
      <c r="T989" s="81"/>
      <c r="U989" s="82"/>
      <c r="V989" s="82"/>
      <c r="W989" s="83"/>
      <c r="X989" s="83"/>
      <c r="Y989" s="83"/>
    </row>
    <row r="990" spans="1:25" ht="13.8">
      <c r="A990" s="78" t="str">
        <f ca="1">IFERROR(__xludf.DUMMYFUNCTION("""COMPUTED_VALUE"""),"HSC")</f>
        <v>HSC</v>
      </c>
      <c r="B990" s="79" t="str">
        <f ca="1">IFERROR(__xludf.DUMMYFUNCTION("""COMPUTED_VALUE"""),"Connor Phillips")</f>
        <v>Connor Phillips</v>
      </c>
      <c r="C990" s="78">
        <f ca="1">IFERROR(__xludf.DUMMYFUNCTION("""COMPUTED_VALUE"""),7)</f>
        <v>7</v>
      </c>
      <c r="D990" s="78" t="str">
        <f ca="1">IFERROR(__xludf.DUMMYFUNCTION("""COMPUTED_VALUE"""),"B")</f>
        <v>B</v>
      </c>
      <c r="E990" s="80" t="str">
        <f ca="1">IFERROR(__xludf.DUMMYFUNCTION("""COMPUTED_VALUE"""),"F")</f>
        <v>F</v>
      </c>
      <c r="F990" s="80" t="str">
        <f ca="1">IFERROR(__xludf.DUMMYFUNCTION("""COMPUTED_VALUE"""),"J")</f>
        <v>J</v>
      </c>
      <c r="G990" s="80">
        <f ca="1">IFERROR(__xludf.DUMMYFUNCTION("""COMPUTED_VALUE"""),7)</f>
        <v>7</v>
      </c>
      <c r="H990" s="80" t="str">
        <f ca="1">IFERROR(__xludf.DUMMYFUNCTION("""COMPUTED_VALUE"""),"HSC")</f>
        <v>HSC</v>
      </c>
      <c r="I990" s="80">
        <f ca="1">IFERROR(__xludf.DUMMYFUNCTION("""COMPUTED_VALUE"""),3)</f>
        <v>3</v>
      </c>
      <c r="J990" s="81">
        <f ca="1">IFERROR(__xludf.DUMMYFUNCTION("""COMPUTED_VALUE"""),0)</f>
        <v>0</v>
      </c>
      <c r="K990" s="81">
        <f ca="1">IFERROR(__xludf.DUMMYFUNCTION("""COMPUTED_VALUE"""),0)</f>
        <v>0</v>
      </c>
      <c r="L990" s="81">
        <f ca="1">IFERROR(__xludf.DUMMYFUNCTION("""COMPUTED_VALUE"""),0)</f>
        <v>0</v>
      </c>
      <c r="M990" s="81"/>
      <c r="N990" s="81">
        <f ca="1">IFERROR(__xludf.DUMMYFUNCTION("""COMPUTED_VALUE"""),0)</f>
        <v>0</v>
      </c>
      <c r="O990" s="81"/>
      <c r="P990" s="81">
        <f ca="1">IFERROR(__xludf.DUMMYFUNCTION("""COMPUTED_VALUE"""),0)</f>
        <v>0</v>
      </c>
      <c r="Q990" s="81"/>
      <c r="R990" s="81">
        <f ca="1">IFERROR(__xludf.DUMMYFUNCTION("""COMPUTED_VALUE"""),0)</f>
        <v>0</v>
      </c>
      <c r="S990" s="81"/>
      <c r="T990" s="81"/>
      <c r="U990" s="82"/>
      <c r="V990" s="82"/>
      <c r="W990" s="83"/>
      <c r="X990" s="83"/>
      <c r="Y990" s="83"/>
    </row>
    <row r="991" spans="1:25" ht="13.8">
      <c r="A991" s="78" t="str">
        <f ca="1">IFERROR(__xludf.DUMMYFUNCTION("""COMPUTED_VALUE"""),"HSC")</f>
        <v>HSC</v>
      </c>
      <c r="B991" s="79" t="str">
        <f ca="1">IFERROR(__xludf.DUMMYFUNCTION("""COMPUTED_VALUE"""),"William Pickard")</f>
        <v>William Pickard</v>
      </c>
      <c r="C991" s="78">
        <f ca="1">IFERROR(__xludf.DUMMYFUNCTION("""COMPUTED_VALUE"""),8)</f>
        <v>8</v>
      </c>
      <c r="D991" s="78" t="str">
        <f ca="1">IFERROR(__xludf.DUMMYFUNCTION("""COMPUTED_VALUE"""),"B")</f>
        <v>B</v>
      </c>
      <c r="E991" s="80" t="str">
        <f ca="1">IFERROR(__xludf.DUMMYFUNCTION("""COMPUTED_VALUE"""),"F")</f>
        <v>F</v>
      </c>
      <c r="F991" s="80" t="str">
        <f ca="1">IFERROR(__xludf.DUMMYFUNCTION("""COMPUTED_VALUE"""),"J")</f>
        <v>J</v>
      </c>
      <c r="G991" s="80">
        <f ca="1">IFERROR(__xludf.DUMMYFUNCTION("""COMPUTED_VALUE"""),7)</f>
        <v>7</v>
      </c>
      <c r="H991" s="80" t="str">
        <f ca="1">IFERROR(__xludf.DUMMYFUNCTION("""COMPUTED_VALUE"""),"HSC")</f>
        <v>HSC</v>
      </c>
      <c r="I991" s="80">
        <f ca="1">IFERROR(__xludf.DUMMYFUNCTION("""COMPUTED_VALUE"""),3)</f>
        <v>3</v>
      </c>
      <c r="J991" s="81">
        <f ca="1">IFERROR(__xludf.DUMMYFUNCTION("""COMPUTED_VALUE"""),0)</f>
        <v>0</v>
      </c>
      <c r="K991" s="81">
        <f ca="1">IFERROR(__xludf.DUMMYFUNCTION("""COMPUTED_VALUE"""),0)</f>
        <v>0</v>
      </c>
      <c r="L991" s="81">
        <f ca="1">IFERROR(__xludf.DUMMYFUNCTION("""COMPUTED_VALUE"""),0)</f>
        <v>0</v>
      </c>
      <c r="M991" s="81"/>
      <c r="N991" s="81">
        <f ca="1">IFERROR(__xludf.DUMMYFUNCTION("""COMPUTED_VALUE"""),0)</f>
        <v>0</v>
      </c>
      <c r="O991" s="81"/>
      <c r="P991" s="81">
        <f ca="1">IFERROR(__xludf.DUMMYFUNCTION("""COMPUTED_VALUE"""),0)</f>
        <v>0</v>
      </c>
      <c r="Q991" s="81"/>
      <c r="R991" s="81">
        <f ca="1">IFERROR(__xludf.DUMMYFUNCTION("""COMPUTED_VALUE"""),0)</f>
        <v>0</v>
      </c>
      <c r="S991" s="81"/>
      <c r="T991" s="81"/>
      <c r="U991" s="82"/>
      <c r="V991" s="82"/>
      <c r="W991" s="83"/>
      <c r="X991" s="83"/>
      <c r="Y991" s="83"/>
    </row>
    <row r="992" spans="1:25" ht="13.8">
      <c r="A992" s="78" t="str">
        <f ca="1">IFERROR(__xludf.DUMMYFUNCTION("""COMPUTED_VALUE"""),"HSC")</f>
        <v>HSC</v>
      </c>
      <c r="B992" s="79" t="str">
        <f ca="1">IFERROR(__xludf.DUMMYFUNCTION("""COMPUTED_VALUE"""),"Hudson Pierre")</f>
        <v>Hudson Pierre</v>
      </c>
      <c r="C992" s="78">
        <f ca="1">IFERROR(__xludf.DUMMYFUNCTION("""COMPUTED_VALUE"""),9)</f>
        <v>9</v>
      </c>
      <c r="D992" s="78" t="str">
        <f ca="1">IFERROR(__xludf.DUMMYFUNCTION("""COMPUTED_VALUE"""),"B")</f>
        <v>B</v>
      </c>
      <c r="E992" s="80" t="str">
        <f ca="1">IFERROR(__xludf.DUMMYFUNCTION("""COMPUTED_VALUE"""),"F")</f>
        <v>F</v>
      </c>
      <c r="F992" s="80" t="str">
        <f ca="1">IFERROR(__xludf.DUMMYFUNCTION("""COMPUTED_VALUE"""),"J")</f>
        <v>J</v>
      </c>
      <c r="G992" s="80">
        <f ca="1">IFERROR(__xludf.DUMMYFUNCTION("""COMPUTED_VALUE"""),7)</f>
        <v>7</v>
      </c>
      <c r="H992" s="80" t="str">
        <f ca="1">IFERROR(__xludf.DUMMYFUNCTION("""COMPUTED_VALUE"""),"HSC")</f>
        <v>HSC</v>
      </c>
      <c r="I992" s="80">
        <f ca="1">IFERROR(__xludf.DUMMYFUNCTION("""COMPUTED_VALUE"""),3)</f>
        <v>3</v>
      </c>
      <c r="J992" s="81">
        <f ca="1">IFERROR(__xludf.DUMMYFUNCTION("""COMPUTED_VALUE"""),3)</f>
        <v>3</v>
      </c>
      <c r="K992" s="81">
        <f ca="1">IFERROR(__xludf.DUMMYFUNCTION("""COMPUTED_VALUE"""),23.9)</f>
        <v>23.9</v>
      </c>
      <c r="L992" s="81">
        <f ca="1">IFERROR(__xludf.DUMMYFUNCTION("""COMPUTED_VALUE"""),21.1)</f>
        <v>21.1</v>
      </c>
      <c r="M992" s="81"/>
      <c r="N992" s="81">
        <f ca="1">IFERROR(__xludf.DUMMYFUNCTION("""COMPUTED_VALUE"""),0)</f>
        <v>0</v>
      </c>
      <c r="O992" s="81"/>
      <c r="P992" s="81">
        <f ca="1">IFERROR(__xludf.DUMMYFUNCTION("""COMPUTED_VALUE"""),0)</f>
        <v>0</v>
      </c>
      <c r="Q992" s="81"/>
      <c r="R992" s="81">
        <f ca="1">IFERROR(__xludf.DUMMYFUNCTION("""COMPUTED_VALUE"""),23.9)</f>
        <v>23.9</v>
      </c>
      <c r="S992" s="81"/>
      <c r="T992" s="81"/>
      <c r="U992" s="82"/>
      <c r="V992" s="82"/>
      <c r="W992" s="83"/>
      <c r="X992" s="83"/>
      <c r="Y992" s="83"/>
    </row>
    <row r="993" spans="1:25" ht="13.8">
      <c r="A993" s="78" t="str">
        <f ca="1">IFERROR(__xludf.DUMMYFUNCTION("""COMPUTED_VALUE"""),"HSC")</f>
        <v>HSC</v>
      </c>
      <c r="B993" s="79" t="str">
        <f ca="1">IFERROR(__xludf.DUMMYFUNCTION("""COMPUTED_VALUE"""),"Jacob Ross")</f>
        <v>Jacob Ross</v>
      </c>
      <c r="C993" s="78">
        <f ca="1">IFERROR(__xludf.DUMMYFUNCTION("""COMPUTED_VALUE"""),10)</f>
        <v>10</v>
      </c>
      <c r="D993" s="78" t="str">
        <f ca="1">IFERROR(__xludf.DUMMYFUNCTION("""COMPUTED_VALUE"""),"B")</f>
        <v>B</v>
      </c>
      <c r="E993" s="80" t="str">
        <f ca="1">IFERROR(__xludf.DUMMYFUNCTION("""COMPUTED_VALUE"""),"F")</f>
        <v>F</v>
      </c>
      <c r="F993" s="80" t="str">
        <f ca="1">IFERROR(__xludf.DUMMYFUNCTION("""COMPUTED_VALUE"""),"J")</f>
        <v>J</v>
      </c>
      <c r="G993" s="80">
        <f ca="1">IFERROR(__xludf.DUMMYFUNCTION("""COMPUTED_VALUE"""),7)</f>
        <v>7</v>
      </c>
      <c r="H993" s="80" t="str">
        <f ca="1">IFERROR(__xludf.DUMMYFUNCTION("""COMPUTED_VALUE"""),"HSC")</f>
        <v>HSC</v>
      </c>
      <c r="I993" s="80">
        <f ca="1">IFERROR(__xludf.DUMMYFUNCTION("""COMPUTED_VALUE"""),3)</f>
        <v>3</v>
      </c>
      <c r="J993" s="81">
        <f ca="1">IFERROR(__xludf.DUMMYFUNCTION("""COMPUTED_VALUE"""),5)</f>
        <v>5</v>
      </c>
      <c r="K993" s="81">
        <f ca="1">IFERROR(__xludf.DUMMYFUNCTION("""COMPUTED_VALUE"""),-66)</f>
        <v>-66</v>
      </c>
      <c r="L993" s="81">
        <f ca="1">IFERROR(__xludf.DUMMYFUNCTION("""COMPUTED_VALUE"""),-72.4)</f>
        <v>-72.400000000000006</v>
      </c>
      <c r="M993" s="81"/>
      <c r="N993" s="81">
        <f ca="1">IFERROR(__xludf.DUMMYFUNCTION("""COMPUTED_VALUE"""),-74.85)</f>
        <v>-74.849999999999994</v>
      </c>
      <c r="O993" s="81"/>
      <c r="P993" s="81">
        <f ca="1">IFERROR(__xludf.DUMMYFUNCTION("""COMPUTED_VALUE"""),-66)</f>
        <v>-66</v>
      </c>
      <c r="Q993" s="81"/>
      <c r="R993" s="81">
        <f ca="1">IFERROR(__xludf.DUMMYFUNCTION("""COMPUTED_VALUE"""),-72.7)</f>
        <v>-72.7</v>
      </c>
      <c r="S993" s="81"/>
      <c r="T993" s="81"/>
      <c r="U993" s="82"/>
      <c r="V993" s="82"/>
      <c r="W993" s="83"/>
      <c r="X993" s="83"/>
      <c r="Y993" s="83"/>
    </row>
    <row r="994" spans="1:25" ht="13.8">
      <c r="A994" s="78" t="str">
        <f ca="1">IFERROR(__xludf.DUMMYFUNCTION("""COMPUTED_VALUE"""),"HSC")</f>
        <v>HSC</v>
      </c>
      <c r="B994" s="79" t="str">
        <f ca="1">IFERROR(__xludf.DUMMYFUNCTION("""COMPUTED_VALUE"""),"Armon Saadat")</f>
        <v>Armon Saadat</v>
      </c>
      <c r="C994" s="78">
        <f ca="1">IFERROR(__xludf.DUMMYFUNCTION("""COMPUTED_VALUE"""),9)</f>
        <v>9</v>
      </c>
      <c r="D994" s="78" t="str">
        <f ca="1">IFERROR(__xludf.DUMMYFUNCTION("""COMPUTED_VALUE"""),"B")</f>
        <v>B</v>
      </c>
      <c r="E994" s="80" t="str">
        <f ca="1">IFERROR(__xludf.DUMMYFUNCTION("""COMPUTED_VALUE"""),"F")</f>
        <v>F</v>
      </c>
      <c r="F994" s="80" t="str">
        <f ca="1">IFERROR(__xludf.DUMMYFUNCTION("""COMPUTED_VALUE"""),"J")</f>
        <v>J</v>
      </c>
      <c r="G994" s="80">
        <f ca="1">IFERROR(__xludf.DUMMYFUNCTION("""COMPUTED_VALUE"""),7)</f>
        <v>7</v>
      </c>
      <c r="H994" s="80" t="str">
        <f ca="1">IFERROR(__xludf.DUMMYFUNCTION("""COMPUTED_VALUE"""),"HSC")</f>
        <v>HSC</v>
      </c>
      <c r="I994" s="80">
        <f ca="1">IFERROR(__xludf.DUMMYFUNCTION("""COMPUTED_VALUE"""),3)</f>
        <v>3</v>
      </c>
      <c r="J994" s="81">
        <f ca="1">IFERROR(__xludf.DUMMYFUNCTION("""COMPUTED_VALUE"""),2)</f>
        <v>2</v>
      </c>
      <c r="K994" s="81">
        <f ca="1">IFERROR(__xludf.DUMMYFUNCTION("""COMPUTED_VALUE"""),25.2)</f>
        <v>25.2</v>
      </c>
      <c r="L994" s="81">
        <f ca="1">IFERROR(__xludf.DUMMYFUNCTION("""COMPUTED_VALUE"""),0)</f>
        <v>0</v>
      </c>
      <c r="M994" s="81"/>
      <c r="N994" s="81">
        <f ca="1">IFERROR(__xludf.DUMMYFUNCTION("""COMPUTED_VALUE"""),0)</f>
        <v>0</v>
      </c>
      <c r="O994" s="81"/>
      <c r="P994" s="81">
        <f ca="1">IFERROR(__xludf.DUMMYFUNCTION("""COMPUTED_VALUE"""),0)</f>
        <v>0</v>
      </c>
      <c r="Q994" s="81"/>
      <c r="R994" s="81">
        <f ca="1">IFERROR(__xludf.DUMMYFUNCTION("""COMPUTED_VALUE"""),25.2)</f>
        <v>25.2</v>
      </c>
      <c r="S994" s="81"/>
      <c r="T994" s="81"/>
      <c r="U994" s="82"/>
      <c r="V994" s="82"/>
      <c r="W994" s="83"/>
      <c r="X994" s="83"/>
      <c r="Y994" s="83"/>
    </row>
    <row r="995" spans="1:25" ht="13.8">
      <c r="A995" s="78" t="str">
        <f ca="1">IFERROR(__xludf.DUMMYFUNCTION("""COMPUTED_VALUE"""),"HSC")</f>
        <v>HSC</v>
      </c>
      <c r="B995" s="79" t="str">
        <f ca="1">IFERROR(__xludf.DUMMYFUNCTION("""COMPUTED_VALUE"""),"Arjun Sandhu")</f>
        <v>Arjun Sandhu</v>
      </c>
      <c r="C995" s="78">
        <f ca="1">IFERROR(__xludf.DUMMYFUNCTION("""COMPUTED_VALUE"""),9)</f>
        <v>9</v>
      </c>
      <c r="D995" s="78" t="str">
        <f ca="1">IFERROR(__xludf.DUMMYFUNCTION("""COMPUTED_VALUE"""),"B")</f>
        <v>B</v>
      </c>
      <c r="E995" s="80" t="str">
        <f ca="1">IFERROR(__xludf.DUMMYFUNCTION("""COMPUTED_VALUE"""),"F")</f>
        <v>F</v>
      </c>
      <c r="F995" s="80" t="str">
        <f ca="1">IFERROR(__xludf.DUMMYFUNCTION("""COMPUTED_VALUE"""),"J")</f>
        <v>J</v>
      </c>
      <c r="G995" s="80">
        <f ca="1">IFERROR(__xludf.DUMMYFUNCTION("""COMPUTED_VALUE"""),7)</f>
        <v>7</v>
      </c>
      <c r="H995" s="80" t="str">
        <f ca="1">IFERROR(__xludf.DUMMYFUNCTION("""COMPUTED_VALUE"""),"HSC")</f>
        <v>HSC</v>
      </c>
      <c r="I995" s="80">
        <f ca="1">IFERROR(__xludf.DUMMYFUNCTION("""COMPUTED_VALUE"""),3)</f>
        <v>3</v>
      </c>
      <c r="J995" s="81">
        <f ca="1">IFERROR(__xludf.DUMMYFUNCTION("""COMPUTED_VALUE"""),0)</f>
        <v>0</v>
      </c>
      <c r="K995" s="81">
        <f ca="1">IFERROR(__xludf.DUMMYFUNCTION("""COMPUTED_VALUE"""),0)</f>
        <v>0</v>
      </c>
      <c r="L995" s="81">
        <f ca="1">IFERROR(__xludf.DUMMYFUNCTION("""COMPUTED_VALUE"""),0)</f>
        <v>0</v>
      </c>
      <c r="M995" s="81"/>
      <c r="N995" s="81">
        <f ca="1">IFERROR(__xludf.DUMMYFUNCTION("""COMPUTED_VALUE"""),0)</f>
        <v>0</v>
      </c>
      <c r="O995" s="81"/>
      <c r="P995" s="81">
        <f ca="1">IFERROR(__xludf.DUMMYFUNCTION("""COMPUTED_VALUE"""),0)</f>
        <v>0</v>
      </c>
      <c r="Q995" s="81"/>
      <c r="R995" s="81">
        <f ca="1">IFERROR(__xludf.DUMMYFUNCTION("""COMPUTED_VALUE"""),0)</f>
        <v>0</v>
      </c>
      <c r="S995" s="81"/>
      <c r="T995" s="81"/>
      <c r="U995" s="82"/>
      <c r="V995" s="82"/>
      <c r="W995" s="83"/>
      <c r="X995" s="83"/>
      <c r="Y995" s="83"/>
    </row>
    <row r="996" spans="1:25" ht="13.8">
      <c r="A996" s="78" t="str">
        <f ca="1">IFERROR(__xludf.DUMMYFUNCTION("""COMPUTED_VALUE"""),"HSC")</f>
        <v>HSC</v>
      </c>
      <c r="B996" s="79" t="str">
        <f ca="1">IFERROR(__xludf.DUMMYFUNCTION("""COMPUTED_VALUE"""),"Kirin Sandhu")</f>
        <v>Kirin Sandhu</v>
      </c>
      <c r="C996" s="78">
        <f ca="1">IFERROR(__xludf.DUMMYFUNCTION("""COMPUTED_VALUE"""),10)</f>
        <v>10</v>
      </c>
      <c r="D996" s="78" t="str">
        <f ca="1">IFERROR(__xludf.DUMMYFUNCTION("""COMPUTED_VALUE"""),"B")</f>
        <v>B</v>
      </c>
      <c r="E996" s="80" t="str">
        <f ca="1">IFERROR(__xludf.DUMMYFUNCTION("""COMPUTED_VALUE"""),"F")</f>
        <v>F</v>
      </c>
      <c r="F996" s="80" t="str">
        <f ca="1">IFERROR(__xludf.DUMMYFUNCTION("""COMPUTED_VALUE"""),"J")</f>
        <v>J</v>
      </c>
      <c r="G996" s="80">
        <f ca="1">IFERROR(__xludf.DUMMYFUNCTION("""COMPUTED_VALUE"""),7)</f>
        <v>7</v>
      </c>
      <c r="H996" s="80" t="str">
        <f ca="1">IFERROR(__xludf.DUMMYFUNCTION("""COMPUTED_VALUE"""),"HSC")</f>
        <v>HSC</v>
      </c>
      <c r="I996" s="80">
        <f ca="1">IFERROR(__xludf.DUMMYFUNCTION("""COMPUTED_VALUE"""),3)</f>
        <v>3</v>
      </c>
      <c r="J996" s="81">
        <f ca="1">IFERROR(__xludf.DUMMYFUNCTION("""COMPUTED_VALUE"""),0)</f>
        <v>0</v>
      </c>
      <c r="K996" s="81">
        <f ca="1">IFERROR(__xludf.DUMMYFUNCTION("""COMPUTED_VALUE"""),0)</f>
        <v>0</v>
      </c>
      <c r="L996" s="81">
        <f ca="1">IFERROR(__xludf.DUMMYFUNCTION("""COMPUTED_VALUE"""),0)</f>
        <v>0</v>
      </c>
      <c r="M996" s="81"/>
      <c r="N996" s="81">
        <f ca="1">IFERROR(__xludf.DUMMYFUNCTION("""COMPUTED_VALUE"""),0)</f>
        <v>0</v>
      </c>
      <c r="O996" s="81"/>
      <c r="P996" s="81">
        <f ca="1">IFERROR(__xludf.DUMMYFUNCTION("""COMPUTED_VALUE"""),0)</f>
        <v>0</v>
      </c>
      <c r="Q996" s="81"/>
      <c r="R996" s="81">
        <f ca="1">IFERROR(__xludf.DUMMYFUNCTION("""COMPUTED_VALUE"""),0)</f>
        <v>0</v>
      </c>
      <c r="S996" s="81"/>
      <c r="T996" s="81"/>
      <c r="U996" s="82"/>
      <c r="V996" s="82"/>
      <c r="W996" s="83"/>
      <c r="X996" s="83"/>
      <c r="Y996" s="83"/>
    </row>
    <row r="997" spans="1:25" ht="13.8">
      <c r="A997" s="78" t="str">
        <f ca="1">IFERROR(__xludf.DUMMYFUNCTION("""COMPUTED_VALUE"""),"HSC")</f>
        <v>HSC</v>
      </c>
      <c r="B997" s="79" t="str">
        <f ca="1">IFERROR(__xludf.DUMMYFUNCTION("""COMPUTED_VALUE"""),"Alan Schwartz")</f>
        <v>Alan Schwartz</v>
      </c>
      <c r="C997" s="78">
        <f ca="1">IFERROR(__xludf.DUMMYFUNCTION("""COMPUTED_VALUE"""),7)</f>
        <v>7</v>
      </c>
      <c r="D997" s="78" t="str">
        <f ca="1">IFERROR(__xludf.DUMMYFUNCTION("""COMPUTED_VALUE"""),"B")</f>
        <v>B</v>
      </c>
      <c r="E997" s="80" t="str">
        <f ca="1">IFERROR(__xludf.DUMMYFUNCTION("""COMPUTED_VALUE"""),"F")</f>
        <v>F</v>
      </c>
      <c r="F997" s="80" t="str">
        <f ca="1">IFERROR(__xludf.DUMMYFUNCTION("""COMPUTED_VALUE"""),"J")</f>
        <v>J</v>
      </c>
      <c r="G997" s="80">
        <f ca="1">IFERROR(__xludf.DUMMYFUNCTION("""COMPUTED_VALUE"""),7)</f>
        <v>7</v>
      </c>
      <c r="H997" s="80" t="str">
        <f ca="1">IFERROR(__xludf.DUMMYFUNCTION("""COMPUTED_VALUE"""),"HSC")</f>
        <v>HSC</v>
      </c>
      <c r="I997" s="80">
        <f ca="1">IFERROR(__xludf.DUMMYFUNCTION("""COMPUTED_VALUE"""),3)</f>
        <v>3</v>
      </c>
      <c r="J997" s="81">
        <f ca="1">IFERROR(__xludf.DUMMYFUNCTION("""COMPUTED_VALUE"""),3)</f>
        <v>3</v>
      </c>
      <c r="K997" s="81">
        <f ca="1">IFERROR(__xludf.DUMMYFUNCTION("""COMPUTED_VALUE"""),29.2)</f>
        <v>29.2</v>
      </c>
      <c r="L997" s="81">
        <f ca="1">IFERROR(__xludf.DUMMYFUNCTION("""COMPUTED_VALUE"""),27.6)</f>
        <v>27.6</v>
      </c>
      <c r="M997" s="81"/>
      <c r="N997" s="81">
        <f ca="1">IFERROR(__xludf.DUMMYFUNCTION("""COMPUTED_VALUE"""),29.2)</f>
        <v>29.2</v>
      </c>
      <c r="O997" s="81"/>
      <c r="P997" s="81">
        <f ca="1">IFERROR(__xludf.DUMMYFUNCTION("""COMPUTED_VALUE"""),23.7)</f>
        <v>23.7</v>
      </c>
      <c r="Q997" s="81"/>
      <c r="R997" s="81">
        <f ca="1">IFERROR(__xludf.DUMMYFUNCTION("""COMPUTED_VALUE"""),0)</f>
        <v>0</v>
      </c>
      <c r="S997" s="81"/>
      <c r="T997" s="81"/>
      <c r="U997" s="82"/>
      <c r="V997" s="82"/>
      <c r="W997" s="83"/>
      <c r="X997" s="83"/>
      <c r="Y997" s="83"/>
    </row>
    <row r="998" spans="1:25" ht="13.8">
      <c r="A998" s="78" t="str">
        <f ca="1">IFERROR(__xludf.DUMMYFUNCTION("""COMPUTED_VALUE"""),"HSC")</f>
        <v>HSC</v>
      </c>
      <c r="B998" s="79" t="str">
        <f ca="1">IFERROR(__xludf.DUMMYFUNCTION("""COMPUTED_VALUE"""),"David Schwartz")</f>
        <v>David Schwartz</v>
      </c>
      <c r="C998" s="78">
        <f ca="1">IFERROR(__xludf.DUMMYFUNCTION("""COMPUTED_VALUE"""),7)</f>
        <v>7</v>
      </c>
      <c r="D998" s="78" t="str">
        <f ca="1">IFERROR(__xludf.DUMMYFUNCTION("""COMPUTED_VALUE"""),"B")</f>
        <v>B</v>
      </c>
      <c r="E998" s="80" t="str">
        <f ca="1">IFERROR(__xludf.DUMMYFUNCTION("""COMPUTED_VALUE"""),"F")</f>
        <v>F</v>
      </c>
      <c r="F998" s="80" t="str">
        <f ca="1">IFERROR(__xludf.DUMMYFUNCTION("""COMPUTED_VALUE"""),"J")</f>
        <v>J</v>
      </c>
      <c r="G998" s="80">
        <f ca="1">IFERROR(__xludf.DUMMYFUNCTION("""COMPUTED_VALUE"""),7)</f>
        <v>7</v>
      </c>
      <c r="H998" s="80" t="str">
        <f ca="1">IFERROR(__xludf.DUMMYFUNCTION("""COMPUTED_VALUE"""),"HSC")</f>
        <v>HSC</v>
      </c>
      <c r="I998" s="80">
        <f ca="1">IFERROR(__xludf.DUMMYFUNCTION("""COMPUTED_VALUE"""),3)</f>
        <v>3</v>
      </c>
      <c r="J998" s="81">
        <f ca="1">IFERROR(__xludf.DUMMYFUNCTION("""COMPUTED_VALUE"""),0)</f>
        <v>0</v>
      </c>
      <c r="K998" s="81">
        <f ca="1">IFERROR(__xludf.DUMMYFUNCTION("""COMPUTED_VALUE"""),0)</f>
        <v>0</v>
      </c>
      <c r="L998" s="81">
        <f ca="1">IFERROR(__xludf.DUMMYFUNCTION("""COMPUTED_VALUE"""),0)</f>
        <v>0</v>
      </c>
      <c r="M998" s="81"/>
      <c r="N998" s="81">
        <f ca="1">IFERROR(__xludf.DUMMYFUNCTION("""COMPUTED_VALUE"""),0)</f>
        <v>0</v>
      </c>
      <c r="O998" s="81"/>
      <c r="P998" s="81">
        <f ca="1">IFERROR(__xludf.DUMMYFUNCTION("""COMPUTED_VALUE"""),0)</f>
        <v>0</v>
      </c>
      <c r="Q998" s="81"/>
      <c r="R998" s="81">
        <f ca="1">IFERROR(__xludf.DUMMYFUNCTION("""COMPUTED_VALUE"""),0)</f>
        <v>0</v>
      </c>
      <c r="S998" s="81"/>
      <c r="T998" s="81"/>
      <c r="U998" s="82"/>
      <c r="V998" s="82"/>
      <c r="W998" s="83"/>
      <c r="X998" s="83"/>
      <c r="Y998" s="83"/>
    </row>
    <row r="999" spans="1:25" ht="13.8">
      <c r="A999" s="78" t="str">
        <f ca="1">IFERROR(__xludf.DUMMYFUNCTION("""COMPUTED_VALUE"""),"HSC")</f>
        <v>HSC</v>
      </c>
      <c r="B999" s="79" t="str">
        <f ca="1">IFERROR(__xludf.DUMMYFUNCTION("""COMPUTED_VALUE"""),"James Shernit")</f>
        <v>James Shernit</v>
      </c>
      <c r="C999" s="78">
        <f ca="1">IFERROR(__xludf.DUMMYFUNCTION("""COMPUTED_VALUE"""),8)</f>
        <v>8</v>
      </c>
      <c r="D999" s="78" t="str">
        <f ca="1">IFERROR(__xludf.DUMMYFUNCTION("""COMPUTED_VALUE"""),"B")</f>
        <v>B</v>
      </c>
      <c r="E999" s="80" t="str">
        <f ca="1">IFERROR(__xludf.DUMMYFUNCTION("""COMPUTED_VALUE"""),"F")</f>
        <v>F</v>
      </c>
      <c r="F999" s="80" t="str">
        <f ca="1">IFERROR(__xludf.DUMMYFUNCTION("""COMPUTED_VALUE"""),"J")</f>
        <v>J</v>
      </c>
      <c r="G999" s="80">
        <f ca="1">IFERROR(__xludf.DUMMYFUNCTION("""COMPUTED_VALUE"""),7)</f>
        <v>7</v>
      </c>
      <c r="H999" s="80" t="str">
        <f ca="1">IFERROR(__xludf.DUMMYFUNCTION("""COMPUTED_VALUE"""),"HSC")</f>
        <v>HSC</v>
      </c>
      <c r="I999" s="80">
        <f ca="1">IFERROR(__xludf.DUMMYFUNCTION("""COMPUTED_VALUE"""),3)</f>
        <v>3</v>
      </c>
      <c r="J999" s="81">
        <f ca="1">IFERROR(__xludf.DUMMYFUNCTION("""COMPUTED_VALUE"""),0)</f>
        <v>0</v>
      </c>
      <c r="K999" s="81">
        <f ca="1">IFERROR(__xludf.DUMMYFUNCTION("""COMPUTED_VALUE"""),0)</f>
        <v>0</v>
      </c>
      <c r="L999" s="81">
        <f ca="1">IFERROR(__xludf.DUMMYFUNCTION("""COMPUTED_VALUE"""),0)</f>
        <v>0</v>
      </c>
      <c r="M999" s="81"/>
      <c r="N999" s="81">
        <f ca="1">IFERROR(__xludf.DUMMYFUNCTION("""COMPUTED_VALUE"""),0)</f>
        <v>0</v>
      </c>
      <c r="O999" s="81"/>
      <c r="P999" s="81">
        <f ca="1">IFERROR(__xludf.DUMMYFUNCTION("""COMPUTED_VALUE"""),0)</f>
        <v>0</v>
      </c>
      <c r="Q999" s="81"/>
      <c r="R999" s="81">
        <f ca="1">IFERROR(__xludf.DUMMYFUNCTION("""COMPUTED_VALUE"""),0)</f>
        <v>0</v>
      </c>
      <c r="S999" s="81"/>
      <c r="T999" s="81"/>
      <c r="U999" s="82"/>
      <c r="V999" s="82"/>
      <c r="W999" s="83"/>
      <c r="X999" s="83"/>
      <c r="Y999" s="83"/>
    </row>
    <row r="1000" spans="1:25" ht="13.8">
      <c r="A1000" s="78" t="str">
        <f ca="1">IFERROR(__xludf.DUMMYFUNCTION("""COMPUTED_VALUE"""),"HSC")</f>
        <v>HSC</v>
      </c>
      <c r="B1000" s="79" t="str">
        <f ca="1">IFERROR(__xludf.DUMMYFUNCTION("""COMPUTED_VALUE"""),"William Shernit")</f>
        <v>William Shernit</v>
      </c>
      <c r="C1000" s="78">
        <f ca="1">IFERROR(__xludf.DUMMYFUNCTION("""COMPUTED_VALUE"""),8)</f>
        <v>8</v>
      </c>
      <c r="D1000" s="78" t="str">
        <f ca="1">IFERROR(__xludf.DUMMYFUNCTION("""COMPUTED_VALUE"""),"B")</f>
        <v>B</v>
      </c>
      <c r="E1000" s="80" t="str">
        <f ca="1">IFERROR(__xludf.DUMMYFUNCTION("""COMPUTED_VALUE"""),"F")</f>
        <v>F</v>
      </c>
      <c r="F1000" s="80" t="str">
        <f ca="1">IFERROR(__xludf.DUMMYFUNCTION("""COMPUTED_VALUE"""),"J")</f>
        <v>J</v>
      </c>
      <c r="G1000" s="80">
        <f ca="1">IFERROR(__xludf.DUMMYFUNCTION("""COMPUTED_VALUE"""),7)</f>
        <v>7</v>
      </c>
      <c r="H1000" s="80" t="str">
        <f ca="1">IFERROR(__xludf.DUMMYFUNCTION("""COMPUTED_VALUE"""),"HSC")</f>
        <v>HSC</v>
      </c>
      <c r="I1000" s="80">
        <f ca="1">IFERROR(__xludf.DUMMYFUNCTION("""COMPUTED_VALUE"""),3)</f>
        <v>3</v>
      </c>
      <c r="J1000" s="81">
        <f ca="1">IFERROR(__xludf.DUMMYFUNCTION("""COMPUTED_VALUE"""),0)</f>
        <v>0</v>
      </c>
      <c r="K1000" s="81">
        <f ca="1">IFERROR(__xludf.DUMMYFUNCTION("""COMPUTED_VALUE"""),0)</f>
        <v>0</v>
      </c>
      <c r="L1000" s="81">
        <f ca="1">IFERROR(__xludf.DUMMYFUNCTION("""COMPUTED_VALUE"""),0)</f>
        <v>0</v>
      </c>
      <c r="M1000" s="81"/>
      <c r="N1000" s="81">
        <f ca="1">IFERROR(__xludf.DUMMYFUNCTION("""COMPUTED_VALUE"""),0)</f>
        <v>0</v>
      </c>
      <c r="O1000" s="81"/>
      <c r="P1000" s="81">
        <f ca="1">IFERROR(__xludf.DUMMYFUNCTION("""COMPUTED_VALUE"""),0)</f>
        <v>0</v>
      </c>
      <c r="Q1000" s="81"/>
      <c r="R1000" s="81">
        <f ca="1">IFERROR(__xludf.DUMMYFUNCTION("""COMPUTED_VALUE"""),0)</f>
        <v>0</v>
      </c>
      <c r="S1000" s="81"/>
      <c r="T1000" s="81"/>
      <c r="U1000" s="82"/>
      <c r="V1000" s="82"/>
      <c r="W1000" s="83"/>
      <c r="X1000" s="83"/>
      <c r="Y1000" s="83"/>
    </row>
    <row r="1001" spans="1:25" ht="13.8">
      <c r="A1001" s="78" t="str">
        <f ca="1">IFERROR(__xludf.DUMMYFUNCTION("""COMPUTED_VALUE"""),"HSC")</f>
        <v>HSC</v>
      </c>
      <c r="B1001" s="79" t="str">
        <f ca="1">IFERROR(__xludf.DUMMYFUNCTION("""COMPUTED_VALUE"""),"Charlotte Frankel")</f>
        <v>Charlotte Frankel</v>
      </c>
      <c r="C1001" s="78">
        <f ca="1">IFERROR(__xludf.DUMMYFUNCTION("""COMPUTED_VALUE"""),11)</f>
        <v>11</v>
      </c>
      <c r="D1001" s="78" t="str">
        <f ca="1">IFERROR(__xludf.DUMMYFUNCTION("""COMPUTED_VALUE"""),"G")</f>
        <v>G</v>
      </c>
      <c r="E1001" s="80" t="str">
        <f ca="1">IFERROR(__xludf.DUMMYFUNCTION("""COMPUTED_VALUE"""),"J")</f>
        <v>J</v>
      </c>
      <c r="F1001" s="80" t="str">
        <f ca="1">IFERROR(__xludf.DUMMYFUNCTION("""COMPUTED_VALUE"""),"I")</f>
        <v>I</v>
      </c>
      <c r="G1001" s="80">
        <f ca="1">IFERROR(__xludf.DUMMYFUNCTION("""COMPUTED_VALUE"""),7)</f>
        <v>7</v>
      </c>
      <c r="H1001" s="80" t="str">
        <f ca="1">IFERROR(__xludf.DUMMYFUNCTION("""COMPUTED_VALUE"""),"HSC")</f>
        <v>HSC</v>
      </c>
      <c r="I1001" s="80">
        <f ca="1">IFERROR(__xludf.DUMMYFUNCTION("""COMPUTED_VALUE"""),4)</f>
        <v>4</v>
      </c>
      <c r="J1001" s="81">
        <f ca="1">IFERROR(__xludf.DUMMYFUNCTION("""COMPUTED_VALUE"""),0)</f>
        <v>0</v>
      </c>
      <c r="K1001" s="81">
        <f ca="1">IFERROR(__xludf.DUMMYFUNCTION("""COMPUTED_VALUE"""),0)</f>
        <v>0</v>
      </c>
      <c r="L1001" s="81">
        <f ca="1">IFERROR(__xludf.DUMMYFUNCTION("""COMPUTED_VALUE"""),0)</f>
        <v>0</v>
      </c>
      <c r="M1001" s="81"/>
      <c r="N1001" s="81">
        <f ca="1">IFERROR(__xludf.DUMMYFUNCTION("""COMPUTED_VALUE"""),0)</f>
        <v>0</v>
      </c>
      <c r="O1001" s="81"/>
      <c r="P1001" s="81">
        <f ca="1">IFERROR(__xludf.DUMMYFUNCTION("""COMPUTED_VALUE"""),0)</f>
        <v>0</v>
      </c>
      <c r="Q1001" s="81"/>
      <c r="R1001" s="81">
        <f ca="1">IFERROR(__xludf.DUMMYFUNCTION("""COMPUTED_VALUE"""),0)</f>
        <v>0</v>
      </c>
      <c r="S1001" s="81"/>
      <c r="T1001" s="81"/>
      <c r="U1001" s="82"/>
      <c r="V1001" s="82"/>
      <c r="W1001" s="83"/>
      <c r="X1001" s="83"/>
      <c r="Y1001" s="83"/>
    </row>
    <row r="1002" spans="1:25" ht="13.8">
      <c r="A1002" s="78" t="str">
        <f ca="1">IFERROR(__xludf.DUMMYFUNCTION("""COMPUTED_VALUE"""),"HSC")</f>
        <v>HSC</v>
      </c>
      <c r="B1002" s="79" t="str">
        <f ca="1">IFERROR(__xludf.DUMMYFUNCTION("""COMPUTED_VALUE"""),"Tatum Kurpiel")</f>
        <v>Tatum Kurpiel</v>
      </c>
      <c r="C1002" s="78">
        <f ca="1">IFERROR(__xludf.DUMMYFUNCTION("""COMPUTED_VALUE"""),11)</f>
        <v>11</v>
      </c>
      <c r="D1002" s="78" t="str">
        <f ca="1">IFERROR(__xludf.DUMMYFUNCTION("""COMPUTED_VALUE"""),"G")</f>
        <v>G</v>
      </c>
      <c r="E1002" s="80" t="str">
        <f ca="1">IFERROR(__xludf.DUMMYFUNCTION("""COMPUTED_VALUE"""),"J")</f>
        <v>J</v>
      </c>
      <c r="F1002" s="80" t="str">
        <f ca="1">IFERROR(__xludf.DUMMYFUNCTION("""COMPUTED_VALUE"""),"I")</f>
        <v>I</v>
      </c>
      <c r="G1002" s="80">
        <f ca="1">IFERROR(__xludf.DUMMYFUNCTION("""COMPUTED_VALUE"""),7)</f>
        <v>7</v>
      </c>
      <c r="H1002" s="80" t="str">
        <f ca="1">IFERROR(__xludf.DUMMYFUNCTION("""COMPUTED_VALUE"""),"HSC")</f>
        <v>HSC</v>
      </c>
      <c r="I1002" s="80">
        <f ca="1">IFERROR(__xludf.DUMMYFUNCTION("""COMPUTED_VALUE"""),4)</f>
        <v>4</v>
      </c>
      <c r="J1002" s="81">
        <f ca="1">IFERROR(__xludf.DUMMYFUNCTION("""COMPUTED_VALUE"""),0)</f>
        <v>0</v>
      </c>
      <c r="K1002" s="81">
        <f ca="1">IFERROR(__xludf.DUMMYFUNCTION("""COMPUTED_VALUE"""),0)</f>
        <v>0</v>
      </c>
      <c r="L1002" s="81">
        <f ca="1">IFERROR(__xludf.DUMMYFUNCTION("""COMPUTED_VALUE"""),0)</f>
        <v>0</v>
      </c>
      <c r="M1002" s="81"/>
      <c r="N1002" s="81">
        <f ca="1">IFERROR(__xludf.DUMMYFUNCTION("""COMPUTED_VALUE"""),0)</f>
        <v>0</v>
      </c>
      <c r="O1002" s="81"/>
      <c r="P1002" s="81">
        <f ca="1">IFERROR(__xludf.DUMMYFUNCTION("""COMPUTED_VALUE"""),0)</f>
        <v>0</v>
      </c>
      <c r="Q1002" s="81"/>
      <c r="R1002" s="81">
        <f ca="1">IFERROR(__xludf.DUMMYFUNCTION("""COMPUTED_VALUE"""),0)</f>
        <v>0</v>
      </c>
      <c r="S1002" s="81"/>
      <c r="T1002" s="81"/>
      <c r="U1002" s="82"/>
      <c r="V1002" s="82"/>
      <c r="W1002" s="83"/>
      <c r="X1002" s="83"/>
      <c r="Y1002" s="83"/>
    </row>
    <row r="1003" spans="1:25" ht="13.8">
      <c r="A1003" s="78" t="str">
        <f ca="1">IFERROR(__xludf.DUMMYFUNCTION("""COMPUTED_VALUE"""),"HSC")</f>
        <v>HSC</v>
      </c>
      <c r="B1003" s="79" t="str">
        <f ca="1">IFERROR(__xludf.DUMMYFUNCTION("""COMPUTED_VALUE"""),"Leyla Ozden")</f>
        <v>Leyla Ozden</v>
      </c>
      <c r="C1003" s="78">
        <f ca="1">IFERROR(__xludf.DUMMYFUNCTION("""COMPUTED_VALUE"""),11)</f>
        <v>11</v>
      </c>
      <c r="D1003" s="78" t="str">
        <f ca="1">IFERROR(__xludf.DUMMYFUNCTION("""COMPUTED_VALUE"""),"G")</f>
        <v>G</v>
      </c>
      <c r="E1003" s="80" t="str">
        <f ca="1">IFERROR(__xludf.DUMMYFUNCTION("""COMPUTED_VALUE"""),"J")</f>
        <v>J</v>
      </c>
      <c r="F1003" s="80" t="str">
        <f ca="1">IFERROR(__xludf.DUMMYFUNCTION("""COMPUTED_VALUE"""),"I")</f>
        <v>I</v>
      </c>
      <c r="G1003" s="80">
        <f ca="1">IFERROR(__xludf.DUMMYFUNCTION("""COMPUTED_VALUE"""),7)</f>
        <v>7</v>
      </c>
      <c r="H1003" s="80" t="str">
        <f ca="1">IFERROR(__xludf.DUMMYFUNCTION("""COMPUTED_VALUE"""),"HSC")</f>
        <v>HSC</v>
      </c>
      <c r="I1003" s="80">
        <f ca="1">IFERROR(__xludf.DUMMYFUNCTION("""COMPUTED_VALUE"""),4)</f>
        <v>4</v>
      </c>
      <c r="J1003" s="81">
        <f ca="1">IFERROR(__xludf.DUMMYFUNCTION("""COMPUTED_VALUE"""),3)</f>
        <v>3</v>
      </c>
      <c r="K1003" s="81">
        <f ca="1">IFERROR(__xludf.DUMMYFUNCTION("""COMPUTED_VALUE"""),58.85)</f>
        <v>58.85</v>
      </c>
      <c r="L1003" s="81">
        <f ca="1">IFERROR(__xludf.DUMMYFUNCTION("""COMPUTED_VALUE"""),0)</f>
        <v>0</v>
      </c>
      <c r="M1003" s="81"/>
      <c r="N1003" s="81">
        <f ca="1">IFERROR(__xludf.DUMMYFUNCTION("""COMPUTED_VALUE"""),0)</f>
        <v>0</v>
      </c>
      <c r="O1003" s="81"/>
      <c r="P1003" s="81">
        <f ca="1">IFERROR(__xludf.DUMMYFUNCTION("""COMPUTED_VALUE"""),58.85)</f>
        <v>58.85</v>
      </c>
      <c r="Q1003" s="81"/>
      <c r="R1003" s="81">
        <f ca="1">IFERROR(__xludf.DUMMYFUNCTION("""COMPUTED_VALUE"""),56.3)</f>
        <v>56.3</v>
      </c>
      <c r="S1003" s="81"/>
      <c r="T1003" s="81"/>
      <c r="U1003" s="82"/>
      <c r="V1003" s="82"/>
      <c r="W1003" s="83"/>
      <c r="X1003" s="83"/>
      <c r="Y1003" s="83"/>
    </row>
    <row r="1004" spans="1:25" ht="13.8">
      <c r="A1004" s="78" t="str">
        <f ca="1">IFERROR(__xludf.DUMMYFUNCTION("""COMPUTED_VALUE"""),"HSC")</f>
        <v>HSC</v>
      </c>
      <c r="B1004" s="79" t="str">
        <f ca="1">IFERROR(__xludf.DUMMYFUNCTION("""COMPUTED_VALUE"""),"Vela Pascual")</f>
        <v>Vela Pascual</v>
      </c>
      <c r="C1004" s="78">
        <f ca="1">IFERROR(__xludf.DUMMYFUNCTION("""COMPUTED_VALUE"""),12)</f>
        <v>12</v>
      </c>
      <c r="D1004" s="78" t="str">
        <f ca="1">IFERROR(__xludf.DUMMYFUNCTION("""COMPUTED_VALUE"""),"G")</f>
        <v>G</v>
      </c>
      <c r="E1004" s="80" t="str">
        <f ca="1">IFERROR(__xludf.DUMMYFUNCTION("""COMPUTED_VALUE"""),"J")</f>
        <v>J</v>
      </c>
      <c r="F1004" s="80" t="str">
        <f ca="1">IFERROR(__xludf.DUMMYFUNCTION("""COMPUTED_VALUE"""),"I")</f>
        <v>I</v>
      </c>
      <c r="G1004" s="80">
        <f ca="1">IFERROR(__xludf.DUMMYFUNCTION("""COMPUTED_VALUE"""),7)</f>
        <v>7</v>
      </c>
      <c r="H1004" s="80" t="str">
        <f ca="1">IFERROR(__xludf.DUMMYFUNCTION("""COMPUTED_VALUE"""),"HSC")</f>
        <v>HSC</v>
      </c>
      <c r="I1004" s="80">
        <f ca="1">IFERROR(__xludf.DUMMYFUNCTION("""COMPUTED_VALUE"""),4)</f>
        <v>4</v>
      </c>
      <c r="J1004" s="81">
        <f ca="1">IFERROR(__xludf.DUMMYFUNCTION("""COMPUTED_VALUE"""),4)</f>
        <v>4</v>
      </c>
      <c r="K1004" s="81">
        <f ca="1">IFERROR(__xludf.DUMMYFUNCTION("""COMPUTED_VALUE"""),55.4)</f>
        <v>55.4</v>
      </c>
      <c r="L1004" s="81">
        <f ca="1">IFERROR(__xludf.DUMMYFUNCTION("""COMPUTED_VALUE"""),54.95)</f>
        <v>54.95</v>
      </c>
      <c r="M1004" s="81"/>
      <c r="N1004" s="81">
        <f ca="1">IFERROR(__xludf.DUMMYFUNCTION("""COMPUTED_VALUE"""),53.1)</f>
        <v>53.1</v>
      </c>
      <c r="O1004" s="81"/>
      <c r="P1004" s="81">
        <f ca="1">IFERROR(__xludf.DUMMYFUNCTION("""COMPUTED_VALUE"""),0)</f>
        <v>0</v>
      </c>
      <c r="Q1004" s="81"/>
      <c r="R1004" s="81">
        <f ca="1">IFERROR(__xludf.DUMMYFUNCTION("""COMPUTED_VALUE"""),55.4)</f>
        <v>55.4</v>
      </c>
      <c r="S1004" s="81"/>
      <c r="T1004" s="81"/>
      <c r="U1004" s="82"/>
      <c r="V1004" s="82"/>
      <c r="W1004" s="83"/>
      <c r="X1004" s="83"/>
      <c r="Y1004" s="83"/>
    </row>
    <row r="1005" spans="1:25" ht="13.8">
      <c r="A1005" s="78" t="str">
        <f ca="1">IFERROR(__xludf.DUMMYFUNCTION("""COMPUTED_VALUE"""),"HSC")</f>
        <v>HSC</v>
      </c>
      <c r="B1005" s="79" t="str">
        <f ca="1">IFERROR(__xludf.DUMMYFUNCTION("""COMPUTED_VALUE"""),"Darius Bajoghli")</f>
        <v>Darius Bajoghli</v>
      </c>
      <c r="C1005" s="78">
        <f ca="1">IFERROR(__xludf.DUMMYFUNCTION("""COMPUTED_VALUE"""),12)</f>
        <v>12</v>
      </c>
      <c r="D1005" s="78" t="str">
        <f ca="1">IFERROR(__xludf.DUMMYFUNCTION("""COMPUTED_VALUE"""),"B")</f>
        <v>B</v>
      </c>
      <c r="E1005" s="80" t="str">
        <f ca="1">IFERROR(__xludf.DUMMYFUNCTION("""COMPUTED_VALUE"""),"J")</f>
        <v>J</v>
      </c>
      <c r="F1005" s="80" t="str">
        <f ca="1">IFERROR(__xludf.DUMMYFUNCTION("""COMPUTED_VALUE"""),"I")</f>
        <v>I</v>
      </c>
      <c r="G1005" s="80">
        <f ca="1">IFERROR(__xludf.DUMMYFUNCTION("""COMPUTED_VALUE"""),7)</f>
        <v>7</v>
      </c>
      <c r="H1005" s="80" t="str">
        <f ca="1">IFERROR(__xludf.DUMMYFUNCTION("""COMPUTED_VALUE"""),"HSC")</f>
        <v>HSC</v>
      </c>
      <c r="I1005" s="80">
        <f ca="1">IFERROR(__xludf.DUMMYFUNCTION("""COMPUTED_VALUE"""),5)</f>
        <v>5</v>
      </c>
      <c r="J1005" s="81">
        <f ca="1">IFERROR(__xludf.DUMMYFUNCTION("""COMPUTED_VALUE"""),2)</f>
        <v>2</v>
      </c>
      <c r="K1005" s="81">
        <f ca="1">IFERROR(__xludf.DUMMYFUNCTION("""COMPUTED_VALUE"""),66.15)</f>
        <v>66.150000000000006</v>
      </c>
      <c r="L1005" s="81">
        <f ca="1">IFERROR(__xludf.DUMMYFUNCTION("""COMPUTED_VALUE"""),0)</f>
        <v>0</v>
      </c>
      <c r="M1005" s="81"/>
      <c r="N1005" s="81">
        <f ca="1">IFERROR(__xludf.DUMMYFUNCTION("""COMPUTED_VALUE"""),66.15)</f>
        <v>66.150000000000006</v>
      </c>
      <c r="O1005" s="81"/>
      <c r="P1005" s="81">
        <f ca="1">IFERROR(__xludf.DUMMYFUNCTION("""COMPUTED_VALUE"""),62.75)</f>
        <v>62.75</v>
      </c>
      <c r="Q1005" s="81"/>
      <c r="R1005" s="81">
        <f ca="1">IFERROR(__xludf.DUMMYFUNCTION("""COMPUTED_VALUE"""),0)</f>
        <v>0</v>
      </c>
      <c r="S1005" s="81"/>
      <c r="T1005" s="81"/>
      <c r="U1005" s="82"/>
      <c r="V1005" s="82"/>
      <c r="W1005" s="83"/>
      <c r="X1005" s="83"/>
      <c r="Y1005" s="83"/>
    </row>
    <row r="1006" spans="1:25" ht="13.8">
      <c r="A1006" s="78" t="str">
        <f ca="1">IFERROR(__xludf.DUMMYFUNCTION("""COMPUTED_VALUE"""),"HSC")</f>
        <v>HSC</v>
      </c>
      <c r="B1006" s="79" t="str">
        <f ca="1">IFERROR(__xludf.DUMMYFUNCTION("""COMPUTED_VALUE"""),"Grant Fass")</f>
        <v>Grant Fass</v>
      </c>
      <c r="C1006" s="78">
        <f ca="1">IFERROR(__xludf.DUMMYFUNCTION("""COMPUTED_VALUE"""),11)</f>
        <v>11</v>
      </c>
      <c r="D1006" s="78" t="str">
        <f ca="1">IFERROR(__xludf.DUMMYFUNCTION("""COMPUTED_VALUE"""),"B")</f>
        <v>B</v>
      </c>
      <c r="E1006" s="80" t="str">
        <f ca="1">IFERROR(__xludf.DUMMYFUNCTION("""COMPUTED_VALUE"""),"J")</f>
        <v>J</v>
      </c>
      <c r="F1006" s="80" t="str">
        <f ca="1">IFERROR(__xludf.DUMMYFUNCTION("""COMPUTED_VALUE"""),"I")</f>
        <v>I</v>
      </c>
      <c r="G1006" s="80">
        <f ca="1">IFERROR(__xludf.DUMMYFUNCTION("""COMPUTED_VALUE"""),7)</f>
        <v>7</v>
      </c>
      <c r="H1006" s="80" t="str">
        <f ca="1">IFERROR(__xludf.DUMMYFUNCTION("""COMPUTED_VALUE"""),"HSC")</f>
        <v>HSC</v>
      </c>
      <c r="I1006" s="80">
        <f ca="1">IFERROR(__xludf.DUMMYFUNCTION("""COMPUTED_VALUE"""),5)</f>
        <v>5</v>
      </c>
      <c r="J1006" s="81">
        <f ca="1">IFERROR(__xludf.DUMMYFUNCTION("""COMPUTED_VALUE"""),0)</f>
        <v>0</v>
      </c>
      <c r="K1006" s="81">
        <f ca="1">IFERROR(__xludf.DUMMYFUNCTION("""COMPUTED_VALUE"""),0)</f>
        <v>0</v>
      </c>
      <c r="L1006" s="81">
        <f ca="1">IFERROR(__xludf.DUMMYFUNCTION("""COMPUTED_VALUE"""),0)</f>
        <v>0</v>
      </c>
      <c r="M1006" s="81"/>
      <c r="N1006" s="81">
        <f ca="1">IFERROR(__xludf.DUMMYFUNCTION("""COMPUTED_VALUE"""),0)</f>
        <v>0</v>
      </c>
      <c r="O1006" s="81"/>
      <c r="P1006" s="81">
        <f ca="1">IFERROR(__xludf.DUMMYFUNCTION("""COMPUTED_VALUE"""),0)</f>
        <v>0</v>
      </c>
      <c r="Q1006" s="81"/>
      <c r="R1006" s="81">
        <f ca="1">IFERROR(__xludf.DUMMYFUNCTION("""COMPUTED_VALUE"""),0)</f>
        <v>0</v>
      </c>
      <c r="S1006" s="81"/>
      <c r="T1006" s="81"/>
      <c r="U1006" s="82"/>
      <c r="V1006" s="82"/>
      <c r="W1006" s="83"/>
      <c r="X1006" s="83"/>
      <c r="Y1006" s="83"/>
    </row>
    <row r="1007" spans="1:25" ht="13.8">
      <c r="A1007" s="78" t="str">
        <f ca="1">IFERROR(__xludf.DUMMYFUNCTION("""COMPUTED_VALUE"""),"HSC")</f>
        <v>HSC</v>
      </c>
      <c r="B1007" s="79" t="str">
        <f ca="1">IFERROR(__xludf.DUMMYFUNCTION("""COMPUTED_VALUE"""),"Samuel Frankel")</f>
        <v>Samuel Frankel</v>
      </c>
      <c r="C1007" s="78">
        <f ca="1">IFERROR(__xludf.DUMMYFUNCTION("""COMPUTED_VALUE"""),11)</f>
        <v>11</v>
      </c>
      <c r="D1007" s="78" t="str">
        <f ca="1">IFERROR(__xludf.DUMMYFUNCTION("""COMPUTED_VALUE"""),"B")</f>
        <v>B</v>
      </c>
      <c r="E1007" s="80" t="str">
        <f ca="1">IFERROR(__xludf.DUMMYFUNCTION("""COMPUTED_VALUE"""),"J")</f>
        <v>J</v>
      </c>
      <c r="F1007" s="80" t="str">
        <f ca="1">IFERROR(__xludf.DUMMYFUNCTION("""COMPUTED_VALUE"""),"I")</f>
        <v>I</v>
      </c>
      <c r="G1007" s="80">
        <f ca="1">IFERROR(__xludf.DUMMYFUNCTION("""COMPUTED_VALUE"""),7)</f>
        <v>7</v>
      </c>
      <c r="H1007" s="80" t="str">
        <f ca="1">IFERROR(__xludf.DUMMYFUNCTION("""COMPUTED_VALUE"""),"HSC")</f>
        <v>HSC</v>
      </c>
      <c r="I1007" s="80">
        <f ca="1">IFERROR(__xludf.DUMMYFUNCTION("""COMPUTED_VALUE"""),5)</f>
        <v>5</v>
      </c>
      <c r="J1007" s="81">
        <f ca="1">IFERROR(__xludf.DUMMYFUNCTION("""COMPUTED_VALUE"""),0)</f>
        <v>0</v>
      </c>
      <c r="K1007" s="81">
        <f ca="1">IFERROR(__xludf.DUMMYFUNCTION("""COMPUTED_VALUE"""),0)</f>
        <v>0</v>
      </c>
      <c r="L1007" s="81">
        <f ca="1">IFERROR(__xludf.DUMMYFUNCTION("""COMPUTED_VALUE"""),0)</f>
        <v>0</v>
      </c>
      <c r="M1007" s="81"/>
      <c r="N1007" s="81">
        <f ca="1">IFERROR(__xludf.DUMMYFUNCTION("""COMPUTED_VALUE"""),0)</f>
        <v>0</v>
      </c>
      <c r="O1007" s="81"/>
      <c r="P1007" s="81">
        <f ca="1">IFERROR(__xludf.DUMMYFUNCTION("""COMPUTED_VALUE"""),0)</f>
        <v>0</v>
      </c>
      <c r="Q1007" s="81"/>
      <c r="R1007" s="81">
        <f ca="1">IFERROR(__xludf.DUMMYFUNCTION("""COMPUTED_VALUE"""),0)</f>
        <v>0</v>
      </c>
      <c r="S1007" s="81"/>
      <c r="T1007" s="81"/>
      <c r="U1007" s="82"/>
      <c r="V1007" s="82"/>
      <c r="W1007" s="83"/>
      <c r="X1007" s="83"/>
      <c r="Y1007" s="83"/>
    </row>
    <row r="1008" spans="1:25" ht="13.8">
      <c r="A1008" s="78" t="str">
        <f ca="1">IFERROR(__xludf.DUMMYFUNCTION("""COMPUTED_VALUE"""),"HSC")</f>
        <v>HSC</v>
      </c>
      <c r="B1008" s="79" t="str">
        <f ca="1">IFERROR(__xludf.DUMMYFUNCTION("""COMPUTED_VALUE"""),"Ayaan Ramnani")</f>
        <v>Ayaan Ramnani</v>
      </c>
      <c r="C1008" s="78">
        <f ca="1">IFERROR(__xludf.DUMMYFUNCTION("""COMPUTED_VALUE"""),11)</f>
        <v>11</v>
      </c>
      <c r="D1008" s="78" t="str">
        <f ca="1">IFERROR(__xludf.DUMMYFUNCTION("""COMPUTED_VALUE"""),"B")</f>
        <v>B</v>
      </c>
      <c r="E1008" s="80" t="str">
        <f ca="1">IFERROR(__xludf.DUMMYFUNCTION("""COMPUTED_VALUE"""),"J")</f>
        <v>J</v>
      </c>
      <c r="F1008" s="80" t="str">
        <f ca="1">IFERROR(__xludf.DUMMYFUNCTION("""COMPUTED_VALUE"""),"I")</f>
        <v>I</v>
      </c>
      <c r="G1008" s="80">
        <f ca="1">IFERROR(__xludf.DUMMYFUNCTION("""COMPUTED_VALUE"""),7)</f>
        <v>7</v>
      </c>
      <c r="H1008" s="80" t="str">
        <f ca="1">IFERROR(__xludf.DUMMYFUNCTION("""COMPUTED_VALUE"""),"HSC")</f>
        <v>HSC</v>
      </c>
      <c r="I1008" s="80">
        <f ca="1">IFERROR(__xludf.DUMMYFUNCTION("""COMPUTED_VALUE"""),5)</f>
        <v>5</v>
      </c>
      <c r="J1008" s="81">
        <f ca="1">IFERROR(__xludf.DUMMYFUNCTION("""COMPUTED_VALUE"""),0)</f>
        <v>0</v>
      </c>
      <c r="K1008" s="81">
        <f ca="1">IFERROR(__xludf.DUMMYFUNCTION("""COMPUTED_VALUE"""),0)</f>
        <v>0</v>
      </c>
      <c r="L1008" s="81">
        <f ca="1">IFERROR(__xludf.DUMMYFUNCTION("""COMPUTED_VALUE"""),0)</f>
        <v>0</v>
      </c>
      <c r="M1008" s="81"/>
      <c r="N1008" s="81">
        <f ca="1">IFERROR(__xludf.DUMMYFUNCTION("""COMPUTED_VALUE"""),0)</f>
        <v>0</v>
      </c>
      <c r="O1008" s="81"/>
      <c r="P1008" s="81">
        <f ca="1">IFERROR(__xludf.DUMMYFUNCTION("""COMPUTED_VALUE"""),0)</f>
        <v>0</v>
      </c>
      <c r="Q1008" s="81"/>
      <c r="R1008" s="81">
        <f ca="1">IFERROR(__xludf.DUMMYFUNCTION("""COMPUTED_VALUE"""),0)</f>
        <v>0</v>
      </c>
      <c r="S1008" s="81"/>
      <c r="T1008" s="81"/>
      <c r="U1008" s="82"/>
      <c r="V1008" s="82"/>
      <c r="W1008" s="83"/>
      <c r="X1008" s="83"/>
      <c r="Y1008" s="83"/>
    </row>
    <row r="1009" spans="1:25" ht="13.8">
      <c r="A1009" s="78" t="str">
        <f ca="1">IFERROR(__xludf.DUMMYFUNCTION("""COMPUTED_VALUE"""),"HSC")</f>
        <v>HSC</v>
      </c>
      <c r="B1009" s="79" t="str">
        <f ca="1">IFERROR(__xludf.DUMMYFUNCTION("""COMPUTED_VALUE"""),"Bennett Steele")</f>
        <v>Bennett Steele</v>
      </c>
      <c r="C1009" s="78">
        <f ca="1">IFERROR(__xludf.DUMMYFUNCTION("""COMPUTED_VALUE"""),11)</f>
        <v>11</v>
      </c>
      <c r="D1009" s="78" t="str">
        <f ca="1">IFERROR(__xludf.DUMMYFUNCTION("""COMPUTED_VALUE"""),"B")</f>
        <v>B</v>
      </c>
      <c r="E1009" s="80" t="str">
        <f ca="1">IFERROR(__xludf.DUMMYFUNCTION("""COMPUTED_VALUE"""),"J")</f>
        <v>J</v>
      </c>
      <c r="F1009" s="80" t="str">
        <f ca="1">IFERROR(__xludf.DUMMYFUNCTION("""COMPUTED_VALUE"""),"I")</f>
        <v>I</v>
      </c>
      <c r="G1009" s="80">
        <f ca="1">IFERROR(__xludf.DUMMYFUNCTION("""COMPUTED_VALUE"""),7)</f>
        <v>7</v>
      </c>
      <c r="H1009" s="80" t="str">
        <f ca="1">IFERROR(__xludf.DUMMYFUNCTION("""COMPUTED_VALUE"""),"HSC")</f>
        <v>HSC</v>
      </c>
      <c r="I1009" s="80">
        <f ca="1">IFERROR(__xludf.DUMMYFUNCTION("""COMPUTED_VALUE"""),5)</f>
        <v>5</v>
      </c>
      <c r="J1009" s="81">
        <f ca="1">IFERROR(__xludf.DUMMYFUNCTION("""COMPUTED_VALUE"""),5)</f>
        <v>5</v>
      </c>
      <c r="K1009" s="81">
        <f ca="1">IFERROR(__xludf.DUMMYFUNCTION("""COMPUTED_VALUE"""),95.25)</f>
        <v>95.25</v>
      </c>
      <c r="L1009" s="81">
        <f ca="1">IFERROR(__xludf.DUMMYFUNCTION("""COMPUTED_VALUE"""),80.95)</f>
        <v>80.95</v>
      </c>
      <c r="M1009" s="81"/>
      <c r="N1009" s="81">
        <f ca="1">IFERROR(__xludf.DUMMYFUNCTION("""COMPUTED_VALUE"""),95.25)</f>
        <v>95.25</v>
      </c>
      <c r="O1009" s="81"/>
      <c r="P1009" s="81">
        <f ca="1">IFERROR(__xludf.DUMMYFUNCTION("""COMPUTED_VALUE"""),88.45)</f>
        <v>88.45</v>
      </c>
      <c r="Q1009" s="81"/>
      <c r="R1009" s="81">
        <f ca="1">IFERROR(__xludf.DUMMYFUNCTION("""COMPUTED_VALUE"""),90.7)</f>
        <v>90.7</v>
      </c>
      <c r="S1009" s="81"/>
      <c r="T1009" s="81"/>
      <c r="U1009" s="82"/>
      <c r="V1009" s="82"/>
      <c r="W1009" s="83"/>
      <c r="X1009" s="83"/>
      <c r="Y1009" s="83"/>
    </row>
    <row r="1010" spans="1:25" ht="13.8">
      <c r="A1010" s="78" t="str">
        <f ca="1">IFERROR(__xludf.DUMMYFUNCTION("""COMPUTED_VALUE"""),"HSC")</f>
        <v>HSC</v>
      </c>
      <c r="B1010" s="79" t="str">
        <f ca="1">IFERROR(__xludf.DUMMYFUNCTION("""COMPUTED_VALUE"""),"Savas Emanuel")</f>
        <v>Savas Emanuel</v>
      </c>
      <c r="C1010" s="78">
        <f ca="1">IFERROR(__xludf.DUMMYFUNCTION("""COMPUTED_VALUE"""),14)</f>
        <v>14</v>
      </c>
      <c r="D1010" s="78" t="str">
        <f ca="1">IFERROR(__xludf.DUMMYFUNCTION("""COMPUTED_VALUE"""),"B")</f>
        <v>B</v>
      </c>
      <c r="E1010" s="80" t="str">
        <f ca="1">IFERROR(__xludf.DUMMYFUNCTION("""COMPUTED_VALUE"""),"I")</f>
        <v>I</v>
      </c>
      <c r="F1010" s="80" t="str">
        <f ca="1">IFERROR(__xludf.DUMMYFUNCTION("""COMPUTED_VALUE"""),"S")</f>
        <v>S</v>
      </c>
      <c r="G1010" s="80">
        <f ca="1">IFERROR(__xludf.DUMMYFUNCTION("""COMPUTED_VALUE"""),7)</f>
        <v>7</v>
      </c>
      <c r="H1010" s="80" t="str">
        <f ca="1">IFERROR(__xludf.DUMMYFUNCTION("""COMPUTED_VALUE"""),"HSC")</f>
        <v>HSC</v>
      </c>
      <c r="I1010" s="80">
        <f ca="1">IFERROR(__xludf.DUMMYFUNCTION("""COMPUTED_VALUE"""),7)</f>
        <v>7</v>
      </c>
      <c r="J1010" s="81">
        <f ca="1">IFERROR(__xludf.DUMMYFUNCTION("""COMPUTED_VALUE"""),5)</f>
        <v>5</v>
      </c>
      <c r="K1010" s="81">
        <f ca="1">IFERROR(__xludf.DUMMYFUNCTION("""COMPUTED_VALUE"""),108.7)</f>
        <v>108.7</v>
      </c>
      <c r="L1010" s="81">
        <f ca="1">IFERROR(__xludf.DUMMYFUNCTION("""COMPUTED_VALUE"""),93.4)</f>
        <v>93.4</v>
      </c>
      <c r="M1010" s="81"/>
      <c r="N1010" s="81">
        <f ca="1">IFERROR(__xludf.DUMMYFUNCTION("""COMPUTED_VALUE"""),108.7)</f>
        <v>108.7</v>
      </c>
      <c r="O1010" s="81"/>
      <c r="P1010" s="81">
        <f ca="1">IFERROR(__xludf.DUMMYFUNCTION("""COMPUTED_VALUE"""),104.2)</f>
        <v>104.2</v>
      </c>
      <c r="Q1010" s="81"/>
      <c r="R1010" s="81">
        <f ca="1">IFERROR(__xludf.DUMMYFUNCTION("""COMPUTED_VALUE"""),97.8)</f>
        <v>97.8</v>
      </c>
      <c r="S1010" s="81"/>
      <c r="T1010" s="81"/>
      <c r="U1010" s="82"/>
      <c r="V1010" s="82"/>
      <c r="W1010" s="83"/>
      <c r="X1010" s="83"/>
      <c r="Y1010" s="83"/>
    </row>
    <row r="1011" spans="1:25" ht="13.8">
      <c r="A1011" s="78" t="str">
        <f ca="1">IFERROR(__xludf.DUMMYFUNCTION("""COMPUTED_VALUE"""),"HSC")</f>
        <v>HSC</v>
      </c>
      <c r="B1011" s="79" t="str">
        <f ca="1">IFERROR(__xludf.DUMMYFUNCTION("""COMPUTED_VALUE"""),"Jackson Joseph")</f>
        <v>Jackson Joseph</v>
      </c>
      <c r="C1011" s="78">
        <f ca="1">IFERROR(__xludf.DUMMYFUNCTION("""COMPUTED_VALUE"""),13)</f>
        <v>13</v>
      </c>
      <c r="D1011" s="78" t="str">
        <f ca="1">IFERROR(__xludf.DUMMYFUNCTION("""COMPUTED_VALUE"""),"B")</f>
        <v>B</v>
      </c>
      <c r="E1011" s="80" t="str">
        <f ca="1">IFERROR(__xludf.DUMMYFUNCTION("""COMPUTED_VALUE"""),"I")</f>
        <v>I</v>
      </c>
      <c r="F1011" s="80" t="str">
        <f ca="1">IFERROR(__xludf.DUMMYFUNCTION("""COMPUTED_VALUE"""),"S")</f>
        <v>S</v>
      </c>
      <c r="G1011" s="80">
        <f ca="1">IFERROR(__xludf.DUMMYFUNCTION("""COMPUTED_VALUE"""),7)</f>
        <v>7</v>
      </c>
      <c r="H1011" s="80" t="str">
        <f ca="1">IFERROR(__xludf.DUMMYFUNCTION("""COMPUTED_VALUE"""),"HSC")</f>
        <v>HSC</v>
      </c>
      <c r="I1011" s="80">
        <f ca="1">IFERROR(__xludf.DUMMYFUNCTION("""COMPUTED_VALUE"""),7)</f>
        <v>7</v>
      </c>
      <c r="J1011" s="81">
        <f ca="1">IFERROR(__xludf.DUMMYFUNCTION("""COMPUTED_VALUE"""),0)</f>
        <v>0</v>
      </c>
      <c r="K1011" s="81">
        <f ca="1">IFERROR(__xludf.DUMMYFUNCTION("""COMPUTED_VALUE"""),0)</f>
        <v>0</v>
      </c>
      <c r="L1011" s="81">
        <f ca="1">IFERROR(__xludf.DUMMYFUNCTION("""COMPUTED_VALUE"""),0)</f>
        <v>0</v>
      </c>
      <c r="M1011" s="81"/>
      <c r="N1011" s="81">
        <f ca="1">IFERROR(__xludf.DUMMYFUNCTION("""COMPUTED_VALUE"""),0)</f>
        <v>0</v>
      </c>
      <c r="O1011" s="81"/>
      <c r="P1011" s="81">
        <f ca="1">IFERROR(__xludf.DUMMYFUNCTION("""COMPUTED_VALUE"""),0)</f>
        <v>0</v>
      </c>
      <c r="Q1011" s="81"/>
      <c r="R1011" s="81">
        <f ca="1">IFERROR(__xludf.DUMMYFUNCTION("""COMPUTED_VALUE"""),0)</f>
        <v>0</v>
      </c>
      <c r="S1011" s="81"/>
      <c r="T1011" s="81"/>
      <c r="U1011" s="82"/>
      <c r="V1011" s="82"/>
      <c r="W1011" s="83"/>
      <c r="X1011" s="83"/>
      <c r="Y1011" s="83"/>
    </row>
    <row r="1012" spans="1:25" ht="13.8">
      <c r="A1012" s="78" t="str">
        <f ca="1">IFERROR(__xludf.DUMMYFUNCTION("""COMPUTED_VALUE"""),"HSC")</f>
        <v>HSC</v>
      </c>
      <c r="B1012" s="79" t="str">
        <f ca="1">IFERROR(__xludf.DUMMYFUNCTION("""COMPUTED_VALUE"""),"Cooper Short")</f>
        <v>Cooper Short</v>
      </c>
      <c r="C1012" s="78">
        <f ca="1">IFERROR(__xludf.DUMMYFUNCTION("""COMPUTED_VALUE"""),13)</f>
        <v>13</v>
      </c>
      <c r="D1012" s="78" t="str">
        <f ca="1">IFERROR(__xludf.DUMMYFUNCTION("""COMPUTED_VALUE"""),"B")</f>
        <v>B</v>
      </c>
      <c r="E1012" s="80" t="str">
        <f ca="1">IFERROR(__xludf.DUMMYFUNCTION("""COMPUTED_VALUE"""),"I")</f>
        <v>I</v>
      </c>
      <c r="F1012" s="80" t="str">
        <f ca="1">IFERROR(__xludf.DUMMYFUNCTION("""COMPUTED_VALUE"""),"S")</f>
        <v>S</v>
      </c>
      <c r="G1012" s="80">
        <f ca="1">IFERROR(__xludf.DUMMYFUNCTION("""COMPUTED_VALUE"""),7)</f>
        <v>7</v>
      </c>
      <c r="H1012" s="80" t="str">
        <f ca="1">IFERROR(__xludf.DUMMYFUNCTION("""COMPUTED_VALUE"""),"HSC")</f>
        <v>HSC</v>
      </c>
      <c r="I1012" s="80">
        <f ca="1">IFERROR(__xludf.DUMMYFUNCTION("""COMPUTED_VALUE"""),7)</f>
        <v>7</v>
      </c>
      <c r="J1012" s="81">
        <f ca="1">IFERROR(__xludf.DUMMYFUNCTION("""COMPUTED_VALUE"""),3)</f>
        <v>3</v>
      </c>
      <c r="K1012" s="81">
        <f ca="1">IFERROR(__xludf.DUMMYFUNCTION("""COMPUTED_VALUE"""),107.5)</f>
        <v>107.5</v>
      </c>
      <c r="L1012" s="81">
        <f ca="1">IFERROR(__xludf.DUMMYFUNCTION("""COMPUTED_VALUE"""),0)</f>
        <v>0</v>
      </c>
      <c r="M1012" s="81"/>
      <c r="N1012" s="81">
        <f ca="1">IFERROR(__xludf.DUMMYFUNCTION("""COMPUTED_VALUE"""),107.5)</f>
        <v>107.5</v>
      </c>
      <c r="O1012" s="81"/>
      <c r="P1012" s="81">
        <f ca="1">IFERROR(__xludf.DUMMYFUNCTION("""COMPUTED_VALUE"""),0)</f>
        <v>0</v>
      </c>
      <c r="Q1012" s="81"/>
      <c r="R1012" s="81">
        <f ca="1">IFERROR(__xludf.DUMMYFUNCTION("""COMPUTED_VALUE"""),104.9)</f>
        <v>104.9</v>
      </c>
      <c r="S1012" s="81"/>
      <c r="T1012" s="81"/>
      <c r="U1012" s="82"/>
      <c r="V1012" s="82"/>
      <c r="W1012" s="83"/>
      <c r="X1012" s="83"/>
      <c r="Y1012" s="83"/>
    </row>
    <row r="1013" spans="1:25" ht="13.8">
      <c r="A1013" s="78" t="str">
        <f ca="1">IFERROR(__xludf.DUMMYFUNCTION("""COMPUTED_VALUE"""),"HSC")</f>
        <v>HSC</v>
      </c>
      <c r="B1013" s="79" t="str">
        <f ca="1">IFERROR(__xludf.DUMMYFUNCTION("""COMPUTED_VALUE"""),"Melinda Hauda")</f>
        <v>Melinda Hauda</v>
      </c>
      <c r="C1013" s="78">
        <f ca="1">IFERROR(__xludf.DUMMYFUNCTION("""COMPUTED_VALUE"""),16)</f>
        <v>16</v>
      </c>
      <c r="D1013" s="78" t="str">
        <f ca="1">IFERROR(__xludf.DUMMYFUNCTION("""COMPUTED_VALUE"""),"G")</f>
        <v>G</v>
      </c>
      <c r="E1013" s="80" t="str">
        <f ca="1">IFERROR(__xludf.DUMMYFUNCTION("""COMPUTED_VALUE"""),"S")</f>
        <v>S</v>
      </c>
      <c r="F1013" s="80" t="str">
        <f ca="1">IFERROR(__xludf.DUMMYFUNCTION("""COMPUTED_VALUE"""),"S")</f>
        <v>S</v>
      </c>
      <c r="G1013" s="80">
        <f ca="1">IFERROR(__xludf.DUMMYFUNCTION("""COMPUTED_VALUE"""),7)</f>
        <v>7</v>
      </c>
      <c r="H1013" s="80" t="str">
        <f ca="1">IFERROR(__xludf.DUMMYFUNCTION("""COMPUTED_VALUE"""),"HSC")</f>
        <v>HSC</v>
      </c>
      <c r="I1013" s="80">
        <f ca="1">IFERROR(__xludf.DUMMYFUNCTION("""COMPUTED_VALUE"""),8)</f>
        <v>8</v>
      </c>
      <c r="J1013" s="81">
        <f ca="1">IFERROR(__xludf.DUMMYFUNCTION("""COMPUTED_VALUE"""),4)</f>
        <v>4</v>
      </c>
      <c r="K1013" s="81">
        <f ca="1">IFERROR(__xludf.DUMMYFUNCTION("""COMPUTED_VALUE"""),141.5)</f>
        <v>141.5</v>
      </c>
      <c r="L1013" s="81">
        <f ca="1">IFERROR(__xludf.DUMMYFUNCTION("""COMPUTED_VALUE"""),0)</f>
        <v>0</v>
      </c>
      <c r="M1013" s="81"/>
      <c r="N1013" s="81">
        <f ca="1">IFERROR(__xludf.DUMMYFUNCTION("""COMPUTED_VALUE"""),135.2)</f>
        <v>135.19999999999999</v>
      </c>
      <c r="O1013" s="81"/>
      <c r="P1013" s="81">
        <f ca="1">IFERROR(__xludf.DUMMYFUNCTION("""COMPUTED_VALUE"""),141.5)</f>
        <v>141.5</v>
      </c>
      <c r="Q1013" s="81"/>
      <c r="R1013" s="81">
        <f ca="1">IFERROR(__xludf.DUMMYFUNCTION("""COMPUTED_VALUE"""),132.7)</f>
        <v>132.69999999999999</v>
      </c>
      <c r="S1013" s="81"/>
      <c r="T1013" s="81"/>
      <c r="U1013" s="82"/>
      <c r="V1013" s="82"/>
      <c r="W1013" s="83"/>
      <c r="X1013" s="83"/>
      <c r="Y1013" s="83"/>
    </row>
    <row r="1014" spans="1:25" ht="13.8">
      <c r="A1014" s="78" t="str">
        <f ca="1">IFERROR(__xludf.DUMMYFUNCTION("""COMPUTED_VALUE"""),"HSC")</f>
        <v>HSC</v>
      </c>
      <c r="B1014" s="79" t="str">
        <f ca="1">IFERROR(__xludf.DUMMYFUNCTION("""COMPUTED_VALUE"""),"Anthony Maull")</f>
        <v>Anthony Maull</v>
      </c>
      <c r="C1014" s="78">
        <f ca="1">IFERROR(__xludf.DUMMYFUNCTION("""COMPUTED_VALUE"""),15)</f>
        <v>15</v>
      </c>
      <c r="D1014" s="78" t="str">
        <f ca="1">IFERROR(__xludf.DUMMYFUNCTION("""COMPUTED_VALUE"""),"B")</f>
        <v>B</v>
      </c>
      <c r="E1014" s="80" t="str">
        <f ca="1">IFERROR(__xludf.DUMMYFUNCTION("""COMPUTED_VALUE"""),"S")</f>
        <v>S</v>
      </c>
      <c r="F1014" s="80" t="str">
        <f ca="1">IFERROR(__xludf.DUMMYFUNCTION("""COMPUTED_VALUE"""),"S")</f>
        <v>S</v>
      </c>
      <c r="G1014" s="80">
        <f ca="1">IFERROR(__xludf.DUMMYFUNCTION("""COMPUTED_VALUE"""),7)</f>
        <v>7</v>
      </c>
      <c r="H1014" s="80" t="str">
        <f ca="1">IFERROR(__xludf.DUMMYFUNCTION("""COMPUTED_VALUE"""),"HSC")</f>
        <v>HSC</v>
      </c>
      <c r="I1014" s="80">
        <f ca="1">IFERROR(__xludf.DUMMYFUNCTION("""COMPUTED_VALUE"""),9)</f>
        <v>9</v>
      </c>
      <c r="J1014" s="81">
        <f ca="1">IFERROR(__xludf.DUMMYFUNCTION("""COMPUTED_VALUE"""),5)</f>
        <v>5</v>
      </c>
      <c r="K1014" s="81">
        <f ca="1">IFERROR(__xludf.DUMMYFUNCTION("""COMPUTED_VALUE"""),135.95)</f>
        <v>135.94999999999999</v>
      </c>
      <c r="L1014" s="81">
        <f ca="1">IFERROR(__xludf.DUMMYFUNCTION("""COMPUTED_VALUE"""),120.65)</f>
        <v>120.65</v>
      </c>
      <c r="M1014" s="81"/>
      <c r="N1014" s="81">
        <f ca="1">IFERROR(__xludf.DUMMYFUNCTION("""COMPUTED_VALUE"""),135.95)</f>
        <v>135.94999999999999</v>
      </c>
      <c r="O1014" s="81"/>
      <c r="P1014" s="81">
        <f ca="1">IFERROR(__xludf.DUMMYFUNCTION("""COMPUTED_VALUE"""),114.6)</f>
        <v>114.6</v>
      </c>
      <c r="Q1014" s="81"/>
      <c r="R1014" s="81">
        <f ca="1">IFERROR(__xludf.DUMMYFUNCTION("""COMPUTED_VALUE"""),134.5)</f>
        <v>134.5</v>
      </c>
      <c r="S1014" s="81"/>
      <c r="T1014" s="81"/>
      <c r="U1014" s="82"/>
      <c r="V1014" s="82"/>
      <c r="W1014" s="83"/>
      <c r="X1014" s="83"/>
      <c r="Y1014" s="83"/>
    </row>
    <row r="1015" spans="1:25" ht="13.8">
      <c r="A1015" s="78" t="str">
        <f ca="1">IFERROR(__xludf.DUMMYFUNCTION("""COMPUTED_VALUE"""),"HSC")</f>
        <v>HSC</v>
      </c>
      <c r="B1015" s="79" t="str">
        <f ca="1">IFERROR(__xludf.DUMMYFUNCTION("""COMPUTED_VALUE"""),"Luke Terry")</f>
        <v>Luke Terry</v>
      </c>
      <c r="C1015" s="78">
        <f ca="1">IFERROR(__xludf.DUMMYFUNCTION("""COMPUTED_VALUE"""),16)</f>
        <v>16</v>
      </c>
      <c r="D1015" s="78" t="str">
        <f ca="1">IFERROR(__xludf.DUMMYFUNCTION("""COMPUTED_VALUE"""),"B")</f>
        <v>B</v>
      </c>
      <c r="E1015" s="80" t="str">
        <f ca="1">IFERROR(__xludf.DUMMYFUNCTION("""COMPUTED_VALUE"""),"S")</f>
        <v>S</v>
      </c>
      <c r="F1015" s="80" t="str">
        <f ca="1">IFERROR(__xludf.DUMMYFUNCTION("""COMPUTED_VALUE"""),"S")</f>
        <v>S</v>
      </c>
      <c r="G1015" s="80">
        <f ca="1">IFERROR(__xludf.DUMMYFUNCTION("""COMPUTED_VALUE"""),7)</f>
        <v>7</v>
      </c>
      <c r="H1015" s="80" t="str">
        <f ca="1">IFERROR(__xludf.DUMMYFUNCTION("""COMPUTED_VALUE"""),"HSC")</f>
        <v>HSC</v>
      </c>
      <c r="I1015" s="80">
        <f ca="1">IFERROR(__xludf.DUMMYFUNCTION("""COMPUTED_VALUE"""),9)</f>
        <v>9</v>
      </c>
      <c r="J1015" s="81">
        <f ca="1">IFERROR(__xludf.DUMMYFUNCTION("""COMPUTED_VALUE"""),3)</f>
        <v>3</v>
      </c>
      <c r="K1015" s="81">
        <f ca="1">IFERROR(__xludf.DUMMYFUNCTION("""COMPUTED_VALUE"""),92.45)</f>
        <v>92.45</v>
      </c>
      <c r="L1015" s="81">
        <f ca="1">IFERROR(__xludf.DUMMYFUNCTION("""COMPUTED_VALUE"""),92.45)</f>
        <v>92.45</v>
      </c>
      <c r="M1015" s="81"/>
      <c r="N1015" s="81">
        <f ca="1">IFERROR(__xludf.DUMMYFUNCTION("""COMPUTED_VALUE"""),0)</f>
        <v>0</v>
      </c>
      <c r="O1015" s="81"/>
      <c r="P1015" s="81">
        <f ca="1">IFERROR(__xludf.DUMMYFUNCTION("""COMPUTED_VALUE"""),0)</f>
        <v>0</v>
      </c>
      <c r="Q1015" s="81"/>
      <c r="R1015" s="81">
        <f ca="1">IFERROR(__xludf.DUMMYFUNCTION("""COMPUTED_VALUE"""),87.9)</f>
        <v>87.9</v>
      </c>
      <c r="S1015" s="81"/>
      <c r="T1015" s="81"/>
      <c r="U1015" s="82"/>
      <c r="V1015" s="82"/>
      <c r="W1015" s="83"/>
      <c r="X1015" s="83"/>
      <c r="Y1015" s="83"/>
    </row>
    <row r="1016" spans="1:25" ht="13.8">
      <c r="A1016" s="78" t="str">
        <f ca="1">IFERROR(__xludf.DUMMYFUNCTION("""COMPUTED_VALUE"""),"HV")</f>
        <v>HV</v>
      </c>
      <c r="B1016" s="79" t="str">
        <f ca="1">IFERROR(__xludf.DUMMYFUNCTION("""COMPUTED_VALUE"""),"Eloise Ayers")</f>
        <v>Eloise Ayers</v>
      </c>
      <c r="C1016" s="78">
        <f ca="1">IFERROR(__xludf.DUMMYFUNCTION("""COMPUTED_VALUE"""),10)</f>
        <v>10</v>
      </c>
      <c r="D1016" s="78" t="str">
        <f ca="1">IFERROR(__xludf.DUMMYFUNCTION("""COMPUTED_VALUE"""),"G")</f>
        <v>G</v>
      </c>
      <c r="E1016" s="80" t="str">
        <f ca="1">IFERROR(__xludf.DUMMYFUNCTION("""COMPUTED_VALUE"""),"F")</f>
        <v>F</v>
      </c>
      <c r="F1016" s="80" t="str">
        <f ca="1">IFERROR(__xludf.DUMMYFUNCTION("""COMPUTED_VALUE"""),"J")</f>
        <v>J</v>
      </c>
      <c r="G1016" s="80">
        <f ca="1">IFERROR(__xludf.DUMMYFUNCTION("""COMPUTED_VALUE"""),3)</f>
        <v>3</v>
      </c>
      <c r="H1016" s="80" t="str">
        <f ca="1">IFERROR(__xludf.DUMMYFUNCTION("""COMPUTED_VALUE"""),"HV")</f>
        <v>HV</v>
      </c>
      <c r="I1016" s="80">
        <f ca="1">IFERROR(__xludf.DUMMYFUNCTION("""COMPUTED_VALUE"""),2)</f>
        <v>2</v>
      </c>
      <c r="J1016" s="81">
        <f ca="1">IFERROR(__xludf.DUMMYFUNCTION("""COMPUTED_VALUE"""),0)</f>
        <v>0</v>
      </c>
      <c r="K1016" s="81">
        <f ca="1">IFERROR(__xludf.DUMMYFUNCTION("""COMPUTED_VALUE"""),0)</f>
        <v>0</v>
      </c>
      <c r="L1016" s="81">
        <f ca="1">IFERROR(__xludf.DUMMYFUNCTION("""COMPUTED_VALUE"""),0)</f>
        <v>0</v>
      </c>
      <c r="M1016" s="81"/>
      <c r="N1016" s="81">
        <f ca="1">IFERROR(__xludf.DUMMYFUNCTION("""COMPUTED_VALUE"""),0)</f>
        <v>0</v>
      </c>
      <c r="O1016" s="81"/>
      <c r="P1016" s="81">
        <f ca="1">IFERROR(__xludf.DUMMYFUNCTION("""COMPUTED_VALUE"""),0)</f>
        <v>0</v>
      </c>
      <c r="Q1016" s="81"/>
      <c r="R1016" s="81">
        <f ca="1">IFERROR(__xludf.DUMMYFUNCTION("""COMPUTED_VALUE"""),0)</f>
        <v>0</v>
      </c>
      <c r="S1016" s="81"/>
      <c r="T1016" s="81"/>
      <c r="U1016" s="82"/>
      <c r="V1016" s="82"/>
      <c r="W1016" s="83"/>
      <c r="X1016" s="83"/>
      <c r="Y1016" s="83"/>
    </row>
    <row r="1017" spans="1:25" ht="13.8">
      <c r="A1017" s="78" t="str">
        <f ca="1">IFERROR(__xludf.DUMMYFUNCTION("""COMPUTED_VALUE"""),"HV")</f>
        <v>HV</v>
      </c>
      <c r="B1017" s="79" t="str">
        <f ca="1">IFERROR(__xludf.DUMMYFUNCTION("""COMPUTED_VALUE"""),"Addison Bennett")</f>
        <v>Addison Bennett</v>
      </c>
      <c r="C1017" s="78">
        <f ca="1">IFERROR(__xludf.DUMMYFUNCTION("""COMPUTED_VALUE"""),10)</f>
        <v>10</v>
      </c>
      <c r="D1017" s="78" t="str">
        <f ca="1">IFERROR(__xludf.DUMMYFUNCTION("""COMPUTED_VALUE"""),"G")</f>
        <v>G</v>
      </c>
      <c r="E1017" s="80" t="str">
        <f ca="1">IFERROR(__xludf.DUMMYFUNCTION("""COMPUTED_VALUE"""),"F")</f>
        <v>F</v>
      </c>
      <c r="F1017" s="80" t="str">
        <f ca="1">IFERROR(__xludf.DUMMYFUNCTION("""COMPUTED_VALUE"""),"J")</f>
        <v>J</v>
      </c>
      <c r="G1017" s="80">
        <f ca="1">IFERROR(__xludf.DUMMYFUNCTION("""COMPUTED_VALUE"""),3)</f>
        <v>3</v>
      </c>
      <c r="H1017" s="80" t="str">
        <f ca="1">IFERROR(__xludf.DUMMYFUNCTION("""COMPUTED_VALUE"""),"HV")</f>
        <v>HV</v>
      </c>
      <c r="I1017" s="80">
        <f ca="1">IFERROR(__xludf.DUMMYFUNCTION("""COMPUTED_VALUE"""),2)</f>
        <v>2</v>
      </c>
      <c r="J1017" s="81">
        <f ca="1">IFERROR(__xludf.DUMMYFUNCTION("""COMPUTED_VALUE"""),4)</f>
        <v>4</v>
      </c>
      <c r="K1017" s="81">
        <f ca="1">IFERROR(__xludf.DUMMYFUNCTION("""COMPUTED_VALUE"""),50.5)</f>
        <v>50.5</v>
      </c>
      <c r="L1017" s="81">
        <f ca="1">IFERROR(__xludf.DUMMYFUNCTION("""COMPUTED_VALUE"""),50.5)</f>
        <v>50.5</v>
      </c>
      <c r="M1017" s="81"/>
      <c r="N1017" s="81">
        <f ca="1">IFERROR(__xludf.DUMMYFUNCTION("""COMPUTED_VALUE"""),0)</f>
        <v>0</v>
      </c>
      <c r="O1017" s="81"/>
      <c r="P1017" s="81">
        <f ca="1">IFERROR(__xludf.DUMMYFUNCTION("""COMPUTED_VALUE"""),36.65)</f>
        <v>36.65</v>
      </c>
      <c r="Q1017" s="81"/>
      <c r="R1017" s="81">
        <f ca="1">IFERROR(__xludf.DUMMYFUNCTION("""COMPUTED_VALUE"""),30.1)</f>
        <v>30.1</v>
      </c>
      <c r="S1017" s="81"/>
      <c r="T1017" s="81"/>
      <c r="U1017" s="82"/>
      <c r="V1017" s="82"/>
      <c r="W1017" s="83"/>
      <c r="X1017" s="83"/>
      <c r="Y1017" s="83"/>
    </row>
    <row r="1018" spans="1:25" ht="13.8">
      <c r="A1018" s="78" t="str">
        <f ca="1">IFERROR(__xludf.DUMMYFUNCTION("""COMPUTED_VALUE"""),"HV")</f>
        <v>HV</v>
      </c>
      <c r="B1018" s="79" t="str">
        <f ca="1">IFERROR(__xludf.DUMMYFUNCTION("""COMPUTED_VALUE"""),"Payton Bennett")</f>
        <v>Payton Bennett</v>
      </c>
      <c r="C1018" s="78">
        <f ca="1">IFERROR(__xludf.DUMMYFUNCTION("""COMPUTED_VALUE"""),6)</f>
        <v>6</v>
      </c>
      <c r="D1018" s="78" t="str">
        <f ca="1">IFERROR(__xludf.DUMMYFUNCTION("""COMPUTED_VALUE"""),"G")</f>
        <v>G</v>
      </c>
      <c r="E1018" s="80" t="str">
        <f ca="1">IFERROR(__xludf.DUMMYFUNCTION("""COMPUTED_VALUE"""),"F")</f>
        <v>F</v>
      </c>
      <c r="F1018" s="80" t="str">
        <f ca="1">IFERROR(__xludf.DUMMYFUNCTION("""COMPUTED_VALUE"""),"J")</f>
        <v>J</v>
      </c>
      <c r="G1018" s="80">
        <f ca="1">IFERROR(__xludf.DUMMYFUNCTION("""COMPUTED_VALUE"""),3)</f>
        <v>3</v>
      </c>
      <c r="H1018" s="80" t="str">
        <f ca="1">IFERROR(__xludf.DUMMYFUNCTION("""COMPUTED_VALUE"""),"HV")</f>
        <v>HV</v>
      </c>
      <c r="I1018" s="80">
        <f ca="1">IFERROR(__xludf.DUMMYFUNCTION("""COMPUTED_VALUE"""),2)</f>
        <v>2</v>
      </c>
      <c r="J1018" s="81">
        <f ca="1">IFERROR(__xludf.DUMMYFUNCTION("""COMPUTED_VALUE"""),4)</f>
        <v>4</v>
      </c>
      <c r="K1018" s="81">
        <f ca="1">IFERROR(__xludf.DUMMYFUNCTION("""COMPUTED_VALUE"""),44.4)</f>
        <v>44.4</v>
      </c>
      <c r="L1018" s="81">
        <f ca="1">IFERROR(__xludf.DUMMYFUNCTION("""COMPUTED_VALUE"""),43.2)</f>
        <v>43.2</v>
      </c>
      <c r="M1018" s="81"/>
      <c r="N1018" s="81">
        <f ca="1">IFERROR(__xludf.DUMMYFUNCTION("""COMPUTED_VALUE"""),0)</f>
        <v>0</v>
      </c>
      <c r="O1018" s="81"/>
      <c r="P1018" s="81">
        <f ca="1">IFERROR(__xludf.DUMMYFUNCTION("""COMPUTED_VALUE"""),41.3)</f>
        <v>41.3</v>
      </c>
      <c r="Q1018" s="81"/>
      <c r="R1018" s="81">
        <f ca="1">IFERROR(__xludf.DUMMYFUNCTION("""COMPUTED_VALUE"""),44.4)</f>
        <v>44.4</v>
      </c>
      <c r="S1018" s="81"/>
      <c r="T1018" s="81"/>
      <c r="U1018" s="82"/>
      <c r="V1018" s="82"/>
      <c r="W1018" s="83"/>
      <c r="X1018" s="83"/>
      <c r="Y1018" s="83"/>
    </row>
    <row r="1019" spans="1:25" ht="13.8">
      <c r="A1019" s="78" t="str">
        <f ca="1">IFERROR(__xludf.DUMMYFUNCTION("""COMPUTED_VALUE"""),"HV")</f>
        <v>HV</v>
      </c>
      <c r="B1019" s="79" t="str">
        <f ca="1">IFERROR(__xludf.DUMMYFUNCTION("""COMPUTED_VALUE"""),"Emily Dunn")</f>
        <v>Emily Dunn</v>
      </c>
      <c r="C1019" s="78">
        <f ca="1">IFERROR(__xludf.DUMMYFUNCTION("""COMPUTED_VALUE"""),7)</f>
        <v>7</v>
      </c>
      <c r="D1019" s="78" t="str">
        <f ca="1">IFERROR(__xludf.DUMMYFUNCTION("""COMPUTED_VALUE"""),"G")</f>
        <v>G</v>
      </c>
      <c r="E1019" s="80" t="str">
        <f ca="1">IFERROR(__xludf.DUMMYFUNCTION("""COMPUTED_VALUE"""),"F")</f>
        <v>F</v>
      </c>
      <c r="F1019" s="80" t="str">
        <f ca="1">IFERROR(__xludf.DUMMYFUNCTION("""COMPUTED_VALUE"""),"J")</f>
        <v>J</v>
      </c>
      <c r="G1019" s="80">
        <f ca="1">IFERROR(__xludf.DUMMYFUNCTION("""COMPUTED_VALUE"""),3)</f>
        <v>3</v>
      </c>
      <c r="H1019" s="80" t="str">
        <f ca="1">IFERROR(__xludf.DUMMYFUNCTION("""COMPUTED_VALUE"""),"HV")</f>
        <v>HV</v>
      </c>
      <c r="I1019" s="80">
        <f ca="1">IFERROR(__xludf.DUMMYFUNCTION("""COMPUTED_VALUE"""),2)</f>
        <v>2</v>
      </c>
      <c r="J1019" s="81">
        <f ca="1">IFERROR(__xludf.DUMMYFUNCTION("""COMPUTED_VALUE"""),1)</f>
        <v>1</v>
      </c>
      <c r="K1019" s="81">
        <f ca="1">IFERROR(__xludf.DUMMYFUNCTION("""COMPUTED_VALUE"""),13.75)</f>
        <v>13.75</v>
      </c>
      <c r="L1019" s="81">
        <f ca="1">IFERROR(__xludf.DUMMYFUNCTION("""COMPUTED_VALUE"""),0)</f>
        <v>0</v>
      </c>
      <c r="M1019" s="81"/>
      <c r="N1019" s="81">
        <f ca="1">IFERROR(__xludf.DUMMYFUNCTION("""COMPUTED_VALUE"""),13.75)</f>
        <v>13.75</v>
      </c>
      <c r="O1019" s="81"/>
      <c r="P1019" s="81">
        <f ca="1">IFERROR(__xludf.DUMMYFUNCTION("""COMPUTED_VALUE"""),0)</f>
        <v>0</v>
      </c>
      <c r="Q1019" s="81"/>
      <c r="R1019" s="81">
        <f ca="1">IFERROR(__xludf.DUMMYFUNCTION("""COMPUTED_VALUE"""),0)</f>
        <v>0</v>
      </c>
      <c r="S1019" s="81"/>
      <c r="T1019" s="81"/>
      <c r="U1019" s="82"/>
      <c r="V1019" s="82"/>
      <c r="W1019" s="83"/>
      <c r="X1019" s="83"/>
      <c r="Y1019" s="83"/>
    </row>
    <row r="1020" spans="1:25" ht="13.8">
      <c r="A1020" s="78" t="str">
        <f ca="1">IFERROR(__xludf.DUMMYFUNCTION("""COMPUTED_VALUE"""),"HV")</f>
        <v>HV</v>
      </c>
      <c r="B1020" s="79" t="str">
        <f ca="1">IFERROR(__xludf.DUMMYFUNCTION("""COMPUTED_VALUE"""),"Erin Gardiner")</f>
        <v>Erin Gardiner</v>
      </c>
      <c r="C1020" s="78">
        <f ca="1">IFERROR(__xludf.DUMMYFUNCTION("""COMPUTED_VALUE"""),10)</f>
        <v>10</v>
      </c>
      <c r="D1020" s="78" t="str">
        <f ca="1">IFERROR(__xludf.DUMMYFUNCTION("""COMPUTED_VALUE"""),"G")</f>
        <v>G</v>
      </c>
      <c r="E1020" s="80" t="str">
        <f ca="1">IFERROR(__xludf.DUMMYFUNCTION("""COMPUTED_VALUE"""),"F")</f>
        <v>F</v>
      </c>
      <c r="F1020" s="80" t="str">
        <f ca="1">IFERROR(__xludf.DUMMYFUNCTION("""COMPUTED_VALUE"""),"J")</f>
        <v>J</v>
      </c>
      <c r="G1020" s="80">
        <f ca="1">IFERROR(__xludf.DUMMYFUNCTION("""COMPUTED_VALUE"""),3)</f>
        <v>3</v>
      </c>
      <c r="H1020" s="80" t="str">
        <f ca="1">IFERROR(__xludf.DUMMYFUNCTION("""COMPUTED_VALUE"""),"HV")</f>
        <v>HV</v>
      </c>
      <c r="I1020" s="80">
        <f ca="1">IFERROR(__xludf.DUMMYFUNCTION("""COMPUTED_VALUE"""),2)</f>
        <v>2</v>
      </c>
      <c r="J1020" s="81">
        <f ca="1">IFERROR(__xludf.DUMMYFUNCTION("""COMPUTED_VALUE"""),3)</f>
        <v>3</v>
      </c>
      <c r="K1020" s="81">
        <f ca="1">IFERROR(__xludf.DUMMYFUNCTION("""COMPUTED_VALUE"""),57.2)</f>
        <v>57.2</v>
      </c>
      <c r="L1020" s="81">
        <f ca="1">IFERROR(__xludf.DUMMYFUNCTION("""COMPUTED_VALUE"""),0)</f>
        <v>0</v>
      </c>
      <c r="M1020" s="81"/>
      <c r="N1020" s="81">
        <f ca="1">IFERROR(__xludf.DUMMYFUNCTION("""COMPUTED_VALUE"""),40.65)</f>
        <v>40.65</v>
      </c>
      <c r="O1020" s="81"/>
      <c r="P1020" s="81">
        <f ca="1">IFERROR(__xludf.DUMMYFUNCTION("""COMPUTED_VALUE"""),0)</f>
        <v>0</v>
      </c>
      <c r="Q1020" s="81"/>
      <c r="R1020" s="81">
        <f ca="1">IFERROR(__xludf.DUMMYFUNCTION("""COMPUTED_VALUE"""),57.2)</f>
        <v>57.2</v>
      </c>
      <c r="S1020" s="81"/>
      <c r="T1020" s="81"/>
      <c r="U1020" s="82"/>
      <c r="V1020" s="82"/>
      <c r="W1020" s="83"/>
      <c r="X1020" s="83"/>
      <c r="Y1020" s="83"/>
    </row>
    <row r="1021" spans="1:25" ht="13.8">
      <c r="A1021" s="78" t="str">
        <f ca="1">IFERROR(__xludf.DUMMYFUNCTION("""COMPUTED_VALUE"""),"HV")</f>
        <v>HV</v>
      </c>
      <c r="B1021" s="79" t="str">
        <f ca="1">IFERROR(__xludf.DUMMYFUNCTION("""COMPUTED_VALUE"""),"Zara Ingraham")</f>
        <v>Zara Ingraham</v>
      </c>
      <c r="C1021" s="78">
        <f ca="1">IFERROR(__xludf.DUMMYFUNCTION("""COMPUTED_VALUE"""),7)</f>
        <v>7</v>
      </c>
      <c r="D1021" s="78" t="str">
        <f ca="1">IFERROR(__xludf.DUMMYFUNCTION("""COMPUTED_VALUE"""),"G")</f>
        <v>G</v>
      </c>
      <c r="E1021" s="80" t="str">
        <f ca="1">IFERROR(__xludf.DUMMYFUNCTION("""COMPUTED_VALUE"""),"F")</f>
        <v>F</v>
      </c>
      <c r="F1021" s="80" t="str">
        <f ca="1">IFERROR(__xludf.DUMMYFUNCTION("""COMPUTED_VALUE"""),"J")</f>
        <v>J</v>
      </c>
      <c r="G1021" s="80">
        <f ca="1">IFERROR(__xludf.DUMMYFUNCTION("""COMPUTED_VALUE"""),3)</f>
        <v>3</v>
      </c>
      <c r="H1021" s="80" t="str">
        <f ca="1">IFERROR(__xludf.DUMMYFUNCTION("""COMPUTED_VALUE"""),"HV")</f>
        <v>HV</v>
      </c>
      <c r="I1021" s="80">
        <f ca="1">IFERROR(__xludf.DUMMYFUNCTION("""COMPUTED_VALUE"""),2)</f>
        <v>2</v>
      </c>
      <c r="J1021" s="81">
        <f ca="1">IFERROR(__xludf.DUMMYFUNCTION("""COMPUTED_VALUE"""),1)</f>
        <v>1</v>
      </c>
      <c r="K1021" s="81">
        <f ca="1">IFERROR(__xludf.DUMMYFUNCTION("""COMPUTED_VALUE"""),0)</f>
        <v>0</v>
      </c>
      <c r="L1021" s="81">
        <f ca="1">IFERROR(__xludf.DUMMYFUNCTION("""COMPUTED_VALUE"""),0)</f>
        <v>0</v>
      </c>
      <c r="M1021" s="81"/>
      <c r="N1021" s="81">
        <f ca="1">IFERROR(__xludf.DUMMYFUNCTION("""COMPUTED_VALUE"""),0)</f>
        <v>0</v>
      </c>
      <c r="O1021" s="81"/>
      <c r="P1021" s="81">
        <f ca="1">IFERROR(__xludf.DUMMYFUNCTION("""COMPUTED_VALUE"""),0)</f>
        <v>0</v>
      </c>
      <c r="Q1021" s="81"/>
      <c r="R1021" s="81">
        <f ca="1">IFERROR(__xludf.DUMMYFUNCTION("""COMPUTED_VALUE"""),0)</f>
        <v>0</v>
      </c>
      <c r="S1021" s="81"/>
      <c r="T1021" s="81"/>
      <c r="U1021" s="82"/>
      <c r="V1021" s="82"/>
      <c r="W1021" s="83"/>
      <c r="X1021" s="83"/>
      <c r="Y1021" s="83"/>
    </row>
    <row r="1022" spans="1:25" ht="13.8">
      <c r="A1022" s="78" t="str">
        <f ca="1">IFERROR(__xludf.DUMMYFUNCTION("""COMPUTED_VALUE"""),"HV")</f>
        <v>HV</v>
      </c>
      <c r="B1022" s="79" t="str">
        <f ca="1">IFERROR(__xludf.DUMMYFUNCTION("""COMPUTED_VALUE"""),"Lyla Jacobs")</f>
        <v>Lyla Jacobs</v>
      </c>
      <c r="C1022" s="78">
        <f ca="1">IFERROR(__xludf.DUMMYFUNCTION("""COMPUTED_VALUE"""),10)</f>
        <v>10</v>
      </c>
      <c r="D1022" s="78" t="str">
        <f ca="1">IFERROR(__xludf.DUMMYFUNCTION("""COMPUTED_VALUE"""),"G")</f>
        <v>G</v>
      </c>
      <c r="E1022" s="80" t="str">
        <f ca="1">IFERROR(__xludf.DUMMYFUNCTION("""COMPUTED_VALUE"""),"F")</f>
        <v>F</v>
      </c>
      <c r="F1022" s="80" t="str">
        <f ca="1">IFERROR(__xludf.DUMMYFUNCTION("""COMPUTED_VALUE"""),"J")</f>
        <v>J</v>
      </c>
      <c r="G1022" s="80">
        <f ca="1">IFERROR(__xludf.DUMMYFUNCTION("""COMPUTED_VALUE"""),3)</f>
        <v>3</v>
      </c>
      <c r="H1022" s="80" t="str">
        <f ca="1">IFERROR(__xludf.DUMMYFUNCTION("""COMPUTED_VALUE"""),"HV")</f>
        <v>HV</v>
      </c>
      <c r="I1022" s="80">
        <f ca="1">IFERROR(__xludf.DUMMYFUNCTION("""COMPUTED_VALUE"""),2)</f>
        <v>2</v>
      </c>
      <c r="J1022" s="81">
        <f ca="1">IFERROR(__xludf.DUMMYFUNCTION("""COMPUTED_VALUE"""),4)</f>
        <v>4</v>
      </c>
      <c r="K1022" s="81">
        <f ca="1">IFERROR(__xludf.DUMMYFUNCTION("""COMPUTED_VALUE"""),29.25)</f>
        <v>29.25</v>
      </c>
      <c r="L1022" s="81">
        <f ca="1">IFERROR(__xludf.DUMMYFUNCTION("""COMPUTED_VALUE"""),0)</f>
        <v>0</v>
      </c>
      <c r="M1022" s="81"/>
      <c r="N1022" s="81">
        <f ca="1">IFERROR(__xludf.DUMMYFUNCTION("""COMPUTED_VALUE"""),26.7)</f>
        <v>26.7</v>
      </c>
      <c r="O1022" s="81"/>
      <c r="P1022" s="81">
        <f ca="1">IFERROR(__xludf.DUMMYFUNCTION("""COMPUTED_VALUE"""),29.25)</f>
        <v>29.25</v>
      </c>
      <c r="Q1022" s="81"/>
      <c r="R1022" s="81">
        <f ca="1">IFERROR(__xludf.DUMMYFUNCTION("""COMPUTED_VALUE"""),14.7)</f>
        <v>14.7</v>
      </c>
      <c r="S1022" s="81"/>
      <c r="T1022" s="81"/>
      <c r="U1022" s="82"/>
      <c r="V1022" s="82"/>
      <c r="W1022" s="83"/>
      <c r="X1022" s="83"/>
      <c r="Y1022" s="83"/>
    </row>
    <row r="1023" spans="1:25" ht="13.8">
      <c r="A1023" s="78" t="str">
        <f ca="1">IFERROR(__xludf.DUMMYFUNCTION("""COMPUTED_VALUE"""),"HV")</f>
        <v>HV</v>
      </c>
      <c r="B1023" s="79" t="str">
        <f ca="1">IFERROR(__xludf.DUMMYFUNCTION("""COMPUTED_VALUE"""),"Derek Baltas")</f>
        <v>Derek Baltas</v>
      </c>
      <c r="C1023" s="78">
        <f ca="1">IFERROR(__xludf.DUMMYFUNCTION("""COMPUTED_VALUE"""),10)</f>
        <v>10</v>
      </c>
      <c r="D1023" s="78" t="str">
        <f ca="1">IFERROR(__xludf.DUMMYFUNCTION("""COMPUTED_VALUE"""),"B")</f>
        <v>B</v>
      </c>
      <c r="E1023" s="80" t="str">
        <f ca="1">IFERROR(__xludf.DUMMYFUNCTION("""COMPUTED_VALUE"""),"F")</f>
        <v>F</v>
      </c>
      <c r="F1023" s="80" t="str">
        <f ca="1">IFERROR(__xludf.DUMMYFUNCTION("""COMPUTED_VALUE"""),"J")</f>
        <v>J</v>
      </c>
      <c r="G1023" s="80">
        <f ca="1">IFERROR(__xludf.DUMMYFUNCTION("""COMPUTED_VALUE"""),3)</f>
        <v>3</v>
      </c>
      <c r="H1023" s="80" t="str">
        <f ca="1">IFERROR(__xludf.DUMMYFUNCTION("""COMPUTED_VALUE"""),"HV")</f>
        <v>HV</v>
      </c>
      <c r="I1023" s="80">
        <f ca="1">IFERROR(__xludf.DUMMYFUNCTION("""COMPUTED_VALUE"""),3)</f>
        <v>3</v>
      </c>
      <c r="J1023" s="81">
        <f ca="1">IFERROR(__xludf.DUMMYFUNCTION("""COMPUTED_VALUE"""),5)</f>
        <v>5</v>
      </c>
      <c r="K1023" s="81">
        <f ca="1">IFERROR(__xludf.DUMMYFUNCTION("""COMPUTED_VALUE"""),59.05)</f>
        <v>59.05</v>
      </c>
      <c r="L1023" s="81">
        <f ca="1">IFERROR(__xludf.DUMMYFUNCTION("""COMPUTED_VALUE"""),49.5)</f>
        <v>49.5</v>
      </c>
      <c r="M1023" s="81"/>
      <c r="N1023" s="81">
        <f ca="1">IFERROR(__xludf.DUMMYFUNCTION("""COMPUTED_VALUE"""),56.15)</f>
        <v>56.15</v>
      </c>
      <c r="O1023" s="81"/>
      <c r="P1023" s="81">
        <f ca="1">IFERROR(__xludf.DUMMYFUNCTION("""COMPUTED_VALUE"""),54.05)</f>
        <v>54.05</v>
      </c>
      <c r="Q1023" s="81"/>
      <c r="R1023" s="81">
        <f ca="1">IFERROR(__xludf.DUMMYFUNCTION("""COMPUTED_VALUE"""),59.05)</f>
        <v>59.05</v>
      </c>
      <c r="S1023" s="81"/>
      <c r="T1023" s="81"/>
      <c r="U1023" s="82"/>
      <c r="V1023" s="82"/>
      <c r="W1023" s="83"/>
      <c r="X1023" s="83"/>
      <c r="Y1023" s="83"/>
    </row>
    <row r="1024" spans="1:25" ht="13.8">
      <c r="A1024" s="78" t="str">
        <f ca="1">IFERROR(__xludf.DUMMYFUNCTION("""COMPUTED_VALUE"""),"HV")</f>
        <v>HV</v>
      </c>
      <c r="B1024" s="79" t="str">
        <f ca="1">IFERROR(__xludf.DUMMYFUNCTION("""COMPUTED_VALUE"""),"Tanner Bennett")</f>
        <v>Tanner Bennett</v>
      </c>
      <c r="C1024" s="78">
        <f ca="1">IFERROR(__xludf.DUMMYFUNCTION("""COMPUTED_VALUE"""),8)</f>
        <v>8</v>
      </c>
      <c r="D1024" s="78" t="str">
        <f ca="1">IFERROR(__xludf.DUMMYFUNCTION("""COMPUTED_VALUE"""),"B")</f>
        <v>B</v>
      </c>
      <c r="E1024" s="80" t="str">
        <f ca="1">IFERROR(__xludf.DUMMYFUNCTION("""COMPUTED_VALUE"""),"F")</f>
        <v>F</v>
      </c>
      <c r="F1024" s="80" t="str">
        <f ca="1">IFERROR(__xludf.DUMMYFUNCTION("""COMPUTED_VALUE"""),"J")</f>
        <v>J</v>
      </c>
      <c r="G1024" s="80">
        <f ca="1">IFERROR(__xludf.DUMMYFUNCTION("""COMPUTED_VALUE"""),3)</f>
        <v>3</v>
      </c>
      <c r="H1024" s="80" t="str">
        <f ca="1">IFERROR(__xludf.DUMMYFUNCTION("""COMPUTED_VALUE"""),"HV")</f>
        <v>HV</v>
      </c>
      <c r="I1024" s="80">
        <f ca="1">IFERROR(__xludf.DUMMYFUNCTION("""COMPUTED_VALUE"""),3)</f>
        <v>3</v>
      </c>
      <c r="J1024" s="81">
        <f ca="1">IFERROR(__xludf.DUMMYFUNCTION("""COMPUTED_VALUE"""),3)</f>
        <v>3</v>
      </c>
      <c r="K1024" s="81">
        <f ca="1">IFERROR(__xludf.DUMMYFUNCTION("""COMPUTED_VALUE"""),71.5)</f>
        <v>71.5</v>
      </c>
      <c r="L1024" s="81">
        <f ca="1">IFERROR(__xludf.DUMMYFUNCTION("""COMPUTED_VALUE"""),71.5)</f>
        <v>71.5</v>
      </c>
      <c r="M1024" s="81"/>
      <c r="N1024" s="81">
        <f ca="1">IFERROR(__xludf.DUMMYFUNCTION("""COMPUTED_VALUE"""),0)</f>
        <v>0</v>
      </c>
      <c r="O1024" s="81"/>
      <c r="P1024" s="81">
        <f ca="1">IFERROR(__xludf.DUMMYFUNCTION("""COMPUTED_VALUE"""),0)</f>
        <v>0</v>
      </c>
      <c r="Q1024" s="81"/>
      <c r="R1024" s="81">
        <f ca="1">IFERROR(__xludf.DUMMYFUNCTION("""COMPUTED_VALUE"""),51.65)</f>
        <v>51.65</v>
      </c>
      <c r="S1024" s="81"/>
      <c r="T1024" s="81"/>
      <c r="U1024" s="82"/>
      <c r="V1024" s="82"/>
      <c r="W1024" s="83"/>
      <c r="X1024" s="83"/>
      <c r="Y1024" s="83"/>
    </row>
    <row r="1025" spans="1:25" ht="13.8">
      <c r="A1025" s="78" t="str">
        <f ca="1">IFERROR(__xludf.DUMMYFUNCTION("""COMPUTED_VALUE"""),"HV")</f>
        <v>HV</v>
      </c>
      <c r="B1025" s="79" t="str">
        <f ca="1">IFERROR(__xludf.DUMMYFUNCTION("""COMPUTED_VALUE"""),"Jacob Faustman")</f>
        <v>Jacob Faustman</v>
      </c>
      <c r="C1025" s="78">
        <f ca="1">IFERROR(__xludf.DUMMYFUNCTION("""COMPUTED_VALUE"""),9)</f>
        <v>9</v>
      </c>
      <c r="D1025" s="78" t="str">
        <f ca="1">IFERROR(__xludf.DUMMYFUNCTION("""COMPUTED_VALUE"""),"B")</f>
        <v>B</v>
      </c>
      <c r="E1025" s="80" t="str">
        <f ca="1">IFERROR(__xludf.DUMMYFUNCTION("""COMPUTED_VALUE"""),"F")</f>
        <v>F</v>
      </c>
      <c r="F1025" s="80" t="str">
        <f ca="1">IFERROR(__xludf.DUMMYFUNCTION("""COMPUTED_VALUE"""),"J")</f>
        <v>J</v>
      </c>
      <c r="G1025" s="80">
        <f ca="1">IFERROR(__xludf.DUMMYFUNCTION("""COMPUTED_VALUE"""),3)</f>
        <v>3</v>
      </c>
      <c r="H1025" s="80" t="str">
        <f ca="1">IFERROR(__xludf.DUMMYFUNCTION("""COMPUTED_VALUE"""),"HV")</f>
        <v>HV</v>
      </c>
      <c r="I1025" s="80">
        <f ca="1">IFERROR(__xludf.DUMMYFUNCTION("""COMPUTED_VALUE"""),3)</f>
        <v>3</v>
      </c>
      <c r="J1025" s="81">
        <f ca="1">IFERROR(__xludf.DUMMYFUNCTION("""COMPUTED_VALUE"""),4)</f>
        <v>4</v>
      </c>
      <c r="K1025" s="81">
        <f ca="1">IFERROR(__xludf.DUMMYFUNCTION("""COMPUTED_VALUE"""),55.7)</f>
        <v>55.7</v>
      </c>
      <c r="L1025" s="81">
        <f ca="1">IFERROR(__xludf.DUMMYFUNCTION("""COMPUTED_VALUE"""),0)</f>
        <v>0</v>
      </c>
      <c r="M1025" s="81"/>
      <c r="N1025" s="81">
        <f ca="1">IFERROR(__xludf.DUMMYFUNCTION("""COMPUTED_VALUE"""),37.3)</f>
        <v>37.299999999999997</v>
      </c>
      <c r="O1025" s="81"/>
      <c r="P1025" s="81">
        <f ca="1">IFERROR(__xludf.DUMMYFUNCTION("""COMPUTED_VALUE"""),54.85)</f>
        <v>54.85</v>
      </c>
      <c r="Q1025" s="81"/>
      <c r="R1025" s="81">
        <f ca="1">IFERROR(__xludf.DUMMYFUNCTION("""COMPUTED_VALUE"""),55.7)</f>
        <v>55.7</v>
      </c>
      <c r="S1025" s="81"/>
      <c r="T1025" s="81"/>
      <c r="U1025" s="82"/>
      <c r="V1025" s="82"/>
      <c r="W1025" s="83"/>
      <c r="X1025" s="83"/>
      <c r="Y1025" s="83"/>
    </row>
    <row r="1026" spans="1:25" ht="13.8">
      <c r="A1026" s="78" t="str">
        <f ca="1">IFERROR(__xludf.DUMMYFUNCTION("""COMPUTED_VALUE"""),"HV")</f>
        <v>HV</v>
      </c>
      <c r="B1026" s="79" t="str">
        <f ca="1">IFERROR(__xludf.DUMMYFUNCTION("""COMPUTED_VALUE"""),"Colson Gardiner")</f>
        <v>Colson Gardiner</v>
      </c>
      <c r="C1026" s="78">
        <f ca="1">IFERROR(__xludf.DUMMYFUNCTION("""COMPUTED_VALUE"""),10)</f>
        <v>10</v>
      </c>
      <c r="D1026" s="78" t="str">
        <f ca="1">IFERROR(__xludf.DUMMYFUNCTION("""COMPUTED_VALUE"""),"B")</f>
        <v>B</v>
      </c>
      <c r="E1026" s="80" t="str">
        <f ca="1">IFERROR(__xludf.DUMMYFUNCTION("""COMPUTED_VALUE"""),"F")</f>
        <v>F</v>
      </c>
      <c r="F1026" s="80" t="str">
        <f ca="1">IFERROR(__xludf.DUMMYFUNCTION("""COMPUTED_VALUE"""),"J")</f>
        <v>J</v>
      </c>
      <c r="G1026" s="80">
        <f ca="1">IFERROR(__xludf.DUMMYFUNCTION("""COMPUTED_VALUE"""),3)</f>
        <v>3</v>
      </c>
      <c r="H1026" s="80" t="str">
        <f ca="1">IFERROR(__xludf.DUMMYFUNCTION("""COMPUTED_VALUE"""),"HV")</f>
        <v>HV</v>
      </c>
      <c r="I1026" s="80">
        <f ca="1">IFERROR(__xludf.DUMMYFUNCTION("""COMPUTED_VALUE"""),3)</f>
        <v>3</v>
      </c>
      <c r="J1026" s="81">
        <f ca="1">IFERROR(__xludf.DUMMYFUNCTION("""COMPUTED_VALUE"""),4)</f>
        <v>4</v>
      </c>
      <c r="K1026" s="81">
        <f ca="1">IFERROR(__xludf.DUMMYFUNCTION("""COMPUTED_VALUE"""),78.1)</f>
        <v>78.099999999999994</v>
      </c>
      <c r="L1026" s="81">
        <f ca="1">IFERROR(__xludf.DUMMYFUNCTION("""COMPUTED_VALUE"""),78.1)</f>
        <v>78.099999999999994</v>
      </c>
      <c r="M1026" s="81"/>
      <c r="N1026" s="81">
        <f ca="1">IFERROR(__xludf.DUMMYFUNCTION("""COMPUTED_VALUE"""),73.85)</f>
        <v>73.849999999999994</v>
      </c>
      <c r="O1026" s="81"/>
      <c r="P1026" s="81">
        <f ca="1">IFERROR(__xludf.DUMMYFUNCTION("""COMPUTED_VALUE"""),0)</f>
        <v>0</v>
      </c>
      <c r="Q1026" s="81"/>
      <c r="R1026" s="81">
        <f ca="1">IFERROR(__xludf.DUMMYFUNCTION("""COMPUTED_VALUE"""),71.85)</f>
        <v>71.849999999999994</v>
      </c>
      <c r="S1026" s="81"/>
      <c r="T1026" s="81"/>
      <c r="U1026" s="82"/>
      <c r="V1026" s="82"/>
      <c r="W1026" s="83"/>
      <c r="X1026" s="83"/>
      <c r="Y1026" s="83"/>
    </row>
    <row r="1027" spans="1:25" ht="13.8">
      <c r="A1027" s="78" t="str">
        <f ca="1">IFERROR(__xludf.DUMMYFUNCTION("""COMPUTED_VALUE"""),"HV")</f>
        <v>HV</v>
      </c>
      <c r="B1027" s="79" t="str">
        <f ca="1">IFERROR(__xludf.DUMMYFUNCTION("""COMPUTED_VALUE"""),"Ryan Ingraham")</f>
        <v>Ryan Ingraham</v>
      </c>
      <c r="C1027" s="78">
        <f ca="1">IFERROR(__xludf.DUMMYFUNCTION("""COMPUTED_VALUE"""),8)</f>
        <v>8</v>
      </c>
      <c r="D1027" s="78" t="str">
        <f ca="1">IFERROR(__xludf.DUMMYFUNCTION("""COMPUTED_VALUE"""),"B")</f>
        <v>B</v>
      </c>
      <c r="E1027" s="80" t="str">
        <f ca="1">IFERROR(__xludf.DUMMYFUNCTION("""COMPUTED_VALUE"""),"F")</f>
        <v>F</v>
      </c>
      <c r="F1027" s="80" t="str">
        <f ca="1">IFERROR(__xludf.DUMMYFUNCTION("""COMPUTED_VALUE"""),"J")</f>
        <v>J</v>
      </c>
      <c r="G1027" s="80">
        <f ca="1">IFERROR(__xludf.DUMMYFUNCTION("""COMPUTED_VALUE"""),3)</f>
        <v>3</v>
      </c>
      <c r="H1027" s="80" t="str">
        <f ca="1">IFERROR(__xludf.DUMMYFUNCTION("""COMPUTED_VALUE"""),"HV")</f>
        <v>HV</v>
      </c>
      <c r="I1027" s="80">
        <f ca="1">IFERROR(__xludf.DUMMYFUNCTION("""COMPUTED_VALUE"""),3)</f>
        <v>3</v>
      </c>
      <c r="J1027" s="81">
        <f ca="1">IFERROR(__xludf.DUMMYFUNCTION("""COMPUTED_VALUE"""),3)</f>
        <v>3</v>
      </c>
      <c r="K1027" s="81">
        <f ca="1">IFERROR(__xludf.DUMMYFUNCTION("""COMPUTED_VALUE"""),47.15)</f>
        <v>47.15</v>
      </c>
      <c r="L1027" s="81">
        <f ca="1">IFERROR(__xludf.DUMMYFUNCTION("""COMPUTED_VALUE"""),38.9)</f>
        <v>38.9</v>
      </c>
      <c r="M1027" s="81"/>
      <c r="N1027" s="81">
        <f ca="1">IFERROR(__xludf.DUMMYFUNCTION("""COMPUTED_VALUE"""),0)</f>
        <v>0</v>
      </c>
      <c r="O1027" s="81"/>
      <c r="P1027" s="81">
        <f ca="1">IFERROR(__xludf.DUMMYFUNCTION("""COMPUTED_VALUE"""),0)</f>
        <v>0</v>
      </c>
      <c r="Q1027" s="81"/>
      <c r="R1027" s="81">
        <f ca="1">IFERROR(__xludf.DUMMYFUNCTION("""COMPUTED_VALUE"""),47.15)</f>
        <v>47.15</v>
      </c>
      <c r="S1027" s="81"/>
      <c r="T1027" s="81"/>
      <c r="U1027" s="82"/>
      <c r="V1027" s="82"/>
      <c r="W1027" s="83"/>
      <c r="X1027" s="83"/>
      <c r="Y1027" s="83"/>
    </row>
    <row r="1028" spans="1:25" ht="13.8">
      <c r="A1028" s="78" t="str">
        <f ca="1">IFERROR(__xludf.DUMMYFUNCTION("""COMPUTED_VALUE"""),"HV")</f>
        <v>HV</v>
      </c>
      <c r="B1028" s="79" t="str">
        <f ca="1">IFERROR(__xludf.DUMMYFUNCTION("""COMPUTED_VALUE"""),"Brennan McGill")</f>
        <v>Brennan McGill</v>
      </c>
      <c r="C1028" s="78">
        <f ca="1">IFERROR(__xludf.DUMMYFUNCTION("""COMPUTED_VALUE"""),7)</f>
        <v>7</v>
      </c>
      <c r="D1028" s="78" t="str">
        <f ca="1">IFERROR(__xludf.DUMMYFUNCTION("""COMPUTED_VALUE"""),"B")</f>
        <v>B</v>
      </c>
      <c r="E1028" s="80" t="str">
        <f ca="1">IFERROR(__xludf.DUMMYFUNCTION("""COMPUTED_VALUE"""),"F")</f>
        <v>F</v>
      </c>
      <c r="F1028" s="80" t="str">
        <f ca="1">IFERROR(__xludf.DUMMYFUNCTION("""COMPUTED_VALUE"""),"J")</f>
        <v>J</v>
      </c>
      <c r="G1028" s="80">
        <f ca="1">IFERROR(__xludf.DUMMYFUNCTION("""COMPUTED_VALUE"""),3)</f>
        <v>3</v>
      </c>
      <c r="H1028" s="80" t="str">
        <f ca="1">IFERROR(__xludf.DUMMYFUNCTION("""COMPUTED_VALUE"""),"HV")</f>
        <v>HV</v>
      </c>
      <c r="I1028" s="80">
        <f ca="1">IFERROR(__xludf.DUMMYFUNCTION("""COMPUTED_VALUE"""),3)</f>
        <v>3</v>
      </c>
      <c r="J1028" s="81">
        <f ca="1">IFERROR(__xludf.DUMMYFUNCTION("""COMPUTED_VALUE"""),0)</f>
        <v>0</v>
      </c>
      <c r="K1028" s="81">
        <f ca="1">IFERROR(__xludf.DUMMYFUNCTION("""COMPUTED_VALUE"""),0)</f>
        <v>0</v>
      </c>
      <c r="L1028" s="81">
        <f ca="1">IFERROR(__xludf.DUMMYFUNCTION("""COMPUTED_VALUE"""),0)</f>
        <v>0</v>
      </c>
      <c r="M1028" s="81"/>
      <c r="N1028" s="81">
        <f ca="1">IFERROR(__xludf.DUMMYFUNCTION("""COMPUTED_VALUE"""),0)</f>
        <v>0</v>
      </c>
      <c r="O1028" s="81"/>
      <c r="P1028" s="81">
        <f ca="1">IFERROR(__xludf.DUMMYFUNCTION("""COMPUTED_VALUE"""),0)</f>
        <v>0</v>
      </c>
      <c r="Q1028" s="81"/>
      <c r="R1028" s="81">
        <f ca="1">IFERROR(__xludf.DUMMYFUNCTION("""COMPUTED_VALUE"""),0)</f>
        <v>0</v>
      </c>
      <c r="S1028" s="81"/>
      <c r="T1028" s="81"/>
      <c r="U1028" s="82"/>
      <c r="V1028" s="82"/>
      <c r="W1028" s="83"/>
      <c r="X1028" s="83"/>
      <c r="Y1028" s="83"/>
    </row>
    <row r="1029" spans="1:25" ht="13.8">
      <c r="A1029" s="78" t="str">
        <f ca="1">IFERROR(__xludf.DUMMYFUNCTION("""COMPUTED_VALUE"""),"HV")</f>
        <v>HV</v>
      </c>
      <c r="B1029" s="79" t="str">
        <f ca="1">IFERROR(__xludf.DUMMYFUNCTION("""COMPUTED_VALUE"""),"John Mulcahy")</f>
        <v>John Mulcahy</v>
      </c>
      <c r="C1029" s="78">
        <f ca="1">IFERROR(__xludf.DUMMYFUNCTION("""COMPUTED_VALUE"""),8)</f>
        <v>8</v>
      </c>
      <c r="D1029" s="78" t="str">
        <f ca="1">IFERROR(__xludf.DUMMYFUNCTION("""COMPUTED_VALUE"""),"B")</f>
        <v>B</v>
      </c>
      <c r="E1029" s="80" t="str">
        <f ca="1">IFERROR(__xludf.DUMMYFUNCTION("""COMPUTED_VALUE"""),"F")</f>
        <v>F</v>
      </c>
      <c r="F1029" s="80" t="str">
        <f ca="1">IFERROR(__xludf.DUMMYFUNCTION("""COMPUTED_VALUE"""),"J")</f>
        <v>J</v>
      </c>
      <c r="G1029" s="80">
        <f ca="1">IFERROR(__xludf.DUMMYFUNCTION("""COMPUTED_VALUE"""),3)</f>
        <v>3</v>
      </c>
      <c r="H1029" s="80" t="str">
        <f ca="1">IFERROR(__xludf.DUMMYFUNCTION("""COMPUTED_VALUE"""),"HV")</f>
        <v>HV</v>
      </c>
      <c r="I1029" s="80">
        <f ca="1">IFERROR(__xludf.DUMMYFUNCTION("""COMPUTED_VALUE"""),3)</f>
        <v>3</v>
      </c>
      <c r="J1029" s="81">
        <f ca="1">IFERROR(__xludf.DUMMYFUNCTION("""COMPUTED_VALUE"""),5)</f>
        <v>5</v>
      </c>
      <c r="K1029" s="81">
        <f ca="1">IFERROR(__xludf.DUMMYFUNCTION("""COMPUTED_VALUE"""),61.25)</f>
        <v>61.25</v>
      </c>
      <c r="L1029" s="81">
        <f ca="1">IFERROR(__xludf.DUMMYFUNCTION("""COMPUTED_VALUE"""),61.25)</f>
        <v>61.25</v>
      </c>
      <c r="M1029" s="81"/>
      <c r="N1029" s="81">
        <f ca="1">IFERROR(__xludf.DUMMYFUNCTION("""COMPUTED_VALUE"""),40.9)</f>
        <v>40.9</v>
      </c>
      <c r="O1029" s="81"/>
      <c r="P1029" s="81">
        <f ca="1">IFERROR(__xludf.DUMMYFUNCTION("""COMPUTED_VALUE"""),45.15)</f>
        <v>45.15</v>
      </c>
      <c r="Q1029" s="81"/>
      <c r="R1029" s="81">
        <f ca="1">IFERROR(__xludf.DUMMYFUNCTION("""COMPUTED_VALUE"""),49.05)</f>
        <v>49.05</v>
      </c>
      <c r="S1029" s="81"/>
      <c r="T1029" s="81"/>
      <c r="U1029" s="82"/>
      <c r="V1029" s="82"/>
      <c r="W1029" s="83"/>
      <c r="X1029" s="83"/>
      <c r="Y1029" s="83"/>
    </row>
    <row r="1030" spans="1:25" ht="13.8">
      <c r="A1030" s="78" t="str">
        <f ca="1">IFERROR(__xludf.DUMMYFUNCTION("""COMPUTED_VALUE"""),"HV")</f>
        <v>HV</v>
      </c>
      <c r="B1030" s="79" t="str">
        <f ca="1">IFERROR(__xludf.DUMMYFUNCTION("""COMPUTED_VALUE"""),"Adam Ogrodny")</f>
        <v>Adam Ogrodny</v>
      </c>
      <c r="C1030" s="78">
        <f ca="1">IFERROR(__xludf.DUMMYFUNCTION("""COMPUTED_VALUE"""),8)</f>
        <v>8</v>
      </c>
      <c r="D1030" s="78" t="str">
        <f ca="1">IFERROR(__xludf.DUMMYFUNCTION("""COMPUTED_VALUE"""),"B")</f>
        <v>B</v>
      </c>
      <c r="E1030" s="80" t="str">
        <f ca="1">IFERROR(__xludf.DUMMYFUNCTION("""COMPUTED_VALUE"""),"F")</f>
        <v>F</v>
      </c>
      <c r="F1030" s="80" t="str">
        <f ca="1">IFERROR(__xludf.DUMMYFUNCTION("""COMPUTED_VALUE"""),"J")</f>
        <v>J</v>
      </c>
      <c r="G1030" s="80">
        <f ca="1">IFERROR(__xludf.DUMMYFUNCTION("""COMPUTED_VALUE"""),3)</f>
        <v>3</v>
      </c>
      <c r="H1030" s="80" t="str">
        <f ca="1">IFERROR(__xludf.DUMMYFUNCTION("""COMPUTED_VALUE"""),"HV")</f>
        <v>HV</v>
      </c>
      <c r="I1030" s="80">
        <f ca="1">IFERROR(__xludf.DUMMYFUNCTION("""COMPUTED_VALUE"""),3)</f>
        <v>3</v>
      </c>
      <c r="J1030" s="81">
        <f ca="1">IFERROR(__xludf.DUMMYFUNCTION("""COMPUTED_VALUE"""),5)</f>
        <v>5</v>
      </c>
      <c r="K1030" s="81">
        <f ca="1">IFERROR(__xludf.DUMMYFUNCTION("""COMPUTED_VALUE"""),78.35)</f>
        <v>78.349999999999994</v>
      </c>
      <c r="L1030" s="81">
        <f ca="1">IFERROR(__xludf.DUMMYFUNCTION("""COMPUTED_VALUE"""),78.35)</f>
        <v>78.349999999999994</v>
      </c>
      <c r="M1030" s="81"/>
      <c r="N1030" s="81">
        <f ca="1">IFERROR(__xludf.DUMMYFUNCTION("""COMPUTED_VALUE"""),32.5)</f>
        <v>32.5</v>
      </c>
      <c r="O1030" s="81"/>
      <c r="P1030" s="81">
        <f ca="1">IFERROR(__xludf.DUMMYFUNCTION("""COMPUTED_VALUE"""),51)</f>
        <v>51</v>
      </c>
      <c r="Q1030" s="81"/>
      <c r="R1030" s="81">
        <f ca="1">IFERROR(__xludf.DUMMYFUNCTION("""COMPUTED_VALUE"""),54.15)</f>
        <v>54.15</v>
      </c>
      <c r="S1030" s="81"/>
      <c r="T1030" s="81"/>
      <c r="U1030" s="82"/>
      <c r="V1030" s="82"/>
      <c r="W1030" s="83"/>
      <c r="X1030" s="83"/>
      <c r="Y1030" s="83"/>
    </row>
    <row r="1031" spans="1:25" ht="13.8">
      <c r="A1031" s="78" t="str">
        <f ca="1">IFERROR(__xludf.DUMMYFUNCTION("""COMPUTED_VALUE"""),"HV")</f>
        <v>HV</v>
      </c>
      <c r="B1031" s="79" t="str">
        <f ca="1">IFERROR(__xludf.DUMMYFUNCTION("""COMPUTED_VALUE"""),"Amir Owens")</f>
        <v>Amir Owens</v>
      </c>
      <c r="C1031" s="78">
        <f ca="1">IFERROR(__xludf.DUMMYFUNCTION("""COMPUTED_VALUE"""),8)</f>
        <v>8</v>
      </c>
      <c r="D1031" s="78" t="str">
        <f ca="1">IFERROR(__xludf.DUMMYFUNCTION("""COMPUTED_VALUE"""),"B")</f>
        <v>B</v>
      </c>
      <c r="E1031" s="80" t="str">
        <f ca="1">IFERROR(__xludf.DUMMYFUNCTION("""COMPUTED_VALUE"""),"F")</f>
        <v>F</v>
      </c>
      <c r="F1031" s="80" t="str">
        <f ca="1">IFERROR(__xludf.DUMMYFUNCTION("""COMPUTED_VALUE"""),"J")</f>
        <v>J</v>
      </c>
      <c r="G1031" s="80">
        <f ca="1">IFERROR(__xludf.DUMMYFUNCTION("""COMPUTED_VALUE"""),3)</f>
        <v>3</v>
      </c>
      <c r="H1031" s="80" t="str">
        <f ca="1">IFERROR(__xludf.DUMMYFUNCTION("""COMPUTED_VALUE"""),"HV")</f>
        <v>HV</v>
      </c>
      <c r="I1031" s="80">
        <f ca="1">IFERROR(__xludf.DUMMYFUNCTION("""COMPUTED_VALUE"""),3)</f>
        <v>3</v>
      </c>
      <c r="J1031" s="81">
        <f ca="1">IFERROR(__xludf.DUMMYFUNCTION("""COMPUTED_VALUE"""),4)</f>
        <v>4</v>
      </c>
      <c r="K1031" s="81">
        <f ca="1">IFERROR(__xludf.DUMMYFUNCTION("""COMPUTED_VALUE"""),84.7)</f>
        <v>84.7</v>
      </c>
      <c r="L1031" s="81">
        <f ca="1">IFERROR(__xludf.DUMMYFUNCTION("""COMPUTED_VALUE"""),0)</f>
        <v>0</v>
      </c>
      <c r="M1031" s="81"/>
      <c r="N1031" s="81">
        <f ca="1">IFERROR(__xludf.DUMMYFUNCTION("""COMPUTED_VALUE"""),59.25)</f>
        <v>59.25</v>
      </c>
      <c r="O1031" s="81"/>
      <c r="P1031" s="81">
        <f ca="1">IFERROR(__xludf.DUMMYFUNCTION("""COMPUTED_VALUE"""),84.7)</f>
        <v>84.7</v>
      </c>
      <c r="Q1031" s="81"/>
      <c r="R1031" s="81">
        <f ca="1">IFERROR(__xludf.DUMMYFUNCTION("""COMPUTED_VALUE"""),64.1)</f>
        <v>64.099999999999994</v>
      </c>
      <c r="S1031" s="81"/>
      <c r="T1031" s="81"/>
      <c r="U1031" s="82"/>
      <c r="V1031" s="82"/>
      <c r="W1031" s="83"/>
      <c r="X1031" s="83"/>
      <c r="Y1031" s="83"/>
    </row>
    <row r="1032" spans="1:25" ht="13.8">
      <c r="A1032" s="78" t="str">
        <f ca="1">IFERROR(__xludf.DUMMYFUNCTION("""COMPUTED_VALUE"""),"HV")</f>
        <v>HV</v>
      </c>
      <c r="B1032" s="79" t="str">
        <f ca="1">IFERROR(__xludf.DUMMYFUNCTION("""COMPUTED_VALUE"""),"Isadora Gebert")</f>
        <v>Isadora Gebert</v>
      </c>
      <c r="C1032" s="78">
        <f ca="1">IFERROR(__xludf.DUMMYFUNCTION("""COMPUTED_VALUE"""),11)</f>
        <v>11</v>
      </c>
      <c r="D1032" s="78" t="str">
        <f ca="1">IFERROR(__xludf.DUMMYFUNCTION("""COMPUTED_VALUE"""),"G")</f>
        <v>G</v>
      </c>
      <c r="E1032" s="80" t="str">
        <f ca="1">IFERROR(__xludf.DUMMYFUNCTION("""COMPUTED_VALUE"""),"J")</f>
        <v>J</v>
      </c>
      <c r="F1032" s="80" t="str">
        <f ca="1">IFERROR(__xludf.DUMMYFUNCTION("""COMPUTED_VALUE"""),"I")</f>
        <v>I</v>
      </c>
      <c r="G1032" s="80">
        <f ca="1">IFERROR(__xludf.DUMMYFUNCTION("""COMPUTED_VALUE"""),3)</f>
        <v>3</v>
      </c>
      <c r="H1032" s="80" t="str">
        <f ca="1">IFERROR(__xludf.DUMMYFUNCTION("""COMPUTED_VALUE"""),"HV")</f>
        <v>HV</v>
      </c>
      <c r="I1032" s="80">
        <f ca="1">IFERROR(__xludf.DUMMYFUNCTION("""COMPUTED_VALUE"""),4)</f>
        <v>4</v>
      </c>
      <c r="J1032" s="81">
        <f ca="1">IFERROR(__xludf.DUMMYFUNCTION("""COMPUTED_VALUE"""),4)</f>
        <v>4</v>
      </c>
      <c r="K1032" s="81">
        <f ca="1">IFERROR(__xludf.DUMMYFUNCTION("""COMPUTED_VALUE"""),72.15)</f>
        <v>72.150000000000006</v>
      </c>
      <c r="L1032" s="81">
        <f ca="1">IFERROR(__xludf.DUMMYFUNCTION("""COMPUTED_VALUE"""),0)</f>
        <v>0</v>
      </c>
      <c r="M1032" s="81"/>
      <c r="N1032" s="81">
        <f ca="1">IFERROR(__xludf.DUMMYFUNCTION("""COMPUTED_VALUE"""),72.15)</f>
        <v>72.150000000000006</v>
      </c>
      <c r="O1032" s="81"/>
      <c r="P1032" s="81">
        <f ca="1">IFERROR(__xludf.DUMMYFUNCTION("""COMPUTED_VALUE"""),63.25)</f>
        <v>63.25</v>
      </c>
      <c r="Q1032" s="81"/>
      <c r="R1032" s="81">
        <f ca="1">IFERROR(__xludf.DUMMYFUNCTION("""COMPUTED_VALUE"""),41.2)</f>
        <v>41.2</v>
      </c>
      <c r="S1032" s="81"/>
      <c r="T1032" s="81"/>
      <c r="U1032" s="82"/>
      <c r="V1032" s="82"/>
      <c r="W1032" s="83"/>
      <c r="X1032" s="83"/>
      <c r="Y1032" s="83"/>
    </row>
    <row r="1033" spans="1:25" ht="13.8">
      <c r="A1033" s="78" t="str">
        <f ca="1">IFERROR(__xludf.DUMMYFUNCTION("""COMPUTED_VALUE"""),"HV")</f>
        <v>HV</v>
      </c>
      <c r="B1033" s="79" t="str">
        <f ca="1">IFERROR(__xludf.DUMMYFUNCTION("""COMPUTED_VALUE"""),"Cassandra Hawthorne")</f>
        <v>Cassandra Hawthorne</v>
      </c>
      <c r="C1033" s="78">
        <f ca="1">IFERROR(__xludf.DUMMYFUNCTION("""COMPUTED_VALUE"""),12)</f>
        <v>12</v>
      </c>
      <c r="D1033" s="78" t="str">
        <f ca="1">IFERROR(__xludf.DUMMYFUNCTION("""COMPUTED_VALUE"""),"G")</f>
        <v>G</v>
      </c>
      <c r="E1033" s="80" t="str">
        <f ca="1">IFERROR(__xludf.DUMMYFUNCTION("""COMPUTED_VALUE"""),"J")</f>
        <v>J</v>
      </c>
      <c r="F1033" s="80" t="str">
        <f ca="1">IFERROR(__xludf.DUMMYFUNCTION("""COMPUTED_VALUE"""),"I")</f>
        <v>I</v>
      </c>
      <c r="G1033" s="80">
        <f ca="1">IFERROR(__xludf.DUMMYFUNCTION("""COMPUTED_VALUE"""),3)</f>
        <v>3</v>
      </c>
      <c r="H1033" s="80" t="str">
        <f ca="1">IFERROR(__xludf.DUMMYFUNCTION("""COMPUTED_VALUE"""),"HV")</f>
        <v>HV</v>
      </c>
      <c r="I1033" s="80">
        <f ca="1">IFERROR(__xludf.DUMMYFUNCTION("""COMPUTED_VALUE"""),4)</f>
        <v>4</v>
      </c>
      <c r="J1033" s="81">
        <f ca="1">IFERROR(__xludf.DUMMYFUNCTION("""COMPUTED_VALUE"""),5)</f>
        <v>5</v>
      </c>
      <c r="K1033" s="81">
        <f ca="1">IFERROR(__xludf.DUMMYFUNCTION("""COMPUTED_VALUE"""),114.95)</f>
        <v>114.95</v>
      </c>
      <c r="L1033" s="81">
        <f ca="1">IFERROR(__xludf.DUMMYFUNCTION("""COMPUTED_VALUE"""),89.2)</f>
        <v>89.2</v>
      </c>
      <c r="M1033" s="81"/>
      <c r="N1033" s="81">
        <f ca="1">IFERROR(__xludf.DUMMYFUNCTION("""COMPUTED_VALUE"""),100.15)</f>
        <v>100.15</v>
      </c>
      <c r="O1033" s="81"/>
      <c r="P1033" s="81">
        <f ca="1">IFERROR(__xludf.DUMMYFUNCTION("""COMPUTED_VALUE"""),114.95)</f>
        <v>114.95</v>
      </c>
      <c r="Q1033" s="81"/>
      <c r="R1033" s="81">
        <f ca="1">IFERROR(__xludf.DUMMYFUNCTION("""COMPUTED_VALUE"""),108.1)</f>
        <v>108.1</v>
      </c>
      <c r="S1033" s="81"/>
      <c r="T1033" s="81"/>
      <c r="U1033" s="82"/>
      <c r="V1033" s="82"/>
      <c r="W1033" s="83"/>
      <c r="X1033" s="83"/>
      <c r="Y1033" s="83"/>
    </row>
    <row r="1034" spans="1:25" ht="13.8">
      <c r="A1034" s="78" t="str">
        <f ca="1">IFERROR(__xludf.DUMMYFUNCTION("""COMPUTED_VALUE"""),"HV")</f>
        <v>HV</v>
      </c>
      <c r="B1034" s="79" t="str">
        <f ca="1">IFERROR(__xludf.DUMMYFUNCTION("""COMPUTED_VALUE"""),"Olivia Root")</f>
        <v>Olivia Root</v>
      </c>
      <c r="C1034" s="78">
        <f ca="1">IFERROR(__xludf.DUMMYFUNCTION("""COMPUTED_VALUE"""),12)</f>
        <v>12</v>
      </c>
      <c r="D1034" s="78" t="str">
        <f ca="1">IFERROR(__xludf.DUMMYFUNCTION("""COMPUTED_VALUE"""),"G")</f>
        <v>G</v>
      </c>
      <c r="E1034" s="80" t="str">
        <f ca="1">IFERROR(__xludf.DUMMYFUNCTION("""COMPUTED_VALUE"""),"J")</f>
        <v>J</v>
      </c>
      <c r="F1034" s="80" t="str">
        <f ca="1">IFERROR(__xludf.DUMMYFUNCTION("""COMPUTED_VALUE"""),"I")</f>
        <v>I</v>
      </c>
      <c r="G1034" s="80">
        <f ca="1">IFERROR(__xludf.DUMMYFUNCTION("""COMPUTED_VALUE"""),3)</f>
        <v>3</v>
      </c>
      <c r="H1034" s="80" t="str">
        <f ca="1">IFERROR(__xludf.DUMMYFUNCTION("""COMPUTED_VALUE"""),"HV")</f>
        <v>HV</v>
      </c>
      <c r="I1034" s="80">
        <f ca="1">IFERROR(__xludf.DUMMYFUNCTION("""COMPUTED_VALUE"""),4)</f>
        <v>4</v>
      </c>
      <c r="J1034" s="81">
        <f ca="1">IFERROR(__xludf.DUMMYFUNCTION("""COMPUTED_VALUE"""),1)</f>
        <v>1</v>
      </c>
      <c r="K1034" s="81">
        <f ca="1">IFERROR(__xludf.DUMMYFUNCTION("""COMPUTED_VALUE"""),0)</f>
        <v>0</v>
      </c>
      <c r="L1034" s="81">
        <f ca="1">IFERROR(__xludf.DUMMYFUNCTION("""COMPUTED_VALUE"""),0)</f>
        <v>0</v>
      </c>
      <c r="M1034" s="81"/>
      <c r="N1034" s="81">
        <f ca="1">IFERROR(__xludf.DUMMYFUNCTION("""COMPUTED_VALUE"""),0)</f>
        <v>0</v>
      </c>
      <c r="O1034" s="81"/>
      <c r="P1034" s="81">
        <f ca="1">IFERROR(__xludf.DUMMYFUNCTION("""COMPUTED_VALUE"""),0)</f>
        <v>0</v>
      </c>
      <c r="Q1034" s="81"/>
      <c r="R1034" s="81">
        <f ca="1">IFERROR(__xludf.DUMMYFUNCTION("""COMPUTED_VALUE"""),0)</f>
        <v>0</v>
      </c>
      <c r="S1034" s="81"/>
      <c r="T1034" s="81"/>
      <c r="U1034" s="82"/>
      <c r="V1034" s="82"/>
      <c r="W1034" s="83"/>
      <c r="X1034" s="83"/>
      <c r="Y1034" s="83"/>
    </row>
    <row r="1035" spans="1:25" ht="13.8">
      <c r="A1035" s="78" t="str">
        <f ca="1">IFERROR(__xludf.DUMMYFUNCTION("""COMPUTED_VALUE"""),"HV")</f>
        <v>HV</v>
      </c>
      <c r="B1035" s="79" t="str">
        <f ca="1">IFERROR(__xludf.DUMMYFUNCTION("""COMPUTED_VALUE"""),"Josph Hall")</f>
        <v>Josph Hall</v>
      </c>
      <c r="C1035" s="78">
        <f ca="1">IFERROR(__xludf.DUMMYFUNCTION("""COMPUTED_VALUE"""),11)</f>
        <v>11</v>
      </c>
      <c r="D1035" s="78" t="str">
        <f ca="1">IFERROR(__xludf.DUMMYFUNCTION("""COMPUTED_VALUE"""),"B")</f>
        <v>B</v>
      </c>
      <c r="E1035" s="80" t="str">
        <f ca="1">IFERROR(__xludf.DUMMYFUNCTION("""COMPUTED_VALUE"""),"J")</f>
        <v>J</v>
      </c>
      <c r="F1035" s="80" t="str">
        <f ca="1">IFERROR(__xludf.DUMMYFUNCTION("""COMPUTED_VALUE"""),"I")</f>
        <v>I</v>
      </c>
      <c r="G1035" s="80">
        <f ca="1">IFERROR(__xludf.DUMMYFUNCTION("""COMPUTED_VALUE"""),3)</f>
        <v>3</v>
      </c>
      <c r="H1035" s="80" t="str">
        <f ca="1">IFERROR(__xludf.DUMMYFUNCTION("""COMPUTED_VALUE"""),"HV")</f>
        <v>HV</v>
      </c>
      <c r="I1035" s="80">
        <f ca="1">IFERROR(__xludf.DUMMYFUNCTION("""COMPUTED_VALUE"""),5)</f>
        <v>5</v>
      </c>
      <c r="J1035" s="81">
        <f ca="1">IFERROR(__xludf.DUMMYFUNCTION("""COMPUTED_VALUE"""),0)</f>
        <v>0</v>
      </c>
      <c r="K1035" s="81">
        <f ca="1">IFERROR(__xludf.DUMMYFUNCTION("""COMPUTED_VALUE"""),0)</f>
        <v>0</v>
      </c>
      <c r="L1035" s="81">
        <f ca="1">IFERROR(__xludf.DUMMYFUNCTION("""COMPUTED_VALUE"""),0)</f>
        <v>0</v>
      </c>
      <c r="M1035" s="81"/>
      <c r="N1035" s="81">
        <f ca="1">IFERROR(__xludf.DUMMYFUNCTION("""COMPUTED_VALUE"""),0)</f>
        <v>0</v>
      </c>
      <c r="O1035" s="81"/>
      <c r="P1035" s="81">
        <f ca="1">IFERROR(__xludf.DUMMYFUNCTION("""COMPUTED_VALUE"""),0)</f>
        <v>0</v>
      </c>
      <c r="Q1035" s="81"/>
      <c r="R1035" s="81">
        <f ca="1">IFERROR(__xludf.DUMMYFUNCTION("""COMPUTED_VALUE"""),0)</f>
        <v>0</v>
      </c>
      <c r="S1035" s="81"/>
      <c r="T1035" s="81"/>
      <c r="U1035" s="82"/>
      <c r="V1035" s="82"/>
      <c r="W1035" s="83"/>
      <c r="X1035" s="83"/>
      <c r="Y1035" s="83"/>
    </row>
    <row r="1036" spans="1:25" ht="13.8">
      <c r="A1036" s="78" t="str">
        <f ca="1">IFERROR(__xludf.DUMMYFUNCTION("""COMPUTED_VALUE"""),"HV")</f>
        <v>HV</v>
      </c>
      <c r="B1036" s="79" t="str">
        <f ca="1">IFERROR(__xludf.DUMMYFUNCTION("""COMPUTED_VALUE"""),"Sheen Lee")</f>
        <v>Sheen Lee</v>
      </c>
      <c r="C1036" s="78">
        <f ca="1">IFERROR(__xludf.DUMMYFUNCTION("""COMPUTED_VALUE"""),12)</f>
        <v>12</v>
      </c>
      <c r="D1036" s="78" t="str">
        <f ca="1">IFERROR(__xludf.DUMMYFUNCTION("""COMPUTED_VALUE"""),"B")</f>
        <v>B</v>
      </c>
      <c r="E1036" s="80" t="str">
        <f ca="1">IFERROR(__xludf.DUMMYFUNCTION("""COMPUTED_VALUE"""),"J")</f>
        <v>J</v>
      </c>
      <c r="F1036" s="80" t="str">
        <f ca="1">IFERROR(__xludf.DUMMYFUNCTION("""COMPUTED_VALUE"""),"I")</f>
        <v>I</v>
      </c>
      <c r="G1036" s="80">
        <f ca="1">IFERROR(__xludf.DUMMYFUNCTION("""COMPUTED_VALUE"""),3)</f>
        <v>3</v>
      </c>
      <c r="H1036" s="80" t="str">
        <f ca="1">IFERROR(__xludf.DUMMYFUNCTION("""COMPUTED_VALUE"""),"HV")</f>
        <v>HV</v>
      </c>
      <c r="I1036" s="80">
        <f ca="1">IFERROR(__xludf.DUMMYFUNCTION("""COMPUTED_VALUE"""),5)</f>
        <v>5</v>
      </c>
      <c r="J1036" s="81">
        <f ca="1">IFERROR(__xludf.DUMMYFUNCTION("""COMPUTED_VALUE"""),5)</f>
        <v>5</v>
      </c>
      <c r="K1036" s="81">
        <f ca="1">IFERROR(__xludf.DUMMYFUNCTION("""COMPUTED_VALUE"""),80.5)</f>
        <v>80.5</v>
      </c>
      <c r="L1036" s="81">
        <f ca="1">IFERROR(__xludf.DUMMYFUNCTION("""COMPUTED_VALUE"""),80.5)</f>
        <v>80.5</v>
      </c>
      <c r="M1036" s="81"/>
      <c r="N1036" s="81">
        <f ca="1">IFERROR(__xludf.DUMMYFUNCTION("""COMPUTED_VALUE"""),-100)</f>
        <v>-100</v>
      </c>
      <c r="O1036" s="81"/>
      <c r="P1036" s="81">
        <f ca="1">IFERROR(__xludf.DUMMYFUNCTION("""COMPUTED_VALUE"""),-101.75)</f>
        <v>-101.75</v>
      </c>
      <c r="Q1036" s="81"/>
      <c r="R1036" s="81">
        <f ca="1">IFERROR(__xludf.DUMMYFUNCTION("""COMPUTED_VALUE"""),-96.9)</f>
        <v>-96.9</v>
      </c>
      <c r="S1036" s="81"/>
      <c r="T1036" s="81"/>
      <c r="U1036" s="82"/>
      <c r="V1036" s="82"/>
      <c r="W1036" s="83"/>
      <c r="X1036" s="83"/>
      <c r="Y1036" s="83"/>
    </row>
    <row r="1037" spans="1:25" ht="13.8">
      <c r="A1037" s="78" t="str">
        <f ca="1">IFERROR(__xludf.DUMMYFUNCTION("""COMPUTED_VALUE"""),"HV")</f>
        <v>HV</v>
      </c>
      <c r="B1037" s="79" t="str">
        <f ca="1">IFERROR(__xludf.DUMMYFUNCTION("""COMPUTED_VALUE"""),"Andrew Maurer")</f>
        <v>Andrew Maurer</v>
      </c>
      <c r="C1037" s="78">
        <f ca="1">IFERROR(__xludf.DUMMYFUNCTION("""COMPUTED_VALUE"""),12)</f>
        <v>12</v>
      </c>
      <c r="D1037" s="78" t="str">
        <f ca="1">IFERROR(__xludf.DUMMYFUNCTION("""COMPUTED_VALUE"""),"B")</f>
        <v>B</v>
      </c>
      <c r="E1037" s="80" t="str">
        <f ca="1">IFERROR(__xludf.DUMMYFUNCTION("""COMPUTED_VALUE"""),"J")</f>
        <v>J</v>
      </c>
      <c r="F1037" s="80" t="str">
        <f ca="1">IFERROR(__xludf.DUMMYFUNCTION("""COMPUTED_VALUE"""),"I")</f>
        <v>I</v>
      </c>
      <c r="G1037" s="80">
        <f ca="1">IFERROR(__xludf.DUMMYFUNCTION("""COMPUTED_VALUE"""),3)</f>
        <v>3</v>
      </c>
      <c r="H1037" s="80" t="str">
        <f ca="1">IFERROR(__xludf.DUMMYFUNCTION("""COMPUTED_VALUE"""),"HV")</f>
        <v>HV</v>
      </c>
      <c r="I1037" s="80">
        <f ca="1">IFERROR(__xludf.DUMMYFUNCTION("""COMPUTED_VALUE"""),5)</f>
        <v>5</v>
      </c>
      <c r="J1037" s="81">
        <f ca="1">IFERROR(__xludf.DUMMYFUNCTION("""COMPUTED_VALUE"""),4)</f>
        <v>4</v>
      </c>
      <c r="K1037" s="81">
        <f ca="1">IFERROR(__xludf.DUMMYFUNCTION("""COMPUTED_VALUE"""),109.85)</f>
        <v>109.85</v>
      </c>
      <c r="L1037" s="81">
        <f ca="1">IFERROR(__xludf.DUMMYFUNCTION("""COMPUTED_VALUE"""),87)</f>
        <v>87</v>
      </c>
      <c r="M1037" s="81"/>
      <c r="N1037" s="81">
        <f ca="1">IFERROR(__xludf.DUMMYFUNCTION("""COMPUTED_VALUE"""),107)</f>
        <v>107</v>
      </c>
      <c r="O1037" s="81"/>
      <c r="P1037" s="81">
        <f ca="1">IFERROR(__xludf.DUMMYFUNCTION("""COMPUTED_VALUE"""),109.85)</f>
        <v>109.85</v>
      </c>
      <c r="Q1037" s="81"/>
      <c r="R1037" s="81">
        <f ca="1">IFERROR(__xludf.DUMMYFUNCTION("""COMPUTED_VALUE"""),0)</f>
        <v>0</v>
      </c>
      <c r="S1037" s="81"/>
      <c r="T1037" s="81"/>
      <c r="U1037" s="82"/>
      <c r="V1037" s="82"/>
      <c r="W1037" s="83"/>
      <c r="X1037" s="83"/>
      <c r="Y1037" s="83"/>
    </row>
    <row r="1038" spans="1:25" ht="13.8">
      <c r="A1038" s="78" t="str">
        <f ca="1">IFERROR(__xludf.DUMMYFUNCTION("""COMPUTED_VALUE"""),"HV")</f>
        <v>HV</v>
      </c>
      <c r="B1038" s="79" t="str">
        <f ca="1">IFERROR(__xludf.DUMMYFUNCTION("""COMPUTED_VALUE"""),"Joseph Ogrodny")</f>
        <v>Joseph Ogrodny</v>
      </c>
      <c r="C1038" s="78">
        <f ca="1">IFERROR(__xludf.DUMMYFUNCTION("""COMPUTED_VALUE"""),11)</f>
        <v>11</v>
      </c>
      <c r="D1038" s="78" t="str">
        <f ca="1">IFERROR(__xludf.DUMMYFUNCTION("""COMPUTED_VALUE"""),"B")</f>
        <v>B</v>
      </c>
      <c r="E1038" s="80" t="str">
        <f ca="1">IFERROR(__xludf.DUMMYFUNCTION("""COMPUTED_VALUE"""),"J")</f>
        <v>J</v>
      </c>
      <c r="F1038" s="80" t="str">
        <f ca="1">IFERROR(__xludf.DUMMYFUNCTION("""COMPUTED_VALUE"""),"I")</f>
        <v>I</v>
      </c>
      <c r="G1038" s="80">
        <f ca="1">IFERROR(__xludf.DUMMYFUNCTION("""COMPUTED_VALUE"""),3)</f>
        <v>3</v>
      </c>
      <c r="H1038" s="80" t="str">
        <f ca="1">IFERROR(__xludf.DUMMYFUNCTION("""COMPUTED_VALUE"""),"HV")</f>
        <v>HV</v>
      </c>
      <c r="I1038" s="80">
        <f ca="1">IFERROR(__xludf.DUMMYFUNCTION("""COMPUTED_VALUE"""),5)</f>
        <v>5</v>
      </c>
      <c r="J1038" s="81">
        <f ca="1">IFERROR(__xludf.DUMMYFUNCTION("""COMPUTED_VALUE"""),5)</f>
        <v>5</v>
      </c>
      <c r="K1038" s="81">
        <f ca="1">IFERROR(__xludf.DUMMYFUNCTION("""COMPUTED_VALUE"""),104.1)</f>
        <v>104.1</v>
      </c>
      <c r="L1038" s="81">
        <f ca="1">IFERROR(__xludf.DUMMYFUNCTION("""COMPUTED_VALUE"""),76.6)</f>
        <v>76.599999999999994</v>
      </c>
      <c r="M1038" s="81"/>
      <c r="N1038" s="81">
        <f ca="1">IFERROR(__xludf.DUMMYFUNCTION("""COMPUTED_VALUE"""),78.3)</f>
        <v>78.3</v>
      </c>
      <c r="O1038" s="81"/>
      <c r="P1038" s="81">
        <f ca="1">IFERROR(__xludf.DUMMYFUNCTION("""COMPUTED_VALUE"""),104.1)</f>
        <v>104.1</v>
      </c>
      <c r="Q1038" s="81"/>
      <c r="R1038" s="81">
        <f ca="1">IFERROR(__xludf.DUMMYFUNCTION("""COMPUTED_VALUE"""),85.2)</f>
        <v>85.2</v>
      </c>
      <c r="S1038" s="81"/>
      <c r="T1038" s="81"/>
      <c r="U1038" s="82"/>
      <c r="V1038" s="82"/>
      <c r="W1038" s="83"/>
      <c r="X1038" s="83"/>
      <c r="Y1038" s="83"/>
    </row>
    <row r="1039" spans="1:25" ht="13.8">
      <c r="A1039" s="78" t="str">
        <f ca="1">IFERROR(__xludf.DUMMYFUNCTION("""COMPUTED_VALUE"""),"HV")</f>
        <v>HV</v>
      </c>
      <c r="B1039" s="79" t="str">
        <f ca="1">IFERROR(__xludf.DUMMYFUNCTION("""COMPUTED_VALUE"""),"Issa Owens")</f>
        <v>Issa Owens</v>
      </c>
      <c r="C1039" s="78">
        <f ca="1">IFERROR(__xludf.DUMMYFUNCTION("""COMPUTED_VALUE"""),11)</f>
        <v>11</v>
      </c>
      <c r="D1039" s="78" t="str">
        <f ca="1">IFERROR(__xludf.DUMMYFUNCTION("""COMPUTED_VALUE"""),"B")</f>
        <v>B</v>
      </c>
      <c r="E1039" s="80" t="str">
        <f ca="1">IFERROR(__xludf.DUMMYFUNCTION("""COMPUTED_VALUE"""),"J")</f>
        <v>J</v>
      </c>
      <c r="F1039" s="80" t="str">
        <f ca="1">IFERROR(__xludf.DUMMYFUNCTION("""COMPUTED_VALUE"""),"I")</f>
        <v>I</v>
      </c>
      <c r="G1039" s="80">
        <f ca="1">IFERROR(__xludf.DUMMYFUNCTION("""COMPUTED_VALUE"""),3)</f>
        <v>3</v>
      </c>
      <c r="H1039" s="80" t="str">
        <f ca="1">IFERROR(__xludf.DUMMYFUNCTION("""COMPUTED_VALUE"""),"HV")</f>
        <v>HV</v>
      </c>
      <c r="I1039" s="80">
        <f ca="1">IFERROR(__xludf.DUMMYFUNCTION("""COMPUTED_VALUE"""),5)</f>
        <v>5</v>
      </c>
      <c r="J1039" s="81">
        <f ca="1">IFERROR(__xludf.DUMMYFUNCTION("""COMPUTED_VALUE"""),3)</f>
        <v>3</v>
      </c>
      <c r="K1039" s="81">
        <f ca="1">IFERROR(__xludf.DUMMYFUNCTION("""COMPUTED_VALUE"""),82.6)</f>
        <v>82.6</v>
      </c>
      <c r="L1039" s="81">
        <f ca="1">IFERROR(__xludf.DUMMYFUNCTION("""COMPUTED_VALUE"""),0)</f>
        <v>0</v>
      </c>
      <c r="M1039" s="81"/>
      <c r="N1039" s="81">
        <f ca="1">IFERROR(__xludf.DUMMYFUNCTION("""COMPUTED_VALUE"""),0)</f>
        <v>0</v>
      </c>
      <c r="O1039" s="81"/>
      <c r="P1039" s="81">
        <f ca="1">IFERROR(__xludf.DUMMYFUNCTION("""COMPUTED_VALUE"""),82.6)</f>
        <v>82.6</v>
      </c>
      <c r="Q1039" s="81"/>
      <c r="R1039" s="81">
        <f ca="1">IFERROR(__xludf.DUMMYFUNCTION("""COMPUTED_VALUE"""),77.2)</f>
        <v>77.2</v>
      </c>
      <c r="S1039" s="81"/>
      <c r="T1039" s="81"/>
      <c r="U1039" s="82"/>
      <c r="V1039" s="82"/>
      <c r="W1039" s="83"/>
      <c r="X1039" s="83"/>
      <c r="Y1039" s="83"/>
    </row>
    <row r="1040" spans="1:25" ht="13.8">
      <c r="A1040" s="78" t="str">
        <f ca="1">IFERROR(__xludf.DUMMYFUNCTION("""COMPUTED_VALUE"""),"HV")</f>
        <v>HV</v>
      </c>
      <c r="B1040" s="79" t="str">
        <f ca="1">IFERROR(__xludf.DUMMYFUNCTION("""COMPUTED_VALUE"""),"Kaleb Wisner")</f>
        <v>Kaleb Wisner</v>
      </c>
      <c r="C1040" s="78">
        <f ca="1">IFERROR(__xludf.DUMMYFUNCTION("""COMPUTED_VALUE"""),11)</f>
        <v>11</v>
      </c>
      <c r="D1040" s="78" t="str">
        <f ca="1">IFERROR(__xludf.DUMMYFUNCTION("""COMPUTED_VALUE"""),"B")</f>
        <v>B</v>
      </c>
      <c r="E1040" s="80" t="str">
        <f ca="1">IFERROR(__xludf.DUMMYFUNCTION("""COMPUTED_VALUE"""),"J")</f>
        <v>J</v>
      </c>
      <c r="F1040" s="80" t="str">
        <f ca="1">IFERROR(__xludf.DUMMYFUNCTION("""COMPUTED_VALUE"""),"I")</f>
        <v>I</v>
      </c>
      <c r="G1040" s="80">
        <f ca="1">IFERROR(__xludf.DUMMYFUNCTION("""COMPUTED_VALUE"""),3)</f>
        <v>3</v>
      </c>
      <c r="H1040" s="80" t="str">
        <f ca="1">IFERROR(__xludf.DUMMYFUNCTION("""COMPUTED_VALUE"""),"HV")</f>
        <v>HV</v>
      </c>
      <c r="I1040" s="80">
        <f ca="1">IFERROR(__xludf.DUMMYFUNCTION("""COMPUTED_VALUE"""),5)</f>
        <v>5</v>
      </c>
      <c r="J1040" s="81">
        <f ca="1">IFERROR(__xludf.DUMMYFUNCTION("""COMPUTED_VALUE"""),5)</f>
        <v>5</v>
      </c>
      <c r="K1040" s="81">
        <f ca="1">IFERROR(__xludf.DUMMYFUNCTION("""COMPUTED_VALUE"""),81.05)</f>
        <v>81.05</v>
      </c>
      <c r="L1040" s="81">
        <f ca="1">IFERROR(__xludf.DUMMYFUNCTION("""COMPUTED_VALUE"""),81.05)</f>
        <v>81.05</v>
      </c>
      <c r="M1040" s="81"/>
      <c r="N1040" s="81">
        <f ca="1">IFERROR(__xludf.DUMMYFUNCTION("""COMPUTED_VALUE"""),75.6)</f>
        <v>75.599999999999994</v>
      </c>
      <c r="O1040" s="81"/>
      <c r="P1040" s="81">
        <f ca="1">IFERROR(__xludf.DUMMYFUNCTION("""COMPUTED_VALUE"""),76.95)</f>
        <v>76.95</v>
      </c>
      <c r="Q1040" s="81"/>
      <c r="R1040" s="81">
        <f ca="1">IFERROR(__xludf.DUMMYFUNCTION("""COMPUTED_VALUE"""),63.45)</f>
        <v>63.45</v>
      </c>
      <c r="S1040" s="81"/>
      <c r="T1040" s="81"/>
      <c r="U1040" s="82"/>
      <c r="V1040" s="82"/>
      <c r="W1040" s="83"/>
      <c r="X1040" s="83"/>
      <c r="Y1040" s="83"/>
    </row>
    <row r="1041" spans="1:25" ht="13.8">
      <c r="A1041" s="78" t="str">
        <f ca="1">IFERROR(__xludf.DUMMYFUNCTION("""COMPUTED_VALUE"""),"HV")</f>
        <v>HV</v>
      </c>
      <c r="B1041" s="79" t="str">
        <f ca="1">IFERROR(__xludf.DUMMYFUNCTION("""COMPUTED_VALUE"""),"Alexandra Charecky")</f>
        <v>Alexandra Charecky</v>
      </c>
      <c r="C1041" s="78">
        <f ca="1">IFERROR(__xludf.DUMMYFUNCTION("""COMPUTED_VALUE"""),14)</f>
        <v>14</v>
      </c>
      <c r="D1041" s="78" t="str">
        <f ca="1">IFERROR(__xludf.DUMMYFUNCTION("""COMPUTED_VALUE"""),"G")</f>
        <v>G</v>
      </c>
      <c r="E1041" s="80" t="str">
        <f ca="1">IFERROR(__xludf.DUMMYFUNCTION("""COMPUTED_VALUE"""),"I")</f>
        <v>I</v>
      </c>
      <c r="F1041" s="80" t="str">
        <f ca="1">IFERROR(__xludf.DUMMYFUNCTION("""COMPUTED_VALUE"""),"S")</f>
        <v>S</v>
      </c>
      <c r="G1041" s="80">
        <f ca="1">IFERROR(__xludf.DUMMYFUNCTION("""COMPUTED_VALUE"""),3)</f>
        <v>3</v>
      </c>
      <c r="H1041" s="80" t="str">
        <f ca="1">IFERROR(__xludf.DUMMYFUNCTION("""COMPUTED_VALUE"""),"HV")</f>
        <v>HV</v>
      </c>
      <c r="I1041" s="80">
        <f ca="1">IFERROR(__xludf.DUMMYFUNCTION("""COMPUTED_VALUE"""),6)</f>
        <v>6</v>
      </c>
      <c r="J1041" s="81">
        <f ca="1">IFERROR(__xludf.DUMMYFUNCTION("""COMPUTED_VALUE"""),5)</f>
        <v>5</v>
      </c>
      <c r="K1041" s="81">
        <f ca="1">IFERROR(__xludf.DUMMYFUNCTION("""COMPUTED_VALUE"""),133.35)</f>
        <v>133.35</v>
      </c>
      <c r="L1041" s="81">
        <f ca="1">IFERROR(__xludf.DUMMYFUNCTION("""COMPUTED_VALUE"""),132.15)</f>
        <v>132.15</v>
      </c>
      <c r="M1041" s="81"/>
      <c r="N1041" s="81">
        <f ca="1">IFERROR(__xludf.DUMMYFUNCTION("""COMPUTED_VALUE"""),119.85)</f>
        <v>119.85</v>
      </c>
      <c r="O1041" s="81"/>
      <c r="P1041" s="81">
        <f ca="1">IFERROR(__xludf.DUMMYFUNCTION("""COMPUTED_VALUE"""),133.35)</f>
        <v>133.35</v>
      </c>
      <c r="Q1041" s="81"/>
      <c r="R1041" s="81">
        <f ca="1">IFERROR(__xludf.DUMMYFUNCTION("""COMPUTED_VALUE"""),126.25)</f>
        <v>126.25</v>
      </c>
      <c r="S1041" s="81"/>
      <c r="T1041" s="81"/>
      <c r="U1041" s="82"/>
      <c r="V1041" s="82"/>
      <c r="W1041" s="83"/>
      <c r="X1041" s="83"/>
      <c r="Y1041" s="83"/>
    </row>
    <row r="1042" spans="1:25" ht="13.8">
      <c r="A1042" s="78" t="str">
        <f ca="1">IFERROR(__xludf.DUMMYFUNCTION("""COMPUTED_VALUE"""),"HV")</f>
        <v>HV</v>
      </c>
      <c r="B1042" s="79" t="str">
        <f ca="1">IFERROR(__xludf.DUMMYFUNCTION("""COMPUTED_VALUE"""),"Valerie christopher")</f>
        <v>Valerie christopher</v>
      </c>
      <c r="C1042" s="78">
        <f ca="1">IFERROR(__xludf.DUMMYFUNCTION("""COMPUTED_VALUE"""),13)</f>
        <v>13</v>
      </c>
      <c r="D1042" s="78" t="str">
        <f ca="1">IFERROR(__xludf.DUMMYFUNCTION("""COMPUTED_VALUE"""),"G")</f>
        <v>G</v>
      </c>
      <c r="E1042" s="80" t="str">
        <f ca="1">IFERROR(__xludf.DUMMYFUNCTION("""COMPUTED_VALUE"""),"I")</f>
        <v>I</v>
      </c>
      <c r="F1042" s="80" t="str">
        <f ca="1">IFERROR(__xludf.DUMMYFUNCTION("""COMPUTED_VALUE"""),"S")</f>
        <v>S</v>
      </c>
      <c r="G1042" s="80">
        <f ca="1">IFERROR(__xludf.DUMMYFUNCTION("""COMPUTED_VALUE"""),3)</f>
        <v>3</v>
      </c>
      <c r="H1042" s="80" t="str">
        <f ca="1">IFERROR(__xludf.DUMMYFUNCTION("""COMPUTED_VALUE"""),"HV")</f>
        <v>HV</v>
      </c>
      <c r="I1042" s="80">
        <f ca="1">IFERROR(__xludf.DUMMYFUNCTION("""COMPUTED_VALUE"""),6)</f>
        <v>6</v>
      </c>
      <c r="J1042" s="81">
        <f ca="1">IFERROR(__xludf.DUMMYFUNCTION("""COMPUTED_VALUE"""),4)</f>
        <v>4</v>
      </c>
      <c r="K1042" s="81">
        <f ca="1">IFERROR(__xludf.DUMMYFUNCTION("""COMPUTED_VALUE"""),146.35)</f>
        <v>146.35</v>
      </c>
      <c r="L1042" s="81">
        <f ca="1">IFERROR(__xludf.DUMMYFUNCTION("""COMPUTED_VALUE"""),145.55)</f>
        <v>145.55000000000001</v>
      </c>
      <c r="M1042" s="81"/>
      <c r="N1042" s="81">
        <f ca="1">IFERROR(__xludf.DUMMYFUNCTION("""COMPUTED_VALUE"""),114.95)</f>
        <v>114.95</v>
      </c>
      <c r="O1042" s="81"/>
      <c r="P1042" s="81">
        <f ca="1">IFERROR(__xludf.DUMMYFUNCTION("""COMPUTED_VALUE"""),146.35)</f>
        <v>146.35</v>
      </c>
      <c r="Q1042" s="81"/>
      <c r="R1042" s="81">
        <f ca="1">IFERROR(__xludf.DUMMYFUNCTION("""COMPUTED_VALUE"""),0)</f>
        <v>0</v>
      </c>
      <c r="S1042" s="81"/>
      <c r="T1042" s="81"/>
      <c r="U1042" s="82"/>
      <c r="V1042" s="82"/>
      <c r="W1042" s="83"/>
      <c r="X1042" s="83"/>
      <c r="Y1042" s="83"/>
    </row>
    <row r="1043" spans="1:25" ht="13.8">
      <c r="A1043" s="78" t="str">
        <f ca="1">IFERROR(__xludf.DUMMYFUNCTION("""COMPUTED_VALUE"""),"HV")</f>
        <v>HV</v>
      </c>
      <c r="B1043" s="79" t="str">
        <f ca="1">IFERROR(__xludf.DUMMYFUNCTION("""COMPUTED_VALUE"""),"Corinne Dunsmoor")</f>
        <v>Corinne Dunsmoor</v>
      </c>
      <c r="C1043" s="78">
        <f ca="1">IFERROR(__xludf.DUMMYFUNCTION("""COMPUTED_VALUE"""),14)</f>
        <v>14</v>
      </c>
      <c r="D1043" s="78" t="str">
        <f ca="1">IFERROR(__xludf.DUMMYFUNCTION("""COMPUTED_VALUE"""),"G")</f>
        <v>G</v>
      </c>
      <c r="E1043" s="80" t="str">
        <f ca="1">IFERROR(__xludf.DUMMYFUNCTION("""COMPUTED_VALUE"""),"I")</f>
        <v>I</v>
      </c>
      <c r="F1043" s="80" t="str">
        <f ca="1">IFERROR(__xludf.DUMMYFUNCTION("""COMPUTED_VALUE"""),"S")</f>
        <v>S</v>
      </c>
      <c r="G1043" s="80">
        <f ca="1">IFERROR(__xludf.DUMMYFUNCTION("""COMPUTED_VALUE"""),3)</f>
        <v>3</v>
      </c>
      <c r="H1043" s="80" t="str">
        <f ca="1">IFERROR(__xludf.DUMMYFUNCTION("""COMPUTED_VALUE"""),"HV")</f>
        <v>HV</v>
      </c>
      <c r="I1043" s="80">
        <f ca="1">IFERROR(__xludf.DUMMYFUNCTION("""COMPUTED_VALUE"""),6)</f>
        <v>6</v>
      </c>
      <c r="J1043" s="81">
        <f ca="1">IFERROR(__xludf.DUMMYFUNCTION("""COMPUTED_VALUE"""),2)</f>
        <v>2</v>
      </c>
      <c r="K1043" s="81">
        <f ca="1">IFERROR(__xludf.DUMMYFUNCTION("""COMPUTED_VALUE"""),80)</f>
        <v>80</v>
      </c>
      <c r="L1043" s="81">
        <f ca="1">IFERROR(__xludf.DUMMYFUNCTION("""COMPUTED_VALUE"""),0)</f>
        <v>0</v>
      </c>
      <c r="M1043" s="81"/>
      <c r="N1043" s="81">
        <f ca="1">IFERROR(__xludf.DUMMYFUNCTION("""COMPUTED_VALUE"""),0)</f>
        <v>0</v>
      </c>
      <c r="O1043" s="81"/>
      <c r="P1043" s="81">
        <f ca="1">IFERROR(__xludf.DUMMYFUNCTION("""COMPUTED_VALUE"""),80)</f>
        <v>80</v>
      </c>
      <c r="Q1043" s="81"/>
      <c r="R1043" s="81">
        <f ca="1">IFERROR(__xludf.DUMMYFUNCTION("""COMPUTED_VALUE"""),0)</f>
        <v>0</v>
      </c>
      <c r="S1043" s="81"/>
      <c r="T1043" s="81"/>
      <c r="U1043" s="82"/>
      <c r="V1043" s="82"/>
      <c r="W1043" s="83"/>
      <c r="X1043" s="83"/>
      <c r="Y1043" s="83"/>
    </row>
    <row r="1044" spans="1:25" ht="13.8">
      <c r="A1044" s="78" t="str">
        <f ca="1">IFERROR(__xludf.DUMMYFUNCTION("""COMPUTED_VALUE"""),"HV")</f>
        <v>HV</v>
      </c>
      <c r="B1044" s="79" t="str">
        <f ca="1">IFERROR(__xludf.DUMMYFUNCTION("""COMPUTED_VALUE"""),"Lily Dunsmoor")</f>
        <v>Lily Dunsmoor</v>
      </c>
      <c r="C1044" s="78">
        <f ca="1">IFERROR(__xludf.DUMMYFUNCTION("""COMPUTED_VALUE"""),14)</f>
        <v>14</v>
      </c>
      <c r="D1044" s="78" t="str">
        <f ca="1">IFERROR(__xludf.DUMMYFUNCTION("""COMPUTED_VALUE"""),"G")</f>
        <v>G</v>
      </c>
      <c r="E1044" s="80" t="str">
        <f ca="1">IFERROR(__xludf.DUMMYFUNCTION("""COMPUTED_VALUE"""),"I")</f>
        <v>I</v>
      </c>
      <c r="F1044" s="80" t="str">
        <f ca="1">IFERROR(__xludf.DUMMYFUNCTION("""COMPUTED_VALUE"""),"S")</f>
        <v>S</v>
      </c>
      <c r="G1044" s="80">
        <f ca="1">IFERROR(__xludf.DUMMYFUNCTION("""COMPUTED_VALUE"""),3)</f>
        <v>3</v>
      </c>
      <c r="H1044" s="80" t="str">
        <f ca="1">IFERROR(__xludf.DUMMYFUNCTION("""COMPUTED_VALUE"""),"HV")</f>
        <v>HV</v>
      </c>
      <c r="I1044" s="80">
        <f ca="1">IFERROR(__xludf.DUMMYFUNCTION("""COMPUTED_VALUE"""),6)</f>
        <v>6</v>
      </c>
      <c r="J1044" s="81">
        <f ca="1">IFERROR(__xludf.DUMMYFUNCTION("""COMPUTED_VALUE"""),2)</f>
        <v>2</v>
      </c>
      <c r="K1044" s="81">
        <f ca="1">IFERROR(__xludf.DUMMYFUNCTION("""COMPUTED_VALUE"""),70.8)</f>
        <v>70.8</v>
      </c>
      <c r="L1044" s="81">
        <f ca="1">IFERROR(__xludf.DUMMYFUNCTION("""COMPUTED_VALUE"""),0)</f>
        <v>0</v>
      </c>
      <c r="M1044" s="81"/>
      <c r="N1044" s="81">
        <f ca="1">IFERROR(__xludf.DUMMYFUNCTION("""COMPUTED_VALUE"""),0)</f>
        <v>0</v>
      </c>
      <c r="O1044" s="81"/>
      <c r="P1044" s="81">
        <f ca="1">IFERROR(__xludf.DUMMYFUNCTION("""COMPUTED_VALUE"""),70.8)</f>
        <v>70.8</v>
      </c>
      <c r="Q1044" s="81"/>
      <c r="R1044" s="81">
        <f ca="1">IFERROR(__xludf.DUMMYFUNCTION("""COMPUTED_VALUE"""),0)</f>
        <v>0</v>
      </c>
      <c r="S1044" s="81"/>
      <c r="T1044" s="81"/>
      <c r="U1044" s="82"/>
      <c r="V1044" s="82"/>
      <c r="W1044" s="83"/>
      <c r="X1044" s="83"/>
      <c r="Y1044" s="83"/>
    </row>
    <row r="1045" spans="1:25" ht="13.8">
      <c r="A1045" s="78" t="str">
        <f ca="1">IFERROR(__xludf.DUMMYFUNCTION("""COMPUTED_VALUE"""),"HV")</f>
        <v>HV</v>
      </c>
      <c r="B1045" s="79" t="str">
        <f ca="1">IFERROR(__xludf.DUMMYFUNCTION("""COMPUTED_VALUE"""),"Virginia Grubbs")</f>
        <v>Virginia Grubbs</v>
      </c>
      <c r="C1045" s="78">
        <f ca="1">IFERROR(__xludf.DUMMYFUNCTION("""COMPUTED_VALUE"""),13)</f>
        <v>13</v>
      </c>
      <c r="D1045" s="78" t="str">
        <f ca="1">IFERROR(__xludf.DUMMYFUNCTION("""COMPUTED_VALUE"""),"G")</f>
        <v>G</v>
      </c>
      <c r="E1045" s="80" t="str">
        <f ca="1">IFERROR(__xludf.DUMMYFUNCTION("""COMPUTED_VALUE"""),"I")</f>
        <v>I</v>
      </c>
      <c r="F1045" s="80" t="str">
        <f ca="1">IFERROR(__xludf.DUMMYFUNCTION("""COMPUTED_VALUE"""),"S")</f>
        <v>S</v>
      </c>
      <c r="G1045" s="80">
        <f ca="1">IFERROR(__xludf.DUMMYFUNCTION("""COMPUTED_VALUE"""),3)</f>
        <v>3</v>
      </c>
      <c r="H1045" s="80" t="str">
        <f ca="1">IFERROR(__xludf.DUMMYFUNCTION("""COMPUTED_VALUE"""),"HV")</f>
        <v>HV</v>
      </c>
      <c r="I1045" s="80">
        <f ca="1">IFERROR(__xludf.DUMMYFUNCTION("""COMPUTED_VALUE"""),6)</f>
        <v>6</v>
      </c>
      <c r="J1045" s="81">
        <f ca="1">IFERROR(__xludf.DUMMYFUNCTION("""COMPUTED_VALUE"""),4)</f>
        <v>4</v>
      </c>
      <c r="K1045" s="81">
        <f ca="1">IFERROR(__xludf.DUMMYFUNCTION("""COMPUTED_VALUE"""),109.95)</f>
        <v>109.95</v>
      </c>
      <c r="L1045" s="81">
        <f ca="1">IFERROR(__xludf.DUMMYFUNCTION("""COMPUTED_VALUE"""),0)</f>
        <v>0</v>
      </c>
      <c r="M1045" s="81"/>
      <c r="N1045" s="81">
        <f ca="1">IFERROR(__xludf.DUMMYFUNCTION("""COMPUTED_VALUE"""),97.55)</f>
        <v>97.55</v>
      </c>
      <c r="O1045" s="81"/>
      <c r="P1045" s="81">
        <f ca="1">IFERROR(__xludf.DUMMYFUNCTION("""COMPUTED_VALUE"""),109.95)</f>
        <v>109.95</v>
      </c>
      <c r="Q1045" s="81"/>
      <c r="R1045" s="81">
        <f ca="1">IFERROR(__xludf.DUMMYFUNCTION("""COMPUTED_VALUE"""),96.4)</f>
        <v>96.4</v>
      </c>
      <c r="S1045" s="81"/>
      <c r="T1045" s="81"/>
      <c r="U1045" s="82"/>
      <c r="V1045" s="82"/>
      <c r="W1045" s="83"/>
      <c r="X1045" s="83"/>
      <c r="Y1045" s="83"/>
    </row>
    <row r="1046" spans="1:25" ht="13.8">
      <c r="A1046" s="78" t="str">
        <f ca="1">IFERROR(__xludf.DUMMYFUNCTION("""COMPUTED_VALUE"""),"HV")</f>
        <v>HV</v>
      </c>
      <c r="B1046" s="79" t="str">
        <f ca="1">IFERROR(__xludf.DUMMYFUNCTION("""COMPUTED_VALUE"""),"Ivy Smith")</f>
        <v>Ivy Smith</v>
      </c>
      <c r="C1046" s="78">
        <f ca="1">IFERROR(__xludf.DUMMYFUNCTION("""COMPUTED_VALUE"""),14)</f>
        <v>14</v>
      </c>
      <c r="D1046" s="78" t="str">
        <f ca="1">IFERROR(__xludf.DUMMYFUNCTION("""COMPUTED_VALUE"""),"G")</f>
        <v>G</v>
      </c>
      <c r="E1046" s="80" t="str">
        <f ca="1">IFERROR(__xludf.DUMMYFUNCTION("""COMPUTED_VALUE"""),"I")</f>
        <v>I</v>
      </c>
      <c r="F1046" s="80" t="str">
        <f ca="1">IFERROR(__xludf.DUMMYFUNCTION("""COMPUTED_VALUE"""),"S")</f>
        <v>S</v>
      </c>
      <c r="G1046" s="80">
        <f ca="1">IFERROR(__xludf.DUMMYFUNCTION("""COMPUTED_VALUE"""),3)</f>
        <v>3</v>
      </c>
      <c r="H1046" s="80" t="str">
        <f ca="1">IFERROR(__xludf.DUMMYFUNCTION("""COMPUTED_VALUE"""),"HV")</f>
        <v>HV</v>
      </c>
      <c r="I1046" s="80">
        <f ca="1">IFERROR(__xludf.DUMMYFUNCTION("""COMPUTED_VALUE"""),6)</f>
        <v>6</v>
      </c>
      <c r="J1046" s="81">
        <f ca="1">IFERROR(__xludf.DUMMYFUNCTION("""COMPUTED_VALUE"""),3)</f>
        <v>3</v>
      </c>
      <c r="K1046" s="81">
        <f ca="1">IFERROR(__xludf.DUMMYFUNCTION("""COMPUTED_VALUE"""),114.4)</f>
        <v>114.4</v>
      </c>
      <c r="L1046" s="81">
        <f ca="1">IFERROR(__xludf.DUMMYFUNCTION("""COMPUTED_VALUE"""),114.4)</f>
        <v>114.4</v>
      </c>
      <c r="M1046" s="81"/>
      <c r="N1046" s="81">
        <f ca="1">IFERROR(__xludf.DUMMYFUNCTION("""COMPUTED_VALUE"""),0)</f>
        <v>0</v>
      </c>
      <c r="O1046" s="81"/>
      <c r="P1046" s="81">
        <f ca="1">IFERROR(__xludf.DUMMYFUNCTION("""COMPUTED_VALUE"""),0)</f>
        <v>0</v>
      </c>
      <c r="Q1046" s="81"/>
      <c r="R1046" s="81">
        <f ca="1">IFERROR(__xludf.DUMMYFUNCTION("""COMPUTED_VALUE"""),109.9)</f>
        <v>109.9</v>
      </c>
      <c r="S1046" s="81"/>
      <c r="T1046" s="81"/>
      <c r="U1046" s="82"/>
      <c r="V1046" s="82"/>
      <c r="W1046" s="83"/>
      <c r="X1046" s="83"/>
      <c r="Y1046" s="83"/>
    </row>
    <row r="1047" spans="1:25" ht="13.8">
      <c r="A1047" s="78" t="str">
        <f ca="1">IFERROR(__xludf.DUMMYFUNCTION("""COMPUTED_VALUE"""),"HV")</f>
        <v>HV</v>
      </c>
      <c r="B1047" s="79" t="str">
        <f ca="1">IFERROR(__xludf.DUMMYFUNCTION("""COMPUTED_VALUE"""),"Cooper Bouton")</f>
        <v>Cooper Bouton</v>
      </c>
      <c r="C1047" s="78">
        <f ca="1">IFERROR(__xludf.DUMMYFUNCTION("""COMPUTED_VALUE"""),14)</f>
        <v>14</v>
      </c>
      <c r="D1047" s="78" t="str">
        <f ca="1">IFERROR(__xludf.DUMMYFUNCTION("""COMPUTED_VALUE"""),"B")</f>
        <v>B</v>
      </c>
      <c r="E1047" s="80" t="str">
        <f ca="1">IFERROR(__xludf.DUMMYFUNCTION("""COMPUTED_VALUE"""),"I")</f>
        <v>I</v>
      </c>
      <c r="F1047" s="80" t="str">
        <f ca="1">IFERROR(__xludf.DUMMYFUNCTION("""COMPUTED_VALUE"""),"S")</f>
        <v>S</v>
      </c>
      <c r="G1047" s="80">
        <f ca="1">IFERROR(__xludf.DUMMYFUNCTION("""COMPUTED_VALUE"""),3)</f>
        <v>3</v>
      </c>
      <c r="H1047" s="80" t="str">
        <f ca="1">IFERROR(__xludf.DUMMYFUNCTION("""COMPUTED_VALUE"""),"HV")</f>
        <v>HV</v>
      </c>
      <c r="I1047" s="80">
        <f ca="1">IFERROR(__xludf.DUMMYFUNCTION("""COMPUTED_VALUE"""),7)</f>
        <v>7</v>
      </c>
      <c r="J1047" s="81">
        <f ca="1">IFERROR(__xludf.DUMMYFUNCTION("""COMPUTED_VALUE"""),3)</f>
        <v>3</v>
      </c>
      <c r="K1047" s="81">
        <f ca="1">IFERROR(__xludf.DUMMYFUNCTION("""COMPUTED_VALUE"""),111.05)</f>
        <v>111.05</v>
      </c>
      <c r="L1047" s="81">
        <f ca="1">IFERROR(__xludf.DUMMYFUNCTION("""COMPUTED_VALUE"""),0)</f>
        <v>0</v>
      </c>
      <c r="M1047" s="81"/>
      <c r="N1047" s="81">
        <f ca="1">IFERROR(__xludf.DUMMYFUNCTION("""COMPUTED_VALUE"""),82.4)</f>
        <v>82.4</v>
      </c>
      <c r="O1047" s="81"/>
      <c r="P1047" s="81">
        <f ca="1">IFERROR(__xludf.DUMMYFUNCTION("""COMPUTED_VALUE"""),111.05)</f>
        <v>111.05</v>
      </c>
      <c r="Q1047" s="81"/>
      <c r="R1047" s="81">
        <f ca="1">IFERROR(__xludf.DUMMYFUNCTION("""COMPUTED_VALUE"""),-105.5)</f>
        <v>-105.5</v>
      </c>
      <c r="S1047" s="81"/>
      <c r="T1047" s="81"/>
      <c r="U1047" s="82"/>
      <c r="V1047" s="82"/>
      <c r="W1047" s="83"/>
      <c r="X1047" s="83"/>
      <c r="Y1047" s="83"/>
    </row>
    <row r="1048" spans="1:25" ht="13.8">
      <c r="A1048" s="78" t="str">
        <f ca="1">IFERROR(__xludf.DUMMYFUNCTION("""COMPUTED_VALUE"""),"HV")</f>
        <v>HV</v>
      </c>
      <c r="B1048" s="79" t="str">
        <f ca="1">IFERROR(__xludf.DUMMYFUNCTION("""COMPUTED_VALUE"""),"Benjamin Brackett")</f>
        <v>Benjamin Brackett</v>
      </c>
      <c r="C1048" s="78">
        <f ca="1">IFERROR(__xludf.DUMMYFUNCTION("""COMPUTED_VALUE"""),13)</f>
        <v>13</v>
      </c>
      <c r="D1048" s="78" t="str">
        <f ca="1">IFERROR(__xludf.DUMMYFUNCTION("""COMPUTED_VALUE"""),"B")</f>
        <v>B</v>
      </c>
      <c r="E1048" s="80" t="str">
        <f ca="1">IFERROR(__xludf.DUMMYFUNCTION("""COMPUTED_VALUE"""),"I")</f>
        <v>I</v>
      </c>
      <c r="F1048" s="80" t="str">
        <f ca="1">IFERROR(__xludf.DUMMYFUNCTION("""COMPUTED_VALUE"""),"S")</f>
        <v>S</v>
      </c>
      <c r="G1048" s="80">
        <f ca="1">IFERROR(__xludf.DUMMYFUNCTION("""COMPUTED_VALUE"""),3)</f>
        <v>3</v>
      </c>
      <c r="H1048" s="80" t="str">
        <f ca="1">IFERROR(__xludf.DUMMYFUNCTION("""COMPUTED_VALUE"""),"HV")</f>
        <v>HV</v>
      </c>
      <c r="I1048" s="80">
        <f ca="1">IFERROR(__xludf.DUMMYFUNCTION("""COMPUTED_VALUE"""),7)</f>
        <v>7</v>
      </c>
      <c r="J1048" s="81">
        <f ca="1">IFERROR(__xludf.DUMMYFUNCTION("""COMPUTED_VALUE"""),0)</f>
        <v>0</v>
      </c>
      <c r="K1048" s="81">
        <f ca="1">IFERROR(__xludf.DUMMYFUNCTION("""COMPUTED_VALUE"""),0)</f>
        <v>0</v>
      </c>
      <c r="L1048" s="81">
        <f ca="1">IFERROR(__xludf.DUMMYFUNCTION("""COMPUTED_VALUE"""),0)</f>
        <v>0</v>
      </c>
      <c r="M1048" s="81"/>
      <c r="N1048" s="81">
        <f ca="1">IFERROR(__xludf.DUMMYFUNCTION("""COMPUTED_VALUE"""),0)</f>
        <v>0</v>
      </c>
      <c r="O1048" s="81"/>
      <c r="P1048" s="81">
        <f ca="1">IFERROR(__xludf.DUMMYFUNCTION("""COMPUTED_VALUE"""),0)</f>
        <v>0</v>
      </c>
      <c r="Q1048" s="81"/>
      <c r="R1048" s="81">
        <f ca="1">IFERROR(__xludf.DUMMYFUNCTION("""COMPUTED_VALUE"""),0)</f>
        <v>0</v>
      </c>
      <c r="S1048" s="81"/>
      <c r="T1048" s="81"/>
      <c r="U1048" s="82"/>
      <c r="V1048" s="82"/>
      <c r="W1048" s="83"/>
      <c r="X1048" s="83"/>
      <c r="Y1048" s="83"/>
    </row>
    <row r="1049" spans="1:25" ht="13.8">
      <c r="A1049" s="78" t="str">
        <f ca="1">IFERROR(__xludf.DUMMYFUNCTION("""COMPUTED_VALUE"""),"HV")</f>
        <v>HV</v>
      </c>
      <c r="B1049" s="79" t="str">
        <f ca="1">IFERROR(__xludf.DUMMYFUNCTION("""COMPUTED_VALUE"""),"Ward Gardiner")</f>
        <v>Ward Gardiner</v>
      </c>
      <c r="C1049" s="78">
        <f ca="1">IFERROR(__xludf.DUMMYFUNCTION("""COMPUTED_VALUE"""),13)</f>
        <v>13</v>
      </c>
      <c r="D1049" s="78" t="str">
        <f ca="1">IFERROR(__xludf.DUMMYFUNCTION("""COMPUTED_VALUE"""),"B")</f>
        <v>B</v>
      </c>
      <c r="E1049" s="80" t="str">
        <f ca="1">IFERROR(__xludf.DUMMYFUNCTION("""COMPUTED_VALUE"""),"I")</f>
        <v>I</v>
      </c>
      <c r="F1049" s="80" t="str">
        <f ca="1">IFERROR(__xludf.DUMMYFUNCTION("""COMPUTED_VALUE"""),"S")</f>
        <v>S</v>
      </c>
      <c r="G1049" s="80">
        <f ca="1">IFERROR(__xludf.DUMMYFUNCTION("""COMPUTED_VALUE"""),3)</f>
        <v>3</v>
      </c>
      <c r="H1049" s="80" t="str">
        <f ca="1">IFERROR(__xludf.DUMMYFUNCTION("""COMPUTED_VALUE"""),"HV")</f>
        <v>HV</v>
      </c>
      <c r="I1049" s="80">
        <f ca="1">IFERROR(__xludf.DUMMYFUNCTION("""COMPUTED_VALUE"""),7)</f>
        <v>7</v>
      </c>
      <c r="J1049" s="81">
        <f ca="1">IFERROR(__xludf.DUMMYFUNCTION("""COMPUTED_VALUE"""),4)</f>
        <v>4</v>
      </c>
      <c r="K1049" s="81">
        <f ca="1">IFERROR(__xludf.DUMMYFUNCTION("""COMPUTED_VALUE"""),130.35)</f>
        <v>130.35</v>
      </c>
      <c r="L1049" s="81">
        <f ca="1">IFERROR(__xludf.DUMMYFUNCTION("""COMPUTED_VALUE"""),127.1)</f>
        <v>127.1</v>
      </c>
      <c r="M1049" s="81"/>
      <c r="N1049" s="81">
        <f ca="1">IFERROR(__xludf.DUMMYFUNCTION("""COMPUTED_VALUE"""),130.35)</f>
        <v>130.35</v>
      </c>
      <c r="O1049" s="81"/>
      <c r="P1049" s="81">
        <f ca="1">IFERROR(__xludf.DUMMYFUNCTION("""COMPUTED_VALUE"""),0)</f>
        <v>0</v>
      </c>
      <c r="Q1049" s="81"/>
      <c r="R1049" s="81">
        <f ca="1">IFERROR(__xludf.DUMMYFUNCTION("""COMPUTED_VALUE"""),118.5)</f>
        <v>118.5</v>
      </c>
      <c r="S1049" s="81"/>
      <c r="T1049" s="81"/>
      <c r="U1049" s="82"/>
      <c r="V1049" s="82"/>
      <c r="W1049" s="83"/>
      <c r="X1049" s="83"/>
      <c r="Y1049" s="83"/>
    </row>
    <row r="1050" spans="1:25" ht="13.8">
      <c r="A1050" s="78" t="str">
        <f ca="1">IFERROR(__xludf.DUMMYFUNCTION("""COMPUTED_VALUE"""),"HV")</f>
        <v>HV</v>
      </c>
      <c r="B1050" s="79" t="str">
        <f ca="1">IFERROR(__xludf.DUMMYFUNCTION("""COMPUTED_VALUE"""),"Jack Pritchard")</f>
        <v>Jack Pritchard</v>
      </c>
      <c r="C1050" s="78">
        <f ca="1">IFERROR(__xludf.DUMMYFUNCTION("""COMPUTED_VALUE"""),13)</f>
        <v>13</v>
      </c>
      <c r="D1050" s="78" t="str">
        <f ca="1">IFERROR(__xludf.DUMMYFUNCTION("""COMPUTED_VALUE"""),"B")</f>
        <v>B</v>
      </c>
      <c r="E1050" s="80" t="str">
        <f ca="1">IFERROR(__xludf.DUMMYFUNCTION("""COMPUTED_VALUE"""),"I")</f>
        <v>I</v>
      </c>
      <c r="F1050" s="80" t="str">
        <f ca="1">IFERROR(__xludf.DUMMYFUNCTION("""COMPUTED_VALUE"""),"S")</f>
        <v>S</v>
      </c>
      <c r="G1050" s="80">
        <f ca="1">IFERROR(__xludf.DUMMYFUNCTION("""COMPUTED_VALUE"""),3)</f>
        <v>3</v>
      </c>
      <c r="H1050" s="80" t="str">
        <f ca="1">IFERROR(__xludf.DUMMYFUNCTION("""COMPUTED_VALUE"""),"HV")</f>
        <v>HV</v>
      </c>
      <c r="I1050" s="80">
        <f ca="1">IFERROR(__xludf.DUMMYFUNCTION("""COMPUTED_VALUE"""),7)</f>
        <v>7</v>
      </c>
      <c r="J1050" s="81">
        <f ca="1">IFERROR(__xludf.DUMMYFUNCTION("""COMPUTED_VALUE"""),5)</f>
        <v>5</v>
      </c>
      <c r="K1050" s="81">
        <f ca="1">IFERROR(__xludf.DUMMYFUNCTION("""COMPUTED_VALUE"""),127.45)</f>
        <v>127.45</v>
      </c>
      <c r="L1050" s="81">
        <f ca="1">IFERROR(__xludf.DUMMYFUNCTION("""COMPUTED_VALUE"""),127.45)</f>
        <v>127.45</v>
      </c>
      <c r="M1050" s="81"/>
      <c r="N1050" s="81">
        <f ca="1">IFERROR(__xludf.DUMMYFUNCTION("""COMPUTED_VALUE"""),-153.2)</f>
        <v>-153.19999999999999</v>
      </c>
      <c r="O1050" s="81"/>
      <c r="P1050" s="81">
        <f ca="1">IFERROR(__xludf.DUMMYFUNCTION("""COMPUTED_VALUE"""),-153.85)</f>
        <v>-153.85</v>
      </c>
      <c r="Q1050" s="81"/>
      <c r="R1050" s="81">
        <f ca="1">IFERROR(__xludf.DUMMYFUNCTION("""COMPUTED_VALUE"""),-137.65)</f>
        <v>-137.65</v>
      </c>
      <c r="S1050" s="81"/>
      <c r="T1050" s="81"/>
      <c r="U1050" s="82"/>
      <c r="V1050" s="82"/>
      <c r="W1050" s="83"/>
      <c r="X1050" s="83"/>
      <c r="Y1050" s="83"/>
    </row>
    <row r="1051" spans="1:25" ht="13.8">
      <c r="A1051" s="78" t="str">
        <f ca="1">IFERROR(__xludf.DUMMYFUNCTION("""COMPUTED_VALUE"""),"HV")</f>
        <v>HV</v>
      </c>
      <c r="B1051" s="79" t="str">
        <f ca="1">IFERROR(__xludf.DUMMYFUNCTION("""COMPUTED_VALUE"""),"Nora Blasch")</f>
        <v>Nora Blasch</v>
      </c>
      <c r="C1051" s="78">
        <f ca="1">IFERROR(__xludf.DUMMYFUNCTION("""COMPUTED_VALUE"""),16)</f>
        <v>16</v>
      </c>
      <c r="D1051" s="78" t="str">
        <f ca="1">IFERROR(__xludf.DUMMYFUNCTION("""COMPUTED_VALUE"""),"G")</f>
        <v>G</v>
      </c>
      <c r="E1051" s="80" t="str">
        <f ca="1">IFERROR(__xludf.DUMMYFUNCTION("""COMPUTED_VALUE"""),"S")</f>
        <v>S</v>
      </c>
      <c r="F1051" s="80" t="str">
        <f ca="1">IFERROR(__xludf.DUMMYFUNCTION("""COMPUTED_VALUE"""),"S")</f>
        <v>S</v>
      </c>
      <c r="G1051" s="80">
        <f ca="1">IFERROR(__xludf.DUMMYFUNCTION("""COMPUTED_VALUE"""),3)</f>
        <v>3</v>
      </c>
      <c r="H1051" s="80" t="str">
        <f ca="1">IFERROR(__xludf.DUMMYFUNCTION("""COMPUTED_VALUE"""),"HV")</f>
        <v>HV</v>
      </c>
      <c r="I1051" s="80">
        <f ca="1">IFERROR(__xludf.DUMMYFUNCTION("""COMPUTED_VALUE"""),8)</f>
        <v>8</v>
      </c>
      <c r="J1051" s="81">
        <f ca="1">IFERROR(__xludf.DUMMYFUNCTION("""COMPUTED_VALUE"""),4)</f>
        <v>4</v>
      </c>
      <c r="K1051" s="81">
        <f ca="1">IFERROR(__xludf.DUMMYFUNCTION("""COMPUTED_VALUE"""),165.3)</f>
        <v>165.3</v>
      </c>
      <c r="L1051" s="81">
        <f ca="1">IFERROR(__xludf.DUMMYFUNCTION("""COMPUTED_VALUE"""),0)</f>
        <v>0</v>
      </c>
      <c r="M1051" s="81"/>
      <c r="N1051" s="81">
        <f ca="1">IFERROR(__xludf.DUMMYFUNCTION("""COMPUTED_VALUE"""),165.3)</f>
        <v>165.3</v>
      </c>
      <c r="O1051" s="81"/>
      <c r="P1051" s="81">
        <f ca="1">IFERROR(__xludf.DUMMYFUNCTION("""COMPUTED_VALUE"""),163.7)</f>
        <v>163.69999999999999</v>
      </c>
      <c r="Q1051" s="81"/>
      <c r="R1051" s="81">
        <f ca="1">IFERROR(__xludf.DUMMYFUNCTION("""COMPUTED_VALUE"""),154.45)</f>
        <v>154.44999999999999</v>
      </c>
      <c r="S1051" s="81"/>
      <c r="T1051" s="81"/>
      <c r="U1051" s="82"/>
      <c r="V1051" s="82"/>
      <c r="W1051" s="83"/>
      <c r="X1051" s="83"/>
      <c r="Y1051" s="83"/>
    </row>
    <row r="1052" spans="1:25" ht="13.8">
      <c r="A1052" s="78" t="str">
        <f ca="1">IFERROR(__xludf.DUMMYFUNCTION("""COMPUTED_VALUE"""),"HV")</f>
        <v>HV</v>
      </c>
      <c r="B1052" s="79" t="str">
        <f ca="1">IFERROR(__xludf.DUMMYFUNCTION("""COMPUTED_VALUE"""),"Ainsley Buckner")</f>
        <v>Ainsley Buckner</v>
      </c>
      <c r="C1052" s="78">
        <f ca="1">IFERROR(__xludf.DUMMYFUNCTION("""COMPUTED_VALUE"""),19)</f>
        <v>19</v>
      </c>
      <c r="D1052" s="78" t="str">
        <f ca="1">IFERROR(__xludf.DUMMYFUNCTION("""COMPUTED_VALUE"""),"G")</f>
        <v>G</v>
      </c>
      <c r="E1052" s="80" t="str">
        <f ca="1">IFERROR(__xludf.DUMMYFUNCTION("""COMPUTED_VALUE"""),"S")</f>
        <v>S</v>
      </c>
      <c r="F1052" s="80" t="str">
        <f ca="1">IFERROR(__xludf.DUMMYFUNCTION("""COMPUTED_VALUE"""),"S")</f>
        <v>S</v>
      </c>
      <c r="G1052" s="80">
        <f ca="1">IFERROR(__xludf.DUMMYFUNCTION("""COMPUTED_VALUE"""),3)</f>
        <v>3</v>
      </c>
      <c r="H1052" s="80" t="str">
        <f ca="1">IFERROR(__xludf.DUMMYFUNCTION("""COMPUTED_VALUE"""),"HV")</f>
        <v>HV</v>
      </c>
      <c r="I1052" s="80">
        <f ca="1">IFERROR(__xludf.DUMMYFUNCTION("""COMPUTED_VALUE"""),8)</f>
        <v>8</v>
      </c>
      <c r="J1052" s="81">
        <f ca="1">IFERROR(__xludf.DUMMYFUNCTION("""COMPUTED_VALUE"""),5)</f>
        <v>5</v>
      </c>
      <c r="K1052" s="81">
        <f ca="1">IFERROR(__xludf.DUMMYFUNCTION("""COMPUTED_VALUE"""),211.5)</f>
        <v>211.5</v>
      </c>
      <c r="L1052" s="81">
        <f ca="1">IFERROR(__xludf.DUMMYFUNCTION("""COMPUTED_VALUE"""),211.5)</f>
        <v>211.5</v>
      </c>
      <c r="M1052" s="81"/>
      <c r="N1052" s="81">
        <f ca="1">IFERROR(__xludf.DUMMYFUNCTION("""COMPUTED_VALUE"""),191.15)</f>
        <v>191.15</v>
      </c>
      <c r="O1052" s="81"/>
      <c r="P1052" s="81">
        <f ca="1">IFERROR(__xludf.DUMMYFUNCTION("""COMPUTED_VALUE"""),186.5)</f>
        <v>186.5</v>
      </c>
      <c r="Q1052" s="81"/>
      <c r="R1052" s="81">
        <f ca="1">IFERROR(__xludf.DUMMYFUNCTION("""COMPUTED_VALUE"""),188.2)</f>
        <v>188.2</v>
      </c>
      <c r="S1052" s="81"/>
      <c r="T1052" s="81"/>
      <c r="U1052" s="82"/>
      <c r="V1052" s="82"/>
      <c r="W1052" s="83"/>
      <c r="X1052" s="83"/>
      <c r="Y1052" s="83"/>
    </row>
    <row r="1053" spans="1:25" ht="13.8">
      <c r="A1053" s="78" t="str">
        <f ca="1">IFERROR(__xludf.DUMMYFUNCTION("""COMPUTED_VALUE"""),"HV")</f>
        <v>HV</v>
      </c>
      <c r="B1053" s="79" t="str">
        <f ca="1">IFERROR(__xludf.DUMMYFUNCTION("""COMPUTED_VALUE"""),"Madeline Orchard")</f>
        <v>Madeline Orchard</v>
      </c>
      <c r="C1053" s="78">
        <f ca="1">IFERROR(__xludf.DUMMYFUNCTION("""COMPUTED_VALUE"""),16)</f>
        <v>16</v>
      </c>
      <c r="D1053" s="78" t="str">
        <f ca="1">IFERROR(__xludf.DUMMYFUNCTION("""COMPUTED_VALUE"""),"G")</f>
        <v>G</v>
      </c>
      <c r="E1053" s="80" t="str">
        <f ca="1">IFERROR(__xludf.DUMMYFUNCTION("""COMPUTED_VALUE"""),"S")</f>
        <v>S</v>
      </c>
      <c r="F1053" s="80" t="str">
        <f ca="1">IFERROR(__xludf.DUMMYFUNCTION("""COMPUTED_VALUE"""),"S")</f>
        <v>S</v>
      </c>
      <c r="G1053" s="80">
        <f ca="1">IFERROR(__xludf.DUMMYFUNCTION("""COMPUTED_VALUE"""),3)</f>
        <v>3</v>
      </c>
      <c r="H1053" s="80" t="str">
        <f ca="1">IFERROR(__xludf.DUMMYFUNCTION("""COMPUTED_VALUE"""),"HV")</f>
        <v>HV</v>
      </c>
      <c r="I1053" s="80">
        <f ca="1">IFERROR(__xludf.DUMMYFUNCTION("""COMPUTED_VALUE"""),8)</f>
        <v>8</v>
      </c>
      <c r="J1053" s="81">
        <f ca="1">IFERROR(__xludf.DUMMYFUNCTION("""COMPUTED_VALUE"""),3)</f>
        <v>3</v>
      </c>
      <c r="K1053" s="81">
        <f ca="1">IFERROR(__xludf.DUMMYFUNCTION("""COMPUTED_VALUE"""),175.7)</f>
        <v>175.7</v>
      </c>
      <c r="L1053" s="81">
        <f ca="1">IFERROR(__xludf.DUMMYFUNCTION("""COMPUTED_VALUE"""),0)</f>
        <v>0</v>
      </c>
      <c r="M1053" s="81"/>
      <c r="N1053" s="81">
        <f ca="1">IFERROR(__xludf.DUMMYFUNCTION("""COMPUTED_VALUE"""),159.15)</f>
        <v>159.15</v>
      </c>
      <c r="O1053" s="81"/>
      <c r="P1053" s="81">
        <f ca="1">IFERROR(__xludf.DUMMYFUNCTION("""COMPUTED_VALUE"""),175.7)</f>
        <v>175.7</v>
      </c>
      <c r="Q1053" s="81"/>
      <c r="R1053" s="81">
        <f ca="1">IFERROR(__xludf.DUMMYFUNCTION("""COMPUTED_VALUE"""),152.75)</f>
        <v>152.75</v>
      </c>
      <c r="S1053" s="81"/>
      <c r="T1053" s="81"/>
      <c r="U1053" s="82"/>
      <c r="V1053" s="82"/>
      <c r="W1053" s="83"/>
      <c r="X1053" s="83"/>
      <c r="Y1053" s="83"/>
    </row>
    <row r="1054" spans="1:25" ht="13.8">
      <c r="A1054" s="78" t="str">
        <f ca="1">IFERROR(__xludf.DUMMYFUNCTION("""COMPUTED_VALUE"""),"HV")</f>
        <v>HV</v>
      </c>
      <c r="B1054" s="79" t="str">
        <f ca="1">IFERROR(__xludf.DUMMYFUNCTION("""COMPUTED_VALUE"""),"Finnian Gelbach")</f>
        <v>Finnian Gelbach</v>
      </c>
      <c r="C1054" s="78">
        <f ca="1">IFERROR(__xludf.DUMMYFUNCTION("""COMPUTED_VALUE"""),16)</f>
        <v>16</v>
      </c>
      <c r="D1054" s="78" t="str">
        <f ca="1">IFERROR(__xludf.DUMMYFUNCTION("""COMPUTED_VALUE"""),"B")</f>
        <v>B</v>
      </c>
      <c r="E1054" s="80" t="str">
        <f ca="1">IFERROR(__xludf.DUMMYFUNCTION("""COMPUTED_VALUE"""),"S")</f>
        <v>S</v>
      </c>
      <c r="F1054" s="80" t="str">
        <f ca="1">IFERROR(__xludf.DUMMYFUNCTION("""COMPUTED_VALUE"""),"S")</f>
        <v>S</v>
      </c>
      <c r="G1054" s="80">
        <f ca="1">IFERROR(__xludf.DUMMYFUNCTION("""COMPUTED_VALUE"""),3)</f>
        <v>3</v>
      </c>
      <c r="H1054" s="80" t="str">
        <f ca="1">IFERROR(__xludf.DUMMYFUNCTION("""COMPUTED_VALUE"""),"HV")</f>
        <v>HV</v>
      </c>
      <c r="I1054" s="80">
        <f ca="1">IFERROR(__xludf.DUMMYFUNCTION("""COMPUTED_VALUE"""),9)</f>
        <v>9</v>
      </c>
      <c r="J1054" s="81">
        <f ca="1">IFERROR(__xludf.DUMMYFUNCTION("""COMPUTED_VALUE"""),4)</f>
        <v>4</v>
      </c>
      <c r="K1054" s="81">
        <f ca="1">IFERROR(__xludf.DUMMYFUNCTION("""COMPUTED_VALUE"""),278.6)</f>
        <v>278.60000000000002</v>
      </c>
      <c r="L1054" s="81">
        <f ca="1">IFERROR(__xludf.DUMMYFUNCTION("""COMPUTED_VALUE"""),216.6)</f>
        <v>216.6</v>
      </c>
      <c r="M1054" s="81"/>
      <c r="N1054" s="81">
        <f ca="1">IFERROR(__xludf.DUMMYFUNCTION("""COMPUTED_VALUE"""),269.2)</f>
        <v>269.2</v>
      </c>
      <c r="O1054" s="81"/>
      <c r="P1054" s="81">
        <f ca="1">IFERROR(__xludf.DUMMYFUNCTION("""COMPUTED_VALUE"""),278.6)</f>
        <v>278.60000000000002</v>
      </c>
      <c r="Q1054" s="81"/>
      <c r="R1054" s="81">
        <f ca="1">IFERROR(__xludf.DUMMYFUNCTION("""COMPUTED_VALUE"""),0)</f>
        <v>0</v>
      </c>
      <c r="S1054" s="81"/>
      <c r="T1054" s="81"/>
      <c r="U1054" s="82"/>
      <c r="V1054" s="82"/>
      <c r="W1054" s="83"/>
      <c r="X1054" s="83"/>
      <c r="Y1054" s="83"/>
    </row>
    <row r="1055" spans="1:25" ht="13.8">
      <c r="A1055" s="78" t="str">
        <f ca="1">IFERROR(__xludf.DUMMYFUNCTION("""COMPUTED_VALUE"""),"IC")</f>
        <v>IC</v>
      </c>
      <c r="B1055" s="79" t="str">
        <f ca="1">IFERROR(__xludf.DUMMYFUNCTION("""COMPUTED_VALUE"""),"Quincy Cluff")</f>
        <v>Quincy Cluff</v>
      </c>
      <c r="C1055" s="78">
        <f ca="1">IFERROR(__xludf.DUMMYFUNCTION("""COMPUTED_VALUE"""),6)</f>
        <v>6</v>
      </c>
      <c r="D1055" s="78" t="str">
        <f ca="1">IFERROR(__xludf.DUMMYFUNCTION("""COMPUTED_VALUE"""),"G")</f>
        <v>G</v>
      </c>
      <c r="E1055" s="80" t="str">
        <f ca="1">IFERROR(__xludf.DUMMYFUNCTION("""COMPUTED_VALUE"""),"F")</f>
        <v>F</v>
      </c>
      <c r="F1055" s="80" t="str">
        <f ca="1">IFERROR(__xludf.DUMMYFUNCTION("""COMPUTED_VALUE"""),"J")</f>
        <v>J</v>
      </c>
      <c r="G1055" s="80">
        <f ca="1">IFERROR(__xludf.DUMMYFUNCTION("""COMPUTED_VALUE"""),8)</f>
        <v>8</v>
      </c>
      <c r="H1055" s="80" t="str">
        <f ca="1">IFERROR(__xludf.DUMMYFUNCTION("""COMPUTED_VALUE"""),"IC")</f>
        <v>IC</v>
      </c>
      <c r="I1055" s="80">
        <f ca="1">IFERROR(__xludf.DUMMYFUNCTION("""COMPUTED_VALUE"""),2)</f>
        <v>2</v>
      </c>
      <c r="J1055" s="81">
        <f ca="1">IFERROR(__xludf.DUMMYFUNCTION("""COMPUTED_VALUE"""),0)</f>
        <v>0</v>
      </c>
      <c r="K1055" s="81">
        <f ca="1">IFERROR(__xludf.DUMMYFUNCTION("""COMPUTED_VALUE"""),0)</f>
        <v>0</v>
      </c>
      <c r="L1055" s="81">
        <f ca="1">IFERROR(__xludf.DUMMYFUNCTION("""COMPUTED_VALUE"""),0)</f>
        <v>0</v>
      </c>
      <c r="M1055" s="81"/>
      <c r="N1055" s="81">
        <f ca="1">IFERROR(__xludf.DUMMYFUNCTION("""COMPUTED_VALUE"""),0)</f>
        <v>0</v>
      </c>
      <c r="O1055" s="81"/>
      <c r="P1055" s="81">
        <f ca="1">IFERROR(__xludf.DUMMYFUNCTION("""COMPUTED_VALUE"""),0)</f>
        <v>0</v>
      </c>
      <c r="Q1055" s="81"/>
      <c r="R1055" s="81">
        <f ca="1">IFERROR(__xludf.DUMMYFUNCTION("""COMPUTED_VALUE"""),0)</f>
        <v>0</v>
      </c>
      <c r="S1055" s="81"/>
      <c r="T1055" s="81"/>
      <c r="U1055" s="82"/>
      <c r="V1055" s="82"/>
      <c r="W1055" s="83"/>
      <c r="X1055" s="83"/>
      <c r="Y1055" s="83"/>
    </row>
    <row r="1056" spans="1:25" ht="13.8">
      <c r="A1056" s="78" t="str">
        <f ca="1">IFERROR(__xludf.DUMMYFUNCTION("""COMPUTED_VALUE"""),"IC")</f>
        <v>IC</v>
      </c>
      <c r="B1056" s="79" t="str">
        <f ca="1">IFERROR(__xludf.DUMMYFUNCTION("""COMPUTED_VALUE"""),"Adriana Erb")</f>
        <v>Adriana Erb</v>
      </c>
      <c r="C1056" s="78">
        <f ca="1">IFERROR(__xludf.DUMMYFUNCTION("""COMPUTED_VALUE"""),8)</f>
        <v>8</v>
      </c>
      <c r="D1056" s="78" t="str">
        <f ca="1">IFERROR(__xludf.DUMMYFUNCTION("""COMPUTED_VALUE"""),"G")</f>
        <v>G</v>
      </c>
      <c r="E1056" s="80" t="str">
        <f ca="1">IFERROR(__xludf.DUMMYFUNCTION("""COMPUTED_VALUE"""),"F")</f>
        <v>F</v>
      </c>
      <c r="F1056" s="80" t="str">
        <f ca="1">IFERROR(__xludf.DUMMYFUNCTION("""COMPUTED_VALUE"""),"J")</f>
        <v>J</v>
      </c>
      <c r="G1056" s="80">
        <f ca="1">IFERROR(__xludf.DUMMYFUNCTION("""COMPUTED_VALUE"""),8)</f>
        <v>8</v>
      </c>
      <c r="H1056" s="80" t="str">
        <f ca="1">IFERROR(__xludf.DUMMYFUNCTION("""COMPUTED_VALUE"""),"IC")</f>
        <v>IC</v>
      </c>
      <c r="I1056" s="80">
        <f ca="1">IFERROR(__xludf.DUMMYFUNCTION("""COMPUTED_VALUE"""),2)</f>
        <v>2</v>
      </c>
      <c r="J1056" s="81">
        <f ca="1">IFERROR(__xludf.DUMMYFUNCTION("""COMPUTED_VALUE"""),0)</f>
        <v>0</v>
      </c>
      <c r="K1056" s="81">
        <f ca="1">IFERROR(__xludf.DUMMYFUNCTION("""COMPUTED_VALUE"""),0)</f>
        <v>0</v>
      </c>
      <c r="L1056" s="81">
        <f ca="1">IFERROR(__xludf.DUMMYFUNCTION("""COMPUTED_VALUE"""),0)</f>
        <v>0</v>
      </c>
      <c r="M1056" s="81"/>
      <c r="N1056" s="81">
        <f ca="1">IFERROR(__xludf.DUMMYFUNCTION("""COMPUTED_VALUE"""),0)</f>
        <v>0</v>
      </c>
      <c r="O1056" s="81"/>
      <c r="P1056" s="81">
        <f ca="1">IFERROR(__xludf.DUMMYFUNCTION("""COMPUTED_VALUE"""),0)</f>
        <v>0</v>
      </c>
      <c r="Q1056" s="81"/>
      <c r="R1056" s="81">
        <f ca="1">IFERROR(__xludf.DUMMYFUNCTION("""COMPUTED_VALUE"""),0)</f>
        <v>0</v>
      </c>
      <c r="S1056" s="81"/>
      <c r="T1056" s="81"/>
      <c r="U1056" s="82"/>
      <c r="V1056" s="82"/>
      <c r="W1056" s="83"/>
      <c r="X1056" s="83"/>
      <c r="Y1056" s="83"/>
    </row>
    <row r="1057" spans="1:25" ht="13.8">
      <c r="A1057" s="78" t="str">
        <f ca="1">IFERROR(__xludf.DUMMYFUNCTION("""COMPUTED_VALUE"""),"IC")</f>
        <v>IC</v>
      </c>
      <c r="B1057" s="79" t="str">
        <f ca="1">IFERROR(__xludf.DUMMYFUNCTION("""COMPUTED_VALUE"""),"Amaya Erb")</f>
        <v>Amaya Erb</v>
      </c>
      <c r="C1057" s="78">
        <f ca="1">IFERROR(__xludf.DUMMYFUNCTION("""COMPUTED_VALUE"""),10)</f>
        <v>10</v>
      </c>
      <c r="D1057" s="78" t="str">
        <f ca="1">IFERROR(__xludf.DUMMYFUNCTION("""COMPUTED_VALUE"""),"G")</f>
        <v>G</v>
      </c>
      <c r="E1057" s="80" t="str">
        <f ca="1">IFERROR(__xludf.DUMMYFUNCTION("""COMPUTED_VALUE"""),"F")</f>
        <v>F</v>
      </c>
      <c r="F1057" s="80" t="str">
        <f ca="1">IFERROR(__xludf.DUMMYFUNCTION("""COMPUTED_VALUE"""),"J")</f>
        <v>J</v>
      </c>
      <c r="G1057" s="80">
        <f ca="1">IFERROR(__xludf.DUMMYFUNCTION("""COMPUTED_VALUE"""),8)</f>
        <v>8</v>
      </c>
      <c r="H1057" s="80" t="str">
        <f ca="1">IFERROR(__xludf.DUMMYFUNCTION("""COMPUTED_VALUE"""),"IC")</f>
        <v>IC</v>
      </c>
      <c r="I1057" s="80">
        <f ca="1">IFERROR(__xludf.DUMMYFUNCTION("""COMPUTED_VALUE"""),2)</f>
        <v>2</v>
      </c>
      <c r="J1057" s="81">
        <f ca="1">IFERROR(__xludf.DUMMYFUNCTION("""COMPUTED_VALUE"""),3)</f>
        <v>3</v>
      </c>
      <c r="K1057" s="81">
        <f ca="1">IFERROR(__xludf.DUMMYFUNCTION("""COMPUTED_VALUE"""),67.65)</f>
        <v>67.650000000000006</v>
      </c>
      <c r="L1057" s="81">
        <f ca="1">IFERROR(__xludf.DUMMYFUNCTION("""COMPUTED_VALUE"""),0)</f>
        <v>0</v>
      </c>
      <c r="M1057" s="81"/>
      <c r="N1057" s="81">
        <f ca="1">IFERROR(__xludf.DUMMYFUNCTION("""COMPUTED_VALUE"""),0)</f>
        <v>0</v>
      </c>
      <c r="O1057" s="81"/>
      <c r="P1057" s="81">
        <f ca="1">IFERROR(__xludf.DUMMYFUNCTION("""COMPUTED_VALUE"""),67.65)</f>
        <v>67.650000000000006</v>
      </c>
      <c r="Q1057" s="81"/>
      <c r="R1057" s="81">
        <f ca="1">IFERROR(__xludf.DUMMYFUNCTION("""COMPUTED_VALUE"""),65.15)</f>
        <v>65.150000000000006</v>
      </c>
      <c r="S1057" s="81"/>
      <c r="T1057" s="81"/>
      <c r="U1057" s="82"/>
      <c r="V1057" s="82"/>
      <c r="W1057" s="83"/>
      <c r="X1057" s="83"/>
      <c r="Y1057" s="83"/>
    </row>
    <row r="1058" spans="1:25" ht="13.8">
      <c r="A1058" s="78" t="str">
        <f ca="1">IFERROR(__xludf.DUMMYFUNCTION("""COMPUTED_VALUE"""),"IC")</f>
        <v>IC</v>
      </c>
      <c r="B1058" s="79" t="str">
        <f ca="1">IFERROR(__xludf.DUMMYFUNCTION("""COMPUTED_VALUE"""),"Adeline Mininger")</f>
        <v>Adeline Mininger</v>
      </c>
      <c r="C1058" s="78">
        <f ca="1">IFERROR(__xludf.DUMMYFUNCTION("""COMPUTED_VALUE"""),9)</f>
        <v>9</v>
      </c>
      <c r="D1058" s="78" t="str">
        <f ca="1">IFERROR(__xludf.DUMMYFUNCTION("""COMPUTED_VALUE"""),"G")</f>
        <v>G</v>
      </c>
      <c r="E1058" s="80" t="str">
        <f ca="1">IFERROR(__xludf.DUMMYFUNCTION("""COMPUTED_VALUE"""),"F")</f>
        <v>F</v>
      </c>
      <c r="F1058" s="80" t="str">
        <f ca="1">IFERROR(__xludf.DUMMYFUNCTION("""COMPUTED_VALUE"""),"J")</f>
        <v>J</v>
      </c>
      <c r="G1058" s="80">
        <f ca="1">IFERROR(__xludf.DUMMYFUNCTION("""COMPUTED_VALUE"""),8)</f>
        <v>8</v>
      </c>
      <c r="H1058" s="80" t="str">
        <f ca="1">IFERROR(__xludf.DUMMYFUNCTION("""COMPUTED_VALUE"""),"IC")</f>
        <v>IC</v>
      </c>
      <c r="I1058" s="80">
        <f ca="1">IFERROR(__xludf.DUMMYFUNCTION("""COMPUTED_VALUE"""),2)</f>
        <v>2</v>
      </c>
      <c r="J1058" s="81">
        <f ca="1">IFERROR(__xludf.DUMMYFUNCTION("""COMPUTED_VALUE"""),1)</f>
        <v>1</v>
      </c>
      <c r="K1058" s="81">
        <f ca="1">IFERROR(__xludf.DUMMYFUNCTION("""COMPUTED_VALUE"""),25.55)</f>
        <v>25.55</v>
      </c>
      <c r="L1058" s="81">
        <f ca="1">IFERROR(__xludf.DUMMYFUNCTION("""COMPUTED_VALUE"""),25.55)</f>
        <v>25.55</v>
      </c>
      <c r="M1058" s="81"/>
      <c r="N1058" s="81">
        <f ca="1">IFERROR(__xludf.DUMMYFUNCTION("""COMPUTED_VALUE"""),0)</f>
        <v>0</v>
      </c>
      <c r="O1058" s="81"/>
      <c r="P1058" s="81">
        <f ca="1">IFERROR(__xludf.DUMMYFUNCTION("""COMPUTED_VALUE"""),0)</f>
        <v>0</v>
      </c>
      <c r="Q1058" s="81"/>
      <c r="R1058" s="81">
        <f ca="1">IFERROR(__xludf.DUMMYFUNCTION("""COMPUTED_VALUE"""),0)</f>
        <v>0</v>
      </c>
      <c r="S1058" s="81"/>
      <c r="T1058" s="81"/>
      <c r="U1058" s="82"/>
      <c r="V1058" s="82"/>
      <c r="W1058" s="83"/>
      <c r="X1058" s="83"/>
      <c r="Y1058" s="83"/>
    </row>
    <row r="1059" spans="1:25" ht="13.8">
      <c r="A1059" s="78" t="str">
        <f ca="1">IFERROR(__xludf.DUMMYFUNCTION("""COMPUTED_VALUE"""),"IC")</f>
        <v>IC</v>
      </c>
      <c r="B1059" s="79" t="str">
        <f ca="1">IFERROR(__xludf.DUMMYFUNCTION("""COMPUTED_VALUE"""),"Katie Nolan")</f>
        <v>Katie Nolan</v>
      </c>
      <c r="C1059" s="78">
        <f ca="1">IFERROR(__xludf.DUMMYFUNCTION("""COMPUTED_VALUE"""),9)</f>
        <v>9</v>
      </c>
      <c r="D1059" s="78" t="str">
        <f ca="1">IFERROR(__xludf.DUMMYFUNCTION("""COMPUTED_VALUE"""),"G")</f>
        <v>G</v>
      </c>
      <c r="E1059" s="80" t="str">
        <f ca="1">IFERROR(__xludf.DUMMYFUNCTION("""COMPUTED_VALUE"""),"F")</f>
        <v>F</v>
      </c>
      <c r="F1059" s="80" t="str">
        <f ca="1">IFERROR(__xludf.DUMMYFUNCTION("""COMPUTED_VALUE"""),"J")</f>
        <v>J</v>
      </c>
      <c r="G1059" s="80">
        <f ca="1">IFERROR(__xludf.DUMMYFUNCTION("""COMPUTED_VALUE"""),8)</f>
        <v>8</v>
      </c>
      <c r="H1059" s="80" t="str">
        <f ca="1">IFERROR(__xludf.DUMMYFUNCTION("""COMPUTED_VALUE"""),"IC")</f>
        <v>IC</v>
      </c>
      <c r="I1059" s="80">
        <f ca="1">IFERROR(__xludf.DUMMYFUNCTION("""COMPUTED_VALUE"""),2)</f>
        <v>2</v>
      </c>
      <c r="J1059" s="81">
        <f ca="1">IFERROR(__xludf.DUMMYFUNCTION("""COMPUTED_VALUE"""),3)</f>
        <v>3</v>
      </c>
      <c r="K1059" s="81">
        <f ca="1">IFERROR(__xludf.DUMMYFUNCTION("""COMPUTED_VALUE"""),50.4)</f>
        <v>50.4</v>
      </c>
      <c r="L1059" s="81">
        <f ca="1">IFERROR(__xludf.DUMMYFUNCTION("""COMPUTED_VALUE"""),50.4)</f>
        <v>50.4</v>
      </c>
      <c r="M1059" s="81"/>
      <c r="N1059" s="81">
        <f ca="1">IFERROR(__xludf.DUMMYFUNCTION("""COMPUTED_VALUE"""),0)</f>
        <v>0</v>
      </c>
      <c r="O1059" s="81"/>
      <c r="P1059" s="81">
        <f ca="1">IFERROR(__xludf.DUMMYFUNCTION("""COMPUTED_VALUE"""),0)</f>
        <v>0</v>
      </c>
      <c r="Q1059" s="81"/>
      <c r="R1059" s="81">
        <f ca="1">IFERROR(__xludf.DUMMYFUNCTION("""COMPUTED_VALUE"""),44.3)</f>
        <v>44.3</v>
      </c>
      <c r="S1059" s="81"/>
      <c r="T1059" s="81"/>
      <c r="U1059" s="82"/>
      <c r="V1059" s="82"/>
      <c r="W1059" s="83"/>
      <c r="X1059" s="83"/>
      <c r="Y1059" s="83"/>
    </row>
    <row r="1060" spans="1:25" ht="13.8">
      <c r="A1060" s="78" t="str">
        <f ca="1">IFERROR(__xludf.DUMMYFUNCTION("""COMPUTED_VALUE"""),"IC")</f>
        <v>IC</v>
      </c>
      <c r="B1060" s="79" t="str">
        <f ca="1">IFERROR(__xludf.DUMMYFUNCTION("""COMPUTED_VALUE"""),"Rosalie Thornton")</f>
        <v>Rosalie Thornton</v>
      </c>
      <c r="C1060" s="78">
        <f ca="1">IFERROR(__xludf.DUMMYFUNCTION("""COMPUTED_VALUE"""),8)</f>
        <v>8</v>
      </c>
      <c r="D1060" s="78" t="str">
        <f ca="1">IFERROR(__xludf.DUMMYFUNCTION("""COMPUTED_VALUE"""),"G")</f>
        <v>G</v>
      </c>
      <c r="E1060" s="80" t="str">
        <f ca="1">IFERROR(__xludf.DUMMYFUNCTION("""COMPUTED_VALUE"""),"F")</f>
        <v>F</v>
      </c>
      <c r="F1060" s="80" t="str">
        <f ca="1">IFERROR(__xludf.DUMMYFUNCTION("""COMPUTED_VALUE"""),"J")</f>
        <v>J</v>
      </c>
      <c r="G1060" s="80">
        <f ca="1">IFERROR(__xludf.DUMMYFUNCTION("""COMPUTED_VALUE"""),8)</f>
        <v>8</v>
      </c>
      <c r="H1060" s="80" t="str">
        <f ca="1">IFERROR(__xludf.DUMMYFUNCTION("""COMPUTED_VALUE"""),"IC")</f>
        <v>IC</v>
      </c>
      <c r="I1060" s="80">
        <f ca="1">IFERROR(__xludf.DUMMYFUNCTION("""COMPUTED_VALUE"""),2)</f>
        <v>2</v>
      </c>
      <c r="J1060" s="81">
        <f ca="1">IFERROR(__xludf.DUMMYFUNCTION("""COMPUTED_VALUE"""),4)</f>
        <v>4</v>
      </c>
      <c r="K1060" s="81">
        <f ca="1">IFERROR(__xludf.DUMMYFUNCTION("""COMPUTED_VALUE"""),49.7)</f>
        <v>49.7</v>
      </c>
      <c r="L1060" s="81">
        <f ca="1">IFERROR(__xludf.DUMMYFUNCTION("""COMPUTED_VALUE"""),0)</f>
        <v>0</v>
      </c>
      <c r="M1060" s="81"/>
      <c r="N1060" s="81">
        <f ca="1">IFERROR(__xludf.DUMMYFUNCTION("""COMPUTED_VALUE"""),42.75)</f>
        <v>42.75</v>
      </c>
      <c r="O1060" s="81"/>
      <c r="P1060" s="81">
        <f ca="1">IFERROR(__xludf.DUMMYFUNCTION("""COMPUTED_VALUE"""),46.2)</f>
        <v>46.2</v>
      </c>
      <c r="Q1060" s="81"/>
      <c r="R1060" s="81">
        <f ca="1">IFERROR(__xludf.DUMMYFUNCTION("""COMPUTED_VALUE"""),49.7)</f>
        <v>49.7</v>
      </c>
      <c r="S1060" s="81"/>
      <c r="T1060" s="81"/>
      <c r="U1060" s="82"/>
      <c r="V1060" s="82"/>
      <c r="W1060" s="83"/>
      <c r="X1060" s="83"/>
      <c r="Y1060" s="83"/>
    </row>
    <row r="1061" spans="1:25" ht="13.8">
      <c r="A1061" s="78" t="str">
        <f ca="1">IFERROR(__xludf.DUMMYFUNCTION("""COMPUTED_VALUE"""),"IC")</f>
        <v>IC</v>
      </c>
      <c r="B1061" s="79" t="str">
        <f ca="1">IFERROR(__xludf.DUMMYFUNCTION("""COMPUTED_VALUE"""),"Emmett Kropf")</f>
        <v>Emmett Kropf</v>
      </c>
      <c r="C1061" s="78">
        <f ca="1">IFERROR(__xludf.DUMMYFUNCTION("""COMPUTED_VALUE"""),9)</f>
        <v>9</v>
      </c>
      <c r="D1061" s="78" t="str">
        <f ca="1">IFERROR(__xludf.DUMMYFUNCTION("""COMPUTED_VALUE"""),"B")</f>
        <v>B</v>
      </c>
      <c r="E1061" s="80" t="str">
        <f ca="1">IFERROR(__xludf.DUMMYFUNCTION("""COMPUTED_VALUE"""),"F")</f>
        <v>F</v>
      </c>
      <c r="F1061" s="80" t="str">
        <f ca="1">IFERROR(__xludf.DUMMYFUNCTION("""COMPUTED_VALUE"""),"J")</f>
        <v>J</v>
      </c>
      <c r="G1061" s="80">
        <f ca="1">IFERROR(__xludf.DUMMYFUNCTION("""COMPUTED_VALUE"""),8)</f>
        <v>8</v>
      </c>
      <c r="H1061" s="80" t="str">
        <f ca="1">IFERROR(__xludf.DUMMYFUNCTION("""COMPUTED_VALUE"""),"IC")</f>
        <v>IC</v>
      </c>
      <c r="I1061" s="80">
        <f ca="1">IFERROR(__xludf.DUMMYFUNCTION("""COMPUTED_VALUE"""),3)</f>
        <v>3</v>
      </c>
      <c r="J1061" s="81">
        <f ca="1">IFERROR(__xludf.DUMMYFUNCTION("""COMPUTED_VALUE"""),4)</f>
        <v>4</v>
      </c>
      <c r="K1061" s="81">
        <f ca="1">IFERROR(__xludf.DUMMYFUNCTION("""COMPUTED_VALUE"""),27.2)</f>
        <v>27.2</v>
      </c>
      <c r="L1061" s="81">
        <f ca="1">IFERROR(__xludf.DUMMYFUNCTION("""COMPUTED_VALUE"""),12.6)</f>
        <v>12.6</v>
      </c>
      <c r="M1061" s="81"/>
      <c r="N1061" s="81">
        <f ca="1">IFERROR(__xludf.DUMMYFUNCTION("""COMPUTED_VALUE"""),22.9)</f>
        <v>22.9</v>
      </c>
      <c r="O1061" s="81"/>
      <c r="P1061" s="81">
        <f ca="1">IFERROR(__xludf.DUMMYFUNCTION("""COMPUTED_VALUE"""),27.2)</f>
        <v>27.2</v>
      </c>
      <c r="Q1061" s="81"/>
      <c r="R1061" s="81">
        <f ca="1">IFERROR(__xludf.DUMMYFUNCTION("""COMPUTED_VALUE"""),0)</f>
        <v>0</v>
      </c>
      <c r="S1061" s="81"/>
      <c r="T1061" s="81"/>
      <c r="U1061" s="82"/>
      <c r="V1061" s="82"/>
      <c r="W1061" s="83"/>
      <c r="X1061" s="83"/>
      <c r="Y1061" s="83"/>
    </row>
    <row r="1062" spans="1:25" ht="13.8">
      <c r="A1062" s="78" t="str">
        <f ca="1">IFERROR(__xludf.DUMMYFUNCTION("""COMPUTED_VALUE"""),"IC")</f>
        <v>IC</v>
      </c>
      <c r="B1062" s="79" t="str">
        <f ca="1">IFERROR(__xludf.DUMMYFUNCTION("""COMPUTED_VALUE"""),"Henry Kropf")</f>
        <v>Henry Kropf</v>
      </c>
      <c r="C1062" s="78">
        <f ca="1">IFERROR(__xludf.DUMMYFUNCTION("""COMPUTED_VALUE"""),7)</f>
        <v>7</v>
      </c>
      <c r="D1062" s="78" t="str">
        <f ca="1">IFERROR(__xludf.DUMMYFUNCTION("""COMPUTED_VALUE"""),"B")</f>
        <v>B</v>
      </c>
      <c r="E1062" s="80" t="str">
        <f ca="1">IFERROR(__xludf.DUMMYFUNCTION("""COMPUTED_VALUE"""),"F")</f>
        <v>F</v>
      </c>
      <c r="F1062" s="80" t="str">
        <f ca="1">IFERROR(__xludf.DUMMYFUNCTION("""COMPUTED_VALUE"""),"J")</f>
        <v>J</v>
      </c>
      <c r="G1062" s="80">
        <f ca="1">IFERROR(__xludf.DUMMYFUNCTION("""COMPUTED_VALUE"""),8)</f>
        <v>8</v>
      </c>
      <c r="H1062" s="80" t="str">
        <f ca="1">IFERROR(__xludf.DUMMYFUNCTION("""COMPUTED_VALUE"""),"IC")</f>
        <v>IC</v>
      </c>
      <c r="I1062" s="80">
        <f ca="1">IFERROR(__xludf.DUMMYFUNCTION("""COMPUTED_VALUE"""),3)</f>
        <v>3</v>
      </c>
      <c r="J1062" s="81">
        <f ca="1">IFERROR(__xludf.DUMMYFUNCTION("""COMPUTED_VALUE"""),1)</f>
        <v>1</v>
      </c>
      <c r="K1062" s="81">
        <f ca="1">IFERROR(__xludf.DUMMYFUNCTION("""COMPUTED_VALUE"""),0)</f>
        <v>0</v>
      </c>
      <c r="L1062" s="81">
        <f ca="1">IFERROR(__xludf.DUMMYFUNCTION("""COMPUTED_VALUE"""),0)</f>
        <v>0</v>
      </c>
      <c r="M1062" s="81"/>
      <c r="N1062" s="81">
        <f ca="1">IFERROR(__xludf.DUMMYFUNCTION("""COMPUTED_VALUE"""),0)</f>
        <v>0</v>
      </c>
      <c r="O1062" s="81"/>
      <c r="P1062" s="81">
        <f ca="1">IFERROR(__xludf.DUMMYFUNCTION("""COMPUTED_VALUE"""),0)</f>
        <v>0</v>
      </c>
      <c r="Q1062" s="81"/>
      <c r="R1062" s="81">
        <f ca="1">IFERROR(__xludf.DUMMYFUNCTION("""COMPUTED_VALUE"""),0)</f>
        <v>0</v>
      </c>
      <c r="S1062" s="81"/>
      <c r="T1062" s="81"/>
      <c r="U1062" s="82"/>
      <c r="V1062" s="82"/>
      <c r="W1062" s="83"/>
      <c r="X1062" s="83"/>
      <c r="Y1062" s="83"/>
    </row>
    <row r="1063" spans="1:25" ht="13.8">
      <c r="A1063" s="78" t="str">
        <f ca="1">IFERROR(__xludf.DUMMYFUNCTION("""COMPUTED_VALUE"""),"IC")</f>
        <v>IC</v>
      </c>
      <c r="B1063" s="79" t="str">
        <f ca="1">IFERROR(__xludf.DUMMYFUNCTION("""COMPUTED_VALUE"""),"Luke Kropf")</f>
        <v>Luke Kropf</v>
      </c>
      <c r="C1063" s="78">
        <f ca="1">IFERROR(__xludf.DUMMYFUNCTION("""COMPUTED_VALUE"""),10)</f>
        <v>10</v>
      </c>
      <c r="D1063" s="78" t="str">
        <f ca="1">IFERROR(__xludf.DUMMYFUNCTION("""COMPUTED_VALUE"""),"B")</f>
        <v>B</v>
      </c>
      <c r="E1063" s="80" t="str">
        <f ca="1">IFERROR(__xludf.DUMMYFUNCTION("""COMPUTED_VALUE"""),"F")</f>
        <v>F</v>
      </c>
      <c r="F1063" s="80" t="str">
        <f ca="1">IFERROR(__xludf.DUMMYFUNCTION("""COMPUTED_VALUE"""),"J")</f>
        <v>J</v>
      </c>
      <c r="G1063" s="80">
        <f ca="1">IFERROR(__xludf.DUMMYFUNCTION("""COMPUTED_VALUE"""),8)</f>
        <v>8</v>
      </c>
      <c r="H1063" s="80" t="str">
        <f ca="1">IFERROR(__xludf.DUMMYFUNCTION("""COMPUTED_VALUE"""),"IC")</f>
        <v>IC</v>
      </c>
      <c r="I1063" s="80">
        <f ca="1">IFERROR(__xludf.DUMMYFUNCTION("""COMPUTED_VALUE"""),3)</f>
        <v>3</v>
      </c>
      <c r="J1063" s="81">
        <f ca="1">IFERROR(__xludf.DUMMYFUNCTION("""COMPUTED_VALUE"""),3)</f>
        <v>3</v>
      </c>
      <c r="K1063" s="81">
        <f ca="1">IFERROR(__xludf.DUMMYFUNCTION("""COMPUTED_VALUE"""),46.9)</f>
        <v>46.9</v>
      </c>
      <c r="L1063" s="81">
        <f ca="1">IFERROR(__xludf.DUMMYFUNCTION("""COMPUTED_VALUE"""),0)</f>
        <v>0</v>
      </c>
      <c r="M1063" s="81"/>
      <c r="N1063" s="81">
        <f ca="1">IFERROR(__xludf.DUMMYFUNCTION("""COMPUTED_VALUE"""),46.9)</f>
        <v>46.9</v>
      </c>
      <c r="O1063" s="81"/>
      <c r="P1063" s="81">
        <f ca="1">IFERROR(__xludf.DUMMYFUNCTION("""COMPUTED_VALUE"""),46)</f>
        <v>46</v>
      </c>
      <c r="Q1063" s="81"/>
      <c r="R1063" s="81">
        <f ca="1">IFERROR(__xludf.DUMMYFUNCTION("""COMPUTED_VALUE"""),0)</f>
        <v>0</v>
      </c>
      <c r="S1063" s="81"/>
      <c r="T1063" s="81"/>
      <c r="U1063" s="82"/>
      <c r="V1063" s="82"/>
      <c r="W1063" s="83"/>
      <c r="X1063" s="83"/>
      <c r="Y1063" s="83"/>
    </row>
    <row r="1064" spans="1:25" ht="13.8">
      <c r="A1064" s="78" t="str">
        <f ca="1">IFERROR(__xludf.DUMMYFUNCTION("""COMPUTED_VALUE"""),"IC")</f>
        <v>IC</v>
      </c>
      <c r="B1064" s="79" t="str">
        <f ca="1">IFERROR(__xludf.DUMMYFUNCTION("""COMPUTED_VALUE"""),"Madeline Fay")</f>
        <v>Madeline Fay</v>
      </c>
      <c r="C1064" s="78">
        <f ca="1">IFERROR(__xludf.DUMMYFUNCTION("""COMPUTED_VALUE"""),12)</f>
        <v>12</v>
      </c>
      <c r="D1064" s="78" t="str">
        <f ca="1">IFERROR(__xludf.DUMMYFUNCTION("""COMPUTED_VALUE"""),"G")</f>
        <v>G</v>
      </c>
      <c r="E1064" s="80" t="str">
        <f ca="1">IFERROR(__xludf.DUMMYFUNCTION("""COMPUTED_VALUE"""),"J")</f>
        <v>J</v>
      </c>
      <c r="F1064" s="80" t="str">
        <f ca="1">IFERROR(__xludf.DUMMYFUNCTION("""COMPUTED_VALUE"""),"I")</f>
        <v>I</v>
      </c>
      <c r="G1064" s="80">
        <f ca="1">IFERROR(__xludf.DUMMYFUNCTION("""COMPUTED_VALUE"""),8)</f>
        <v>8</v>
      </c>
      <c r="H1064" s="80" t="str">
        <f ca="1">IFERROR(__xludf.DUMMYFUNCTION("""COMPUTED_VALUE"""),"IC")</f>
        <v>IC</v>
      </c>
      <c r="I1064" s="80">
        <f ca="1">IFERROR(__xludf.DUMMYFUNCTION("""COMPUTED_VALUE"""),4)</f>
        <v>4</v>
      </c>
      <c r="J1064" s="81">
        <f ca="1">IFERROR(__xludf.DUMMYFUNCTION("""COMPUTED_VALUE"""),5)</f>
        <v>5</v>
      </c>
      <c r="K1064" s="81">
        <f ca="1">IFERROR(__xludf.DUMMYFUNCTION("""COMPUTED_VALUE"""),104.95)</f>
        <v>104.95</v>
      </c>
      <c r="L1064" s="81">
        <f ca="1">IFERROR(__xludf.DUMMYFUNCTION("""COMPUTED_VALUE"""),93.9)</f>
        <v>93.9</v>
      </c>
      <c r="M1064" s="81"/>
      <c r="N1064" s="81">
        <f ca="1">IFERROR(__xludf.DUMMYFUNCTION("""COMPUTED_VALUE"""),101.8)</f>
        <v>101.8</v>
      </c>
      <c r="O1064" s="81"/>
      <c r="P1064" s="81">
        <f ca="1">IFERROR(__xludf.DUMMYFUNCTION("""COMPUTED_VALUE"""),104.95)</f>
        <v>104.95</v>
      </c>
      <c r="Q1064" s="81"/>
      <c r="R1064" s="81">
        <f ca="1">IFERROR(__xludf.DUMMYFUNCTION("""COMPUTED_VALUE"""),93.35)</f>
        <v>93.35</v>
      </c>
      <c r="S1064" s="81"/>
      <c r="T1064" s="81"/>
      <c r="U1064" s="82"/>
      <c r="V1064" s="82"/>
      <c r="W1064" s="83"/>
      <c r="X1064" s="83"/>
      <c r="Y1064" s="83"/>
    </row>
    <row r="1065" spans="1:25" ht="13.8">
      <c r="A1065" s="78" t="str">
        <f ca="1">IFERROR(__xludf.DUMMYFUNCTION("""COMPUTED_VALUE"""),"IC")</f>
        <v>IC</v>
      </c>
      <c r="B1065" s="79" t="str">
        <f ca="1">IFERROR(__xludf.DUMMYFUNCTION("""COMPUTED_VALUE"""),"Everett Thornton")</f>
        <v>Everett Thornton</v>
      </c>
      <c r="C1065" s="78">
        <f ca="1">IFERROR(__xludf.DUMMYFUNCTION("""COMPUTED_VALUE"""),12)</f>
        <v>12</v>
      </c>
      <c r="D1065" s="78" t="str">
        <f ca="1">IFERROR(__xludf.DUMMYFUNCTION("""COMPUTED_VALUE"""),"B")</f>
        <v>B</v>
      </c>
      <c r="E1065" s="80" t="str">
        <f ca="1">IFERROR(__xludf.DUMMYFUNCTION("""COMPUTED_VALUE"""),"J")</f>
        <v>J</v>
      </c>
      <c r="F1065" s="80" t="str">
        <f ca="1">IFERROR(__xludf.DUMMYFUNCTION("""COMPUTED_VALUE"""),"I")</f>
        <v>I</v>
      </c>
      <c r="G1065" s="80">
        <f ca="1">IFERROR(__xludf.DUMMYFUNCTION("""COMPUTED_VALUE"""),8)</f>
        <v>8</v>
      </c>
      <c r="H1065" s="80" t="str">
        <f ca="1">IFERROR(__xludf.DUMMYFUNCTION("""COMPUTED_VALUE"""),"IC")</f>
        <v>IC</v>
      </c>
      <c r="I1065" s="80">
        <f ca="1">IFERROR(__xludf.DUMMYFUNCTION("""COMPUTED_VALUE"""),5)</f>
        <v>5</v>
      </c>
      <c r="J1065" s="81">
        <f ca="1">IFERROR(__xludf.DUMMYFUNCTION("""COMPUTED_VALUE"""),4)</f>
        <v>4</v>
      </c>
      <c r="K1065" s="81">
        <f ca="1">IFERROR(__xludf.DUMMYFUNCTION("""COMPUTED_VALUE"""),87.55)</f>
        <v>87.55</v>
      </c>
      <c r="L1065" s="81">
        <f ca="1">IFERROR(__xludf.DUMMYFUNCTION("""COMPUTED_VALUE"""),0)</f>
        <v>0</v>
      </c>
      <c r="M1065" s="81"/>
      <c r="N1065" s="81">
        <f ca="1">IFERROR(__xludf.DUMMYFUNCTION("""COMPUTED_VALUE"""),79.3)</f>
        <v>79.3</v>
      </c>
      <c r="O1065" s="81"/>
      <c r="P1065" s="81">
        <f ca="1">IFERROR(__xludf.DUMMYFUNCTION("""COMPUTED_VALUE"""),87.55)</f>
        <v>87.55</v>
      </c>
      <c r="Q1065" s="81"/>
      <c r="R1065" s="81">
        <f ca="1">IFERROR(__xludf.DUMMYFUNCTION("""COMPUTED_VALUE"""),67)</f>
        <v>67</v>
      </c>
      <c r="S1065" s="81"/>
      <c r="T1065" s="81"/>
      <c r="U1065" s="82"/>
      <c r="V1065" s="82"/>
      <c r="W1065" s="83"/>
      <c r="X1065" s="83"/>
      <c r="Y1065" s="83"/>
    </row>
    <row r="1066" spans="1:25" ht="13.8">
      <c r="A1066" s="78" t="str">
        <f ca="1">IFERROR(__xludf.DUMMYFUNCTION("""COMPUTED_VALUE"""),"IC")</f>
        <v>IC</v>
      </c>
      <c r="B1066" s="79" t="str">
        <f ca="1">IFERROR(__xludf.DUMMYFUNCTION("""COMPUTED_VALUE"""),"Emily Bush")</f>
        <v>Emily Bush</v>
      </c>
      <c r="C1066" s="78">
        <f ca="1">IFERROR(__xludf.DUMMYFUNCTION("""COMPUTED_VALUE"""),14)</f>
        <v>14</v>
      </c>
      <c r="D1066" s="78" t="str">
        <f ca="1">IFERROR(__xludf.DUMMYFUNCTION("""COMPUTED_VALUE"""),"G")</f>
        <v>G</v>
      </c>
      <c r="E1066" s="80" t="str">
        <f ca="1">IFERROR(__xludf.DUMMYFUNCTION("""COMPUTED_VALUE"""),"I")</f>
        <v>I</v>
      </c>
      <c r="F1066" s="80" t="str">
        <f ca="1">IFERROR(__xludf.DUMMYFUNCTION("""COMPUTED_VALUE"""),"S")</f>
        <v>S</v>
      </c>
      <c r="G1066" s="80">
        <f ca="1">IFERROR(__xludf.DUMMYFUNCTION("""COMPUTED_VALUE"""),8)</f>
        <v>8</v>
      </c>
      <c r="H1066" s="80" t="str">
        <f ca="1">IFERROR(__xludf.DUMMYFUNCTION("""COMPUTED_VALUE"""),"IC")</f>
        <v>IC</v>
      </c>
      <c r="I1066" s="80">
        <f ca="1">IFERROR(__xludf.DUMMYFUNCTION("""COMPUTED_VALUE"""),6)</f>
        <v>6</v>
      </c>
      <c r="J1066" s="81">
        <f ca="1">IFERROR(__xludf.DUMMYFUNCTION("""COMPUTED_VALUE"""),4)</f>
        <v>4</v>
      </c>
      <c r="K1066" s="81">
        <f ca="1">IFERROR(__xludf.DUMMYFUNCTION("""COMPUTED_VALUE"""),145.95)</f>
        <v>145.94999999999999</v>
      </c>
      <c r="L1066" s="81">
        <f ca="1">IFERROR(__xludf.DUMMYFUNCTION("""COMPUTED_VALUE"""),145.95)</f>
        <v>145.94999999999999</v>
      </c>
      <c r="M1066" s="81"/>
      <c r="N1066" s="81">
        <f ca="1">IFERROR(__xludf.DUMMYFUNCTION("""COMPUTED_VALUE"""),138.05)</f>
        <v>138.05000000000001</v>
      </c>
      <c r="O1066" s="81"/>
      <c r="P1066" s="81">
        <f ca="1">IFERROR(__xludf.DUMMYFUNCTION("""COMPUTED_VALUE"""),128.5)</f>
        <v>128.5</v>
      </c>
      <c r="Q1066" s="81"/>
      <c r="R1066" s="81">
        <f ca="1">IFERROR(__xludf.DUMMYFUNCTION("""COMPUTED_VALUE"""),0)</f>
        <v>0</v>
      </c>
      <c r="S1066" s="81"/>
      <c r="T1066" s="81"/>
      <c r="U1066" s="82"/>
      <c r="V1066" s="82"/>
      <c r="W1066" s="83"/>
      <c r="X1066" s="83"/>
      <c r="Y1066" s="83"/>
    </row>
    <row r="1067" spans="1:25" ht="13.8">
      <c r="A1067" s="78" t="str">
        <f ca="1">IFERROR(__xludf.DUMMYFUNCTION("""COMPUTED_VALUE"""),"IC")</f>
        <v>IC</v>
      </c>
      <c r="B1067" s="79" t="str">
        <f ca="1">IFERROR(__xludf.DUMMYFUNCTION("""COMPUTED_VALUE"""),"Sam Nolan")</f>
        <v>Sam Nolan</v>
      </c>
      <c r="C1067" s="78">
        <f ca="1">IFERROR(__xludf.DUMMYFUNCTION("""COMPUTED_VALUE"""),14)</f>
        <v>14</v>
      </c>
      <c r="D1067" s="78" t="str">
        <f ca="1">IFERROR(__xludf.DUMMYFUNCTION("""COMPUTED_VALUE"""),"B")</f>
        <v>B</v>
      </c>
      <c r="E1067" s="80" t="str">
        <f ca="1">IFERROR(__xludf.DUMMYFUNCTION("""COMPUTED_VALUE"""),"I")</f>
        <v>I</v>
      </c>
      <c r="F1067" s="80" t="str">
        <f ca="1">IFERROR(__xludf.DUMMYFUNCTION("""COMPUTED_VALUE"""),"S")</f>
        <v>S</v>
      </c>
      <c r="G1067" s="80">
        <f ca="1">IFERROR(__xludf.DUMMYFUNCTION("""COMPUTED_VALUE"""),8)</f>
        <v>8</v>
      </c>
      <c r="H1067" s="80" t="str">
        <f ca="1">IFERROR(__xludf.DUMMYFUNCTION("""COMPUTED_VALUE"""),"IC")</f>
        <v>IC</v>
      </c>
      <c r="I1067" s="80">
        <f ca="1">IFERROR(__xludf.DUMMYFUNCTION("""COMPUTED_VALUE"""),7)</f>
        <v>7</v>
      </c>
      <c r="J1067" s="81">
        <f ca="1">IFERROR(__xludf.DUMMYFUNCTION("""COMPUTED_VALUE"""),4)</f>
        <v>4</v>
      </c>
      <c r="K1067" s="81">
        <f ca="1">IFERROR(__xludf.DUMMYFUNCTION("""COMPUTED_VALUE"""),102.15)</f>
        <v>102.15</v>
      </c>
      <c r="L1067" s="81">
        <f ca="1">IFERROR(__xludf.DUMMYFUNCTION("""COMPUTED_VALUE"""),80.3)</f>
        <v>80.3</v>
      </c>
      <c r="M1067" s="81"/>
      <c r="N1067" s="81">
        <f ca="1">IFERROR(__xludf.DUMMYFUNCTION("""COMPUTED_VALUE"""),102.15)</f>
        <v>102.15</v>
      </c>
      <c r="O1067" s="81"/>
      <c r="P1067" s="81">
        <f ca="1">IFERROR(__xludf.DUMMYFUNCTION("""COMPUTED_VALUE"""),0)</f>
        <v>0</v>
      </c>
      <c r="Q1067" s="81"/>
      <c r="R1067" s="81">
        <f ca="1">IFERROR(__xludf.DUMMYFUNCTION("""COMPUTED_VALUE"""),70)</f>
        <v>70</v>
      </c>
      <c r="S1067" s="81"/>
      <c r="T1067" s="81"/>
      <c r="U1067" s="82"/>
      <c r="V1067" s="82"/>
      <c r="W1067" s="83"/>
      <c r="X1067" s="83"/>
      <c r="Y1067" s="83"/>
    </row>
    <row r="1068" spans="1:25" ht="13.8">
      <c r="A1068" s="78" t="str">
        <f ca="1">IFERROR(__xludf.DUMMYFUNCTION("""COMPUTED_VALUE"""),"IC")</f>
        <v>IC</v>
      </c>
      <c r="B1068" s="79" t="str">
        <f ca="1">IFERROR(__xludf.DUMMYFUNCTION("""COMPUTED_VALUE"""),"Grant Thornton")</f>
        <v>Grant Thornton</v>
      </c>
      <c r="C1068" s="78">
        <f ca="1">IFERROR(__xludf.DUMMYFUNCTION("""COMPUTED_VALUE"""),14)</f>
        <v>14</v>
      </c>
      <c r="D1068" s="78" t="str">
        <f ca="1">IFERROR(__xludf.DUMMYFUNCTION("""COMPUTED_VALUE"""),"B")</f>
        <v>B</v>
      </c>
      <c r="E1068" s="80" t="str">
        <f ca="1">IFERROR(__xludf.DUMMYFUNCTION("""COMPUTED_VALUE"""),"I")</f>
        <v>I</v>
      </c>
      <c r="F1068" s="80" t="str">
        <f ca="1">IFERROR(__xludf.DUMMYFUNCTION("""COMPUTED_VALUE"""),"S")</f>
        <v>S</v>
      </c>
      <c r="G1068" s="80">
        <f ca="1">IFERROR(__xludf.DUMMYFUNCTION("""COMPUTED_VALUE"""),8)</f>
        <v>8</v>
      </c>
      <c r="H1068" s="80" t="str">
        <f ca="1">IFERROR(__xludf.DUMMYFUNCTION("""COMPUTED_VALUE"""),"IC")</f>
        <v>IC</v>
      </c>
      <c r="I1068" s="80">
        <f ca="1">IFERROR(__xludf.DUMMYFUNCTION("""COMPUTED_VALUE"""),7)</f>
        <v>7</v>
      </c>
      <c r="J1068" s="81">
        <f ca="1">IFERROR(__xludf.DUMMYFUNCTION("""COMPUTED_VALUE"""),2)</f>
        <v>2</v>
      </c>
      <c r="K1068" s="81">
        <f ca="1">IFERROR(__xludf.DUMMYFUNCTION("""COMPUTED_VALUE"""),101.5)</f>
        <v>101.5</v>
      </c>
      <c r="L1068" s="81">
        <f ca="1">IFERROR(__xludf.DUMMYFUNCTION("""COMPUTED_VALUE"""),0)</f>
        <v>0</v>
      </c>
      <c r="M1068" s="81"/>
      <c r="N1068" s="81">
        <f ca="1">IFERROR(__xludf.DUMMYFUNCTION("""COMPUTED_VALUE"""),0)</f>
        <v>0</v>
      </c>
      <c r="O1068" s="81"/>
      <c r="P1068" s="81">
        <f ca="1">IFERROR(__xludf.DUMMYFUNCTION("""COMPUTED_VALUE"""),101.5)</f>
        <v>101.5</v>
      </c>
      <c r="Q1068" s="81"/>
      <c r="R1068" s="81">
        <f ca="1">IFERROR(__xludf.DUMMYFUNCTION("""COMPUTED_VALUE"""),0)</f>
        <v>0</v>
      </c>
      <c r="S1068" s="81"/>
      <c r="T1068" s="81"/>
      <c r="U1068" s="82"/>
      <c r="V1068" s="82"/>
      <c r="W1068" s="83"/>
      <c r="X1068" s="83"/>
      <c r="Y1068" s="83"/>
    </row>
    <row r="1069" spans="1:25" ht="13.8">
      <c r="A1069" s="78" t="str">
        <f ca="1">IFERROR(__xludf.DUMMYFUNCTION("""COMPUTED_VALUE"""),"IC")</f>
        <v>IC</v>
      </c>
      <c r="B1069" s="79" t="str">
        <f ca="1">IFERROR(__xludf.DUMMYFUNCTION("""COMPUTED_VALUE"""),"Maura Fay")</f>
        <v>Maura Fay</v>
      </c>
      <c r="C1069" s="78">
        <f ca="1">IFERROR(__xludf.DUMMYFUNCTION("""COMPUTED_VALUE"""),15)</f>
        <v>15</v>
      </c>
      <c r="D1069" s="78" t="str">
        <f ca="1">IFERROR(__xludf.DUMMYFUNCTION("""COMPUTED_VALUE"""),"G")</f>
        <v>G</v>
      </c>
      <c r="E1069" s="80" t="str">
        <f ca="1">IFERROR(__xludf.DUMMYFUNCTION("""COMPUTED_VALUE"""),"S")</f>
        <v>S</v>
      </c>
      <c r="F1069" s="80" t="str">
        <f ca="1">IFERROR(__xludf.DUMMYFUNCTION("""COMPUTED_VALUE"""),"S")</f>
        <v>S</v>
      </c>
      <c r="G1069" s="80">
        <f ca="1">IFERROR(__xludf.DUMMYFUNCTION("""COMPUTED_VALUE"""),8)</f>
        <v>8</v>
      </c>
      <c r="H1069" s="80" t="str">
        <f ca="1">IFERROR(__xludf.DUMMYFUNCTION("""COMPUTED_VALUE"""),"IC")</f>
        <v>IC</v>
      </c>
      <c r="I1069" s="80">
        <f ca="1">IFERROR(__xludf.DUMMYFUNCTION("""COMPUTED_VALUE"""),8)</f>
        <v>8</v>
      </c>
      <c r="J1069" s="81">
        <f ca="1">IFERROR(__xludf.DUMMYFUNCTION("""COMPUTED_VALUE"""),5)</f>
        <v>5</v>
      </c>
      <c r="K1069" s="81">
        <f ca="1">IFERROR(__xludf.DUMMYFUNCTION("""COMPUTED_VALUE"""),166.25)</f>
        <v>166.25</v>
      </c>
      <c r="L1069" s="81">
        <f ca="1">IFERROR(__xludf.DUMMYFUNCTION("""COMPUTED_VALUE"""),162.8)</f>
        <v>162.80000000000001</v>
      </c>
      <c r="M1069" s="81"/>
      <c r="N1069" s="81">
        <f ca="1">IFERROR(__xludf.DUMMYFUNCTION("""COMPUTED_VALUE"""),164.4)</f>
        <v>164.4</v>
      </c>
      <c r="O1069" s="81"/>
      <c r="P1069" s="81">
        <f ca="1">IFERROR(__xludf.DUMMYFUNCTION("""COMPUTED_VALUE"""),166.25)</f>
        <v>166.25</v>
      </c>
      <c r="Q1069" s="81"/>
      <c r="R1069" s="81">
        <f ca="1">IFERROR(__xludf.DUMMYFUNCTION("""COMPUTED_VALUE"""),160.15)</f>
        <v>160.15</v>
      </c>
      <c r="S1069" s="81"/>
      <c r="T1069" s="81"/>
      <c r="U1069" s="82"/>
      <c r="V1069" s="82"/>
      <c r="W1069" s="83"/>
      <c r="X1069" s="83"/>
      <c r="Y1069" s="83"/>
    </row>
    <row r="1070" spans="1:25" ht="13.8">
      <c r="A1070" s="78" t="str">
        <f ca="1">IFERROR(__xludf.DUMMYFUNCTION("""COMPUTED_VALUE"""),"IC")</f>
        <v>IC</v>
      </c>
      <c r="B1070" s="79" t="str">
        <f ca="1">IFERROR(__xludf.DUMMYFUNCTION("""COMPUTED_VALUE"""),"Nina Gillette")</f>
        <v>Nina Gillette</v>
      </c>
      <c r="C1070" s="78">
        <f ca="1">IFERROR(__xludf.DUMMYFUNCTION("""COMPUTED_VALUE"""),15)</f>
        <v>15</v>
      </c>
      <c r="D1070" s="78" t="str">
        <f ca="1">IFERROR(__xludf.DUMMYFUNCTION("""COMPUTED_VALUE"""),"G")</f>
        <v>G</v>
      </c>
      <c r="E1070" s="80" t="str">
        <f ca="1">IFERROR(__xludf.DUMMYFUNCTION("""COMPUTED_VALUE"""),"S")</f>
        <v>S</v>
      </c>
      <c r="F1070" s="80" t="str">
        <f ca="1">IFERROR(__xludf.DUMMYFUNCTION("""COMPUTED_VALUE"""),"S")</f>
        <v>S</v>
      </c>
      <c r="G1070" s="80">
        <f ca="1">IFERROR(__xludf.DUMMYFUNCTION("""COMPUTED_VALUE"""),8)</f>
        <v>8</v>
      </c>
      <c r="H1070" s="80" t="str">
        <f ca="1">IFERROR(__xludf.DUMMYFUNCTION("""COMPUTED_VALUE"""),"IC")</f>
        <v>IC</v>
      </c>
      <c r="I1070" s="80">
        <f ca="1">IFERROR(__xludf.DUMMYFUNCTION("""COMPUTED_VALUE"""),8)</f>
        <v>8</v>
      </c>
      <c r="J1070" s="81">
        <f ca="1">IFERROR(__xludf.DUMMYFUNCTION("""COMPUTED_VALUE"""),4)</f>
        <v>4</v>
      </c>
      <c r="K1070" s="81">
        <f ca="1">IFERROR(__xludf.DUMMYFUNCTION("""COMPUTED_VALUE"""),129.85)</f>
        <v>129.85</v>
      </c>
      <c r="L1070" s="81" t="str">
        <f ca="1">IFERROR(__xludf.DUMMYFUNCTION("""COMPUTED_VALUE""")," DQ")</f>
        <v xml:space="preserve"> DQ</v>
      </c>
      <c r="M1070" s="81"/>
      <c r="N1070" s="81">
        <f ca="1">IFERROR(__xludf.DUMMYFUNCTION("""COMPUTED_VALUE"""),116.35)</f>
        <v>116.35</v>
      </c>
      <c r="O1070" s="81"/>
      <c r="P1070" s="81">
        <f ca="1">IFERROR(__xludf.DUMMYFUNCTION("""COMPUTED_VALUE"""),129.85)</f>
        <v>129.85</v>
      </c>
      <c r="Q1070" s="81"/>
      <c r="R1070" s="81">
        <f ca="1">IFERROR(__xludf.DUMMYFUNCTION("""COMPUTED_VALUE"""),107.7)</f>
        <v>107.7</v>
      </c>
      <c r="S1070" s="81"/>
      <c r="T1070" s="81"/>
      <c r="U1070" s="82"/>
      <c r="V1070" s="82"/>
      <c r="W1070" s="83"/>
      <c r="X1070" s="83"/>
      <c r="Y1070" s="83"/>
    </row>
    <row r="1071" spans="1:25" ht="13.8">
      <c r="A1071" s="78" t="str">
        <f ca="1">IFERROR(__xludf.DUMMYFUNCTION("""COMPUTED_VALUE"""),"KG")</f>
        <v>KG</v>
      </c>
      <c r="B1071" s="79" t="str">
        <f ca="1">IFERROR(__xludf.DUMMYFUNCTION("""COMPUTED_VALUE"""),"Kenly Badlam")</f>
        <v>Kenly Badlam</v>
      </c>
      <c r="C1071" s="78">
        <f ca="1">IFERROR(__xludf.DUMMYFUNCTION("""COMPUTED_VALUE"""),7)</f>
        <v>7</v>
      </c>
      <c r="D1071" s="78" t="str">
        <f ca="1">IFERROR(__xludf.DUMMYFUNCTION("""COMPUTED_VALUE"""),"G")</f>
        <v>G</v>
      </c>
      <c r="E1071" s="80" t="str">
        <f ca="1">IFERROR(__xludf.DUMMYFUNCTION("""COMPUTED_VALUE"""),"F")</f>
        <v>F</v>
      </c>
      <c r="F1071" s="80" t="str">
        <f ca="1">IFERROR(__xludf.DUMMYFUNCTION("""COMPUTED_VALUE"""),"J")</f>
        <v>J</v>
      </c>
      <c r="G1071" s="80">
        <f ca="1">IFERROR(__xludf.DUMMYFUNCTION("""COMPUTED_VALUE"""),2)</f>
        <v>2</v>
      </c>
      <c r="H1071" s="80" t="str">
        <f ca="1">IFERROR(__xludf.DUMMYFUNCTION("""COMPUTED_VALUE"""),"KG")</f>
        <v>KG</v>
      </c>
      <c r="I1071" s="80">
        <f ca="1">IFERROR(__xludf.DUMMYFUNCTION("""COMPUTED_VALUE"""),2)</f>
        <v>2</v>
      </c>
      <c r="J1071" s="81">
        <f ca="1">IFERROR(__xludf.DUMMYFUNCTION("""COMPUTED_VALUE"""),0)</f>
        <v>0</v>
      </c>
      <c r="K1071" s="81">
        <f ca="1">IFERROR(__xludf.DUMMYFUNCTION("""COMPUTED_VALUE"""),0)</f>
        <v>0</v>
      </c>
      <c r="L1071" s="81">
        <f ca="1">IFERROR(__xludf.DUMMYFUNCTION("""COMPUTED_VALUE"""),0)</f>
        <v>0</v>
      </c>
      <c r="M1071" s="81"/>
      <c r="N1071" s="81">
        <f ca="1">IFERROR(__xludf.DUMMYFUNCTION("""COMPUTED_VALUE"""),0)</f>
        <v>0</v>
      </c>
      <c r="O1071" s="81"/>
      <c r="P1071" s="81">
        <f ca="1">IFERROR(__xludf.DUMMYFUNCTION("""COMPUTED_VALUE"""),0)</f>
        <v>0</v>
      </c>
      <c r="Q1071" s="81"/>
      <c r="R1071" s="81">
        <f ca="1">IFERROR(__xludf.DUMMYFUNCTION("""COMPUTED_VALUE"""),0)</f>
        <v>0</v>
      </c>
      <c r="S1071" s="81"/>
      <c r="T1071" s="81"/>
      <c r="U1071" s="82"/>
      <c r="V1071" s="82"/>
      <c r="W1071" s="83"/>
      <c r="X1071" s="83"/>
      <c r="Y1071" s="83"/>
    </row>
    <row r="1072" spans="1:25" ht="13.8">
      <c r="A1072" s="78" t="str">
        <f ca="1">IFERROR(__xludf.DUMMYFUNCTION("""COMPUTED_VALUE"""),"KG")</f>
        <v>KG</v>
      </c>
      <c r="B1072" s="79" t="str">
        <f ca="1">IFERROR(__xludf.DUMMYFUNCTION("""COMPUTED_VALUE"""),"Kira Bhasin")</f>
        <v>Kira Bhasin</v>
      </c>
      <c r="C1072" s="78">
        <f ca="1">IFERROR(__xludf.DUMMYFUNCTION("""COMPUTED_VALUE"""),8)</f>
        <v>8</v>
      </c>
      <c r="D1072" s="78" t="str">
        <f ca="1">IFERROR(__xludf.DUMMYFUNCTION("""COMPUTED_VALUE"""),"G")</f>
        <v>G</v>
      </c>
      <c r="E1072" s="80" t="str">
        <f ca="1">IFERROR(__xludf.DUMMYFUNCTION("""COMPUTED_VALUE"""),"F")</f>
        <v>F</v>
      </c>
      <c r="F1072" s="80" t="str">
        <f ca="1">IFERROR(__xludf.DUMMYFUNCTION("""COMPUTED_VALUE"""),"J")</f>
        <v>J</v>
      </c>
      <c r="G1072" s="80">
        <f ca="1">IFERROR(__xludf.DUMMYFUNCTION("""COMPUTED_VALUE"""),2)</f>
        <v>2</v>
      </c>
      <c r="H1072" s="80" t="str">
        <f ca="1">IFERROR(__xludf.DUMMYFUNCTION("""COMPUTED_VALUE"""),"KG")</f>
        <v>KG</v>
      </c>
      <c r="I1072" s="80">
        <f ca="1">IFERROR(__xludf.DUMMYFUNCTION("""COMPUTED_VALUE"""),2)</f>
        <v>2</v>
      </c>
      <c r="J1072" s="81">
        <f ca="1">IFERROR(__xludf.DUMMYFUNCTION("""COMPUTED_VALUE"""),0)</f>
        <v>0</v>
      </c>
      <c r="K1072" s="81">
        <f ca="1">IFERROR(__xludf.DUMMYFUNCTION("""COMPUTED_VALUE"""),0)</f>
        <v>0</v>
      </c>
      <c r="L1072" s="81">
        <f ca="1">IFERROR(__xludf.DUMMYFUNCTION("""COMPUTED_VALUE"""),0)</f>
        <v>0</v>
      </c>
      <c r="M1072" s="81"/>
      <c r="N1072" s="81">
        <f ca="1">IFERROR(__xludf.DUMMYFUNCTION("""COMPUTED_VALUE"""),0)</f>
        <v>0</v>
      </c>
      <c r="O1072" s="81"/>
      <c r="P1072" s="81">
        <f ca="1">IFERROR(__xludf.DUMMYFUNCTION("""COMPUTED_VALUE"""),0)</f>
        <v>0</v>
      </c>
      <c r="Q1072" s="81"/>
      <c r="R1072" s="81">
        <f ca="1">IFERROR(__xludf.DUMMYFUNCTION("""COMPUTED_VALUE"""),0)</f>
        <v>0</v>
      </c>
      <c r="S1072" s="81"/>
      <c r="T1072" s="81"/>
      <c r="U1072" s="82"/>
      <c r="V1072" s="82"/>
      <c r="W1072" s="83"/>
      <c r="X1072" s="83"/>
      <c r="Y1072" s="83"/>
    </row>
    <row r="1073" spans="1:25" ht="13.8">
      <c r="A1073" s="78" t="str">
        <f ca="1">IFERROR(__xludf.DUMMYFUNCTION("""COMPUTED_VALUE"""),"KG")</f>
        <v>KG</v>
      </c>
      <c r="B1073" s="79" t="str">
        <f ca="1">IFERROR(__xludf.DUMMYFUNCTION("""COMPUTED_VALUE"""),"Amelia Cafer")</f>
        <v>Amelia Cafer</v>
      </c>
      <c r="C1073" s="78">
        <f ca="1">IFERROR(__xludf.DUMMYFUNCTION("""COMPUTED_VALUE"""),9)</f>
        <v>9</v>
      </c>
      <c r="D1073" s="78" t="str">
        <f ca="1">IFERROR(__xludf.DUMMYFUNCTION("""COMPUTED_VALUE"""),"G")</f>
        <v>G</v>
      </c>
      <c r="E1073" s="80" t="str">
        <f ca="1">IFERROR(__xludf.DUMMYFUNCTION("""COMPUTED_VALUE"""),"F")</f>
        <v>F</v>
      </c>
      <c r="F1073" s="80" t="str">
        <f ca="1">IFERROR(__xludf.DUMMYFUNCTION("""COMPUTED_VALUE"""),"J")</f>
        <v>J</v>
      </c>
      <c r="G1073" s="80">
        <f ca="1">IFERROR(__xludf.DUMMYFUNCTION("""COMPUTED_VALUE"""),2)</f>
        <v>2</v>
      </c>
      <c r="H1073" s="80" t="str">
        <f ca="1">IFERROR(__xludf.DUMMYFUNCTION("""COMPUTED_VALUE"""),"KG")</f>
        <v>KG</v>
      </c>
      <c r="I1073" s="80">
        <f ca="1">IFERROR(__xludf.DUMMYFUNCTION("""COMPUTED_VALUE"""),2)</f>
        <v>2</v>
      </c>
      <c r="J1073" s="81">
        <f ca="1">IFERROR(__xludf.DUMMYFUNCTION("""COMPUTED_VALUE"""),5)</f>
        <v>5</v>
      </c>
      <c r="K1073" s="81">
        <f ca="1">IFERROR(__xludf.DUMMYFUNCTION("""COMPUTED_VALUE"""),45.4)</f>
        <v>45.4</v>
      </c>
      <c r="L1073" s="81">
        <f ca="1">IFERROR(__xludf.DUMMYFUNCTION("""COMPUTED_VALUE"""),45.4)</f>
        <v>45.4</v>
      </c>
      <c r="M1073" s="81"/>
      <c r="N1073" s="81">
        <f ca="1">IFERROR(__xludf.DUMMYFUNCTION("""COMPUTED_VALUE"""),42.7)</f>
        <v>42.7</v>
      </c>
      <c r="O1073" s="81"/>
      <c r="P1073" s="81">
        <f ca="1">IFERROR(__xludf.DUMMYFUNCTION("""COMPUTED_VALUE"""),42.2)</f>
        <v>42.2</v>
      </c>
      <c r="Q1073" s="81"/>
      <c r="R1073" s="81">
        <f ca="1">IFERROR(__xludf.DUMMYFUNCTION("""COMPUTED_VALUE"""),43.75)</f>
        <v>43.75</v>
      </c>
      <c r="S1073" s="81"/>
      <c r="T1073" s="81"/>
      <c r="U1073" s="82"/>
      <c r="V1073" s="82"/>
      <c r="W1073" s="83"/>
      <c r="X1073" s="83"/>
      <c r="Y1073" s="83"/>
    </row>
    <row r="1074" spans="1:25" ht="13.8">
      <c r="A1074" s="78" t="str">
        <f ca="1">IFERROR(__xludf.DUMMYFUNCTION("""COMPUTED_VALUE"""),"KG")</f>
        <v>KG</v>
      </c>
      <c r="B1074" s="79" t="str">
        <f ca="1">IFERROR(__xludf.DUMMYFUNCTION("""COMPUTED_VALUE"""),"Holly Denniston")</f>
        <v>Holly Denniston</v>
      </c>
      <c r="C1074" s="78">
        <f ca="1">IFERROR(__xludf.DUMMYFUNCTION("""COMPUTED_VALUE"""),7)</f>
        <v>7</v>
      </c>
      <c r="D1074" s="78" t="str">
        <f ca="1">IFERROR(__xludf.DUMMYFUNCTION("""COMPUTED_VALUE"""),"G")</f>
        <v>G</v>
      </c>
      <c r="E1074" s="80" t="str">
        <f ca="1">IFERROR(__xludf.DUMMYFUNCTION("""COMPUTED_VALUE"""),"F")</f>
        <v>F</v>
      </c>
      <c r="F1074" s="80" t="str">
        <f ca="1">IFERROR(__xludf.DUMMYFUNCTION("""COMPUTED_VALUE"""),"J")</f>
        <v>J</v>
      </c>
      <c r="G1074" s="80">
        <f ca="1">IFERROR(__xludf.DUMMYFUNCTION("""COMPUTED_VALUE"""),2)</f>
        <v>2</v>
      </c>
      <c r="H1074" s="80" t="str">
        <f ca="1">IFERROR(__xludf.DUMMYFUNCTION("""COMPUTED_VALUE"""),"KG")</f>
        <v>KG</v>
      </c>
      <c r="I1074" s="80">
        <f ca="1">IFERROR(__xludf.DUMMYFUNCTION("""COMPUTED_VALUE"""),2)</f>
        <v>2</v>
      </c>
      <c r="J1074" s="81">
        <f ca="1">IFERROR(__xludf.DUMMYFUNCTION("""COMPUTED_VALUE"""),0)</f>
        <v>0</v>
      </c>
      <c r="K1074" s="81">
        <f ca="1">IFERROR(__xludf.DUMMYFUNCTION("""COMPUTED_VALUE"""),0)</f>
        <v>0</v>
      </c>
      <c r="L1074" s="81">
        <f ca="1">IFERROR(__xludf.DUMMYFUNCTION("""COMPUTED_VALUE"""),0)</f>
        <v>0</v>
      </c>
      <c r="M1074" s="81"/>
      <c r="N1074" s="81">
        <f ca="1">IFERROR(__xludf.DUMMYFUNCTION("""COMPUTED_VALUE"""),0)</f>
        <v>0</v>
      </c>
      <c r="O1074" s="81"/>
      <c r="P1074" s="81">
        <f ca="1">IFERROR(__xludf.DUMMYFUNCTION("""COMPUTED_VALUE"""),0)</f>
        <v>0</v>
      </c>
      <c r="Q1074" s="81"/>
      <c r="R1074" s="81">
        <f ca="1">IFERROR(__xludf.DUMMYFUNCTION("""COMPUTED_VALUE"""),0)</f>
        <v>0</v>
      </c>
      <c r="S1074" s="81"/>
      <c r="T1074" s="81"/>
      <c r="U1074" s="82"/>
      <c r="V1074" s="82"/>
      <c r="W1074" s="83"/>
      <c r="X1074" s="83"/>
      <c r="Y1074" s="83"/>
    </row>
    <row r="1075" spans="1:25" ht="13.8">
      <c r="A1075" s="78" t="str">
        <f ca="1">IFERROR(__xludf.DUMMYFUNCTION("""COMPUTED_VALUE"""),"KG")</f>
        <v>KG</v>
      </c>
      <c r="B1075" s="79" t="str">
        <f ca="1">IFERROR(__xludf.DUMMYFUNCTION("""COMPUTED_VALUE"""),"Julia Denniston")</f>
        <v>Julia Denniston</v>
      </c>
      <c r="C1075" s="78">
        <f ca="1">IFERROR(__xludf.DUMMYFUNCTION("""COMPUTED_VALUE"""),8)</f>
        <v>8</v>
      </c>
      <c r="D1075" s="78" t="str">
        <f ca="1">IFERROR(__xludf.DUMMYFUNCTION("""COMPUTED_VALUE"""),"G")</f>
        <v>G</v>
      </c>
      <c r="E1075" s="80" t="str">
        <f ca="1">IFERROR(__xludf.DUMMYFUNCTION("""COMPUTED_VALUE"""),"F")</f>
        <v>F</v>
      </c>
      <c r="F1075" s="80" t="str">
        <f ca="1">IFERROR(__xludf.DUMMYFUNCTION("""COMPUTED_VALUE"""),"J")</f>
        <v>J</v>
      </c>
      <c r="G1075" s="80">
        <f ca="1">IFERROR(__xludf.DUMMYFUNCTION("""COMPUTED_VALUE"""),2)</f>
        <v>2</v>
      </c>
      <c r="H1075" s="80" t="str">
        <f ca="1">IFERROR(__xludf.DUMMYFUNCTION("""COMPUTED_VALUE"""),"KG")</f>
        <v>KG</v>
      </c>
      <c r="I1075" s="80">
        <f ca="1">IFERROR(__xludf.DUMMYFUNCTION("""COMPUTED_VALUE"""),2)</f>
        <v>2</v>
      </c>
      <c r="J1075" s="81">
        <f ca="1">IFERROR(__xludf.DUMMYFUNCTION("""COMPUTED_VALUE"""),1)</f>
        <v>1</v>
      </c>
      <c r="K1075" s="81">
        <f ca="1">IFERROR(__xludf.DUMMYFUNCTION("""COMPUTED_VALUE"""),39.3)</f>
        <v>39.299999999999997</v>
      </c>
      <c r="L1075" s="81">
        <f ca="1">IFERROR(__xludf.DUMMYFUNCTION("""COMPUTED_VALUE"""),0)</f>
        <v>0</v>
      </c>
      <c r="M1075" s="81"/>
      <c r="N1075" s="81">
        <f ca="1">IFERROR(__xludf.DUMMYFUNCTION("""COMPUTED_VALUE"""),39.3)</f>
        <v>39.299999999999997</v>
      </c>
      <c r="O1075" s="81"/>
      <c r="P1075" s="81">
        <f ca="1">IFERROR(__xludf.DUMMYFUNCTION("""COMPUTED_VALUE"""),0)</f>
        <v>0</v>
      </c>
      <c r="Q1075" s="81"/>
      <c r="R1075" s="81">
        <f ca="1">IFERROR(__xludf.DUMMYFUNCTION("""COMPUTED_VALUE"""),0)</f>
        <v>0</v>
      </c>
      <c r="S1075" s="81"/>
      <c r="T1075" s="81"/>
      <c r="U1075" s="82"/>
      <c r="V1075" s="82"/>
      <c r="W1075" s="83"/>
      <c r="X1075" s="83"/>
      <c r="Y1075" s="83"/>
    </row>
    <row r="1076" spans="1:25" ht="13.8">
      <c r="A1076" s="78" t="str">
        <f ca="1">IFERROR(__xludf.DUMMYFUNCTION("""COMPUTED_VALUE"""),"KG")</f>
        <v>KG</v>
      </c>
      <c r="B1076" s="79" t="str">
        <f ca="1">IFERROR(__xludf.DUMMYFUNCTION("""COMPUTED_VALUE"""),"Morgan Gelfond")</f>
        <v>Morgan Gelfond</v>
      </c>
      <c r="C1076" s="78">
        <f ca="1">IFERROR(__xludf.DUMMYFUNCTION("""COMPUTED_VALUE"""),6)</f>
        <v>6</v>
      </c>
      <c r="D1076" s="78" t="str">
        <f ca="1">IFERROR(__xludf.DUMMYFUNCTION("""COMPUTED_VALUE"""),"G")</f>
        <v>G</v>
      </c>
      <c r="E1076" s="80" t="str">
        <f ca="1">IFERROR(__xludf.DUMMYFUNCTION("""COMPUTED_VALUE"""),"F")</f>
        <v>F</v>
      </c>
      <c r="F1076" s="80" t="str">
        <f ca="1">IFERROR(__xludf.DUMMYFUNCTION("""COMPUTED_VALUE"""),"J")</f>
        <v>J</v>
      </c>
      <c r="G1076" s="80">
        <f ca="1">IFERROR(__xludf.DUMMYFUNCTION("""COMPUTED_VALUE"""),2)</f>
        <v>2</v>
      </c>
      <c r="H1076" s="80" t="str">
        <f ca="1">IFERROR(__xludf.DUMMYFUNCTION("""COMPUTED_VALUE"""),"KG")</f>
        <v>KG</v>
      </c>
      <c r="I1076" s="80">
        <f ca="1">IFERROR(__xludf.DUMMYFUNCTION("""COMPUTED_VALUE"""),2)</f>
        <v>2</v>
      </c>
      <c r="J1076" s="81">
        <f ca="1">IFERROR(__xludf.DUMMYFUNCTION("""COMPUTED_VALUE"""),0)</f>
        <v>0</v>
      </c>
      <c r="K1076" s="81">
        <f ca="1">IFERROR(__xludf.DUMMYFUNCTION("""COMPUTED_VALUE"""),0)</f>
        <v>0</v>
      </c>
      <c r="L1076" s="81">
        <f ca="1">IFERROR(__xludf.DUMMYFUNCTION("""COMPUTED_VALUE"""),0)</f>
        <v>0</v>
      </c>
      <c r="M1076" s="81"/>
      <c r="N1076" s="81">
        <f ca="1">IFERROR(__xludf.DUMMYFUNCTION("""COMPUTED_VALUE"""),0)</f>
        <v>0</v>
      </c>
      <c r="O1076" s="81"/>
      <c r="P1076" s="81">
        <f ca="1">IFERROR(__xludf.DUMMYFUNCTION("""COMPUTED_VALUE"""),0)</f>
        <v>0</v>
      </c>
      <c r="Q1076" s="81"/>
      <c r="R1076" s="81">
        <f ca="1">IFERROR(__xludf.DUMMYFUNCTION("""COMPUTED_VALUE"""),0)</f>
        <v>0</v>
      </c>
      <c r="S1076" s="81"/>
      <c r="T1076" s="81"/>
      <c r="U1076" s="82"/>
      <c r="V1076" s="82"/>
      <c r="W1076" s="83"/>
      <c r="X1076" s="83"/>
      <c r="Y1076" s="83"/>
    </row>
    <row r="1077" spans="1:25" ht="13.8">
      <c r="A1077" s="78" t="str">
        <f ca="1">IFERROR(__xludf.DUMMYFUNCTION("""COMPUTED_VALUE"""),"KG")</f>
        <v>KG</v>
      </c>
      <c r="B1077" s="79" t="str">
        <f ca="1">IFERROR(__xludf.DUMMYFUNCTION("""COMPUTED_VALUE"""),"Elizabeth Gulotta")</f>
        <v>Elizabeth Gulotta</v>
      </c>
      <c r="C1077" s="78">
        <f ca="1">IFERROR(__xludf.DUMMYFUNCTION("""COMPUTED_VALUE"""),8)</f>
        <v>8</v>
      </c>
      <c r="D1077" s="78" t="str">
        <f ca="1">IFERROR(__xludf.DUMMYFUNCTION("""COMPUTED_VALUE"""),"G")</f>
        <v>G</v>
      </c>
      <c r="E1077" s="80" t="str">
        <f ca="1">IFERROR(__xludf.DUMMYFUNCTION("""COMPUTED_VALUE"""),"F")</f>
        <v>F</v>
      </c>
      <c r="F1077" s="80" t="str">
        <f ca="1">IFERROR(__xludf.DUMMYFUNCTION("""COMPUTED_VALUE"""),"J")</f>
        <v>J</v>
      </c>
      <c r="G1077" s="80">
        <f ca="1">IFERROR(__xludf.DUMMYFUNCTION("""COMPUTED_VALUE"""),2)</f>
        <v>2</v>
      </c>
      <c r="H1077" s="80" t="str">
        <f ca="1">IFERROR(__xludf.DUMMYFUNCTION("""COMPUTED_VALUE"""),"KG")</f>
        <v>KG</v>
      </c>
      <c r="I1077" s="80">
        <f ca="1">IFERROR(__xludf.DUMMYFUNCTION("""COMPUTED_VALUE"""),2)</f>
        <v>2</v>
      </c>
      <c r="J1077" s="81">
        <f ca="1">IFERROR(__xludf.DUMMYFUNCTION("""COMPUTED_VALUE"""),0)</f>
        <v>0</v>
      </c>
      <c r="K1077" s="81">
        <f ca="1">IFERROR(__xludf.DUMMYFUNCTION("""COMPUTED_VALUE"""),0)</f>
        <v>0</v>
      </c>
      <c r="L1077" s="81">
        <f ca="1">IFERROR(__xludf.DUMMYFUNCTION("""COMPUTED_VALUE"""),0)</f>
        <v>0</v>
      </c>
      <c r="M1077" s="81"/>
      <c r="N1077" s="81">
        <f ca="1">IFERROR(__xludf.DUMMYFUNCTION("""COMPUTED_VALUE"""),0)</f>
        <v>0</v>
      </c>
      <c r="O1077" s="81"/>
      <c r="P1077" s="81">
        <f ca="1">IFERROR(__xludf.DUMMYFUNCTION("""COMPUTED_VALUE"""),0)</f>
        <v>0</v>
      </c>
      <c r="Q1077" s="81"/>
      <c r="R1077" s="81">
        <f ca="1">IFERROR(__xludf.DUMMYFUNCTION("""COMPUTED_VALUE"""),0)</f>
        <v>0</v>
      </c>
      <c r="S1077" s="81"/>
      <c r="T1077" s="81"/>
      <c r="U1077" s="82"/>
      <c r="V1077" s="82"/>
      <c r="W1077" s="83"/>
      <c r="X1077" s="83"/>
      <c r="Y1077" s="83"/>
    </row>
    <row r="1078" spans="1:25" ht="13.8">
      <c r="A1078" s="78" t="str">
        <f ca="1">IFERROR(__xludf.DUMMYFUNCTION("""COMPUTED_VALUE"""),"KG")</f>
        <v>KG</v>
      </c>
      <c r="B1078" s="79" t="str">
        <f ca="1">IFERROR(__xludf.DUMMYFUNCTION("""COMPUTED_VALUE"""),"Hadley Nguyen")</f>
        <v>Hadley Nguyen</v>
      </c>
      <c r="C1078" s="78">
        <f ca="1">IFERROR(__xludf.DUMMYFUNCTION("""COMPUTED_VALUE"""),5)</f>
        <v>5</v>
      </c>
      <c r="D1078" s="78" t="str">
        <f ca="1">IFERROR(__xludf.DUMMYFUNCTION("""COMPUTED_VALUE"""),"G")</f>
        <v>G</v>
      </c>
      <c r="E1078" s="80" t="str">
        <f ca="1">IFERROR(__xludf.DUMMYFUNCTION("""COMPUTED_VALUE"""),"F")</f>
        <v>F</v>
      </c>
      <c r="F1078" s="80" t="str">
        <f ca="1">IFERROR(__xludf.DUMMYFUNCTION("""COMPUTED_VALUE"""),"J")</f>
        <v>J</v>
      </c>
      <c r="G1078" s="80">
        <f ca="1">IFERROR(__xludf.DUMMYFUNCTION("""COMPUTED_VALUE"""),2)</f>
        <v>2</v>
      </c>
      <c r="H1078" s="80" t="str">
        <f ca="1">IFERROR(__xludf.DUMMYFUNCTION("""COMPUTED_VALUE"""),"KG")</f>
        <v>KG</v>
      </c>
      <c r="I1078" s="80">
        <f ca="1">IFERROR(__xludf.DUMMYFUNCTION("""COMPUTED_VALUE"""),2)</f>
        <v>2</v>
      </c>
      <c r="J1078" s="81">
        <f ca="1">IFERROR(__xludf.DUMMYFUNCTION("""COMPUTED_VALUE"""),0)</f>
        <v>0</v>
      </c>
      <c r="K1078" s="81">
        <f ca="1">IFERROR(__xludf.DUMMYFUNCTION("""COMPUTED_VALUE"""),0)</f>
        <v>0</v>
      </c>
      <c r="L1078" s="81">
        <f ca="1">IFERROR(__xludf.DUMMYFUNCTION("""COMPUTED_VALUE"""),0)</f>
        <v>0</v>
      </c>
      <c r="M1078" s="81"/>
      <c r="N1078" s="81">
        <f ca="1">IFERROR(__xludf.DUMMYFUNCTION("""COMPUTED_VALUE"""),0)</f>
        <v>0</v>
      </c>
      <c r="O1078" s="81"/>
      <c r="P1078" s="81">
        <f ca="1">IFERROR(__xludf.DUMMYFUNCTION("""COMPUTED_VALUE"""),0)</f>
        <v>0</v>
      </c>
      <c r="Q1078" s="81"/>
      <c r="R1078" s="81">
        <f ca="1">IFERROR(__xludf.DUMMYFUNCTION("""COMPUTED_VALUE"""),0)</f>
        <v>0</v>
      </c>
      <c r="S1078" s="81"/>
      <c r="T1078" s="81"/>
      <c r="U1078" s="82"/>
      <c r="V1078" s="82"/>
      <c r="W1078" s="83"/>
      <c r="X1078" s="83"/>
      <c r="Y1078" s="83"/>
    </row>
    <row r="1079" spans="1:25" ht="13.8">
      <c r="A1079" s="78" t="str">
        <f ca="1">IFERROR(__xludf.DUMMYFUNCTION("""COMPUTED_VALUE"""),"KG")</f>
        <v>KG</v>
      </c>
      <c r="B1079" s="79" t="str">
        <f ca="1">IFERROR(__xludf.DUMMYFUNCTION("""COMPUTED_VALUE"""),"Sloane Nguyen")</f>
        <v>Sloane Nguyen</v>
      </c>
      <c r="C1079" s="78">
        <f ca="1">IFERROR(__xludf.DUMMYFUNCTION("""COMPUTED_VALUE"""),7)</f>
        <v>7</v>
      </c>
      <c r="D1079" s="78" t="str">
        <f ca="1">IFERROR(__xludf.DUMMYFUNCTION("""COMPUTED_VALUE"""),"G")</f>
        <v>G</v>
      </c>
      <c r="E1079" s="80" t="str">
        <f ca="1">IFERROR(__xludf.DUMMYFUNCTION("""COMPUTED_VALUE"""),"F")</f>
        <v>F</v>
      </c>
      <c r="F1079" s="80" t="str">
        <f ca="1">IFERROR(__xludf.DUMMYFUNCTION("""COMPUTED_VALUE"""),"J")</f>
        <v>J</v>
      </c>
      <c r="G1079" s="80">
        <f ca="1">IFERROR(__xludf.DUMMYFUNCTION("""COMPUTED_VALUE"""),2)</f>
        <v>2</v>
      </c>
      <c r="H1079" s="80" t="str">
        <f ca="1">IFERROR(__xludf.DUMMYFUNCTION("""COMPUTED_VALUE"""),"KG")</f>
        <v>KG</v>
      </c>
      <c r="I1079" s="80">
        <f ca="1">IFERROR(__xludf.DUMMYFUNCTION("""COMPUTED_VALUE"""),2)</f>
        <v>2</v>
      </c>
      <c r="J1079" s="81">
        <f ca="1">IFERROR(__xludf.DUMMYFUNCTION("""COMPUTED_VALUE"""),2)</f>
        <v>2</v>
      </c>
      <c r="K1079" s="81">
        <f ca="1">IFERROR(__xludf.DUMMYFUNCTION("""COMPUTED_VALUE"""),40.95)</f>
        <v>40.950000000000003</v>
      </c>
      <c r="L1079" s="81">
        <f ca="1">IFERROR(__xludf.DUMMYFUNCTION("""COMPUTED_VALUE"""),40.95)</f>
        <v>40.950000000000003</v>
      </c>
      <c r="M1079" s="81"/>
      <c r="N1079" s="81">
        <f ca="1">IFERROR(__xludf.DUMMYFUNCTION("""COMPUTED_VALUE"""),0)</f>
        <v>0</v>
      </c>
      <c r="O1079" s="81"/>
      <c r="P1079" s="81">
        <f ca="1">IFERROR(__xludf.DUMMYFUNCTION("""COMPUTED_VALUE"""),40)</f>
        <v>40</v>
      </c>
      <c r="Q1079" s="81"/>
      <c r="R1079" s="81">
        <f ca="1">IFERROR(__xludf.DUMMYFUNCTION("""COMPUTED_VALUE"""),0)</f>
        <v>0</v>
      </c>
      <c r="S1079" s="81"/>
      <c r="T1079" s="81"/>
      <c r="U1079" s="82"/>
      <c r="V1079" s="82"/>
      <c r="W1079" s="83"/>
      <c r="X1079" s="83"/>
      <c r="Y1079" s="83"/>
    </row>
    <row r="1080" spans="1:25" ht="13.8">
      <c r="A1080" s="78" t="str">
        <f ca="1">IFERROR(__xludf.DUMMYFUNCTION("""COMPUTED_VALUE"""),"KG")</f>
        <v>KG</v>
      </c>
      <c r="B1080" s="79" t="str">
        <f ca="1">IFERROR(__xludf.DUMMYFUNCTION("""COMPUTED_VALUE"""),"Caroline Van Order")</f>
        <v>Caroline Van Order</v>
      </c>
      <c r="C1080" s="78">
        <f ca="1">IFERROR(__xludf.DUMMYFUNCTION("""COMPUTED_VALUE"""),8)</f>
        <v>8</v>
      </c>
      <c r="D1080" s="78" t="str">
        <f ca="1">IFERROR(__xludf.DUMMYFUNCTION("""COMPUTED_VALUE"""),"G")</f>
        <v>G</v>
      </c>
      <c r="E1080" s="80" t="str">
        <f ca="1">IFERROR(__xludf.DUMMYFUNCTION("""COMPUTED_VALUE"""),"F")</f>
        <v>F</v>
      </c>
      <c r="F1080" s="80" t="str">
        <f ca="1">IFERROR(__xludf.DUMMYFUNCTION("""COMPUTED_VALUE"""),"J")</f>
        <v>J</v>
      </c>
      <c r="G1080" s="80">
        <f ca="1">IFERROR(__xludf.DUMMYFUNCTION("""COMPUTED_VALUE"""),2)</f>
        <v>2</v>
      </c>
      <c r="H1080" s="80" t="str">
        <f ca="1">IFERROR(__xludf.DUMMYFUNCTION("""COMPUTED_VALUE"""),"KG")</f>
        <v>KG</v>
      </c>
      <c r="I1080" s="80">
        <f ca="1">IFERROR(__xludf.DUMMYFUNCTION("""COMPUTED_VALUE"""),2)</f>
        <v>2</v>
      </c>
      <c r="J1080" s="81">
        <f ca="1">IFERROR(__xludf.DUMMYFUNCTION("""COMPUTED_VALUE"""),5)</f>
        <v>5</v>
      </c>
      <c r="K1080" s="81">
        <f ca="1">IFERROR(__xludf.DUMMYFUNCTION("""COMPUTED_VALUE"""),55.85)</f>
        <v>55.85</v>
      </c>
      <c r="L1080" s="81">
        <f ca="1">IFERROR(__xludf.DUMMYFUNCTION("""COMPUTED_VALUE"""),41)</f>
        <v>41</v>
      </c>
      <c r="M1080" s="81"/>
      <c r="N1080" s="81">
        <f ca="1">IFERROR(__xludf.DUMMYFUNCTION("""COMPUTED_VALUE"""),55.85)</f>
        <v>55.85</v>
      </c>
      <c r="O1080" s="81"/>
      <c r="P1080" s="81">
        <f ca="1">IFERROR(__xludf.DUMMYFUNCTION("""COMPUTED_VALUE"""),46.65)</f>
        <v>46.65</v>
      </c>
      <c r="Q1080" s="81"/>
      <c r="R1080" s="81">
        <f ca="1">IFERROR(__xludf.DUMMYFUNCTION("""COMPUTED_VALUE"""),54.7)</f>
        <v>54.7</v>
      </c>
      <c r="S1080" s="81"/>
      <c r="T1080" s="81"/>
      <c r="U1080" s="82"/>
      <c r="V1080" s="82"/>
      <c r="W1080" s="83"/>
      <c r="X1080" s="83"/>
      <c r="Y1080" s="83"/>
    </row>
    <row r="1081" spans="1:25" ht="13.8">
      <c r="A1081" s="78" t="str">
        <f ca="1">IFERROR(__xludf.DUMMYFUNCTION("""COMPUTED_VALUE"""),"KG")</f>
        <v>KG</v>
      </c>
      <c r="B1081" s="79" t="str">
        <f ca="1">IFERROR(__xludf.DUMMYFUNCTION("""COMPUTED_VALUE"""),"Norah Wittman")</f>
        <v>Norah Wittman</v>
      </c>
      <c r="C1081" s="78">
        <f ca="1">IFERROR(__xludf.DUMMYFUNCTION("""COMPUTED_VALUE"""),7)</f>
        <v>7</v>
      </c>
      <c r="D1081" s="78" t="str">
        <f ca="1">IFERROR(__xludf.DUMMYFUNCTION("""COMPUTED_VALUE"""),"G")</f>
        <v>G</v>
      </c>
      <c r="E1081" s="80" t="str">
        <f ca="1">IFERROR(__xludf.DUMMYFUNCTION("""COMPUTED_VALUE"""),"F")</f>
        <v>F</v>
      </c>
      <c r="F1081" s="80" t="str">
        <f ca="1">IFERROR(__xludf.DUMMYFUNCTION("""COMPUTED_VALUE"""),"J")</f>
        <v>J</v>
      </c>
      <c r="G1081" s="80">
        <f ca="1">IFERROR(__xludf.DUMMYFUNCTION("""COMPUTED_VALUE"""),2)</f>
        <v>2</v>
      </c>
      <c r="H1081" s="80" t="str">
        <f ca="1">IFERROR(__xludf.DUMMYFUNCTION("""COMPUTED_VALUE"""),"KG")</f>
        <v>KG</v>
      </c>
      <c r="I1081" s="80">
        <f ca="1">IFERROR(__xludf.DUMMYFUNCTION("""COMPUTED_VALUE"""),2)</f>
        <v>2</v>
      </c>
      <c r="J1081" s="81">
        <f ca="1">IFERROR(__xludf.DUMMYFUNCTION("""COMPUTED_VALUE"""),4)</f>
        <v>4</v>
      </c>
      <c r="K1081" s="81">
        <f ca="1">IFERROR(__xludf.DUMMYFUNCTION("""COMPUTED_VALUE"""),42.85)</f>
        <v>42.85</v>
      </c>
      <c r="L1081" s="81">
        <f ca="1">IFERROR(__xludf.DUMMYFUNCTION("""COMPUTED_VALUE"""),0)</f>
        <v>0</v>
      </c>
      <c r="M1081" s="81"/>
      <c r="N1081" s="81">
        <f ca="1">IFERROR(__xludf.DUMMYFUNCTION("""COMPUTED_VALUE"""),33.5)</f>
        <v>33.5</v>
      </c>
      <c r="O1081" s="81"/>
      <c r="P1081" s="81">
        <f ca="1">IFERROR(__xludf.DUMMYFUNCTION("""COMPUTED_VALUE"""),38.2)</f>
        <v>38.200000000000003</v>
      </c>
      <c r="Q1081" s="81"/>
      <c r="R1081" s="81">
        <f ca="1">IFERROR(__xludf.DUMMYFUNCTION("""COMPUTED_VALUE"""),42.85)</f>
        <v>42.85</v>
      </c>
      <c r="S1081" s="81"/>
      <c r="T1081" s="81"/>
      <c r="U1081" s="82"/>
      <c r="V1081" s="82"/>
      <c r="W1081" s="83"/>
      <c r="X1081" s="83"/>
      <c r="Y1081" s="83"/>
    </row>
    <row r="1082" spans="1:25" ht="13.8">
      <c r="A1082" s="78" t="str">
        <f ca="1">IFERROR(__xludf.DUMMYFUNCTION("""COMPUTED_VALUE"""),"KG")</f>
        <v>KG</v>
      </c>
      <c r="B1082" s="79" t="str">
        <f ca="1">IFERROR(__xludf.DUMMYFUNCTION("""COMPUTED_VALUE"""),"Leandro Cantua")</f>
        <v>Leandro Cantua</v>
      </c>
      <c r="C1082" s="78">
        <f ca="1">IFERROR(__xludf.DUMMYFUNCTION("""COMPUTED_VALUE"""),9)</f>
        <v>9</v>
      </c>
      <c r="D1082" s="78" t="str">
        <f ca="1">IFERROR(__xludf.DUMMYFUNCTION("""COMPUTED_VALUE"""),"B")</f>
        <v>B</v>
      </c>
      <c r="E1082" s="80" t="str">
        <f ca="1">IFERROR(__xludf.DUMMYFUNCTION("""COMPUTED_VALUE"""),"F")</f>
        <v>F</v>
      </c>
      <c r="F1082" s="80" t="str">
        <f ca="1">IFERROR(__xludf.DUMMYFUNCTION("""COMPUTED_VALUE"""),"J")</f>
        <v>J</v>
      </c>
      <c r="G1082" s="80">
        <f ca="1">IFERROR(__xludf.DUMMYFUNCTION("""COMPUTED_VALUE"""),2)</f>
        <v>2</v>
      </c>
      <c r="H1082" s="80" t="str">
        <f ca="1">IFERROR(__xludf.DUMMYFUNCTION("""COMPUTED_VALUE"""),"KG")</f>
        <v>KG</v>
      </c>
      <c r="I1082" s="80">
        <f ca="1">IFERROR(__xludf.DUMMYFUNCTION("""COMPUTED_VALUE"""),3)</f>
        <v>3</v>
      </c>
      <c r="J1082" s="81">
        <f ca="1">IFERROR(__xludf.DUMMYFUNCTION("""COMPUTED_VALUE"""),0)</f>
        <v>0</v>
      </c>
      <c r="K1082" s="81">
        <f ca="1">IFERROR(__xludf.DUMMYFUNCTION("""COMPUTED_VALUE"""),0)</f>
        <v>0</v>
      </c>
      <c r="L1082" s="81">
        <f ca="1">IFERROR(__xludf.DUMMYFUNCTION("""COMPUTED_VALUE"""),0)</f>
        <v>0</v>
      </c>
      <c r="M1082" s="81"/>
      <c r="N1082" s="81">
        <f ca="1">IFERROR(__xludf.DUMMYFUNCTION("""COMPUTED_VALUE"""),0)</f>
        <v>0</v>
      </c>
      <c r="O1082" s="81"/>
      <c r="P1082" s="81">
        <f ca="1">IFERROR(__xludf.DUMMYFUNCTION("""COMPUTED_VALUE"""),0)</f>
        <v>0</v>
      </c>
      <c r="Q1082" s="81"/>
      <c r="R1082" s="81">
        <f ca="1">IFERROR(__xludf.DUMMYFUNCTION("""COMPUTED_VALUE"""),0)</f>
        <v>0</v>
      </c>
      <c r="S1082" s="81"/>
      <c r="T1082" s="81"/>
      <c r="U1082" s="82"/>
      <c r="V1082" s="82"/>
      <c r="W1082" s="83"/>
      <c r="X1082" s="83"/>
      <c r="Y1082" s="83"/>
    </row>
    <row r="1083" spans="1:25" ht="13.8">
      <c r="A1083" s="78" t="str">
        <f ca="1">IFERROR(__xludf.DUMMYFUNCTION("""COMPUTED_VALUE"""),"KG")</f>
        <v>KG</v>
      </c>
      <c r="B1083" s="79" t="str">
        <f ca="1">IFERROR(__xludf.DUMMYFUNCTION("""COMPUTED_VALUE"""),"Reagan Diaz")</f>
        <v>Reagan Diaz</v>
      </c>
      <c r="C1083" s="78">
        <f ca="1">IFERROR(__xludf.DUMMYFUNCTION("""COMPUTED_VALUE"""),10)</f>
        <v>10</v>
      </c>
      <c r="D1083" s="78" t="str">
        <f ca="1">IFERROR(__xludf.DUMMYFUNCTION("""COMPUTED_VALUE"""),"B")</f>
        <v>B</v>
      </c>
      <c r="E1083" s="80" t="str">
        <f ca="1">IFERROR(__xludf.DUMMYFUNCTION("""COMPUTED_VALUE"""),"F")</f>
        <v>F</v>
      </c>
      <c r="F1083" s="80" t="str">
        <f ca="1">IFERROR(__xludf.DUMMYFUNCTION("""COMPUTED_VALUE"""),"J")</f>
        <v>J</v>
      </c>
      <c r="G1083" s="80">
        <f ca="1">IFERROR(__xludf.DUMMYFUNCTION("""COMPUTED_VALUE"""),2)</f>
        <v>2</v>
      </c>
      <c r="H1083" s="80" t="str">
        <f ca="1">IFERROR(__xludf.DUMMYFUNCTION("""COMPUTED_VALUE"""),"KG")</f>
        <v>KG</v>
      </c>
      <c r="I1083" s="80">
        <f ca="1">IFERROR(__xludf.DUMMYFUNCTION("""COMPUTED_VALUE"""),3)</f>
        <v>3</v>
      </c>
      <c r="J1083" s="81">
        <f ca="1">IFERROR(__xludf.DUMMYFUNCTION("""COMPUTED_VALUE"""),5)</f>
        <v>5</v>
      </c>
      <c r="K1083" s="81">
        <f ca="1">IFERROR(__xludf.DUMMYFUNCTION("""COMPUTED_VALUE"""),64.25)</f>
        <v>64.25</v>
      </c>
      <c r="L1083" s="81">
        <f ca="1">IFERROR(__xludf.DUMMYFUNCTION("""COMPUTED_VALUE"""),-71.9)</f>
        <v>-71.900000000000006</v>
      </c>
      <c r="M1083" s="81"/>
      <c r="N1083" s="81">
        <f ca="1">IFERROR(__xludf.DUMMYFUNCTION("""COMPUTED_VALUE"""),-71.2)</f>
        <v>-71.2</v>
      </c>
      <c r="O1083" s="81"/>
      <c r="P1083" s="81">
        <f ca="1">IFERROR(__xludf.DUMMYFUNCTION("""COMPUTED_VALUE"""),-71.2)</f>
        <v>-71.2</v>
      </c>
      <c r="Q1083" s="81"/>
      <c r="R1083" s="81">
        <f ca="1">IFERROR(__xludf.DUMMYFUNCTION("""COMPUTED_VALUE"""),64.25)</f>
        <v>64.25</v>
      </c>
      <c r="S1083" s="81"/>
      <c r="T1083" s="81"/>
      <c r="U1083" s="82"/>
      <c r="V1083" s="82"/>
      <c r="W1083" s="83"/>
      <c r="X1083" s="83"/>
      <c r="Y1083" s="83"/>
    </row>
    <row r="1084" spans="1:25" ht="13.8">
      <c r="A1084" s="78" t="str">
        <f ca="1">IFERROR(__xludf.DUMMYFUNCTION("""COMPUTED_VALUE"""),"KG")</f>
        <v>KG</v>
      </c>
      <c r="B1084" s="79" t="str">
        <f ca="1">IFERROR(__xludf.DUMMYFUNCTION("""COMPUTED_VALUE"""),"Henry Gregory")</f>
        <v>Henry Gregory</v>
      </c>
      <c r="C1084" s="78">
        <f ca="1">IFERROR(__xludf.DUMMYFUNCTION("""COMPUTED_VALUE"""),7)</f>
        <v>7</v>
      </c>
      <c r="D1084" s="78" t="str">
        <f ca="1">IFERROR(__xludf.DUMMYFUNCTION("""COMPUTED_VALUE"""),"B")</f>
        <v>B</v>
      </c>
      <c r="E1084" s="80" t="str">
        <f ca="1">IFERROR(__xludf.DUMMYFUNCTION("""COMPUTED_VALUE"""),"F")</f>
        <v>F</v>
      </c>
      <c r="F1084" s="80" t="str">
        <f ca="1">IFERROR(__xludf.DUMMYFUNCTION("""COMPUTED_VALUE"""),"J")</f>
        <v>J</v>
      </c>
      <c r="G1084" s="80">
        <f ca="1">IFERROR(__xludf.DUMMYFUNCTION("""COMPUTED_VALUE"""),2)</f>
        <v>2</v>
      </c>
      <c r="H1084" s="80" t="str">
        <f ca="1">IFERROR(__xludf.DUMMYFUNCTION("""COMPUTED_VALUE"""),"KG")</f>
        <v>KG</v>
      </c>
      <c r="I1084" s="80">
        <f ca="1">IFERROR(__xludf.DUMMYFUNCTION("""COMPUTED_VALUE"""),3)</f>
        <v>3</v>
      </c>
      <c r="J1084" s="81">
        <f ca="1">IFERROR(__xludf.DUMMYFUNCTION("""COMPUTED_VALUE"""),0)</f>
        <v>0</v>
      </c>
      <c r="K1084" s="81">
        <f ca="1">IFERROR(__xludf.DUMMYFUNCTION("""COMPUTED_VALUE"""),0)</f>
        <v>0</v>
      </c>
      <c r="L1084" s="81">
        <f ca="1">IFERROR(__xludf.DUMMYFUNCTION("""COMPUTED_VALUE"""),0)</f>
        <v>0</v>
      </c>
      <c r="M1084" s="81"/>
      <c r="N1084" s="81">
        <f ca="1">IFERROR(__xludf.DUMMYFUNCTION("""COMPUTED_VALUE"""),0)</f>
        <v>0</v>
      </c>
      <c r="O1084" s="81"/>
      <c r="P1084" s="81">
        <f ca="1">IFERROR(__xludf.DUMMYFUNCTION("""COMPUTED_VALUE"""),0)</f>
        <v>0</v>
      </c>
      <c r="Q1084" s="81"/>
      <c r="R1084" s="81">
        <f ca="1">IFERROR(__xludf.DUMMYFUNCTION("""COMPUTED_VALUE"""),0)</f>
        <v>0</v>
      </c>
      <c r="S1084" s="81"/>
      <c r="T1084" s="81"/>
      <c r="U1084" s="82"/>
      <c r="V1084" s="82"/>
      <c r="W1084" s="83"/>
      <c r="X1084" s="83"/>
      <c r="Y1084" s="83"/>
    </row>
    <row r="1085" spans="1:25" ht="13.8">
      <c r="A1085" s="78" t="str">
        <f ca="1">IFERROR(__xludf.DUMMYFUNCTION("""COMPUTED_VALUE"""),"KG")</f>
        <v>KG</v>
      </c>
      <c r="B1085" s="79" t="str">
        <f ca="1">IFERROR(__xludf.DUMMYFUNCTION("""COMPUTED_VALUE"""),"William Gregory")</f>
        <v>William Gregory</v>
      </c>
      <c r="C1085" s="78">
        <f ca="1">IFERROR(__xludf.DUMMYFUNCTION("""COMPUTED_VALUE"""),6)</f>
        <v>6</v>
      </c>
      <c r="D1085" s="78" t="str">
        <f ca="1">IFERROR(__xludf.DUMMYFUNCTION("""COMPUTED_VALUE"""),"B")</f>
        <v>B</v>
      </c>
      <c r="E1085" s="80" t="str">
        <f ca="1">IFERROR(__xludf.DUMMYFUNCTION("""COMPUTED_VALUE"""),"F")</f>
        <v>F</v>
      </c>
      <c r="F1085" s="80" t="str">
        <f ca="1">IFERROR(__xludf.DUMMYFUNCTION("""COMPUTED_VALUE"""),"J")</f>
        <v>J</v>
      </c>
      <c r="G1085" s="80">
        <f ca="1">IFERROR(__xludf.DUMMYFUNCTION("""COMPUTED_VALUE"""),2)</f>
        <v>2</v>
      </c>
      <c r="H1085" s="80" t="str">
        <f ca="1">IFERROR(__xludf.DUMMYFUNCTION("""COMPUTED_VALUE"""),"KG")</f>
        <v>KG</v>
      </c>
      <c r="I1085" s="80">
        <f ca="1">IFERROR(__xludf.DUMMYFUNCTION("""COMPUTED_VALUE"""),3)</f>
        <v>3</v>
      </c>
      <c r="J1085" s="81">
        <f ca="1">IFERROR(__xludf.DUMMYFUNCTION("""COMPUTED_VALUE"""),0)</f>
        <v>0</v>
      </c>
      <c r="K1085" s="81">
        <f ca="1">IFERROR(__xludf.DUMMYFUNCTION("""COMPUTED_VALUE"""),0)</f>
        <v>0</v>
      </c>
      <c r="L1085" s="81">
        <f ca="1">IFERROR(__xludf.DUMMYFUNCTION("""COMPUTED_VALUE"""),0)</f>
        <v>0</v>
      </c>
      <c r="M1085" s="81"/>
      <c r="N1085" s="81">
        <f ca="1">IFERROR(__xludf.DUMMYFUNCTION("""COMPUTED_VALUE"""),0)</f>
        <v>0</v>
      </c>
      <c r="O1085" s="81"/>
      <c r="P1085" s="81">
        <f ca="1">IFERROR(__xludf.DUMMYFUNCTION("""COMPUTED_VALUE"""),0)</f>
        <v>0</v>
      </c>
      <c r="Q1085" s="81"/>
      <c r="R1085" s="81">
        <f ca="1">IFERROR(__xludf.DUMMYFUNCTION("""COMPUTED_VALUE"""),0)</f>
        <v>0</v>
      </c>
      <c r="S1085" s="81"/>
      <c r="T1085" s="81"/>
      <c r="U1085" s="82"/>
      <c r="V1085" s="82"/>
      <c r="W1085" s="83"/>
      <c r="X1085" s="83"/>
      <c r="Y1085" s="83"/>
    </row>
    <row r="1086" spans="1:25" ht="13.8">
      <c r="A1086" s="78" t="str">
        <f ca="1">IFERROR(__xludf.DUMMYFUNCTION("""COMPUTED_VALUE"""),"KG")</f>
        <v>KG</v>
      </c>
      <c r="B1086" s="79" t="str">
        <f ca="1">IFERROR(__xludf.DUMMYFUNCTION("""COMPUTED_VALUE"""),"Lorenzo Moreno")</f>
        <v>Lorenzo Moreno</v>
      </c>
      <c r="C1086" s="78">
        <f ca="1">IFERROR(__xludf.DUMMYFUNCTION("""COMPUTED_VALUE"""),6)</f>
        <v>6</v>
      </c>
      <c r="D1086" s="78" t="str">
        <f ca="1">IFERROR(__xludf.DUMMYFUNCTION("""COMPUTED_VALUE"""),"B")</f>
        <v>B</v>
      </c>
      <c r="E1086" s="80" t="str">
        <f ca="1">IFERROR(__xludf.DUMMYFUNCTION("""COMPUTED_VALUE"""),"F")</f>
        <v>F</v>
      </c>
      <c r="F1086" s="80" t="str">
        <f ca="1">IFERROR(__xludf.DUMMYFUNCTION("""COMPUTED_VALUE"""),"J")</f>
        <v>J</v>
      </c>
      <c r="G1086" s="80">
        <f ca="1">IFERROR(__xludf.DUMMYFUNCTION("""COMPUTED_VALUE"""),2)</f>
        <v>2</v>
      </c>
      <c r="H1086" s="80" t="str">
        <f ca="1">IFERROR(__xludf.DUMMYFUNCTION("""COMPUTED_VALUE"""),"KG")</f>
        <v>KG</v>
      </c>
      <c r="I1086" s="80">
        <f ca="1">IFERROR(__xludf.DUMMYFUNCTION("""COMPUTED_VALUE"""),3)</f>
        <v>3</v>
      </c>
      <c r="J1086" s="81">
        <f ca="1">IFERROR(__xludf.DUMMYFUNCTION("""COMPUTED_VALUE"""),0)</f>
        <v>0</v>
      </c>
      <c r="K1086" s="81">
        <f ca="1">IFERROR(__xludf.DUMMYFUNCTION("""COMPUTED_VALUE"""),0)</f>
        <v>0</v>
      </c>
      <c r="L1086" s="81">
        <f ca="1">IFERROR(__xludf.DUMMYFUNCTION("""COMPUTED_VALUE"""),0)</f>
        <v>0</v>
      </c>
      <c r="M1086" s="81"/>
      <c r="N1086" s="81">
        <f ca="1">IFERROR(__xludf.DUMMYFUNCTION("""COMPUTED_VALUE"""),0)</f>
        <v>0</v>
      </c>
      <c r="O1086" s="81"/>
      <c r="P1086" s="81">
        <f ca="1">IFERROR(__xludf.DUMMYFUNCTION("""COMPUTED_VALUE"""),0)</f>
        <v>0</v>
      </c>
      <c r="Q1086" s="81"/>
      <c r="R1086" s="81">
        <f ca="1">IFERROR(__xludf.DUMMYFUNCTION("""COMPUTED_VALUE"""),0)</f>
        <v>0</v>
      </c>
      <c r="S1086" s="81"/>
      <c r="T1086" s="81"/>
      <c r="U1086" s="82"/>
      <c r="V1086" s="82"/>
      <c r="W1086" s="83"/>
      <c r="X1086" s="83"/>
      <c r="Y1086" s="83"/>
    </row>
    <row r="1087" spans="1:25" ht="13.8">
      <c r="A1087" s="78" t="str">
        <f ca="1">IFERROR(__xludf.DUMMYFUNCTION("""COMPUTED_VALUE"""),"KG")</f>
        <v>KG</v>
      </c>
      <c r="B1087" s="79" t="str">
        <f ca="1">IFERROR(__xludf.DUMMYFUNCTION("""COMPUTED_VALUE"""),"Lucas Moreno")</f>
        <v>Lucas Moreno</v>
      </c>
      <c r="C1087" s="78">
        <f ca="1">IFERROR(__xludf.DUMMYFUNCTION("""COMPUTED_VALUE"""),9)</f>
        <v>9</v>
      </c>
      <c r="D1087" s="78" t="str">
        <f ca="1">IFERROR(__xludf.DUMMYFUNCTION("""COMPUTED_VALUE"""),"B")</f>
        <v>B</v>
      </c>
      <c r="E1087" s="80" t="str">
        <f ca="1">IFERROR(__xludf.DUMMYFUNCTION("""COMPUTED_VALUE"""),"F")</f>
        <v>F</v>
      </c>
      <c r="F1087" s="80" t="str">
        <f ca="1">IFERROR(__xludf.DUMMYFUNCTION("""COMPUTED_VALUE"""),"J")</f>
        <v>J</v>
      </c>
      <c r="G1087" s="80">
        <f ca="1">IFERROR(__xludf.DUMMYFUNCTION("""COMPUTED_VALUE"""),2)</f>
        <v>2</v>
      </c>
      <c r="H1087" s="80" t="str">
        <f ca="1">IFERROR(__xludf.DUMMYFUNCTION("""COMPUTED_VALUE"""),"KG")</f>
        <v>KG</v>
      </c>
      <c r="I1087" s="80">
        <f ca="1">IFERROR(__xludf.DUMMYFUNCTION("""COMPUTED_VALUE"""),3)</f>
        <v>3</v>
      </c>
      <c r="J1087" s="81">
        <f ca="1">IFERROR(__xludf.DUMMYFUNCTION("""COMPUTED_VALUE"""),5)</f>
        <v>5</v>
      </c>
      <c r="K1087" s="81">
        <f ca="1">IFERROR(__xludf.DUMMYFUNCTION("""COMPUTED_VALUE"""),50.9)</f>
        <v>50.9</v>
      </c>
      <c r="L1087" s="81">
        <f ca="1">IFERROR(__xludf.DUMMYFUNCTION("""COMPUTED_VALUE"""),46.1)</f>
        <v>46.1</v>
      </c>
      <c r="M1087" s="81"/>
      <c r="N1087" s="81">
        <f ca="1">IFERROR(__xludf.DUMMYFUNCTION("""COMPUTED_VALUE"""),49.65)</f>
        <v>49.65</v>
      </c>
      <c r="O1087" s="81"/>
      <c r="P1087" s="81">
        <f ca="1">IFERROR(__xludf.DUMMYFUNCTION("""COMPUTED_VALUE"""),50.9)</f>
        <v>50.9</v>
      </c>
      <c r="Q1087" s="81"/>
      <c r="R1087" s="81">
        <f ca="1">IFERROR(__xludf.DUMMYFUNCTION("""COMPUTED_VALUE"""),48.45)</f>
        <v>48.45</v>
      </c>
      <c r="S1087" s="81"/>
      <c r="T1087" s="81"/>
      <c r="U1087" s="82"/>
      <c r="V1087" s="82"/>
      <c r="W1087" s="83"/>
      <c r="X1087" s="83"/>
      <c r="Y1087" s="83"/>
    </row>
    <row r="1088" spans="1:25" ht="13.8">
      <c r="A1088" s="78" t="str">
        <f ca="1">IFERROR(__xludf.DUMMYFUNCTION("""COMPUTED_VALUE"""),"KG")</f>
        <v>KG</v>
      </c>
      <c r="B1088" s="79" t="str">
        <f ca="1">IFERROR(__xludf.DUMMYFUNCTION("""COMPUTED_VALUE"""),"Gavan Nasr")</f>
        <v>Gavan Nasr</v>
      </c>
      <c r="C1088" s="78">
        <f ca="1">IFERROR(__xludf.DUMMYFUNCTION("""COMPUTED_VALUE"""),10)</f>
        <v>10</v>
      </c>
      <c r="D1088" s="78" t="str">
        <f ca="1">IFERROR(__xludf.DUMMYFUNCTION("""COMPUTED_VALUE"""),"B")</f>
        <v>B</v>
      </c>
      <c r="E1088" s="80" t="str">
        <f ca="1">IFERROR(__xludf.DUMMYFUNCTION("""COMPUTED_VALUE"""),"F")</f>
        <v>F</v>
      </c>
      <c r="F1088" s="80" t="str">
        <f ca="1">IFERROR(__xludf.DUMMYFUNCTION("""COMPUTED_VALUE"""),"J")</f>
        <v>J</v>
      </c>
      <c r="G1088" s="80">
        <f ca="1">IFERROR(__xludf.DUMMYFUNCTION("""COMPUTED_VALUE"""),2)</f>
        <v>2</v>
      </c>
      <c r="H1088" s="80" t="str">
        <f ca="1">IFERROR(__xludf.DUMMYFUNCTION("""COMPUTED_VALUE"""),"KG")</f>
        <v>KG</v>
      </c>
      <c r="I1088" s="80">
        <f ca="1">IFERROR(__xludf.DUMMYFUNCTION("""COMPUTED_VALUE"""),3)</f>
        <v>3</v>
      </c>
      <c r="J1088" s="81">
        <f ca="1">IFERROR(__xludf.DUMMYFUNCTION("""COMPUTED_VALUE"""),5)</f>
        <v>5</v>
      </c>
      <c r="K1088" s="81">
        <f ca="1">IFERROR(__xludf.DUMMYFUNCTION("""COMPUTED_VALUE"""),66.3)</f>
        <v>66.3</v>
      </c>
      <c r="L1088" s="81">
        <f ca="1">IFERROR(__xludf.DUMMYFUNCTION("""COMPUTED_VALUE"""),53.6)</f>
        <v>53.6</v>
      </c>
      <c r="M1088" s="81"/>
      <c r="N1088" s="81">
        <f ca="1">IFERROR(__xludf.DUMMYFUNCTION("""COMPUTED_VALUE"""),37.35)</f>
        <v>37.35</v>
      </c>
      <c r="O1088" s="81"/>
      <c r="P1088" s="81">
        <f ca="1">IFERROR(__xludf.DUMMYFUNCTION("""COMPUTED_VALUE"""),66.3)</f>
        <v>66.3</v>
      </c>
      <c r="Q1088" s="81"/>
      <c r="R1088" s="81">
        <f ca="1">IFERROR(__xludf.DUMMYFUNCTION("""COMPUTED_VALUE"""),61.8)</f>
        <v>61.8</v>
      </c>
      <c r="S1088" s="81"/>
      <c r="T1088" s="81"/>
      <c r="U1088" s="82"/>
      <c r="V1088" s="82"/>
      <c r="W1088" s="83"/>
      <c r="X1088" s="83"/>
      <c r="Y1088" s="83"/>
    </row>
    <row r="1089" spans="1:25" ht="13.8">
      <c r="A1089" s="78" t="str">
        <f ca="1">IFERROR(__xludf.DUMMYFUNCTION("""COMPUTED_VALUE"""),"KG")</f>
        <v>KG</v>
      </c>
      <c r="B1089" s="79" t="str">
        <f ca="1">IFERROR(__xludf.DUMMYFUNCTION("""COMPUTED_VALUE"""),"Declan Nguyen")</f>
        <v>Declan Nguyen</v>
      </c>
      <c r="C1089" s="78">
        <f ca="1">IFERROR(__xludf.DUMMYFUNCTION("""COMPUTED_VALUE"""),9)</f>
        <v>9</v>
      </c>
      <c r="D1089" s="78" t="str">
        <f ca="1">IFERROR(__xludf.DUMMYFUNCTION("""COMPUTED_VALUE"""),"B")</f>
        <v>B</v>
      </c>
      <c r="E1089" s="80" t="str">
        <f ca="1">IFERROR(__xludf.DUMMYFUNCTION("""COMPUTED_VALUE"""),"F")</f>
        <v>F</v>
      </c>
      <c r="F1089" s="80" t="str">
        <f ca="1">IFERROR(__xludf.DUMMYFUNCTION("""COMPUTED_VALUE"""),"J")</f>
        <v>J</v>
      </c>
      <c r="G1089" s="80">
        <f ca="1">IFERROR(__xludf.DUMMYFUNCTION("""COMPUTED_VALUE"""),2)</f>
        <v>2</v>
      </c>
      <c r="H1089" s="80" t="str">
        <f ca="1">IFERROR(__xludf.DUMMYFUNCTION("""COMPUTED_VALUE"""),"KG")</f>
        <v>KG</v>
      </c>
      <c r="I1089" s="80">
        <f ca="1">IFERROR(__xludf.DUMMYFUNCTION("""COMPUTED_VALUE"""),3)</f>
        <v>3</v>
      </c>
      <c r="J1089" s="81">
        <f ca="1">IFERROR(__xludf.DUMMYFUNCTION("""COMPUTED_VALUE"""),4)</f>
        <v>4</v>
      </c>
      <c r="K1089" s="81">
        <f ca="1">IFERROR(__xludf.DUMMYFUNCTION("""COMPUTED_VALUE"""),56.05)</f>
        <v>56.05</v>
      </c>
      <c r="L1089" s="81">
        <f ca="1">IFERROR(__xludf.DUMMYFUNCTION("""COMPUTED_VALUE"""),56.05)</f>
        <v>56.05</v>
      </c>
      <c r="M1089" s="81"/>
      <c r="N1089" s="81">
        <f ca="1">IFERROR(__xludf.DUMMYFUNCTION("""COMPUTED_VALUE"""),52.3)</f>
        <v>52.3</v>
      </c>
      <c r="O1089" s="81"/>
      <c r="P1089" s="81">
        <f ca="1">IFERROR(__xludf.DUMMYFUNCTION("""COMPUTED_VALUE"""),48.9)</f>
        <v>48.9</v>
      </c>
      <c r="Q1089" s="81"/>
      <c r="R1089" s="81">
        <f ca="1">IFERROR(__xludf.DUMMYFUNCTION("""COMPUTED_VALUE"""),46.5)</f>
        <v>46.5</v>
      </c>
      <c r="S1089" s="81"/>
      <c r="T1089" s="81"/>
      <c r="U1089" s="82"/>
      <c r="V1089" s="82"/>
      <c r="W1089" s="83"/>
      <c r="X1089" s="83"/>
      <c r="Y1089" s="83"/>
    </row>
    <row r="1090" spans="1:25" ht="13.8">
      <c r="A1090" s="78" t="str">
        <f ca="1">IFERROR(__xludf.DUMMYFUNCTION("""COMPUTED_VALUE"""),"KG")</f>
        <v>KG</v>
      </c>
      <c r="B1090" s="79" t="str">
        <f ca="1">IFERROR(__xludf.DUMMYFUNCTION("""COMPUTED_VALUE"""),"Turner Nguyen")</f>
        <v>Turner Nguyen</v>
      </c>
      <c r="C1090" s="78">
        <f ca="1">IFERROR(__xludf.DUMMYFUNCTION("""COMPUTED_VALUE"""),7)</f>
        <v>7</v>
      </c>
      <c r="D1090" s="78" t="str">
        <f ca="1">IFERROR(__xludf.DUMMYFUNCTION("""COMPUTED_VALUE"""),"B")</f>
        <v>B</v>
      </c>
      <c r="E1090" s="80" t="str">
        <f ca="1">IFERROR(__xludf.DUMMYFUNCTION("""COMPUTED_VALUE"""),"F")</f>
        <v>F</v>
      </c>
      <c r="F1090" s="80" t="str">
        <f ca="1">IFERROR(__xludf.DUMMYFUNCTION("""COMPUTED_VALUE"""),"J")</f>
        <v>J</v>
      </c>
      <c r="G1090" s="80">
        <f ca="1">IFERROR(__xludf.DUMMYFUNCTION("""COMPUTED_VALUE"""),2)</f>
        <v>2</v>
      </c>
      <c r="H1090" s="80" t="str">
        <f ca="1">IFERROR(__xludf.DUMMYFUNCTION("""COMPUTED_VALUE"""),"KG")</f>
        <v>KG</v>
      </c>
      <c r="I1090" s="80">
        <f ca="1">IFERROR(__xludf.DUMMYFUNCTION("""COMPUTED_VALUE"""),3)</f>
        <v>3</v>
      </c>
      <c r="J1090" s="81">
        <f ca="1">IFERROR(__xludf.DUMMYFUNCTION("""COMPUTED_VALUE"""),1)</f>
        <v>1</v>
      </c>
      <c r="K1090" s="81">
        <f ca="1">IFERROR(__xludf.DUMMYFUNCTION("""COMPUTED_VALUE"""),42.2)</f>
        <v>42.2</v>
      </c>
      <c r="L1090" s="81">
        <f ca="1">IFERROR(__xludf.DUMMYFUNCTION("""COMPUTED_VALUE"""),42.2)</f>
        <v>42.2</v>
      </c>
      <c r="M1090" s="81"/>
      <c r="N1090" s="81">
        <f ca="1">IFERROR(__xludf.DUMMYFUNCTION("""COMPUTED_VALUE"""),0)</f>
        <v>0</v>
      </c>
      <c r="O1090" s="81"/>
      <c r="P1090" s="81">
        <f ca="1">IFERROR(__xludf.DUMMYFUNCTION("""COMPUTED_VALUE"""),0)</f>
        <v>0</v>
      </c>
      <c r="Q1090" s="81"/>
      <c r="R1090" s="81">
        <f ca="1">IFERROR(__xludf.DUMMYFUNCTION("""COMPUTED_VALUE"""),0)</f>
        <v>0</v>
      </c>
      <c r="S1090" s="81"/>
      <c r="T1090" s="81"/>
      <c r="U1090" s="82"/>
      <c r="V1090" s="82"/>
      <c r="W1090" s="83"/>
      <c r="X1090" s="83"/>
      <c r="Y1090" s="83"/>
    </row>
    <row r="1091" spans="1:25" ht="13.8">
      <c r="A1091" s="78" t="str">
        <f ca="1">IFERROR(__xludf.DUMMYFUNCTION("""COMPUTED_VALUE"""),"KG")</f>
        <v>KG</v>
      </c>
      <c r="B1091" s="79" t="str">
        <f ca="1">IFERROR(__xludf.DUMMYFUNCTION("""COMPUTED_VALUE"""),"Alejandro Pereira")</f>
        <v>Alejandro Pereira</v>
      </c>
      <c r="C1091" s="78">
        <f ca="1">IFERROR(__xludf.DUMMYFUNCTION("""COMPUTED_VALUE"""),7)</f>
        <v>7</v>
      </c>
      <c r="D1091" s="78" t="str">
        <f ca="1">IFERROR(__xludf.DUMMYFUNCTION("""COMPUTED_VALUE"""),"B")</f>
        <v>B</v>
      </c>
      <c r="E1091" s="80" t="str">
        <f ca="1">IFERROR(__xludf.DUMMYFUNCTION("""COMPUTED_VALUE"""),"F")</f>
        <v>F</v>
      </c>
      <c r="F1091" s="80" t="str">
        <f ca="1">IFERROR(__xludf.DUMMYFUNCTION("""COMPUTED_VALUE"""),"J")</f>
        <v>J</v>
      </c>
      <c r="G1091" s="80">
        <f ca="1">IFERROR(__xludf.DUMMYFUNCTION("""COMPUTED_VALUE"""),2)</f>
        <v>2</v>
      </c>
      <c r="H1091" s="80" t="str">
        <f ca="1">IFERROR(__xludf.DUMMYFUNCTION("""COMPUTED_VALUE"""),"KG")</f>
        <v>KG</v>
      </c>
      <c r="I1091" s="80">
        <f ca="1">IFERROR(__xludf.DUMMYFUNCTION("""COMPUTED_VALUE"""),3)</f>
        <v>3</v>
      </c>
      <c r="J1091" s="81">
        <f ca="1">IFERROR(__xludf.DUMMYFUNCTION("""COMPUTED_VALUE"""),1)</f>
        <v>1</v>
      </c>
      <c r="K1091" s="81">
        <f ca="1">IFERROR(__xludf.DUMMYFUNCTION("""COMPUTED_VALUE"""),35.5)</f>
        <v>35.5</v>
      </c>
      <c r="L1091" s="81">
        <f ca="1">IFERROR(__xludf.DUMMYFUNCTION("""COMPUTED_VALUE"""),35.5)</f>
        <v>35.5</v>
      </c>
      <c r="M1091" s="81"/>
      <c r="N1091" s="81">
        <f ca="1">IFERROR(__xludf.DUMMYFUNCTION("""COMPUTED_VALUE"""),0)</f>
        <v>0</v>
      </c>
      <c r="O1091" s="81"/>
      <c r="P1091" s="81">
        <f ca="1">IFERROR(__xludf.DUMMYFUNCTION("""COMPUTED_VALUE"""),0)</f>
        <v>0</v>
      </c>
      <c r="Q1091" s="81"/>
      <c r="R1091" s="81">
        <f ca="1">IFERROR(__xludf.DUMMYFUNCTION("""COMPUTED_VALUE"""),0)</f>
        <v>0</v>
      </c>
      <c r="S1091" s="81"/>
      <c r="T1091" s="81"/>
      <c r="U1091" s="82"/>
      <c r="V1091" s="82"/>
      <c r="W1091" s="83"/>
      <c r="X1091" s="83"/>
      <c r="Y1091" s="83"/>
    </row>
    <row r="1092" spans="1:25" ht="13.8">
      <c r="A1092" s="78" t="str">
        <f ca="1">IFERROR(__xludf.DUMMYFUNCTION("""COMPUTED_VALUE"""),"KG")</f>
        <v>KG</v>
      </c>
      <c r="B1092" s="79" t="str">
        <f ca="1">IFERROR(__xludf.DUMMYFUNCTION("""COMPUTED_VALUE"""),"Kieran Salerno")</f>
        <v>Kieran Salerno</v>
      </c>
      <c r="C1092" s="78">
        <f ca="1">IFERROR(__xludf.DUMMYFUNCTION("""COMPUTED_VALUE"""),8)</f>
        <v>8</v>
      </c>
      <c r="D1092" s="78" t="str">
        <f ca="1">IFERROR(__xludf.DUMMYFUNCTION("""COMPUTED_VALUE"""),"B")</f>
        <v>B</v>
      </c>
      <c r="E1092" s="80" t="str">
        <f ca="1">IFERROR(__xludf.DUMMYFUNCTION("""COMPUTED_VALUE"""),"F")</f>
        <v>F</v>
      </c>
      <c r="F1092" s="80" t="str">
        <f ca="1">IFERROR(__xludf.DUMMYFUNCTION("""COMPUTED_VALUE"""),"J")</f>
        <v>J</v>
      </c>
      <c r="G1092" s="80">
        <f ca="1">IFERROR(__xludf.DUMMYFUNCTION("""COMPUTED_VALUE"""),2)</f>
        <v>2</v>
      </c>
      <c r="H1092" s="80" t="str">
        <f ca="1">IFERROR(__xludf.DUMMYFUNCTION("""COMPUTED_VALUE"""),"KG")</f>
        <v>KG</v>
      </c>
      <c r="I1092" s="80">
        <f ca="1">IFERROR(__xludf.DUMMYFUNCTION("""COMPUTED_VALUE"""),3)</f>
        <v>3</v>
      </c>
      <c r="J1092" s="81">
        <f ca="1">IFERROR(__xludf.DUMMYFUNCTION("""COMPUTED_VALUE"""),0)</f>
        <v>0</v>
      </c>
      <c r="K1092" s="81">
        <f ca="1">IFERROR(__xludf.DUMMYFUNCTION("""COMPUTED_VALUE"""),0)</f>
        <v>0</v>
      </c>
      <c r="L1092" s="81">
        <f ca="1">IFERROR(__xludf.DUMMYFUNCTION("""COMPUTED_VALUE"""),0)</f>
        <v>0</v>
      </c>
      <c r="M1092" s="81"/>
      <c r="N1092" s="81">
        <f ca="1">IFERROR(__xludf.DUMMYFUNCTION("""COMPUTED_VALUE"""),0)</f>
        <v>0</v>
      </c>
      <c r="O1092" s="81"/>
      <c r="P1092" s="81">
        <f ca="1">IFERROR(__xludf.DUMMYFUNCTION("""COMPUTED_VALUE"""),0)</f>
        <v>0</v>
      </c>
      <c r="Q1092" s="81"/>
      <c r="R1092" s="81">
        <f ca="1">IFERROR(__xludf.DUMMYFUNCTION("""COMPUTED_VALUE"""),0)</f>
        <v>0</v>
      </c>
      <c r="S1092" s="81"/>
      <c r="T1092" s="81"/>
      <c r="U1092" s="82"/>
      <c r="V1092" s="82"/>
      <c r="W1092" s="83"/>
      <c r="X1092" s="83"/>
      <c r="Y1092" s="83"/>
    </row>
    <row r="1093" spans="1:25" ht="13.8">
      <c r="A1093" s="78" t="str">
        <f ca="1">IFERROR(__xludf.DUMMYFUNCTION("""COMPUTED_VALUE"""),"KG")</f>
        <v>KG</v>
      </c>
      <c r="B1093" s="79" t="str">
        <f ca="1">IFERROR(__xludf.DUMMYFUNCTION("""COMPUTED_VALUE"""),"Nicholas Scannapieco")</f>
        <v>Nicholas Scannapieco</v>
      </c>
      <c r="C1093" s="78">
        <f ca="1">IFERROR(__xludf.DUMMYFUNCTION("""COMPUTED_VALUE"""),9)</f>
        <v>9</v>
      </c>
      <c r="D1093" s="78" t="str">
        <f ca="1">IFERROR(__xludf.DUMMYFUNCTION("""COMPUTED_VALUE"""),"B")</f>
        <v>B</v>
      </c>
      <c r="E1093" s="80" t="str">
        <f ca="1">IFERROR(__xludf.DUMMYFUNCTION("""COMPUTED_VALUE"""),"F")</f>
        <v>F</v>
      </c>
      <c r="F1093" s="80" t="str">
        <f ca="1">IFERROR(__xludf.DUMMYFUNCTION("""COMPUTED_VALUE"""),"J")</f>
        <v>J</v>
      </c>
      <c r="G1093" s="80">
        <f ca="1">IFERROR(__xludf.DUMMYFUNCTION("""COMPUTED_VALUE"""),2)</f>
        <v>2</v>
      </c>
      <c r="H1093" s="80" t="str">
        <f ca="1">IFERROR(__xludf.DUMMYFUNCTION("""COMPUTED_VALUE"""),"KG")</f>
        <v>KG</v>
      </c>
      <c r="I1093" s="80">
        <f ca="1">IFERROR(__xludf.DUMMYFUNCTION("""COMPUTED_VALUE"""),3)</f>
        <v>3</v>
      </c>
      <c r="J1093" s="81">
        <f ca="1">IFERROR(__xludf.DUMMYFUNCTION("""COMPUTED_VALUE"""),0)</f>
        <v>0</v>
      </c>
      <c r="K1093" s="81">
        <f ca="1">IFERROR(__xludf.DUMMYFUNCTION("""COMPUTED_VALUE"""),0)</f>
        <v>0</v>
      </c>
      <c r="L1093" s="81">
        <f ca="1">IFERROR(__xludf.DUMMYFUNCTION("""COMPUTED_VALUE"""),0)</f>
        <v>0</v>
      </c>
      <c r="M1093" s="81"/>
      <c r="N1093" s="81">
        <f ca="1">IFERROR(__xludf.DUMMYFUNCTION("""COMPUTED_VALUE"""),0)</f>
        <v>0</v>
      </c>
      <c r="O1093" s="81"/>
      <c r="P1093" s="81">
        <f ca="1">IFERROR(__xludf.DUMMYFUNCTION("""COMPUTED_VALUE"""),0)</f>
        <v>0</v>
      </c>
      <c r="Q1093" s="81"/>
      <c r="R1093" s="81">
        <f ca="1">IFERROR(__xludf.DUMMYFUNCTION("""COMPUTED_VALUE"""),0)</f>
        <v>0</v>
      </c>
      <c r="S1093" s="81"/>
      <c r="T1093" s="81"/>
      <c r="U1093" s="82"/>
      <c r="V1093" s="82"/>
      <c r="W1093" s="83"/>
      <c r="X1093" s="83"/>
      <c r="Y1093" s="83"/>
    </row>
    <row r="1094" spans="1:25" ht="13.8">
      <c r="A1094" s="78" t="str">
        <f ca="1">IFERROR(__xludf.DUMMYFUNCTION("""COMPUTED_VALUE"""),"KG")</f>
        <v>KG</v>
      </c>
      <c r="B1094" s="79" t="str">
        <f ca="1">IFERROR(__xludf.DUMMYFUNCTION("""COMPUTED_VALUE"""),"James Wittman")</f>
        <v>James Wittman</v>
      </c>
      <c r="C1094" s="78">
        <f ca="1">IFERROR(__xludf.DUMMYFUNCTION("""COMPUTED_VALUE"""),5)</f>
        <v>5</v>
      </c>
      <c r="D1094" s="78" t="str">
        <f ca="1">IFERROR(__xludf.DUMMYFUNCTION("""COMPUTED_VALUE"""),"B")</f>
        <v>B</v>
      </c>
      <c r="E1094" s="80" t="str">
        <f ca="1">IFERROR(__xludf.DUMMYFUNCTION("""COMPUTED_VALUE"""),"F")</f>
        <v>F</v>
      </c>
      <c r="F1094" s="80" t="str">
        <f ca="1">IFERROR(__xludf.DUMMYFUNCTION("""COMPUTED_VALUE"""),"J")</f>
        <v>J</v>
      </c>
      <c r="G1094" s="80">
        <f ca="1">IFERROR(__xludf.DUMMYFUNCTION("""COMPUTED_VALUE"""),2)</f>
        <v>2</v>
      </c>
      <c r="H1094" s="80" t="str">
        <f ca="1">IFERROR(__xludf.DUMMYFUNCTION("""COMPUTED_VALUE"""),"KG")</f>
        <v>KG</v>
      </c>
      <c r="I1094" s="80">
        <f ca="1">IFERROR(__xludf.DUMMYFUNCTION("""COMPUTED_VALUE"""),3)</f>
        <v>3</v>
      </c>
      <c r="J1094" s="81">
        <f ca="1">IFERROR(__xludf.DUMMYFUNCTION("""COMPUTED_VALUE"""),0)</f>
        <v>0</v>
      </c>
      <c r="K1094" s="81">
        <f ca="1">IFERROR(__xludf.DUMMYFUNCTION("""COMPUTED_VALUE"""),0)</f>
        <v>0</v>
      </c>
      <c r="L1094" s="81">
        <f ca="1">IFERROR(__xludf.DUMMYFUNCTION("""COMPUTED_VALUE"""),0)</f>
        <v>0</v>
      </c>
      <c r="M1094" s="81"/>
      <c r="N1094" s="81">
        <f ca="1">IFERROR(__xludf.DUMMYFUNCTION("""COMPUTED_VALUE"""),0)</f>
        <v>0</v>
      </c>
      <c r="O1094" s="81"/>
      <c r="P1094" s="81">
        <f ca="1">IFERROR(__xludf.DUMMYFUNCTION("""COMPUTED_VALUE"""),0)</f>
        <v>0</v>
      </c>
      <c r="Q1094" s="81"/>
      <c r="R1094" s="81">
        <f ca="1">IFERROR(__xludf.DUMMYFUNCTION("""COMPUTED_VALUE"""),0)</f>
        <v>0</v>
      </c>
      <c r="S1094" s="81"/>
      <c r="T1094" s="81"/>
      <c r="U1094" s="82"/>
      <c r="V1094" s="82"/>
      <c r="W1094" s="83"/>
      <c r="X1094" s="83"/>
      <c r="Y1094" s="83"/>
    </row>
    <row r="1095" spans="1:25" ht="13.8">
      <c r="A1095" s="78" t="str">
        <f ca="1">IFERROR(__xludf.DUMMYFUNCTION("""COMPUTED_VALUE"""),"KG")</f>
        <v>KG</v>
      </c>
      <c r="B1095" s="79" t="str">
        <f ca="1">IFERROR(__xludf.DUMMYFUNCTION("""COMPUTED_VALUE"""),"Alexander Wu")</f>
        <v>Alexander Wu</v>
      </c>
      <c r="C1095" s="78">
        <f ca="1">IFERROR(__xludf.DUMMYFUNCTION("""COMPUTED_VALUE"""),8)</f>
        <v>8</v>
      </c>
      <c r="D1095" s="78" t="str">
        <f ca="1">IFERROR(__xludf.DUMMYFUNCTION("""COMPUTED_VALUE"""),"B")</f>
        <v>B</v>
      </c>
      <c r="E1095" s="80" t="str">
        <f ca="1">IFERROR(__xludf.DUMMYFUNCTION("""COMPUTED_VALUE"""),"F")</f>
        <v>F</v>
      </c>
      <c r="F1095" s="80" t="str">
        <f ca="1">IFERROR(__xludf.DUMMYFUNCTION("""COMPUTED_VALUE"""),"J")</f>
        <v>J</v>
      </c>
      <c r="G1095" s="80">
        <f ca="1">IFERROR(__xludf.DUMMYFUNCTION("""COMPUTED_VALUE"""),2)</f>
        <v>2</v>
      </c>
      <c r="H1095" s="80" t="str">
        <f ca="1">IFERROR(__xludf.DUMMYFUNCTION("""COMPUTED_VALUE"""),"KG")</f>
        <v>KG</v>
      </c>
      <c r="I1095" s="80">
        <f ca="1">IFERROR(__xludf.DUMMYFUNCTION("""COMPUTED_VALUE"""),3)</f>
        <v>3</v>
      </c>
      <c r="J1095" s="81">
        <f ca="1">IFERROR(__xludf.DUMMYFUNCTION("""COMPUTED_VALUE"""),0)</f>
        <v>0</v>
      </c>
      <c r="K1095" s="81">
        <f ca="1">IFERROR(__xludf.DUMMYFUNCTION("""COMPUTED_VALUE"""),0)</f>
        <v>0</v>
      </c>
      <c r="L1095" s="81">
        <f ca="1">IFERROR(__xludf.DUMMYFUNCTION("""COMPUTED_VALUE"""),0)</f>
        <v>0</v>
      </c>
      <c r="M1095" s="81"/>
      <c r="N1095" s="81">
        <f ca="1">IFERROR(__xludf.DUMMYFUNCTION("""COMPUTED_VALUE"""),0)</f>
        <v>0</v>
      </c>
      <c r="O1095" s="81"/>
      <c r="P1095" s="81">
        <f ca="1">IFERROR(__xludf.DUMMYFUNCTION("""COMPUTED_VALUE"""),0)</f>
        <v>0</v>
      </c>
      <c r="Q1095" s="81"/>
      <c r="R1095" s="81">
        <f ca="1">IFERROR(__xludf.DUMMYFUNCTION("""COMPUTED_VALUE"""),0)</f>
        <v>0</v>
      </c>
      <c r="S1095" s="81"/>
      <c r="T1095" s="81"/>
      <c r="U1095" s="82"/>
      <c r="V1095" s="82"/>
      <c r="W1095" s="83"/>
      <c r="X1095" s="83"/>
      <c r="Y1095" s="83"/>
    </row>
    <row r="1096" spans="1:25" ht="13.8">
      <c r="A1096" s="78" t="str">
        <f ca="1">IFERROR(__xludf.DUMMYFUNCTION("""COMPUTED_VALUE"""),"KG")</f>
        <v>KG</v>
      </c>
      <c r="B1096" s="79" t="str">
        <f ca="1">IFERROR(__xludf.DUMMYFUNCTION("""COMPUTED_VALUE"""),"Ziya Bhasin")</f>
        <v>Ziya Bhasin</v>
      </c>
      <c r="C1096" s="78">
        <f ca="1">IFERROR(__xludf.DUMMYFUNCTION("""COMPUTED_VALUE"""),12)</f>
        <v>12</v>
      </c>
      <c r="D1096" s="78" t="str">
        <f ca="1">IFERROR(__xludf.DUMMYFUNCTION("""COMPUTED_VALUE"""),"G")</f>
        <v>G</v>
      </c>
      <c r="E1096" s="80" t="str">
        <f ca="1">IFERROR(__xludf.DUMMYFUNCTION("""COMPUTED_VALUE"""),"J")</f>
        <v>J</v>
      </c>
      <c r="F1096" s="80" t="str">
        <f ca="1">IFERROR(__xludf.DUMMYFUNCTION("""COMPUTED_VALUE"""),"I")</f>
        <v>I</v>
      </c>
      <c r="G1096" s="80">
        <f ca="1">IFERROR(__xludf.DUMMYFUNCTION("""COMPUTED_VALUE"""),2)</f>
        <v>2</v>
      </c>
      <c r="H1096" s="80" t="str">
        <f ca="1">IFERROR(__xludf.DUMMYFUNCTION("""COMPUTED_VALUE"""),"KG")</f>
        <v>KG</v>
      </c>
      <c r="I1096" s="80">
        <f ca="1">IFERROR(__xludf.DUMMYFUNCTION("""COMPUTED_VALUE"""),4)</f>
        <v>4</v>
      </c>
      <c r="J1096" s="81">
        <f ca="1">IFERROR(__xludf.DUMMYFUNCTION("""COMPUTED_VALUE"""),4)</f>
        <v>4</v>
      </c>
      <c r="K1096" s="81">
        <f ca="1">IFERROR(__xludf.DUMMYFUNCTION("""COMPUTED_VALUE"""),81.5)</f>
        <v>81.5</v>
      </c>
      <c r="L1096" s="81">
        <f ca="1">IFERROR(__xludf.DUMMYFUNCTION("""COMPUTED_VALUE"""),79.4)</f>
        <v>79.400000000000006</v>
      </c>
      <c r="M1096" s="81"/>
      <c r="N1096" s="81">
        <f ca="1">IFERROR(__xludf.DUMMYFUNCTION("""COMPUTED_VALUE"""),81.5)</f>
        <v>81.5</v>
      </c>
      <c r="O1096" s="81"/>
      <c r="P1096" s="81">
        <f ca="1">IFERROR(__xludf.DUMMYFUNCTION("""COMPUTED_VALUE"""),0)</f>
        <v>0</v>
      </c>
      <c r="Q1096" s="81"/>
      <c r="R1096" s="81">
        <f ca="1">IFERROR(__xludf.DUMMYFUNCTION("""COMPUTED_VALUE"""),76)</f>
        <v>76</v>
      </c>
      <c r="S1096" s="81"/>
      <c r="T1096" s="81"/>
      <c r="U1096" s="82"/>
      <c r="V1096" s="82"/>
      <c r="W1096" s="83"/>
      <c r="X1096" s="83"/>
      <c r="Y1096" s="83"/>
    </row>
    <row r="1097" spans="1:25" ht="13.8">
      <c r="A1097" s="78" t="str">
        <f ca="1">IFERROR(__xludf.DUMMYFUNCTION("""COMPUTED_VALUE"""),"KG")</f>
        <v>KG</v>
      </c>
      <c r="B1097" s="79" t="str">
        <f ca="1">IFERROR(__xludf.DUMMYFUNCTION("""COMPUTED_VALUE"""),"Martina Cantua")</f>
        <v>Martina Cantua</v>
      </c>
      <c r="C1097" s="78">
        <f ca="1">IFERROR(__xludf.DUMMYFUNCTION("""COMPUTED_VALUE"""),11)</f>
        <v>11</v>
      </c>
      <c r="D1097" s="78" t="str">
        <f ca="1">IFERROR(__xludf.DUMMYFUNCTION("""COMPUTED_VALUE"""),"G")</f>
        <v>G</v>
      </c>
      <c r="E1097" s="80" t="str">
        <f ca="1">IFERROR(__xludf.DUMMYFUNCTION("""COMPUTED_VALUE"""),"J")</f>
        <v>J</v>
      </c>
      <c r="F1097" s="80" t="str">
        <f ca="1">IFERROR(__xludf.DUMMYFUNCTION("""COMPUTED_VALUE"""),"I")</f>
        <v>I</v>
      </c>
      <c r="G1097" s="80">
        <f ca="1">IFERROR(__xludf.DUMMYFUNCTION("""COMPUTED_VALUE"""),2)</f>
        <v>2</v>
      </c>
      <c r="H1097" s="80" t="str">
        <f ca="1">IFERROR(__xludf.DUMMYFUNCTION("""COMPUTED_VALUE"""),"KG")</f>
        <v>KG</v>
      </c>
      <c r="I1097" s="80">
        <f ca="1">IFERROR(__xludf.DUMMYFUNCTION("""COMPUTED_VALUE"""),4)</f>
        <v>4</v>
      </c>
      <c r="J1097" s="81">
        <f ca="1">IFERROR(__xludf.DUMMYFUNCTION("""COMPUTED_VALUE"""),2)</f>
        <v>2</v>
      </c>
      <c r="K1097" s="81">
        <f ca="1">IFERROR(__xludf.DUMMYFUNCTION("""COMPUTED_VALUE"""),67.85)</f>
        <v>67.849999999999994</v>
      </c>
      <c r="L1097" s="81">
        <f ca="1">IFERROR(__xludf.DUMMYFUNCTION("""COMPUTED_VALUE"""),67.85)</f>
        <v>67.849999999999994</v>
      </c>
      <c r="M1097" s="81"/>
      <c r="N1097" s="81">
        <f ca="1">IFERROR(__xludf.DUMMYFUNCTION("""COMPUTED_VALUE"""),48.35)</f>
        <v>48.35</v>
      </c>
      <c r="O1097" s="81"/>
      <c r="P1097" s="81">
        <f ca="1">IFERROR(__xludf.DUMMYFUNCTION("""COMPUTED_VALUE"""),0)</f>
        <v>0</v>
      </c>
      <c r="Q1097" s="81"/>
      <c r="R1097" s="81">
        <f ca="1">IFERROR(__xludf.DUMMYFUNCTION("""COMPUTED_VALUE"""),0)</f>
        <v>0</v>
      </c>
      <c r="S1097" s="81"/>
      <c r="T1097" s="81"/>
      <c r="U1097" s="82"/>
      <c r="V1097" s="82"/>
      <c r="W1097" s="83"/>
      <c r="X1097" s="83"/>
      <c r="Y1097" s="83"/>
    </row>
    <row r="1098" spans="1:25" ht="13.8">
      <c r="A1098" s="78" t="str">
        <f ca="1">IFERROR(__xludf.DUMMYFUNCTION("""COMPUTED_VALUE"""),"KG")</f>
        <v>KG</v>
      </c>
      <c r="B1098" s="79" t="str">
        <f ca="1">IFERROR(__xludf.DUMMYFUNCTION("""COMPUTED_VALUE"""),"Riley Diaz")</f>
        <v>Riley Diaz</v>
      </c>
      <c r="C1098" s="78">
        <f ca="1">IFERROR(__xludf.DUMMYFUNCTION("""COMPUTED_VALUE"""),12)</f>
        <v>12</v>
      </c>
      <c r="D1098" s="78" t="str">
        <f ca="1">IFERROR(__xludf.DUMMYFUNCTION("""COMPUTED_VALUE"""),"G")</f>
        <v>G</v>
      </c>
      <c r="E1098" s="80" t="str">
        <f ca="1">IFERROR(__xludf.DUMMYFUNCTION("""COMPUTED_VALUE"""),"J")</f>
        <v>J</v>
      </c>
      <c r="F1098" s="80" t="str">
        <f ca="1">IFERROR(__xludf.DUMMYFUNCTION("""COMPUTED_VALUE"""),"I")</f>
        <v>I</v>
      </c>
      <c r="G1098" s="80">
        <f ca="1">IFERROR(__xludf.DUMMYFUNCTION("""COMPUTED_VALUE"""),2)</f>
        <v>2</v>
      </c>
      <c r="H1098" s="80" t="str">
        <f ca="1">IFERROR(__xludf.DUMMYFUNCTION("""COMPUTED_VALUE"""),"KG")</f>
        <v>KG</v>
      </c>
      <c r="I1098" s="80">
        <f ca="1">IFERROR(__xludf.DUMMYFUNCTION("""COMPUTED_VALUE"""),4)</f>
        <v>4</v>
      </c>
      <c r="J1098" s="81">
        <f ca="1">IFERROR(__xludf.DUMMYFUNCTION("""COMPUTED_VALUE"""),3)</f>
        <v>3</v>
      </c>
      <c r="K1098" s="81">
        <f ca="1">IFERROR(__xludf.DUMMYFUNCTION("""COMPUTED_VALUE"""),68.65)</f>
        <v>68.650000000000006</v>
      </c>
      <c r="L1098" s="81">
        <f ca="1">IFERROR(__xludf.DUMMYFUNCTION("""COMPUTED_VALUE"""),0)</f>
        <v>0</v>
      </c>
      <c r="M1098" s="81"/>
      <c r="N1098" s="81">
        <f ca="1">IFERROR(__xludf.DUMMYFUNCTION("""COMPUTED_VALUE"""),68.65)</f>
        <v>68.650000000000006</v>
      </c>
      <c r="O1098" s="81"/>
      <c r="P1098" s="81">
        <f ca="1">IFERROR(__xludf.DUMMYFUNCTION("""COMPUTED_VALUE"""),60.1)</f>
        <v>60.1</v>
      </c>
      <c r="Q1098" s="81"/>
      <c r="R1098" s="81">
        <f ca="1">IFERROR(__xludf.DUMMYFUNCTION("""COMPUTED_VALUE"""),0)</f>
        <v>0</v>
      </c>
      <c r="S1098" s="81"/>
      <c r="T1098" s="81"/>
      <c r="U1098" s="82"/>
      <c r="V1098" s="82"/>
      <c r="W1098" s="83"/>
      <c r="X1098" s="83"/>
      <c r="Y1098" s="83"/>
    </row>
    <row r="1099" spans="1:25" ht="13.8">
      <c r="A1099" s="78" t="str">
        <f ca="1">IFERROR(__xludf.DUMMYFUNCTION("""COMPUTED_VALUE"""),"KG")</f>
        <v>KG</v>
      </c>
      <c r="B1099" s="79" t="str">
        <f ca="1">IFERROR(__xludf.DUMMYFUNCTION("""COMPUTED_VALUE"""),"Katie Gorsline")</f>
        <v>Katie Gorsline</v>
      </c>
      <c r="C1099" s="78">
        <f ca="1">IFERROR(__xludf.DUMMYFUNCTION("""COMPUTED_VALUE"""),11)</f>
        <v>11</v>
      </c>
      <c r="D1099" s="78" t="str">
        <f ca="1">IFERROR(__xludf.DUMMYFUNCTION("""COMPUTED_VALUE"""),"G")</f>
        <v>G</v>
      </c>
      <c r="E1099" s="80" t="str">
        <f ca="1">IFERROR(__xludf.DUMMYFUNCTION("""COMPUTED_VALUE"""),"J")</f>
        <v>J</v>
      </c>
      <c r="F1099" s="80" t="str">
        <f ca="1">IFERROR(__xludf.DUMMYFUNCTION("""COMPUTED_VALUE"""),"I")</f>
        <v>I</v>
      </c>
      <c r="G1099" s="80">
        <f ca="1">IFERROR(__xludf.DUMMYFUNCTION("""COMPUTED_VALUE"""),2)</f>
        <v>2</v>
      </c>
      <c r="H1099" s="80" t="str">
        <f ca="1">IFERROR(__xludf.DUMMYFUNCTION("""COMPUTED_VALUE"""),"KG")</f>
        <v>KG</v>
      </c>
      <c r="I1099" s="80">
        <f ca="1">IFERROR(__xludf.DUMMYFUNCTION("""COMPUTED_VALUE"""),4)</f>
        <v>4</v>
      </c>
      <c r="J1099" s="81">
        <f ca="1">IFERROR(__xludf.DUMMYFUNCTION("""COMPUTED_VALUE"""),4)</f>
        <v>4</v>
      </c>
      <c r="K1099" s="81">
        <f ca="1">IFERROR(__xludf.DUMMYFUNCTION("""COMPUTED_VALUE"""),106.7)</f>
        <v>106.7</v>
      </c>
      <c r="L1099" s="81">
        <f ca="1">IFERROR(__xludf.DUMMYFUNCTION("""COMPUTED_VALUE"""),106.7)</f>
        <v>106.7</v>
      </c>
      <c r="M1099" s="81"/>
      <c r="N1099" s="81">
        <f ca="1">IFERROR(__xludf.DUMMYFUNCTION("""COMPUTED_VALUE"""),102.2)</f>
        <v>102.2</v>
      </c>
      <c r="O1099" s="81"/>
      <c r="P1099" s="81">
        <f ca="1">IFERROR(__xludf.DUMMYFUNCTION("""COMPUTED_VALUE"""),103.15)</f>
        <v>103.15</v>
      </c>
      <c r="Q1099" s="81"/>
      <c r="R1099" s="81">
        <f ca="1">IFERROR(__xludf.DUMMYFUNCTION("""COMPUTED_VALUE"""),97.75)</f>
        <v>97.75</v>
      </c>
      <c r="S1099" s="81"/>
      <c r="T1099" s="81"/>
      <c r="U1099" s="82"/>
      <c r="V1099" s="82"/>
      <c r="W1099" s="83"/>
      <c r="X1099" s="83"/>
      <c r="Y1099" s="83"/>
    </row>
    <row r="1100" spans="1:25" ht="13.8">
      <c r="A1100" s="78" t="str">
        <f ca="1">IFERROR(__xludf.DUMMYFUNCTION("""COMPUTED_VALUE"""),"KG")</f>
        <v>KG</v>
      </c>
      <c r="B1100" s="79" t="str">
        <f ca="1">IFERROR(__xludf.DUMMYFUNCTION("""COMPUTED_VALUE"""),"Isabella Hampton")</f>
        <v>Isabella Hampton</v>
      </c>
      <c r="C1100" s="78">
        <f ca="1">IFERROR(__xludf.DUMMYFUNCTION("""COMPUTED_VALUE"""),11)</f>
        <v>11</v>
      </c>
      <c r="D1100" s="78" t="str">
        <f ca="1">IFERROR(__xludf.DUMMYFUNCTION("""COMPUTED_VALUE"""),"G")</f>
        <v>G</v>
      </c>
      <c r="E1100" s="80" t="str">
        <f ca="1">IFERROR(__xludf.DUMMYFUNCTION("""COMPUTED_VALUE"""),"J")</f>
        <v>J</v>
      </c>
      <c r="F1100" s="80" t="str">
        <f ca="1">IFERROR(__xludf.DUMMYFUNCTION("""COMPUTED_VALUE"""),"I")</f>
        <v>I</v>
      </c>
      <c r="G1100" s="80">
        <f ca="1">IFERROR(__xludf.DUMMYFUNCTION("""COMPUTED_VALUE"""),2)</f>
        <v>2</v>
      </c>
      <c r="H1100" s="80" t="str">
        <f ca="1">IFERROR(__xludf.DUMMYFUNCTION("""COMPUTED_VALUE"""),"KG")</f>
        <v>KG</v>
      </c>
      <c r="I1100" s="80">
        <f ca="1">IFERROR(__xludf.DUMMYFUNCTION("""COMPUTED_VALUE"""),4)</f>
        <v>4</v>
      </c>
      <c r="J1100" s="81">
        <f ca="1">IFERROR(__xludf.DUMMYFUNCTION("""COMPUTED_VALUE"""),3)</f>
        <v>3</v>
      </c>
      <c r="K1100" s="81">
        <f ca="1">IFERROR(__xludf.DUMMYFUNCTION("""COMPUTED_VALUE"""),86.7)</f>
        <v>86.7</v>
      </c>
      <c r="L1100" s="81">
        <f ca="1">IFERROR(__xludf.DUMMYFUNCTION("""COMPUTED_VALUE"""),79.5)</f>
        <v>79.5</v>
      </c>
      <c r="M1100" s="81"/>
      <c r="N1100" s="81">
        <f ca="1">IFERROR(__xludf.DUMMYFUNCTION("""COMPUTED_VALUE"""),0)</f>
        <v>0</v>
      </c>
      <c r="O1100" s="81"/>
      <c r="P1100" s="81">
        <f ca="1">IFERROR(__xludf.DUMMYFUNCTION("""COMPUTED_VALUE"""),73.95)</f>
        <v>73.95</v>
      </c>
      <c r="Q1100" s="81"/>
      <c r="R1100" s="81">
        <f ca="1">IFERROR(__xludf.DUMMYFUNCTION("""COMPUTED_VALUE"""),86.7)</f>
        <v>86.7</v>
      </c>
      <c r="S1100" s="81"/>
      <c r="T1100" s="81"/>
      <c r="U1100" s="82"/>
      <c r="V1100" s="82"/>
      <c r="W1100" s="83"/>
      <c r="X1100" s="83"/>
      <c r="Y1100" s="83"/>
    </row>
    <row r="1101" spans="1:25" ht="13.8">
      <c r="A1101" s="78" t="str">
        <f ca="1">IFERROR(__xludf.DUMMYFUNCTION("""COMPUTED_VALUE"""),"KG")</f>
        <v>KG</v>
      </c>
      <c r="B1101" s="79" t="str">
        <f ca="1">IFERROR(__xludf.DUMMYFUNCTION("""COMPUTED_VALUE"""),"Isabel Pereira")</f>
        <v>Isabel Pereira</v>
      </c>
      <c r="C1101" s="78">
        <f ca="1">IFERROR(__xludf.DUMMYFUNCTION("""COMPUTED_VALUE"""),11)</f>
        <v>11</v>
      </c>
      <c r="D1101" s="78" t="str">
        <f ca="1">IFERROR(__xludf.DUMMYFUNCTION("""COMPUTED_VALUE"""),"G")</f>
        <v>G</v>
      </c>
      <c r="E1101" s="80" t="str">
        <f ca="1">IFERROR(__xludf.DUMMYFUNCTION("""COMPUTED_VALUE"""),"J")</f>
        <v>J</v>
      </c>
      <c r="F1101" s="80" t="str">
        <f ca="1">IFERROR(__xludf.DUMMYFUNCTION("""COMPUTED_VALUE"""),"I")</f>
        <v>I</v>
      </c>
      <c r="G1101" s="80">
        <f ca="1">IFERROR(__xludf.DUMMYFUNCTION("""COMPUTED_VALUE"""),2)</f>
        <v>2</v>
      </c>
      <c r="H1101" s="80" t="str">
        <f ca="1">IFERROR(__xludf.DUMMYFUNCTION("""COMPUTED_VALUE"""),"KG")</f>
        <v>KG</v>
      </c>
      <c r="I1101" s="80">
        <f ca="1">IFERROR(__xludf.DUMMYFUNCTION("""COMPUTED_VALUE"""),4)</f>
        <v>4</v>
      </c>
      <c r="J1101" s="81">
        <f ca="1">IFERROR(__xludf.DUMMYFUNCTION("""COMPUTED_VALUE"""),1)</f>
        <v>1</v>
      </c>
      <c r="K1101" s="81">
        <f ca="1">IFERROR(__xludf.DUMMYFUNCTION("""COMPUTED_VALUE"""),0)</f>
        <v>0</v>
      </c>
      <c r="L1101" s="81">
        <f ca="1">IFERROR(__xludf.DUMMYFUNCTION("""COMPUTED_VALUE"""),0)</f>
        <v>0</v>
      </c>
      <c r="M1101" s="81"/>
      <c r="N1101" s="81">
        <f ca="1">IFERROR(__xludf.DUMMYFUNCTION("""COMPUTED_VALUE"""),0)</f>
        <v>0</v>
      </c>
      <c r="O1101" s="81"/>
      <c r="P1101" s="81">
        <f ca="1">IFERROR(__xludf.DUMMYFUNCTION("""COMPUTED_VALUE"""),0)</f>
        <v>0</v>
      </c>
      <c r="Q1101" s="81"/>
      <c r="R1101" s="81">
        <f ca="1">IFERROR(__xludf.DUMMYFUNCTION("""COMPUTED_VALUE"""),0)</f>
        <v>0</v>
      </c>
      <c r="S1101" s="81"/>
      <c r="T1101" s="81"/>
      <c r="U1101" s="82"/>
      <c r="V1101" s="82"/>
      <c r="W1101" s="83"/>
      <c r="X1101" s="83"/>
      <c r="Y1101" s="83"/>
    </row>
    <row r="1102" spans="1:25" ht="13.8">
      <c r="A1102" s="78" t="str">
        <f ca="1">IFERROR(__xludf.DUMMYFUNCTION("""COMPUTED_VALUE"""),"KG")</f>
        <v>KG</v>
      </c>
      <c r="B1102" s="79" t="str">
        <f ca="1">IFERROR(__xludf.DUMMYFUNCTION("""COMPUTED_VALUE"""),"Isabel Pereira ")</f>
        <v>Isabel Pereira </v>
      </c>
      <c r="C1102" s="78">
        <f ca="1">IFERROR(__xludf.DUMMYFUNCTION("""COMPUTED_VALUE"""),11)</f>
        <v>11</v>
      </c>
      <c r="D1102" s="78" t="str">
        <f ca="1">IFERROR(__xludf.DUMMYFUNCTION("""COMPUTED_VALUE"""),"G")</f>
        <v>G</v>
      </c>
      <c r="E1102" s="80" t="str">
        <f ca="1">IFERROR(__xludf.DUMMYFUNCTION("""COMPUTED_VALUE"""),"J")</f>
        <v>J</v>
      </c>
      <c r="F1102" s="80" t="str">
        <f ca="1">IFERROR(__xludf.DUMMYFUNCTION("""COMPUTED_VALUE"""),"I")</f>
        <v>I</v>
      </c>
      <c r="G1102" s="80">
        <f ca="1">IFERROR(__xludf.DUMMYFUNCTION("""COMPUTED_VALUE"""),2)</f>
        <v>2</v>
      </c>
      <c r="H1102" s="80" t="str">
        <f ca="1">IFERROR(__xludf.DUMMYFUNCTION("""COMPUTED_VALUE"""),"KG")</f>
        <v>KG</v>
      </c>
      <c r="I1102" s="80">
        <f ca="1">IFERROR(__xludf.DUMMYFUNCTION("""COMPUTED_VALUE"""),4)</f>
        <v>4</v>
      </c>
      <c r="J1102" s="81">
        <f ca="1">IFERROR(__xludf.DUMMYFUNCTION("""COMPUTED_VALUE"""),0)</f>
        <v>0</v>
      </c>
      <c r="K1102" s="81">
        <f ca="1">IFERROR(__xludf.DUMMYFUNCTION("""COMPUTED_VALUE"""),0)</f>
        <v>0</v>
      </c>
      <c r="L1102" s="81">
        <f ca="1">IFERROR(__xludf.DUMMYFUNCTION("""COMPUTED_VALUE"""),0)</f>
        <v>0</v>
      </c>
      <c r="M1102" s="81"/>
      <c r="N1102" s="81">
        <f ca="1">IFERROR(__xludf.DUMMYFUNCTION("""COMPUTED_VALUE"""),0)</f>
        <v>0</v>
      </c>
      <c r="O1102" s="81"/>
      <c r="P1102" s="81">
        <f ca="1">IFERROR(__xludf.DUMMYFUNCTION("""COMPUTED_VALUE"""),0)</f>
        <v>0</v>
      </c>
      <c r="Q1102" s="81"/>
      <c r="R1102" s="81">
        <f ca="1">IFERROR(__xludf.DUMMYFUNCTION("""COMPUTED_VALUE"""),0)</f>
        <v>0</v>
      </c>
      <c r="S1102" s="81"/>
      <c r="T1102" s="81"/>
      <c r="U1102" s="82"/>
      <c r="V1102" s="82"/>
      <c r="W1102" s="83"/>
      <c r="X1102" s="83"/>
      <c r="Y1102" s="83"/>
    </row>
    <row r="1103" spans="1:25" ht="13.8">
      <c r="A1103" s="78" t="str">
        <f ca="1">IFERROR(__xludf.DUMMYFUNCTION("""COMPUTED_VALUE"""),"KG")</f>
        <v>KG</v>
      </c>
      <c r="B1103" s="79" t="str">
        <f ca="1">IFERROR(__xludf.DUMMYFUNCTION("""COMPUTED_VALUE"""),"Emerson Salerno")</f>
        <v>Emerson Salerno</v>
      </c>
      <c r="C1103" s="78">
        <f ca="1">IFERROR(__xludf.DUMMYFUNCTION("""COMPUTED_VALUE"""),11)</f>
        <v>11</v>
      </c>
      <c r="D1103" s="78" t="str">
        <f ca="1">IFERROR(__xludf.DUMMYFUNCTION("""COMPUTED_VALUE"""),"G")</f>
        <v>G</v>
      </c>
      <c r="E1103" s="80" t="str">
        <f ca="1">IFERROR(__xludf.DUMMYFUNCTION("""COMPUTED_VALUE"""),"J")</f>
        <v>J</v>
      </c>
      <c r="F1103" s="80" t="str">
        <f ca="1">IFERROR(__xludf.DUMMYFUNCTION("""COMPUTED_VALUE"""),"I")</f>
        <v>I</v>
      </c>
      <c r="G1103" s="80">
        <f ca="1">IFERROR(__xludf.DUMMYFUNCTION("""COMPUTED_VALUE"""),2)</f>
        <v>2</v>
      </c>
      <c r="H1103" s="80" t="str">
        <f ca="1">IFERROR(__xludf.DUMMYFUNCTION("""COMPUTED_VALUE"""),"KG")</f>
        <v>KG</v>
      </c>
      <c r="I1103" s="80">
        <f ca="1">IFERROR(__xludf.DUMMYFUNCTION("""COMPUTED_VALUE"""),4)</f>
        <v>4</v>
      </c>
      <c r="J1103" s="81">
        <f ca="1">IFERROR(__xludf.DUMMYFUNCTION("""COMPUTED_VALUE"""),3)</f>
        <v>3</v>
      </c>
      <c r="K1103" s="81">
        <f ca="1">IFERROR(__xludf.DUMMYFUNCTION("""COMPUTED_VALUE"""),76.85)</f>
        <v>76.849999999999994</v>
      </c>
      <c r="L1103" s="81">
        <f ca="1">IFERROR(__xludf.DUMMYFUNCTION("""COMPUTED_VALUE"""),73.9)</f>
        <v>73.900000000000006</v>
      </c>
      <c r="M1103" s="81"/>
      <c r="N1103" s="81">
        <f ca="1">IFERROR(__xludf.DUMMYFUNCTION("""COMPUTED_VALUE"""),76.85)</f>
        <v>76.849999999999994</v>
      </c>
      <c r="O1103" s="81"/>
      <c r="P1103" s="81">
        <f ca="1">IFERROR(__xludf.DUMMYFUNCTION("""COMPUTED_VALUE"""),0)</f>
        <v>0</v>
      </c>
      <c r="Q1103" s="81"/>
      <c r="R1103" s="81">
        <f ca="1">IFERROR(__xludf.DUMMYFUNCTION("""COMPUTED_VALUE"""),64.15)</f>
        <v>64.150000000000006</v>
      </c>
      <c r="S1103" s="81"/>
      <c r="T1103" s="81"/>
      <c r="U1103" s="82"/>
      <c r="V1103" s="82"/>
      <c r="W1103" s="83"/>
      <c r="X1103" s="83"/>
      <c r="Y1103" s="83"/>
    </row>
    <row r="1104" spans="1:25" ht="13.8">
      <c r="A1104" s="78" t="str">
        <f ca="1">IFERROR(__xludf.DUMMYFUNCTION("""COMPUTED_VALUE"""),"KG")</f>
        <v>KG</v>
      </c>
      <c r="B1104" s="79" t="str">
        <f ca="1">IFERROR(__xludf.DUMMYFUNCTION("""COMPUTED_VALUE"""),"Jovianne Smith")</f>
        <v>Jovianne Smith</v>
      </c>
      <c r="C1104" s="78">
        <f ca="1">IFERROR(__xludf.DUMMYFUNCTION("""COMPUTED_VALUE"""),12)</f>
        <v>12</v>
      </c>
      <c r="D1104" s="78" t="str">
        <f ca="1">IFERROR(__xludf.DUMMYFUNCTION("""COMPUTED_VALUE"""),"G")</f>
        <v>G</v>
      </c>
      <c r="E1104" s="80" t="str">
        <f ca="1">IFERROR(__xludf.DUMMYFUNCTION("""COMPUTED_VALUE"""),"J")</f>
        <v>J</v>
      </c>
      <c r="F1104" s="80" t="str">
        <f ca="1">IFERROR(__xludf.DUMMYFUNCTION("""COMPUTED_VALUE"""),"I")</f>
        <v>I</v>
      </c>
      <c r="G1104" s="80">
        <f ca="1">IFERROR(__xludf.DUMMYFUNCTION("""COMPUTED_VALUE"""),2)</f>
        <v>2</v>
      </c>
      <c r="H1104" s="80" t="str">
        <f ca="1">IFERROR(__xludf.DUMMYFUNCTION("""COMPUTED_VALUE"""),"KG")</f>
        <v>KG</v>
      </c>
      <c r="I1104" s="80">
        <f ca="1">IFERROR(__xludf.DUMMYFUNCTION("""COMPUTED_VALUE"""),4)</f>
        <v>4</v>
      </c>
      <c r="J1104" s="81">
        <f ca="1">IFERROR(__xludf.DUMMYFUNCTION("""COMPUTED_VALUE"""),0)</f>
        <v>0</v>
      </c>
      <c r="K1104" s="81">
        <f ca="1">IFERROR(__xludf.DUMMYFUNCTION("""COMPUTED_VALUE"""),0)</f>
        <v>0</v>
      </c>
      <c r="L1104" s="81">
        <f ca="1">IFERROR(__xludf.DUMMYFUNCTION("""COMPUTED_VALUE"""),0)</f>
        <v>0</v>
      </c>
      <c r="M1104" s="81"/>
      <c r="N1104" s="81">
        <f ca="1">IFERROR(__xludf.DUMMYFUNCTION("""COMPUTED_VALUE"""),0)</f>
        <v>0</v>
      </c>
      <c r="O1104" s="81"/>
      <c r="P1104" s="81">
        <f ca="1">IFERROR(__xludf.DUMMYFUNCTION("""COMPUTED_VALUE"""),0)</f>
        <v>0</v>
      </c>
      <c r="Q1104" s="81"/>
      <c r="R1104" s="81">
        <f ca="1">IFERROR(__xludf.DUMMYFUNCTION("""COMPUTED_VALUE"""),0)</f>
        <v>0</v>
      </c>
      <c r="S1104" s="81"/>
      <c r="T1104" s="81"/>
      <c r="U1104" s="82"/>
      <c r="V1104" s="82"/>
      <c r="W1104" s="83"/>
      <c r="X1104" s="83"/>
      <c r="Y1104" s="83"/>
    </row>
    <row r="1105" spans="1:25" ht="13.8">
      <c r="A1105" s="78" t="str">
        <f ca="1">IFERROR(__xludf.DUMMYFUNCTION("""COMPUTED_VALUE"""),"KG")</f>
        <v>KG</v>
      </c>
      <c r="B1105" s="79" t="str">
        <f ca="1">IFERROR(__xludf.DUMMYFUNCTION("""COMPUTED_VALUE"""),"Alejandro Trave ")</f>
        <v>Alejandro Trave </v>
      </c>
      <c r="C1105" s="78">
        <f ca="1">IFERROR(__xludf.DUMMYFUNCTION("""COMPUTED_VALUE"""),12)</f>
        <v>12</v>
      </c>
      <c r="D1105" s="78" t="str">
        <f ca="1">IFERROR(__xludf.DUMMYFUNCTION("""COMPUTED_VALUE"""),"G")</f>
        <v>G</v>
      </c>
      <c r="E1105" s="80" t="str">
        <f ca="1">IFERROR(__xludf.DUMMYFUNCTION("""COMPUTED_VALUE"""),"J")</f>
        <v>J</v>
      </c>
      <c r="F1105" s="80" t="str">
        <f ca="1">IFERROR(__xludf.DUMMYFUNCTION("""COMPUTED_VALUE"""),"I")</f>
        <v>I</v>
      </c>
      <c r="G1105" s="80">
        <f ca="1">IFERROR(__xludf.DUMMYFUNCTION("""COMPUTED_VALUE"""),2)</f>
        <v>2</v>
      </c>
      <c r="H1105" s="80" t="str">
        <f ca="1">IFERROR(__xludf.DUMMYFUNCTION("""COMPUTED_VALUE"""),"KG")</f>
        <v>KG</v>
      </c>
      <c r="I1105" s="80">
        <f ca="1">IFERROR(__xludf.DUMMYFUNCTION("""COMPUTED_VALUE"""),4)</f>
        <v>4</v>
      </c>
      <c r="J1105" s="81">
        <f ca="1">IFERROR(__xludf.DUMMYFUNCTION("""COMPUTED_VALUE"""),0)</f>
        <v>0</v>
      </c>
      <c r="K1105" s="81">
        <f ca="1">IFERROR(__xludf.DUMMYFUNCTION("""COMPUTED_VALUE"""),0)</f>
        <v>0</v>
      </c>
      <c r="L1105" s="81">
        <f ca="1">IFERROR(__xludf.DUMMYFUNCTION("""COMPUTED_VALUE"""),0)</f>
        <v>0</v>
      </c>
      <c r="M1105" s="81"/>
      <c r="N1105" s="81">
        <f ca="1">IFERROR(__xludf.DUMMYFUNCTION("""COMPUTED_VALUE"""),0)</f>
        <v>0</v>
      </c>
      <c r="O1105" s="81"/>
      <c r="P1105" s="81">
        <f ca="1">IFERROR(__xludf.DUMMYFUNCTION("""COMPUTED_VALUE"""),0)</f>
        <v>0</v>
      </c>
      <c r="Q1105" s="81"/>
      <c r="R1105" s="81">
        <f ca="1">IFERROR(__xludf.DUMMYFUNCTION("""COMPUTED_VALUE"""),0)</f>
        <v>0</v>
      </c>
      <c r="S1105" s="81"/>
      <c r="T1105" s="81"/>
      <c r="U1105" s="82"/>
      <c r="V1105" s="82"/>
      <c r="W1105" s="83"/>
      <c r="X1105" s="83"/>
      <c r="Y1105" s="83"/>
    </row>
    <row r="1106" spans="1:25" ht="13.8">
      <c r="A1106" s="78" t="str">
        <f ca="1">IFERROR(__xludf.DUMMYFUNCTION("""COMPUTED_VALUE"""),"KG")</f>
        <v>KG</v>
      </c>
      <c r="B1106" s="79" t="str">
        <f ca="1">IFERROR(__xludf.DUMMYFUNCTION("""COMPUTED_VALUE"""),"Landon Manwaring")</f>
        <v>Landon Manwaring</v>
      </c>
      <c r="C1106" s="78">
        <f ca="1">IFERROR(__xludf.DUMMYFUNCTION("""COMPUTED_VALUE"""),12)</f>
        <v>12</v>
      </c>
      <c r="D1106" s="78" t="str">
        <f ca="1">IFERROR(__xludf.DUMMYFUNCTION("""COMPUTED_VALUE"""),"B")</f>
        <v>B</v>
      </c>
      <c r="E1106" s="80" t="str">
        <f ca="1">IFERROR(__xludf.DUMMYFUNCTION("""COMPUTED_VALUE"""),"J")</f>
        <v>J</v>
      </c>
      <c r="F1106" s="80" t="str">
        <f ca="1">IFERROR(__xludf.DUMMYFUNCTION("""COMPUTED_VALUE"""),"I")</f>
        <v>I</v>
      </c>
      <c r="G1106" s="80">
        <f ca="1">IFERROR(__xludf.DUMMYFUNCTION("""COMPUTED_VALUE"""),2)</f>
        <v>2</v>
      </c>
      <c r="H1106" s="80" t="str">
        <f ca="1">IFERROR(__xludf.DUMMYFUNCTION("""COMPUTED_VALUE"""),"KG")</f>
        <v>KG</v>
      </c>
      <c r="I1106" s="80">
        <f ca="1">IFERROR(__xludf.DUMMYFUNCTION("""COMPUTED_VALUE"""),5)</f>
        <v>5</v>
      </c>
      <c r="J1106" s="81">
        <f ca="1">IFERROR(__xludf.DUMMYFUNCTION("""COMPUTED_VALUE"""),5)</f>
        <v>5</v>
      </c>
      <c r="K1106" s="81">
        <f ca="1">IFERROR(__xludf.DUMMYFUNCTION("""COMPUTED_VALUE"""),65.05)</f>
        <v>65.05</v>
      </c>
      <c r="L1106" s="81">
        <f ca="1">IFERROR(__xludf.DUMMYFUNCTION("""COMPUTED_VALUE"""),52.35)</f>
        <v>52.35</v>
      </c>
      <c r="M1106" s="81"/>
      <c r="N1106" s="81">
        <f ca="1">IFERROR(__xludf.DUMMYFUNCTION("""COMPUTED_VALUE"""),43.5)</f>
        <v>43.5</v>
      </c>
      <c r="O1106" s="81"/>
      <c r="P1106" s="81">
        <f ca="1">IFERROR(__xludf.DUMMYFUNCTION("""COMPUTED_VALUE"""),49.7)</f>
        <v>49.7</v>
      </c>
      <c r="Q1106" s="81"/>
      <c r="R1106" s="81">
        <f ca="1">IFERROR(__xludf.DUMMYFUNCTION("""COMPUTED_VALUE"""),65.05)</f>
        <v>65.05</v>
      </c>
      <c r="S1106" s="81"/>
      <c r="T1106" s="81"/>
      <c r="U1106" s="82"/>
      <c r="V1106" s="82"/>
      <c r="W1106" s="83"/>
      <c r="X1106" s="83"/>
      <c r="Y1106" s="83"/>
    </row>
    <row r="1107" spans="1:25" ht="13.8">
      <c r="A1107" s="78" t="str">
        <f ca="1">IFERROR(__xludf.DUMMYFUNCTION("""COMPUTED_VALUE"""),"KG")</f>
        <v>KG</v>
      </c>
      <c r="B1107" s="79" t="str">
        <f ca="1">IFERROR(__xludf.DUMMYFUNCTION("""COMPUTED_VALUE"""),"Tomas Meza")</f>
        <v>Tomas Meza</v>
      </c>
      <c r="C1107" s="78">
        <f ca="1">IFERROR(__xludf.DUMMYFUNCTION("""COMPUTED_VALUE"""),12)</f>
        <v>12</v>
      </c>
      <c r="D1107" s="78" t="str">
        <f ca="1">IFERROR(__xludf.DUMMYFUNCTION("""COMPUTED_VALUE"""),"B")</f>
        <v>B</v>
      </c>
      <c r="E1107" s="80" t="str">
        <f ca="1">IFERROR(__xludf.DUMMYFUNCTION("""COMPUTED_VALUE"""),"J")</f>
        <v>J</v>
      </c>
      <c r="F1107" s="80" t="str">
        <f ca="1">IFERROR(__xludf.DUMMYFUNCTION("""COMPUTED_VALUE"""),"I")</f>
        <v>I</v>
      </c>
      <c r="G1107" s="80">
        <f ca="1">IFERROR(__xludf.DUMMYFUNCTION("""COMPUTED_VALUE"""),2)</f>
        <v>2</v>
      </c>
      <c r="H1107" s="80" t="str">
        <f ca="1">IFERROR(__xludf.DUMMYFUNCTION("""COMPUTED_VALUE"""),"KG")</f>
        <v>KG</v>
      </c>
      <c r="I1107" s="80">
        <f ca="1">IFERROR(__xludf.DUMMYFUNCTION("""COMPUTED_VALUE"""),5)</f>
        <v>5</v>
      </c>
      <c r="J1107" s="81">
        <f ca="1">IFERROR(__xludf.DUMMYFUNCTION("""COMPUTED_VALUE"""),0)</f>
        <v>0</v>
      </c>
      <c r="K1107" s="81">
        <f ca="1">IFERROR(__xludf.DUMMYFUNCTION("""COMPUTED_VALUE"""),0)</f>
        <v>0</v>
      </c>
      <c r="L1107" s="81">
        <f ca="1">IFERROR(__xludf.DUMMYFUNCTION("""COMPUTED_VALUE"""),0)</f>
        <v>0</v>
      </c>
      <c r="M1107" s="81"/>
      <c r="N1107" s="81">
        <f ca="1">IFERROR(__xludf.DUMMYFUNCTION("""COMPUTED_VALUE"""),0)</f>
        <v>0</v>
      </c>
      <c r="O1107" s="81"/>
      <c r="P1107" s="81">
        <f ca="1">IFERROR(__xludf.DUMMYFUNCTION("""COMPUTED_VALUE"""),0)</f>
        <v>0</v>
      </c>
      <c r="Q1107" s="81"/>
      <c r="R1107" s="81">
        <f ca="1">IFERROR(__xludf.DUMMYFUNCTION("""COMPUTED_VALUE"""),0)</f>
        <v>0</v>
      </c>
      <c r="S1107" s="81"/>
      <c r="T1107" s="81"/>
      <c r="U1107" s="82"/>
      <c r="V1107" s="82"/>
      <c r="W1107" s="83"/>
      <c r="X1107" s="83"/>
      <c r="Y1107" s="83"/>
    </row>
    <row r="1108" spans="1:25" ht="13.8">
      <c r="A1108" s="78" t="str">
        <f ca="1">IFERROR(__xludf.DUMMYFUNCTION("""COMPUTED_VALUE"""),"KG")</f>
        <v>KG</v>
      </c>
      <c r="B1108" s="79" t="str">
        <f ca="1">IFERROR(__xludf.DUMMYFUNCTION("""COMPUTED_VALUE"""),"Henry Phoel")</f>
        <v>Henry Phoel</v>
      </c>
      <c r="C1108" s="78">
        <f ca="1">IFERROR(__xludf.DUMMYFUNCTION("""COMPUTED_VALUE"""),11)</f>
        <v>11</v>
      </c>
      <c r="D1108" s="78" t="str">
        <f ca="1">IFERROR(__xludf.DUMMYFUNCTION("""COMPUTED_VALUE"""),"B")</f>
        <v>B</v>
      </c>
      <c r="E1108" s="80" t="str">
        <f ca="1">IFERROR(__xludf.DUMMYFUNCTION("""COMPUTED_VALUE"""),"J")</f>
        <v>J</v>
      </c>
      <c r="F1108" s="80" t="str">
        <f ca="1">IFERROR(__xludf.DUMMYFUNCTION("""COMPUTED_VALUE"""),"I")</f>
        <v>I</v>
      </c>
      <c r="G1108" s="80">
        <f ca="1">IFERROR(__xludf.DUMMYFUNCTION("""COMPUTED_VALUE"""),2)</f>
        <v>2</v>
      </c>
      <c r="H1108" s="80" t="str">
        <f ca="1">IFERROR(__xludf.DUMMYFUNCTION("""COMPUTED_VALUE"""),"KG")</f>
        <v>KG</v>
      </c>
      <c r="I1108" s="80">
        <f ca="1">IFERROR(__xludf.DUMMYFUNCTION("""COMPUTED_VALUE"""),5)</f>
        <v>5</v>
      </c>
      <c r="J1108" s="81">
        <f ca="1">IFERROR(__xludf.DUMMYFUNCTION("""COMPUTED_VALUE"""),4)</f>
        <v>4</v>
      </c>
      <c r="K1108" s="81">
        <f ca="1">IFERROR(__xludf.DUMMYFUNCTION("""COMPUTED_VALUE"""),70.05)</f>
        <v>70.05</v>
      </c>
      <c r="L1108" s="81">
        <f ca="1">IFERROR(__xludf.DUMMYFUNCTION("""COMPUTED_VALUE"""),0)</f>
        <v>0</v>
      </c>
      <c r="M1108" s="81"/>
      <c r="N1108" s="81">
        <f ca="1">IFERROR(__xludf.DUMMYFUNCTION("""COMPUTED_VALUE"""),70.05)</f>
        <v>70.05</v>
      </c>
      <c r="O1108" s="81"/>
      <c r="P1108" s="81">
        <f ca="1">IFERROR(__xludf.DUMMYFUNCTION("""COMPUTED_VALUE"""),67.15)</f>
        <v>67.150000000000006</v>
      </c>
      <c r="Q1108" s="81"/>
      <c r="R1108" s="81">
        <f ca="1">IFERROR(__xludf.DUMMYFUNCTION("""COMPUTED_VALUE"""),68.5)</f>
        <v>68.5</v>
      </c>
      <c r="S1108" s="81"/>
      <c r="T1108" s="81"/>
      <c r="U1108" s="82"/>
      <c r="V1108" s="82"/>
      <c r="W1108" s="83"/>
      <c r="X1108" s="83"/>
      <c r="Y1108" s="83"/>
    </row>
    <row r="1109" spans="1:25" ht="13.8">
      <c r="A1109" s="78" t="str">
        <f ca="1">IFERROR(__xludf.DUMMYFUNCTION("""COMPUTED_VALUE"""),"KG")</f>
        <v>KG</v>
      </c>
      <c r="B1109" s="79" t="str">
        <f ca="1">IFERROR(__xludf.DUMMYFUNCTION("""COMPUTED_VALUE"""),"Charles Sundius")</f>
        <v>Charles Sundius</v>
      </c>
      <c r="C1109" s="78">
        <f ca="1">IFERROR(__xludf.DUMMYFUNCTION("""COMPUTED_VALUE"""),12)</f>
        <v>12</v>
      </c>
      <c r="D1109" s="78" t="str">
        <f ca="1">IFERROR(__xludf.DUMMYFUNCTION("""COMPUTED_VALUE"""),"B")</f>
        <v>B</v>
      </c>
      <c r="E1109" s="80" t="str">
        <f ca="1">IFERROR(__xludf.DUMMYFUNCTION("""COMPUTED_VALUE"""),"J")</f>
        <v>J</v>
      </c>
      <c r="F1109" s="80" t="str">
        <f ca="1">IFERROR(__xludf.DUMMYFUNCTION("""COMPUTED_VALUE"""),"I")</f>
        <v>I</v>
      </c>
      <c r="G1109" s="80">
        <f ca="1">IFERROR(__xludf.DUMMYFUNCTION("""COMPUTED_VALUE"""),2)</f>
        <v>2</v>
      </c>
      <c r="H1109" s="80" t="str">
        <f ca="1">IFERROR(__xludf.DUMMYFUNCTION("""COMPUTED_VALUE"""),"KG")</f>
        <v>KG</v>
      </c>
      <c r="I1109" s="80">
        <f ca="1">IFERROR(__xludf.DUMMYFUNCTION("""COMPUTED_VALUE"""),5)</f>
        <v>5</v>
      </c>
      <c r="J1109" s="81">
        <f ca="1">IFERROR(__xludf.DUMMYFUNCTION("""COMPUTED_VALUE"""),0)</f>
        <v>0</v>
      </c>
      <c r="K1109" s="81">
        <f ca="1">IFERROR(__xludf.DUMMYFUNCTION("""COMPUTED_VALUE"""),0)</f>
        <v>0</v>
      </c>
      <c r="L1109" s="81">
        <f ca="1">IFERROR(__xludf.DUMMYFUNCTION("""COMPUTED_VALUE"""),0)</f>
        <v>0</v>
      </c>
      <c r="M1109" s="81"/>
      <c r="N1109" s="81">
        <f ca="1">IFERROR(__xludf.DUMMYFUNCTION("""COMPUTED_VALUE"""),0)</f>
        <v>0</v>
      </c>
      <c r="O1109" s="81"/>
      <c r="P1109" s="81">
        <f ca="1">IFERROR(__xludf.DUMMYFUNCTION("""COMPUTED_VALUE"""),0)</f>
        <v>0</v>
      </c>
      <c r="Q1109" s="81"/>
      <c r="R1109" s="81">
        <f ca="1">IFERROR(__xludf.DUMMYFUNCTION("""COMPUTED_VALUE"""),0)</f>
        <v>0</v>
      </c>
      <c r="S1109" s="81"/>
      <c r="T1109" s="81"/>
      <c r="U1109" s="82"/>
      <c r="V1109" s="82"/>
      <c r="W1109" s="83"/>
      <c r="X1109" s="83"/>
      <c r="Y1109" s="83"/>
    </row>
    <row r="1110" spans="1:25" ht="13.8">
      <c r="A1110" s="78" t="str">
        <f ca="1">IFERROR(__xludf.DUMMYFUNCTION("""COMPUTED_VALUE"""),"KG")</f>
        <v>KG</v>
      </c>
      <c r="B1110" s="79" t="str">
        <f ca="1">IFERROR(__xludf.DUMMYFUNCTION("""COMPUTED_VALUE"""),"Alejandro Trave")</f>
        <v>Alejandro Trave</v>
      </c>
      <c r="C1110" s="78">
        <f ca="1">IFERROR(__xludf.DUMMYFUNCTION("""COMPUTED_VALUE"""),12)</f>
        <v>12</v>
      </c>
      <c r="D1110" s="78" t="str">
        <f ca="1">IFERROR(__xludf.DUMMYFUNCTION("""COMPUTED_VALUE"""),"B")</f>
        <v>B</v>
      </c>
      <c r="E1110" s="80" t="str">
        <f ca="1">IFERROR(__xludf.DUMMYFUNCTION("""COMPUTED_VALUE"""),"J")</f>
        <v>J</v>
      </c>
      <c r="F1110" s="80" t="str">
        <f ca="1">IFERROR(__xludf.DUMMYFUNCTION("""COMPUTED_VALUE"""),"I")</f>
        <v>I</v>
      </c>
      <c r="G1110" s="80">
        <f ca="1">IFERROR(__xludf.DUMMYFUNCTION("""COMPUTED_VALUE"""),2)</f>
        <v>2</v>
      </c>
      <c r="H1110" s="80" t="str">
        <f ca="1">IFERROR(__xludf.DUMMYFUNCTION("""COMPUTED_VALUE"""),"KG")</f>
        <v>KG</v>
      </c>
      <c r="I1110" s="80">
        <f ca="1">IFERROR(__xludf.DUMMYFUNCTION("""COMPUTED_VALUE"""),5)</f>
        <v>5</v>
      </c>
      <c r="J1110" s="81">
        <f ca="1">IFERROR(__xludf.DUMMYFUNCTION("""COMPUTED_VALUE"""),1)</f>
        <v>1</v>
      </c>
      <c r="K1110" s="81">
        <f ca="1">IFERROR(__xludf.DUMMYFUNCTION("""COMPUTED_VALUE"""),0)</f>
        <v>0</v>
      </c>
      <c r="L1110" s="81">
        <f ca="1">IFERROR(__xludf.DUMMYFUNCTION("""COMPUTED_VALUE"""),0)</f>
        <v>0</v>
      </c>
      <c r="M1110" s="81"/>
      <c r="N1110" s="81">
        <f ca="1">IFERROR(__xludf.DUMMYFUNCTION("""COMPUTED_VALUE"""),0)</f>
        <v>0</v>
      </c>
      <c r="O1110" s="81"/>
      <c r="P1110" s="81">
        <f ca="1">IFERROR(__xludf.DUMMYFUNCTION("""COMPUTED_VALUE"""),0)</f>
        <v>0</v>
      </c>
      <c r="Q1110" s="81"/>
      <c r="R1110" s="81">
        <f ca="1">IFERROR(__xludf.DUMMYFUNCTION("""COMPUTED_VALUE"""),0)</f>
        <v>0</v>
      </c>
      <c r="S1110" s="81"/>
      <c r="T1110" s="81"/>
      <c r="U1110" s="82"/>
      <c r="V1110" s="82"/>
      <c r="W1110" s="83"/>
      <c r="X1110" s="83"/>
      <c r="Y1110" s="83"/>
    </row>
    <row r="1111" spans="1:25" ht="13.8">
      <c r="A1111" s="78" t="str">
        <f ca="1">IFERROR(__xludf.DUMMYFUNCTION("""COMPUTED_VALUE"""),"KG")</f>
        <v>KG</v>
      </c>
      <c r="B1111" s="79" t="str">
        <f ca="1">IFERROR(__xludf.DUMMYFUNCTION("""COMPUTED_VALUE"""),"Andy Wu")</f>
        <v>Andy Wu</v>
      </c>
      <c r="C1111" s="78">
        <f ca="1">IFERROR(__xludf.DUMMYFUNCTION("""COMPUTED_VALUE"""),11)</f>
        <v>11</v>
      </c>
      <c r="D1111" s="78" t="str">
        <f ca="1">IFERROR(__xludf.DUMMYFUNCTION("""COMPUTED_VALUE"""),"B")</f>
        <v>B</v>
      </c>
      <c r="E1111" s="80" t="str">
        <f ca="1">IFERROR(__xludf.DUMMYFUNCTION("""COMPUTED_VALUE"""),"J")</f>
        <v>J</v>
      </c>
      <c r="F1111" s="80" t="str">
        <f ca="1">IFERROR(__xludf.DUMMYFUNCTION("""COMPUTED_VALUE"""),"I")</f>
        <v>I</v>
      </c>
      <c r="G1111" s="80">
        <f ca="1">IFERROR(__xludf.DUMMYFUNCTION("""COMPUTED_VALUE"""),2)</f>
        <v>2</v>
      </c>
      <c r="H1111" s="80" t="str">
        <f ca="1">IFERROR(__xludf.DUMMYFUNCTION("""COMPUTED_VALUE"""),"KG")</f>
        <v>KG</v>
      </c>
      <c r="I1111" s="80">
        <f ca="1">IFERROR(__xludf.DUMMYFUNCTION("""COMPUTED_VALUE"""),5)</f>
        <v>5</v>
      </c>
      <c r="J1111" s="81">
        <f ca="1">IFERROR(__xludf.DUMMYFUNCTION("""COMPUTED_VALUE"""),4)</f>
        <v>4</v>
      </c>
      <c r="K1111" s="81">
        <f ca="1">IFERROR(__xludf.DUMMYFUNCTION("""COMPUTED_VALUE"""),67.6)</f>
        <v>67.599999999999994</v>
      </c>
      <c r="L1111" s="81">
        <f ca="1">IFERROR(__xludf.DUMMYFUNCTION("""COMPUTED_VALUE"""),50.65)</f>
        <v>50.65</v>
      </c>
      <c r="M1111" s="81"/>
      <c r="N1111" s="81">
        <f ca="1">IFERROR(__xludf.DUMMYFUNCTION("""COMPUTED_VALUE"""),0)</f>
        <v>0</v>
      </c>
      <c r="O1111" s="81"/>
      <c r="P1111" s="81">
        <f ca="1">IFERROR(__xludf.DUMMYFUNCTION("""COMPUTED_VALUE"""),67.6)</f>
        <v>67.599999999999994</v>
      </c>
      <c r="Q1111" s="81"/>
      <c r="R1111" s="81">
        <f ca="1">IFERROR(__xludf.DUMMYFUNCTION("""COMPUTED_VALUE"""),59.2)</f>
        <v>59.2</v>
      </c>
      <c r="S1111" s="81"/>
      <c r="T1111" s="81"/>
      <c r="U1111" s="82"/>
      <c r="V1111" s="82"/>
      <c r="W1111" s="83"/>
      <c r="X1111" s="83"/>
      <c r="Y1111" s="83"/>
    </row>
    <row r="1112" spans="1:25" ht="13.8">
      <c r="A1112" s="78" t="str">
        <f ca="1">IFERROR(__xludf.DUMMYFUNCTION("""COMPUTED_VALUE"""),"KG")</f>
        <v>KG</v>
      </c>
      <c r="B1112" s="79" t="str">
        <f ca="1">IFERROR(__xludf.DUMMYFUNCTION("""COMPUTED_VALUE"""),"Lauren Abba")</f>
        <v>Lauren Abba</v>
      </c>
      <c r="C1112" s="78">
        <f ca="1">IFERROR(__xludf.DUMMYFUNCTION("""COMPUTED_VALUE"""),13)</f>
        <v>13</v>
      </c>
      <c r="D1112" s="78" t="str">
        <f ca="1">IFERROR(__xludf.DUMMYFUNCTION("""COMPUTED_VALUE"""),"G")</f>
        <v>G</v>
      </c>
      <c r="E1112" s="80" t="str">
        <f ca="1">IFERROR(__xludf.DUMMYFUNCTION("""COMPUTED_VALUE"""),"I")</f>
        <v>I</v>
      </c>
      <c r="F1112" s="80" t="str">
        <f ca="1">IFERROR(__xludf.DUMMYFUNCTION("""COMPUTED_VALUE"""),"S")</f>
        <v>S</v>
      </c>
      <c r="G1112" s="80">
        <f ca="1">IFERROR(__xludf.DUMMYFUNCTION("""COMPUTED_VALUE"""),2)</f>
        <v>2</v>
      </c>
      <c r="H1112" s="80" t="str">
        <f ca="1">IFERROR(__xludf.DUMMYFUNCTION("""COMPUTED_VALUE"""),"KG")</f>
        <v>KG</v>
      </c>
      <c r="I1112" s="80">
        <f ca="1">IFERROR(__xludf.DUMMYFUNCTION("""COMPUTED_VALUE"""),6)</f>
        <v>6</v>
      </c>
      <c r="J1112" s="81">
        <f ca="1">IFERROR(__xludf.DUMMYFUNCTION("""COMPUTED_VALUE"""),5)</f>
        <v>5</v>
      </c>
      <c r="K1112" s="81">
        <f ca="1">IFERROR(__xludf.DUMMYFUNCTION("""COMPUTED_VALUE"""),141.2)</f>
        <v>141.19999999999999</v>
      </c>
      <c r="L1112" s="81">
        <f ca="1">IFERROR(__xludf.DUMMYFUNCTION("""COMPUTED_VALUE"""),128.05)</f>
        <v>128.05000000000001</v>
      </c>
      <c r="M1112" s="81"/>
      <c r="N1112" s="81">
        <f ca="1">IFERROR(__xludf.DUMMYFUNCTION("""COMPUTED_VALUE"""),119.6)</f>
        <v>119.6</v>
      </c>
      <c r="O1112" s="81"/>
      <c r="P1112" s="81">
        <f ca="1">IFERROR(__xludf.DUMMYFUNCTION("""COMPUTED_VALUE"""),109.1)</f>
        <v>109.1</v>
      </c>
      <c r="Q1112" s="81"/>
      <c r="R1112" s="81">
        <f ca="1">IFERROR(__xludf.DUMMYFUNCTION("""COMPUTED_VALUE"""),141.2)</f>
        <v>141.19999999999999</v>
      </c>
      <c r="S1112" s="81"/>
      <c r="T1112" s="81"/>
      <c r="U1112" s="82"/>
      <c r="V1112" s="82"/>
      <c r="W1112" s="83"/>
      <c r="X1112" s="83"/>
      <c r="Y1112" s="83"/>
    </row>
    <row r="1113" spans="1:25" ht="13.8">
      <c r="A1113" s="78" t="str">
        <f ca="1">IFERROR(__xludf.DUMMYFUNCTION("""COMPUTED_VALUE"""),"KG")</f>
        <v>KG</v>
      </c>
      <c r="B1113" s="79" t="str">
        <f ca="1">IFERROR(__xludf.DUMMYFUNCTION("""COMPUTED_VALUE"""),"Liyat Amman")</f>
        <v>Liyat Amman</v>
      </c>
      <c r="C1113" s="78">
        <f ca="1">IFERROR(__xludf.DUMMYFUNCTION("""COMPUTED_VALUE"""),13)</f>
        <v>13</v>
      </c>
      <c r="D1113" s="78" t="str">
        <f ca="1">IFERROR(__xludf.DUMMYFUNCTION("""COMPUTED_VALUE"""),"G")</f>
        <v>G</v>
      </c>
      <c r="E1113" s="80" t="str">
        <f ca="1">IFERROR(__xludf.DUMMYFUNCTION("""COMPUTED_VALUE"""),"I")</f>
        <v>I</v>
      </c>
      <c r="F1113" s="80" t="str">
        <f ca="1">IFERROR(__xludf.DUMMYFUNCTION("""COMPUTED_VALUE"""),"S")</f>
        <v>S</v>
      </c>
      <c r="G1113" s="80">
        <f ca="1">IFERROR(__xludf.DUMMYFUNCTION("""COMPUTED_VALUE"""),2)</f>
        <v>2</v>
      </c>
      <c r="H1113" s="80" t="str">
        <f ca="1">IFERROR(__xludf.DUMMYFUNCTION("""COMPUTED_VALUE"""),"KG")</f>
        <v>KG</v>
      </c>
      <c r="I1113" s="80">
        <f ca="1">IFERROR(__xludf.DUMMYFUNCTION("""COMPUTED_VALUE"""),6)</f>
        <v>6</v>
      </c>
      <c r="J1113" s="81">
        <f ca="1">IFERROR(__xludf.DUMMYFUNCTION("""COMPUTED_VALUE"""),4)</f>
        <v>4</v>
      </c>
      <c r="K1113" s="81">
        <f ca="1">IFERROR(__xludf.DUMMYFUNCTION("""COMPUTED_VALUE"""),99.95)</f>
        <v>99.95</v>
      </c>
      <c r="L1113" s="81">
        <f ca="1">IFERROR(__xludf.DUMMYFUNCTION("""COMPUTED_VALUE"""),99.95)</f>
        <v>99.95</v>
      </c>
      <c r="M1113" s="81"/>
      <c r="N1113" s="81">
        <f ca="1">IFERROR(__xludf.DUMMYFUNCTION("""COMPUTED_VALUE"""),92.2)</f>
        <v>92.2</v>
      </c>
      <c r="O1113" s="81"/>
      <c r="P1113" s="81">
        <f ca="1">IFERROR(__xludf.DUMMYFUNCTION("""COMPUTED_VALUE"""),0)</f>
        <v>0</v>
      </c>
      <c r="Q1113" s="81"/>
      <c r="R1113" s="81">
        <f ca="1">IFERROR(__xludf.DUMMYFUNCTION("""COMPUTED_VALUE"""),99.3)</f>
        <v>99.3</v>
      </c>
      <c r="S1113" s="81"/>
      <c r="T1113" s="81"/>
      <c r="U1113" s="82"/>
      <c r="V1113" s="82"/>
      <c r="W1113" s="83"/>
      <c r="X1113" s="83"/>
      <c r="Y1113" s="83"/>
    </row>
    <row r="1114" spans="1:25" ht="13.8">
      <c r="A1114" s="78" t="str">
        <f ca="1">IFERROR(__xludf.DUMMYFUNCTION("""COMPUTED_VALUE"""),"KG")</f>
        <v>KG</v>
      </c>
      <c r="B1114" s="79" t="str">
        <f ca="1">IFERROR(__xludf.DUMMYFUNCTION("""COMPUTED_VALUE"""),"Sofia Cantua")</f>
        <v>Sofia Cantua</v>
      </c>
      <c r="C1114" s="78">
        <f ca="1">IFERROR(__xludf.DUMMYFUNCTION("""COMPUTED_VALUE"""),13)</f>
        <v>13</v>
      </c>
      <c r="D1114" s="78" t="str">
        <f ca="1">IFERROR(__xludf.DUMMYFUNCTION("""COMPUTED_VALUE"""),"G")</f>
        <v>G</v>
      </c>
      <c r="E1114" s="80" t="str">
        <f ca="1">IFERROR(__xludf.DUMMYFUNCTION("""COMPUTED_VALUE"""),"I")</f>
        <v>I</v>
      </c>
      <c r="F1114" s="80" t="str">
        <f ca="1">IFERROR(__xludf.DUMMYFUNCTION("""COMPUTED_VALUE"""),"S")</f>
        <v>S</v>
      </c>
      <c r="G1114" s="80">
        <f ca="1">IFERROR(__xludf.DUMMYFUNCTION("""COMPUTED_VALUE"""),2)</f>
        <v>2</v>
      </c>
      <c r="H1114" s="80" t="str">
        <f ca="1">IFERROR(__xludf.DUMMYFUNCTION("""COMPUTED_VALUE"""),"KG")</f>
        <v>KG</v>
      </c>
      <c r="I1114" s="80">
        <f ca="1">IFERROR(__xludf.DUMMYFUNCTION("""COMPUTED_VALUE"""),6)</f>
        <v>6</v>
      </c>
      <c r="J1114" s="81">
        <f ca="1">IFERROR(__xludf.DUMMYFUNCTION("""COMPUTED_VALUE"""),1)</f>
        <v>1</v>
      </c>
      <c r="K1114" s="81">
        <f ca="1">IFERROR(__xludf.DUMMYFUNCTION("""COMPUTED_VALUE"""),83.75)</f>
        <v>83.75</v>
      </c>
      <c r="L1114" s="81">
        <f ca="1">IFERROR(__xludf.DUMMYFUNCTION("""COMPUTED_VALUE"""),0)</f>
        <v>0</v>
      </c>
      <c r="M1114" s="81"/>
      <c r="N1114" s="81">
        <f ca="1">IFERROR(__xludf.DUMMYFUNCTION("""COMPUTED_VALUE"""),83.75)</f>
        <v>83.75</v>
      </c>
      <c r="O1114" s="81"/>
      <c r="P1114" s="81">
        <f ca="1">IFERROR(__xludf.DUMMYFUNCTION("""COMPUTED_VALUE"""),0)</f>
        <v>0</v>
      </c>
      <c r="Q1114" s="81"/>
      <c r="R1114" s="81">
        <f ca="1">IFERROR(__xludf.DUMMYFUNCTION("""COMPUTED_VALUE"""),0)</f>
        <v>0</v>
      </c>
      <c r="S1114" s="81"/>
      <c r="T1114" s="81"/>
      <c r="U1114" s="82"/>
      <c r="V1114" s="82"/>
      <c r="W1114" s="83"/>
      <c r="X1114" s="83"/>
      <c r="Y1114" s="83"/>
    </row>
    <row r="1115" spans="1:25" ht="13.8">
      <c r="A1115" s="78" t="str">
        <f ca="1">IFERROR(__xludf.DUMMYFUNCTION("""COMPUTED_VALUE"""),"KG")</f>
        <v>KG</v>
      </c>
      <c r="B1115" s="79" t="str">
        <f ca="1">IFERROR(__xludf.DUMMYFUNCTION("""COMPUTED_VALUE"""),"Sophie Fredericks")</f>
        <v>Sophie Fredericks</v>
      </c>
      <c r="C1115" s="78">
        <f ca="1">IFERROR(__xludf.DUMMYFUNCTION("""COMPUTED_VALUE"""),13)</f>
        <v>13</v>
      </c>
      <c r="D1115" s="78" t="str">
        <f ca="1">IFERROR(__xludf.DUMMYFUNCTION("""COMPUTED_VALUE"""),"G")</f>
        <v>G</v>
      </c>
      <c r="E1115" s="80" t="str">
        <f ca="1">IFERROR(__xludf.DUMMYFUNCTION("""COMPUTED_VALUE"""),"I")</f>
        <v>I</v>
      </c>
      <c r="F1115" s="80" t="str">
        <f ca="1">IFERROR(__xludf.DUMMYFUNCTION("""COMPUTED_VALUE"""),"S")</f>
        <v>S</v>
      </c>
      <c r="G1115" s="80">
        <f ca="1">IFERROR(__xludf.DUMMYFUNCTION("""COMPUTED_VALUE"""),2)</f>
        <v>2</v>
      </c>
      <c r="H1115" s="80" t="str">
        <f ca="1">IFERROR(__xludf.DUMMYFUNCTION("""COMPUTED_VALUE"""),"KG")</f>
        <v>KG</v>
      </c>
      <c r="I1115" s="80">
        <f ca="1">IFERROR(__xludf.DUMMYFUNCTION("""COMPUTED_VALUE"""),6)</f>
        <v>6</v>
      </c>
      <c r="J1115" s="81">
        <f ca="1">IFERROR(__xludf.DUMMYFUNCTION("""COMPUTED_VALUE"""),5)</f>
        <v>5</v>
      </c>
      <c r="K1115" s="81">
        <f ca="1">IFERROR(__xludf.DUMMYFUNCTION("""COMPUTED_VALUE"""),107.45)</f>
        <v>107.45</v>
      </c>
      <c r="L1115" s="81">
        <f ca="1">IFERROR(__xludf.DUMMYFUNCTION("""COMPUTED_VALUE"""),105.8)</f>
        <v>105.8</v>
      </c>
      <c r="M1115" s="81"/>
      <c r="N1115" s="81">
        <f ca="1">IFERROR(__xludf.DUMMYFUNCTION("""COMPUTED_VALUE"""),107.45)</f>
        <v>107.45</v>
      </c>
      <c r="O1115" s="81"/>
      <c r="P1115" s="81">
        <f ca="1">IFERROR(__xludf.DUMMYFUNCTION("""COMPUTED_VALUE"""),103.95)</f>
        <v>103.95</v>
      </c>
      <c r="Q1115" s="81"/>
      <c r="R1115" s="81">
        <f ca="1">IFERROR(__xludf.DUMMYFUNCTION("""COMPUTED_VALUE"""),98.2)</f>
        <v>98.2</v>
      </c>
      <c r="S1115" s="81"/>
      <c r="T1115" s="81"/>
      <c r="U1115" s="82"/>
      <c r="V1115" s="82"/>
      <c r="W1115" s="83"/>
      <c r="X1115" s="83"/>
      <c r="Y1115" s="83"/>
    </row>
    <row r="1116" spans="1:25" ht="13.8">
      <c r="A1116" s="78" t="str">
        <f ca="1">IFERROR(__xludf.DUMMYFUNCTION("""COMPUTED_VALUE"""),"KG")</f>
        <v>KG</v>
      </c>
      <c r="B1116" s="79" t="str">
        <f ca="1">IFERROR(__xludf.DUMMYFUNCTION("""COMPUTED_VALUE"""),"Meredith Lawler")</f>
        <v>Meredith Lawler</v>
      </c>
      <c r="C1116" s="78">
        <f ca="1">IFERROR(__xludf.DUMMYFUNCTION("""COMPUTED_VALUE"""),14)</f>
        <v>14</v>
      </c>
      <c r="D1116" s="78" t="str">
        <f ca="1">IFERROR(__xludf.DUMMYFUNCTION("""COMPUTED_VALUE"""),"G")</f>
        <v>G</v>
      </c>
      <c r="E1116" s="80" t="str">
        <f ca="1">IFERROR(__xludf.DUMMYFUNCTION("""COMPUTED_VALUE"""),"I")</f>
        <v>I</v>
      </c>
      <c r="F1116" s="80" t="str">
        <f ca="1">IFERROR(__xludf.DUMMYFUNCTION("""COMPUTED_VALUE"""),"S")</f>
        <v>S</v>
      </c>
      <c r="G1116" s="80">
        <f ca="1">IFERROR(__xludf.DUMMYFUNCTION("""COMPUTED_VALUE"""),2)</f>
        <v>2</v>
      </c>
      <c r="H1116" s="80" t="str">
        <f ca="1">IFERROR(__xludf.DUMMYFUNCTION("""COMPUTED_VALUE"""),"KG")</f>
        <v>KG</v>
      </c>
      <c r="I1116" s="80">
        <f ca="1">IFERROR(__xludf.DUMMYFUNCTION("""COMPUTED_VALUE"""),6)</f>
        <v>6</v>
      </c>
      <c r="J1116" s="81">
        <f ca="1">IFERROR(__xludf.DUMMYFUNCTION("""COMPUTED_VALUE"""),4)</f>
        <v>4</v>
      </c>
      <c r="K1116" s="81">
        <f ca="1">IFERROR(__xludf.DUMMYFUNCTION("""COMPUTED_VALUE"""),94.35)</f>
        <v>94.35</v>
      </c>
      <c r="L1116" s="81">
        <f ca="1">IFERROR(__xludf.DUMMYFUNCTION("""COMPUTED_VALUE"""),0)</f>
        <v>0</v>
      </c>
      <c r="M1116" s="81"/>
      <c r="N1116" s="81">
        <f ca="1">IFERROR(__xludf.DUMMYFUNCTION("""COMPUTED_VALUE"""),91.9)</f>
        <v>91.9</v>
      </c>
      <c r="O1116" s="81"/>
      <c r="P1116" s="81">
        <f ca="1">IFERROR(__xludf.DUMMYFUNCTION("""COMPUTED_VALUE"""),89.55)</f>
        <v>89.55</v>
      </c>
      <c r="Q1116" s="81"/>
      <c r="R1116" s="81">
        <f ca="1">IFERROR(__xludf.DUMMYFUNCTION("""COMPUTED_VALUE"""),94.35)</f>
        <v>94.35</v>
      </c>
      <c r="S1116" s="81"/>
      <c r="T1116" s="81"/>
      <c r="U1116" s="82"/>
      <c r="V1116" s="82"/>
      <c r="W1116" s="83"/>
      <c r="X1116" s="83"/>
      <c r="Y1116" s="83"/>
    </row>
    <row r="1117" spans="1:25" ht="13.8">
      <c r="A1117" s="78" t="str">
        <f ca="1">IFERROR(__xludf.DUMMYFUNCTION("""COMPUTED_VALUE"""),"KG")</f>
        <v>KG</v>
      </c>
      <c r="B1117" s="79" t="str">
        <f ca="1">IFERROR(__xludf.DUMMYFUNCTION("""COMPUTED_VALUE"""),"Kate Li")</f>
        <v>Kate Li</v>
      </c>
      <c r="C1117" s="78">
        <f ca="1">IFERROR(__xludf.DUMMYFUNCTION("""COMPUTED_VALUE"""),14)</f>
        <v>14</v>
      </c>
      <c r="D1117" s="78" t="str">
        <f ca="1">IFERROR(__xludf.DUMMYFUNCTION("""COMPUTED_VALUE"""),"G")</f>
        <v>G</v>
      </c>
      <c r="E1117" s="80" t="str">
        <f ca="1">IFERROR(__xludf.DUMMYFUNCTION("""COMPUTED_VALUE"""),"I")</f>
        <v>I</v>
      </c>
      <c r="F1117" s="80" t="str">
        <f ca="1">IFERROR(__xludf.DUMMYFUNCTION("""COMPUTED_VALUE"""),"S")</f>
        <v>S</v>
      </c>
      <c r="G1117" s="80">
        <f ca="1">IFERROR(__xludf.DUMMYFUNCTION("""COMPUTED_VALUE"""),2)</f>
        <v>2</v>
      </c>
      <c r="H1117" s="80" t="str">
        <f ca="1">IFERROR(__xludf.DUMMYFUNCTION("""COMPUTED_VALUE"""),"KG")</f>
        <v>KG</v>
      </c>
      <c r="I1117" s="80">
        <f ca="1">IFERROR(__xludf.DUMMYFUNCTION("""COMPUTED_VALUE"""),6)</f>
        <v>6</v>
      </c>
      <c r="J1117" s="81">
        <f ca="1">IFERROR(__xludf.DUMMYFUNCTION("""COMPUTED_VALUE"""),3)</f>
        <v>3</v>
      </c>
      <c r="K1117" s="81">
        <f ca="1">IFERROR(__xludf.DUMMYFUNCTION("""COMPUTED_VALUE"""),180)</f>
        <v>180</v>
      </c>
      <c r="L1117" s="81">
        <f ca="1">IFERROR(__xludf.DUMMYFUNCTION("""COMPUTED_VALUE"""),180)</f>
        <v>180</v>
      </c>
      <c r="M1117" s="81"/>
      <c r="N1117" s="81">
        <f ca="1">IFERROR(__xludf.DUMMYFUNCTION("""COMPUTED_VALUE"""),0)</f>
        <v>0</v>
      </c>
      <c r="O1117" s="81"/>
      <c r="P1117" s="81">
        <f ca="1">IFERROR(__xludf.DUMMYFUNCTION("""COMPUTED_VALUE"""),144.45)</f>
        <v>144.44999999999999</v>
      </c>
      <c r="Q1117" s="81"/>
      <c r="R1117" s="81">
        <f ca="1">IFERROR(__xludf.DUMMYFUNCTION("""COMPUTED_VALUE"""),152.6)</f>
        <v>152.6</v>
      </c>
      <c r="S1117" s="81"/>
      <c r="T1117" s="81"/>
      <c r="U1117" s="82"/>
      <c r="V1117" s="82"/>
      <c r="W1117" s="83"/>
      <c r="X1117" s="83"/>
      <c r="Y1117" s="83"/>
    </row>
    <row r="1118" spans="1:25" ht="13.8">
      <c r="A1118" s="78" t="str">
        <f ca="1">IFERROR(__xludf.DUMMYFUNCTION("""COMPUTED_VALUE"""),"KG")</f>
        <v>KG</v>
      </c>
      <c r="B1118" s="79" t="str">
        <f ca="1">IFERROR(__xludf.DUMMYFUNCTION("""COMPUTED_VALUE"""),"Francesca Pereira")</f>
        <v>Francesca Pereira</v>
      </c>
      <c r="C1118" s="78">
        <f ca="1">IFERROR(__xludf.DUMMYFUNCTION("""COMPUTED_VALUE"""),13)</f>
        <v>13</v>
      </c>
      <c r="D1118" s="78" t="str">
        <f ca="1">IFERROR(__xludf.DUMMYFUNCTION("""COMPUTED_VALUE"""),"G")</f>
        <v>G</v>
      </c>
      <c r="E1118" s="80" t="str">
        <f ca="1">IFERROR(__xludf.DUMMYFUNCTION("""COMPUTED_VALUE"""),"I")</f>
        <v>I</v>
      </c>
      <c r="F1118" s="80" t="str">
        <f ca="1">IFERROR(__xludf.DUMMYFUNCTION("""COMPUTED_VALUE"""),"S")</f>
        <v>S</v>
      </c>
      <c r="G1118" s="80">
        <f ca="1">IFERROR(__xludf.DUMMYFUNCTION("""COMPUTED_VALUE"""),2)</f>
        <v>2</v>
      </c>
      <c r="H1118" s="80" t="str">
        <f ca="1">IFERROR(__xludf.DUMMYFUNCTION("""COMPUTED_VALUE"""),"KG")</f>
        <v>KG</v>
      </c>
      <c r="I1118" s="80">
        <f ca="1">IFERROR(__xludf.DUMMYFUNCTION("""COMPUTED_VALUE"""),6)</f>
        <v>6</v>
      </c>
      <c r="J1118" s="81">
        <f ca="1">IFERROR(__xludf.DUMMYFUNCTION("""COMPUTED_VALUE"""),3)</f>
        <v>3</v>
      </c>
      <c r="K1118" s="81">
        <f ca="1">IFERROR(__xludf.DUMMYFUNCTION("""COMPUTED_VALUE"""),110.05)</f>
        <v>110.05</v>
      </c>
      <c r="L1118" s="81">
        <f ca="1">IFERROR(__xludf.DUMMYFUNCTION("""COMPUTED_VALUE"""),110.05)</f>
        <v>110.05</v>
      </c>
      <c r="M1118" s="81"/>
      <c r="N1118" s="81">
        <f ca="1">IFERROR(__xludf.DUMMYFUNCTION("""COMPUTED_VALUE"""),0)</f>
        <v>0</v>
      </c>
      <c r="O1118" s="81"/>
      <c r="P1118" s="81">
        <f ca="1">IFERROR(__xludf.DUMMYFUNCTION("""COMPUTED_VALUE"""),0)</f>
        <v>0</v>
      </c>
      <c r="Q1118" s="81"/>
      <c r="R1118" s="81">
        <f ca="1">IFERROR(__xludf.DUMMYFUNCTION("""COMPUTED_VALUE"""),109.7)</f>
        <v>109.7</v>
      </c>
      <c r="S1118" s="81"/>
      <c r="T1118" s="81"/>
      <c r="U1118" s="82"/>
      <c r="V1118" s="82"/>
      <c r="W1118" s="83"/>
      <c r="X1118" s="83"/>
      <c r="Y1118" s="83"/>
    </row>
    <row r="1119" spans="1:25" ht="13.8">
      <c r="A1119" s="78" t="str">
        <f ca="1">IFERROR(__xludf.DUMMYFUNCTION("""COMPUTED_VALUE"""),"KG")</f>
        <v>KG</v>
      </c>
      <c r="B1119" s="79" t="str">
        <f ca="1">IFERROR(__xludf.DUMMYFUNCTION("""COMPUTED_VALUE"""),"Adan Maradiaga")</f>
        <v>Adan Maradiaga</v>
      </c>
      <c r="C1119" s="78">
        <f ca="1">IFERROR(__xludf.DUMMYFUNCTION("""COMPUTED_VALUE"""),13)</f>
        <v>13</v>
      </c>
      <c r="D1119" s="78" t="str">
        <f ca="1">IFERROR(__xludf.DUMMYFUNCTION("""COMPUTED_VALUE"""),"B")</f>
        <v>B</v>
      </c>
      <c r="E1119" s="80" t="str">
        <f ca="1">IFERROR(__xludf.DUMMYFUNCTION("""COMPUTED_VALUE"""),"I")</f>
        <v>I</v>
      </c>
      <c r="F1119" s="80" t="str">
        <f ca="1">IFERROR(__xludf.DUMMYFUNCTION("""COMPUTED_VALUE"""),"S")</f>
        <v>S</v>
      </c>
      <c r="G1119" s="80">
        <f ca="1">IFERROR(__xludf.DUMMYFUNCTION("""COMPUTED_VALUE"""),2)</f>
        <v>2</v>
      </c>
      <c r="H1119" s="80" t="str">
        <f ca="1">IFERROR(__xludf.DUMMYFUNCTION("""COMPUTED_VALUE"""),"KG")</f>
        <v>KG</v>
      </c>
      <c r="I1119" s="80">
        <f ca="1">IFERROR(__xludf.DUMMYFUNCTION("""COMPUTED_VALUE"""),7)</f>
        <v>7</v>
      </c>
      <c r="J1119" s="81">
        <f ca="1">IFERROR(__xludf.DUMMYFUNCTION("""COMPUTED_VALUE"""),0)</f>
        <v>0</v>
      </c>
      <c r="K1119" s="81">
        <f ca="1">IFERROR(__xludf.DUMMYFUNCTION("""COMPUTED_VALUE"""),0)</f>
        <v>0</v>
      </c>
      <c r="L1119" s="81">
        <f ca="1">IFERROR(__xludf.DUMMYFUNCTION("""COMPUTED_VALUE"""),0)</f>
        <v>0</v>
      </c>
      <c r="M1119" s="81"/>
      <c r="N1119" s="81">
        <f ca="1">IFERROR(__xludf.DUMMYFUNCTION("""COMPUTED_VALUE"""),0)</f>
        <v>0</v>
      </c>
      <c r="O1119" s="81"/>
      <c r="P1119" s="81">
        <f ca="1">IFERROR(__xludf.DUMMYFUNCTION("""COMPUTED_VALUE"""),0)</f>
        <v>0</v>
      </c>
      <c r="Q1119" s="81"/>
      <c r="R1119" s="81">
        <f ca="1">IFERROR(__xludf.DUMMYFUNCTION("""COMPUTED_VALUE"""),0)</f>
        <v>0</v>
      </c>
      <c r="S1119" s="81"/>
      <c r="T1119" s="81"/>
      <c r="U1119" s="82"/>
      <c r="V1119" s="82"/>
      <c r="W1119" s="83"/>
      <c r="X1119" s="83"/>
      <c r="Y1119" s="83"/>
    </row>
    <row r="1120" spans="1:25" ht="13.8">
      <c r="A1120" s="78" t="str">
        <f ca="1">IFERROR(__xludf.DUMMYFUNCTION("""COMPUTED_VALUE"""),"KG")</f>
        <v>KG</v>
      </c>
      <c r="B1120" s="79" t="str">
        <f ca="1">IFERROR(__xludf.DUMMYFUNCTION("""COMPUTED_VALUE"""),"Zach Maradiaga")</f>
        <v>Zach Maradiaga</v>
      </c>
      <c r="C1120" s="78">
        <f ca="1">IFERROR(__xludf.DUMMYFUNCTION("""COMPUTED_VALUE"""),13)</f>
        <v>13</v>
      </c>
      <c r="D1120" s="78" t="str">
        <f ca="1">IFERROR(__xludf.DUMMYFUNCTION("""COMPUTED_VALUE"""),"B")</f>
        <v>B</v>
      </c>
      <c r="E1120" s="80" t="str">
        <f ca="1">IFERROR(__xludf.DUMMYFUNCTION("""COMPUTED_VALUE"""),"I")</f>
        <v>I</v>
      </c>
      <c r="F1120" s="80" t="str">
        <f ca="1">IFERROR(__xludf.DUMMYFUNCTION("""COMPUTED_VALUE"""),"S")</f>
        <v>S</v>
      </c>
      <c r="G1120" s="80">
        <f ca="1">IFERROR(__xludf.DUMMYFUNCTION("""COMPUTED_VALUE"""),2)</f>
        <v>2</v>
      </c>
      <c r="H1120" s="80" t="str">
        <f ca="1">IFERROR(__xludf.DUMMYFUNCTION("""COMPUTED_VALUE"""),"KG")</f>
        <v>KG</v>
      </c>
      <c r="I1120" s="80">
        <f ca="1">IFERROR(__xludf.DUMMYFUNCTION("""COMPUTED_VALUE"""),7)</f>
        <v>7</v>
      </c>
      <c r="J1120" s="81">
        <f ca="1">IFERROR(__xludf.DUMMYFUNCTION("""COMPUTED_VALUE"""),0)</f>
        <v>0</v>
      </c>
      <c r="K1120" s="81">
        <f ca="1">IFERROR(__xludf.DUMMYFUNCTION("""COMPUTED_VALUE"""),0)</f>
        <v>0</v>
      </c>
      <c r="L1120" s="81">
        <f ca="1">IFERROR(__xludf.DUMMYFUNCTION("""COMPUTED_VALUE"""),0)</f>
        <v>0</v>
      </c>
      <c r="M1120" s="81"/>
      <c r="N1120" s="81">
        <f ca="1">IFERROR(__xludf.DUMMYFUNCTION("""COMPUTED_VALUE"""),0)</f>
        <v>0</v>
      </c>
      <c r="O1120" s="81"/>
      <c r="P1120" s="81">
        <f ca="1">IFERROR(__xludf.DUMMYFUNCTION("""COMPUTED_VALUE"""),0)</f>
        <v>0</v>
      </c>
      <c r="Q1120" s="81"/>
      <c r="R1120" s="81">
        <f ca="1">IFERROR(__xludf.DUMMYFUNCTION("""COMPUTED_VALUE"""),0)</f>
        <v>0</v>
      </c>
      <c r="S1120" s="81"/>
      <c r="T1120" s="81"/>
      <c r="U1120" s="82"/>
      <c r="V1120" s="82"/>
      <c r="W1120" s="83"/>
      <c r="X1120" s="83"/>
      <c r="Y1120" s="83"/>
    </row>
    <row r="1121" spans="1:25" ht="13.8">
      <c r="A1121" s="78" t="str">
        <f ca="1">IFERROR(__xludf.DUMMYFUNCTION("""COMPUTED_VALUE"""),"KG")</f>
        <v>KG</v>
      </c>
      <c r="B1121" s="79" t="str">
        <f ca="1">IFERROR(__xludf.DUMMYFUNCTION("""COMPUTED_VALUE"""),"Sean Memon")</f>
        <v>Sean Memon</v>
      </c>
      <c r="C1121" s="78">
        <f ca="1">IFERROR(__xludf.DUMMYFUNCTION("""COMPUTED_VALUE"""),14)</f>
        <v>14</v>
      </c>
      <c r="D1121" s="78" t="str">
        <f ca="1">IFERROR(__xludf.DUMMYFUNCTION("""COMPUTED_VALUE"""),"B")</f>
        <v>B</v>
      </c>
      <c r="E1121" s="80" t="str">
        <f ca="1">IFERROR(__xludf.DUMMYFUNCTION("""COMPUTED_VALUE"""),"I")</f>
        <v>I</v>
      </c>
      <c r="F1121" s="80" t="str">
        <f ca="1">IFERROR(__xludf.DUMMYFUNCTION("""COMPUTED_VALUE"""),"S")</f>
        <v>S</v>
      </c>
      <c r="G1121" s="80">
        <f ca="1">IFERROR(__xludf.DUMMYFUNCTION("""COMPUTED_VALUE"""),2)</f>
        <v>2</v>
      </c>
      <c r="H1121" s="80" t="str">
        <f ca="1">IFERROR(__xludf.DUMMYFUNCTION("""COMPUTED_VALUE"""),"KG")</f>
        <v>KG</v>
      </c>
      <c r="I1121" s="80">
        <f ca="1">IFERROR(__xludf.DUMMYFUNCTION("""COMPUTED_VALUE"""),7)</f>
        <v>7</v>
      </c>
      <c r="J1121" s="81">
        <f ca="1">IFERROR(__xludf.DUMMYFUNCTION("""COMPUTED_VALUE"""),5)</f>
        <v>5</v>
      </c>
      <c r="K1121" s="81">
        <f ca="1">IFERROR(__xludf.DUMMYFUNCTION("""COMPUTED_VALUE"""),157.7)</f>
        <v>157.69999999999999</v>
      </c>
      <c r="L1121" s="81">
        <f ca="1">IFERROR(__xludf.DUMMYFUNCTION("""COMPUTED_VALUE"""),130.7)</f>
        <v>130.69999999999999</v>
      </c>
      <c r="M1121" s="81"/>
      <c r="N1121" s="81">
        <f ca="1">IFERROR(__xludf.DUMMYFUNCTION("""COMPUTED_VALUE"""),157.7)</f>
        <v>157.69999999999999</v>
      </c>
      <c r="O1121" s="81"/>
      <c r="P1121" s="81">
        <f ca="1">IFERROR(__xludf.DUMMYFUNCTION("""COMPUTED_VALUE"""),147.45)</f>
        <v>147.44999999999999</v>
      </c>
      <c r="Q1121" s="81"/>
      <c r="R1121" s="81">
        <f ca="1">IFERROR(__xludf.DUMMYFUNCTION("""COMPUTED_VALUE"""),143.45)</f>
        <v>143.44999999999999</v>
      </c>
      <c r="S1121" s="81"/>
      <c r="T1121" s="81"/>
      <c r="U1121" s="82"/>
      <c r="V1121" s="82"/>
      <c r="W1121" s="83"/>
      <c r="X1121" s="83"/>
      <c r="Y1121" s="83"/>
    </row>
    <row r="1122" spans="1:25" ht="13.8">
      <c r="A1122" s="78" t="str">
        <f ca="1">IFERROR(__xludf.DUMMYFUNCTION("""COMPUTED_VALUE"""),"KG")</f>
        <v>KG</v>
      </c>
      <c r="B1122" s="79" t="str">
        <f ca="1">IFERROR(__xludf.DUMMYFUNCTION("""COMPUTED_VALUE"""),"Adam Nasr")</f>
        <v>Adam Nasr</v>
      </c>
      <c r="C1122" s="78">
        <f ca="1">IFERROR(__xludf.DUMMYFUNCTION("""COMPUTED_VALUE"""),13)</f>
        <v>13</v>
      </c>
      <c r="D1122" s="78" t="str">
        <f ca="1">IFERROR(__xludf.DUMMYFUNCTION("""COMPUTED_VALUE"""),"B")</f>
        <v>B</v>
      </c>
      <c r="E1122" s="80" t="str">
        <f ca="1">IFERROR(__xludf.DUMMYFUNCTION("""COMPUTED_VALUE"""),"I")</f>
        <v>I</v>
      </c>
      <c r="F1122" s="80" t="str">
        <f ca="1">IFERROR(__xludf.DUMMYFUNCTION("""COMPUTED_VALUE"""),"S")</f>
        <v>S</v>
      </c>
      <c r="G1122" s="80">
        <f ca="1">IFERROR(__xludf.DUMMYFUNCTION("""COMPUTED_VALUE"""),2)</f>
        <v>2</v>
      </c>
      <c r="H1122" s="80" t="str">
        <f ca="1">IFERROR(__xludf.DUMMYFUNCTION("""COMPUTED_VALUE"""),"KG")</f>
        <v>KG</v>
      </c>
      <c r="I1122" s="80">
        <f ca="1">IFERROR(__xludf.DUMMYFUNCTION("""COMPUTED_VALUE"""),7)</f>
        <v>7</v>
      </c>
      <c r="J1122" s="81">
        <f ca="1">IFERROR(__xludf.DUMMYFUNCTION("""COMPUTED_VALUE"""),3)</f>
        <v>3</v>
      </c>
      <c r="K1122" s="81">
        <f ca="1">IFERROR(__xludf.DUMMYFUNCTION("""COMPUTED_VALUE"""),85.4)</f>
        <v>85.4</v>
      </c>
      <c r="L1122" s="81">
        <f ca="1">IFERROR(__xludf.DUMMYFUNCTION("""COMPUTED_VALUE"""),0)</f>
        <v>0</v>
      </c>
      <c r="M1122" s="81"/>
      <c r="N1122" s="81">
        <f ca="1">IFERROR(__xludf.DUMMYFUNCTION("""COMPUTED_VALUE"""),76.45)</f>
        <v>76.45</v>
      </c>
      <c r="O1122" s="81"/>
      <c r="P1122" s="81">
        <f ca="1">IFERROR(__xludf.DUMMYFUNCTION("""COMPUTED_VALUE"""),85.4)</f>
        <v>85.4</v>
      </c>
      <c r="Q1122" s="81"/>
      <c r="R1122" s="81">
        <f ca="1">IFERROR(__xludf.DUMMYFUNCTION("""COMPUTED_VALUE"""),0)</f>
        <v>0</v>
      </c>
      <c r="S1122" s="81"/>
      <c r="T1122" s="81"/>
      <c r="U1122" s="82"/>
      <c r="V1122" s="82"/>
      <c r="W1122" s="83"/>
      <c r="X1122" s="83"/>
      <c r="Y1122" s="83"/>
    </row>
    <row r="1123" spans="1:25" ht="13.8">
      <c r="A1123" s="78" t="str">
        <f ca="1">IFERROR(__xludf.DUMMYFUNCTION("""COMPUTED_VALUE"""),"KG")</f>
        <v>KG</v>
      </c>
      <c r="B1123" s="79" t="str">
        <f ca="1">IFERROR(__xludf.DUMMYFUNCTION("""COMPUTED_VALUE"""),"Grady Smith")</f>
        <v>Grady Smith</v>
      </c>
      <c r="C1123" s="78">
        <f ca="1">IFERROR(__xludf.DUMMYFUNCTION("""COMPUTED_VALUE"""),14)</f>
        <v>14</v>
      </c>
      <c r="D1123" s="78" t="str">
        <f ca="1">IFERROR(__xludf.DUMMYFUNCTION("""COMPUTED_VALUE"""),"B")</f>
        <v>B</v>
      </c>
      <c r="E1123" s="80" t="str">
        <f ca="1">IFERROR(__xludf.DUMMYFUNCTION("""COMPUTED_VALUE"""),"I")</f>
        <v>I</v>
      </c>
      <c r="F1123" s="80" t="str">
        <f ca="1">IFERROR(__xludf.DUMMYFUNCTION("""COMPUTED_VALUE"""),"S")</f>
        <v>S</v>
      </c>
      <c r="G1123" s="80">
        <f ca="1">IFERROR(__xludf.DUMMYFUNCTION("""COMPUTED_VALUE"""),2)</f>
        <v>2</v>
      </c>
      <c r="H1123" s="80" t="str">
        <f ca="1">IFERROR(__xludf.DUMMYFUNCTION("""COMPUTED_VALUE"""),"KG")</f>
        <v>KG</v>
      </c>
      <c r="I1123" s="80">
        <f ca="1">IFERROR(__xludf.DUMMYFUNCTION("""COMPUTED_VALUE"""),7)</f>
        <v>7</v>
      </c>
      <c r="J1123" s="81">
        <f ca="1">IFERROR(__xludf.DUMMYFUNCTION("""COMPUTED_VALUE"""),5)</f>
        <v>5</v>
      </c>
      <c r="K1123" s="81">
        <f ca="1">IFERROR(__xludf.DUMMYFUNCTION("""COMPUTED_VALUE"""),77.75)</f>
        <v>77.75</v>
      </c>
      <c r="L1123" s="81">
        <f ca="1">IFERROR(__xludf.DUMMYFUNCTION("""COMPUTED_VALUE"""),69.5)</f>
        <v>69.5</v>
      </c>
      <c r="M1123" s="81"/>
      <c r="N1123" s="81">
        <f ca="1">IFERROR(__xludf.DUMMYFUNCTION("""COMPUTED_VALUE"""),66.25)</f>
        <v>66.25</v>
      </c>
      <c r="O1123" s="81"/>
      <c r="P1123" s="81">
        <f ca="1">IFERROR(__xludf.DUMMYFUNCTION("""COMPUTED_VALUE"""),77.75)</f>
        <v>77.75</v>
      </c>
      <c r="Q1123" s="81"/>
      <c r="R1123" s="81">
        <f ca="1">IFERROR(__xludf.DUMMYFUNCTION("""COMPUTED_VALUE"""),57.1)</f>
        <v>57.1</v>
      </c>
      <c r="S1123" s="81"/>
      <c r="T1123" s="81"/>
      <c r="U1123" s="82"/>
      <c r="V1123" s="82"/>
      <c r="W1123" s="83"/>
      <c r="X1123" s="83"/>
      <c r="Y1123" s="83"/>
    </row>
    <row r="1124" spans="1:25" ht="13.8">
      <c r="A1124" s="78" t="str">
        <f ca="1">IFERROR(__xludf.DUMMYFUNCTION("""COMPUTED_VALUE"""),"KG")</f>
        <v>KG</v>
      </c>
      <c r="B1124" s="79" t="str">
        <f ca="1">IFERROR(__xludf.DUMMYFUNCTION("""COMPUTED_VALUE"""),"Harrison Weinstock")</f>
        <v>Harrison Weinstock</v>
      </c>
      <c r="C1124" s="78">
        <f ca="1">IFERROR(__xludf.DUMMYFUNCTION("""COMPUTED_VALUE"""),14)</f>
        <v>14</v>
      </c>
      <c r="D1124" s="78" t="str">
        <f ca="1">IFERROR(__xludf.DUMMYFUNCTION("""COMPUTED_VALUE"""),"B")</f>
        <v>B</v>
      </c>
      <c r="E1124" s="80" t="str">
        <f ca="1">IFERROR(__xludf.DUMMYFUNCTION("""COMPUTED_VALUE"""),"I")</f>
        <v>I</v>
      </c>
      <c r="F1124" s="80" t="str">
        <f ca="1">IFERROR(__xludf.DUMMYFUNCTION("""COMPUTED_VALUE"""),"S")</f>
        <v>S</v>
      </c>
      <c r="G1124" s="80">
        <f ca="1">IFERROR(__xludf.DUMMYFUNCTION("""COMPUTED_VALUE"""),2)</f>
        <v>2</v>
      </c>
      <c r="H1124" s="80" t="str">
        <f ca="1">IFERROR(__xludf.DUMMYFUNCTION("""COMPUTED_VALUE"""),"KG")</f>
        <v>KG</v>
      </c>
      <c r="I1124" s="80">
        <f ca="1">IFERROR(__xludf.DUMMYFUNCTION("""COMPUTED_VALUE"""),7)</f>
        <v>7</v>
      </c>
      <c r="J1124" s="81">
        <f ca="1">IFERROR(__xludf.DUMMYFUNCTION("""COMPUTED_VALUE"""),5)</f>
        <v>5</v>
      </c>
      <c r="K1124" s="81">
        <f ca="1">IFERROR(__xludf.DUMMYFUNCTION("""COMPUTED_VALUE"""),96.4)</f>
        <v>96.4</v>
      </c>
      <c r="L1124" s="81">
        <f ca="1">IFERROR(__xludf.DUMMYFUNCTION("""COMPUTED_VALUE"""),96.4)</f>
        <v>96.4</v>
      </c>
      <c r="M1124" s="81"/>
      <c r="N1124" s="81">
        <f ca="1">IFERROR(__xludf.DUMMYFUNCTION("""COMPUTED_VALUE"""),78.2)</f>
        <v>78.2</v>
      </c>
      <c r="O1124" s="81"/>
      <c r="P1124" s="81">
        <f ca="1">IFERROR(__xludf.DUMMYFUNCTION("""COMPUTED_VALUE"""),68.85)</f>
        <v>68.849999999999994</v>
      </c>
      <c r="Q1124" s="81"/>
      <c r="R1124" s="81">
        <f ca="1">IFERROR(__xludf.DUMMYFUNCTION("""COMPUTED_VALUE"""),83.75)</f>
        <v>83.75</v>
      </c>
      <c r="S1124" s="81"/>
      <c r="T1124" s="81"/>
      <c r="U1124" s="82"/>
      <c r="V1124" s="82"/>
      <c r="W1124" s="83"/>
      <c r="X1124" s="83"/>
      <c r="Y1124" s="83"/>
    </row>
    <row r="1125" spans="1:25" ht="13.8">
      <c r="A1125" s="78" t="str">
        <f ca="1">IFERROR(__xludf.DUMMYFUNCTION("""COMPUTED_VALUE"""),"KG")</f>
        <v>KG</v>
      </c>
      <c r="B1125" s="79" t="str">
        <f ca="1">IFERROR(__xludf.DUMMYFUNCTION("""COMPUTED_VALUE"""),"Jocelyn Brooks")</f>
        <v>Jocelyn Brooks</v>
      </c>
      <c r="C1125" s="78">
        <f ca="1">IFERROR(__xludf.DUMMYFUNCTION("""COMPUTED_VALUE"""),15)</f>
        <v>15</v>
      </c>
      <c r="D1125" s="78" t="str">
        <f ca="1">IFERROR(__xludf.DUMMYFUNCTION("""COMPUTED_VALUE"""),"G")</f>
        <v>G</v>
      </c>
      <c r="E1125" s="80" t="str">
        <f ca="1">IFERROR(__xludf.DUMMYFUNCTION("""COMPUTED_VALUE"""),"S")</f>
        <v>S</v>
      </c>
      <c r="F1125" s="80" t="str">
        <f ca="1">IFERROR(__xludf.DUMMYFUNCTION("""COMPUTED_VALUE"""),"S")</f>
        <v>S</v>
      </c>
      <c r="G1125" s="80">
        <f ca="1">IFERROR(__xludf.DUMMYFUNCTION("""COMPUTED_VALUE"""),2)</f>
        <v>2</v>
      </c>
      <c r="H1125" s="80" t="str">
        <f ca="1">IFERROR(__xludf.DUMMYFUNCTION("""COMPUTED_VALUE"""),"KG")</f>
        <v>KG</v>
      </c>
      <c r="I1125" s="80">
        <f ca="1">IFERROR(__xludf.DUMMYFUNCTION("""COMPUTED_VALUE"""),8)</f>
        <v>8</v>
      </c>
      <c r="J1125" s="81">
        <f ca="1">IFERROR(__xludf.DUMMYFUNCTION("""COMPUTED_VALUE"""),4)</f>
        <v>4</v>
      </c>
      <c r="K1125" s="81">
        <f ca="1">IFERROR(__xludf.DUMMYFUNCTION("""COMPUTED_VALUE"""),205.35)</f>
        <v>205.35</v>
      </c>
      <c r="L1125" s="81">
        <f ca="1">IFERROR(__xludf.DUMMYFUNCTION("""COMPUTED_VALUE"""),198.55)</f>
        <v>198.55</v>
      </c>
      <c r="M1125" s="81"/>
      <c r="N1125" s="81">
        <f ca="1">IFERROR(__xludf.DUMMYFUNCTION("""COMPUTED_VALUE"""),0)</f>
        <v>0</v>
      </c>
      <c r="O1125" s="81"/>
      <c r="P1125" s="81">
        <f ca="1">IFERROR(__xludf.DUMMYFUNCTION("""COMPUTED_VALUE"""),177.8)</f>
        <v>177.8</v>
      </c>
      <c r="Q1125" s="81"/>
      <c r="R1125" s="81">
        <f ca="1">IFERROR(__xludf.DUMMYFUNCTION("""COMPUTED_VALUE"""),205.35)</f>
        <v>205.35</v>
      </c>
      <c r="S1125" s="81"/>
      <c r="T1125" s="81"/>
      <c r="U1125" s="82"/>
      <c r="V1125" s="82"/>
      <c r="W1125" s="83"/>
      <c r="X1125" s="83"/>
      <c r="Y1125" s="83"/>
    </row>
    <row r="1126" spans="1:25" ht="13.8">
      <c r="A1126" s="78" t="str">
        <f ca="1">IFERROR(__xludf.DUMMYFUNCTION("""COMPUTED_VALUE"""),"KG")</f>
        <v>KG</v>
      </c>
      <c r="B1126" s="79" t="str">
        <f ca="1">IFERROR(__xludf.DUMMYFUNCTION("""COMPUTED_VALUE"""),"Madeleine Hersh")</f>
        <v>Madeleine Hersh</v>
      </c>
      <c r="C1126" s="78">
        <f ca="1">IFERROR(__xludf.DUMMYFUNCTION("""COMPUTED_VALUE"""),17)</f>
        <v>17</v>
      </c>
      <c r="D1126" s="78" t="str">
        <f ca="1">IFERROR(__xludf.DUMMYFUNCTION("""COMPUTED_VALUE"""),"G")</f>
        <v>G</v>
      </c>
      <c r="E1126" s="80" t="str">
        <f ca="1">IFERROR(__xludf.DUMMYFUNCTION("""COMPUTED_VALUE"""),"S")</f>
        <v>S</v>
      </c>
      <c r="F1126" s="80" t="str">
        <f ca="1">IFERROR(__xludf.DUMMYFUNCTION("""COMPUTED_VALUE"""),"S")</f>
        <v>S</v>
      </c>
      <c r="G1126" s="80">
        <f ca="1">IFERROR(__xludf.DUMMYFUNCTION("""COMPUTED_VALUE"""),2)</f>
        <v>2</v>
      </c>
      <c r="H1126" s="80" t="str">
        <f ca="1">IFERROR(__xludf.DUMMYFUNCTION("""COMPUTED_VALUE"""),"KG")</f>
        <v>KG</v>
      </c>
      <c r="I1126" s="80">
        <f ca="1">IFERROR(__xludf.DUMMYFUNCTION("""COMPUTED_VALUE"""),8)</f>
        <v>8</v>
      </c>
      <c r="J1126" s="81">
        <f ca="1">IFERROR(__xludf.DUMMYFUNCTION("""COMPUTED_VALUE"""),5)</f>
        <v>5</v>
      </c>
      <c r="K1126" s="81">
        <f ca="1">IFERROR(__xludf.DUMMYFUNCTION("""COMPUTED_VALUE"""),191.8)</f>
        <v>191.8</v>
      </c>
      <c r="L1126" s="81">
        <f ca="1">IFERROR(__xludf.DUMMYFUNCTION("""COMPUTED_VALUE"""),177.15)</f>
        <v>177.15</v>
      </c>
      <c r="M1126" s="81"/>
      <c r="N1126" s="81">
        <f ca="1">IFERROR(__xludf.DUMMYFUNCTION("""COMPUTED_VALUE"""),191.8)</f>
        <v>191.8</v>
      </c>
      <c r="O1126" s="81"/>
      <c r="P1126" s="81">
        <f ca="1">IFERROR(__xludf.DUMMYFUNCTION("""COMPUTED_VALUE"""),174.1)</f>
        <v>174.1</v>
      </c>
      <c r="Q1126" s="81"/>
      <c r="R1126" s="81">
        <f ca="1">IFERROR(__xludf.DUMMYFUNCTION("""COMPUTED_VALUE"""),189.2)</f>
        <v>189.2</v>
      </c>
      <c r="S1126" s="81"/>
      <c r="T1126" s="81"/>
      <c r="U1126" s="82"/>
      <c r="V1126" s="82"/>
      <c r="W1126" s="83"/>
      <c r="X1126" s="83"/>
      <c r="Y1126" s="83"/>
    </row>
    <row r="1127" spans="1:25" ht="13.8">
      <c r="A1127" s="78" t="str">
        <f ca="1">IFERROR(__xludf.DUMMYFUNCTION("""COMPUTED_VALUE"""),"KG")</f>
        <v>KG</v>
      </c>
      <c r="B1127" s="79" t="str">
        <f ca="1">IFERROR(__xludf.DUMMYFUNCTION("""COMPUTED_VALUE"""),"Ingrid Olsen")</f>
        <v>Ingrid Olsen</v>
      </c>
      <c r="C1127" s="78">
        <f ca="1">IFERROR(__xludf.DUMMYFUNCTION("""COMPUTED_VALUE"""),15)</f>
        <v>15</v>
      </c>
      <c r="D1127" s="78" t="str">
        <f ca="1">IFERROR(__xludf.DUMMYFUNCTION("""COMPUTED_VALUE"""),"G")</f>
        <v>G</v>
      </c>
      <c r="E1127" s="80" t="str">
        <f ca="1">IFERROR(__xludf.DUMMYFUNCTION("""COMPUTED_VALUE"""),"S")</f>
        <v>S</v>
      </c>
      <c r="F1127" s="80" t="str">
        <f ca="1">IFERROR(__xludf.DUMMYFUNCTION("""COMPUTED_VALUE"""),"S")</f>
        <v>S</v>
      </c>
      <c r="G1127" s="80">
        <f ca="1">IFERROR(__xludf.DUMMYFUNCTION("""COMPUTED_VALUE"""),2)</f>
        <v>2</v>
      </c>
      <c r="H1127" s="80" t="str">
        <f ca="1">IFERROR(__xludf.DUMMYFUNCTION("""COMPUTED_VALUE"""),"KG")</f>
        <v>KG</v>
      </c>
      <c r="I1127" s="80">
        <f ca="1">IFERROR(__xludf.DUMMYFUNCTION("""COMPUTED_VALUE"""),8)</f>
        <v>8</v>
      </c>
      <c r="J1127" s="81">
        <f ca="1">IFERROR(__xludf.DUMMYFUNCTION("""COMPUTED_VALUE"""),2)</f>
        <v>2</v>
      </c>
      <c r="K1127" s="81">
        <f ca="1">IFERROR(__xludf.DUMMYFUNCTION("""COMPUTED_VALUE"""),123.6)</f>
        <v>123.6</v>
      </c>
      <c r="L1127" s="81">
        <f ca="1">IFERROR(__xludf.DUMMYFUNCTION("""COMPUTED_VALUE"""),0)</f>
        <v>0</v>
      </c>
      <c r="M1127" s="81"/>
      <c r="N1127" s="81">
        <f ca="1">IFERROR(__xludf.DUMMYFUNCTION("""COMPUTED_VALUE"""),123.6)</f>
        <v>123.6</v>
      </c>
      <c r="O1127" s="81"/>
      <c r="P1127" s="81">
        <f ca="1">IFERROR(__xludf.DUMMYFUNCTION("""COMPUTED_VALUE"""),112.65)</f>
        <v>112.65</v>
      </c>
      <c r="Q1127" s="81"/>
      <c r="R1127" s="81">
        <f ca="1">IFERROR(__xludf.DUMMYFUNCTION("""COMPUTED_VALUE"""),0)</f>
        <v>0</v>
      </c>
      <c r="S1127" s="81"/>
      <c r="T1127" s="81"/>
      <c r="U1127" s="82"/>
      <c r="V1127" s="82"/>
      <c r="W1127" s="83"/>
      <c r="X1127" s="83"/>
      <c r="Y1127" s="83"/>
    </row>
    <row r="1128" spans="1:25" ht="13.8">
      <c r="A1128" s="78" t="str">
        <f ca="1">IFERROR(__xludf.DUMMYFUNCTION("""COMPUTED_VALUE"""),"KG")</f>
        <v>KG</v>
      </c>
      <c r="B1128" s="79" t="str">
        <f ca="1">IFERROR(__xludf.DUMMYFUNCTION("""COMPUTED_VALUE"""),"Irene Sundius")</f>
        <v>Irene Sundius</v>
      </c>
      <c r="C1128" s="78">
        <f ca="1">IFERROR(__xludf.DUMMYFUNCTION("""COMPUTED_VALUE"""),16)</f>
        <v>16</v>
      </c>
      <c r="D1128" s="78" t="str">
        <f ca="1">IFERROR(__xludf.DUMMYFUNCTION("""COMPUTED_VALUE"""),"G")</f>
        <v>G</v>
      </c>
      <c r="E1128" s="80" t="str">
        <f ca="1">IFERROR(__xludf.DUMMYFUNCTION("""COMPUTED_VALUE"""),"S")</f>
        <v>S</v>
      </c>
      <c r="F1128" s="80" t="str">
        <f ca="1">IFERROR(__xludf.DUMMYFUNCTION("""COMPUTED_VALUE"""),"S")</f>
        <v>S</v>
      </c>
      <c r="G1128" s="80">
        <f ca="1">IFERROR(__xludf.DUMMYFUNCTION("""COMPUTED_VALUE"""),2)</f>
        <v>2</v>
      </c>
      <c r="H1128" s="80" t="str">
        <f ca="1">IFERROR(__xludf.DUMMYFUNCTION("""COMPUTED_VALUE"""),"KG")</f>
        <v>KG</v>
      </c>
      <c r="I1128" s="80">
        <f ca="1">IFERROR(__xludf.DUMMYFUNCTION("""COMPUTED_VALUE"""),8)</f>
        <v>8</v>
      </c>
      <c r="J1128" s="81">
        <f ca="1">IFERROR(__xludf.DUMMYFUNCTION("""COMPUTED_VALUE"""),0)</f>
        <v>0</v>
      </c>
      <c r="K1128" s="81">
        <f ca="1">IFERROR(__xludf.DUMMYFUNCTION("""COMPUTED_VALUE"""),0)</f>
        <v>0</v>
      </c>
      <c r="L1128" s="81">
        <f ca="1">IFERROR(__xludf.DUMMYFUNCTION("""COMPUTED_VALUE"""),0)</f>
        <v>0</v>
      </c>
      <c r="M1128" s="81"/>
      <c r="N1128" s="81">
        <f ca="1">IFERROR(__xludf.DUMMYFUNCTION("""COMPUTED_VALUE"""),0)</f>
        <v>0</v>
      </c>
      <c r="O1128" s="81"/>
      <c r="P1128" s="81">
        <f ca="1">IFERROR(__xludf.DUMMYFUNCTION("""COMPUTED_VALUE"""),0)</f>
        <v>0</v>
      </c>
      <c r="Q1128" s="81"/>
      <c r="R1128" s="81">
        <f ca="1">IFERROR(__xludf.DUMMYFUNCTION("""COMPUTED_VALUE"""),0)</f>
        <v>0</v>
      </c>
      <c r="S1128" s="81"/>
      <c r="T1128" s="81"/>
      <c r="U1128" s="82"/>
      <c r="V1128" s="82"/>
      <c r="W1128" s="83"/>
      <c r="X1128" s="83"/>
      <c r="Y1128" s="83"/>
    </row>
    <row r="1129" spans="1:25" ht="13.8">
      <c r="A1129" s="78" t="str">
        <f ca="1">IFERROR(__xludf.DUMMYFUNCTION("""COMPUTED_VALUE"""),"KG")</f>
        <v>KG</v>
      </c>
      <c r="B1129" s="79" t="str">
        <f ca="1">IFERROR(__xludf.DUMMYFUNCTION("""COMPUTED_VALUE"""),"Rachel Tielking")</f>
        <v>Rachel Tielking</v>
      </c>
      <c r="C1129" s="78">
        <f ca="1">IFERROR(__xludf.DUMMYFUNCTION("""COMPUTED_VALUE"""),16)</f>
        <v>16</v>
      </c>
      <c r="D1129" s="78" t="str">
        <f ca="1">IFERROR(__xludf.DUMMYFUNCTION("""COMPUTED_VALUE"""),"G")</f>
        <v>G</v>
      </c>
      <c r="E1129" s="80" t="str">
        <f ca="1">IFERROR(__xludf.DUMMYFUNCTION("""COMPUTED_VALUE"""),"S")</f>
        <v>S</v>
      </c>
      <c r="F1129" s="80" t="str">
        <f ca="1">IFERROR(__xludf.DUMMYFUNCTION("""COMPUTED_VALUE"""),"S")</f>
        <v>S</v>
      </c>
      <c r="G1129" s="80">
        <f ca="1">IFERROR(__xludf.DUMMYFUNCTION("""COMPUTED_VALUE"""),2)</f>
        <v>2</v>
      </c>
      <c r="H1129" s="80" t="str">
        <f ca="1">IFERROR(__xludf.DUMMYFUNCTION("""COMPUTED_VALUE"""),"KG")</f>
        <v>KG</v>
      </c>
      <c r="I1129" s="80">
        <f ca="1">IFERROR(__xludf.DUMMYFUNCTION("""COMPUTED_VALUE"""),8)</f>
        <v>8</v>
      </c>
      <c r="J1129" s="81">
        <f ca="1">IFERROR(__xludf.DUMMYFUNCTION("""COMPUTED_VALUE"""),5)</f>
        <v>5</v>
      </c>
      <c r="K1129" s="81">
        <f ca="1">IFERROR(__xludf.DUMMYFUNCTION("""COMPUTED_VALUE"""),138.4)</f>
        <v>138.4</v>
      </c>
      <c r="L1129" s="81">
        <f ca="1">IFERROR(__xludf.DUMMYFUNCTION("""COMPUTED_VALUE"""),138.4)</f>
        <v>138.4</v>
      </c>
      <c r="M1129" s="81"/>
      <c r="N1129" s="81">
        <f ca="1">IFERROR(__xludf.DUMMYFUNCTION("""COMPUTED_VALUE"""),131.65)</f>
        <v>131.65</v>
      </c>
      <c r="O1129" s="81"/>
      <c r="P1129" s="81">
        <f ca="1">IFERROR(__xludf.DUMMYFUNCTION("""COMPUTED_VALUE"""),124.95)</f>
        <v>124.95</v>
      </c>
      <c r="Q1129" s="81"/>
      <c r="R1129" s="81">
        <f ca="1">IFERROR(__xludf.DUMMYFUNCTION("""COMPUTED_VALUE"""),134.85)</f>
        <v>134.85</v>
      </c>
      <c r="S1129" s="81"/>
      <c r="T1129" s="81"/>
      <c r="U1129" s="82"/>
      <c r="V1129" s="82"/>
      <c r="W1129" s="83"/>
      <c r="X1129" s="83"/>
      <c r="Y1129" s="83"/>
    </row>
    <row r="1130" spans="1:25" ht="13.8">
      <c r="A1130" s="78" t="str">
        <f ca="1">IFERROR(__xludf.DUMMYFUNCTION("""COMPUTED_VALUE"""),"KG")</f>
        <v>KG</v>
      </c>
      <c r="B1130" s="79" t="str">
        <f ca="1">IFERROR(__xludf.DUMMYFUNCTION("""COMPUTED_VALUE"""),"Sarah Wood")</f>
        <v>Sarah Wood</v>
      </c>
      <c r="C1130" s="78">
        <f ca="1">IFERROR(__xludf.DUMMYFUNCTION("""COMPUTED_VALUE"""),18)</f>
        <v>18</v>
      </c>
      <c r="D1130" s="78" t="str">
        <f ca="1">IFERROR(__xludf.DUMMYFUNCTION("""COMPUTED_VALUE"""),"G")</f>
        <v>G</v>
      </c>
      <c r="E1130" s="80" t="str">
        <f ca="1">IFERROR(__xludf.DUMMYFUNCTION("""COMPUTED_VALUE"""),"S")</f>
        <v>S</v>
      </c>
      <c r="F1130" s="80" t="str">
        <f ca="1">IFERROR(__xludf.DUMMYFUNCTION("""COMPUTED_VALUE"""),"S")</f>
        <v>S</v>
      </c>
      <c r="G1130" s="80">
        <f ca="1">IFERROR(__xludf.DUMMYFUNCTION("""COMPUTED_VALUE"""),2)</f>
        <v>2</v>
      </c>
      <c r="H1130" s="80" t="str">
        <f ca="1">IFERROR(__xludf.DUMMYFUNCTION("""COMPUTED_VALUE"""),"KG")</f>
        <v>KG</v>
      </c>
      <c r="I1130" s="80">
        <f ca="1">IFERROR(__xludf.DUMMYFUNCTION("""COMPUTED_VALUE"""),8)</f>
        <v>8</v>
      </c>
      <c r="J1130" s="81">
        <f ca="1">IFERROR(__xludf.DUMMYFUNCTION("""COMPUTED_VALUE"""),5)</f>
        <v>5</v>
      </c>
      <c r="K1130" s="81">
        <f ca="1">IFERROR(__xludf.DUMMYFUNCTION("""COMPUTED_VALUE"""),189.05)</f>
        <v>189.05</v>
      </c>
      <c r="L1130" s="81">
        <f ca="1">IFERROR(__xludf.DUMMYFUNCTION("""COMPUTED_VALUE"""),175.9)</f>
        <v>175.9</v>
      </c>
      <c r="M1130" s="81"/>
      <c r="N1130" s="81">
        <f ca="1">IFERROR(__xludf.DUMMYFUNCTION("""COMPUTED_VALUE"""),186.8)</f>
        <v>186.8</v>
      </c>
      <c r="O1130" s="81"/>
      <c r="P1130" s="81">
        <f ca="1">IFERROR(__xludf.DUMMYFUNCTION("""COMPUTED_VALUE"""),185.4)</f>
        <v>185.4</v>
      </c>
      <c r="Q1130" s="81"/>
      <c r="R1130" s="81">
        <f ca="1">IFERROR(__xludf.DUMMYFUNCTION("""COMPUTED_VALUE"""),189.05)</f>
        <v>189.05</v>
      </c>
      <c r="S1130" s="81"/>
      <c r="T1130" s="81"/>
      <c r="U1130" s="82"/>
      <c r="V1130" s="82"/>
      <c r="W1130" s="83"/>
      <c r="X1130" s="83"/>
      <c r="Y1130" s="83"/>
    </row>
    <row r="1131" spans="1:25" ht="13.8">
      <c r="A1131" s="78" t="str">
        <f ca="1">IFERROR(__xludf.DUMMYFUNCTION("""COMPUTED_VALUE"""),"KG")</f>
        <v>KG</v>
      </c>
      <c r="B1131" s="79" t="str">
        <f ca="1">IFERROR(__xludf.DUMMYFUNCTION("""COMPUTED_VALUE"""),"Cadi Xie")</f>
        <v>Cadi Xie</v>
      </c>
      <c r="C1131" s="78">
        <f ca="1">IFERROR(__xludf.DUMMYFUNCTION("""COMPUTED_VALUE"""),17)</f>
        <v>17</v>
      </c>
      <c r="D1131" s="78" t="str">
        <f ca="1">IFERROR(__xludf.DUMMYFUNCTION("""COMPUTED_VALUE"""),"G")</f>
        <v>G</v>
      </c>
      <c r="E1131" s="80" t="str">
        <f ca="1">IFERROR(__xludf.DUMMYFUNCTION("""COMPUTED_VALUE"""),"S")</f>
        <v>S</v>
      </c>
      <c r="F1131" s="80" t="str">
        <f ca="1">IFERROR(__xludf.DUMMYFUNCTION("""COMPUTED_VALUE"""),"S")</f>
        <v>S</v>
      </c>
      <c r="G1131" s="80">
        <f ca="1">IFERROR(__xludf.DUMMYFUNCTION("""COMPUTED_VALUE"""),2)</f>
        <v>2</v>
      </c>
      <c r="H1131" s="80" t="str">
        <f ca="1">IFERROR(__xludf.DUMMYFUNCTION("""COMPUTED_VALUE"""),"KG")</f>
        <v>KG</v>
      </c>
      <c r="I1131" s="80">
        <f ca="1">IFERROR(__xludf.DUMMYFUNCTION("""COMPUTED_VALUE"""),8)</f>
        <v>8</v>
      </c>
      <c r="J1131" s="81">
        <f ca="1">IFERROR(__xludf.DUMMYFUNCTION("""COMPUTED_VALUE"""),4)</f>
        <v>4</v>
      </c>
      <c r="K1131" s="81">
        <f ca="1">IFERROR(__xludf.DUMMYFUNCTION("""COMPUTED_VALUE"""),162.6)</f>
        <v>162.6</v>
      </c>
      <c r="L1131" s="81">
        <f ca="1">IFERROR(__xludf.DUMMYFUNCTION("""COMPUTED_VALUE"""),0)</f>
        <v>0</v>
      </c>
      <c r="M1131" s="81"/>
      <c r="N1131" s="81">
        <f ca="1">IFERROR(__xludf.DUMMYFUNCTION("""COMPUTED_VALUE"""),160.6)</f>
        <v>160.6</v>
      </c>
      <c r="O1131" s="81"/>
      <c r="P1131" s="81">
        <f ca="1">IFERROR(__xludf.DUMMYFUNCTION("""COMPUTED_VALUE"""),150.75)</f>
        <v>150.75</v>
      </c>
      <c r="Q1131" s="81"/>
      <c r="R1131" s="81">
        <f ca="1">IFERROR(__xludf.DUMMYFUNCTION("""COMPUTED_VALUE"""),162.6)</f>
        <v>162.6</v>
      </c>
      <c r="S1131" s="81"/>
      <c r="T1131" s="81"/>
      <c r="U1131" s="82"/>
      <c r="V1131" s="82"/>
      <c r="W1131" s="83"/>
      <c r="X1131" s="83"/>
      <c r="Y1131" s="83"/>
    </row>
    <row r="1132" spans="1:25" ht="13.8">
      <c r="A1132" s="78" t="str">
        <f ca="1">IFERROR(__xludf.DUMMYFUNCTION("""COMPUTED_VALUE"""),"KG")</f>
        <v>KG</v>
      </c>
      <c r="B1132" s="79" t="str">
        <f ca="1">IFERROR(__xludf.DUMMYFUNCTION("""COMPUTED_VALUE"""),"Sherry Yu")</f>
        <v>Sherry Yu</v>
      </c>
      <c r="C1132" s="78">
        <f ca="1">IFERROR(__xludf.DUMMYFUNCTION("""COMPUTED_VALUE"""),15)</f>
        <v>15</v>
      </c>
      <c r="D1132" s="78" t="str">
        <f ca="1">IFERROR(__xludf.DUMMYFUNCTION("""COMPUTED_VALUE"""),"G")</f>
        <v>G</v>
      </c>
      <c r="E1132" s="80" t="str">
        <f ca="1">IFERROR(__xludf.DUMMYFUNCTION("""COMPUTED_VALUE"""),"S")</f>
        <v>S</v>
      </c>
      <c r="F1132" s="80" t="str">
        <f ca="1">IFERROR(__xludf.DUMMYFUNCTION("""COMPUTED_VALUE"""),"S")</f>
        <v>S</v>
      </c>
      <c r="G1132" s="80">
        <f ca="1">IFERROR(__xludf.DUMMYFUNCTION("""COMPUTED_VALUE"""),2)</f>
        <v>2</v>
      </c>
      <c r="H1132" s="80" t="str">
        <f ca="1">IFERROR(__xludf.DUMMYFUNCTION("""COMPUTED_VALUE"""),"KG")</f>
        <v>KG</v>
      </c>
      <c r="I1132" s="80">
        <f ca="1">IFERROR(__xludf.DUMMYFUNCTION("""COMPUTED_VALUE"""),8)</f>
        <v>8</v>
      </c>
      <c r="J1132" s="81">
        <f ca="1">IFERROR(__xludf.DUMMYFUNCTION("""COMPUTED_VALUE"""),0)</f>
        <v>0</v>
      </c>
      <c r="K1132" s="81">
        <f ca="1">IFERROR(__xludf.DUMMYFUNCTION("""COMPUTED_VALUE"""),0)</f>
        <v>0</v>
      </c>
      <c r="L1132" s="81">
        <f ca="1">IFERROR(__xludf.DUMMYFUNCTION("""COMPUTED_VALUE"""),0)</f>
        <v>0</v>
      </c>
      <c r="M1132" s="81"/>
      <c r="N1132" s="81">
        <f ca="1">IFERROR(__xludf.DUMMYFUNCTION("""COMPUTED_VALUE"""),0)</f>
        <v>0</v>
      </c>
      <c r="O1132" s="81"/>
      <c r="P1132" s="81">
        <f ca="1">IFERROR(__xludf.DUMMYFUNCTION("""COMPUTED_VALUE"""),0)</f>
        <v>0</v>
      </c>
      <c r="Q1132" s="81"/>
      <c r="R1132" s="81">
        <f ca="1">IFERROR(__xludf.DUMMYFUNCTION("""COMPUTED_VALUE"""),0)</f>
        <v>0</v>
      </c>
      <c r="S1132" s="81"/>
      <c r="T1132" s="81"/>
      <c r="U1132" s="82"/>
      <c r="V1132" s="82"/>
      <c r="W1132" s="83"/>
      <c r="X1132" s="83"/>
      <c r="Y1132" s="83"/>
    </row>
    <row r="1133" spans="1:25" ht="13.8">
      <c r="A1133" s="78" t="str">
        <f ca="1">IFERROR(__xludf.DUMMYFUNCTION("""COMPUTED_VALUE"""),"KG")</f>
        <v>KG</v>
      </c>
      <c r="B1133" s="79" t="str">
        <f ca="1">IFERROR(__xludf.DUMMYFUNCTION("""COMPUTED_VALUE"""),"Evan Brown")</f>
        <v>Evan Brown</v>
      </c>
      <c r="C1133" s="78">
        <f ca="1">IFERROR(__xludf.DUMMYFUNCTION("""COMPUTED_VALUE"""),17)</f>
        <v>17</v>
      </c>
      <c r="D1133" s="78" t="str">
        <f ca="1">IFERROR(__xludf.DUMMYFUNCTION("""COMPUTED_VALUE"""),"B")</f>
        <v>B</v>
      </c>
      <c r="E1133" s="80" t="str">
        <f ca="1">IFERROR(__xludf.DUMMYFUNCTION("""COMPUTED_VALUE"""),"S")</f>
        <v>S</v>
      </c>
      <c r="F1133" s="80" t="str">
        <f ca="1">IFERROR(__xludf.DUMMYFUNCTION("""COMPUTED_VALUE"""),"S")</f>
        <v>S</v>
      </c>
      <c r="G1133" s="80">
        <f ca="1">IFERROR(__xludf.DUMMYFUNCTION("""COMPUTED_VALUE"""),2)</f>
        <v>2</v>
      </c>
      <c r="H1133" s="80" t="str">
        <f ca="1">IFERROR(__xludf.DUMMYFUNCTION("""COMPUTED_VALUE"""),"KG")</f>
        <v>KG</v>
      </c>
      <c r="I1133" s="80">
        <f ca="1">IFERROR(__xludf.DUMMYFUNCTION("""COMPUTED_VALUE"""),9)</f>
        <v>9</v>
      </c>
      <c r="J1133" s="81">
        <f ca="1">IFERROR(__xludf.DUMMYFUNCTION("""COMPUTED_VALUE"""),4)</f>
        <v>4</v>
      </c>
      <c r="K1133" s="81">
        <f ca="1">IFERROR(__xludf.DUMMYFUNCTION("""COMPUTED_VALUE"""),249)</f>
        <v>249</v>
      </c>
      <c r="L1133" s="81">
        <f ca="1">IFERROR(__xludf.DUMMYFUNCTION("""COMPUTED_VALUE"""),249)</f>
        <v>249</v>
      </c>
      <c r="M1133" s="81"/>
      <c r="N1133" s="81">
        <f ca="1">IFERROR(__xludf.DUMMYFUNCTION("""COMPUTED_VALUE"""),0)</f>
        <v>0</v>
      </c>
      <c r="O1133" s="81"/>
      <c r="P1133" s="81">
        <f ca="1">IFERROR(__xludf.DUMMYFUNCTION("""COMPUTED_VALUE"""),230.05)</f>
        <v>230.05</v>
      </c>
      <c r="Q1133" s="81"/>
      <c r="R1133" s="81">
        <f ca="1">IFERROR(__xludf.DUMMYFUNCTION("""COMPUTED_VALUE"""),230.45)</f>
        <v>230.45</v>
      </c>
      <c r="S1133" s="81"/>
      <c r="T1133" s="81"/>
      <c r="U1133" s="82"/>
      <c r="V1133" s="82"/>
      <c r="W1133" s="83"/>
      <c r="X1133" s="83"/>
      <c r="Y1133" s="83"/>
    </row>
    <row r="1134" spans="1:25" ht="13.8">
      <c r="A1134" s="78" t="str">
        <f ca="1">IFERROR(__xludf.DUMMYFUNCTION("""COMPUTED_VALUE"""),"KG")</f>
        <v>KG</v>
      </c>
      <c r="B1134" s="79" t="str">
        <f ca="1">IFERROR(__xludf.DUMMYFUNCTION("""COMPUTED_VALUE"""),"Jad Brubaker")</f>
        <v>Jad Brubaker</v>
      </c>
      <c r="C1134" s="78">
        <f ca="1">IFERROR(__xludf.DUMMYFUNCTION("""COMPUTED_VALUE"""),15)</f>
        <v>15</v>
      </c>
      <c r="D1134" s="78" t="str">
        <f ca="1">IFERROR(__xludf.DUMMYFUNCTION("""COMPUTED_VALUE"""),"B")</f>
        <v>B</v>
      </c>
      <c r="E1134" s="80" t="str">
        <f ca="1">IFERROR(__xludf.DUMMYFUNCTION("""COMPUTED_VALUE"""),"S")</f>
        <v>S</v>
      </c>
      <c r="F1134" s="80" t="str">
        <f ca="1">IFERROR(__xludf.DUMMYFUNCTION("""COMPUTED_VALUE"""),"S")</f>
        <v>S</v>
      </c>
      <c r="G1134" s="80">
        <f ca="1">IFERROR(__xludf.DUMMYFUNCTION("""COMPUTED_VALUE"""),2)</f>
        <v>2</v>
      </c>
      <c r="H1134" s="80" t="str">
        <f ca="1">IFERROR(__xludf.DUMMYFUNCTION("""COMPUTED_VALUE"""),"KG")</f>
        <v>KG</v>
      </c>
      <c r="I1134" s="80">
        <f ca="1">IFERROR(__xludf.DUMMYFUNCTION("""COMPUTED_VALUE"""),9)</f>
        <v>9</v>
      </c>
      <c r="J1134" s="81">
        <f ca="1">IFERROR(__xludf.DUMMYFUNCTION("""COMPUTED_VALUE"""),5)</f>
        <v>5</v>
      </c>
      <c r="K1134" s="81">
        <f ca="1">IFERROR(__xludf.DUMMYFUNCTION("""COMPUTED_VALUE"""),195.65)</f>
        <v>195.65</v>
      </c>
      <c r="L1134" s="81">
        <f ca="1">IFERROR(__xludf.DUMMYFUNCTION("""COMPUTED_VALUE"""),192.85)</f>
        <v>192.85</v>
      </c>
      <c r="M1134" s="81"/>
      <c r="N1134" s="81">
        <f ca="1">IFERROR(__xludf.DUMMYFUNCTION("""COMPUTED_VALUE"""),154.55)</f>
        <v>154.55000000000001</v>
      </c>
      <c r="O1134" s="81"/>
      <c r="P1134" s="81">
        <f ca="1">IFERROR(__xludf.DUMMYFUNCTION("""COMPUTED_VALUE"""),195.65)</f>
        <v>195.65</v>
      </c>
      <c r="Q1134" s="81"/>
      <c r="R1134" s="81">
        <f ca="1">IFERROR(__xludf.DUMMYFUNCTION("""COMPUTED_VALUE"""),161.45)</f>
        <v>161.44999999999999</v>
      </c>
      <c r="S1134" s="81"/>
      <c r="T1134" s="81"/>
      <c r="U1134" s="82"/>
      <c r="V1134" s="82"/>
      <c r="W1134" s="83"/>
      <c r="X1134" s="83"/>
      <c r="Y1134" s="83"/>
    </row>
    <row r="1135" spans="1:25" ht="13.8">
      <c r="A1135" s="78" t="str">
        <f ca="1">IFERROR(__xludf.DUMMYFUNCTION("""COMPUTED_VALUE"""),"KG")</f>
        <v>KG</v>
      </c>
      <c r="B1135" s="79" t="str">
        <f ca="1">IFERROR(__xludf.DUMMYFUNCTION("""COMPUTED_VALUE"""),"Kylian Genetti")</f>
        <v>Kylian Genetti</v>
      </c>
      <c r="C1135" s="78">
        <f ca="1">IFERROR(__xludf.DUMMYFUNCTION("""COMPUTED_VALUE"""),17)</f>
        <v>17</v>
      </c>
      <c r="D1135" s="78" t="str">
        <f ca="1">IFERROR(__xludf.DUMMYFUNCTION("""COMPUTED_VALUE"""),"B")</f>
        <v>B</v>
      </c>
      <c r="E1135" s="80" t="str">
        <f ca="1">IFERROR(__xludf.DUMMYFUNCTION("""COMPUTED_VALUE"""),"S")</f>
        <v>S</v>
      </c>
      <c r="F1135" s="80" t="str">
        <f ca="1">IFERROR(__xludf.DUMMYFUNCTION("""COMPUTED_VALUE"""),"S")</f>
        <v>S</v>
      </c>
      <c r="G1135" s="80">
        <f ca="1">IFERROR(__xludf.DUMMYFUNCTION("""COMPUTED_VALUE"""),2)</f>
        <v>2</v>
      </c>
      <c r="H1135" s="80" t="str">
        <f ca="1">IFERROR(__xludf.DUMMYFUNCTION("""COMPUTED_VALUE"""),"KG")</f>
        <v>KG</v>
      </c>
      <c r="I1135" s="80">
        <f ca="1">IFERROR(__xludf.DUMMYFUNCTION("""COMPUTED_VALUE"""),9)</f>
        <v>9</v>
      </c>
      <c r="J1135" s="81">
        <f ca="1">IFERROR(__xludf.DUMMYFUNCTION("""COMPUTED_VALUE"""),4)</f>
        <v>4</v>
      </c>
      <c r="K1135" s="81">
        <f ca="1">IFERROR(__xludf.DUMMYFUNCTION("""COMPUTED_VALUE"""),178.9)</f>
        <v>178.9</v>
      </c>
      <c r="L1135" s="81">
        <f ca="1">IFERROR(__xludf.DUMMYFUNCTION("""COMPUTED_VALUE"""),178.15)</f>
        <v>178.15</v>
      </c>
      <c r="M1135" s="81"/>
      <c r="N1135" s="81">
        <f ca="1">IFERROR(__xludf.DUMMYFUNCTION("""COMPUTED_VALUE"""),0)</f>
        <v>0</v>
      </c>
      <c r="O1135" s="81"/>
      <c r="P1135" s="81">
        <f ca="1">IFERROR(__xludf.DUMMYFUNCTION("""COMPUTED_VALUE"""),171.7)</f>
        <v>171.7</v>
      </c>
      <c r="Q1135" s="81"/>
      <c r="R1135" s="81">
        <f ca="1">IFERROR(__xludf.DUMMYFUNCTION("""COMPUTED_VALUE"""),178.9)</f>
        <v>178.9</v>
      </c>
      <c r="S1135" s="81"/>
      <c r="T1135" s="81"/>
      <c r="U1135" s="82"/>
      <c r="V1135" s="82"/>
      <c r="W1135" s="83"/>
      <c r="X1135" s="83"/>
      <c r="Y1135" s="83"/>
    </row>
    <row r="1136" spans="1:25" ht="13.8">
      <c r="A1136" s="78" t="str">
        <f ca="1">IFERROR(__xludf.DUMMYFUNCTION("""COMPUTED_VALUE"""),"LG")</f>
        <v>LG</v>
      </c>
      <c r="B1136" s="79" t="str">
        <f ca="1">IFERROR(__xludf.DUMMYFUNCTION("""COMPUTED_VALUE"""),"Flor Aldana")</f>
        <v>Flor Aldana</v>
      </c>
      <c r="C1136" s="78">
        <f ca="1">IFERROR(__xludf.DUMMYFUNCTION("""COMPUTED_VALUE"""),7)</f>
        <v>7</v>
      </c>
      <c r="D1136" s="78" t="str">
        <f ca="1">IFERROR(__xludf.DUMMYFUNCTION("""COMPUTED_VALUE"""),"G")</f>
        <v>G</v>
      </c>
      <c r="E1136" s="80" t="str">
        <f ca="1">IFERROR(__xludf.DUMMYFUNCTION("""COMPUTED_VALUE"""),"F")</f>
        <v>F</v>
      </c>
      <c r="F1136" s="80" t="str">
        <f ca="1">IFERROR(__xludf.DUMMYFUNCTION("""COMPUTED_VALUE"""),"J")</f>
        <v>J</v>
      </c>
      <c r="G1136" s="80">
        <f ca="1">IFERROR(__xludf.DUMMYFUNCTION("""COMPUTED_VALUE"""),3)</f>
        <v>3</v>
      </c>
      <c r="H1136" s="80" t="str">
        <f ca="1">IFERROR(__xludf.DUMMYFUNCTION("""COMPUTED_VALUE"""),"LG")</f>
        <v>LG</v>
      </c>
      <c r="I1136" s="80">
        <f ca="1">IFERROR(__xludf.DUMMYFUNCTION("""COMPUTED_VALUE"""),2)</f>
        <v>2</v>
      </c>
      <c r="J1136" s="81">
        <f ca="1">IFERROR(__xludf.DUMMYFUNCTION("""COMPUTED_VALUE"""),0)</f>
        <v>0</v>
      </c>
      <c r="K1136" s="81">
        <f ca="1">IFERROR(__xludf.DUMMYFUNCTION("""COMPUTED_VALUE"""),0)</f>
        <v>0</v>
      </c>
      <c r="L1136" s="81">
        <f ca="1">IFERROR(__xludf.DUMMYFUNCTION("""COMPUTED_VALUE"""),0)</f>
        <v>0</v>
      </c>
      <c r="M1136" s="81"/>
      <c r="N1136" s="81">
        <f ca="1">IFERROR(__xludf.DUMMYFUNCTION("""COMPUTED_VALUE"""),0)</f>
        <v>0</v>
      </c>
      <c r="O1136" s="81"/>
      <c r="P1136" s="81">
        <f ca="1">IFERROR(__xludf.DUMMYFUNCTION("""COMPUTED_VALUE"""),0)</f>
        <v>0</v>
      </c>
      <c r="Q1136" s="81"/>
      <c r="R1136" s="81">
        <f ca="1">IFERROR(__xludf.DUMMYFUNCTION("""COMPUTED_VALUE"""),0)</f>
        <v>0</v>
      </c>
      <c r="S1136" s="81"/>
      <c r="T1136" s="81"/>
      <c r="U1136" s="82"/>
      <c r="V1136" s="82"/>
      <c r="W1136" s="83"/>
      <c r="X1136" s="83"/>
      <c r="Y1136" s="83"/>
    </row>
    <row r="1137" spans="1:25" ht="13.8">
      <c r="A1137" s="78" t="str">
        <f ca="1">IFERROR(__xludf.DUMMYFUNCTION("""COMPUTED_VALUE"""),"LG")</f>
        <v>LG</v>
      </c>
      <c r="B1137" s="79" t="str">
        <f ca="1">IFERROR(__xludf.DUMMYFUNCTION("""COMPUTED_VALUE"""),"Arden Allard")</f>
        <v>Arden Allard</v>
      </c>
      <c r="C1137" s="78">
        <f ca="1">IFERROR(__xludf.DUMMYFUNCTION("""COMPUTED_VALUE"""),5)</f>
        <v>5</v>
      </c>
      <c r="D1137" s="78" t="str">
        <f ca="1">IFERROR(__xludf.DUMMYFUNCTION("""COMPUTED_VALUE"""),"G")</f>
        <v>G</v>
      </c>
      <c r="E1137" s="80" t="str">
        <f ca="1">IFERROR(__xludf.DUMMYFUNCTION("""COMPUTED_VALUE"""),"F")</f>
        <v>F</v>
      </c>
      <c r="F1137" s="80" t="str">
        <f ca="1">IFERROR(__xludf.DUMMYFUNCTION("""COMPUTED_VALUE"""),"J")</f>
        <v>J</v>
      </c>
      <c r="G1137" s="80">
        <f ca="1">IFERROR(__xludf.DUMMYFUNCTION("""COMPUTED_VALUE"""),3)</f>
        <v>3</v>
      </c>
      <c r="H1137" s="80" t="str">
        <f ca="1">IFERROR(__xludf.DUMMYFUNCTION("""COMPUTED_VALUE"""),"LG")</f>
        <v>LG</v>
      </c>
      <c r="I1137" s="80">
        <f ca="1">IFERROR(__xludf.DUMMYFUNCTION("""COMPUTED_VALUE"""),2)</f>
        <v>2</v>
      </c>
      <c r="J1137" s="81">
        <f ca="1">IFERROR(__xludf.DUMMYFUNCTION("""COMPUTED_VALUE"""),0)</f>
        <v>0</v>
      </c>
      <c r="K1137" s="81">
        <f ca="1">IFERROR(__xludf.DUMMYFUNCTION("""COMPUTED_VALUE"""),0)</f>
        <v>0</v>
      </c>
      <c r="L1137" s="81">
        <f ca="1">IFERROR(__xludf.DUMMYFUNCTION("""COMPUTED_VALUE"""),0)</f>
        <v>0</v>
      </c>
      <c r="M1137" s="81"/>
      <c r="N1137" s="81">
        <f ca="1">IFERROR(__xludf.DUMMYFUNCTION("""COMPUTED_VALUE"""),0)</f>
        <v>0</v>
      </c>
      <c r="O1137" s="81"/>
      <c r="P1137" s="81">
        <f ca="1">IFERROR(__xludf.DUMMYFUNCTION("""COMPUTED_VALUE"""),0)</f>
        <v>0</v>
      </c>
      <c r="Q1137" s="81"/>
      <c r="R1137" s="81">
        <f ca="1">IFERROR(__xludf.DUMMYFUNCTION("""COMPUTED_VALUE"""),0)</f>
        <v>0</v>
      </c>
      <c r="S1137" s="81"/>
      <c r="T1137" s="81"/>
      <c r="U1137" s="82"/>
      <c r="V1137" s="82"/>
      <c r="W1137" s="83"/>
      <c r="X1137" s="83"/>
      <c r="Y1137" s="83"/>
    </row>
    <row r="1138" spans="1:25" ht="13.8">
      <c r="A1138" s="78" t="str">
        <f ca="1">IFERROR(__xludf.DUMMYFUNCTION("""COMPUTED_VALUE"""),"LG")</f>
        <v>LG</v>
      </c>
      <c r="B1138" s="79" t="str">
        <f ca="1">IFERROR(__xludf.DUMMYFUNCTION("""COMPUTED_VALUE"""),"Evelyn Banko")</f>
        <v>Evelyn Banko</v>
      </c>
      <c r="C1138" s="78">
        <f ca="1">IFERROR(__xludf.DUMMYFUNCTION("""COMPUTED_VALUE"""),8)</f>
        <v>8</v>
      </c>
      <c r="D1138" s="78" t="str">
        <f ca="1">IFERROR(__xludf.DUMMYFUNCTION("""COMPUTED_VALUE"""),"G")</f>
        <v>G</v>
      </c>
      <c r="E1138" s="80" t="str">
        <f ca="1">IFERROR(__xludf.DUMMYFUNCTION("""COMPUTED_VALUE"""),"F")</f>
        <v>F</v>
      </c>
      <c r="F1138" s="80" t="str">
        <f ca="1">IFERROR(__xludf.DUMMYFUNCTION("""COMPUTED_VALUE"""),"J")</f>
        <v>J</v>
      </c>
      <c r="G1138" s="80">
        <f ca="1">IFERROR(__xludf.DUMMYFUNCTION("""COMPUTED_VALUE"""),3)</f>
        <v>3</v>
      </c>
      <c r="H1138" s="80" t="str">
        <f ca="1">IFERROR(__xludf.DUMMYFUNCTION("""COMPUTED_VALUE"""),"LG")</f>
        <v>LG</v>
      </c>
      <c r="I1138" s="80">
        <f ca="1">IFERROR(__xludf.DUMMYFUNCTION("""COMPUTED_VALUE"""),2)</f>
        <v>2</v>
      </c>
      <c r="J1138" s="81">
        <f ca="1">IFERROR(__xludf.DUMMYFUNCTION("""COMPUTED_VALUE"""),0)</f>
        <v>0</v>
      </c>
      <c r="K1138" s="81">
        <f ca="1">IFERROR(__xludf.DUMMYFUNCTION("""COMPUTED_VALUE"""),0)</f>
        <v>0</v>
      </c>
      <c r="L1138" s="81">
        <f ca="1">IFERROR(__xludf.DUMMYFUNCTION("""COMPUTED_VALUE"""),0)</f>
        <v>0</v>
      </c>
      <c r="M1138" s="81"/>
      <c r="N1138" s="81">
        <f ca="1">IFERROR(__xludf.DUMMYFUNCTION("""COMPUTED_VALUE"""),0)</f>
        <v>0</v>
      </c>
      <c r="O1138" s="81"/>
      <c r="P1138" s="81">
        <f ca="1">IFERROR(__xludf.DUMMYFUNCTION("""COMPUTED_VALUE"""),0)</f>
        <v>0</v>
      </c>
      <c r="Q1138" s="81"/>
      <c r="R1138" s="81">
        <f ca="1">IFERROR(__xludf.DUMMYFUNCTION("""COMPUTED_VALUE"""),0)</f>
        <v>0</v>
      </c>
      <c r="S1138" s="81"/>
      <c r="T1138" s="81"/>
      <c r="U1138" s="82"/>
      <c r="V1138" s="82"/>
      <c r="W1138" s="83"/>
      <c r="X1138" s="83"/>
      <c r="Y1138" s="83"/>
    </row>
    <row r="1139" spans="1:25" ht="13.8">
      <c r="A1139" s="78" t="str">
        <f ca="1">IFERROR(__xludf.DUMMYFUNCTION("""COMPUTED_VALUE"""),"LG")</f>
        <v>LG</v>
      </c>
      <c r="B1139" s="79" t="str">
        <f ca="1">IFERROR(__xludf.DUMMYFUNCTION("""COMPUTED_VALUE"""),"Sarah Banko")</f>
        <v>Sarah Banko</v>
      </c>
      <c r="C1139" s="78">
        <f ca="1">IFERROR(__xludf.DUMMYFUNCTION("""COMPUTED_VALUE"""),10)</f>
        <v>10</v>
      </c>
      <c r="D1139" s="78" t="str">
        <f ca="1">IFERROR(__xludf.DUMMYFUNCTION("""COMPUTED_VALUE"""),"G")</f>
        <v>G</v>
      </c>
      <c r="E1139" s="80" t="str">
        <f ca="1">IFERROR(__xludf.DUMMYFUNCTION("""COMPUTED_VALUE"""),"F")</f>
        <v>F</v>
      </c>
      <c r="F1139" s="80" t="str">
        <f ca="1">IFERROR(__xludf.DUMMYFUNCTION("""COMPUTED_VALUE"""),"J")</f>
        <v>J</v>
      </c>
      <c r="G1139" s="80">
        <f ca="1">IFERROR(__xludf.DUMMYFUNCTION("""COMPUTED_VALUE"""),3)</f>
        <v>3</v>
      </c>
      <c r="H1139" s="80" t="str">
        <f ca="1">IFERROR(__xludf.DUMMYFUNCTION("""COMPUTED_VALUE"""),"LG")</f>
        <v>LG</v>
      </c>
      <c r="I1139" s="80">
        <f ca="1">IFERROR(__xludf.DUMMYFUNCTION("""COMPUTED_VALUE"""),2)</f>
        <v>2</v>
      </c>
      <c r="J1139" s="81">
        <f ca="1">IFERROR(__xludf.DUMMYFUNCTION("""COMPUTED_VALUE"""),3)</f>
        <v>3</v>
      </c>
      <c r="K1139" s="81">
        <f ca="1">IFERROR(__xludf.DUMMYFUNCTION("""COMPUTED_VALUE"""),37.1)</f>
        <v>37.1</v>
      </c>
      <c r="L1139" s="81">
        <f ca="1">IFERROR(__xludf.DUMMYFUNCTION("""COMPUTED_VALUE"""),0)</f>
        <v>0</v>
      </c>
      <c r="M1139" s="81"/>
      <c r="N1139" s="81">
        <f ca="1">IFERROR(__xludf.DUMMYFUNCTION("""COMPUTED_VALUE"""),0)</f>
        <v>0</v>
      </c>
      <c r="O1139" s="81"/>
      <c r="P1139" s="81">
        <f ca="1">IFERROR(__xludf.DUMMYFUNCTION("""COMPUTED_VALUE"""),37.1)</f>
        <v>37.1</v>
      </c>
      <c r="Q1139" s="81"/>
      <c r="R1139" s="81">
        <f ca="1">IFERROR(__xludf.DUMMYFUNCTION("""COMPUTED_VALUE"""),32.8)</f>
        <v>32.799999999999997</v>
      </c>
      <c r="S1139" s="81"/>
      <c r="T1139" s="81"/>
      <c r="U1139" s="82"/>
      <c r="V1139" s="82"/>
      <c r="W1139" s="83"/>
      <c r="X1139" s="83"/>
      <c r="Y1139" s="83"/>
    </row>
    <row r="1140" spans="1:25" ht="13.8">
      <c r="A1140" s="78" t="str">
        <f ca="1">IFERROR(__xludf.DUMMYFUNCTION("""COMPUTED_VALUE"""),"LG")</f>
        <v>LG</v>
      </c>
      <c r="B1140" s="79" t="str">
        <f ca="1">IFERROR(__xludf.DUMMYFUNCTION("""COMPUTED_VALUE"""),"Cora Brock")</f>
        <v>Cora Brock</v>
      </c>
      <c r="C1140" s="78">
        <f ca="1">IFERROR(__xludf.DUMMYFUNCTION("""COMPUTED_VALUE"""),10)</f>
        <v>10</v>
      </c>
      <c r="D1140" s="78" t="str">
        <f ca="1">IFERROR(__xludf.DUMMYFUNCTION("""COMPUTED_VALUE"""),"G")</f>
        <v>G</v>
      </c>
      <c r="E1140" s="80" t="str">
        <f ca="1">IFERROR(__xludf.DUMMYFUNCTION("""COMPUTED_VALUE"""),"F")</f>
        <v>F</v>
      </c>
      <c r="F1140" s="80" t="str">
        <f ca="1">IFERROR(__xludf.DUMMYFUNCTION("""COMPUTED_VALUE"""),"J")</f>
        <v>J</v>
      </c>
      <c r="G1140" s="80">
        <f ca="1">IFERROR(__xludf.DUMMYFUNCTION("""COMPUTED_VALUE"""),3)</f>
        <v>3</v>
      </c>
      <c r="H1140" s="80" t="str">
        <f ca="1">IFERROR(__xludf.DUMMYFUNCTION("""COMPUTED_VALUE"""),"LG")</f>
        <v>LG</v>
      </c>
      <c r="I1140" s="80">
        <f ca="1">IFERROR(__xludf.DUMMYFUNCTION("""COMPUTED_VALUE"""),2)</f>
        <v>2</v>
      </c>
      <c r="J1140" s="81">
        <f ca="1">IFERROR(__xludf.DUMMYFUNCTION("""COMPUTED_VALUE"""),5)</f>
        <v>5</v>
      </c>
      <c r="K1140" s="81">
        <f ca="1">IFERROR(__xludf.DUMMYFUNCTION("""COMPUTED_VALUE"""),51.7)</f>
        <v>51.7</v>
      </c>
      <c r="L1140" s="81">
        <f ca="1">IFERROR(__xludf.DUMMYFUNCTION("""COMPUTED_VALUE"""),45)</f>
        <v>45</v>
      </c>
      <c r="M1140" s="81"/>
      <c r="N1140" s="81">
        <f ca="1">IFERROR(__xludf.DUMMYFUNCTION("""COMPUTED_VALUE"""),44.6)</f>
        <v>44.6</v>
      </c>
      <c r="O1140" s="81"/>
      <c r="P1140" s="81">
        <f ca="1">IFERROR(__xludf.DUMMYFUNCTION("""COMPUTED_VALUE"""),51.7)</f>
        <v>51.7</v>
      </c>
      <c r="Q1140" s="81"/>
      <c r="R1140" s="81">
        <f ca="1">IFERROR(__xludf.DUMMYFUNCTION("""COMPUTED_VALUE"""),49.4)</f>
        <v>49.4</v>
      </c>
      <c r="S1140" s="81"/>
      <c r="T1140" s="81"/>
      <c r="U1140" s="82"/>
      <c r="V1140" s="82"/>
      <c r="W1140" s="83"/>
      <c r="X1140" s="83"/>
      <c r="Y1140" s="83"/>
    </row>
    <row r="1141" spans="1:25" ht="13.8">
      <c r="A1141" s="78" t="str">
        <f ca="1">IFERROR(__xludf.DUMMYFUNCTION("""COMPUTED_VALUE"""),"LG")</f>
        <v>LG</v>
      </c>
      <c r="B1141" s="79" t="str">
        <f ca="1">IFERROR(__xludf.DUMMYFUNCTION("""COMPUTED_VALUE"""),"McKinley Cervenak")</f>
        <v>McKinley Cervenak</v>
      </c>
      <c r="C1141" s="78">
        <f ca="1">IFERROR(__xludf.DUMMYFUNCTION("""COMPUTED_VALUE"""),6)</f>
        <v>6</v>
      </c>
      <c r="D1141" s="78" t="str">
        <f ca="1">IFERROR(__xludf.DUMMYFUNCTION("""COMPUTED_VALUE"""),"G")</f>
        <v>G</v>
      </c>
      <c r="E1141" s="80" t="str">
        <f ca="1">IFERROR(__xludf.DUMMYFUNCTION("""COMPUTED_VALUE"""),"F")</f>
        <v>F</v>
      </c>
      <c r="F1141" s="80" t="str">
        <f ca="1">IFERROR(__xludf.DUMMYFUNCTION("""COMPUTED_VALUE"""),"J")</f>
        <v>J</v>
      </c>
      <c r="G1141" s="80">
        <f ca="1">IFERROR(__xludf.DUMMYFUNCTION("""COMPUTED_VALUE"""),3)</f>
        <v>3</v>
      </c>
      <c r="H1141" s="80" t="str">
        <f ca="1">IFERROR(__xludf.DUMMYFUNCTION("""COMPUTED_VALUE"""),"LG")</f>
        <v>LG</v>
      </c>
      <c r="I1141" s="80">
        <f ca="1">IFERROR(__xludf.DUMMYFUNCTION("""COMPUTED_VALUE"""),2)</f>
        <v>2</v>
      </c>
      <c r="J1141" s="81">
        <f ca="1">IFERROR(__xludf.DUMMYFUNCTION("""COMPUTED_VALUE"""),0)</f>
        <v>0</v>
      </c>
      <c r="K1141" s="81">
        <f ca="1">IFERROR(__xludf.DUMMYFUNCTION("""COMPUTED_VALUE"""),0)</f>
        <v>0</v>
      </c>
      <c r="L1141" s="81">
        <f ca="1">IFERROR(__xludf.DUMMYFUNCTION("""COMPUTED_VALUE"""),0)</f>
        <v>0</v>
      </c>
      <c r="M1141" s="81"/>
      <c r="N1141" s="81">
        <f ca="1">IFERROR(__xludf.DUMMYFUNCTION("""COMPUTED_VALUE"""),0)</f>
        <v>0</v>
      </c>
      <c r="O1141" s="81"/>
      <c r="P1141" s="81">
        <f ca="1">IFERROR(__xludf.DUMMYFUNCTION("""COMPUTED_VALUE"""),0)</f>
        <v>0</v>
      </c>
      <c r="Q1141" s="81"/>
      <c r="R1141" s="81">
        <f ca="1">IFERROR(__xludf.DUMMYFUNCTION("""COMPUTED_VALUE"""),0)</f>
        <v>0</v>
      </c>
      <c r="S1141" s="81"/>
      <c r="T1141" s="81"/>
      <c r="U1141" s="82"/>
      <c r="V1141" s="82"/>
      <c r="W1141" s="83"/>
      <c r="X1141" s="83"/>
      <c r="Y1141" s="83"/>
    </row>
    <row r="1142" spans="1:25" ht="13.8">
      <c r="A1142" s="78" t="str">
        <f ca="1">IFERROR(__xludf.DUMMYFUNCTION("""COMPUTED_VALUE"""),"LG")</f>
        <v>LG</v>
      </c>
      <c r="B1142" s="79" t="str">
        <f ca="1">IFERROR(__xludf.DUMMYFUNCTION("""COMPUTED_VALUE"""),"Ruby Conole")</f>
        <v>Ruby Conole</v>
      </c>
      <c r="C1142" s="78">
        <f ca="1">IFERROR(__xludf.DUMMYFUNCTION("""COMPUTED_VALUE"""),4)</f>
        <v>4</v>
      </c>
      <c r="D1142" s="78" t="str">
        <f ca="1">IFERROR(__xludf.DUMMYFUNCTION("""COMPUTED_VALUE"""),"G")</f>
        <v>G</v>
      </c>
      <c r="E1142" s="80" t="str">
        <f ca="1">IFERROR(__xludf.DUMMYFUNCTION("""COMPUTED_VALUE"""),"F")</f>
        <v>F</v>
      </c>
      <c r="F1142" s="80" t="str">
        <f ca="1">IFERROR(__xludf.DUMMYFUNCTION("""COMPUTED_VALUE"""),"J")</f>
        <v>J</v>
      </c>
      <c r="G1142" s="80">
        <f ca="1">IFERROR(__xludf.DUMMYFUNCTION("""COMPUTED_VALUE"""),3)</f>
        <v>3</v>
      </c>
      <c r="H1142" s="80" t="str">
        <f ca="1">IFERROR(__xludf.DUMMYFUNCTION("""COMPUTED_VALUE"""),"LG")</f>
        <v>LG</v>
      </c>
      <c r="I1142" s="80">
        <f ca="1">IFERROR(__xludf.DUMMYFUNCTION("""COMPUTED_VALUE"""),2)</f>
        <v>2</v>
      </c>
      <c r="J1142" s="81">
        <f ca="1">IFERROR(__xludf.DUMMYFUNCTION("""COMPUTED_VALUE"""),0)</f>
        <v>0</v>
      </c>
      <c r="K1142" s="81">
        <f ca="1">IFERROR(__xludf.DUMMYFUNCTION("""COMPUTED_VALUE"""),0)</f>
        <v>0</v>
      </c>
      <c r="L1142" s="81">
        <f ca="1">IFERROR(__xludf.DUMMYFUNCTION("""COMPUTED_VALUE"""),0)</f>
        <v>0</v>
      </c>
      <c r="M1142" s="81"/>
      <c r="N1142" s="81">
        <f ca="1">IFERROR(__xludf.DUMMYFUNCTION("""COMPUTED_VALUE"""),0)</f>
        <v>0</v>
      </c>
      <c r="O1142" s="81"/>
      <c r="P1142" s="81">
        <f ca="1">IFERROR(__xludf.DUMMYFUNCTION("""COMPUTED_VALUE"""),0)</f>
        <v>0</v>
      </c>
      <c r="Q1142" s="81"/>
      <c r="R1142" s="81">
        <f ca="1">IFERROR(__xludf.DUMMYFUNCTION("""COMPUTED_VALUE"""),0)</f>
        <v>0</v>
      </c>
      <c r="S1142" s="81"/>
      <c r="T1142" s="81"/>
      <c r="U1142" s="82"/>
      <c r="V1142" s="82"/>
      <c r="W1142" s="83"/>
      <c r="X1142" s="83"/>
      <c r="Y1142" s="83"/>
    </row>
    <row r="1143" spans="1:25" ht="13.8">
      <c r="A1143" s="78" t="str">
        <f ca="1">IFERROR(__xludf.DUMMYFUNCTION("""COMPUTED_VALUE"""),"LG")</f>
        <v>LG</v>
      </c>
      <c r="B1143" s="79" t="str">
        <f ca="1">IFERROR(__xludf.DUMMYFUNCTION("""COMPUTED_VALUE"""),"Thea Conole")</f>
        <v>Thea Conole</v>
      </c>
      <c r="C1143" s="78">
        <f ca="1">IFERROR(__xludf.DUMMYFUNCTION("""COMPUTED_VALUE"""),9)</f>
        <v>9</v>
      </c>
      <c r="D1143" s="78" t="str">
        <f ca="1">IFERROR(__xludf.DUMMYFUNCTION("""COMPUTED_VALUE"""),"G")</f>
        <v>G</v>
      </c>
      <c r="E1143" s="80" t="str">
        <f ca="1">IFERROR(__xludf.DUMMYFUNCTION("""COMPUTED_VALUE"""),"F")</f>
        <v>F</v>
      </c>
      <c r="F1143" s="80" t="str">
        <f ca="1">IFERROR(__xludf.DUMMYFUNCTION("""COMPUTED_VALUE"""),"J")</f>
        <v>J</v>
      </c>
      <c r="G1143" s="80">
        <f ca="1">IFERROR(__xludf.DUMMYFUNCTION("""COMPUTED_VALUE"""),3)</f>
        <v>3</v>
      </c>
      <c r="H1143" s="80" t="str">
        <f ca="1">IFERROR(__xludf.DUMMYFUNCTION("""COMPUTED_VALUE"""),"LG")</f>
        <v>LG</v>
      </c>
      <c r="I1143" s="80">
        <f ca="1">IFERROR(__xludf.DUMMYFUNCTION("""COMPUTED_VALUE"""),2)</f>
        <v>2</v>
      </c>
      <c r="J1143" s="81">
        <f ca="1">IFERROR(__xludf.DUMMYFUNCTION("""COMPUTED_VALUE"""),4)</f>
        <v>4</v>
      </c>
      <c r="K1143" s="81">
        <f ca="1">IFERROR(__xludf.DUMMYFUNCTION("""COMPUTED_VALUE"""),49.1)</f>
        <v>49.1</v>
      </c>
      <c r="L1143" s="81">
        <f ca="1">IFERROR(__xludf.DUMMYFUNCTION("""COMPUTED_VALUE"""),45.35)</f>
        <v>45.35</v>
      </c>
      <c r="M1143" s="81"/>
      <c r="N1143" s="81">
        <f ca="1">IFERROR(__xludf.DUMMYFUNCTION("""COMPUTED_VALUE"""),39.2)</f>
        <v>39.200000000000003</v>
      </c>
      <c r="O1143" s="81"/>
      <c r="P1143" s="81">
        <f ca="1">IFERROR(__xludf.DUMMYFUNCTION("""COMPUTED_VALUE"""),0)</f>
        <v>0</v>
      </c>
      <c r="Q1143" s="81"/>
      <c r="R1143" s="81">
        <f ca="1">IFERROR(__xludf.DUMMYFUNCTION("""COMPUTED_VALUE"""),49.1)</f>
        <v>49.1</v>
      </c>
      <c r="S1143" s="81"/>
      <c r="T1143" s="81"/>
      <c r="U1143" s="82"/>
      <c r="V1143" s="82"/>
      <c r="W1143" s="83"/>
      <c r="X1143" s="83"/>
      <c r="Y1143" s="83"/>
    </row>
    <row r="1144" spans="1:25" ht="13.8">
      <c r="A1144" s="78" t="str">
        <f ca="1">IFERROR(__xludf.DUMMYFUNCTION("""COMPUTED_VALUE"""),"LG")</f>
        <v>LG</v>
      </c>
      <c r="B1144" s="79" t="str">
        <f ca="1">IFERROR(__xludf.DUMMYFUNCTION("""COMPUTED_VALUE"""),"Mckayla Danner")</f>
        <v>Mckayla Danner</v>
      </c>
      <c r="C1144" s="78">
        <f ca="1">IFERROR(__xludf.DUMMYFUNCTION("""COMPUTED_VALUE"""),8)</f>
        <v>8</v>
      </c>
      <c r="D1144" s="78" t="str">
        <f ca="1">IFERROR(__xludf.DUMMYFUNCTION("""COMPUTED_VALUE"""),"G")</f>
        <v>G</v>
      </c>
      <c r="E1144" s="80" t="str">
        <f ca="1">IFERROR(__xludf.DUMMYFUNCTION("""COMPUTED_VALUE"""),"F")</f>
        <v>F</v>
      </c>
      <c r="F1144" s="80" t="str">
        <f ca="1">IFERROR(__xludf.DUMMYFUNCTION("""COMPUTED_VALUE"""),"J")</f>
        <v>J</v>
      </c>
      <c r="G1144" s="80">
        <f ca="1">IFERROR(__xludf.DUMMYFUNCTION("""COMPUTED_VALUE"""),3)</f>
        <v>3</v>
      </c>
      <c r="H1144" s="80" t="str">
        <f ca="1">IFERROR(__xludf.DUMMYFUNCTION("""COMPUTED_VALUE"""),"LG")</f>
        <v>LG</v>
      </c>
      <c r="I1144" s="80">
        <f ca="1">IFERROR(__xludf.DUMMYFUNCTION("""COMPUTED_VALUE"""),2)</f>
        <v>2</v>
      </c>
      <c r="J1144" s="81">
        <f ca="1">IFERROR(__xludf.DUMMYFUNCTION("""COMPUTED_VALUE"""),0)</f>
        <v>0</v>
      </c>
      <c r="K1144" s="81">
        <f ca="1">IFERROR(__xludf.DUMMYFUNCTION("""COMPUTED_VALUE"""),0)</f>
        <v>0</v>
      </c>
      <c r="L1144" s="81">
        <f ca="1">IFERROR(__xludf.DUMMYFUNCTION("""COMPUTED_VALUE"""),0)</f>
        <v>0</v>
      </c>
      <c r="M1144" s="81"/>
      <c r="N1144" s="81">
        <f ca="1">IFERROR(__xludf.DUMMYFUNCTION("""COMPUTED_VALUE"""),0)</f>
        <v>0</v>
      </c>
      <c r="O1144" s="81"/>
      <c r="P1144" s="81">
        <f ca="1">IFERROR(__xludf.DUMMYFUNCTION("""COMPUTED_VALUE"""),0)</f>
        <v>0</v>
      </c>
      <c r="Q1144" s="81"/>
      <c r="R1144" s="81">
        <f ca="1">IFERROR(__xludf.DUMMYFUNCTION("""COMPUTED_VALUE"""),0)</f>
        <v>0</v>
      </c>
      <c r="S1144" s="81"/>
      <c r="T1144" s="81"/>
      <c r="U1144" s="82"/>
      <c r="V1144" s="82"/>
      <c r="W1144" s="83"/>
      <c r="X1144" s="83"/>
      <c r="Y1144" s="83"/>
    </row>
    <row r="1145" spans="1:25" ht="13.8">
      <c r="A1145" s="78" t="str">
        <f ca="1">IFERROR(__xludf.DUMMYFUNCTION("""COMPUTED_VALUE"""),"LG")</f>
        <v>LG</v>
      </c>
      <c r="B1145" s="79" t="str">
        <f ca="1">IFERROR(__xludf.DUMMYFUNCTION("""COMPUTED_VALUE"""),"Reese Fisher")</f>
        <v>Reese Fisher</v>
      </c>
      <c r="C1145" s="78">
        <f ca="1">IFERROR(__xludf.DUMMYFUNCTION("""COMPUTED_VALUE"""),7)</f>
        <v>7</v>
      </c>
      <c r="D1145" s="78" t="str">
        <f ca="1">IFERROR(__xludf.DUMMYFUNCTION("""COMPUTED_VALUE"""),"G")</f>
        <v>G</v>
      </c>
      <c r="E1145" s="80" t="str">
        <f ca="1">IFERROR(__xludf.DUMMYFUNCTION("""COMPUTED_VALUE"""),"F")</f>
        <v>F</v>
      </c>
      <c r="F1145" s="80" t="str">
        <f ca="1">IFERROR(__xludf.DUMMYFUNCTION("""COMPUTED_VALUE"""),"J")</f>
        <v>J</v>
      </c>
      <c r="G1145" s="80">
        <f ca="1">IFERROR(__xludf.DUMMYFUNCTION("""COMPUTED_VALUE"""),3)</f>
        <v>3</v>
      </c>
      <c r="H1145" s="80" t="str">
        <f ca="1">IFERROR(__xludf.DUMMYFUNCTION("""COMPUTED_VALUE"""),"LG")</f>
        <v>LG</v>
      </c>
      <c r="I1145" s="80">
        <f ca="1">IFERROR(__xludf.DUMMYFUNCTION("""COMPUTED_VALUE"""),2)</f>
        <v>2</v>
      </c>
      <c r="J1145" s="81">
        <f ca="1">IFERROR(__xludf.DUMMYFUNCTION("""COMPUTED_VALUE"""),1)</f>
        <v>1</v>
      </c>
      <c r="K1145" s="81">
        <f ca="1">IFERROR(__xludf.DUMMYFUNCTION("""COMPUTED_VALUE"""),0)</f>
        <v>0</v>
      </c>
      <c r="L1145" s="81">
        <f ca="1">IFERROR(__xludf.DUMMYFUNCTION("""COMPUTED_VALUE"""),0)</f>
        <v>0</v>
      </c>
      <c r="M1145" s="81"/>
      <c r="N1145" s="81">
        <f ca="1">IFERROR(__xludf.DUMMYFUNCTION("""COMPUTED_VALUE"""),0)</f>
        <v>0</v>
      </c>
      <c r="O1145" s="81"/>
      <c r="P1145" s="81">
        <f ca="1">IFERROR(__xludf.DUMMYFUNCTION("""COMPUTED_VALUE"""),0)</f>
        <v>0</v>
      </c>
      <c r="Q1145" s="81"/>
      <c r="R1145" s="81">
        <f ca="1">IFERROR(__xludf.DUMMYFUNCTION("""COMPUTED_VALUE"""),0)</f>
        <v>0</v>
      </c>
      <c r="S1145" s="81"/>
      <c r="T1145" s="81"/>
      <c r="U1145" s="82"/>
      <c r="V1145" s="82"/>
      <c r="W1145" s="83"/>
      <c r="X1145" s="83"/>
      <c r="Y1145" s="83"/>
    </row>
    <row r="1146" spans="1:25" ht="13.8">
      <c r="A1146" s="78" t="str">
        <f ca="1">IFERROR(__xludf.DUMMYFUNCTION("""COMPUTED_VALUE"""),"LG")</f>
        <v>LG</v>
      </c>
      <c r="B1146" s="79" t="str">
        <f ca="1">IFERROR(__xludf.DUMMYFUNCTION("""COMPUTED_VALUE"""),"Caroline French")</f>
        <v>Caroline French</v>
      </c>
      <c r="C1146" s="78">
        <f ca="1">IFERROR(__xludf.DUMMYFUNCTION("""COMPUTED_VALUE"""),9)</f>
        <v>9</v>
      </c>
      <c r="D1146" s="78" t="str">
        <f ca="1">IFERROR(__xludf.DUMMYFUNCTION("""COMPUTED_VALUE"""),"G")</f>
        <v>G</v>
      </c>
      <c r="E1146" s="80" t="str">
        <f ca="1">IFERROR(__xludf.DUMMYFUNCTION("""COMPUTED_VALUE"""),"F")</f>
        <v>F</v>
      </c>
      <c r="F1146" s="80" t="str">
        <f ca="1">IFERROR(__xludf.DUMMYFUNCTION("""COMPUTED_VALUE"""),"J")</f>
        <v>J</v>
      </c>
      <c r="G1146" s="80">
        <f ca="1">IFERROR(__xludf.DUMMYFUNCTION("""COMPUTED_VALUE"""),3)</f>
        <v>3</v>
      </c>
      <c r="H1146" s="80" t="str">
        <f ca="1">IFERROR(__xludf.DUMMYFUNCTION("""COMPUTED_VALUE"""),"LG")</f>
        <v>LG</v>
      </c>
      <c r="I1146" s="80">
        <f ca="1">IFERROR(__xludf.DUMMYFUNCTION("""COMPUTED_VALUE"""),2)</f>
        <v>2</v>
      </c>
      <c r="J1146" s="81">
        <f ca="1">IFERROR(__xludf.DUMMYFUNCTION("""COMPUTED_VALUE"""),0)</f>
        <v>0</v>
      </c>
      <c r="K1146" s="81">
        <f ca="1">IFERROR(__xludf.DUMMYFUNCTION("""COMPUTED_VALUE"""),0)</f>
        <v>0</v>
      </c>
      <c r="L1146" s="81">
        <f ca="1">IFERROR(__xludf.DUMMYFUNCTION("""COMPUTED_VALUE"""),0)</f>
        <v>0</v>
      </c>
      <c r="M1146" s="81"/>
      <c r="N1146" s="81">
        <f ca="1">IFERROR(__xludf.DUMMYFUNCTION("""COMPUTED_VALUE"""),0)</f>
        <v>0</v>
      </c>
      <c r="O1146" s="81"/>
      <c r="P1146" s="81">
        <f ca="1">IFERROR(__xludf.DUMMYFUNCTION("""COMPUTED_VALUE"""),0)</f>
        <v>0</v>
      </c>
      <c r="Q1146" s="81"/>
      <c r="R1146" s="81">
        <f ca="1">IFERROR(__xludf.DUMMYFUNCTION("""COMPUTED_VALUE"""),0)</f>
        <v>0</v>
      </c>
      <c r="S1146" s="81"/>
      <c r="T1146" s="81"/>
      <c r="U1146" s="82"/>
      <c r="V1146" s="82"/>
      <c r="W1146" s="83"/>
      <c r="X1146" s="83"/>
      <c r="Y1146" s="83"/>
    </row>
    <row r="1147" spans="1:25" ht="13.8">
      <c r="A1147" s="78" t="str">
        <f ca="1">IFERROR(__xludf.DUMMYFUNCTION("""COMPUTED_VALUE"""),"LG")</f>
        <v>LG</v>
      </c>
      <c r="B1147" s="79" t="str">
        <f ca="1">IFERROR(__xludf.DUMMYFUNCTION("""COMPUTED_VALUE"""),"Claire Gallagher")</f>
        <v>Claire Gallagher</v>
      </c>
      <c r="C1147" s="78">
        <f ca="1">IFERROR(__xludf.DUMMYFUNCTION("""COMPUTED_VALUE"""),8)</f>
        <v>8</v>
      </c>
      <c r="D1147" s="78" t="str">
        <f ca="1">IFERROR(__xludf.DUMMYFUNCTION("""COMPUTED_VALUE"""),"G")</f>
        <v>G</v>
      </c>
      <c r="E1147" s="80" t="str">
        <f ca="1">IFERROR(__xludf.DUMMYFUNCTION("""COMPUTED_VALUE"""),"F")</f>
        <v>F</v>
      </c>
      <c r="F1147" s="80" t="str">
        <f ca="1">IFERROR(__xludf.DUMMYFUNCTION("""COMPUTED_VALUE"""),"J")</f>
        <v>J</v>
      </c>
      <c r="G1147" s="80">
        <f ca="1">IFERROR(__xludf.DUMMYFUNCTION("""COMPUTED_VALUE"""),3)</f>
        <v>3</v>
      </c>
      <c r="H1147" s="80" t="str">
        <f ca="1">IFERROR(__xludf.DUMMYFUNCTION("""COMPUTED_VALUE"""),"LG")</f>
        <v>LG</v>
      </c>
      <c r="I1147" s="80">
        <f ca="1">IFERROR(__xludf.DUMMYFUNCTION("""COMPUTED_VALUE"""),2)</f>
        <v>2</v>
      </c>
      <c r="J1147" s="81">
        <f ca="1">IFERROR(__xludf.DUMMYFUNCTION("""COMPUTED_VALUE"""),0)</f>
        <v>0</v>
      </c>
      <c r="K1147" s="81">
        <f ca="1">IFERROR(__xludf.DUMMYFUNCTION("""COMPUTED_VALUE"""),0)</f>
        <v>0</v>
      </c>
      <c r="L1147" s="81">
        <f ca="1">IFERROR(__xludf.DUMMYFUNCTION("""COMPUTED_VALUE"""),0)</f>
        <v>0</v>
      </c>
      <c r="M1147" s="81"/>
      <c r="N1147" s="81">
        <f ca="1">IFERROR(__xludf.DUMMYFUNCTION("""COMPUTED_VALUE"""),0)</f>
        <v>0</v>
      </c>
      <c r="O1147" s="81"/>
      <c r="P1147" s="81">
        <f ca="1">IFERROR(__xludf.DUMMYFUNCTION("""COMPUTED_VALUE"""),0)</f>
        <v>0</v>
      </c>
      <c r="Q1147" s="81"/>
      <c r="R1147" s="81">
        <f ca="1">IFERROR(__xludf.DUMMYFUNCTION("""COMPUTED_VALUE"""),0)</f>
        <v>0</v>
      </c>
      <c r="S1147" s="81"/>
      <c r="T1147" s="81"/>
      <c r="U1147" s="82"/>
      <c r="V1147" s="82"/>
      <c r="W1147" s="83"/>
      <c r="X1147" s="83"/>
      <c r="Y1147" s="83"/>
    </row>
    <row r="1148" spans="1:25" ht="13.8">
      <c r="A1148" s="78" t="str">
        <f ca="1">IFERROR(__xludf.DUMMYFUNCTION("""COMPUTED_VALUE"""),"LG")</f>
        <v>LG</v>
      </c>
      <c r="B1148" s="79" t="str">
        <f ca="1">IFERROR(__xludf.DUMMYFUNCTION("""COMPUTED_VALUE"""),"Sloane Gallagher")</f>
        <v>Sloane Gallagher</v>
      </c>
      <c r="C1148" s="78">
        <f ca="1">IFERROR(__xludf.DUMMYFUNCTION("""COMPUTED_VALUE"""),5)</f>
        <v>5</v>
      </c>
      <c r="D1148" s="78" t="str">
        <f ca="1">IFERROR(__xludf.DUMMYFUNCTION("""COMPUTED_VALUE"""),"G")</f>
        <v>G</v>
      </c>
      <c r="E1148" s="80" t="str">
        <f ca="1">IFERROR(__xludf.DUMMYFUNCTION("""COMPUTED_VALUE"""),"F")</f>
        <v>F</v>
      </c>
      <c r="F1148" s="80" t="str">
        <f ca="1">IFERROR(__xludf.DUMMYFUNCTION("""COMPUTED_VALUE"""),"J")</f>
        <v>J</v>
      </c>
      <c r="G1148" s="80">
        <f ca="1">IFERROR(__xludf.DUMMYFUNCTION("""COMPUTED_VALUE"""),3)</f>
        <v>3</v>
      </c>
      <c r="H1148" s="80" t="str">
        <f ca="1">IFERROR(__xludf.DUMMYFUNCTION("""COMPUTED_VALUE"""),"LG")</f>
        <v>LG</v>
      </c>
      <c r="I1148" s="80">
        <f ca="1">IFERROR(__xludf.DUMMYFUNCTION("""COMPUTED_VALUE"""),2)</f>
        <v>2</v>
      </c>
      <c r="J1148" s="81">
        <f ca="1">IFERROR(__xludf.DUMMYFUNCTION("""COMPUTED_VALUE"""),0)</f>
        <v>0</v>
      </c>
      <c r="K1148" s="81">
        <f ca="1">IFERROR(__xludf.DUMMYFUNCTION("""COMPUTED_VALUE"""),0)</f>
        <v>0</v>
      </c>
      <c r="L1148" s="81">
        <f ca="1">IFERROR(__xludf.DUMMYFUNCTION("""COMPUTED_VALUE"""),0)</f>
        <v>0</v>
      </c>
      <c r="M1148" s="81"/>
      <c r="N1148" s="81">
        <f ca="1">IFERROR(__xludf.DUMMYFUNCTION("""COMPUTED_VALUE"""),0)</f>
        <v>0</v>
      </c>
      <c r="O1148" s="81"/>
      <c r="P1148" s="81">
        <f ca="1">IFERROR(__xludf.DUMMYFUNCTION("""COMPUTED_VALUE"""),0)</f>
        <v>0</v>
      </c>
      <c r="Q1148" s="81"/>
      <c r="R1148" s="81">
        <f ca="1">IFERROR(__xludf.DUMMYFUNCTION("""COMPUTED_VALUE"""),0)</f>
        <v>0</v>
      </c>
      <c r="S1148" s="81"/>
      <c r="T1148" s="81"/>
      <c r="U1148" s="82"/>
      <c r="V1148" s="82"/>
      <c r="W1148" s="83"/>
      <c r="X1148" s="83"/>
      <c r="Y1148" s="83"/>
    </row>
    <row r="1149" spans="1:25" ht="13.8">
      <c r="A1149" s="78" t="str">
        <f ca="1">IFERROR(__xludf.DUMMYFUNCTION("""COMPUTED_VALUE"""),"LG")</f>
        <v>LG</v>
      </c>
      <c r="B1149" s="79" t="str">
        <f ca="1">IFERROR(__xludf.DUMMYFUNCTION("""COMPUTED_VALUE"""),"Evie Harmer")</f>
        <v>Evie Harmer</v>
      </c>
      <c r="C1149" s="78">
        <f ca="1">IFERROR(__xludf.DUMMYFUNCTION("""COMPUTED_VALUE"""),9)</f>
        <v>9</v>
      </c>
      <c r="D1149" s="78" t="str">
        <f ca="1">IFERROR(__xludf.DUMMYFUNCTION("""COMPUTED_VALUE"""),"G")</f>
        <v>G</v>
      </c>
      <c r="E1149" s="80" t="str">
        <f ca="1">IFERROR(__xludf.DUMMYFUNCTION("""COMPUTED_VALUE"""),"F")</f>
        <v>F</v>
      </c>
      <c r="F1149" s="80" t="str">
        <f ca="1">IFERROR(__xludf.DUMMYFUNCTION("""COMPUTED_VALUE"""),"J")</f>
        <v>J</v>
      </c>
      <c r="G1149" s="80">
        <f ca="1">IFERROR(__xludf.DUMMYFUNCTION("""COMPUTED_VALUE"""),3)</f>
        <v>3</v>
      </c>
      <c r="H1149" s="80" t="str">
        <f ca="1">IFERROR(__xludf.DUMMYFUNCTION("""COMPUTED_VALUE"""),"LG")</f>
        <v>LG</v>
      </c>
      <c r="I1149" s="80">
        <f ca="1">IFERROR(__xludf.DUMMYFUNCTION("""COMPUTED_VALUE"""),2)</f>
        <v>2</v>
      </c>
      <c r="J1149" s="81">
        <f ca="1">IFERROR(__xludf.DUMMYFUNCTION("""COMPUTED_VALUE"""),3)</f>
        <v>3</v>
      </c>
      <c r="K1149" s="81">
        <f ca="1">IFERROR(__xludf.DUMMYFUNCTION("""COMPUTED_VALUE"""),51.45)</f>
        <v>51.45</v>
      </c>
      <c r="L1149" s="81">
        <f ca="1">IFERROR(__xludf.DUMMYFUNCTION("""COMPUTED_VALUE"""),0)</f>
        <v>0</v>
      </c>
      <c r="M1149" s="81"/>
      <c r="N1149" s="81">
        <f ca="1">IFERROR(__xludf.DUMMYFUNCTION("""COMPUTED_VALUE"""),0)</f>
        <v>0</v>
      </c>
      <c r="O1149" s="81"/>
      <c r="P1149" s="81">
        <f ca="1">IFERROR(__xludf.DUMMYFUNCTION("""COMPUTED_VALUE"""),51.45)</f>
        <v>51.45</v>
      </c>
      <c r="Q1149" s="81"/>
      <c r="R1149" s="81">
        <f ca="1">IFERROR(__xludf.DUMMYFUNCTION("""COMPUTED_VALUE"""),43.7)</f>
        <v>43.7</v>
      </c>
      <c r="S1149" s="81"/>
      <c r="T1149" s="81"/>
      <c r="U1149" s="82"/>
      <c r="V1149" s="82"/>
      <c r="W1149" s="83"/>
      <c r="X1149" s="83"/>
      <c r="Y1149" s="83"/>
    </row>
    <row r="1150" spans="1:25" ht="13.8">
      <c r="A1150" s="78" t="str">
        <f ca="1">IFERROR(__xludf.DUMMYFUNCTION("""COMPUTED_VALUE"""),"LG")</f>
        <v>LG</v>
      </c>
      <c r="B1150" s="79" t="str">
        <f ca="1">IFERROR(__xludf.DUMMYFUNCTION("""COMPUTED_VALUE"""),"Maddie Hebert")</f>
        <v>Maddie Hebert</v>
      </c>
      <c r="C1150" s="78">
        <f ca="1">IFERROR(__xludf.DUMMYFUNCTION("""COMPUTED_VALUE"""),10)</f>
        <v>10</v>
      </c>
      <c r="D1150" s="78" t="str">
        <f ca="1">IFERROR(__xludf.DUMMYFUNCTION("""COMPUTED_VALUE"""),"G")</f>
        <v>G</v>
      </c>
      <c r="E1150" s="80" t="str">
        <f ca="1">IFERROR(__xludf.DUMMYFUNCTION("""COMPUTED_VALUE"""),"F")</f>
        <v>F</v>
      </c>
      <c r="F1150" s="80" t="str">
        <f ca="1">IFERROR(__xludf.DUMMYFUNCTION("""COMPUTED_VALUE"""),"J")</f>
        <v>J</v>
      </c>
      <c r="G1150" s="80">
        <f ca="1">IFERROR(__xludf.DUMMYFUNCTION("""COMPUTED_VALUE"""),3)</f>
        <v>3</v>
      </c>
      <c r="H1150" s="80" t="str">
        <f ca="1">IFERROR(__xludf.DUMMYFUNCTION("""COMPUTED_VALUE"""),"LG")</f>
        <v>LG</v>
      </c>
      <c r="I1150" s="80">
        <f ca="1">IFERROR(__xludf.DUMMYFUNCTION("""COMPUTED_VALUE"""),2)</f>
        <v>2</v>
      </c>
      <c r="J1150" s="81">
        <f ca="1">IFERROR(__xludf.DUMMYFUNCTION("""COMPUTED_VALUE"""),0)</f>
        <v>0</v>
      </c>
      <c r="K1150" s="81">
        <f ca="1">IFERROR(__xludf.DUMMYFUNCTION("""COMPUTED_VALUE"""),0)</f>
        <v>0</v>
      </c>
      <c r="L1150" s="81">
        <f ca="1">IFERROR(__xludf.DUMMYFUNCTION("""COMPUTED_VALUE"""),0)</f>
        <v>0</v>
      </c>
      <c r="M1150" s="81"/>
      <c r="N1150" s="81">
        <f ca="1">IFERROR(__xludf.DUMMYFUNCTION("""COMPUTED_VALUE"""),0)</f>
        <v>0</v>
      </c>
      <c r="O1150" s="81"/>
      <c r="P1150" s="81">
        <f ca="1">IFERROR(__xludf.DUMMYFUNCTION("""COMPUTED_VALUE"""),0)</f>
        <v>0</v>
      </c>
      <c r="Q1150" s="81"/>
      <c r="R1150" s="81">
        <f ca="1">IFERROR(__xludf.DUMMYFUNCTION("""COMPUTED_VALUE"""),0)</f>
        <v>0</v>
      </c>
      <c r="S1150" s="81"/>
      <c r="T1150" s="81"/>
      <c r="U1150" s="82"/>
      <c r="V1150" s="82"/>
      <c r="W1150" s="83"/>
      <c r="X1150" s="83"/>
      <c r="Y1150" s="83"/>
    </row>
    <row r="1151" spans="1:25" ht="13.8">
      <c r="A1151" s="78" t="str">
        <f ca="1">IFERROR(__xludf.DUMMYFUNCTION("""COMPUTED_VALUE"""),"LG")</f>
        <v>LG</v>
      </c>
      <c r="B1151" s="79" t="str">
        <f ca="1">IFERROR(__xludf.DUMMYFUNCTION("""COMPUTED_VALUE"""),"Malin Klousia")</f>
        <v>Malin Klousia</v>
      </c>
      <c r="C1151" s="78">
        <f ca="1">IFERROR(__xludf.DUMMYFUNCTION("""COMPUTED_VALUE"""),10)</f>
        <v>10</v>
      </c>
      <c r="D1151" s="78" t="str">
        <f ca="1">IFERROR(__xludf.DUMMYFUNCTION("""COMPUTED_VALUE"""),"G")</f>
        <v>G</v>
      </c>
      <c r="E1151" s="80" t="str">
        <f ca="1">IFERROR(__xludf.DUMMYFUNCTION("""COMPUTED_VALUE"""),"F")</f>
        <v>F</v>
      </c>
      <c r="F1151" s="80" t="str">
        <f ca="1">IFERROR(__xludf.DUMMYFUNCTION("""COMPUTED_VALUE"""),"J")</f>
        <v>J</v>
      </c>
      <c r="G1151" s="80">
        <f ca="1">IFERROR(__xludf.DUMMYFUNCTION("""COMPUTED_VALUE"""),3)</f>
        <v>3</v>
      </c>
      <c r="H1151" s="80" t="str">
        <f ca="1">IFERROR(__xludf.DUMMYFUNCTION("""COMPUTED_VALUE"""),"LG")</f>
        <v>LG</v>
      </c>
      <c r="I1151" s="80">
        <f ca="1">IFERROR(__xludf.DUMMYFUNCTION("""COMPUTED_VALUE"""),2)</f>
        <v>2</v>
      </c>
      <c r="J1151" s="81">
        <f ca="1">IFERROR(__xludf.DUMMYFUNCTION("""COMPUTED_VALUE"""),2)</f>
        <v>2</v>
      </c>
      <c r="K1151" s="81">
        <f ca="1">IFERROR(__xludf.DUMMYFUNCTION("""COMPUTED_VALUE"""),36.75)</f>
        <v>36.75</v>
      </c>
      <c r="L1151" s="81">
        <f ca="1">IFERROR(__xludf.DUMMYFUNCTION("""COMPUTED_VALUE"""),0)</f>
        <v>0</v>
      </c>
      <c r="M1151" s="81"/>
      <c r="N1151" s="81">
        <f ca="1">IFERROR(__xludf.DUMMYFUNCTION("""COMPUTED_VALUE"""),0)</f>
        <v>0</v>
      </c>
      <c r="O1151" s="81"/>
      <c r="P1151" s="81">
        <f ca="1">IFERROR(__xludf.DUMMYFUNCTION("""COMPUTED_VALUE"""),0)</f>
        <v>0</v>
      </c>
      <c r="Q1151" s="81"/>
      <c r="R1151" s="81">
        <f ca="1">IFERROR(__xludf.DUMMYFUNCTION("""COMPUTED_VALUE"""),36.75)</f>
        <v>36.75</v>
      </c>
      <c r="S1151" s="81"/>
      <c r="T1151" s="81"/>
      <c r="U1151" s="82"/>
      <c r="V1151" s="82"/>
      <c r="W1151" s="83"/>
      <c r="X1151" s="83"/>
      <c r="Y1151" s="83"/>
    </row>
    <row r="1152" spans="1:25" ht="13.8">
      <c r="A1152" s="78" t="str">
        <f ca="1">IFERROR(__xludf.DUMMYFUNCTION("""COMPUTED_VALUE"""),"LG")</f>
        <v>LG</v>
      </c>
      <c r="B1152" s="79" t="str">
        <f ca="1">IFERROR(__xludf.DUMMYFUNCTION("""COMPUTED_VALUE"""),"Hazel Lauver")</f>
        <v>Hazel Lauver</v>
      </c>
      <c r="C1152" s="78">
        <f ca="1">IFERROR(__xludf.DUMMYFUNCTION("""COMPUTED_VALUE"""),6)</f>
        <v>6</v>
      </c>
      <c r="D1152" s="78" t="str">
        <f ca="1">IFERROR(__xludf.DUMMYFUNCTION("""COMPUTED_VALUE"""),"G")</f>
        <v>G</v>
      </c>
      <c r="E1152" s="80" t="str">
        <f ca="1">IFERROR(__xludf.DUMMYFUNCTION("""COMPUTED_VALUE"""),"F")</f>
        <v>F</v>
      </c>
      <c r="F1152" s="80" t="str">
        <f ca="1">IFERROR(__xludf.DUMMYFUNCTION("""COMPUTED_VALUE"""),"J")</f>
        <v>J</v>
      </c>
      <c r="G1152" s="80">
        <f ca="1">IFERROR(__xludf.DUMMYFUNCTION("""COMPUTED_VALUE"""),3)</f>
        <v>3</v>
      </c>
      <c r="H1152" s="80" t="str">
        <f ca="1">IFERROR(__xludf.DUMMYFUNCTION("""COMPUTED_VALUE"""),"LG")</f>
        <v>LG</v>
      </c>
      <c r="I1152" s="80">
        <f ca="1">IFERROR(__xludf.DUMMYFUNCTION("""COMPUTED_VALUE"""),2)</f>
        <v>2</v>
      </c>
      <c r="J1152" s="81">
        <f ca="1">IFERROR(__xludf.DUMMYFUNCTION("""COMPUTED_VALUE"""),0)</f>
        <v>0</v>
      </c>
      <c r="K1152" s="81">
        <f ca="1">IFERROR(__xludf.DUMMYFUNCTION("""COMPUTED_VALUE"""),0)</f>
        <v>0</v>
      </c>
      <c r="L1152" s="81">
        <f ca="1">IFERROR(__xludf.DUMMYFUNCTION("""COMPUTED_VALUE"""),0)</f>
        <v>0</v>
      </c>
      <c r="M1152" s="81"/>
      <c r="N1152" s="81">
        <f ca="1">IFERROR(__xludf.DUMMYFUNCTION("""COMPUTED_VALUE"""),0)</f>
        <v>0</v>
      </c>
      <c r="O1152" s="81"/>
      <c r="P1152" s="81">
        <f ca="1">IFERROR(__xludf.DUMMYFUNCTION("""COMPUTED_VALUE"""),0)</f>
        <v>0</v>
      </c>
      <c r="Q1152" s="81"/>
      <c r="R1152" s="81">
        <f ca="1">IFERROR(__xludf.DUMMYFUNCTION("""COMPUTED_VALUE"""),0)</f>
        <v>0</v>
      </c>
      <c r="S1152" s="81"/>
      <c r="T1152" s="81"/>
      <c r="U1152" s="82"/>
      <c r="V1152" s="82"/>
      <c r="W1152" s="83"/>
      <c r="X1152" s="83"/>
      <c r="Y1152" s="83"/>
    </row>
    <row r="1153" spans="1:25" ht="13.8">
      <c r="A1153" s="78" t="str">
        <f ca="1">IFERROR(__xludf.DUMMYFUNCTION("""COMPUTED_VALUE"""),"LG")</f>
        <v>LG</v>
      </c>
      <c r="B1153" s="79" t="str">
        <f ca="1">IFERROR(__xludf.DUMMYFUNCTION("""COMPUTED_VALUE"""),"Wren McCann")</f>
        <v>Wren McCann</v>
      </c>
      <c r="C1153" s="78">
        <f ca="1">IFERROR(__xludf.DUMMYFUNCTION("""COMPUTED_VALUE"""),8)</f>
        <v>8</v>
      </c>
      <c r="D1153" s="78" t="str">
        <f ca="1">IFERROR(__xludf.DUMMYFUNCTION("""COMPUTED_VALUE"""),"G")</f>
        <v>G</v>
      </c>
      <c r="E1153" s="80" t="str">
        <f ca="1">IFERROR(__xludf.DUMMYFUNCTION("""COMPUTED_VALUE"""),"F")</f>
        <v>F</v>
      </c>
      <c r="F1153" s="80" t="str">
        <f ca="1">IFERROR(__xludf.DUMMYFUNCTION("""COMPUTED_VALUE"""),"J")</f>
        <v>J</v>
      </c>
      <c r="G1153" s="80">
        <f ca="1">IFERROR(__xludf.DUMMYFUNCTION("""COMPUTED_VALUE"""),3)</f>
        <v>3</v>
      </c>
      <c r="H1153" s="80" t="str">
        <f ca="1">IFERROR(__xludf.DUMMYFUNCTION("""COMPUTED_VALUE"""),"LG")</f>
        <v>LG</v>
      </c>
      <c r="I1153" s="80">
        <f ca="1">IFERROR(__xludf.DUMMYFUNCTION("""COMPUTED_VALUE"""),2)</f>
        <v>2</v>
      </c>
      <c r="J1153" s="81">
        <f ca="1">IFERROR(__xludf.DUMMYFUNCTION("""COMPUTED_VALUE"""),1)</f>
        <v>1</v>
      </c>
      <c r="K1153" s="81">
        <f ca="1">IFERROR(__xludf.DUMMYFUNCTION("""COMPUTED_VALUE"""),35.15)</f>
        <v>35.15</v>
      </c>
      <c r="L1153" s="81">
        <f ca="1">IFERROR(__xludf.DUMMYFUNCTION("""COMPUTED_VALUE"""),0)</f>
        <v>0</v>
      </c>
      <c r="M1153" s="81"/>
      <c r="N1153" s="81">
        <f ca="1">IFERROR(__xludf.DUMMYFUNCTION("""COMPUTED_VALUE"""),0)</f>
        <v>0</v>
      </c>
      <c r="O1153" s="81"/>
      <c r="P1153" s="81">
        <f ca="1">IFERROR(__xludf.DUMMYFUNCTION("""COMPUTED_VALUE"""),35.15)</f>
        <v>35.15</v>
      </c>
      <c r="Q1153" s="81"/>
      <c r="R1153" s="81">
        <f ca="1">IFERROR(__xludf.DUMMYFUNCTION("""COMPUTED_VALUE"""),0)</f>
        <v>0</v>
      </c>
      <c r="S1153" s="81"/>
      <c r="T1153" s="81"/>
      <c r="U1153" s="82"/>
      <c r="V1153" s="82"/>
      <c r="W1153" s="83"/>
      <c r="X1153" s="83"/>
      <c r="Y1153" s="83"/>
    </row>
    <row r="1154" spans="1:25" ht="13.8">
      <c r="A1154" s="78" t="str">
        <f ca="1">IFERROR(__xludf.DUMMYFUNCTION("""COMPUTED_VALUE"""),"LG")</f>
        <v>LG</v>
      </c>
      <c r="B1154" s="79" t="str">
        <f ca="1">IFERROR(__xludf.DUMMYFUNCTION("""COMPUTED_VALUE"""),"Graham Nicholson")</f>
        <v>Graham Nicholson</v>
      </c>
      <c r="C1154" s="78">
        <f ca="1">IFERROR(__xludf.DUMMYFUNCTION("""COMPUTED_VALUE"""),8)</f>
        <v>8</v>
      </c>
      <c r="D1154" s="78" t="str">
        <f ca="1">IFERROR(__xludf.DUMMYFUNCTION("""COMPUTED_VALUE"""),"G")</f>
        <v>G</v>
      </c>
      <c r="E1154" s="80" t="str">
        <f ca="1">IFERROR(__xludf.DUMMYFUNCTION("""COMPUTED_VALUE"""),"F")</f>
        <v>F</v>
      </c>
      <c r="F1154" s="80" t="str">
        <f ca="1">IFERROR(__xludf.DUMMYFUNCTION("""COMPUTED_VALUE"""),"J")</f>
        <v>J</v>
      </c>
      <c r="G1154" s="80">
        <f ca="1">IFERROR(__xludf.DUMMYFUNCTION("""COMPUTED_VALUE"""),3)</f>
        <v>3</v>
      </c>
      <c r="H1154" s="80" t="str">
        <f ca="1">IFERROR(__xludf.DUMMYFUNCTION("""COMPUTED_VALUE"""),"LG")</f>
        <v>LG</v>
      </c>
      <c r="I1154" s="80">
        <f ca="1">IFERROR(__xludf.DUMMYFUNCTION("""COMPUTED_VALUE"""),2)</f>
        <v>2</v>
      </c>
      <c r="J1154" s="81">
        <f ca="1">IFERROR(__xludf.DUMMYFUNCTION("""COMPUTED_VALUE"""),0)</f>
        <v>0</v>
      </c>
      <c r="K1154" s="81">
        <f ca="1">IFERROR(__xludf.DUMMYFUNCTION("""COMPUTED_VALUE"""),0)</f>
        <v>0</v>
      </c>
      <c r="L1154" s="81">
        <f ca="1">IFERROR(__xludf.DUMMYFUNCTION("""COMPUTED_VALUE"""),0)</f>
        <v>0</v>
      </c>
      <c r="M1154" s="81"/>
      <c r="N1154" s="81">
        <f ca="1">IFERROR(__xludf.DUMMYFUNCTION("""COMPUTED_VALUE"""),0)</f>
        <v>0</v>
      </c>
      <c r="O1154" s="81"/>
      <c r="P1154" s="81">
        <f ca="1">IFERROR(__xludf.DUMMYFUNCTION("""COMPUTED_VALUE"""),0)</f>
        <v>0</v>
      </c>
      <c r="Q1154" s="81"/>
      <c r="R1154" s="81">
        <f ca="1">IFERROR(__xludf.DUMMYFUNCTION("""COMPUTED_VALUE"""),0)</f>
        <v>0</v>
      </c>
      <c r="S1154" s="81"/>
      <c r="T1154" s="81"/>
      <c r="U1154" s="82"/>
      <c r="V1154" s="82"/>
      <c r="W1154" s="83"/>
      <c r="X1154" s="83"/>
      <c r="Y1154" s="83"/>
    </row>
    <row r="1155" spans="1:25" ht="13.8">
      <c r="A1155" s="78" t="str">
        <f ca="1">IFERROR(__xludf.DUMMYFUNCTION("""COMPUTED_VALUE"""),"LG")</f>
        <v>LG</v>
      </c>
      <c r="B1155" s="79" t="str">
        <f ca="1">IFERROR(__xludf.DUMMYFUNCTION("""COMPUTED_VALUE"""),"Lila Scully")</f>
        <v>Lila Scully</v>
      </c>
      <c r="C1155" s="78">
        <f ca="1">IFERROR(__xludf.DUMMYFUNCTION("""COMPUTED_VALUE"""),8)</f>
        <v>8</v>
      </c>
      <c r="D1155" s="78" t="str">
        <f ca="1">IFERROR(__xludf.DUMMYFUNCTION("""COMPUTED_VALUE"""),"G")</f>
        <v>G</v>
      </c>
      <c r="E1155" s="80" t="str">
        <f ca="1">IFERROR(__xludf.DUMMYFUNCTION("""COMPUTED_VALUE"""),"F")</f>
        <v>F</v>
      </c>
      <c r="F1155" s="80" t="str">
        <f ca="1">IFERROR(__xludf.DUMMYFUNCTION("""COMPUTED_VALUE"""),"J")</f>
        <v>J</v>
      </c>
      <c r="G1155" s="80">
        <f ca="1">IFERROR(__xludf.DUMMYFUNCTION("""COMPUTED_VALUE"""),3)</f>
        <v>3</v>
      </c>
      <c r="H1155" s="80" t="str">
        <f ca="1">IFERROR(__xludf.DUMMYFUNCTION("""COMPUTED_VALUE"""),"LG")</f>
        <v>LG</v>
      </c>
      <c r="I1155" s="80">
        <f ca="1">IFERROR(__xludf.DUMMYFUNCTION("""COMPUTED_VALUE"""),2)</f>
        <v>2</v>
      </c>
      <c r="J1155" s="81">
        <f ca="1">IFERROR(__xludf.DUMMYFUNCTION("""COMPUTED_VALUE"""),5)</f>
        <v>5</v>
      </c>
      <c r="K1155" s="81">
        <f ca="1">IFERROR(__xludf.DUMMYFUNCTION("""COMPUTED_VALUE"""),47.9)</f>
        <v>47.9</v>
      </c>
      <c r="L1155" s="81">
        <f ca="1">IFERROR(__xludf.DUMMYFUNCTION("""COMPUTED_VALUE"""),29.35)</f>
        <v>29.35</v>
      </c>
      <c r="M1155" s="81"/>
      <c r="N1155" s="81">
        <f ca="1">IFERROR(__xludf.DUMMYFUNCTION("""COMPUTED_VALUE"""),34.45)</f>
        <v>34.450000000000003</v>
      </c>
      <c r="O1155" s="81"/>
      <c r="P1155" s="81">
        <f ca="1">IFERROR(__xludf.DUMMYFUNCTION("""COMPUTED_VALUE"""),38.15)</f>
        <v>38.15</v>
      </c>
      <c r="Q1155" s="81"/>
      <c r="R1155" s="81">
        <f ca="1">IFERROR(__xludf.DUMMYFUNCTION("""COMPUTED_VALUE"""),47.9)</f>
        <v>47.9</v>
      </c>
      <c r="S1155" s="81"/>
      <c r="T1155" s="81"/>
      <c r="U1155" s="82"/>
      <c r="V1155" s="82"/>
      <c r="W1155" s="83"/>
      <c r="X1155" s="83"/>
      <c r="Y1155" s="83"/>
    </row>
    <row r="1156" spans="1:25" ht="13.8">
      <c r="A1156" s="78" t="str">
        <f ca="1">IFERROR(__xludf.DUMMYFUNCTION("""COMPUTED_VALUE"""),"LG")</f>
        <v>LG</v>
      </c>
      <c r="B1156" s="79" t="str">
        <f ca="1">IFERROR(__xludf.DUMMYFUNCTION("""COMPUTED_VALUE"""),"Maggie Scully")</f>
        <v>Maggie Scully</v>
      </c>
      <c r="C1156" s="78">
        <f ca="1">IFERROR(__xludf.DUMMYFUNCTION("""COMPUTED_VALUE"""),6)</f>
        <v>6</v>
      </c>
      <c r="D1156" s="78" t="str">
        <f ca="1">IFERROR(__xludf.DUMMYFUNCTION("""COMPUTED_VALUE"""),"G")</f>
        <v>G</v>
      </c>
      <c r="E1156" s="80" t="str">
        <f ca="1">IFERROR(__xludf.DUMMYFUNCTION("""COMPUTED_VALUE"""),"F")</f>
        <v>F</v>
      </c>
      <c r="F1156" s="80" t="str">
        <f ca="1">IFERROR(__xludf.DUMMYFUNCTION("""COMPUTED_VALUE"""),"J")</f>
        <v>J</v>
      </c>
      <c r="G1156" s="80">
        <f ca="1">IFERROR(__xludf.DUMMYFUNCTION("""COMPUTED_VALUE"""),3)</f>
        <v>3</v>
      </c>
      <c r="H1156" s="80" t="str">
        <f ca="1">IFERROR(__xludf.DUMMYFUNCTION("""COMPUTED_VALUE"""),"LG")</f>
        <v>LG</v>
      </c>
      <c r="I1156" s="80">
        <f ca="1">IFERROR(__xludf.DUMMYFUNCTION("""COMPUTED_VALUE"""),2)</f>
        <v>2</v>
      </c>
      <c r="J1156" s="81">
        <f ca="1">IFERROR(__xludf.DUMMYFUNCTION("""COMPUTED_VALUE"""),4)</f>
        <v>4</v>
      </c>
      <c r="K1156" s="81">
        <f ca="1">IFERROR(__xludf.DUMMYFUNCTION("""COMPUTED_VALUE"""),42.35)</f>
        <v>42.35</v>
      </c>
      <c r="L1156" s="81">
        <f ca="1">IFERROR(__xludf.DUMMYFUNCTION("""COMPUTED_VALUE"""),0)</f>
        <v>0</v>
      </c>
      <c r="M1156" s="81"/>
      <c r="N1156" s="81">
        <f ca="1">IFERROR(__xludf.DUMMYFUNCTION("""COMPUTED_VALUE"""),30.25)</f>
        <v>30.25</v>
      </c>
      <c r="O1156" s="81"/>
      <c r="P1156" s="81">
        <f ca="1">IFERROR(__xludf.DUMMYFUNCTION("""COMPUTED_VALUE"""),42.35)</f>
        <v>42.35</v>
      </c>
      <c r="Q1156" s="81"/>
      <c r="R1156" s="81">
        <f ca="1">IFERROR(__xludf.DUMMYFUNCTION("""COMPUTED_VALUE"""),31.85)</f>
        <v>31.85</v>
      </c>
      <c r="S1156" s="81"/>
      <c r="T1156" s="81"/>
      <c r="U1156" s="82"/>
      <c r="V1156" s="82"/>
      <c r="W1156" s="83"/>
      <c r="X1156" s="83"/>
      <c r="Y1156" s="83"/>
    </row>
    <row r="1157" spans="1:25" ht="13.8">
      <c r="A1157" s="78" t="str">
        <f ca="1">IFERROR(__xludf.DUMMYFUNCTION("""COMPUTED_VALUE"""),"LG")</f>
        <v>LG</v>
      </c>
      <c r="B1157" s="79" t="str">
        <f ca="1">IFERROR(__xludf.DUMMYFUNCTION("""COMPUTED_VALUE"""),"Mary Brooks Simoneaux")</f>
        <v>Mary Brooks Simoneaux</v>
      </c>
      <c r="C1157" s="78">
        <f ca="1">IFERROR(__xludf.DUMMYFUNCTION("""COMPUTED_VALUE"""),7)</f>
        <v>7</v>
      </c>
      <c r="D1157" s="78" t="str">
        <f ca="1">IFERROR(__xludf.DUMMYFUNCTION("""COMPUTED_VALUE"""),"G")</f>
        <v>G</v>
      </c>
      <c r="E1157" s="80" t="str">
        <f ca="1">IFERROR(__xludf.DUMMYFUNCTION("""COMPUTED_VALUE"""),"F")</f>
        <v>F</v>
      </c>
      <c r="F1157" s="80" t="str">
        <f ca="1">IFERROR(__xludf.DUMMYFUNCTION("""COMPUTED_VALUE"""),"J")</f>
        <v>J</v>
      </c>
      <c r="G1157" s="80">
        <f ca="1">IFERROR(__xludf.DUMMYFUNCTION("""COMPUTED_VALUE"""),3)</f>
        <v>3</v>
      </c>
      <c r="H1157" s="80" t="str">
        <f ca="1">IFERROR(__xludf.DUMMYFUNCTION("""COMPUTED_VALUE"""),"LG")</f>
        <v>LG</v>
      </c>
      <c r="I1157" s="80">
        <f ca="1">IFERROR(__xludf.DUMMYFUNCTION("""COMPUTED_VALUE"""),2)</f>
        <v>2</v>
      </c>
      <c r="J1157" s="81">
        <f ca="1">IFERROR(__xludf.DUMMYFUNCTION("""COMPUTED_VALUE"""),0)</f>
        <v>0</v>
      </c>
      <c r="K1157" s="81">
        <f ca="1">IFERROR(__xludf.DUMMYFUNCTION("""COMPUTED_VALUE"""),0)</f>
        <v>0</v>
      </c>
      <c r="L1157" s="81">
        <f ca="1">IFERROR(__xludf.DUMMYFUNCTION("""COMPUTED_VALUE"""),0)</f>
        <v>0</v>
      </c>
      <c r="M1157" s="81"/>
      <c r="N1157" s="81">
        <f ca="1">IFERROR(__xludf.DUMMYFUNCTION("""COMPUTED_VALUE"""),0)</f>
        <v>0</v>
      </c>
      <c r="O1157" s="81"/>
      <c r="P1157" s="81">
        <f ca="1">IFERROR(__xludf.DUMMYFUNCTION("""COMPUTED_VALUE"""),0)</f>
        <v>0</v>
      </c>
      <c r="Q1157" s="81"/>
      <c r="R1157" s="81">
        <f ca="1">IFERROR(__xludf.DUMMYFUNCTION("""COMPUTED_VALUE"""),0)</f>
        <v>0</v>
      </c>
      <c r="S1157" s="81"/>
      <c r="T1157" s="81"/>
      <c r="U1157" s="82"/>
      <c r="V1157" s="82"/>
      <c r="W1157" s="83"/>
      <c r="X1157" s="83"/>
      <c r="Y1157" s="83"/>
    </row>
    <row r="1158" spans="1:25" ht="13.8">
      <c r="A1158" s="78" t="str">
        <f ca="1">IFERROR(__xludf.DUMMYFUNCTION("""COMPUTED_VALUE"""),"LG")</f>
        <v>LG</v>
      </c>
      <c r="B1158" s="79" t="str">
        <f ca="1">IFERROR(__xludf.DUMMYFUNCTION("""COMPUTED_VALUE"""),"Cahill Stevenson")</f>
        <v>Cahill Stevenson</v>
      </c>
      <c r="C1158" s="78">
        <f ca="1">IFERROR(__xludf.DUMMYFUNCTION("""COMPUTED_VALUE"""),7)</f>
        <v>7</v>
      </c>
      <c r="D1158" s="78" t="str">
        <f ca="1">IFERROR(__xludf.DUMMYFUNCTION("""COMPUTED_VALUE"""),"G")</f>
        <v>G</v>
      </c>
      <c r="E1158" s="80" t="str">
        <f ca="1">IFERROR(__xludf.DUMMYFUNCTION("""COMPUTED_VALUE"""),"F")</f>
        <v>F</v>
      </c>
      <c r="F1158" s="80" t="str">
        <f ca="1">IFERROR(__xludf.DUMMYFUNCTION("""COMPUTED_VALUE"""),"J")</f>
        <v>J</v>
      </c>
      <c r="G1158" s="80">
        <f ca="1">IFERROR(__xludf.DUMMYFUNCTION("""COMPUTED_VALUE"""),3)</f>
        <v>3</v>
      </c>
      <c r="H1158" s="80" t="str">
        <f ca="1">IFERROR(__xludf.DUMMYFUNCTION("""COMPUTED_VALUE"""),"LG")</f>
        <v>LG</v>
      </c>
      <c r="I1158" s="80">
        <f ca="1">IFERROR(__xludf.DUMMYFUNCTION("""COMPUTED_VALUE"""),2)</f>
        <v>2</v>
      </c>
      <c r="J1158" s="81">
        <f ca="1">IFERROR(__xludf.DUMMYFUNCTION("""COMPUTED_VALUE"""),1)</f>
        <v>1</v>
      </c>
      <c r="K1158" s="81">
        <f ca="1">IFERROR(__xludf.DUMMYFUNCTION("""COMPUTED_VALUE"""),0)</f>
        <v>0</v>
      </c>
      <c r="L1158" s="81">
        <f ca="1">IFERROR(__xludf.DUMMYFUNCTION("""COMPUTED_VALUE"""),0)</f>
        <v>0</v>
      </c>
      <c r="M1158" s="81"/>
      <c r="N1158" s="81">
        <f ca="1">IFERROR(__xludf.DUMMYFUNCTION("""COMPUTED_VALUE"""),0)</f>
        <v>0</v>
      </c>
      <c r="O1158" s="81"/>
      <c r="P1158" s="81">
        <f ca="1">IFERROR(__xludf.DUMMYFUNCTION("""COMPUTED_VALUE"""),0)</f>
        <v>0</v>
      </c>
      <c r="Q1158" s="81"/>
      <c r="R1158" s="81">
        <f ca="1">IFERROR(__xludf.DUMMYFUNCTION("""COMPUTED_VALUE"""),0)</f>
        <v>0</v>
      </c>
      <c r="S1158" s="81"/>
      <c r="T1158" s="81"/>
      <c r="U1158" s="82"/>
      <c r="V1158" s="82"/>
      <c r="W1158" s="83"/>
      <c r="X1158" s="83"/>
      <c r="Y1158" s="83"/>
    </row>
    <row r="1159" spans="1:25" ht="13.8">
      <c r="A1159" s="78" t="str">
        <f ca="1">IFERROR(__xludf.DUMMYFUNCTION("""COMPUTED_VALUE"""),"LG")</f>
        <v>LG</v>
      </c>
      <c r="B1159" s="79" t="str">
        <f ca="1">IFERROR(__xludf.DUMMYFUNCTION("""COMPUTED_VALUE"""),"Grace Swihart")</f>
        <v>Grace Swihart</v>
      </c>
      <c r="C1159" s="78">
        <f ca="1">IFERROR(__xludf.DUMMYFUNCTION("""COMPUTED_VALUE"""),7)</f>
        <v>7</v>
      </c>
      <c r="D1159" s="78" t="str">
        <f ca="1">IFERROR(__xludf.DUMMYFUNCTION("""COMPUTED_VALUE"""),"G")</f>
        <v>G</v>
      </c>
      <c r="E1159" s="80" t="str">
        <f ca="1">IFERROR(__xludf.DUMMYFUNCTION("""COMPUTED_VALUE"""),"F")</f>
        <v>F</v>
      </c>
      <c r="F1159" s="80" t="str">
        <f ca="1">IFERROR(__xludf.DUMMYFUNCTION("""COMPUTED_VALUE"""),"J")</f>
        <v>J</v>
      </c>
      <c r="G1159" s="80">
        <f ca="1">IFERROR(__xludf.DUMMYFUNCTION("""COMPUTED_VALUE"""),3)</f>
        <v>3</v>
      </c>
      <c r="H1159" s="80" t="str">
        <f ca="1">IFERROR(__xludf.DUMMYFUNCTION("""COMPUTED_VALUE"""),"LG")</f>
        <v>LG</v>
      </c>
      <c r="I1159" s="80">
        <f ca="1">IFERROR(__xludf.DUMMYFUNCTION("""COMPUTED_VALUE"""),2)</f>
        <v>2</v>
      </c>
      <c r="J1159" s="81">
        <f ca="1">IFERROR(__xludf.DUMMYFUNCTION("""COMPUTED_VALUE"""),0)</f>
        <v>0</v>
      </c>
      <c r="K1159" s="81">
        <f ca="1">IFERROR(__xludf.DUMMYFUNCTION("""COMPUTED_VALUE"""),0)</f>
        <v>0</v>
      </c>
      <c r="L1159" s="81">
        <f ca="1">IFERROR(__xludf.DUMMYFUNCTION("""COMPUTED_VALUE"""),0)</f>
        <v>0</v>
      </c>
      <c r="M1159" s="81"/>
      <c r="N1159" s="81">
        <f ca="1">IFERROR(__xludf.DUMMYFUNCTION("""COMPUTED_VALUE"""),0)</f>
        <v>0</v>
      </c>
      <c r="O1159" s="81"/>
      <c r="P1159" s="81">
        <f ca="1">IFERROR(__xludf.DUMMYFUNCTION("""COMPUTED_VALUE"""),0)</f>
        <v>0</v>
      </c>
      <c r="Q1159" s="81"/>
      <c r="R1159" s="81">
        <f ca="1">IFERROR(__xludf.DUMMYFUNCTION("""COMPUTED_VALUE"""),0)</f>
        <v>0</v>
      </c>
      <c r="S1159" s="81"/>
      <c r="T1159" s="81"/>
      <c r="U1159" s="82"/>
      <c r="V1159" s="82"/>
      <c r="W1159" s="83"/>
      <c r="X1159" s="83"/>
      <c r="Y1159" s="83"/>
    </row>
    <row r="1160" spans="1:25" ht="13.8">
      <c r="A1160" s="78" t="str">
        <f ca="1">IFERROR(__xludf.DUMMYFUNCTION("""COMPUTED_VALUE"""),"LG")</f>
        <v>LG</v>
      </c>
      <c r="B1160" s="79" t="str">
        <f ca="1">IFERROR(__xludf.DUMMYFUNCTION("""COMPUTED_VALUE"""),"Annabelle Tuss")</f>
        <v>Annabelle Tuss</v>
      </c>
      <c r="C1160" s="78">
        <f ca="1">IFERROR(__xludf.DUMMYFUNCTION("""COMPUTED_VALUE"""),4)</f>
        <v>4</v>
      </c>
      <c r="D1160" s="78" t="str">
        <f ca="1">IFERROR(__xludf.DUMMYFUNCTION("""COMPUTED_VALUE"""),"G")</f>
        <v>G</v>
      </c>
      <c r="E1160" s="80" t="str">
        <f ca="1">IFERROR(__xludf.DUMMYFUNCTION("""COMPUTED_VALUE"""),"F")</f>
        <v>F</v>
      </c>
      <c r="F1160" s="80" t="str">
        <f ca="1">IFERROR(__xludf.DUMMYFUNCTION("""COMPUTED_VALUE"""),"J")</f>
        <v>J</v>
      </c>
      <c r="G1160" s="80">
        <f ca="1">IFERROR(__xludf.DUMMYFUNCTION("""COMPUTED_VALUE"""),3)</f>
        <v>3</v>
      </c>
      <c r="H1160" s="80" t="str">
        <f ca="1">IFERROR(__xludf.DUMMYFUNCTION("""COMPUTED_VALUE"""),"LG")</f>
        <v>LG</v>
      </c>
      <c r="I1160" s="80">
        <f ca="1">IFERROR(__xludf.DUMMYFUNCTION("""COMPUTED_VALUE"""),2)</f>
        <v>2</v>
      </c>
      <c r="J1160" s="81">
        <f ca="1">IFERROR(__xludf.DUMMYFUNCTION("""COMPUTED_VALUE"""),1)</f>
        <v>1</v>
      </c>
      <c r="K1160" s="81">
        <f ca="1">IFERROR(__xludf.DUMMYFUNCTION("""COMPUTED_VALUE"""),0)</f>
        <v>0</v>
      </c>
      <c r="L1160" s="81">
        <f ca="1">IFERROR(__xludf.DUMMYFUNCTION("""COMPUTED_VALUE"""),0)</f>
        <v>0</v>
      </c>
      <c r="M1160" s="81"/>
      <c r="N1160" s="81">
        <f ca="1">IFERROR(__xludf.DUMMYFUNCTION("""COMPUTED_VALUE"""),0)</f>
        <v>0</v>
      </c>
      <c r="O1160" s="81"/>
      <c r="P1160" s="81">
        <f ca="1">IFERROR(__xludf.DUMMYFUNCTION("""COMPUTED_VALUE"""),0)</f>
        <v>0</v>
      </c>
      <c r="Q1160" s="81"/>
      <c r="R1160" s="81">
        <f ca="1">IFERROR(__xludf.DUMMYFUNCTION("""COMPUTED_VALUE"""),0)</f>
        <v>0</v>
      </c>
      <c r="S1160" s="81"/>
      <c r="T1160" s="81"/>
      <c r="U1160" s="82"/>
      <c r="V1160" s="82"/>
      <c r="W1160" s="83"/>
      <c r="X1160" s="83"/>
      <c r="Y1160" s="83"/>
    </row>
    <row r="1161" spans="1:25" ht="13.8">
      <c r="A1161" s="78" t="str">
        <f ca="1">IFERROR(__xludf.DUMMYFUNCTION("""COMPUTED_VALUE"""),"LG")</f>
        <v>LG</v>
      </c>
      <c r="B1161" s="79" t="str">
        <f ca="1">IFERROR(__xludf.DUMMYFUNCTION("""COMPUTED_VALUE"""),"June Tuss")</f>
        <v>June Tuss</v>
      </c>
      <c r="C1161" s="78">
        <f ca="1">IFERROR(__xludf.DUMMYFUNCTION("""COMPUTED_VALUE"""),7)</f>
        <v>7</v>
      </c>
      <c r="D1161" s="78" t="str">
        <f ca="1">IFERROR(__xludf.DUMMYFUNCTION("""COMPUTED_VALUE"""),"G")</f>
        <v>G</v>
      </c>
      <c r="E1161" s="80" t="str">
        <f ca="1">IFERROR(__xludf.DUMMYFUNCTION("""COMPUTED_VALUE"""),"F")</f>
        <v>F</v>
      </c>
      <c r="F1161" s="80" t="str">
        <f ca="1">IFERROR(__xludf.DUMMYFUNCTION("""COMPUTED_VALUE"""),"J")</f>
        <v>J</v>
      </c>
      <c r="G1161" s="80">
        <f ca="1">IFERROR(__xludf.DUMMYFUNCTION("""COMPUTED_VALUE"""),3)</f>
        <v>3</v>
      </c>
      <c r="H1161" s="80" t="str">
        <f ca="1">IFERROR(__xludf.DUMMYFUNCTION("""COMPUTED_VALUE"""),"LG")</f>
        <v>LG</v>
      </c>
      <c r="I1161" s="80">
        <f ca="1">IFERROR(__xludf.DUMMYFUNCTION("""COMPUTED_VALUE"""),2)</f>
        <v>2</v>
      </c>
      <c r="J1161" s="81">
        <f ca="1">IFERROR(__xludf.DUMMYFUNCTION("""COMPUTED_VALUE"""),1)</f>
        <v>1</v>
      </c>
      <c r="K1161" s="81">
        <f ca="1">IFERROR(__xludf.DUMMYFUNCTION("""COMPUTED_VALUE"""),0)</f>
        <v>0</v>
      </c>
      <c r="L1161" s="81">
        <f ca="1">IFERROR(__xludf.DUMMYFUNCTION("""COMPUTED_VALUE"""),0)</f>
        <v>0</v>
      </c>
      <c r="M1161" s="81"/>
      <c r="N1161" s="81">
        <f ca="1">IFERROR(__xludf.DUMMYFUNCTION("""COMPUTED_VALUE"""),0)</f>
        <v>0</v>
      </c>
      <c r="O1161" s="81"/>
      <c r="P1161" s="81">
        <f ca="1">IFERROR(__xludf.DUMMYFUNCTION("""COMPUTED_VALUE"""),0)</f>
        <v>0</v>
      </c>
      <c r="Q1161" s="81"/>
      <c r="R1161" s="81">
        <f ca="1">IFERROR(__xludf.DUMMYFUNCTION("""COMPUTED_VALUE"""),0)</f>
        <v>0</v>
      </c>
      <c r="S1161" s="81"/>
      <c r="T1161" s="81"/>
      <c r="U1161" s="82"/>
      <c r="V1161" s="82"/>
      <c r="W1161" s="83"/>
      <c r="X1161" s="83"/>
      <c r="Y1161" s="83"/>
    </row>
    <row r="1162" spans="1:25" ht="13.8">
      <c r="A1162" s="78" t="str">
        <f ca="1">IFERROR(__xludf.DUMMYFUNCTION("""COMPUTED_VALUE"""),"LG")</f>
        <v>LG</v>
      </c>
      <c r="B1162" s="79" t="str">
        <f ca="1">IFERROR(__xludf.DUMMYFUNCTION("""COMPUTED_VALUE"""),"Charlotte Vakerics")</f>
        <v>Charlotte Vakerics</v>
      </c>
      <c r="C1162" s="78">
        <f ca="1">IFERROR(__xludf.DUMMYFUNCTION("""COMPUTED_VALUE"""),8)</f>
        <v>8</v>
      </c>
      <c r="D1162" s="78" t="str">
        <f ca="1">IFERROR(__xludf.DUMMYFUNCTION("""COMPUTED_VALUE"""),"G")</f>
        <v>G</v>
      </c>
      <c r="E1162" s="80" t="str">
        <f ca="1">IFERROR(__xludf.DUMMYFUNCTION("""COMPUTED_VALUE"""),"F")</f>
        <v>F</v>
      </c>
      <c r="F1162" s="80" t="str">
        <f ca="1">IFERROR(__xludf.DUMMYFUNCTION("""COMPUTED_VALUE"""),"J")</f>
        <v>J</v>
      </c>
      <c r="G1162" s="80">
        <f ca="1">IFERROR(__xludf.DUMMYFUNCTION("""COMPUTED_VALUE"""),3)</f>
        <v>3</v>
      </c>
      <c r="H1162" s="80" t="str">
        <f ca="1">IFERROR(__xludf.DUMMYFUNCTION("""COMPUTED_VALUE"""),"LG")</f>
        <v>LG</v>
      </c>
      <c r="I1162" s="80">
        <f ca="1">IFERROR(__xludf.DUMMYFUNCTION("""COMPUTED_VALUE"""),2)</f>
        <v>2</v>
      </c>
      <c r="J1162" s="81">
        <f ca="1">IFERROR(__xludf.DUMMYFUNCTION("""COMPUTED_VALUE"""),0)</f>
        <v>0</v>
      </c>
      <c r="K1162" s="81">
        <f ca="1">IFERROR(__xludf.DUMMYFUNCTION("""COMPUTED_VALUE"""),0)</f>
        <v>0</v>
      </c>
      <c r="L1162" s="81">
        <f ca="1">IFERROR(__xludf.DUMMYFUNCTION("""COMPUTED_VALUE"""),0)</f>
        <v>0</v>
      </c>
      <c r="M1162" s="81"/>
      <c r="N1162" s="81">
        <f ca="1">IFERROR(__xludf.DUMMYFUNCTION("""COMPUTED_VALUE"""),0)</f>
        <v>0</v>
      </c>
      <c r="O1162" s="81"/>
      <c r="P1162" s="81">
        <f ca="1">IFERROR(__xludf.DUMMYFUNCTION("""COMPUTED_VALUE"""),0)</f>
        <v>0</v>
      </c>
      <c r="Q1162" s="81"/>
      <c r="R1162" s="81">
        <f ca="1">IFERROR(__xludf.DUMMYFUNCTION("""COMPUTED_VALUE"""),0)</f>
        <v>0</v>
      </c>
      <c r="S1162" s="81"/>
      <c r="T1162" s="81"/>
      <c r="U1162" s="82"/>
      <c r="V1162" s="82"/>
      <c r="W1162" s="83"/>
      <c r="X1162" s="83"/>
      <c r="Y1162" s="83"/>
    </row>
    <row r="1163" spans="1:25" ht="13.8">
      <c r="A1163" s="78" t="str">
        <f ca="1">IFERROR(__xludf.DUMMYFUNCTION("""COMPUTED_VALUE"""),"LG")</f>
        <v>LG</v>
      </c>
      <c r="B1163" s="79" t="str">
        <f ca="1">IFERROR(__xludf.DUMMYFUNCTION("""COMPUTED_VALUE"""),"Olivia Wendell")</f>
        <v>Olivia Wendell</v>
      </c>
      <c r="C1163" s="78">
        <f ca="1">IFERROR(__xludf.DUMMYFUNCTION("""COMPUTED_VALUE"""),10)</f>
        <v>10</v>
      </c>
      <c r="D1163" s="78" t="str">
        <f ca="1">IFERROR(__xludf.DUMMYFUNCTION("""COMPUTED_VALUE"""),"G")</f>
        <v>G</v>
      </c>
      <c r="E1163" s="80" t="str">
        <f ca="1">IFERROR(__xludf.DUMMYFUNCTION("""COMPUTED_VALUE"""),"F")</f>
        <v>F</v>
      </c>
      <c r="F1163" s="80" t="str">
        <f ca="1">IFERROR(__xludf.DUMMYFUNCTION("""COMPUTED_VALUE"""),"J")</f>
        <v>J</v>
      </c>
      <c r="G1163" s="80">
        <f ca="1">IFERROR(__xludf.DUMMYFUNCTION("""COMPUTED_VALUE"""),3)</f>
        <v>3</v>
      </c>
      <c r="H1163" s="80" t="str">
        <f ca="1">IFERROR(__xludf.DUMMYFUNCTION("""COMPUTED_VALUE"""),"LG")</f>
        <v>LG</v>
      </c>
      <c r="I1163" s="80">
        <f ca="1">IFERROR(__xludf.DUMMYFUNCTION("""COMPUTED_VALUE"""),2)</f>
        <v>2</v>
      </c>
      <c r="J1163" s="81">
        <f ca="1">IFERROR(__xludf.DUMMYFUNCTION("""COMPUTED_VALUE"""),0)</f>
        <v>0</v>
      </c>
      <c r="K1163" s="81">
        <f ca="1">IFERROR(__xludf.DUMMYFUNCTION("""COMPUTED_VALUE"""),0)</f>
        <v>0</v>
      </c>
      <c r="L1163" s="81">
        <f ca="1">IFERROR(__xludf.DUMMYFUNCTION("""COMPUTED_VALUE"""),0)</f>
        <v>0</v>
      </c>
      <c r="M1163" s="81"/>
      <c r="N1163" s="81">
        <f ca="1">IFERROR(__xludf.DUMMYFUNCTION("""COMPUTED_VALUE"""),0)</f>
        <v>0</v>
      </c>
      <c r="O1163" s="81"/>
      <c r="P1163" s="81">
        <f ca="1">IFERROR(__xludf.DUMMYFUNCTION("""COMPUTED_VALUE"""),0)</f>
        <v>0</v>
      </c>
      <c r="Q1163" s="81"/>
      <c r="R1163" s="81">
        <f ca="1">IFERROR(__xludf.DUMMYFUNCTION("""COMPUTED_VALUE"""),0)</f>
        <v>0</v>
      </c>
      <c r="S1163" s="81"/>
      <c r="T1163" s="81"/>
      <c r="U1163" s="82"/>
      <c r="V1163" s="82"/>
      <c r="W1163" s="83"/>
      <c r="X1163" s="83"/>
      <c r="Y1163" s="83"/>
    </row>
    <row r="1164" spans="1:25" ht="13.8">
      <c r="A1164" s="78" t="str">
        <f ca="1">IFERROR(__xludf.DUMMYFUNCTION("""COMPUTED_VALUE"""),"LG")</f>
        <v>LG</v>
      </c>
      <c r="B1164" s="79" t="str">
        <f ca="1">IFERROR(__xludf.DUMMYFUNCTION("""COMPUTED_VALUE"""),"Keaton Allard")</f>
        <v>Keaton Allard</v>
      </c>
      <c r="C1164" s="78">
        <f ca="1">IFERROR(__xludf.DUMMYFUNCTION("""COMPUTED_VALUE"""),8)</f>
        <v>8</v>
      </c>
      <c r="D1164" s="78" t="str">
        <f ca="1">IFERROR(__xludf.DUMMYFUNCTION("""COMPUTED_VALUE"""),"B")</f>
        <v>B</v>
      </c>
      <c r="E1164" s="80" t="str">
        <f ca="1">IFERROR(__xludf.DUMMYFUNCTION("""COMPUTED_VALUE"""),"F")</f>
        <v>F</v>
      </c>
      <c r="F1164" s="80" t="str">
        <f ca="1">IFERROR(__xludf.DUMMYFUNCTION("""COMPUTED_VALUE"""),"J")</f>
        <v>J</v>
      </c>
      <c r="G1164" s="80">
        <f ca="1">IFERROR(__xludf.DUMMYFUNCTION("""COMPUTED_VALUE"""),3)</f>
        <v>3</v>
      </c>
      <c r="H1164" s="80" t="str">
        <f ca="1">IFERROR(__xludf.DUMMYFUNCTION("""COMPUTED_VALUE"""),"LG")</f>
        <v>LG</v>
      </c>
      <c r="I1164" s="80">
        <f ca="1">IFERROR(__xludf.DUMMYFUNCTION("""COMPUTED_VALUE"""),3)</f>
        <v>3</v>
      </c>
      <c r="J1164" s="81">
        <f ca="1">IFERROR(__xludf.DUMMYFUNCTION("""COMPUTED_VALUE"""),0)</f>
        <v>0</v>
      </c>
      <c r="K1164" s="81">
        <f ca="1">IFERROR(__xludf.DUMMYFUNCTION("""COMPUTED_VALUE"""),0)</f>
        <v>0</v>
      </c>
      <c r="L1164" s="81">
        <f ca="1">IFERROR(__xludf.DUMMYFUNCTION("""COMPUTED_VALUE"""),0)</f>
        <v>0</v>
      </c>
      <c r="M1164" s="81"/>
      <c r="N1164" s="81">
        <f ca="1">IFERROR(__xludf.DUMMYFUNCTION("""COMPUTED_VALUE"""),0)</f>
        <v>0</v>
      </c>
      <c r="O1164" s="81"/>
      <c r="P1164" s="81">
        <f ca="1">IFERROR(__xludf.DUMMYFUNCTION("""COMPUTED_VALUE"""),0)</f>
        <v>0</v>
      </c>
      <c r="Q1164" s="81"/>
      <c r="R1164" s="81">
        <f ca="1">IFERROR(__xludf.DUMMYFUNCTION("""COMPUTED_VALUE"""),0)</f>
        <v>0</v>
      </c>
      <c r="S1164" s="81"/>
      <c r="T1164" s="81"/>
      <c r="U1164" s="82"/>
      <c r="V1164" s="82"/>
      <c r="W1164" s="83"/>
      <c r="X1164" s="83"/>
      <c r="Y1164" s="83"/>
    </row>
    <row r="1165" spans="1:25" ht="13.8">
      <c r="A1165" s="78" t="str">
        <f ca="1">IFERROR(__xludf.DUMMYFUNCTION("""COMPUTED_VALUE"""),"LG")</f>
        <v>LG</v>
      </c>
      <c r="B1165" s="79" t="str">
        <f ca="1">IFERROR(__xludf.DUMMYFUNCTION("""COMPUTED_VALUE"""),"Jackson Beach")</f>
        <v>Jackson Beach</v>
      </c>
      <c r="C1165" s="78">
        <f ca="1">IFERROR(__xludf.DUMMYFUNCTION("""COMPUTED_VALUE"""),9)</f>
        <v>9</v>
      </c>
      <c r="D1165" s="78" t="str">
        <f ca="1">IFERROR(__xludf.DUMMYFUNCTION("""COMPUTED_VALUE"""),"B")</f>
        <v>B</v>
      </c>
      <c r="E1165" s="80" t="str">
        <f ca="1">IFERROR(__xludf.DUMMYFUNCTION("""COMPUTED_VALUE"""),"F")</f>
        <v>F</v>
      </c>
      <c r="F1165" s="80" t="str">
        <f ca="1">IFERROR(__xludf.DUMMYFUNCTION("""COMPUTED_VALUE"""),"J")</f>
        <v>J</v>
      </c>
      <c r="G1165" s="80">
        <f ca="1">IFERROR(__xludf.DUMMYFUNCTION("""COMPUTED_VALUE"""),3)</f>
        <v>3</v>
      </c>
      <c r="H1165" s="80" t="str">
        <f ca="1">IFERROR(__xludf.DUMMYFUNCTION("""COMPUTED_VALUE"""),"LG")</f>
        <v>LG</v>
      </c>
      <c r="I1165" s="80">
        <f ca="1">IFERROR(__xludf.DUMMYFUNCTION("""COMPUTED_VALUE"""),3)</f>
        <v>3</v>
      </c>
      <c r="J1165" s="81">
        <f ca="1">IFERROR(__xludf.DUMMYFUNCTION("""COMPUTED_VALUE"""),0)</f>
        <v>0</v>
      </c>
      <c r="K1165" s="81">
        <f ca="1">IFERROR(__xludf.DUMMYFUNCTION("""COMPUTED_VALUE"""),0)</f>
        <v>0</v>
      </c>
      <c r="L1165" s="81">
        <f ca="1">IFERROR(__xludf.DUMMYFUNCTION("""COMPUTED_VALUE"""),0)</f>
        <v>0</v>
      </c>
      <c r="M1165" s="81"/>
      <c r="N1165" s="81">
        <f ca="1">IFERROR(__xludf.DUMMYFUNCTION("""COMPUTED_VALUE"""),0)</f>
        <v>0</v>
      </c>
      <c r="O1165" s="81"/>
      <c r="P1165" s="81">
        <f ca="1">IFERROR(__xludf.DUMMYFUNCTION("""COMPUTED_VALUE"""),0)</f>
        <v>0</v>
      </c>
      <c r="Q1165" s="81"/>
      <c r="R1165" s="81">
        <f ca="1">IFERROR(__xludf.DUMMYFUNCTION("""COMPUTED_VALUE"""),0)</f>
        <v>0</v>
      </c>
      <c r="S1165" s="81"/>
      <c r="T1165" s="81"/>
      <c r="U1165" s="82"/>
      <c r="V1165" s="82"/>
      <c r="W1165" s="83"/>
      <c r="X1165" s="83"/>
      <c r="Y1165" s="83"/>
    </row>
    <row r="1166" spans="1:25" ht="13.8">
      <c r="A1166" s="78" t="str">
        <f ca="1">IFERROR(__xludf.DUMMYFUNCTION("""COMPUTED_VALUE"""),"LG")</f>
        <v>LG</v>
      </c>
      <c r="B1166" s="79" t="str">
        <f ca="1">IFERROR(__xludf.DUMMYFUNCTION("""COMPUTED_VALUE"""),"Benjamin Bolin")</f>
        <v>Benjamin Bolin</v>
      </c>
      <c r="C1166" s="78">
        <f ca="1">IFERROR(__xludf.DUMMYFUNCTION("""COMPUTED_VALUE"""),10)</f>
        <v>10</v>
      </c>
      <c r="D1166" s="78" t="str">
        <f ca="1">IFERROR(__xludf.DUMMYFUNCTION("""COMPUTED_VALUE"""),"B")</f>
        <v>B</v>
      </c>
      <c r="E1166" s="80" t="str">
        <f ca="1">IFERROR(__xludf.DUMMYFUNCTION("""COMPUTED_VALUE"""),"F")</f>
        <v>F</v>
      </c>
      <c r="F1166" s="80" t="str">
        <f ca="1">IFERROR(__xludf.DUMMYFUNCTION("""COMPUTED_VALUE"""),"J")</f>
        <v>J</v>
      </c>
      <c r="G1166" s="80">
        <f ca="1">IFERROR(__xludf.DUMMYFUNCTION("""COMPUTED_VALUE"""),3)</f>
        <v>3</v>
      </c>
      <c r="H1166" s="80" t="str">
        <f ca="1">IFERROR(__xludf.DUMMYFUNCTION("""COMPUTED_VALUE"""),"LG")</f>
        <v>LG</v>
      </c>
      <c r="I1166" s="80">
        <f ca="1">IFERROR(__xludf.DUMMYFUNCTION("""COMPUTED_VALUE"""),3)</f>
        <v>3</v>
      </c>
      <c r="J1166" s="81">
        <f ca="1">IFERROR(__xludf.DUMMYFUNCTION("""COMPUTED_VALUE"""),0)</f>
        <v>0</v>
      </c>
      <c r="K1166" s="81">
        <f ca="1">IFERROR(__xludf.DUMMYFUNCTION("""COMPUTED_VALUE"""),0)</f>
        <v>0</v>
      </c>
      <c r="L1166" s="81">
        <f ca="1">IFERROR(__xludf.DUMMYFUNCTION("""COMPUTED_VALUE"""),0)</f>
        <v>0</v>
      </c>
      <c r="M1166" s="81"/>
      <c r="N1166" s="81">
        <f ca="1">IFERROR(__xludf.DUMMYFUNCTION("""COMPUTED_VALUE"""),0)</f>
        <v>0</v>
      </c>
      <c r="O1166" s="81"/>
      <c r="P1166" s="81">
        <f ca="1">IFERROR(__xludf.DUMMYFUNCTION("""COMPUTED_VALUE"""),0)</f>
        <v>0</v>
      </c>
      <c r="Q1166" s="81"/>
      <c r="R1166" s="81">
        <f ca="1">IFERROR(__xludf.DUMMYFUNCTION("""COMPUTED_VALUE"""),0)</f>
        <v>0</v>
      </c>
      <c r="S1166" s="81"/>
      <c r="T1166" s="81"/>
      <c r="U1166" s="82"/>
      <c r="V1166" s="82"/>
      <c r="W1166" s="83"/>
      <c r="X1166" s="83"/>
      <c r="Y1166" s="83"/>
    </row>
    <row r="1167" spans="1:25" ht="13.8">
      <c r="A1167" s="78" t="str">
        <f ca="1">IFERROR(__xludf.DUMMYFUNCTION("""COMPUTED_VALUE"""),"LG")</f>
        <v>LG</v>
      </c>
      <c r="B1167" s="79" t="str">
        <f ca="1">IFERROR(__xludf.DUMMYFUNCTION("""COMPUTED_VALUE"""),"Eli Bolin")</f>
        <v>Eli Bolin</v>
      </c>
      <c r="C1167" s="78">
        <f ca="1">IFERROR(__xludf.DUMMYFUNCTION("""COMPUTED_VALUE"""),7)</f>
        <v>7</v>
      </c>
      <c r="D1167" s="78" t="str">
        <f ca="1">IFERROR(__xludf.DUMMYFUNCTION("""COMPUTED_VALUE"""),"B")</f>
        <v>B</v>
      </c>
      <c r="E1167" s="80" t="str">
        <f ca="1">IFERROR(__xludf.DUMMYFUNCTION("""COMPUTED_VALUE"""),"F")</f>
        <v>F</v>
      </c>
      <c r="F1167" s="80" t="str">
        <f ca="1">IFERROR(__xludf.DUMMYFUNCTION("""COMPUTED_VALUE"""),"J")</f>
        <v>J</v>
      </c>
      <c r="G1167" s="80">
        <f ca="1">IFERROR(__xludf.DUMMYFUNCTION("""COMPUTED_VALUE"""),3)</f>
        <v>3</v>
      </c>
      <c r="H1167" s="80" t="str">
        <f ca="1">IFERROR(__xludf.DUMMYFUNCTION("""COMPUTED_VALUE"""),"LG")</f>
        <v>LG</v>
      </c>
      <c r="I1167" s="80">
        <f ca="1">IFERROR(__xludf.DUMMYFUNCTION("""COMPUTED_VALUE"""),3)</f>
        <v>3</v>
      </c>
      <c r="J1167" s="81">
        <f ca="1">IFERROR(__xludf.DUMMYFUNCTION("""COMPUTED_VALUE"""),0)</f>
        <v>0</v>
      </c>
      <c r="K1167" s="81">
        <f ca="1">IFERROR(__xludf.DUMMYFUNCTION("""COMPUTED_VALUE"""),0)</f>
        <v>0</v>
      </c>
      <c r="L1167" s="81">
        <f ca="1">IFERROR(__xludf.DUMMYFUNCTION("""COMPUTED_VALUE"""),0)</f>
        <v>0</v>
      </c>
      <c r="M1167" s="81"/>
      <c r="N1167" s="81">
        <f ca="1">IFERROR(__xludf.DUMMYFUNCTION("""COMPUTED_VALUE"""),0)</f>
        <v>0</v>
      </c>
      <c r="O1167" s="81"/>
      <c r="P1167" s="81">
        <f ca="1">IFERROR(__xludf.DUMMYFUNCTION("""COMPUTED_VALUE"""),0)</f>
        <v>0</v>
      </c>
      <c r="Q1167" s="81"/>
      <c r="R1167" s="81">
        <f ca="1">IFERROR(__xludf.DUMMYFUNCTION("""COMPUTED_VALUE"""),0)</f>
        <v>0</v>
      </c>
      <c r="S1167" s="81"/>
      <c r="T1167" s="81"/>
      <c r="U1167" s="82"/>
      <c r="V1167" s="82"/>
      <c r="W1167" s="83"/>
      <c r="X1167" s="83"/>
      <c r="Y1167" s="83"/>
    </row>
    <row r="1168" spans="1:25" ht="13.8">
      <c r="A1168" s="78" t="str">
        <f ca="1">IFERROR(__xludf.DUMMYFUNCTION("""COMPUTED_VALUE"""),"LG")</f>
        <v>LG</v>
      </c>
      <c r="B1168" s="79" t="str">
        <f ca="1">IFERROR(__xludf.DUMMYFUNCTION("""COMPUTED_VALUE"""),"William Bucher")</f>
        <v>William Bucher</v>
      </c>
      <c r="C1168" s="78">
        <f ca="1">IFERROR(__xludf.DUMMYFUNCTION("""COMPUTED_VALUE"""),8)</f>
        <v>8</v>
      </c>
      <c r="D1168" s="78" t="str">
        <f ca="1">IFERROR(__xludf.DUMMYFUNCTION("""COMPUTED_VALUE"""),"B")</f>
        <v>B</v>
      </c>
      <c r="E1168" s="80" t="str">
        <f ca="1">IFERROR(__xludf.DUMMYFUNCTION("""COMPUTED_VALUE"""),"F")</f>
        <v>F</v>
      </c>
      <c r="F1168" s="80" t="str">
        <f ca="1">IFERROR(__xludf.DUMMYFUNCTION("""COMPUTED_VALUE"""),"J")</f>
        <v>J</v>
      </c>
      <c r="G1168" s="80">
        <f ca="1">IFERROR(__xludf.DUMMYFUNCTION("""COMPUTED_VALUE"""),3)</f>
        <v>3</v>
      </c>
      <c r="H1168" s="80" t="str">
        <f ca="1">IFERROR(__xludf.DUMMYFUNCTION("""COMPUTED_VALUE"""),"LG")</f>
        <v>LG</v>
      </c>
      <c r="I1168" s="80">
        <f ca="1">IFERROR(__xludf.DUMMYFUNCTION("""COMPUTED_VALUE"""),3)</f>
        <v>3</v>
      </c>
      <c r="J1168" s="81">
        <f ca="1">IFERROR(__xludf.DUMMYFUNCTION("""COMPUTED_VALUE"""),0)</f>
        <v>0</v>
      </c>
      <c r="K1168" s="81">
        <f ca="1">IFERROR(__xludf.DUMMYFUNCTION("""COMPUTED_VALUE"""),0)</f>
        <v>0</v>
      </c>
      <c r="L1168" s="81">
        <f ca="1">IFERROR(__xludf.DUMMYFUNCTION("""COMPUTED_VALUE"""),0)</f>
        <v>0</v>
      </c>
      <c r="M1168" s="81"/>
      <c r="N1168" s="81">
        <f ca="1">IFERROR(__xludf.DUMMYFUNCTION("""COMPUTED_VALUE"""),0)</f>
        <v>0</v>
      </c>
      <c r="O1168" s="81"/>
      <c r="P1168" s="81">
        <f ca="1">IFERROR(__xludf.DUMMYFUNCTION("""COMPUTED_VALUE"""),0)</f>
        <v>0</v>
      </c>
      <c r="Q1168" s="81"/>
      <c r="R1168" s="81">
        <f ca="1">IFERROR(__xludf.DUMMYFUNCTION("""COMPUTED_VALUE"""),0)</f>
        <v>0</v>
      </c>
      <c r="S1168" s="81"/>
      <c r="T1168" s="81"/>
      <c r="U1168" s="82"/>
      <c r="V1168" s="82"/>
      <c r="W1168" s="83"/>
      <c r="X1168" s="83"/>
      <c r="Y1168" s="83"/>
    </row>
    <row r="1169" spans="1:25" ht="13.8">
      <c r="A1169" s="78" t="str">
        <f ca="1">IFERROR(__xludf.DUMMYFUNCTION("""COMPUTED_VALUE"""),"LG")</f>
        <v>LG</v>
      </c>
      <c r="B1169" s="79" t="str">
        <f ca="1">IFERROR(__xludf.DUMMYFUNCTION("""COMPUTED_VALUE"""),"Oliver Conole")</f>
        <v>Oliver Conole</v>
      </c>
      <c r="C1169" s="78">
        <f ca="1">IFERROR(__xludf.DUMMYFUNCTION("""COMPUTED_VALUE"""),7)</f>
        <v>7</v>
      </c>
      <c r="D1169" s="78" t="str">
        <f ca="1">IFERROR(__xludf.DUMMYFUNCTION("""COMPUTED_VALUE"""),"B")</f>
        <v>B</v>
      </c>
      <c r="E1169" s="80" t="str">
        <f ca="1">IFERROR(__xludf.DUMMYFUNCTION("""COMPUTED_VALUE"""),"F")</f>
        <v>F</v>
      </c>
      <c r="F1169" s="80" t="str">
        <f ca="1">IFERROR(__xludf.DUMMYFUNCTION("""COMPUTED_VALUE"""),"J")</f>
        <v>J</v>
      </c>
      <c r="G1169" s="80">
        <f ca="1">IFERROR(__xludf.DUMMYFUNCTION("""COMPUTED_VALUE"""),3)</f>
        <v>3</v>
      </c>
      <c r="H1169" s="80" t="str">
        <f ca="1">IFERROR(__xludf.DUMMYFUNCTION("""COMPUTED_VALUE"""),"LG")</f>
        <v>LG</v>
      </c>
      <c r="I1169" s="80">
        <f ca="1">IFERROR(__xludf.DUMMYFUNCTION("""COMPUTED_VALUE"""),3)</f>
        <v>3</v>
      </c>
      <c r="J1169" s="81">
        <f ca="1">IFERROR(__xludf.DUMMYFUNCTION("""COMPUTED_VALUE"""),4)</f>
        <v>4</v>
      </c>
      <c r="K1169" s="81">
        <f ca="1">IFERROR(__xludf.DUMMYFUNCTION("""COMPUTED_VALUE"""),42.45)</f>
        <v>42.45</v>
      </c>
      <c r="L1169" s="81">
        <f ca="1">IFERROR(__xludf.DUMMYFUNCTION("""COMPUTED_VALUE"""),40)</f>
        <v>40</v>
      </c>
      <c r="M1169" s="81"/>
      <c r="N1169" s="81">
        <f ca="1">IFERROR(__xludf.DUMMYFUNCTION("""COMPUTED_VALUE"""),38.35)</f>
        <v>38.35</v>
      </c>
      <c r="O1169" s="81"/>
      <c r="P1169" s="81">
        <f ca="1">IFERROR(__xludf.DUMMYFUNCTION("""COMPUTED_VALUE"""),0)</f>
        <v>0</v>
      </c>
      <c r="Q1169" s="81"/>
      <c r="R1169" s="81">
        <f ca="1">IFERROR(__xludf.DUMMYFUNCTION("""COMPUTED_VALUE"""),42.45)</f>
        <v>42.45</v>
      </c>
      <c r="S1169" s="81"/>
      <c r="T1169" s="81"/>
      <c r="U1169" s="82"/>
      <c r="V1169" s="82"/>
      <c r="W1169" s="83"/>
      <c r="X1169" s="83"/>
      <c r="Y1169" s="83"/>
    </row>
    <row r="1170" spans="1:25" ht="13.8">
      <c r="A1170" s="78" t="str">
        <f ca="1">IFERROR(__xludf.DUMMYFUNCTION("""COMPUTED_VALUE"""),"LG")</f>
        <v>LG</v>
      </c>
      <c r="B1170" s="79" t="str">
        <f ca="1">IFERROR(__xludf.DUMMYFUNCTION("""COMPUTED_VALUE"""),"William Davis")</f>
        <v>William Davis</v>
      </c>
      <c r="C1170" s="78">
        <f ca="1">IFERROR(__xludf.DUMMYFUNCTION("""COMPUTED_VALUE"""),10)</f>
        <v>10</v>
      </c>
      <c r="D1170" s="78" t="str">
        <f ca="1">IFERROR(__xludf.DUMMYFUNCTION("""COMPUTED_VALUE"""),"B")</f>
        <v>B</v>
      </c>
      <c r="E1170" s="80" t="str">
        <f ca="1">IFERROR(__xludf.DUMMYFUNCTION("""COMPUTED_VALUE"""),"F")</f>
        <v>F</v>
      </c>
      <c r="F1170" s="80" t="str">
        <f ca="1">IFERROR(__xludf.DUMMYFUNCTION("""COMPUTED_VALUE"""),"J")</f>
        <v>J</v>
      </c>
      <c r="G1170" s="80">
        <f ca="1">IFERROR(__xludf.DUMMYFUNCTION("""COMPUTED_VALUE"""),3)</f>
        <v>3</v>
      </c>
      <c r="H1170" s="80" t="str">
        <f ca="1">IFERROR(__xludf.DUMMYFUNCTION("""COMPUTED_VALUE"""),"LG")</f>
        <v>LG</v>
      </c>
      <c r="I1170" s="80">
        <f ca="1">IFERROR(__xludf.DUMMYFUNCTION("""COMPUTED_VALUE"""),3)</f>
        <v>3</v>
      </c>
      <c r="J1170" s="81">
        <f ca="1">IFERROR(__xludf.DUMMYFUNCTION("""COMPUTED_VALUE"""),4)</f>
        <v>4</v>
      </c>
      <c r="K1170" s="81">
        <f ca="1">IFERROR(__xludf.DUMMYFUNCTION("""COMPUTED_VALUE"""),59.45)</f>
        <v>59.45</v>
      </c>
      <c r="L1170" s="81">
        <f ca="1">IFERROR(__xludf.DUMMYFUNCTION("""COMPUTED_VALUE"""),0)</f>
        <v>0</v>
      </c>
      <c r="M1170" s="81"/>
      <c r="N1170" s="81">
        <f ca="1">IFERROR(__xludf.DUMMYFUNCTION("""COMPUTED_VALUE"""),47.2)</f>
        <v>47.2</v>
      </c>
      <c r="O1170" s="81"/>
      <c r="P1170" s="81">
        <f ca="1">IFERROR(__xludf.DUMMYFUNCTION("""COMPUTED_VALUE"""),59.45)</f>
        <v>59.45</v>
      </c>
      <c r="Q1170" s="81"/>
      <c r="R1170" s="81">
        <f ca="1">IFERROR(__xludf.DUMMYFUNCTION("""COMPUTED_VALUE"""),57.55)</f>
        <v>57.55</v>
      </c>
      <c r="S1170" s="81"/>
      <c r="T1170" s="81"/>
      <c r="U1170" s="82"/>
      <c r="V1170" s="82"/>
      <c r="W1170" s="83"/>
      <c r="X1170" s="83"/>
      <c r="Y1170" s="83"/>
    </row>
    <row r="1171" spans="1:25" ht="13.8">
      <c r="A1171" s="78" t="str">
        <f ca="1">IFERROR(__xludf.DUMMYFUNCTION("""COMPUTED_VALUE"""),"LG")</f>
        <v>LG</v>
      </c>
      <c r="B1171" s="79" t="str">
        <f ca="1">IFERROR(__xludf.DUMMYFUNCTION("""COMPUTED_VALUE"""),"John Egge")</f>
        <v>John Egge</v>
      </c>
      <c r="C1171" s="78">
        <f ca="1">IFERROR(__xludf.DUMMYFUNCTION("""COMPUTED_VALUE"""),9)</f>
        <v>9</v>
      </c>
      <c r="D1171" s="78" t="str">
        <f ca="1">IFERROR(__xludf.DUMMYFUNCTION("""COMPUTED_VALUE"""),"B")</f>
        <v>B</v>
      </c>
      <c r="E1171" s="80" t="str">
        <f ca="1">IFERROR(__xludf.DUMMYFUNCTION("""COMPUTED_VALUE"""),"F")</f>
        <v>F</v>
      </c>
      <c r="F1171" s="80" t="str">
        <f ca="1">IFERROR(__xludf.DUMMYFUNCTION("""COMPUTED_VALUE"""),"J")</f>
        <v>J</v>
      </c>
      <c r="G1171" s="80">
        <f ca="1">IFERROR(__xludf.DUMMYFUNCTION("""COMPUTED_VALUE"""),3)</f>
        <v>3</v>
      </c>
      <c r="H1171" s="80" t="str">
        <f ca="1">IFERROR(__xludf.DUMMYFUNCTION("""COMPUTED_VALUE"""),"LG")</f>
        <v>LG</v>
      </c>
      <c r="I1171" s="80">
        <f ca="1">IFERROR(__xludf.DUMMYFUNCTION("""COMPUTED_VALUE"""),3)</f>
        <v>3</v>
      </c>
      <c r="J1171" s="81">
        <f ca="1">IFERROR(__xludf.DUMMYFUNCTION("""COMPUTED_VALUE"""),0)</f>
        <v>0</v>
      </c>
      <c r="K1171" s="81">
        <f ca="1">IFERROR(__xludf.DUMMYFUNCTION("""COMPUTED_VALUE"""),0)</f>
        <v>0</v>
      </c>
      <c r="L1171" s="81">
        <f ca="1">IFERROR(__xludf.DUMMYFUNCTION("""COMPUTED_VALUE"""),0)</f>
        <v>0</v>
      </c>
      <c r="M1171" s="81"/>
      <c r="N1171" s="81">
        <f ca="1">IFERROR(__xludf.DUMMYFUNCTION("""COMPUTED_VALUE"""),0)</f>
        <v>0</v>
      </c>
      <c r="O1171" s="81"/>
      <c r="P1171" s="81">
        <f ca="1">IFERROR(__xludf.DUMMYFUNCTION("""COMPUTED_VALUE"""),0)</f>
        <v>0</v>
      </c>
      <c r="Q1171" s="81"/>
      <c r="R1171" s="81">
        <f ca="1">IFERROR(__xludf.DUMMYFUNCTION("""COMPUTED_VALUE"""),0)</f>
        <v>0</v>
      </c>
      <c r="S1171" s="81"/>
      <c r="T1171" s="81"/>
      <c r="U1171" s="82"/>
      <c r="V1171" s="82"/>
      <c r="W1171" s="83"/>
      <c r="X1171" s="83"/>
      <c r="Y1171" s="83"/>
    </row>
    <row r="1172" spans="1:25" ht="13.8">
      <c r="A1172" s="78" t="str">
        <f ca="1">IFERROR(__xludf.DUMMYFUNCTION("""COMPUTED_VALUE"""),"LG")</f>
        <v>LG</v>
      </c>
      <c r="B1172" s="79" t="str">
        <f ca="1">IFERROR(__xludf.DUMMYFUNCTION("""COMPUTED_VALUE"""),"Ronan Gallagher")</f>
        <v>Ronan Gallagher</v>
      </c>
      <c r="C1172" s="78">
        <f ca="1">IFERROR(__xludf.DUMMYFUNCTION("""COMPUTED_VALUE"""),7)</f>
        <v>7</v>
      </c>
      <c r="D1172" s="78" t="str">
        <f ca="1">IFERROR(__xludf.DUMMYFUNCTION("""COMPUTED_VALUE"""),"B")</f>
        <v>B</v>
      </c>
      <c r="E1172" s="80" t="str">
        <f ca="1">IFERROR(__xludf.DUMMYFUNCTION("""COMPUTED_VALUE"""),"F")</f>
        <v>F</v>
      </c>
      <c r="F1172" s="80" t="str">
        <f ca="1">IFERROR(__xludf.DUMMYFUNCTION("""COMPUTED_VALUE"""),"J")</f>
        <v>J</v>
      </c>
      <c r="G1172" s="80">
        <f ca="1">IFERROR(__xludf.DUMMYFUNCTION("""COMPUTED_VALUE"""),3)</f>
        <v>3</v>
      </c>
      <c r="H1172" s="80" t="str">
        <f ca="1">IFERROR(__xludf.DUMMYFUNCTION("""COMPUTED_VALUE"""),"LG")</f>
        <v>LG</v>
      </c>
      <c r="I1172" s="80">
        <f ca="1">IFERROR(__xludf.DUMMYFUNCTION("""COMPUTED_VALUE"""),3)</f>
        <v>3</v>
      </c>
      <c r="J1172" s="81">
        <f ca="1">IFERROR(__xludf.DUMMYFUNCTION("""COMPUTED_VALUE"""),0)</f>
        <v>0</v>
      </c>
      <c r="K1172" s="81">
        <f ca="1">IFERROR(__xludf.DUMMYFUNCTION("""COMPUTED_VALUE"""),0)</f>
        <v>0</v>
      </c>
      <c r="L1172" s="81">
        <f ca="1">IFERROR(__xludf.DUMMYFUNCTION("""COMPUTED_VALUE"""),0)</f>
        <v>0</v>
      </c>
      <c r="M1172" s="81"/>
      <c r="N1172" s="81">
        <f ca="1">IFERROR(__xludf.DUMMYFUNCTION("""COMPUTED_VALUE"""),0)</f>
        <v>0</v>
      </c>
      <c r="O1172" s="81"/>
      <c r="P1172" s="81">
        <f ca="1">IFERROR(__xludf.DUMMYFUNCTION("""COMPUTED_VALUE"""),0)</f>
        <v>0</v>
      </c>
      <c r="Q1172" s="81"/>
      <c r="R1172" s="81">
        <f ca="1">IFERROR(__xludf.DUMMYFUNCTION("""COMPUTED_VALUE"""),0)</f>
        <v>0</v>
      </c>
      <c r="S1172" s="81"/>
      <c r="T1172" s="81"/>
      <c r="U1172" s="82"/>
      <c r="V1172" s="82"/>
      <c r="W1172" s="83"/>
      <c r="X1172" s="83"/>
      <c r="Y1172" s="83"/>
    </row>
    <row r="1173" spans="1:25" ht="13.8">
      <c r="A1173" s="78" t="str">
        <f ca="1">IFERROR(__xludf.DUMMYFUNCTION("""COMPUTED_VALUE"""),"LG")</f>
        <v>LG</v>
      </c>
      <c r="B1173" s="79" t="str">
        <f ca="1">IFERROR(__xludf.DUMMYFUNCTION("""COMPUTED_VALUE"""),"Truett Harmer")</f>
        <v>Truett Harmer</v>
      </c>
      <c r="C1173" s="78">
        <f ca="1">IFERROR(__xludf.DUMMYFUNCTION("""COMPUTED_VALUE"""),7)</f>
        <v>7</v>
      </c>
      <c r="D1173" s="78" t="str">
        <f ca="1">IFERROR(__xludf.DUMMYFUNCTION("""COMPUTED_VALUE"""),"B")</f>
        <v>B</v>
      </c>
      <c r="E1173" s="80" t="str">
        <f ca="1">IFERROR(__xludf.DUMMYFUNCTION("""COMPUTED_VALUE"""),"F")</f>
        <v>F</v>
      </c>
      <c r="F1173" s="80" t="str">
        <f ca="1">IFERROR(__xludf.DUMMYFUNCTION("""COMPUTED_VALUE"""),"J")</f>
        <v>J</v>
      </c>
      <c r="G1173" s="80">
        <f ca="1">IFERROR(__xludf.DUMMYFUNCTION("""COMPUTED_VALUE"""),3)</f>
        <v>3</v>
      </c>
      <c r="H1173" s="80" t="str">
        <f ca="1">IFERROR(__xludf.DUMMYFUNCTION("""COMPUTED_VALUE"""),"LG")</f>
        <v>LG</v>
      </c>
      <c r="I1173" s="80">
        <f ca="1">IFERROR(__xludf.DUMMYFUNCTION("""COMPUTED_VALUE"""),3)</f>
        <v>3</v>
      </c>
      <c r="J1173" s="81">
        <f ca="1">IFERROR(__xludf.DUMMYFUNCTION("""COMPUTED_VALUE"""),0)</f>
        <v>0</v>
      </c>
      <c r="K1173" s="81">
        <f ca="1">IFERROR(__xludf.DUMMYFUNCTION("""COMPUTED_VALUE"""),0)</f>
        <v>0</v>
      </c>
      <c r="L1173" s="81">
        <f ca="1">IFERROR(__xludf.DUMMYFUNCTION("""COMPUTED_VALUE"""),0)</f>
        <v>0</v>
      </c>
      <c r="M1173" s="81"/>
      <c r="N1173" s="81">
        <f ca="1">IFERROR(__xludf.DUMMYFUNCTION("""COMPUTED_VALUE"""),0)</f>
        <v>0</v>
      </c>
      <c r="O1173" s="81"/>
      <c r="P1173" s="81">
        <f ca="1">IFERROR(__xludf.DUMMYFUNCTION("""COMPUTED_VALUE"""),0)</f>
        <v>0</v>
      </c>
      <c r="Q1173" s="81"/>
      <c r="R1173" s="81">
        <f ca="1">IFERROR(__xludf.DUMMYFUNCTION("""COMPUTED_VALUE"""),0)</f>
        <v>0</v>
      </c>
      <c r="S1173" s="81"/>
      <c r="T1173" s="81"/>
      <c r="U1173" s="82"/>
      <c r="V1173" s="82"/>
      <c r="W1173" s="83"/>
      <c r="X1173" s="83"/>
      <c r="Y1173" s="83"/>
    </row>
    <row r="1174" spans="1:25" ht="13.8">
      <c r="A1174" s="78" t="str">
        <f ca="1">IFERROR(__xludf.DUMMYFUNCTION("""COMPUTED_VALUE"""),"LG")</f>
        <v>LG</v>
      </c>
      <c r="B1174" s="79" t="str">
        <f ca="1">IFERROR(__xludf.DUMMYFUNCTION("""COMPUTED_VALUE"""),"Chance Hegenbart")</f>
        <v>Chance Hegenbart</v>
      </c>
      <c r="C1174" s="78">
        <f ca="1">IFERROR(__xludf.DUMMYFUNCTION("""COMPUTED_VALUE"""),9)</f>
        <v>9</v>
      </c>
      <c r="D1174" s="78" t="str">
        <f ca="1">IFERROR(__xludf.DUMMYFUNCTION("""COMPUTED_VALUE"""),"B")</f>
        <v>B</v>
      </c>
      <c r="E1174" s="80" t="str">
        <f ca="1">IFERROR(__xludf.DUMMYFUNCTION("""COMPUTED_VALUE"""),"F")</f>
        <v>F</v>
      </c>
      <c r="F1174" s="80" t="str">
        <f ca="1">IFERROR(__xludf.DUMMYFUNCTION("""COMPUTED_VALUE"""),"J")</f>
        <v>J</v>
      </c>
      <c r="G1174" s="80">
        <f ca="1">IFERROR(__xludf.DUMMYFUNCTION("""COMPUTED_VALUE"""),3)</f>
        <v>3</v>
      </c>
      <c r="H1174" s="80" t="str">
        <f ca="1">IFERROR(__xludf.DUMMYFUNCTION("""COMPUTED_VALUE"""),"LG")</f>
        <v>LG</v>
      </c>
      <c r="I1174" s="80">
        <f ca="1">IFERROR(__xludf.DUMMYFUNCTION("""COMPUTED_VALUE"""),3)</f>
        <v>3</v>
      </c>
      <c r="J1174" s="81">
        <f ca="1">IFERROR(__xludf.DUMMYFUNCTION("""COMPUTED_VALUE"""),0)</f>
        <v>0</v>
      </c>
      <c r="K1174" s="81">
        <f ca="1">IFERROR(__xludf.DUMMYFUNCTION("""COMPUTED_VALUE"""),0)</f>
        <v>0</v>
      </c>
      <c r="L1174" s="81">
        <f ca="1">IFERROR(__xludf.DUMMYFUNCTION("""COMPUTED_VALUE"""),0)</f>
        <v>0</v>
      </c>
      <c r="M1174" s="81"/>
      <c r="N1174" s="81">
        <f ca="1">IFERROR(__xludf.DUMMYFUNCTION("""COMPUTED_VALUE"""),0)</f>
        <v>0</v>
      </c>
      <c r="O1174" s="81"/>
      <c r="P1174" s="81">
        <f ca="1">IFERROR(__xludf.DUMMYFUNCTION("""COMPUTED_VALUE"""),0)</f>
        <v>0</v>
      </c>
      <c r="Q1174" s="81"/>
      <c r="R1174" s="81">
        <f ca="1">IFERROR(__xludf.DUMMYFUNCTION("""COMPUTED_VALUE"""),0)</f>
        <v>0</v>
      </c>
      <c r="S1174" s="81"/>
      <c r="T1174" s="81"/>
      <c r="U1174" s="82"/>
      <c r="V1174" s="82"/>
      <c r="W1174" s="83"/>
      <c r="X1174" s="83"/>
      <c r="Y1174" s="83"/>
    </row>
    <row r="1175" spans="1:25" ht="13.8">
      <c r="A1175" s="78" t="str">
        <f ca="1">IFERROR(__xludf.DUMMYFUNCTION("""COMPUTED_VALUE"""),"LG")</f>
        <v>LG</v>
      </c>
      <c r="B1175" s="79" t="str">
        <f ca="1">IFERROR(__xludf.DUMMYFUNCTION("""COMPUTED_VALUE"""),"Teddy Klousia")</f>
        <v>Teddy Klousia</v>
      </c>
      <c r="C1175" s="78">
        <f ca="1">IFERROR(__xludf.DUMMYFUNCTION("""COMPUTED_VALUE"""),10)</f>
        <v>10</v>
      </c>
      <c r="D1175" s="78" t="str">
        <f ca="1">IFERROR(__xludf.DUMMYFUNCTION("""COMPUTED_VALUE"""),"B")</f>
        <v>B</v>
      </c>
      <c r="E1175" s="80" t="str">
        <f ca="1">IFERROR(__xludf.DUMMYFUNCTION("""COMPUTED_VALUE"""),"F")</f>
        <v>F</v>
      </c>
      <c r="F1175" s="80" t="str">
        <f ca="1">IFERROR(__xludf.DUMMYFUNCTION("""COMPUTED_VALUE"""),"J")</f>
        <v>J</v>
      </c>
      <c r="G1175" s="80">
        <f ca="1">IFERROR(__xludf.DUMMYFUNCTION("""COMPUTED_VALUE"""),3)</f>
        <v>3</v>
      </c>
      <c r="H1175" s="80" t="str">
        <f ca="1">IFERROR(__xludf.DUMMYFUNCTION("""COMPUTED_VALUE"""),"LG")</f>
        <v>LG</v>
      </c>
      <c r="I1175" s="80">
        <f ca="1">IFERROR(__xludf.DUMMYFUNCTION("""COMPUTED_VALUE"""),3)</f>
        <v>3</v>
      </c>
      <c r="J1175" s="81">
        <f ca="1">IFERROR(__xludf.DUMMYFUNCTION("""COMPUTED_VALUE"""),4)</f>
        <v>4</v>
      </c>
      <c r="K1175" s="81">
        <f ca="1">IFERROR(__xludf.DUMMYFUNCTION("""COMPUTED_VALUE"""),60.2)</f>
        <v>60.2</v>
      </c>
      <c r="L1175" s="81">
        <f ca="1">IFERROR(__xludf.DUMMYFUNCTION("""COMPUTED_VALUE"""),59.65)</f>
        <v>59.65</v>
      </c>
      <c r="M1175" s="81"/>
      <c r="N1175" s="81">
        <f ca="1">IFERROR(__xludf.DUMMYFUNCTION("""COMPUTED_VALUE"""),0)</f>
        <v>0</v>
      </c>
      <c r="O1175" s="81"/>
      <c r="P1175" s="81">
        <f ca="1">IFERROR(__xludf.DUMMYFUNCTION("""COMPUTED_VALUE"""),60.2)</f>
        <v>60.2</v>
      </c>
      <c r="Q1175" s="81"/>
      <c r="R1175" s="81">
        <f ca="1">IFERROR(__xludf.DUMMYFUNCTION("""COMPUTED_VALUE"""),43.65)</f>
        <v>43.65</v>
      </c>
      <c r="S1175" s="81"/>
      <c r="T1175" s="81"/>
      <c r="U1175" s="82"/>
      <c r="V1175" s="82"/>
      <c r="W1175" s="83"/>
      <c r="X1175" s="83"/>
      <c r="Y1175" s="83"/>
    </row>
    <row r="1176" spans="1:25" ht="13.8">
      <c r="A1176" s="78" t="str">
        <f ca="1">IFERROR(__xludf.DUMMYFUNCTION("""COMPUTED_VALUE"""),"LG")</f>
        <v>LG</v>
      </c>
      <c r="B1176" s="79" t="str">
        <f ca="1">IFERROR(__xludf.DUMMYFUNCTION("""COMPUTED_VALUE"""),"Wesley Klousia")</f>
        <v>Wesley Klousia</v>
      </c>
      <c r="C1176" s="78">
        <f ca="1">IFERROR(__xludf.DUMMYFUNCTION("""COMPUTED_VALUE"""),5)</f>
        <v>5</v>
      </c>
      <c r="D1176" s="78" t="str">
        <f ca="1">IFERROR(__xludf.DUMMYFUNCTION("""COMPUTED_VALUE"""),"B")</f>
        <v>B</v>
      </c>
      <c r="E1176" s="80" t="str">
        <f ca="1">IFERROR(__xludf.DUMMYFUNCTION("""COMPUTED_VALUE"""),"F")</f>
        <v>F</v>
      </c>
      <c r="F1176" s="80" t="str">
        <f ca="1">IFERROR(__xludf.DUMMYFUNCTION("""COMPUTED_VALUE"""),"J")</f>
        <v>J</v>
      </c>
      <c r="G1176" s="80">
        <f ca="1">IFERROR(__xludf.DUMMYFUNCTION("""COMPUTED_VALUE"""),3)</f>
        <v>3</v>
      </c>
      <c r="H1176" s="80" t="str">
        <f ca="1">IFERROR(__xludf.DUMMYFUNCTION("""COMPUTED_VALUE"""),"LG")</f>
        <v>LG</v>
      </c>
      <c r="I1176" s="80">
        <f ca="1">IFERROR(__xludf.DUMMYFUNCTION("""COMPUTED_VALUE"""),3)</f>
        <v>3</v>
      </c>
      <c r="J1176" s="81">
        <f ca="1">IFERROR(__xludf.DUMMYFUNCTION("""COMPUTED_VALUE"""),0)</f>
        <v>0</v>
      </c>
      <c r="K1176" s="81">
        <f ca="1">IFERROR(__xludf.DUMMYFUNCTION("""COMPUTED_VALUE"""),0)</f>
        <v>0</v>
      </c>
      <c r="L1176" s="81">
        <f ca="1">IFERROR(__xludf.DUMMYFUNCTION("""COMPUTED_VALUE"""),0)</f>
        <v>0</v>
      </c>
      <c r="M1176" s="81"/>
      <c r="N1176" s="81">
        <f ca="1">IFERROR(__xludf.DUMMYFUNCTION("""COMPUTED_VALUE"""),0)</f>
        <v>0</v>
      </c>
      <c r="O1176" s="81"/>
      <c r="P1176" s="81">
        <f ca="1">IFERROR(__xludf.DUMMYFUNCTION("""COMPUTED_VALUE"""),0)</f>
        <v>0</v>
      </c>
      <c r="Q1176" s="81"/>
      <c r="R1176" s="81">
        <f ca="1">IFERROR(__xludf.DUMMYFUNCTION("""COMPUTED_VALUE"""),0)</f>
        <v>0</v>
      </c>
      <c r="S1176" s="81"/>
      <c r="T1176" s="81"/>
      <c r="U1176" s="82"/>
      <c r="V1176" s="82"/>
      <c r="W1176" s="83"/>
      <c r="X1176" s="83"/>
      <c r="Y1176" s="83"/>
    </row>
    <row r="1177" spans="1:25" ht="13.8">
      <c r="A1177" s="78" t="str">
        <f ca="1">IFERROR(__xludf.DUMMYFUNCTION("""COMPUTED_VALUE"""),"LG")</f>
        <v>LG</v>
      </c>
      <c r="B1177" s="79" t="str">
        <f ca="1">IFERROR(__xludf.DUMMYFUNCTION("""COMPUTED_VALUE"""),"Ethan Page")</f>
        <v>Ethan Page</v>
      </c>
      <c r="C1177" s="78">
        <f ca="1">IFERROR(__xludf.DUMMYFUNCTION("""COMPUTED_VALUE"""),8)</f>
        <v>8</v>
      </c>
      <c r="D1177" s="78" t="str">
        <f ca="1">IFERROR(__xludf.DUMMYFUNCTION("""COMPUTED_VALUE"""),"B")</f>
        <v>B</v>
      </c>
      <c r="E1177" s="80" t="str">
        <f ca="1">IFERROR(__xludf.DUMMYFUNCTION("""COMPUTED_VALUE"""),"F")</f>
        <v>F</v>
      </c>
      <c r="F1177" s="80" t="str">
        <f ca="1">IFERROR(__xludf.DUMMYFUNCTION("""COMPUTED_VALUE"""),"J")</f>
        <v>J</v>
      </c>
      <c r="G1177" s="80">
        <f ca="1">IFERROR(__xludf.DUMMYFUNCTION("""COMPUTED_VALUE"""),3)</f>
        <v>3</v>
      </c>
      <c r="H1177" s="80" t="str">
        <f ca="1">IFERROR(__xludf.DUMMYFUNCTION("""COMPUTED_VALUE"""),"LG")</f>
        <v>LG</v>
      </c>
      <c r="I1177" s="80">
        <f ca="1">IFERROR(__xludf.DUMMYFUNCTION("""COMPUTED_VALUE"""),3)</f>
        <v>3</v>
      </c>
      <c r="J1177" s="81">
        <f ca="1">IFERROR(__xludf.DUMMYFUNCTION("""COMPUTED_VALUE"""),4)</f>
        <v>4</v>
      </c>
      <c r="K1177" s="81">
        <f ca="1">IFERROR(__xludf.DUMMYFUNCTION("""COMPUTED_VALUE"""),44.55)</f>
        <v>44.55</v>
      </c>
      <c r="L1177" s="81">
        <f ca="1">IFERROR(__xludf.DUMMYFUNCTION("""COMPUTED_VALUE"""),26.45)</f>
        <v>26.45</v>
      </c>
      <c r="M1177" s="81"/>
      <c r="N1177" s="81">
        <f ca="1">IFERROR(__xludf.DUMMYFUNCTION("""COMPUTED_VALUE"""),35.95)</f>
        <v>35.950000000000003</v>
      </c>
      <c r="O1177" s="81"/>
      <c r="P1177" s="81">
        <f ca="1">IFERROR(__xludf.DUMMYFUNCTION("""COMPUTED_VALUE"""),44.55)</f>
        <v>44.55</v>
      </c>
      <c r="Q1177" s="81"/>
      <c r="R1177" s="81">
        <f ca="1">IFERROR(__xludf.DUMMYFUNCTION("""COMPUTED_VALUE"""),39.9)</f>
        <v>39.9</v>
      </c>
      <c r="S1177" s="81"/>
      <c r="T1177" s="81"/>
      <c r="U1177" s="82"/>
      <c r="V1177" s="82"/>
      <c r="W1177" s="83"/>
      <c r="X1177" s="83"/>
      <c r="Y1177" s="83"/>
    </row>
    <row r="1178" spans="1:25" ht="13.8">
      <c r="A1178" s="78" t="str">
        <f ca="1">IFERROR(__xludf.DUMMYFUNCTION("""COMPUTED_VALUE"""),"LG")</f>
        <v>LG</v>
      </c>
      <c r="B1178" s="79" t="str">
        <f ca="1">IFERROR(__xludf.DUMMYFUNCTION("""COMPUTED_VALUE"""),"Miller Stevenson")</f>
        <v>Miller Stevenson</v>
      </c>
      <c r="C1178" s="78">
        <f ca="1">IFERROR(__xludf.DUMMYFUNCTION("""COMPUTED_VALUE"""),10)</f>
        <v>10</v>
      </c>
      <c r="D1178" s="78" t="str">
        <f ca="1">IFERROR(__xludf.DUMMYFUNCTION("""COMPUTED_VALUE"""),"B")</f>
        <v>B</v>
      </c>
      <c r="E1178" s="80" t="str">
        <f ca="1">IFERROR(__xludf.DUMMYFUNCTION("""COMPUTED_VALUE"""),"F")</f>
        <v>F</v>
      </c>
      <c r="F1178" s="80" t="str">
        <f ca="1">IFERROR(__xludf.DUMMYFUNCTION("""COMPUTED_VALUE"""),"J")</f>
        <v>J</v>
      </c>
      <c r="G1178" s="80">
        <f ca="1">IFERROR(__xludf.DUMMYFUNCTION("""COMPUTED_VALUE"""),3)</f>
        <v>3</v>
      </c>
      <c r="H1178" s="80" t="str">
        <f ca="1">IFERROR(__xludf.DUMMYFUNCTION("""COMPUTED_VALUE"""),"LG")</f>
        <v>LG</v>
      </c>
      <c r="I1178" s="80">
        <f ca="1">IFERROR(__xludf.DUMMYFUNCTION("""COMPUTED_VALUE"""),3)</f>
        <v>3</v>
      </c>
      <c r="J1178" s="81">
        <f ca="1">IFERROR(__xludf.DUMMYFUNCTION("""COMPUTED_VALUE"""),3)</f>
        <v>3</v>
      </c>
      <c r="K1178" s="81">
        <f ca="1">IFERROR(__xludf.DUMMYFUNCTION("""COMPUTED_VALUE"""),41)</f>
        <v>41</v>
      </c>
      <c r="L1178" s="81">
        <f ca="1">IFERROR(__xludf.DUMMYFUNCTION("""COMPUTED_VALUE"""),0)</f>
        <v>0</v>
      </c>
      <c r="M1178" s="81"/>
      <c r="N1178" s="81">
        <f ca="1">IFERROR(__xludf.DUMMYFUNCTION("""COMPUTED_VALUE"""),40.4)</f>
        <v>40.4</v>
      </c>
      <c r="O1178" s="81"/>
      <c r="P1178" s="81">
        <f ca="1">IFERROR(__xludf.DUMMYFUNCTION("""COMPUTED_VALUE"""),0)</f>
        <v>0</v>
      </c>
      <c r="Q1178" s="81"/>
      <c r="R1178" s="81">
        <f ca="1">IFERROR(__xludf.DUMMYFUNCTION("""COMPUTED_VALUE"""),41)</f>
        <v>41</v>
      </c>
      <c r="S1178" s="81"/>
      <c r="T1178" s="81"/>
      <c r="U1178" s="82"/>
      <c r="V1178" s="82"/>
      <c r="W1178" s="83"/>
      <c r="X1178" s="83"/>
      <c r="Y1178" s="83"/>
    </row>
    <row r="1179" spans="1:25" ht="13.8">
      <c r="A1179" s="78" t="str">
        <f ca="1">IFERROR(__xludf.DUMMYFUNCTION("""COMPUTED_VALUE"""),"LG")</f>
        <v>LG</v>
      </c>
      <c r="B1179" s="79" t="str">
        <f ca="1">IFERROR(__xludf.DUMMYFUNCTION("""COMPUTED_VALUE"""),"Patrick Verasin")</f>
        <v>Patrick Verasin</v>
      </c>
      <c r="C1179" s="78">
        <f ca="1">IFERROR(__xludf.DUMMYFUNCTION("""COMPUTED_VALUE"""),10)</f>
        <v>10</v>
      </c>
      <c r="D1179" s="78" t="str">
        <f ca="1">IFERROR(__xludf.DUMMYFUNCTION("""COMPUTED_VALUE"""),"B")</f>
        <v>B</v>
      </c>
      <c r="E1179" s="80" t="str">
        <f ca="1">IFERROR(__xludf.DUMMYFUNCTION("""COMPUTED_VALUE"""),"F")</f>
        <v>F</v>
      </c>
      <c r="F1179" s="80" t="str">
        <f ca="1">IFERROR(__xludf.DUMMYFUNCTION("""COMPUTED_VALUE"""),"J")</f>
        <v>J</v>
      </c>
      <c r="G1179" s="80">
        <f ca="1">IFERROR(__xludf.DUMMYFUNCTION("""COMPUTED_VALUE"""),3)</f>
        <v>3</v>
      </c>
      <c r="H1179" s="80" t="str">
        <f ca="1">IFERROR(__xludf.DUMMYFUNCTION("""COMPUTED_VALUE"""),"LG")</f>
        <v>LG</v>
      </c>
      <c r="I1179" s="80">
        <f ca="1">IFERROR(__xludf.DUMMYFUNCTION("""COMPUTED_VALUE"""),3)</f>
        <v>3</v>
      </c>
      <c r="J1179" s="81">
        <f ca="1">IFERROR(__xludf.DUMMYFUNCTION("""COMPUTED_VALUE"""),2)</f>
        <v>2</v>
      </c>
      <c r="K1179" s="81">
        <f ca="1">IFERROR(__xludf.DUMMYFUNCTION("""COMPUTED_VALUE"""),55.6)</f>
        <v>55.6</v>
      </c>
      <c r="L1179" s="81">
        <f ca="1">IFERROR(__xludf.DUMMYFUNCTION("""COMPUTED_VALUE"""),0)</f>
        <v>0</v>
      </c>
      <c r="M1179" s="81"/>
      <c r="N1179" s="81">
        <f ca="1">IFERROR(__xludf.DUMMYFUNCTION("""COMPUTED_VALUE"""),0)</f>
        <v>0</v>
      </c>
      <c r="O1179" s="81"/>
      <c r="P1179" s="81">
        <f ca="1">IFERROR(__xludf.DUMMYFUNCTION("""COMPUTED_VALUE"""),42.8)</f>
        <v>42.8</v>
      </c>
      <c r="Q1179" s="81"/>
      <c r="R1179" s="81">
        <f ca="1">IFERROR(__xludf.DUMMYFUNCTION("""COMPUTED_VALUE"""),55.6)</f>
        <v>55.6</v>
      </c>
      <c r="S1179" s="81"/>
      <c r="T1179" s="81"/>
      <c r="U1179" s="82"/>
      <c r="V1179" s="82"/>
      <c r="W1179" s="83"/>
      <c r="X1179" s="83"/>
      <c r="Y1179" s="83"/>
    </row>
    <row r="1180" spans="1:25" ht="13.8">
      <c r="A1180" s="78" t="str">
        <f ca="1">IFERROR(__xludf.DUMMYFUNCTION("""COMPUTED_VALUE"""),"LG")</f>
        <v>LG</v>
      </c>
      <c r="B1180" s="79" t="str">
        <f ca="1">IFERROR(__xludf.DUMMYFUNCTION("""COMPUTED_VALUE"""),"Reid Yeh")</f>
        <v>Reid Yeh</v>
      </c>
      <c r="C1180" s="78">
        <f ca="1">IFERROR(__xludf.DUMMYFUNCTION("""COMPUTED_VALUE"""),9)</f>
        <v>9</v>
      </c>
      <c r="D1180" s="78" t="str">
        <f ca="1">IFERROR(__xludf.DUMMYFUNCTION("""COMPUTED_VALUE"""),"B")</f>
        <v>B</v>
      </c>
      <c r="E1180" s="80" t="str">
        <f ca="1">IFERROR(__xludf.DUMMYFUNCTION("""COMPUTED_VALUE"""),"F")</f>
        <v>F</v>
      </c>
      <c r="F1180" s="80" t="str">
        <f ca="1">IFERROR(__xludf.DUMMYFUNCTION("""COMPUTED_VALUE"""),"J")</f>
        <v>J</v>
      </c>
      <c r="G1180" s="80">
        <f ca="1">IFERROR(__xludf.DUMMYFUNCTION("""COMPUTED_VALUE"""),3)</f>
        <v>3</v>
      </c>
      <c r="H1180" s="80" t="str">
        <f ca="1">IFERROR(__xludf.DUMMYFUNCTION("""COMPUTED_VALUE"""),"LG")</f>
        <v>LG</v>
      </c>
      <c r="I1180" s="80">
        <f ca="1">IFERROR(__xludf.DUMMYFUNCTION("""COMPUTED_VALUE"""),3)</f>
        <v>3</v>
      </c>
      <c r="J1180" s="81">
        <f ca="1">IFERROR(__xludf.DUMMYFUNCTION("""COMPUTED_VALUE"""),4)</f>
        <v>4</v>
      </c>
      <c r="K1180" s="81">
        <f ca="1">IFERROR(__xludf.DUMMYFUNCTION("""COMPUTED_VALUE"""),51.55)</f>
        <v>51.55</v>
      </c>
      <c r="L1180" s="81">
        <f ca="1">IFERROR(__xludf.DUMMYFUNCTION("""COMPUTED_VALUE"""),39.3)</f>
        <v>39.299999999999997</v>
      </c>
      <c r="M1180" s="81"/>
      <c r="N1180" s="81">
        <f ca="1">IFERROR(__xludf.DUMMYFUNCTION("""COMPUTED_VALUE"""),32.9)</f>
        <v>32.9</v>
      </c>
      <c r="O1180" s="81"/>
      <c r="P1180" s="81">
        <f ca="1">IFERROR(__xludf.DUMMYFUNCTION("""COMPUTED_VALUE"""),0)</f>
        <v>0</v>
      </c>
      <c r="Q1180" s="81"/>
      <c r="R1180" s="81">
        <f ca="1">IFERROR(__xludf.DUMMYFUNCTION("""COMPUTED_VALUE"""),51.55)</f>
        <v>51.55</v>
      </c>
      <c r="S1180" s="81"/>
      <c r="T1180" s="81"/>
      <c r="U1180" s="82"/>
      <c r="V1180" s="82"/>
      <c r="W1180" s="83"/>
      <c r="X1180" s="83"/>
      <c r="Y1180" s="83"/>
    </row>
    <row r="1181" spans="1:25" ht="13.8">
      <c r="A1181" s="78" t="str">
        <f ca="1">IFERROR(__xludf.DUMMYFUNCTION("""COMPUTED_VALUE"""),"LG")</f>
        <v>LG</v>
      </c>
      <c r="B1181" s="79" t="str">
        <f ca="1">IFERROR(__xludf.DUMMYFUNCTION("""COMPUTED_VALUE"""),"Madison Allard")</f>
        <v>Madison Allard</v>
      </c>
      <c r="C1181" s="78">
        <f ca="1">IFERROR(__xludf.DUMMYFUNCTION("""COMPUTED_VALUE"""),11)</f>
        <v>11</v>
      </c>
      <c r="D1181" s="78" t="str">
        <f ca="1">IFERROR(__xludf.DUMMYFUNCTION("""COMPUTED_VALUE"""),"G")</f>
        <v>G</v>
      </c>
      <c r="E1181" s="80" t="str">
        <f ca="1">IFERROR(__xludf.DUMMYFUNCTION("""COMPUTED_VALUE"""),"J")</f>
        <v>J</v>
      </c>
      <c r="F1181" s="80" t="str">
        <f ca="1">IFERROR(__xludf.DUMMYFUNCTION("""COMPUTED_VALUE"""),"I")</f>
        <v>I</v>
      </c>
      <c r="G1181" s="80">
        <f ca="1">IFERROR(__xludf.DUMMYFUNCTION("""COMPUTED_VALUE"""),3)</f>
        <v>3</v>
      </c>
      <c r="H1181" s="80" t="str">
        <f ca="1">IFERROR(__xludf.DUMMYFUNCTION("""COMPUTED_VALUE"""),"LG")</f>
        <v>LG</v>
      </c>
      <c r="I1181" s="80">
        <f ca="1">IFERROR(__xludf.DUMMYFUNCTION("""COMPUTED_VALUE"""),4)</f>
        <v>4</v>
      </c>
      <c r="J1181" s="81">
        <f ca="1">IFERROR(__xludf.DUMMYFUNCTION("""COMPUTED_VALUE"""),4)</f>
        <v>4</v>
      </c>
      <c r="K1181" s="81">
        <f ca="1">IFERROR(__xludf.DUMMYFUNCTION("""COMPUTED_VALUE"""),94.6)</f>
        <v>94.6</v>
      </c>
      <c r="L1181" s="81">
        <f ca="1">IFERROR(__xludf.DUMMYFUNCTION("""COMPUTED_VALUE"""),94.25)</f>
        <v>94.25</v>
      </c>
      <c r="M1181" s="81"/>
      <c r="N1181" s="81">
        <f ca="1">IFERROR(__xludf.DUMMYFUNCTION("""COMPUTED_VALUE"""),85.55)</f>
        <v>85.55</v>
      </c>
      <c r="O1181" s="81"/>
      <c r="P1181" s="81">
        <f ca="1">IFERROR(__xludf.DUMMYFUNCTION("""COMPUTED_VALUE"""),94.6)</f>
        <v>94.6</v>
      </c>
      <c r="Q1181" s="81"/>
      <c r="R1181" s="81">
        <f ca="1">IFERROR(__xludf.DUMMYFUNCTION("""COMPUTED_VALUE"""),0)</f>
        <v>0</v>
      </c>
      <c r="S1181" s="81"/>
      <c r="T1181" s="81"/>
      <c r="U1181" s="82"/>
      <c r="V1181" s="82"/>
      <c r="W1181" s="83"/>
      <c r="X1181" s="83"/>
      <c r="Y1181" s="83"/>
    </row>
    <row r="1182" spans="1:25" ht="13.8">
      <c r="A1182" s="78" t="str">
        <f ca="1">IFERROR(__xludf.DUMMYFUNCTION("""COMPUTED_VALUE"""),"LG")</f>
        <v>LG</v>
      </c>
      <c r="B1182" s="79" t="str">
        <f ca="1">IFERROR(__xludf.DUMMYFUNCTION("""COMPUTED_VALUE"""),"Lauren Banko")</f>
        <v>Lauren Banko</v>
      </c>
      <c r="C1182" s="78">
        <f ca="1">IFERROR(__xludf.DUMMYFUNCTION("""COMPUTED_VALUE"""),12)</f>
        <v>12</v>
      </c>
      <c r="D1182" s="78" t="str">
        <f ca="1">IFERROR(__xludf.DUMMYFUNCTION("""COMPUTED_VALUE"""),"G")</f>
        <v>G</v>
      </c>
      <c r="E1182" s="80" t="str">
        <f ca="1">IFERROR(__xludf.DUMMYFUNCTION("""COMPUTED_VALUE"""),"J")</f>
        <v>J</v>
      </c>
      <c r="F1182" s="80" t="str">
        <f ca="1">IFERROR(__xludf.DUMMYFUNCTION("""COMPUTED_VALUE"""),"I")</f>
        <v>I</v>
      </c>
      <c r="G1182" s="80">
        <f ca="1">IFERROR(__xludf.DUMMYFUNCTION("""COMPUTED_VALUE"""),3)</f>
        <v>3</v>
      </c>
      <c r="H1182" s="80" t="str">
        <f ca="1">IFERROR(__xludf.DUMMYFUNCTION("""COMPUTED_VALUE"""),"LG")</f>
        <v>LG</v>
      </c>
      <c r="I1182" s="80">
        <f ca="1">IFERROR(__xludf.DUMMYFUNCTION("""COMPUTED_VALUE"""),4)</f>
        <v>4</v>
      </c>
      <c r="J1182" s="81">
        <f ca="1">IFERROR(__xludf.DUMMYFUNCTION("""COMPUTED_VALUE"""),0)</f>
        <v>0</v>
      </c>
      <c r="K1182" s="81">
        <f ca="1">IFERROR(__xludf.DUMMYFUNCTION("""COMPUTED_VALUE"""),0)</f>
        <v>0</v>
      </c>
      <c r="L1182" s="81">
        <f ca="1">IFERROR(__xludf.DUMMYFUNCTION("""COMPUTED_VALUE"""),0)</f>
        <v>0</v>
      </c>
      <c r="M1182" s="81"/>
      <c r="N1182" s="81">
        <f ca="1">IFERROR(__xludf.DUMMYFUNCTION("""COMPUTED_VALUE"""),0)</f>
        <v>0</v>
      </c>
      <c r="O1182" s="81"/>
      <c r="P1182" s="81">
        <f ca="1">IFERROR(__xludf.DUMMYFUNCTION("""COMPUTED_VALUE"""),0)</f>
        <v>0</v>
      </c>
      <c r="Q1182" s="81"/>
      <c r="R1182" s="81">
        <f ca="1">IFERROR(__xludf.DUMMYFUNCTION("""COMPUTED_VALUE"""),0)</f>
        <v>0</v>
      </c>
      <c r="S1182" s="81"/>
      <c r="T1182" s="81"/>
      <c r="U1182" s="82"/>
      <c r="V1182" s="82"/>
      <c r="W1182" s="83"/>
      <c r="X1182" s="83"/>
      <c r="Y1182" s="83"/>
    </row>
    <row r="1183" spans="1:25" ht="13.8">
      <c r="A1183" s="78" t="str">
        <f ca="1">IFERROR(__xludf.DUMMYFUNCTION("""COMPUTED_VALUE"""),"LG")</f>
        <v>LG</v>
      </c>
      <c r="B1183" s="79" t="str">
        <f ca="1">IFERROR(__xludf.DUMMYFUNCTION("""COMPUTED_VALUE"""),"Emmy Borg")</f>
        <v>Emmy Borg</v>
      </c>
      <c r="C1183" s="78">
        <f ca="1">IFERROR(__xludf.DUMMYFUNCTION("""COMPUTED_VALUE"""),11)</f>
        <v>11</v>
      </c>
      <c r="D1183" s="78" t="str">
        <f ca="1">IFERROR(__xludf.DUMMYFUNCTION("""COMPUTED_VALUE"""),"G")</f>
        <v>G</v>
      </c>
      <c r="E1183" s="80" t="str">
        <f ca="1">IFERROR(__xludf.DUMMYFUNCTION("""COMPUTED_VALUE"""),"J")</f>
        <v>J</v>
      </c>
      <c r="F1183" s="80" t="str">
        <f ca="1">IFERROR(__xludf.DUMMYFUNCTION("""COMPUTED_VALUE"""),"I")</f>
        <v>I</v>
      </c>
      <c r="G1183" s="80">
        <f ca="1">IFERROR(__xludf.DUMMYFUNCTION("""COMPUTED_VALUE"""),3)</f>
        <v>3</v>
      </c>
      <c r="H1183" s="80" t="str">
        <f ca="1">IFERROR(__xludf.DUMMYFUNCTION("""COMPUTED_VALUE"""),"LG")</f>
        <v>LG</v>
      </c>
      <c r="I1183" s="80">
        <f ca="1">IFERROR(__xludf.DUMMYFUNCTION("""COMPUTED_VALUE"""),4)</f>
        <v>4</v>
      </c>
      <c r="J1183" s="81">
        <f ca="1">IFERROR(__xludf.DUMMYFUNCTION("""COMPUTED_VALUE"""),1)</f>
        <v>1</v>
      </c>
      <c r="K1183" s="81">
        <f ca="1">IFERROR(__xludf.DUMMYFUNCTION("""COMPUTED_VALUE"""),0)</f>
        <v>0</v>
      </c>
      <c r="L1183" s="81">
        <f ca="1">IFERROR(__xludf.DUMMYFUNCTION("""COMPUTED_VALUE"""),0)</f>
        <v>0</v>
      </c>
      <c r="M1183" s="81"/>
      <c r="N1183" s="81">
        <f ca="1">IFERROR(__xludf.DUMMYFUNCTION("""COMPUTED_VALUE"""),0)</f>
        <v>0</v>
      </c>
      <c r="O1183" s="81"/>
      <c r="P1183" s="81">
        <f ca="1">IFERROR(__xludf.DUMMYFUNCTION("""COMPUTED_VALUE"""),0)</f>
        <v>0</v>
      </c>
      <c r="Q1183" s="81"/>
      <c r="R1183" s="81">
        <f ca="1">IFERROR(__xludf.DUMMYFUNCTION("""COMPUTED_VALUE"""),0)</f>
        <v>0</v>
      </c>
      <c r="S1183" s="81"/>
      <c r="T1183" s="81"/>
      <c r="U1183" s="82"/>
      <c r="V1183" s="82"/>
      <c r="W1183" s="83"/>
      <c r="X1183" s="83"/>
      <c r="Y1183" s="83"/>
    </row>
    <row r="1184" spans="1:25" ht="13.8">
      <c r="A1184" s="78" t="str">
        <f ca="1">IFERROR(__xludf.DUMMYFUNCTION("""COMPUTED_VALUE"""),"LG")</f>
        <v>LG</v>
      </c>
      <c r="B1184" s="79" t="str">
        <f ca="1">IFERROR(__xludf.DUMMYFUNCTION("""COMPUTED_VALUE"""),"Macy Brock")</f>
        <v>Macy Brock</v>
      </c>
      <c r="C1184" s="78">
        <f ca="1">IFERROR(__xludf.DUMMYFUNCTION("""COMPUTED_VALUE"""),12)</f>
        <v>12</v>
      </c>
      <c r="D1184" s="78" t="str">
        <f ca="1">IFERROR(__xludf.DUMMYFUNCTION("""COMPUTED_VALUE"""),"G")</f>
        <v>G</v>
      </c>
      <c r="E1184" s="80" t="str">
        <f ca="1">IFERROR(__xludf.DUMMYFUNCTION("""COMPUTED_VALUE"""),"J")</f>
        <v>J</v>
      </c>
      <c r="F1184" s="80" t="str">
        <f ca="1">IFERROR(__xludf.DUMMYFUNCTION("""COMPUTED_VALUE"""),"I")</f>
        <v>I</v>
      </c>
      <c r="G1184" s="80">
        <f ca="1">IFERROR(__xludf.DUMMYFUNCTION("""COMPUTED_VALUE"""),3)</f>
        <v>3</v>
      </c>
      <c r="H1184" s="80" t="str">
        <f ca="1">IFERROR(__xludf.DUMMYFUNCTION("""COMPUTED_VALUE"""),"LG")</f>
        <v>LG</v>
      </c>
      <c r="I1184" s="80">
        <f ca="1">IFERROR(__xludf.DUMMYFUNCTION("""COMPUTED_VALUE"""),4)</f>
        <v>4</v>
      </c>
      <c r="J1184" s="81">
        <f ca="1">IFERROR(__xludf.DUMMYFUNCTION("""COMPUTED_VALUE"""),0)</f>
        <v>0</v>
      </c>
      <c r="K1184" s="81">
        <f ca="1">IFERROR(__xludf.DUMMYFUNCTION("""COMPUTED_VALUE"""),0)</f>
        <v>0</v>
      </c>
      <c r="L1184" s="81">
        <f ca="1">IFERROR(__xludf.DUMMYFUNCTION("""COMPUTED_VALUE"""),0)</f>
        <v>0</v>
      </c>
      <c r="M1184" s="81"/>
      <c r="N1184" s="81">
        <f ca="1">IFERROR(__xludf.DUMMYFUNCTION("""COMPUTED_VALUE"""),0)</f>
        <v>0</v>
      </c>
      <c r="O1184" s="81"/>
      <c r="P1184" s="81">
        <f ca="1">IFERROR(__xludf.DUMMYFUNCTION("""COMPUTED_VALUE"""),0)</f>
        <v>0</v>
      </c>
      <c r="Q1184" s="81"/>
      <c r="R1184" s="81">
        <f ca="1">IFERROR(__xludf.DUMMYFUNCTION("""COMPUTED_VALUE"""),0)</f>
        <v>0</v>
      </c>
      <c r="S1184" s="81"/>
      <c r="T1184" s="81"/>
      <c r="U1184" s="82"/>
      <c r="V1184" s="82"/>
      <c r="W1184" s="83"/>
      <c r="X1184" s="83"/>
      <c r="Y1184" s="83"/>
    </row>
    <row r="1185" spans="1:25" ht="13.8">
      <c r="A1185" s="78" t="str">
        <f ca="1">IFERROR(__xludf.DUMMYFUNCTION("""COMPUTED_VALUE"""),"LG")</f>
        <v>LG</v>
      </c>
      <c r="B1185" s="79" t="str">
        <f ca="1">IFERROR(__xludf.DUMMYFUNCTION("""COMPUTED_VALUE"""),"Katherine Egge")</f>
        <v>Katherine Egge</v>
      </c>
      <c r="C1185" s="78">
        <f ca="1">IFERROR(__xludf.DUMMYFUNCTION("""COMPUTED_VALUE"""),12)</f>
        <v>12</v>
      </c>
      <c r="D1185" s="78" t="str">
        <f ca="1">IFERROR(__xludf.DUMMYFUNCTION("""COMPUTED_VALUE"""),"G")</f>
        <v>G</v>
      </c>
      <c r="E1185" s="80" t="str">
        <f ca="1">IFERROR(__xludf.DUMMYFUNCTION("""COMPUTED_VALUE"""),"J")</f>
        <v>J</v>
      </c>
      <c r="F1185" s="80" t="str">
        <f ca="1">IFERROR(__xludf.DUMMYFUNCTION("""COMPUTED_VALUE"""),"I")</f>
        <v>I</v>
      </c>
      <c r="G1185" s="80">
        <f ca="1">IFERROR(__xludf.DUMMYFUNCTION("""COMPUTED_VALUE"""),3)</f>
        <v>3</v>
      </c>
      <c r="H1185" s="80" t="str">
        <f ca="1">IFERROR(__xludf.DUMMYFUNCTION("""COMPUTED_VALUE"""),"LG")</f>
        <v>LG</v>
      </c>
      <c r="I1185" s="80">
        <f ca="1">IFERROR(__xludf.DUMMYFUNCTION("""COMPUTED_VALUE"""),4)</f>
        <v>4</v>
      </c>
      <c r="J1185" s="81">
        <f ca="1">IFERROR(__xludf.DUMMYFUNCTION("""COMPUTED_VALUE"""),0)</f>
        <v>0</v>
      </c>
      <c r="K1185" s="81">
        <f ca="1">IFERROR(__xludf.DUMMYFUNCTION("""COMPUTED_VALUE"""),0)</f>
        <v>0</v>
      </c>
      <c r="L1185" s="81">
        <f ca="1">IFERROR(__xludf.DUMMYFUNCTION("""COMPUTED_VALUE"""),0)</f>
        <v>0</v>
      </c>
      <c r="M1185" s="81"/>
      <c r="N1185" s="81">
        <f ca="1">IFERROR(__xludf.DUMMYFUNCTION("""COMPUTED_VALUE"""),0)</f>
        <v>0</v>
      </c>
      <c r="O1185" s="81"/>
      <c r="P1185" s="81">
        <f ca="1">IFERROR(__xludf.DUMMYFUNCTION("""COMPUTED_VALUE"""),0)</f>
        <v>0</v>
      </c>
      <c r="Q1185" s="81"/>
      <c r="R1185" s="81">
        <f ca="1">IFERROR(__xludf.DUMMYFUNCTION("""COMPUTED_VALUE"""),0)</f>
        <v>0</v>
      </c>
      <c r="S1185" s="81"/>
      <c r="T1185" s="81"/>
      <c r="U1185" s="82"/>
      <c r="V1185" s="82"/>
      <c r="W1185" s="83"/>
      <c r="X1185" s="83"/>
      <c r="Y1185" s="83"/>
    </row>
    <row r="1186" spans="1:25" ht="13.8">
      <c r="A1186" s="78" t="str">
        <f ca="1">IFERROR(__xludf.DUMMYFUNCTION("""COMPUTED_VALUE"""),"LG")</f>
        <v>LG</v>
      </c>
      <c r="B1186" s="79" t="str">
        <f ca="1">IFERROR(__xludf.DUMMYFUNCTION("""COMPUTED_VALUE"""),"Riley Fisher")</f>
        <v>Riley Fisher</v>
      </c>
      <c r="C1186" s="78">
        <f ca="1">IFERROR(__xludf.DUMMYFUNCTION("""COMPUTED_VALUE"""),12)</f>
        <v>12</v>
      </c>
      <c r="D1186" s="78" t="str">
        <f ca="1">IFERROR(__xludf.DUMMYFUNCTION("""COMPUTED_VALUE"""),"G")</f>
        <v>G</v>
      </c>
      <c r="E1186" s="80" t="str">
        <f ca="1">IFERROR(__xludf.DUMMYFUNCTION("""COMPUTED_VALUE"""),"J")</f>
        <v>J</v>
      </c>
      <c r="F1186" s="80" t="str">
        <f ca="1">IFERROR(__xludf.DUMMYFUNCTION("""COMPUTED_VALUE"""),"I")</f>
        <v>I</v>
      </c>
      <c r="G1186" s="80">
        <f ca="1">IFERROR(__xludf.DUMMYFUNCTION("""COMPUTED_VALUE"""),3)</f>
        <v>3</v>
      </c>
      <c r="H1186" s="80" t="str">
        <f ca="1">IFERROR(__xludf.DUMMYFUNCTION("""COMPUTED_VALUE"""),"LG")</f>
        <v>LG</v>
      </c>
      <c r="I1186" s="80">
        <f ca="1">IFERROR(__xludf.DUMMYFUNCTION("""COMPUTED_VALUE"""),4)</f>
        <v>4</v>
      </c>
      <c r="J1186" s="81">
        <f ca="1">IFERROR(__xludf.DUMMYFUNCTION("""COMPUTED_VALUE"""),0)</f>
        <v>0</v>
      </c>
      <c r="K1186" s="81">
        <f ca="1">IFERROR(__xludf.DUMMYFUNCTION("""COMPUTED_VALUE"""),0)</f>
        <v>0</v>
      </c>
      <c r="L1186" s="81">
        <f ca="1">IFERROR(__xludf.DUMMYFUNCTION("""COMPUTED_VALUE"""),0)</f>
        <v>0</v>
      </c>
      <c r="M1186" s="81"/>
      <c r="N1186" s="81">
        <f ca="1">IFERROR(__xludf.DUMMYFUNCTION("""COMPUTED_VALUE"""),0)</f>
        <v>0</v>
      </c>
      <c r="O1186" s="81"/>
      <c r="P1186" s="81">
        <f ca="1">IFERROR(__xludf.DUMMYFUNCTION("""COMPUTED_VALUE"""),0)</f>
        <v>0</v>
      </c>
      <c r="Q1186" s="81"/>
      <c r="R1186" s="81">
        <f ca="1">IFERROR(__xludf.DUMMYFUNCTION("""COMPUTED_VALUE"""),0)</f>
        <v>0</v>
      </c>
      <c r="S1186" s="81"/>
      <c r="T1186" s="81"/>
      <c r="U1186" s="82"/>
      <c r="V1186" s="82"/>
      <c r="W1186" s="83"/>
      <c r="X1186" s="83"/>
      <c r="Y1186" s="83"/>
    </row>
    <row r="1187" spans="1:25" ht="13.8">
      <c r="A1187" s="78" t="str">
        <f ca="1">IFERROR(__xludf.DUMMYFUNCTION("""COMPUTED_VALUE"""),"LG")</f>
        <v>LG</v>
      </c>
      <c r="B1187" s="79" t="str">
        <f ca="1">IFERROR(__xludf.DUMMYFUNCTION("""COMPUTED_VALUE"""),"Gwen Fry")</f>
        <v>Gwen Fry</v>
      </c>
      <c r="C1187" s="78">
        <f ca="1">IFERROR(__xludf.DUMMYFUNCTION("""COMPUTED_VALUE"""),12)</f>
        <v>12</v>
      </c>
      <c r="D1187" s="78" t="str">
        <f ca="1">IFERROR(__xludf.DUMMYFUNCTION("""COMPUTED_VALUE"""),"G")</f>
        <v>G</v>
      </c>
      <c r="E1187" s="80" t="str">
        <f ca="1">IFERROR(__xludf.DUMMYFUNCTION("""COMPUTED_VALUE"""),"J")</f>
        <v>J</v>
      </c>
      <c r="F1187" s="80" t="str">
        <f ca="1">IFERROR(__xludf.DUMMYFUNCTION("""COMPUTED_VALUE"""),"I")</f>
        <v>I</v>
      </c>
      <c r="G1187" s="80">
        <f ca="1">IFERROR(__xludf.DUMMYFUNCTION("""COMPUTED_VALUE"""),3)</f>
        <v>3</v>
      </c>
      <c r="H1187" s="80" t="str">
        <f ca="1">IFERROR(__xludf.DUMMYFUNCTION("""COMPUTED_VALUE"""),"LG")</f>
        <v>LG</v>
      </c>
      <c r="I1187" s="80">
        <f ca="1">IFERROR(__xludf.DUMMYFUNCTION("""COMPUTED_VALUE"""),4)</f>
        <v>4</v>
      </c>
      <c r="J1187" s="81">
        <f ca="1">IFERROR(__xludf.DUMMYFUNCTION("""COMPUTED_VALUE"""),5)</f>
        <v>5</v>
      </c>
      <c r="K1187" s="81">
        <f ca="1">IFERROR(__xludf.DUMMYFUNCTION("""COMPUTED_VALUE"""),81.05)</f>
        <v>81.05</v>
      </c>
      <c r="L1187" s="81">
        <f ca="1">IFERROR(__xludf.DUMMYFUNCTION("""COMPUTED_VALUE"""),65.1)</f>
        <v>65.099999999999994</v>
      </c>
      <c r="M1187" s="81"/>
      <c r="N1187" s="81">
        <f ca="1">IFERROR(__xludf.DUMMYFUNCTION("""COMPUTED_VALUE"""),65.2)</f>
        <v>65.2</v>
      </c>
      <c r="O1187" s="81"/>
      <c r="P1187" s="81">
        <f ca="1">IFERROR(__xludf.DUMMYFUNCTION("""COMPUTED_VALUE"""),81.05)</f>
        <v>81.05</v>
      </c>
      <c r="Q1187" s="81"/>
      <c r="R1187" s="81">
        <f ca="1">IFERROR(__xludf.DUMMYFUNCTION("""COMPUTED_VALUE"""),80.85)</f>
        <v>80.849999999999994</v>
      </c>
      <c r="S1187" s="81"/>
      <c r="T1187" s="81"/>
      <c r="U1187" s="82"/>
      <c r="V1187" s="82"/>
      <c r="W1187" s="83"/>
      <c r="X1187" s="83"/>
      <c r="Y1187" s="83"/>
    </row>
    <row r="1188" spans="1:25" ht="13.8">
      <c r="A1188" s="78" t="str">
        <f ca="1">IFERROR(__xludf.DUMMYFUNCTION("""COMPUTED_VALUE"""),"LG")</f>
        <v>LG</v>
      </c>
      <c r="B1188" s="79" t="str">
        <f ca="1">IFERROR(__xludf.DUMMYFUNCTION("""COMPUTED_VALUE"""),"Hadley Harmer")</f>
        <v>Hadley Harmer</v>
      </c>
      <c r="C1188" s="78">
        <f ca="1">IFERROR(__xludf.DUMMYFUNCTION("""COMPUTED_VALUE"""),12)</f>
        <v>12</v>
      </c>
      <c r="D1188" s="78" t="str">
        <f ca="1">IFERROR(__xludf.DUMMYFUNCTION("""COMPUTED_VALUE"""),"G")</f>
        <v>G</v>
      </c>
      <c r="E1188" s="80" t="str">
        <f ca="1">IFERROR(__xludf.DUMMYFUNCTION("""COMPUTED_VALUE"""),"J")</f>
        <v>J</v>
      </c>
      <c r="F1188" s="80" t="str">
        <f ca="1">IFERROR(__xludf.DUMMYFUNCTION("""COMPUTED_VALUE"""),"I")</f>
        <v>I</v>
      </c>
      <c r="G1188" s="80">
        <f ca="1">IFERROR(__xludf.DUMMYFUNCTION("""COMPUTED_VALUE"""),3)</f>
        <v>3</v>
      </c>
      <c r="H1188" s="80" t="str">
        <f ca="1">IFERROR(__xludf.DUMMYFUNCTION("""COMPUTED_VALUE"""),"LG")</f>
        <v>LG</v>
      </c>
      <c r="I1188" s="80">
        <f ca="1">IFERROR(__xludf.DUMMYFUNCTION("""COMPUTED_VALUE"""),4)</f>
        <v>4</v>
      </c>
      <c r="J1188" s="81">
        <f ca="1">IFERROR(__xludf.DUMMYFUNCTION("""COMPUTED_VALUE"""),0)</f>
        <v>0</v>
      </c>
      <c r="K1188" s="81">
        <f ca="1">IFERROR(__xludf.DUMMYFUNCTION("""COMPUTED_VALUE"""),0)</f>
        <v>0</v>
      </c>
      <c r="L1188" s="81">
        <f ca="1">IFERROR(__xludf.DUMMYFUNCTION("""COMPUTED_VALUE"""),0)</f>
        <v>0</v>
      </c>
      <c r="M1188" s="81"/>
      <c r="N1188" s="81">
        <f ca="1">IFERROR(__xludf.DUMMYFUNCTION("""COMPUTED_VALUE"""),0)</f>
        <v>0</v>
      </c>
      <c r="O1188" s="81"/>
      <c r="P1188" s="81">
        <f ca="1">IFERROR(__xludf.DUMMYFUNCTION("""COMPUTED_VALUE"""),0)</f>
        <v>0</v>
      </c>
      <c r="Q1188" s="81"/>
      <c r="R1188" s="81">
        <f ca="1">IFERROR(__xludf.DUMMYFUNCTION("""COMPUTED_VALUE"""),0)</f>
        <v>0</v>
      </c>
      <c r="S1188" s="81"/>
      <c r="T1188" s="81"/>
      <c r="U1188" s="82"/>
      <c r="V1188" s="82"/>
      <c r="W1188" s="83"/>
      <c r="X1188" s="83"/>
      <c r="Y1188" s="83"/>
    </row>
    <row r="1189" spans="1:25" ht="13.8">
      <c r="A1189" s="78" t="str">
        <f ca="1">IFERROR(__xludf.DUMMYFUNCTION("""COMPUTED_VALUE"""),"LG")</f>
        <v>LG</v>
      </c>
      <c r="B1189" s="79" t="str">
        <f ca="1">IFERROR(__xludf.DUMMYFUNCTION("""COMPUTED_VALUE"""),"Hannah Harmer")</f>
        <v>Hannah Harmer</v>
      </c>
      <c r="C1189" s="78">
        <f ca="1">IFERROR(__xludf.DUMMYFUNCTION("""COMPUTED_VALUE"""),11)</f>
        <v>11</v>
      </c>
      <c r="D1189" s="78" t="str">
        <f ca="1">IFERROR(__xludf.DUMMYFUNCTION("""COMPUTED_VALUE"""),"G")</f>
        <v>G</v>
      </c>
      <c r="E1189" s="80" t="str">
        <f ca="1">IFERROR(__xludf.DUMMYFUNCTION("""COMPUTED_VALUE"""),"J")</f>
        <v>J</v>
      </c>
      <c r="F1189" s="80" t="str">
        <f ca="1">IFERROR(__xludf.DUMMYFUNCTION("""COMPUTED_VALUE"""),"I")</f>
        <v>I</v>
      </c>
      <c r="G1189" s="80">
        <f ca="1">IFERROR(__xludf.DUMMYFUNCTION("""COMPUTED_VALUE"""),3)</f>
        <v>3</v>
      </c>
      <c r="H1189" s="80" t="str">
        <f ca="1">IFERROR(__xludf.DUMMYFUNCTION("""COMPUTED_VALUE"""),"LG")</f>
        <v>LG</v>
      </c>
      <c r="I1189" s="80">
        <f ca="1">IFERROR(__xludf.DUMMYFUNCTION("""COMPUTED_VALUE"""),4)</f>
        <v>4</v>
      </c>
      <c r="J1189" s="81">
        <f ca="1">IFERROR(__xludf.DUMMYFUNCTION("""COMPUTED_VALUE"""),0)</f>
        <v>0</v>
      </c>
      <c r="K1189" s="81">
        <f ca="1">IFERROR(__xludf.DUMMYFUNCTION("""COMPUTED_VALUE"""),0)</f>
        <v>0</v>
      </c>
      <c r="L1189" s="81">
        <f ca="1">IFERROR(__xludf.DUMMYFUNCTION("""COMPUTED_VALUE"""),0)</f>
        <v>0</v>
      </c>
      <c r="M1189" s="81"/>
      <c r="N1189" s="81">
        <f ca="1">IFERROR(__xludf.DUMMYFUNCTION("""COMPUTED_VALUE"""),0)</f>
        <v>0</v>
      </c>
      <c r="O1189" s="81"/>
      <c r="P1189" s="81">
        <f ca="1">IFERROR(__xludf.DUMMYFUNCTION("""COMPUTED_VALUE"""),0)</f>
        <v>0</v>
      </c>
      <c r="Q1189" s="81"/>
      <c r="R1189" s="81">
        <f ca="1">IFERROR(__xludf.DUMMYFUNCTION("""COMPUTED_VALUE"""),0)</f>
        <v>0</v>
      </c>
      <c r="S1189" s="81"/>
      <c r="T1189" s="81"/>
      <c r="U1189" s="82"/>
      <c r="V1189" s="82"/>
      <c r="W1189" s="83"/>
      <c r="X1189" s="83"/>
      <c r="Y1189" s="83"/>
    </row>
    <row r="1190" spans="1:25" ht="13.8">
      <c r="A1190" s="78" t="str">
        <f ca="1">IFERROR(__xludf.DUMMYFUNCTION("""COMPUTED_VALUE"""),"LG")</f>
        <v>LG</v>
      </c>
      <c r="B1190" s="79" t="str">
        <f ca="1">IFERROR(__xludf.DUMMYFUNCTION("""COMPUTED_VALUE"""),"Maddie Henry")</f>
        <v>Maddie Henry</v>
      </c>
      <c r="C1190" s="78">
        <f ca="1">IFERROR(__xludf.DUMMYFUNCTION("""COMPUTED_VALUE"""),12)</f>
        <v>12</v>
      </c>
      <c r="D1190" s="78" t="str">
        <f ca="1">IFERROR(__xludf.DUMMYFUNCTION("""COMPUTED_VALUE"""),"G")</f>
        <v>G</v>
      </c>
      <c r="E1190" s="80" t="str">
        <f ca="1">IFERROR(__xludf.DUMMYFUNCTION("""COMPUTED_VALUE"""),"J")</f>
        <v>J</v>
      </c>
      <c r="F1190" s="80" t="str">
        <f ca="1">IFERROR(__xludf.DUMMYFUNCTION("""COMPUTED_VALUE"""),"I")</f>
        <v>I</v>
      </c>
      <c r="G1190" s="80">
        <f ca="1">IFERROR(__xludf.DUMMYFUNCTION("""COMPUTED_VALUE"""),3)</f>
        <v>3</v>
      </c>
      <c r="H1190" s="80" t="str">
        <f ca="1">IFERROR(__xludf.DUMMYFUNCTION("""COMPUTED_VALUE"""),"LG")</f>
        <v>LG</v>
      </c>
      <c r="I1190" s="80">
        <f ca="1">IFERROR(__xludf.DUMMYFUNCTION("""COMPUTED_VALUE"""),4)</f>
        <v>4</v>
      </c>
      <c r="J1190" s="81">
        <f ca="1">IFERROR(__xludf.DUMMYFUNCTION("""COMPUTED_VALUE"""),0)</f>
        <v>0</v>
      </c>
      <c r="K1190" s="81">
        <f ca="1">IFERROR(__xludf.DUMMYFUNCTION("""COMPUTED_VALUE"""),0)</f>
        <v>0</v>
      </c>
      <c r="L1190" s="81">
        <f ca="1">IFERROR(__xludf.DUMMYFUNCTION("""COMPUTED_VALUE"""),0)</f>
        <v>0</v>
      </c>
      <c r="M1190" s="81"/>
      <c r="N1190" s="81">
        <f ca="1">IFERROR(__xludf.DUMMYFUNCTION("""COMPUTED_VALUE"""),0)</f>
        <v>0</v>
      </c>
      <c r="O1190" s="81"/>
      <c r="P1190" s="81">
        <f ca="1">IFERROR(__xludf.DUMMYFUNCTION("""COMPUTED_VALUE"""),0)</f>
        <v>0</v>
      </c>
      <c r="Q1190" s="81"/>
      <c r="R1190" s="81">
        <f ca="1">IFERROR(__xludf.DUMMYFUNCTION("""COMPUTED_VALUE"""),0)</f>
        <v>0</v>
      </c>
      <c r="S1190" s="81"/>
      <c r="T1190" s="81"/>
      <c r="U1190" s="82"/>
      <c r="V1190" s="82"/>
      <c r="W1190" s="83"/>
      <c r="X1190" s="83"/>
      <c r="Y1190" s="83"/>
    </row>
    <row r="1191" spans="1:25" ht="13.8">
      <c r="A1191" s="78" t="str">
        <f ca="1">IFERROR(__xludf.DUMMYFUNCTION("""COMPUTED_VALUE"""),"LG")</f>
        <v>LG</v>
      </c>
      <c r="B1191" s="79" t="str">
        <f ca="1">IFERROR(__xludf.DUMMYFUNCTION("""COMPUTED_VALUE"""),"Maura Hughes")</f>
        <v>Maura Hughes</v>
      </c>
      <c r="C1191" s="78">
        <f ca="1">IFERROR(__xludf.DUMMYFUNCTION("""COMPUTED_VALUE"""),12)</f>
        <v>12</v>
      </c>
      <c r="D1191" s="78" t="str">
        <f ca="1">IFERROR(__xludf.DUMMYFUNCTION("""COMPUTED_VALUE"""),"G")</f>
        <v>G</v>
      </c>
      <c r="E1191" s="80" t="str">
        <f ca="1">IFERROR(__xludf.DUMMYFUNCTION("""COMPUTED_VALUE"""),"J")</f>
        <v>J</v>
      </c>
      <c r="F1191" s="80" t="str">
        <f ca="1">IFERROR(__xludf.DUMMYFUNCTION("""COMPUTED_VALUE"""),"I")</f>
        <v>I</v>
      </c>
      <c r="G1191" s="80">
        <f ca="1">IFERROR(__xludf.DUMMYFUNCTION("""COMPUTED_VALUE"""),3)</f>
        <v>3</v>
      </c>
      <c r="H1191" s="80" t="str">
        <f ca="1">IFERROR(__xludf.DUMMYFUNCTION("""COMPUTED_VALUE"""),"LG")</f>
        <v>LG</v>
      </c>
      <c r="I1191" s="80">
        <f ca="1">IFERROR(__xludf.DUMMYFUNCTION("""COMPUTED_VALUE"""),4)</f>
        <v>4</v>
      </c>
      <c r="J1191" s="81">
        <f ca="1">IFERROR(__xludf.DUMMYFUNCTION("""COMPUTED_VALUE"""),0)</f>
        <v>0</v>
      </c>
      <c r="K1191" s="81">
        <f ca="1">IFERROR(__xludf.DUMMYFUNCTION("""COMPUTED_VALUE"""),0)</f>
        <v>0</v>
      </c>
      <c r="L1191" s="81">
        <f ca="1">IFERROR(__xludf.DUMMYFUNCTION("""COMPUTED_VALUE"""),0)</f>
        <v>0</v>
      </c>
      <c r="M1191" s="81"/>
      <c r="N1191" s="81">
        <f ca="1">IFERROR(__xludf.DUMMYFUNCTION("""COMPUTED_VALUE"""),0)</f>
        <v>0</v>
      </c>
      <c r="O1191" s="81"/>
      <c r="P1191" s="81">
        <f ca="1">IFERROR(__xludf.DUMMYFUNCTION("""COMPUTED_VALUE"""),0)</f>
        <v>0</v>
      </c>
      <c r="Q1191" s="81"/>
      <c r="R1191" s="81">
        <f ca="1">IFERROR(__xludf.DUMMYFUNCTION("""COMPUTED_VALUE"""),0)</f>
        <v>0</v>
      </c>
      <c r="S1191" s="81"/>
      <c r="T1191" s="81"/>
      <c r="U1191" s="82"/>
      <c r="V1191" s="82"/>
      <c r="W1191" s="83"/>
      <c r="X1191" s="83"/>
      <c r="Y1191" s="83"/>
    </row>
    <row r="1192" spans="1:25" ht="13.8">
      <c r="A1192" s="78" t="str">
        <f ca="1">IFERROR(__xludf.DUMMYFUNCTION("""COMPUTED_VALUE"""),"LG")</f>
        <v>LG</v>
      </c>
      <c r="B1192" s="79" t="str">
        <f ca="1">IFERROR(__xludf.DUMMYFUNCTION("""COMPUTED_VALUE"""),"Zoe Mar")</f>
        <v>Zoe Mar</v>
      </c>
      <c r="C1192" s="78">
        <f ca="1">IFERROR(__xludf.DUMMYFUNCTION("""COMPUTED_VALUE"""),11)</f>
        <v>11</v>
      </c>
      <c r="D1192" s="78" t="str">
        <f ca="1">IFERROR(__xludf.DUMMYFUNCTION("""COMPUTED_VALUE"""),"G")</f>
        <v>G</v>
      </c>
      <c r="E1192" s="80" t="str">
        <f ca="1">IFERROR(__xludf.DUMMYFUNCTION("""COMPUTED_VALUE"""),"J")</f>
        <v>J</v>
      </c>
      <c r="F1192" s="80" t="str">
        <f ca="1">IFERROR(__xludf.DUMMYFUNCTION("""COMPUTED_VALUE"""),"I")</f>
        <v>I</v>
      </c>
      <c r="G1192" s="80">
        <f ca="1">IFERROR(__xludf.DUMMYFUNCTION("""COMPUTED_VALUE"""),3)</f>
        <v>3</v>
      </c>
      <c r="H1192" s="80" t="str">
        <f ca="1">IFERROR(__xludf.DUMMYFUNCTION("""COMPUTED_VALUE"""),"LG")</f>
        <v>LG</v>
      </c>
      <c r="I1192" s="80">
        <f ca="1">IFERROR(__xludf.DUMMYFUNCTION("""COMPUTED_VALUE"""),4)</f>
        <v>4</v>
      </c>
      <c r="J1192" s="81">
        <f ca="1">IFERROR(__xludf.DUMMYFUNCTION("""COMPUTED_VALUE"""),5)</f>
        <v>5</v>
      </c>
      <c r="K1192" s="81">
        <f ca="1">IFERROR(__xludf.DUMMYFUNCTION("""COMPUTED_VALUE"""),114.55)</f>
        <v>114.55</v>
      </c>
      <c r="L1192" s="81">
        <f ca="1">IFERROR(__xludf.DUMMYFUNCTION("""COMPUTED_VALUE"""),101.6)</f>
        <v>101.6</v>
      </c>
      <c r="M1192" s="81"/>
      <c r="N1192" s="81">
        <f ca="1">IFERROR(__xludf.DUMMYFUNCTION("""COMPUTED_VALUE"""),94.3)</f>
        <v>94.3</v>
      </c>
      <c r="O1192" s="81"/>
      <c r="P1192" s="81">
        <f ca="1">IFERROR(__xludf.DUMMYFUNCTION("""COMPUTED_VALUE"""),114.55)</f>
        <v>114.55</v>
      </c>
      <c r="Q1192" s="81"/>
      <c r="R1192" s="81">
        <f ca="1">IFERROR(__xludf.DUMMYFUNCTION("""COMPUTED_VALUE"""),106.45)</f>
        <v>106.45</v>
      </c>
      <c r="S1192" s="81"/>
      <c r="T1192" s="81"/>
      <c r="U1192" s="82"/>
      <c r="V1192" s="82"/>
      <c r="W1192" s="83"/>
      <c r="X1192" s="83"/>
      <c r="Y1192" s="83"/>
    </row>
    <row r="1193" spans="1:25" ht="13.8">
      <c r="A1193" s="78" t="str">
        <f ca="1">IFERROR(__xludf.DUMMYFUNCTION("""COMPUTED_VALUE"""),"LG")</f>
        <v>LG</v>
      </c>
      <c r="B1193" s="79" t="str">
        <f ca="1">IFERROR(__xludf.DUMMYFUNCTION("""COMPUTED_VALUE"""),"Louise Meade")</f>
        <v>Louise Meade</v>
      </c>
      <c r="C1193" s="78">
        <f ca="1">IFERROR(__xludf.DUMMYFUNCTION("""COMPUTED_VALUE"""),12)</f>
        <v>12</v>
      </c>
      <c r="D1193" s="78" t="str">
        <f ca="1">IFERROR(__xludf.DUMMYFUNCTION("""COMPUTED_VALUE"""),"G")</f>
        <v>G</v>
      </c>
      <c r="E1193" s="80" t="str">
        <f ca="1">IFERROR(__xludf.DUMMYFUNCTION("""COMPUTED_VALUE"""),"J")</f>
        <v>J</v>
      </c>
      <c r="F1193" s="80" t="str">
        <f ca="1">IFERROR(__xludf.DUMMYFUNCTION("""COMPUTED_VALUE"""),"I")</f>
        <v>I</v>
      </c>
      <c r="G1193" s="80">
        <f ca="1">IFERROR(__xludf.DUMMYFUNCTION("""COMPUTED_VALUE"""),3)</f>
        <v>3</v>
      </c>
      <c r="H1193" s="80" t="str">
        <f ca="1">IFERROR(__xludf.DUMMYFUNCTION("""COMPUTED_VALUE"""),"LG")</f>
        <v>LG</v>
      </c>
      <c r="I1193" s="80">
        <f ca="1">IFERROR(__xludf.DUMMYFUNCTION("""COMPUTED_VALUE"""),4)</f>
        <v>4</v>
      </c>
      <c r="J1193" s="81">
        <f ca="1">IFERROR(__xludf.DUMMYFUNCTION("""COMPUTED_VALUE"""),0)</f>
        <v>0</v>
      </c>
      <c r="K1193" s="81">
        <f ca="1">IFERROR(__xludf.DUMMYFUNCTION("""COMPUTED_VALUE"""),0)</f>
        <v>0</v>
      </c>
      <c r="L1193" s="81">
        <f ca="1">IFERROR(__xludf.DUMMYFUNCTION("""COMPUTED_VALUE"""),0)</f>
        <v>0</v>
      </c>
      <c r="M1193" s="81"/>
      <c r="N1193" s="81">
        <f ca="1">IFERROR(__xludf.DUMMYFUNCTION("""COMPUTED_VALUE"""),0)</f>
        <v>0</v>
      </c>
      <c r="O1193" s="81"/>
      <c r="P1193" s="81">
        <f ca="1">IFERROR(__xludf.DUMMYFUNCTION("""COMPUTED_VALUE"""),0)</f>
        <v>0</v>
      </c>
      <c r="Q1193" s="81"/>
      <c r="R1193" s="81">
        <f ca="1">IFERROR(__xludf.DUMMYFUNCTION("""COMPUTED_VALUE"""),0)</f>
        <v>0</v>
      </c>
      <c r="S1193" s="81"/>
      <c r="T1193" s="81"/>
      <c r="U1193" s="82"/>
      <c r="V1193" s="82"/>
      <c r="W1193" s="83"/>
      <c r="X1193" s="83"/>
      <c r="Y1193" s="83"/>
    </row>
    <row r="1194" spans="1:25" ht="13.8">
      <c r="A1194" s="78" t="str">
        <f ca="1">IFERROR(__xludf.DUMMYFUNCTION("""COMPUTED_VALUE"""),"LG")</f>
        <v>LG</v>
      </c>
      <c r="B1194" s="79" t="str">
        <f ca="1">IFERROR(__xludf.DUMMYFUNCTION("""COMPUTED_VALUE"""),"Audrey Pounds")</f>
        <v>Audrey Pounds</v>
      </c>
      <c r="C1194" s="78">
        <f ca="1">IFERROR(__xludf.DUMMYFUNCTION("""COMPUTED_VALUE"""),12)</f>
        <v>12</v>
      </c>
      <c r="D1194" s="78" t="str">
        <f ca="1">IFERROR(__xludf.DUMMYFUNCTION("""COMPUTED_VALUE"""),"G")</f>
        <v>G</v>
      </c>
      <c r="E1194" s="80" t="str">
        <f ca="1">IFERROR(__xludf.DUMMYFUNCTION("""COMPUTED_VALUE"""),"J")</f>
        <v>J</v>
      </c>
      <c r="F1194" s="80" t="str">
        <f ca="1">IFERROR(__xludf.DUMMYFUNCTION("""COMPUTED_VALUE"""),"I")</f>
        <v>I</v>
      </c>
      <c r="G1194" s="80">
        <f ca="1">IFERROR(__xludf.DUMMYFUNCTION("""COMPUTED_VALUE"""),3)</f>
        <v>3</v>
      </c>
      <c r="H1194" s="80" t="str">
        <f ca="1">IFERROR(__xludf.DUMMYFUNCTION("""COMPUTED_VALUE"""),"LG")</f>
        <v>LG</v>
      </c>
      <c r="I1194" s="80">
        <f ca="1">IFERROR(__xludf.DUMMYFUNCTION("""COMPUTED_VALUE"""),4)</f>
        <v>4</v>
      </c>
      <c r="J1194" s="81">
        <f ca="1">IFERROR(__xludf.DUMMYFUNCTION("""COMPUTED_VALUE"""),5)</f>
        <v>5</v>
      </c>
      <c r="K1194" s="81">
        <f ca="1">IFERROR(__xludf.DUMMYFUNCTION("""COMPUTED_VALUE"""),83.8)</f>
        <v>83.8</v>
      </c>
      <c r="L1194" s="81">
        <f ca="1">IFERROR(__xludf.DUMMYFUNCTION("""COMPUTED_VALUE"""),75.2)</f>
        <v>75.2</v>
      </c>
      <c r="M1194" s="81"/>
      <c r="N1194" s="81">
        <f ca="1">IFERROR(__xludf.DUMMYFUNCTION("""COMPUTED_VALUE"""),75.55)</f>
        <v>75.55</v>
      </c>
      <c r="O1194" s="81"/>
      <c r="P1194" s="81">
        <f ca="1">IFERROR(__xludf.DUMMYFUNCTION("""COMPUTED_VALUE"""),83.8)</f>
        <v>83.8</v>
      </c>
      <c r="Q1194" s="81"/>
      <c r="R1194" s="81">
        <f ca="1">IFERROR(__xludf.DUMMYFUNCTION("""COMPUTED_VALUE"""),82.85)</f>
        <v>82.85</v>
      </c>
      <c r="S1194" s="81"/>
      <c r="T1194" s="81"/>
      <c r="U1194" s="82"/>
      <c r="V1194" s="82"/>
      <c r="W1194" s="83"/>
      <c r="X1194" s="83"/>
      <c r="Y1194" s="83"/>
    </row>
    <row r="1195" spans="1:25" ht="13.8">
      <c r="A1195" s="78" t="str">
        <f ca="1">IFERROR(__xludf.DUMMYFUNCTION("""COMPUTED_VALUE"""),"LG")</f>
        <v>LG</v>
      </c>
      <c r="B1195" s="79" t="str">
        <f ca="1">IFERROR(__xludf.DUMMYFUNCTION("""COMPUTED_VALUE"""),"Ella Wallinger")</f>
        <v>Ella Wallinger</v>
      </c>
      <c r="C1195" s="78">
        <f ca="1">IFERROR(__xludf.DUMMYFUNCTION("""COMPUTED_VALUE"""),12)</f>
        <v>12</v>
      </c>
      <c r="D1195" s="78" t="str">
        <f ca="1">IFERROR(__xludf.DUMMYFUNCTION("""COMPUTED_VALUE"""),"G")</f>
        <v>G</v>
      </c>
      <c r="E1195" s="80" t="str">
        <f ca="1">IFERROR(__xludf.DUMMYFUNCTION("""COMPUTED_VALUE"""),"J")</f>
        <v>J</v>
      </c>
      <c r="F1195" s="80" t="str">
        <f ca="1">IFERROR(__xludf.DUMMYFUNCTION("""COMPUTED_VALUE"""),"I")</f>
        <v>I</v>
      </c>
      <c r="G1195" s="80">
        <f ca="1">IFERROR(__xludf.DUMMYFUNCTION("""COMPUTED_VALUE"""),3)</f>
        <v>3</v>
      </c>
      <c r="H1195" s="80" t="str">
        <f ca="1">IFERROR(__xludf.DUMMYFUNCTION("""COMPUTED_VALUE"""),"LG")</f>
        <v>LG</v>
      </c>
      <c r="I1195" s="80">
        <f ca="1">IFERROR(__xludf.DUMMYFUNCTION("""COMPUTED_VALUE"""),4)</f>
        <v>4</v>
      </c>
      <c r="J1195" s="81">
        <f ca="1">IFERROR(__xludf.DUMMYFUNCTION("""COMPUTED_VALUE"""),4)</f>
        <v>4</v>
      </c>
      <c r="K1195" s="81">
        <f ca="1">IFERROR(__xludf.DUMMYFUNCTION("""COMPUTED_VALUE"""),102.1)</f>
        <v>102.1</v>
      </c>
      <c r="L1195" s="81">
        <f ca="1">IFERROR(__xludf.DUMMYFUNCTION("""COMPUTED_VALUE"""),78.35)</f>
        <v>78.349999999999994</v>
      </c>
      <c r="M1195" s="81"/>
      <c r="N1195" s="81">
        <f ca="1">IFERROR(__xludf.DUMMYFUNCTION("""COMPUTED_VALUE"""),0)</f>
        <v>0</v>
      </c>
      <c r="O1195" s="81"/>
      <c r="P1195" s="81">
        <f ca="1">IFERROR(__xludf.DUMMYFUNCTION("""COMPUTED_VALUE"""),102.1)</f>
        <v>102.1</v>
      </c>
      <c r="Q1195" s="81"/>
      <c r="R1195" s="81">
        <f ca="1">IFERROR(__xludf.DUMMYFUNCTION("""COMPUTED_VALUE"""),96.8)</f>
        <v>96.8</v>
      </c>
      <c r="S1195" s="81"/>
      <c r="T1195" s="81"/>
      <c r="U1195" s="82"/>
      <c r="V1195" s="82"/>
      <c r="W1195" s="83"/>
      <c r="X1195" s="83"/>
      <c r="Y1195" s="83"/>
    </row>
    <row r="1196" spans="1:25" ht="13.8">
      <c r="A1196" s="78" t="str">
        <f ca="1">IFERROR(__xludf.DUMMYFUNCTION("""COMPUTED_VALUE"""),"LG")</f>
        <v>LG</v>
      </c>
      <c r="B1196" s="79" t="str">
        <f ca="1">IFERROR(__xludf.DUMMYFUNCTION("""COMPUTED_VALUE"""),"Olivia Wanchick")</f>
        <v>Olivia Wanchick</v>
      </c>
      <c r="C1196" s="78">
        <f ca="1">IFERROR(__xludf.DUMMYFUNCTION("""COMPUTED_VALUE"""),12)</f>
        <v>12</v>
      </c>
      <c r="D1196" s="78" t="str">
        <f ca="1">IFERROR(__xludf.DUMMYFUNCTION("""COMPUTED_VALUE"""),"G")</f>
        <v>G</v>
      </c>
      <c r="E1196" s="80" t="str">
        <f ca="1">IFERROR(__xludf.DUMMYFUNCTION("""COMPUTED_VALUE"""),"J")</f>
        <v>J</v>
      </c>
      <c r="F1196" s="80" t="str">
        <f ca="1">IFERROR(__xludf.DUMMYFUNCTION("""COMPUTED_VALUE"""),"I")</f>
        <v>I</v>
      </c>
      <c r="G1196" s="80">
        <f ca="1">IFERROR(__xludf.DUMMYFUNCTION("""COMPUTED_VALUE"""),3)</f>
        <v>3</v>
      </c>
      <c r="H1196" s="80" t="str">
        <f ca="1">IFERROR(__xludf.DUMMYFUNCTION("""COMPUTED_VALUE"""),"LG")</f>
        <v>LG</v>
      </c>
      <c r="I1196" s="80">
        <f ca="1">IFERROR(__xludf.DUMMYFUNCTION("""COMPUTED_VALUE"""),4)</f>
        <v>4</v>
      </c>
      <c r="J1196" s="81">
        <f ca="1">IFERROR(__xludf.DUMMYFUNCTION("""COMPUTED_VALUE"""),4)</f>
        <v>4</v>
      </c>
      <c r="K1196" s="81">
        <f ca="1">IFERROR(__xludf.DUMMYFUNCTION("""COMPUTED_VALUE"""),84.7)</f>
        <v>84.7</v>
      </c>
      <c r="L1196" s="81">
        <f ca="1">IFERROR(__xludf.DUMMYFUNCTION("""COMPUTED_VALUE"""),0)</f>
        <v>0</v>
      </c>
      <c r="M1196" s="81"/>
      <c r="N1196" s="81">
        <f ca="1">IFERROR(__xludf.DUMMYFUNCTION("""COMPUTED_VALUE"""),53.05)</f>
        <v>53.05</v>
      </c>
      <c r="O1196" s="81"/>
      <c r="P1196" s="81">
        <f ca="1">IFERROR(__xludf.DUMMYFUNCTION("""COMPUTED_VALUE"""),74.05)</f>
        <v>74.05</v>
      </c>
      <c r="Q1196" s="81"/>
      <c r="R1196" s="81">
        <f ca="1">IFERROR(__xludf.DUMMYFUNCTION("""COMPUTED_VALUE"""),84.7)</f>
        <v>84.7</v>
      </c>
      <c r="S1196" s="81"/>
      <c r="T1196" s="81"/>
      <c r="U1196" s="82"/>
      <c r="V1196" s="82"/>
      <c r="W1196" s="83"/>
      <c r="X1196" s="83"/>
      <c r="Y1196" s="83"/>
    </row>
    <row r="1197" spans="1:25" ht="13.8">
      <c r="A1197" s="78" t="str">
        <f ca="1">IFERROR(__xludf.DUMMYFUNCTION("""COMPUTED_VALUE"""),"LG")</f>
        <v>LG</v>
      </c>
      <c r="B1197" s="79" t="str">
        <f ca="1">IFERROR(__xludf.DUMMYFUNCTION("""COMPUTED_VALUE"""),"Chloe Zullo")</f>
        <v>Chloe Zullo</v>
      </c>
      <c r="C1197" s="78">
        <f ca="1">IFERROR(__xludf.DUMMYFUNCTION("""COMPUTED_VALUE"""),12)</f>
        <v>12</v>
      </c>
      <c r="D1197" s="78" t="str">
        <f ca="1">IFERROR(__xludf.DUMMYFUNCTION("""COMPUTED_VALUE"""),"G")</f>
        <v>G</v>
      </c>
      <c r="E1197" s="80" t="str">
        <f ca="1">IFERROR(__xludf.DUMMYFUNCTION("""COMPUTED_VALUE"""),"J")</f>
        <v>J</v>
      </c>
      <c r="F1197" s="80" t="str">
        <f ca="1">IFERROR(__xludf.DUMMYFUNCTION("""COMPUTED_VALUE"""),"I")</f>
        <v>I</v>
      </c>
      <c r="G1197" s="80">
        <f ca="1">IFERROR(__xludf.DUMMYFUNCTION("""COMPUTED_VALUE"""),3)</f>
        <v>3</v>
      </c>
      <c r="H1197" s="80" t="str">
        <f ca="1">IFERROR(__xludf.DUMMYFUNCTION("""COMPUTED_VALUE"""),"LG")</f>
        <v>LG</v>
      </c>
      <c r="I1197" s="80">
        <f ca="1">IFERROR(__xludf.DUMMYFUNCTION("""COMPUTED_VALUE"""),4)</f>
        <v>4</v>
      </c>
      <c r="J1197" s="81">
        <f ca="1">IFERROR(__xludf.DUMMYFUNCTION("""COMPUTED_VALUE"""),0)</f>
        <v>0</v>
      </c>
      <c r="K1197" s="81">
        <f ca="1">IFERROR(__xludf.DUMMYFUNCTION("""COMPUTED_VALUE"""),0)</f>
        <v>0</v>
      </c>
      <c r="L1197" s="81">
        <f ca="1">IFERROR(__xludf.DUMMYFUNCTION("""COMPUTED_VALUE"""),0)</f>
        <v>0</v>
      </c>
      <c r="M1197" s="81"/>
      <c r="N1197" s="81">
        <f ca="1">IFERROR(__xludf.DUMMYFUNCTION("""COMPUTED_VALUE"""),0)</f>
        <v>0</v>
      </c>
      <c r="O1197" s="81"/>
      <c r="P1197" s="81">
        <f ca="1">IFERROR(__xludf.DUMMYFUNCTION("""COMPUTED_VALUE"""),0)</f>
        <v>0</v>
      </c>
      <c r="Q1197" s="81"/>
      <c r="R1197" s="81">
        <f ca="1">IFERROR(__xludf.DUMMYFUNCTION("""COMPUTED_VALUE"""),0)</f>
        <v>0</v>
      </c>
      <c r="S1197" s="81"/>
      <c r="T1197" s="81"/>
      <c r="U1197" s="82"/>
      <c r="V1197" s="82"/>
      <c r="W1197" s="83"/>
      <c r="X1197" s="83"/>
      <c r="Y1197" s="83"/>
    </row>
    <row r="1198" spans="1:25" ht="13.8">
      <c r="A1198" s="78" t="str">
        <f ca="1">IFERROR(__xludf.DUMMYFUNCTION("""COMPUTED_VALUE"""),"LG")</f>
        <v>LG</v>
      </c>
      <c r="B1198" s="79" t="str">
        <f ca="1">IFERROR(__xludf.DUMMYFUNCTION("""COMPUTED_VALUE"""),"Andrew Bucher")</f>
        <v>Andrew Bucher</v>
      </c>
      <c r="C1198" s="78">
        <f ca="1">IFERROR(__xludf.DUMMYFUNCTION("""COMPUTED_VALUE"""),11)</f>
        <v>11</v>
      </c>
      <c r="D1198" s="78" t="str">
        <f ca="1">IFERROR(__xludf.DUMMYFUNCTION("""COMPUTED_VALUE"""),"B")</f>
        <v>B</v>
      </c>
      <c r="E1198" s="80" t="str">
        <f ca="1">IFERROR(__xludf.DUMMYFUNCTION("""COMPUTED_VALUE"""),"J")</f>
        <v>J</v>
      </c>
      <c r="F1198" s="80" t="str">
        <f ca="1">IFERROR(__xludf.DUMMYFUNCTION("""COMPUTED_VALUE"""),"I")</f>
        <v>I</v>
      </c>
      <c r="G1198" s="80">
        <f ca="1">IFERROR(__xludf.DUMMYFUNCTION("""COMPUTED_VALUE"""),3)</f>
        <v>3</v>
      </c>
      <c r="H1198" s="80" t="str">
        <f ca="1">IFERROR(__xludf.DUMMYFUNCTION("""COMPUTED_VALUE"""),"LG")</f>
        <v>LG</v>
      </c>
      <c r="I1198" s="80">
        <f ca="1">IFERROR(__xludf.DUMMYFUNCTION("""COMPUTED_VALUE"""),5)</f>
        <v>5</v>
      </c>
      <c r="J1198" s="81">
        <f ca="1">IFERROR(__xludf.DUMMYFUNCTION("""COMPUTED_VALUE"""),3)</f>
        <v>3</v>
      </c>
      <c r="K1198" s="81">
        <f ca="1">IFERROR(__xludf.DUMMYFUNCTION("""COMPUTED_VALUE"""),76.2)</f>
        <v>76.2</v>
      </c>
      <c r="L1198" s="81">
        <f ca="1">IFERROR(__xludf.DUMMYFUNCTION("""COMPUTED_VALUE"""),0)</f>
        <v>0</v>
      </c>
      <c r="M1198" s="81"/>
      <c r="N1198" s="81">
        <f ca="1">IFERROR(__xludf.DUMMYFUNCTION("""COMPUTED_VALUE"""),53.55)</f>
        <v>53.55</v>
      </c>
      <c r="O1198" s="81"/>
      <c r="P1198" s="81">
        <f ca="1">IFERROR(__xludf.DUMMYFUNCTION("""COMPUTED_VALUE"""),0)</f>
        <v>0</v>
      </c>
      <c r="Q1198" s="81"/>
      <c r="R1198" s="81">
        <f ca="1">IFERROR(__xludf.DUMMYFUNCTION("""COMPUTED_VALUE"""),76.2)</f>
        <v>76.2</v>
      </c>
      <c r="S1198" s="81"/>
      <c r="T1198" s="81"/>
      <c r="U1198" s="82"/>
      <c r="V1198" s="82"/>
      <c r="W1198" s="83"/>
      <c r="X1198" s="83"/>
      <c r="Y1198" s="83"/>
    </row>
    <row r="1199" spans="1:25" ht="13.8">
      <c r="A1199" s="78" t="str">
        <f ca="1">IFERROR(__xludf.DUMMYFUNCTION("""COMPUTED_VALUE"""),"LG")</f>
        <v>LG</v>
      </c>
      <c r="B1199" s="79" t="str">
        <f ca="1">IFERROR(__xludf.DUMMYFUNCTION("""COMPUTED_VALUE"""),"Gavin Hegenbart")</f>
        <v>Gavin Hegenbart</v>
      </c>
      <c r="C1199" s="78">
        <f ca="1">IFERROR(__xludf.DUMMYFUNCTION("""COMPUTED_VALUE"""),11)</f>
        <v>11</v>
      </c>
      <c r="D1199" s="78" t="str">
        <f ca="1">IFERROR(__xludf.DUMMYFUNCTION("""COMPUTED_VALUE"""),"B")</f>
        <v>B</v>
      </c>
      <c r="E1199" s="80" t="str">
        <f ca="1">IFERROR(__xludf.DUMMYFUNCTION("""COMPUTED_VALUE"""),"J")</f>
        <v>J</v>
      </c>
      <c r="F1199" s="80" t="str">
        <f ca="1">IFERROR(__xludf.DUMMYFUNCTION("""COMPUTED_VALUE"""),"I")</f>
        <v>I</v>
      </c>
      <c r="G1199" s="80">
        <f ca="1">IFERROR(__xludf.DUMMYFUNCTION("""COMPUTED_VALUE"""),3)</f>
        <v>3</v>
      </c>
      <c r="H1199" s="80" t="str">
        <f ca="1">IFERROR(__xludf.DUMMYFUNCTION("""COMPUTED_VALUE"""),"LG")</f>
        <v>LG</v>
      </c>
      <c r="I1199" s="80">
        <f ca="1">IFERROR(__xludf.DUMMYFUNCTION("""COMPUTED_VALUE"""),5)</f>
        <v>5</v>
      </c>
      <c r="J1199" s="81">
        <f ca="1">IFERROR(__xludf.DUMMYFUNCTION("""COMPUTED_VALUE"""),0)</f>
        <v>0</v>
      </c>
      <c r="K1199" s="81">
        <f ca="1">IFERROR(__xludf.DUMMYFUNCTION("""COMPUTED_VALUE"""),0)</f>
        <v>0</v>
      </c>
      <c r="L1199" s="81">
        <f ca="1">IFERROR(__xludf.DUMMYFUNCTION("""COMPUTED_VALUE"""),0)</f>
        <v>0</v>
      </c>
      <c r="M1199" s="81"/>
      <c r="N1199" s="81">
        <f ca="1">IFERROR(__xludf.DUMMYFUNCTION("""COMPUTED_VALUE"""),0)</f>
        <v>0</v>
      </c>
      <c r="O1199" s="81"/>
      <c r="P1199" s="81">
        <f ca="1">IFERROR(__xludf.DUMMYFUNCTION("""COMPUTED_VALUE"""),0)</f>
        <v>0</v>
      </c>
      <c r="Q1199" s="81"/>
      <c r="R1199" s="81">
        <f ca="1">IFERROR(__xludf.DUMMYFUNCTION("""COMPUTED_VALUE"""),0)</f>
        <v>0</v>
      </c>
      <c r="S1199" s="81"/>
      <c r="T1199" s="81"/>
      <c r="U1199" s="82"/>
      <c r="V1199" s="82"/>
      <c r="W1199" s="83"/>
      <c r="X1199" s="83"/>
      <c r="Y1199" s="83"/>
    </row>
    <row r="1200" spans="1:25" ht="13.8">
      <c r="A1200" s="78" t="str">
        <f ca="1">IFERROR(__xludf.DUMMYFUNCTION("""COMPUTED_VALUE"""),"LG")</f>
        <v>LG</v>
      </c>
      <c r="B1200" s="79" t="str">
        <f ca="1">IFERROR(__xludf.DUMMYFUNCTION("""COMPUTED_VALUE"""),"Kenton Scheifele")</f>
        <v>Kenton Scheifele</v>
      </c>
      <c r="C1200" s="78">
        <f ca="1">IFERROR(__xludf.DUMMYFUNCTION("""COMPUTED_VALUE"""),11)</f>
        <v>11</v>
      </c>
      <c r="D1200" s="78" t="str">
        <f ca="1">IFERROR(__xludf.DUMMYFUNCTION("""COMPUTED_VALUE"""),"B")</f>
        <v>B</v>
      </c>
      <c r="E1200" s="80" t="str">
        <f ca="1">IFERROR(__xludf.DUMMYFUNCTION("""COMPUTED_VALUE"""),"J")</f>
        <v>J</v>
      </c>
      <c r="F1200" s="80" t="str">
        <f ca="1">IFERROR(__xludf.DUMMYFUNCTION("""COMPUTED_VALUE"""),"I")</f>
        <v>I</v>
      </c>
      <c r="G1200" s="80">
        <f ca="1">IFERROR(__xludf.DUMMYFUNCTION("""COMPUTED_VALUE"""),3)</f>
        <v>3</v>
      </c>
      <c r="H1200" s="80" t="str">
        <f ca="1">IFERROR(__xludf.DUMMYFUNCTION("""COMPUTED_VALUE"""),"LG")</f>
        <v>LG</v>
      </c>
      <c r="I1200" s="80">
        <f ca="1">IFERROR(__xludf.DUMMYFUNCTION("""COMPUTED_VALUE"""),5)</f>
        <v>5</v>
      </c>
      <c r="J1200" s="81">
        <f ca="1">IFERROR(__xludf.DUMMYFUNCTION("""COMPUTED_VALUE"""),0)</f>
        <v>0</v>
      </c>
      <c r="K1200" s="81">
        <f ca="1">IFERROR(__xludf.DUMMYFUNCTION("""COMPUTED_VALUE"""),0)</f>
        <v>0</v>
      </c>
      <c r="L1200" s="81">
        <f ca="1">IFERROR(__xludf.DUMMYFUNCTION("""COMPUTED_VALUE"""),0)</f>
        <v>0</v>
      </c>
      <c r="M1200" s="81"/>
      <c r="N1200" s="81">
        <f ca="1">IFERROR(__xludf.DUMMYFUNCTION("""COMPUTED_VALUE"""),0)</f>
        <v>0</v>
      </c>
      <c r="O1200" s="81"/>
      <c r="P1200" s="81">
        <f ca="1">IFERROR(__xludf.DUMMYFUNCTION("""COMPUTED_VALUE"""),0)</f>
        <v>0</v>
      </c>
      <c r="Q1200" s="81"/>
      <c r="R1200" s="81">
        <f ca="1">IFERROR(__xludf.DUMMYFUNCTION("""COMPUTED_VALUE"""),0)</f>
        <v>0</v>
      </c>
      <c r="S1200" s="81"/>
      <c r="T1200" s="81"/>
      <c r="U1200" s="82"/>
      <c r="V1200" s="82"/>
      <c r="W1200" s="83"/>
      <c r="X1200" s="83"/>
      <c r="Y1200" s="83"/>
    </row>
    <row r="1201" spans="1:25" ht="13.8">
      <c r="A1201" s="78" t="str">
        <f ca="1">IFERROR(__xludf.DUMMYFUNCTION("""COMPUTED_VALUE"""),"LG")</f>
        <v>LG</v>
      </c>
      <c r="B1201" s="79" t="str">
        <f ca="1">IFERROR(__xludf.DUMMYFUNCTION("""COMPUTED_VALUE"""),"Patrick Scully")</f>
        <v>Patrick Scully</v>
      </c>
      <c r="C1201" s="78">
        <f ca="1">IFERROR(__xludf.DUMMYFUNCTION("""COMPUTED_VALUE"""),11)</f>
        <v>11</v>
      </c>
      <c r="D1201" s="78" t="str">
        <f ca="1">IFERROR(__xludf.DUMMYFUNCTION("""COMPUTED_VALUE"""),"B")</f>
        <v>B</v>
      </c>
      <c r="E1201" s="80" t="str">
        <f ca="1">IFERROR(__xludf.DUMMYFUNCTION("""COMPUTED_VALUE"""),"J")</f>
        <v>J</v>
      </c>
      <c r="F1201" s="80" t="str">
        <f ca="1">IFERROR(__xludf.DUMMYFUNCTION("""COMPUTED_VALUE"""),"I")</f>
        <v>I</v>
      </c>
      <c r="G1201" s="80">
        <f ca="1">IFERROR(__xludf.DUMMYFUNCTION("""COMPUTED_VALUE"""),3)</f>
        <v>3</v>
      </c>
      <c r="H1201" s="80" t="str">
        <f ca="1">IFERROR(__xludf.DUMMYFUNCTION("""COMPUTED_VALUE"""),"LG")</f>
        <v>LG</v>
      </c>
      <c r="I1201" s="80">
        <f ca="1">IFERROR(__xludf.DUMMYFUNCTION("""COMPUTED_VALUE"""),5)</f>
        <v>5</v>
      </c>
      <c r="J1201" s="81">
        <f ca="1">IFERROR(__xludf.DUMMYFUNCTION("""COMPUTED_VALUE"""),4)</f>
        <v>4</v>
      </c>
      <c r="K1201" s="81">
        <f ca="1">IFERROR(__xludf.DUMMYFUNCTION("""COMPUTED_VALUE"""),86.05)</f>
        <v>86.05</v>
      </c>
      <c r="L1201" s="81">
        <f ca="1">IFERROR(__xludf.DUMMYFUNCTION("""COMPUTED_VALUE"""),0)</f>
        <v>0</v>
      </c>
      <c r="M1201" s="81"/>
      <c r="N1201" s="81">
        <f ca="1">IFERROR(__xludf.DUMMYFUNCTION("""COMPUTED_VALUE"""),60.3)</f>
        <v>60.3</v>
      </c>
      <c r="O1201" s="81"/>
      <c r="P1201" s="81">
        <f ca="1">IFERROR(__xludf.DUMMYFUNCTION("""COMPUTED_VALUE"""),86.05)</f>
        <v>86.05</v>
      </c>
      <c r="Q1201" s="81"/>
      <c r="R1201" s="81">
        <f ca="1">IFERROR(__xludf.DUMMYFUNCTION("""COMPUTED_VALUE"""),80.6)</f>
        <v>80.599999999999994</v>
      </c>
      <c r="S1201" s="81"/>
      <c r="T1201" s="81"/>
      <c r="U1201" s="82"/>
      <c r="V1201" s="82"/>
      <c r="W1201" s="83"/>
      <c r="X1201" s="83"/>
      <c r="Y1201" s="83"/>
    </row>
    <row r="1202" spans="1:25" ht="13.8">
      <c r="A1202" s="78" t="str">
        <f ca="1">IFERROR(__xludf.DUMMYFUNCTION("""COMPUTED_VALUE"""),"LG")</f>
        <v>LG</v>
      </c>
      <c r="B1202" s="79" t="str">
        <f ca="1">IFERROR(__xludf.DUMMYFUNCTION("""COMPUTED_VALUE"""),"Edan Thomton")</f>
        <v>Edan Thomton</v>
      </c>
      <c r="C1202" s="78">
        <f ca="1">IFERROR(__xludf.DUMMYFUNCTION("""COMPUTED_VALUE"""),12)</f>
        <v>12</v>
      </c>
      <c r="D1202" s="78" t="str">
        <f ca="1">IFERROR(__xludf.DUMMYFUNCTION("""COMPUTED_VALUE"""),"B")</f>
        <v>B</v>
      </c>
      <c r="E1202" s="80" t="str">
        <f ca="1">IFERROR(__xludf.DUMMYFUNCTION("""COMPUTED_VALUE"""),"J")</f>
        <v>J</v>
      </c>
      <c r="F1202" s="80" t="str">
        <f ca="1">IFERROR(__xludf.DUMMYFUNCTION("""COMPUTED_VALUE"""),"I")</f>
        <v>I</v>
      </c>
      <c r="G1202" s="80">
        <f ca="1">IFERROR(__xludf.DUMMYFUNCTION("""COMPUTED_VALUE"""),3)</f>
        <v>3</v>
      </c>
      <c r="H1202" s="80" t="str">
        <f ca="1">IFERROR(__xludf.DUMMYFUNCTION("""COMPUTED_VALUE"""),"LG")</f>
        <v>LG</v>
      </c>
      <c r="I1202" s="80">
        <f ca="1">IFERROR(__xludf.DUMMYFUNCTION("""COMPUTED_VALUE"""),5)</f>
        <v>5</v>
      </c>
      <c r="J1202" s="81">
        <f ca="1">IFERROR(__xludf.DUMMYFUNCTION("""COMPUTED_VALUE"""),0)</f>
        <v>0</v>
      </c>
      <c r="K1202" s="81">
        <f ca="1">IFERROR(__xludf.DUMMYFUNCTION("""COMPUTED_VALUE"""),0)</f>
        <v>0</v>
      </c>
      <c r="L1202" s="81">
        <f ca="1">IFERROR(__xludf.DUMMYFUNCTION("""COMPUTED_VALUE"""),0)</f>
        <v>0</v>
      </c>
      <c r="M1202" s="81"/>
      <c r="N1202" s="81">
        <f ca="1">IFERROR(__xludf.DUMMYFUNCTION("""COMPUTED_VALUE"""),0)</f>
        <v>0</v>
      </c>
      <c r="O1202" s="81"/>
      <c r="P1202" s="81">
        <f ca="1">IFERROR(__xludf.DUMMYFUNCTION("""COMPUTED_VALUE"""),0)</f>
        <v>0</v>
      </c>
      <c r="Q1202" s="81"/>
      <c r="R1202" s="81">
        <f ca="1">IFERROR(__xludf.DUMMYFUNCTION("""COMPUTED_VALUE"""),0)</f>
        <v>0</v>
      </c>
      <c r="S1202" s="81"/>
      <c r="T1202" s="81"/>
      <c r="U1202" s="82"/>
      <c r="V1202" s="82"/>
      <c r="W1202" s="83"/>
      <c r="X1202" s="83"/>
      <c r="Y1202" s="83"/>
    </row>
    <row r="1203" spans="1:25" ht="13.8">
      <c r="A1203" s="78" t="str">
        <f ca="1">IFERROR(__xludf.DUMMYFUNCTION("""COMPUTED_VALUE"""),"LG")</f>
        <v>LG</v>
      </c>
      <c r="B1203" s="79" t="str">
        <f ca="1">IFERROR(__xludf.DUMMYFUNCTION("""COMPUTED_VALUE"""),"Isaac Weiss")</f>
        <v>Isaac Weiss</v>
      </c>
      <c r="C1203" s="78">
        <f ca="1">IFERROR(__xludf.DUMMYFUNCTION("""COMPUTED_VALUE"""),11)</f>
        <v>11</v>
      </c>
      <c r="D1203" s="78" t="str">
        <f ca="1">IFERROR(__xludf.DUMMYFUNCTION("""COMPUTED_VALUE"""),"B")</f>
        <v>B</v>
      </c>
      <c r="E1203" s="80" t="str">
        <f ca="1">IFERROR(__xludf.DUMMYFUNCTION("""COMPUTED_VALUE"""),"J")</f>
        <v>J</v>
      </c>
      <c r="F1203" s="80" t="str">
        <f ca="1">IFERROR(__xludf.DUMMYFUNCTION("""COMPUTED_VALUE"""),"I")</f>
        <v>I</v>
      </c>
      <c r="G1203" s="80">
        <f ca="1">IFERROR(__xludf.DUMMYFUNCTION("""COMPUTED_VALUE"""),3)</f>
        <v>3</v>
      </c>
      <c r="H1203" s="80" t="str">
        <f ca="1">IFERROR(__xludf.DUMMYFUNCTION("""COMPUTED_VALUE"""),"LG")</f>
        <v>LG</v>
      </c>
      <c r="I1203" s="80">
        <f ca="1">IFERROR(__xludf.DUMMYFUNCTION("""COMPUTED_VALUE"""),5)</f>
        <v>5</v>
      </c>
      <c r="J1203" s="81">
        <f ca="1">IFERROR(__xludf.DUMMYFUNCTION("""COMPUTED_VALUE"""),0)</f>
        <v>0</v>
      </c>
      <c r="K1203" s="81">
        <f ca="1">IFERROR(__xludf.DUMMYFUNCTION("""COMPUTED_VALUE"""),0)</f>
        <v>0</v>
      </c>
      <c r="L1203" s="81">
        <f ca="1">IFERROR(__xludf.DUMMYFUNCTION("""COMPUTED_VALUE"""),0)</f>
        <v>0</v>
      </c>
      <c r="M1203" s="81"/>
      <c r="N1203" s="81">
        <f ca="1">IFERROR(__xludf.DUMMYFUNCTION("""COMPUTED_VALUE"""),0)</f>
        <v>0</v>
      </c>
      <c r="O1203" s="81"/>
      <c r="P1203" s="81">
        <f ca="1">IFERROR(__xludf.DUMMYFUNCTION("""COMPUTED_VALUE"""),0)</f>
        <v>0</v>
      </c>
      <c r="Q1203" s="81"/>
      <c r="R1203" s="81">
        <f ca="1">IFERROR(__xludf.DUMMYFUNCTION("""COMPUTED_VALUE"""),0)</f>
        <v>0</v>
      </c>
      <c r="S1203" s="81"/>
      <c r="T1203" s="81"/>
      <c r="U1203" s="82"/>
      <c r="V1203" s="82"/>
      <c r="W1203" s="83"/>
      <c r="X1203" s="83"/>
      <c r="Y1203" s="83"/>
    </row>
    <row r="1204" spans="1:25" ht="13.8">
      <c r="A1204" s="78" t="str">
        <f ca="1">IFERROR(__xludf.DUMMYFUNCTION("""COMPUTED_VALUE"""),"LG")</f>
        <v>LG</v>
      </c>
      <c r="B1204" s="79" t="str">
        <f ca="1">IFERROR(__xludf.DUMMYFUNCTION("""COMPUTED_VALUE"""),"Finn Yeh")</f>
        <v>Finn Yeh</v>
      </c>
      <c r="C1204" s="78">
        <f ca="1">IFERROR(__xludf.DUMMYFUNCTION("""COMPUTED_VALUE"""),11)</f>
        <v>11</v>
      </c>
      <c r="D1204" s="78" t="str">
        <f ca="1">IFERROR(__xludf.DUMMYFUNCTION("""COMPUTED_VALUE"""),"B")</f>
        <v>B</v>
      </c>
      <c r="E1204" s="80" t="str">
        <f ca="1">IFERROR(__xludf.DUMMYFUNCTION("""COMPUTED_VALUE"""),"J")</f>
        <v>J</v>
      </c>
      <c r="F1204" s="80" t="str">
        <f ca="1">IFERROR(__xludf.DUMMYFUNCTION("""COMPUTED_VALUE"""),"I")</f>
        <v>I</v>
      </c>
      <c r="G1204" s="80">
        <f ca="1">IFERROR(__xludf.DUMMYFUNCTION("""COMPUTED_VALUE"""),3)</f>
        <v>3</v>
      </c>
      <c r="H1204" s="80" t="str">
        <f ca="1">IFERROR(__xludf.DUMMYFUNCTION("""COMPUTED_VALUE"""),"LG")</f>
        <v>LG</v>
      </c>
      <c r="I1204" s="80">
        <f ca="1">IFERROR(__xludf.DUMMYFUNCTION("""COMPUTED_VALUE"""),5)</f>
        <v>5</v>
      </c>
      <c r="J1204" s="81">
        <f ca="1">IFERROR(__xludf.DUMMYFUNCTION("""COMPUTED_VALUE"""),4)</f>
        <v>4</v>
      </c>
      <c r="K1204" s="81">
        <f ca="1">IFERROR(__xludf.DUMMYFUNCTION("""COMPUTED_VALUE"""),70.75)</f>
        <v>70.75</v>
      </c>
      <c r="L1204" s="81">
        <f ca="1">IFERROR(__xludf.DUMMYFUNCTION("""COMPUTED_VALUE"""),61.9)</f>
        <v>61.9</v>
      </c>
      <c r="M1204" s="81"/>
      <c r="N1204" s="81">
        <f ca="1">IFERROR(__xludf.DUMMYFUNCTION("""COMPUTED_VALUE"""),59.15)</f>
        <v>59.15</v>
      </c>
      <c r="O1204" s="81"/>
      <c r="P1204" s="81">
        <f ca="1">IFERROR(__xludf.DUMMYFUNCTION("""COMPUTED_VALUE"""),0)</f>
        <v>0</v>
      </c>
      <c r="Q1204" s="81"/>
      <c r="R1204" s="81">
        <f ca="1">IFERROR(__xludf.DUMMYFUNCTION("""COMPUTED_VALUE"""),70.75)</f>
        <v>70.75</v>
      </c>
      <c r="S1204" s="81"/>
      <c r="T1204" s="81"/>
      <c r="U1204" s="82"/>
      <c r="V1204" s="82"/>
      <c r="W1204" s="83"/>
      <c r="X1204" s="83"/>
      <c r="Y1204" s="83"/>
    </row>
    <row r="1205" spans="1:25" ht="13.8">
      <c r="A1205" s="78" t="str">
        <f ca="1">IFERROR(__xludf.DUMMYFUNCTION("""COMPUTED_VALUE"""),"LG")</f>
        <v>LG</v>
      </c>
      <c r="B1205" s="79" t="str">
        <f ca="1">IFERROR(__xludf.DUMMYFUNCTION("""COMPUTED_VALUE"""),"Jane Afsah-Mohallatee")</f>
        <v>Jane Afsah-Mohallatee</v>
      </c>
      <c r="C1205" s="78">
        <f ca="1">IFERROR(__xludf.DUMMYFUNCTION("""COMPUTED_VALUE"""),14)</f>
        <v>14</v>
      </c>
      <c r="D1205" s="78" t="str">
        <f ca="1">IFERROR(__xludf.DUMMYFUNCTION("""COMPUTED_VALUE"""),"G")</f>
        <v>G</v>
      </c>
      <c r="E1205" s="80" t="str">
        <f ca="1">IFERROR(__xludf.DUMMYFUNCTION("""COMPUTED_VALUE"""),"I")</f>
        <v>I</v>
      </c>
      <c r="F1205" s="80" t="str">
        <f ca="1">IFERROR(__xludf.DUMMYFUNCTION("""COMPUTED_VALUE"""),"S")</f>
        <v>S</v>
      </c>
      <c r="G1205" s="80">
        <f ca="1">IFERROR(__xludf.DUMMYFUNCTION("""COMPUTED_VALUE"""),3)</f>
        <v>3</v>
      </c>
      <c r="H1205" s="80" t="str">
        <f ca="1">IFERROR(__xludf.DUMMYFUNCTION("""COMPUTED_VALUE"""),"LG")</f>
        <v>LG</v>
      </c>
      <c r="I1205" s="80">
        <f ca="1">IFERROR(__xludf.DUMMYFUNCTION("""COMPUTED_VALUE"""),6)</f>
        <v>6</v>
      </c>
      <c r="J1205" s="81">
        <f ca="1">IFERROR(__xludf.DUMMYFUNCTION("""COMPUTED_VALUE"""),0)</f>
        <v>0</v>
      </c>
      <c r="K1205" s="81">
        <f ca="1">IFERROR(__xludf.DUMMYFUNCTION("""COMPUTED_VALUE"""),0)</f>
        <v>0</v>
      </c>
      <c r="L1205" s="81">
        <f ca="1">IFERROR(__xludf.DUMMYFUNCTION("""COMPUTED_VALUE"""),0)</f>
        <v>0</v>
      </c>
      <c r="M1205" s="81"/>
      <c r="N1205" s="81">
        <f ca="1">IFERROR(__xludf.DUMMYFUNCTION("""COMPUTED_VALUE"""),0)</f>
        <v>0</v>
      </c>
      <c r="O1205" s="81"/>
      <c r="P1205" s="81">
        <f ca="1">IFERROR(__xludf.DUMMYFUNCTION("""COMPUTED_VALUE"""),0)</f>
        <v>0</v>
      </c>
      <c r="Q1205" s="81"/>
      <c r="R1205" s="81">
        <f ca="1">IFERROR(__xludf.DUMMYFUNCTION("""COMPUTED_VALUE"""),0)</f>
        <v>0</v>
      </c>
      <c r="S1205" s="81"/>
      <c r="T1205" s="81"/>
      <c r="U1205" s="82"/>
      <c r="V1205" s="82"/>
      <c r="W1205" s="83"/>
      <c r="X1205" s="83"/>
      <c r="Y1205" s="83"/>
    </row>
    <row r="1206" spans="1:25" ht="13.8">
      <c r="A1206" s="78" t="str">
        <f ca="1">IFERROR(__xludf.DUMMYFUNCTION("""COMPUTED_VALUE"""),"LG")</f>
        <v>LG</v>
      </c>
      <c r="B1206" s="79" t="str">
        <f ca="1">IFERROR(__xludf.DUMMYFUNCTION("""COMPUTED_VALUE"""),"Avalon Allard")</f>
        <v>Avalon Allard</v>
      </c>
      <c r="C1206" s="78">
        <f ca="1">IFERROR(__xludf.DUMMYFUNCTION("""COMPUTED_VALUE"""),13)</f>
        <v>13</v>
      </c>
      <c r="D1206" s="78" t="str">
        <f ca="1">IFERROR(__xludf.DUMMYFUNCTION("""COMPUTED_VALUE"""),"G")</f>
        <v>G</v>
      </c>
      <c r="E1206" s="80" t="str">
        <f ca="1">IFERROR(__xludf.DUMMYFUNCTION("""COMPUTED_VALUE"""),"I")</f>
        <v>I</v>
      </c>
      <c r="F1206" s="80" t="str">
        <f ca="1">IFERROR(__xludf.DUMMYFUNCTION("""COMPUTED_VALUE"""),"S")</f>
        <v>S</v>
      </c>
      <c r="G1206" s="80">
        <f ca="1">IFERROR(__xludf.DUMMYFUNCTION("""COMPUTED_VALUE"""),3)</f>
        <v>3</v>
      </c>
      <c r="H1206" s="80" t="str">
        <f ca="1">IFERROR(__xludf.DUMMYFUNCTION("""COMPUTED_VALUE"""),"LG")</f>
        <v>LG</v>
      </c>
      <c r="I1206" s="80">
        <f ca="1">IFERROR(__xludf.DUMMYFUNCTION("""COMPUTED_VALUE"""),6)</f>
        <v>6</v>
      </c>
      <c r="J1206" s="81">
        <f ca="1">IFERROR(__xludf.DUMMYFUNCTION("""COMPUTED_VALUE"""),0)</f>
        <v>0</v>
      </c>
      <c r="K1206" s="81">
        <f ca="1">IFERROR(__xludf.DUMMYFUNCTION("""COMPUTED_VALUE"""),0)</f>
        <v>0</v>
      </c>
      <c r="L1206" s="81">
        <f ca="1">IFERROR(__xludf.DUMMYFUNCTION("""COMPUTED_VALUE"""),0)</f>
        <v>0</v>
      </c>
      <c r="M1206" s="81"/>
      <c r="N1206" s="81">
        <f ca="1">IFERROR(__xludf.DUMMYFUNCTION("""COMPUTED_VALUE"""),0)</f>
        <v>0</v>
      </c>
      <c r="O1206" s="81"/>
      <c r="P1206" s="81">
        <f ca="1">IFERROR(__xludf.DUMMYFUNCTION("""COMPUTED_VALUE"""),0)</f>
        <v>0</v>
      </c>
      <c r="Q1206" s="81"/>
      <c r="R1206" s="81">
        <f ca="1">IFERROR(__xludf.DUMMYFUNCTION("""COMPUTED_VALUE"""),0)</f>
        <v>0</v>
      </c>
      <c r="S1206" s="81"/>
      <c r="T1206" s="81"/>
      <c r="U1206" s="82"/>
      <c r="V1206" s="82"/>
      <c r="W1206" s="83"/>
      <c r="X1206" s="83"/>
      <c r="Y1206" s="83"/>
    </row>
    <row r="1207" spans="1:25" ht="13.8">
      <c r="A1207" s="78" t="str">
        <f ca="1">IFERROR(__xludf.DUMMYFUNCTION("""COMPUTED_VALUE"""),"LG")</f>
        <v>LG</v>
      </c>
      <c r="B1207" s="79" t="str">
        <f ca="1">IFERROR(__xludf.DUMMYFUNCTION("""COMPUTED_VALUE"""),"Reagan Cervenak")</f>
        <v>Reagan Cervenak</v>
      </c>
      <c r="C1207" s="78">
        <f ca="1">IFERROR(__xludf.DUMMYFUNCTION("""COMPUTED_VALUE"""),13)</f>
        <v>13</v>
      </c>
      <c r="D1207" s="78" t="str">
        <f ca="1">IFERROR(__xludf.DUMMYFUNCTION("""COMPUTED_VALUE"""),"G")</f>
        <v>G</v>
      </c>
      <c r="E1207" s="80" t="str">
        <f ca="1">IFERROR(__xludf.DUMMYFUNCTION("""COMPUTED_VALUE"""),"I")</f>
        <v>I</v>
      </c>
      <c r="F1207" s="80" t="str">
        <f ca="1">IFERROR(__xludf.DUMMYFUNCTION("""COMPUTED_VALUE"""),"S")</f>
        <v>S</v>
      </c>
      <c r="G1207" s="80">
        <f ca="1">IFERROR(__xludf.DUMMYFUNCTION("""COMPUTED_VALUE"""),3)</f>
        <v>3</v>
      </c>
      <c r="H1207" s="80" t="str">
        <f ca="1">IFERROR(__xludf.DUMMYFUNCTION("""COMPUTED_VALUE"""),"LG")</f>
        <v>LG</v>
      </c>
      <c r="I1207" s="80">
        <f ca="1">IFERROR(__xludf.DUMMYFUNCTION("""COMPUTED_VALUE"""),6)</f>
        <v>6</v>
      </c>
      <c r="J1207" s="81">
        <f ca="1">IFERROR(__xludf.DUMMYFUNCTION("""COMPUTED_VALUE"""),5)</f>
        <v>5</v>
      </c>
      <c r="K1207" s="81">
        <f ca="1">IFERROR(__xludf.DUMMYFUNCTION("""COMPUTED_VALUE"""),162.85)</f>
        <v>162.85</v>
      </c>
      <c r="L1207" s="81">
        <f ca="1">IFERROR(__xludf.DUMMYFUNCTION("""COMPUTED_VALUE"""),125.2)</f>
        <v>125.2</v>
      </c>
      <c r="M1207" s="81"/>
      <c r="N1207" s="81">
        <f ca="1">IFERROR(__xludf.DUMMYFUNCTION("""COMPUTED_VALUE"""),128.55)</f>
        <v>128.55000000000001</v>
      </c>
      <c r="O1207" s="81"/>
      <c r="P1207" s="81">
        <f ca="1">IFERROR(__xludf.DUMMYFUNCTION("""COMPUTED_VALUE"""),162.85)</f>
        <v>162.85</v>
      </c>
      <c r="Q1207" s="81"/>
      <c r="R1207" s="81">
        <f ca="1">IFERROR(__xludf.DUMMYFUNCTION("""COMPUTED_VALUE"""),138.7)</f>
        <v>138.69999999999999</v>
      </c>
      <c r="S1207" s="81"/>
      <c r="T1207" s="81"/>
      <c r="U1207" s="82"/>
      <c r="V1207" s="82"/>
      <c r="W1207" s="83"/>
      <c r="X1207" s="83"/>
      <c r="Y1207" s="83"/>
    </row>
    <row r="1208" spans="1:25" ht="13.8">
      <c r="A1208" s="78" t="str">
        <f ca="1">IFERROR(__xludf.DUMMYFUNCTION("""COMPUTED_VALUE"""),"LG")</f>
        <v>LG</v>
      </c>
      <c r="B1208" s="79" t="str">
        <f ca="1">IFERROR(__xludf.DUMMYFUNCTION("""COMPUTED_VALUE"""),"Hayley Eastman")</f>
        <v>Hayley Eastman</v>
      </c>
      <c r="C1208" s="78">
        <f ca="1">IFERROR(__xludf.DUMMYFUNCTION("""COMPUTED_VALUE"""),13)</f>
        <v>13</v>
      </c>
      <c r="D1208" s="78" t="str">
        <f ca="1">IFERROR(__xludf.DUMMYFUNCTION("""COMPUTED_VALUE"""),"G")</f>
        <v>G</v>
      </c>
      <c r="E1208" s="80" t="str">
        <f ca="1">IFERROR(__xludf.DUMMYFUNCTION("""COMPUTED_VALUE"""),"I")</f>
        <v>I</v>
      </c>
      <c r="F1208" s="80" t="str">
        <f ca="1">IFERROR(__xludf.DUMMYFUNCTION("""COMPUTED_VALUE"""),"S")</f>
        <v>S</v>
      </c>
      <c r="G1208" s="80">
        <f ca="1">IFERROR(__xludf.DUMMYFUNCTION("""COMPUTED_VALUE"""),3)</f>
        <v>3</v>
      </c>
      <c r="H1208" s="80" t="str">
        <f ca="1">IFERROR(__xludf.DUMMYFUNCTION("""COMPUTED_VALUE"""),"LG")</f>
        <v>LG</v>
      </c>
      <c r="I1208" s="80">
        <f ca="1">IFERROR(__xludf.DUMMYFUNCTION("""COMPUTED_VALUE"""),6)</f>
        <v>6</v>
      </c>
      <c r="J1208" s="81">
        <f ca="1">IFERROR(__xludf.DUMMYFUNCTION("""COMPUTED_VALUE"""),1)</f>
        <v>1</v>
      </c>
      <c r="K1208" s="81">
        <f ca="1">IFERROR(__xludf.DUMMYFUNCTION("""COMPUTED_VALUE"""),103.45)</f>
        <v>103.45</v>
      </c>
      <c r="L1208" s="81">
        <f ca="1">IFERROR(__xludf.DUMMYFUNCTION("""COMPUTED_VALUE"""),0)</f>
        <v>0</v>
      </c>
      <c r="M1208" s="81"/>
      <c r="N1208" s="81">
        <f ca="1">IFERROR(__xludf.DUMMYFUNCTION("""COMPUTED_VALUE"""),0)</f>
        <v>0</v>
      </c>
      <c r="O1208" s="81"/>
      <c r="P1208" s="81">
        <f ca="1">IFERROR(__xludf.DUMMYFUNCTION("""COMPUTED_VALUE"""),103.45)</f>
        <v>103.45</v>
      </c>
      <c r="Q1208" s="81"/>
      <c r="R1208" s="81">
        <f ca="1">IFERROR(__xludf.DUMMYFUNCTION("""COMPUTED_VALUE"""),0)</f>
        <v>0</v>
      </c>
      <c r="S1208" s="81"/>
      <c r="T1208" s="81"/>
      <c r="U1208" s="82"/>
      <c r="V1208" s="82"/>
      <c r="W1208" s="83"/>
      <c r="X1208" s="83"/>
      <c r="Y1208" s="83"/>
    </row>
    <row r="1209" spans="1:25" ht="13.8">
      <c r="A1209" s="78" t="str">
        <f ca="1">IFERROR(__xludf.DUMMYFUNCTION("""COMPUTED_VALUE"""),"LG")</f>
        <v>LG</v>
      </c>
      <c r="B1209" s="79" t="str">
        <f ca="1">IFERROR(__xludf.DUMMYFUNCTION("""COMPUTED_VALUE"""),"Hudson Mar")</f>
        <v>Hudson Mar</v>
      </c>
      <c r="C1209" s="78">
        <f ca="1">IFERROR(__xludf.DUMMYFUNCTION("""COMPUTED_VALUE"""),14)</f>
        <v>14</v>
      </c>
      <c r="D1209" s="78" t="str">
        <f ca="1">IFERROR(__xludf.DUMMYFUNCTION("""COMPUTED_VALUE"""),"B")</f>
        <v>B</v>
      </c>
      <c r="E1209" s="80" t="str">
        <f ca="1">IFERROR(__xludf.DUMMYFUNCTION("""COMPUTED_VALUE"""),"I")</f>
        <v>I</v>
      </c>
      <c r="F1209" s="80" t="str">
        <f ca="1">IFERROR(__xludf.DUMMYFUNCTION("""COMPUTED_VALUE"""),"S")</f>
        <v>S</v>
      </c>
      <c r="G1209" s="80">
        <f ca="1">IFERROR(__xludf.DUMMYFUNCTION("""COMPUTED_VALUE"""),3)</f>
        <v>3</v>
      </c>
      <c r="H1209" s="80" t="str">
        <f ca="1">IFERROR(__xludf.DUMMYFUNCTION("""COMPUTED_VALUE"""),"LG")</f>
        <v>LG</v>
      </c>
      <c r="I1209" s="80">
        <f ca="1">IFERROR(__xludf.DUMMYFUNCTION("""COMPUTED_VALUE"""),7)</f>
        <v>7</v>
      </c>
      <c r="J1209" s="81">
        <f ca="1">IFERROR(__xludf.DUMMYFUNCTION("""COMPUTED_VALUE"""),1)</f>
        <v>1</v>
      </c>
      <c r="K1209" s="81">
        <f ca="1">IFERROR(__xludf.DUMMYFUNCTION("""COMPUTED_VALUE"""),87)</f>
        <v>87</v>
      </c>
      <c r="L1209" s="81">
        <f ca="1">IFERROR(__xludf.DUMMYFUNCTION("""COMPUTED_VALUE"""),0)</f>
        <v>0</v>
      </c>
      <c r="M1209" s="81"/>
      <c r="N1209" s="81">
        <f ca="1">IFERROR(__xludf.DUMMYFUNCTION("""COMPUTED_VALUE"""),0)</f>
        <v>0</v>
      </c>
      <c r="O1209" s="81"/>
      <c r="P1209" s="81">
        <f ca="1">IFERROR(__xludf.DUMMYFUNCTION("""COMPUTED_VALUE"""),87)</f>
        <v>87</v>
      </c>
      <c r="Q1209" s="81"/>
      <c r="R1209" s="81">
        <f ca="1">IFERROR(__xludf.DUMMYFUNCTION("""COMPUTED_VALUE"""),0)</f>
        <v>0</v>
      </c>
      <c r="S1209" s="81"/>
      <c r="T1209" s="81"/>
      <c r="U1209" s="82"/>
      <c r="V1209" s="82"/>
      <c r="W1209" s="83"/>
      <c r="X1209" s="83"/>
      <c r="Y1209" s="83"/>
    </row>
    <row r="1210" spans="1:25" ht="13.8">
      <c r="A1210" s="78" t="str">
        <f ca="1">IFERROR(__xludf.DUMMYFUNCTION("""COMPUTED_VALUE"""),"LG")</f>
        <v>LG</v>
      </c>
      <c r="B1210" s="79" t="str">
        <f ca="1">IFERROR(__xludf.DUMMYFUNCTION("""COMPUTED_VALUE"""),"Alex Way")</f>
        <v>Alex Way</v>
      </c>
      <c r="C1210" s="78">
        <f ca="1">IFERROR(__xludf.DUMMYFUNCTION("""COMPUTED_VALUE"""),14)</f>
        <v>14</v>
      </c>
      <c r="D1210" s="78" t="str">
        <f ca="1">IFERROR(__xludf.DUMMYFUNCTION("""COMPUTED_VALUE"""),"B")</f>
        <v>B</v>
      </c>
      <c r="E1210" s="80" t="str">
        <f ca="1">IFERROR(__xludf.DUMMYFUNCTION("""COMPUTED_VALUE"""),"I")</f>
        <v>I</v>
      </c>
      <c r="F1210" s="80" t="str">
        <f ca="1">IFERROR(__xludf.DUMMYFUNCTION("""COMPUTED_VALUE"""),"S")</f>
        <v>S</v>
      </c>
      <c r="G1210" s="80">
        <f ca="1">IFERROR(__xludf.DUMMYFUNCTION("""COMPUTED_VALUE"""),3)</f>
        <v>3</v>
      </c>
      <c r="H1210" s="80" t="str">
        <f ca="1">IFERROR(__xludf.DUMMYFUNCTION("""COMPUTED_VALUE"""),"LG")</f>
        <v>LG</v>
      </c>
      <c r="I1210" s="80">
        <f ca="1">IFERROR(__xludf.DUMMYFUNCTION("""COMPUTED_VALUE"""),7)</f>
        <v>7</v>
      </c>
      <c r="J1210" s="81">
        <f ca="1">IFERROR(__xludf.DUMMYFUNCTION("""COMPUTED_VALUE"""),5)</f>
        <v>5</v>
      </c>
      <c r="K1210" s="81">
        <f ca="1">IFERROR(__xludf.DUMMYFUNCTION("""COMPUTED_VALUE"""),196.05)</f>
        <v>196.05</v>
      </c>
      <c r="L1210" s="81">
        <f ca="1">IFERROR(__xludf.DUMMYFUNCTION("""COMPUTED_VALUE"""),135.15)</f>
        <v>135.15</v>
      </c>
      <c r="M1210" s="81"/>
      <c r="N1210" s="81">
        <f ca="1">IFERROR(__xludf.DUMMYFUNCTION("""COMPUTED_VALUE"""),152.55)</f>
        <v>152.55000000000001</v>
      </c>
      <c r="O1210" s="81"/>
      <c r="P1210" s="81">
        <f ca="1">IFERROR(__xludf.DUMMYFUNCTION("""COMPUTED_VALUE"""),196.05)</f>
        <v>196.05</v>
      </c>
      <c r="Q1210" s="81"/>
      <c r="R1210" s="81">
        <f ca="1">IFERROR(__xludf.DUMMYFUNCTION("""COMPUTED_VALUE"""),173.75)</f>
        <v>173.75</v>
      </c>
      <c r="S1210" s="81"/>
      <c r="T1210" s="81"/>
      <c r="U1210" s="82"/>
      <c r="V1210" s="82"/>
      <c r="W1210" s="83"/>
      <c r="X1210" s="83"/>
      <c r="Y1210" s="83"/>
    </row>
    <row r="1211" spans="1:25" ht="13.8">
      <c r="A1211" s="78" t="str">
        <f ca="1">IFERROR(__xludf.DUMMYFUNCTION("""COMPUTED_VALUE"""),"LG")</f>
        <v>LG</v>
      </c>
      <c r="B1211" s="79" t="str">
        <f ca="1">IFERROR(__xludf.DUMMYFUNCTION("""COMPUTED_VALUE"""),"Madison Cervenak")</f>
        <v>Madison Cervenak</v>
      </c>
      <c r="C1211" s="78">
        <f ca="1">IFERROR(__xludf.DUMMYFUNCTION("""COMPUTED_VALUE"""),15)</f>
        <v>15</v>
      </c>
      <c r="D1211" s="78" t="str">
        <f ca="1">IFERROR(__xludf.DUMMYFUNCTION("""COMPUTED_VALUE"""),"G")</f>
        <v>G</v>
      </c>
      <c r="E1211" s="80" t="str">
        <f ca="1">IFERROR(__xludf.DUMMYFUNCTION("""COMPUTED_VALUE"""),"S")</f>
        <v>S</v>
      </c>
      <c r="F1211" s="80" t="str">
        <f ca="1">IFERROR(__xludf.DUMMYFUNCTION("""COMPUTED_VALUE"""),"S")</f>
        <v>S</v>
      </c>
      <c r="G1211" s="80">
        <f ca="1">IFERROR(__xludf.DUMMYFUNCTION("""COMPUTED_VALUE"""),3)</f>
        <v>3</v>
      </c>
      <c r="H1211" s="80" t="str">
        <f ca="1">IFERROR(__xludf.DUMMYFUNCTION("""COMPUTED_VALUE"""),"LG")</f>
        <v>LG</v>
      </c>
      <c r="I1211" s="80">
        <f ca="1">IFERROR(__xludf.DUMMYFUNCTION("""COMPUTED_VALUE"""),8)</f>
        <v>8</v>
      </c>
      <c r="J1211" s="81">
        <f ca="1">IFERROR(__xludf.DUMMYFUNCTION("""COMPUTED_VALUE"""),5)</f>
        <v>5</v>
      </c>
      <c r="K1211" s="81">
        <f ca="1">IFERROR(__xludf.DUMMYFUNCTION("""COMPUTED_VALUE"""),186.55)</f>
        <v>186.55</v>
      </c>
      <c r="L1211" s="81">
        <f ca="1">IFERROR(__xludf.DUMMYFUNCTION("""COMPUTED_VALUE"""),160.4)</f>
        <v>160.4</v>
      </c>
      <c r="M1211" s="81"/>
      <c r="N1211" s="81">
        <f ca="1">IFERROR(__xludf.DUMMYFUNCTION("""COMPUTED_VALUE"""),170.7)</f>
        <v>170.7</v>
      </c>
      <c r="O1211" s="81"/>
      <c r="P1211" s="81">
        <f ca="1">IFERROR(__xludf.DUMMYFUNCTION("""COMPUTED_VALUE"""),186.55)</f>
        <v>186.55</v>
      </c>
      <c r="Q1211" s="81"/>
      <c r="R1211" s="81">
        <f ca="1">IFERROR(__xludf.DUMMYFUNCTION("""COMPUTED_VALUE"""),179.5)</f>
        <v>179.5</v>
      </c>
      <c r="S1211" s="81"/>
      <c r="T1211" s="81"/>
      <c r="U1211" s="82"/>
      <c r="V1211" s="82"/>
      <c r="W1211" s="83"/>
      <c r="X1211" s="83"/>
      <c r="Y1211" s="83"/>
    </row>
    <row r="1212" spans="1:25" ht="13.8">
      <c r="A1212" s="78" t="str">
        <f ca="1">IFERROR(__xludf.DUMMYFUNCTION("""COMPUTED_VALUE"""),"LG")</f>
        <v>LG</v>
      </c>
      <c r="B1212" s="79" t="str">
        <f ca="1">IFERROR(__xludf.DUMMYFUNCTION("""COMPUTED_VALUE"""),"Maggie DiScipio")</f>
        <v>Maggie DiScipio</v>
      </c>
      <c r="C1212" s="78">
        <f ca="1">IFERROR(__xludf.DUMMYFUNCTION("""COMPUTED_VALUE"""),17)</f>
        <v>17</v>
      </c>
      <c r="D1212" s="78" t="str">
        <f ca="1">IFERROR(__xludf.DUMMYFUNCTION("""COMPUTED_VALUE"""),"G")</f>
        <v>G</v>
      </c>
      <c r="E1212" s="80" t="str">
        <f ca="1">IFERROR(__xludf.DUMMYFUNCTION("""COMPUTED_VALUE"""),"S")</f>
        <v>S</v>
      </c>
      <c r="F1212" s="80" t="str">
        <f ca="1">IFERROR(__xludf.DUMMYFUNCTION("""COMPUTED_VALUE"""),"S")</f>
        <v>S</v>
      </c>
      <c r="G1212" s="80">
        <f ca="1">IFERROR(__xludf.DUMMYFUNCTION("""COMPUTED_VALUE"""),3)</f>
        <v>3</v>
      </c>
      <c r="H1212" s="80" t="str">
        <f ca="1">IFERROR(__xludf.DUMMYFUNCTION("""COMPUTED_VALUE"""),"LG")</f>
        <v>LG</v>
      </c>
      <c r="I1212" s="80">
        <f ca="1">IFERROR(__xludf.DUMMYFUNCTION("""COMPUTED_VALUE"""),8)</f>
        <v>8</v>
      </c>
      <c r="J1212" s="81">
        <f ca="1">IFERROR(__xludf.DUMMYFUNCTION("""COMPUTED_VALUE"""),5)</f>
        <v>5</v>
      </c>
      <c r="K1212" s="81">
        <f ca="1">IFERROR(__xludf.DUMMYFUNCTION("""COMPUTED_VALUE"""),234.35)</f>
        <v>234.35</v>
      </c>
      <c r="L1212" s="81">
        <f ca="1">IFERROR(__xludf.DUMMYFUNCTION("""COMPUTED_VALUE"""),214.5)</f>
        <v>214.5</v>
      </c>
      <c r="M1212" s="81"/>
      <c r="N1212" s="81">
        <f ca="1">IFERROR(__xludf.DUMMYFUNCTION("""COMPUTED_VALUE"""),204.1)</f>
        <v>204.1</v>
      </c>
      <c r="O1212" s="81"/>
      <c r="P1212" s="81">
        <f ca="1">IFERROR(__xludf.DUMMYFUNCTION("""COMPUTED_VALUE"""),234.35)</f>
        <v>234.35</v>
      </c>
      <c r="Q1212" s="81"/>
      <c r="R1212" s="81">
        <f ca="1">IFERROR(__xludf.DUMMYFUNCTION("""COMPUTED_VALUE"""),217.05)</f>
        <v>217.05</v>
      </c>
      <c r="S1212" s="81"/>
      <c r="T1212" s="81"/>
      <c r="U1212" s="82"/>
      <c r="V1212" s="82"/>
      <c r="W1212" s="83"/>
      <c r="X1212" s="83"/>
      <c r="Y1212" s="83"/>
    </row>
    <row r="1213" spans="1:25" ht="13.8">
      <c r="A1213" s="78" t="str">
        <f ca="1">IFERROR(__xludf.DUMMYFUNCTION("""COMPUTED_VALUE"""),"LG")</f>
        <v>LG</v>
      </c>
      <c r="B1213" s="79" t="str">
        <f ca="1">IFERROR(__xludf.DUMMYFUNCTION("""COMPUTED_VALUE"""),"Jordan Eastman")</f>
        <v>Jordan Eastman</v>
      </c>
      <c r="C1213" s="78">
        <f ca="1">IFERROR(__xludf.DUMMYFUNCTION("""COMPUTED_VALUE"""),17)</f>
        <v>17</v>
      </c>
      <c r="D1213" s="78" t="str">
        <f ca="1">IFERROR(__xludf.DUMMYFUNCTION("""COMPUTED_VALUE"""),"G")</f>
        <v>G</v>
      </c>
      <c r="E1213" s="80" t="str">
        <f ca="1">IFERROR(__xludf.DUMMYFUNCTION("""COMPUTED_VALUE"""),"S")</f>
        <v>S</v>
      </c>
      <c r="F1213" s="80" t="str">
        <f ca="1">IFERROR(__xludf.DUMMYFUNCTION("""COMPUTED_VALUE"""),"S")</f>
        <v>S</v>
      </c>
      <c r="G1213" s="80">
        <f ca="1">IFERROR(__xludf.DUMMYFUNCTION("""COMPUTED_VALUE"""),3)</f>
        <v>3</v>
      </c>
      <c r="H1213" s="80" t="str">
        <f ca="1">IFERROR(__xludf.DUMMYFUNCTION("""COMPUTED_VALUE"""),"LG")</f>
        <v>LG</v>
      </c>
      <c r="I1213" s="80">
        <f ca="1">IFERROR(__xludf.DUMMYFUNCTION("""COMPUTED_VALUE"""),8)</f>
        <v>8</v>
      </c>
      <c r="J1213" s="81">
        <f ca="1">IFERROR(__xludf.DUMMYFUNCTION("""COMPUTED_VALUE"""),0)</f>
        <v>0</v>
      </c>
      <c r="K1213" s="81">
        <f ca="1">IFERROR(__xludf.DUMMYFUNCTION("""COMPUTED_VALUE"""),0)</f>
        <v>0</v>
      </c>
      <c r="L1213" s="81">
        <f ca="1">IFERROR(__xludf.DUMMYFUNCTION("""COMPUTED_VALUE"""),0)</f>
        <v>0</v>
      </c>
      <c r="M1213" s="81"/>
      <c r="N1213" s="81">
        <f ca="1">IFERROR(__xludf.DUMMYFUNCTION("""COMPUTED_VALUE"""),0)</f>
        <v>0</v>
      </c>
      <c r="O1213" s="81"/>
      <c r="P1213" s="81">
        <f ca="1">IFERROR(__xludf.DUMMYFUNCTION("""COMPUTED_VALUE"""),0)</f>
        <v>0</v>
      </c>
      <c r="Q1213" s="81"/>
      <c r="R1213" s="81">
        <f ca="1">IFERROR(__xludf.DUMMYFUNCTION("""COMPUTED_VALUE"""),0)</f>
        <v>0</v>
      </c>
      <c r="S1213" s="81"/>
      <c r="T1213" s="81"/>
      <c r="U1213" s="82"/>
      <c r="V1213" s="82"/>
      <c r="W1213" s="83"/>
      <c r="X1213" s="83"/>
      <c r="Y1213" s="83"/>
    </row>
    <row r="1214" spans="1:25" ht="13.8">
      <c r="A1214" s="78" t="str">
        <f ca="1">IFERROR(__xludf.DUMMYFUNCTION("""COMPUTED_VALUE"""),"LG")</f>
        <v>LG</v>
      </c>
      <c r="B1214" s="79" t="str">
        <f ca="1">IFERROR(__xludf.DUMMYFUNCTION("""COMPUTED_VALUE"""),"Sylvie Lister")</f>
        <v>Sylvie Lister</v>
      </c>
      <c r="C1214" s="78">
        <f ca="1">IFERROR(__xludf.DUMMYFUNCTION("""COMPUTED_VALUE"""),17)</f>
        <v>17</v>
      </c>
      <c r="D1214" s="78" t="str">
        <f ca="1">IFERROR(__xludf.DUMMYFUNCTION("""COMPUTED_VALUE"""),"G")</f>
        <v>G</v>
      </c>
      <c r="E1214" s="80" t="str">
        <f ca="1">IFERROR(__xludf.DUMMYFUNCTION("""COMPUTED_VALUE"""),"S")</f>
        <v>S</v>
      </c>
      <c r="F1214" s="80" t="str">
        <f ca="1">IFERROR(__xludf.DUMMYFUNCTION("""COMPUTED_VALUE"""),"S")</f>
        <v>S</v>
      </c>
      <c r="G1214" s="80">
        <f ca="1">IFERROR(__xludf.DUMMYFUNCTION("""COMPUTED_VALUE"""),3)</f>
        <v>3</v>
      </c>
      <c r="H1214" s="80" t="str">
        <f ca="1">IFERROR(__xludf.DUMMYFUNCTION("""COMPUTED_VALUE"""),"LG")</f>
        <v>LG</v>
      </c>
      <c r="I1214" s="80">
        <f ca="1">IFERROR(__xludf.DUMMYFUNCTION("""COMPUTED_VALUE"""),8)</f>
        <v>8</v>
      </c>
      <c r="J1214" s="81">
        <f ca="1">IFERROR(__xludf.DUMMYFUNCTION("""COMPUTED_VALUE"""),0)</f>
        <v>0</v>
      </c>
      <c r="K1214" s="81">
        <f ca="1">IFERROR(__xludf.DUMMYFUNCTION("""COMPUTED_VALUE"""),0)</f>
        <v>0</v>
      </c>
      <c r="L1214" s="81">
        <f ca="1">IFERROR(__xludf.DUMMYFUNCTION("""COMPUTED_VALUE"""),0)</f>
        <v>0</v>
      </c>
      <c r="M1214" s="81"/>
      <c r="N1214" s="81">
        <f ca="1">IFERROR(__xludf.DUMMYFUNCTION("""COMPUTED_VALUE"""),0)</f>
        <v>0</v>
      </c>
      <c r="O1214" s="81"/>
      <c r="P1214" s="81">
        <f ca="1">IFERROR(__xludf.DUMMYFUNCTION("""COMPUTED_VALUE"""),0)</f>
        <v>0</v>
      </c>
      <c r="Q1214" s="81"/>
      <c r="R1214" s="81">
        <f ca="1">IFERROR(__xludf.DUMMYFUNCTION("""COMPUTED_VALUE"""),0)</f>
        <v>0</v>
      </c>
      <c r="S1214" s="81"/>
      <c r="T1214" s="81"/>
      <c r="U1214" s="82"/>
      <c r="V1214" s="82"/>
      <c r="W1214" s="83"/>
      <c r="X1214" s="83"/>
      <c r="Y1214" s="83"/>
    </row>
    <row r="1215" spans="1:25" ht="13.8">
      <c r="A1215" s="78" t="str">
        <f ca="1">IFERROR(__xludf.DUMMYFUNCTION("""COMPUTED_VALUE"""),"LG")</f>
        <v>LG</v>
      </c>
      <c r="B1215" s="79" t="str">
        <f ca="1">IFERROR(__xludf.DUMMYFUNCTION("""COMPUTED_VALUE"""),"Ellie Moonis")</f>
        <v>Ellie Moonis</v>
      </c>
      <c r="C1215" s="78">
        <f ca="1">IFERROR(__xludf.DUMMYFUNCTION("""COMPUTED_VALUE"""),17)</f>
        <v>17</v>
      </c>
      <c r="D1215" s="78" t="str">
        <f ca="1">IFERROR(__xludf.DUMMYFUNCTION("""COMPUTED_VALUE"""),"G")</f>
        <v>G</v>
      </c>
      <c r="E1215" s="80" t="str">
        <f ca="1">IFERROR(__xludf.DUMMYFUNCTION("""COMPUTED_VALUE"""),"S")</f>
        <v>S</v>
      </c>
      <c r="F1215" s="80" t="str">
        <f ca="1">IFERROR(__xludf.DUMMYFUNCTION("""COMPUTED_VALUE"""),"S")</f>
        <v>S</v>
      </c>
      <c r="G1215" s="80">
        <f ca="1">IFERROR(__xludf.DUMMYFUNCTION("""COMPUTED_VALUE"""),3)</f>
        <v>3</v>
      </c>
      <c r="H1215" s="80" t="str">
        <f ca="1">IFERROR(__xludf.DUMMYFUNCTION("""COMPUTED_VALUE"""),"LG")</f>
        <v>LG</v>
      </c>
      <c r="I1215" s="80">
        <f ca="1">IFERROR(__xludf.DUMMYFUNCTION("""COMPUTED_VALUE"""),8)</f>
        <v>8</v>
      </c>
      <c r="J1215" s="81">
        <f ca="1">IFERROR(__xludf.DUMMYFUNCTION("""COMPUTED_VALUE"""),1)</f>
        <v>1</v>
      </c>
      <c r="K1215" s="81">
        <f ca="1">IFERROR(__xludf.DUMMYFUNCTION("""COMPUTED_VALUE"""),0)</f>
        <v>0</v>
      </c>
      <c r="L1215" s="81">
        <f ca="1">IFERROR(__xludf.DUMMYFUNCTION("""COMPUTED_VALUE"""),0)</f>
        <v>0</v>
      </c>
      <c r="M1215" s="81"/>
      <c r="N1215" s="81">
        <f ca="1">IFERROR(__xludf.DUMMYFUNCTION("""COMPUTED_VALUE"""),0)</f>
        <v>0</v>
      </c>
      <c r="O1215" s="81"/>
      <c r="P1215" s="81">
        <f ca="1">IFERROR(__xludf.DUMMYFUNCTION("""COMPUTED_VALUE"""),0)</f>
        <v>0</v>
      </c>
      <c r="Q1215" s="81"/>
      <c r="R1215" s="81">
        <f ca="1">IFERROR(__xludf.DUMMYFUNCTION("""COMPUTED_VALUE"""),0)</f>
        <v>0</v>
      </c>
      <c r="S1215" s="81"/>
      <c r="T1215" s="81"/>
      <c r="U1215" s="82"/>
      <c r="V1215" s="82"/>
      <c r="W1215" s="83"/>
      <c r="X1215" s="83"/>
      <c r="Y1215" s="83"/>
    </row>
    <row r="1216" spans="1:25" ht="13.8">
      <c r="A1216" s="78" t="str">
        <f ca="1">IFERROR(__xludf.DUMMYFUNCTION("""COMPUTED_VALUE"""),"LG")</f>
        <v>LG</v>
      </c>
      <c r="B1216" s="79" t="str">
        <f ca="1">IFERROR(__xludf.DUMMYFUNCTION("""COMPUTED_VALUE"""),"Maggie Moonis")</f>
        <v>Maggie Moonis</v>
      </c>
      <c r="C1216" s="78">
        <f ca="1">IFERROR(__xludf.DUMMYFUNCTION("""COMPUTED_VALUE"""),17)</f>
        <v>17</v>
      </c>
      <c r="D1216" s="78" t="str">
        <f ca="1">IFERROR(__xludf.DUMMYFUNCTION("""COMPUTED_VALUE"""),"G")</f>
        <v>G</v>
      </c>
      <c r="E1216" s="80" t="str">
        <f ca="1">IFERROR(__xludf.DUMMYFUNCTION("""COMPUTED_VALUE"""),"S")</f>
        <v>S</v>
      </c>
      <c r="F1216" s="80" t="str">
        <f ca="1">IFERROR(__xludf.DUMMYFUNCTION("""COMPUTED_VALUE"""),"S")</f>
        <v>S</v>
      </c>
      <c r="G1216" s="80">
        <f ca="1">IFERROR(__xludf.DUMMYFUNCTION("""COMPUTED_VALUE"""),3)</f>
        <v>3</v>
      </c>
      <c r="H1216" s="80" t="str">
        <f ca="1">IFERROR(__xludf.DUMMYFUNCTION("""COMPUTED_VALUE"""),"LG")</f>
        <v>LG</v>
      </c>
      <c r="I1216" s="80">
        <f ca="1">IFERROR(__xludf.DUMMYFUNCTION("""COMPUTED_VALUE"""),8)</f>
        <v>8</v>
      </c>
      <c r="J1216" s="81">
        <f ca="1">IFERROR(__xludf.DUMMYFUNCTION("""COMPUTED_VALUE"""),1)</f>
        <v>1</v>
      </c>
      <c r="K1216" s="81">
        <f ca="1">IFERROR(__xludf.DUMMYFUNCTION("""COMPUTED_VALUE"""),121.8)</f>
        <v>121.8</v>
      </c>
      <c r="L1216" s="81">
        <f ca="1">IFERROR(__xludf.DUMMYFUNCTION("""COMPUTED_VALUE"""),0)</f>
        <v>0</v>
      </c>
      <c r="M1216" s="81"/>
      <c r="N1216" s="81">
        <f ca="1">IFERROR(__xludf.DUMMYFUNCTION("""COMPUTED_VALUE"""),121.8)</f>
        <v>121.8</v>
      </c>
      <c r="O1216" s="81"/>
      <c r="P1216" s="81">
        <f ca="1">IFERROR(__xludf.DUMMYFUNCTION("""COMPUTED_VALUE"""),0)</f>
        <v>0</v>
      </c>
      <c r="Q1216" s="81"/>
      <c r="R1216" s="81">
        <f ca="1">IFERROR(__xludf.DUMMYFUNCTION("""COMPUTED_VALUE"""),0)</f>
        <v>0</v>
      </c>
      <c r="S1216" s="81"/>
      <c r="T1216" s="81"/>
      <c r="U1216" s="82"/>
      <c r="V1216" s="82"/>
      <c r="W1216" s="83"/>
      <c r="X1216" s="83"/>
      <c r="Y1216" s="83"/>
    </row>
    <row r="1217" spans="1:25" ht="13.8">
      <c r="A1217" s="78" t="str">
        <f ca="1">IFERROR(__xludf.DUMMYFUNCTION("""COMPUTED_VALUE"""),"LG")</f>
        <v>LG</v>
      </c>
      <c r="B1217" s="79" t="str">
        <f ca="1">IFERROR(__xludf.DUMMYFUNCTION("""COMPUTED_VALUE"""),"Elizabeth Weidman")</f>
        <v>Elizabeth Weidman</v>
      </c>
      <c r="C1217" s="78">
        <f ca="1">IFERROR(__xludf.DUMMYFUNCTION("""COMPUTED_VALUE"""),16)</f>
        <v>16</v>
      </c>
      <c r="D1217" s="78" t="str">
        <f ca="1">IFERROR(__xludf.DUMMYFUNCTION("""COMPUTED_VALUE"""),"G")</f>
        <v>G</v>
      </c>
      <c r="E1217" s="80" t="str">
        <f ca="1">IFERROR(__xludf.DUMMYFUNCTION("""COMPUTED_VALUE"""),"S")</f>
        <v>S</v>
      </c>
      <c r="F1217" s="80" t="str">
        <f ca="1">IFERROR(__xludf.DUMMYFUNCTION("""COMPUTED_VALUE"""),"S")</f>
        <v>S</v>
      </c>
      <c r="G1217" s="80">
        <f ca="1">IFERROR(__xludf.DUMMYFUNCTION("""COMPUTED_VALUE"""),3)</f>
        <v>3</v>
      </c>
      <c r="H1217" s="80" t="str">
        <f ca="1">IFERROR(__xludf.DUMMYFUNCTION("""COMPUTED_VALUE"""),"LG")</f>
        <v>LG</v>
      </c>
      <c r="I1217" s="80">
        <f ca="1">IFERROR(__xludf.DUMMYFUNCTION("""COMPUTED_VALUE"""),8)</f>
        <v>8</v>
      </c>
      <c r="J1217" s="81">
        <f ca="1">IFERROR(__xludf.DUMMYFUNCTION("""COMPUTED_VALUE"""),0)</f>
        <v>0</v>
      </c>
      <c r="K1217" s="81">
        <f ca="1">IFERROR(__xludf.DUMMYFUNCTION("""COMPUTED_VALUE"""),0)</f>
        <v>0</v>
      </c>
      <c r="L1217" s="81">
        <f ca="1">IFERROR(__xludf.DUMMYFUNCTION("""COMPUTED_VALUE"""),0)</f>
        <v>0</v>
      </c>
      <c r="M1217" s="81"/>
      <c r="N1217" s="81">
        <f ca="1">IFERROR(__xludf.DUMMYFUNCTION("""COMPUTED_VALUE"""),0)</f>
        <v>0</v>
      </c>
      <c r="O1217" s="81"/>
      <c r="P1217" s="81">
        <f ca="1">IFERROR(__xludf.DUMMYFUNCTION("""COMPUTED_VALUE"""),0)</f>
        <v>0</v>
      </c>
      <c r="Q1217" s="81"/>
      <c r="R1217" s="81">
        <f ca="1">IFERROR(__xludf.DUMMYFUNCTION("""COMPUTED_VALUE"""),0)</f>
        <v>0</v>
      </c>
      <c r="S1217" s="81"/>
      <c r="T1217" s="81"/>
      <c r="U1217" s="82"/>
      <c r="V1217" s="82"/>
      <c r="W1217" s="83"/>
      <c r="X1217" s="83"/>
      <c r="Y1217" s="83"/>
    </row>
    <row r="1218" spans="1:25" ht="13.8">
      <c r="A1218" s="78" t="str">
        <f ca="1">IFERROR(__xludf.DUMMYFUNCTION("""COMPUTED_VALUE"""),"LG")</f>
        <v>LG</v>
      </c>
      <c r="B1218" s="79" t="str">
        <f ca="1">IFERROR(__xludf.DUMMYFUNCTION("""COMPUTED_VALUE"""),"Ian Fry")</f>
        <v>Ian Fry</v>
      </c>
      <c r="C1218" s="78">
        <f ca="1">IFERROR(__xludf.DUMMYFUNCTION("""COMPUTED_VALUE"""),18)</f>
        <v>18</v>
      </c>
      <c r="D1218" s="78" t="str">
        <f ca="1">IFERROR(__xludf.DUMMYFUNCTION("""COMPUTED_VALUE"""),"B")</f>
        <v>B</v>
      </c>
      <c r="E1218" s="80" t="str">
        <f ca="1">IFERROR(__xludf.DUMMYFUNCTION("""COMPUTED_VALUE"""),"S")</f>
        <v>S</v>
      </c>
      <c r="F1218" s="80" t="str">
        <f ca="1">IFERROR(__xludf.DUMMYFUNCTION("""COMPUTED_VALUE"""),"S")</f>
        <v>S</v>
      </c>
      <c r="G1218" s="80">
        <f ca="1">IFERROR(__xludf.DUMMYFUNCTION("""COMPUTED_VALUE"""),3)</f>
        <v>3</v>
      </c>
      <c r="H1218" s="80" t="str">
        <f ca="1">IFERROR(__xludf.DUMMYFUNCTION("""COMPUTED_VALUE"""),"LG")</f>
        <v>LG</v>
      </c>
      <c r="I1218" s="80">
        <f ca="1">IFERROR(__xludf.DUMMYFUNCTION("""COMPUTED_VALUE"""),9)</f>
        <v>9</v>
      </c>
      <c r="J1218" s="81">
        <f ca="1">IFERROR(__xludf.DUMMYFUNCTION("""COMPUTED_VALUE"""),0)</f>
        <v>0</v>
      </c>
      <c r="K1218" s="81">
        <f ca="1">IFERROR(__xludf.DUMMYFUNCTION("""COMPUTED_VALUE"""),0)</f>
        <v>0</v>
      </c>
      <c r="L1218" s="81">
        <f ca="1">IFERROR(__xludf.DUMMYFUNCTION("""COMPUTED_VALUE"""),0)</f>
        <v>0</v>
      </c>
      <c r="M1218" s="81"/>
      <c r="N1218" s="81">
        <f ca="1">IFERROR(__xludf.DUMMYFUNCTION("""COMPUTED_VALUE"""),0)</f>
        <v>0</v>
      </c>
      <c r="O1218" s="81"/>
      <c r="P1218" s="81">
        <f ca="1">IFERROR(__xludf.DUMMYFUNCTION("""COMPUTED_VALUE"""),0)</f>
        <v>0</v>
      </c>
      <c r="Q1218" s="81"/>
      <c r="R1218" s="81">
        <f ca="1">IFERROR(__xludf.DUMMYFUNCTION("""COMPUTED_VALUE"""),0)</f>
        <v>0</v>
      </c>
      <c r="S1218" s="81"/>
      <c r="T1218" s="81"/>
      <c r="U1218" s="82"/>
      <c r="V1218" s="82"/>
      <c r="W1218" s="83"/>
      <c r="X1218" s="83"/>
      <c r="Y1218" s="83"/>
    </row>
    <row r="1219" spans="1:25" ht="13.8">
      <c r="A1219" s="78" t="str">
        <f ca="1">IFERROR(__xludf.DUMMYFUNCTION("""COMPUTED_VALUE"""),"LG")</f>
        <v>LG</v>
      </c>
      <c r="B1219" s="79" t="str">
        <f ca="1">IFERROR(__xludf.DUMMYFUNCTION("""COMPUTED_VALUE"""),"Calvin Mar")</f>
        <v>Calvin Mar</v>
      </c>
      <c r="C1219" s="78">
        <f ca="1">IFERROR(__xludf.DUMMYFUNCTION("""COMPUTED_VALUE"""),17)</f>
        <v>17</v>
      </c>
      <c r="D1219" s="78" t="str">
        <f ca="1">IFERROR(__xludf.DUMMYFUNCTION("""COMPUTED_VALUE"""),"B")</f>
        <v>B</v>
      </c>
      <c r="E1219" s="80" t="str">
        <f ca="1">IFERROR(__xludf.DUMMYFUNCTION("""COMPUTED_VALUE"""),"S")</f>
        <v>S</v>
      </c>
      <c r="F1219" s="80" t="str">
        <f ca="1">IFERROR(__xludf.DUMMYFUNCTION("""COMPUTED_VALUE"""),"S")</f>
        <v>S</v>
      </c>
      <c r="G1219" s="80">
        <f ca="1">IFERROR(__xludf.DUMMYFUNCTION("""COMPUTED_VALUE"""),3)</f>
        <v>3</v>
      </c>
      <c r="H1219" s="80" t="str">
        <f ca="1">IFERROR(__xludf.DUMMYFUNCTION("""COMPUTED_VALUE"""),"LG")</f>
        <v>LG</v>
      </c>
      <c r="I1219" s="80">
        <f ca="1">IFERROR(__xludf.DUMMYFUNCTION("""COMPUTED_VALUE"""),9)</f>
        <v>9</v>
      </c>
      <c r="J1219" s="81">
        <f ca="1">IFERROR(__xludf.DUMMYFUNCTION("""COMPUTED_VALUE"""),0)</f>
        <v>0</v>
      </c>
      <c r="K1219" s="81">
        <f ca="1">IFERROR(__xludf.DUMMYFUNCTION("""COMPUTED_VALUE"""),0)</f>
        <v>0</v>
      </c>
      <c r="L1219" s="81">
        <f ca="1">IFERROR(__xludf.DUMMYFUNCTION("""COMPUTED_VALUE"""),0)</f>
        <v>0</v>
      </c>
      <c r="M1219" s="81"/>
      <c r="N1219" s="81">
        <f ca="1">IFERROR(__xludf.DUMMYFUNCTION("""COMPUTED_VALUE"""),0)</f>
        <v>0</v>
      </c>
      <c r="O1219" s="81"/>
      <c r="P1219" s="81">
        <f ca="1">IFERROR(__xludf.DUMMYFUNCTION("""COMPUTED_VALUE"""),0)</f>
        <v>0</v>
      </c>
      <c r="Q1219" s="81"/>
      <c r="R1219" s="81">
        <f ca="1">IFERROR(__xludf.DUMMYFUNCTION("""COMPUTED_VALUE"""),0)</f>
        <v>0</v>
      </c>
      <c r="S1219" s="81"/>
      <c r="T1219" s="81"/>
      <c r="U1219" s="82"/>
      <c r="V1219" s="82"/>
      <c r="W1219" s="83"/>
      <c r="X1219" s="83"/>
      <c r="Y1219" s="83"/>
    </row>
    <row r="1220" spans="1:25" ht="13.8">
      <c r="A1220" s="78" t="str">
        <f ca="1">IFERROR(__xludf.DUMMYFUNCTION("""COMPUTED_VALUE"""),"LV")</f>
        <v>LV</v>
      </c>
      <c r="B1220" s="79" t="str">
        <f ca="1">IFERROR(__xludf.DUMMYFUNCTION("""COMPUTED_VALUE"""),"Claire Andresen")</f>
        <v>Claire Andresen</v>
      </c>
      <c r="C1220" s="78">
        <f ca="1">IFERROR(__xludf.DUMMYFUNCTION("""COMPUTED_VALUE"""),10)</f>
        <v>10</v>
      </c>
      <c r="D1220" s="78" t="str">
        <f ca="1">IFERROR(__xludf.DUMMYFUNCTION("""COMPUTED_VALUE"""),"G")</f>
        <v>G</v>
      </c>
      <c r="E1220" s="80" t="str">
        <f ca="1">IFERROR(__xludf.DUMMYFUNCTION("""COMPUTED_VALUE"""),"F")</f>
        <v>F</v>
      </c>
      <c r="F1220" s="80" t="str">
        <f ca="1">IFERROR(__xludf.DUMMYFUNCTION("""COMPUTED_VALUE"""),"J")</f>
        <v>J</v>
      </c>
      <c r="G1220" s="80">
        <f ca="1">IFERROR(__xludf.DUMMYFUNCTION("""COMPUTED_VALUE"""),5)</f>
        <v>5</v>
      </c>
      <c r="H1220" s="80" t="str">
        <f ca="1">IFERROR(__xludf.DUMMYFUNCTION("""COMPUTED_VALUE"""),"LV")</f>
        <v>LV</v>
      </c>
      <c r="I1220" s="80">
        <f ca="1">IFERROR(__xludf.DUMMYFUNCTION("""COMPUTED_VALUE"""),2)</f>
        <v>2</v>
      </c>
      <c r="J1220" s="81">
        <f ca="1">IFERROR(__xludf.DUMMYFUNCTION("""COMPUTED_VALUE"""),5)</f>
        <v>5</v>
      </c>
      <c r="K1220" s="81">
        <f ca="1">IFERROR(__xludf.DUMMYFUNCTION("""COMPUTED_VALUE"""),59.55)</f>
        <v>59.55</v>
      </c>
      <c r="L1220" s="81">
        <f ca="1">IFERROR(__xludf.DUMMYFUNCTION("""COMPUTED_VALUE"""),59.55)</f>
        <v>59.55</v>
      </c>
      <c r="M1220" s="81"/>
      <c r="N1220" s="81">
        <f ca="1">IFERROR(__xludf.DUMMYFUNCTION("""COMPUTED_VALUE"""),-80.55)</f>
        <v>-80.55</v>
      </c>
      <c r="O1220" s="81"/>
      <c r="P1220" s="81">
        <f ca="1">IFERROR(__xludf.DUMMYFUNCTION("""COMPUTED_VALUE"""),-97.3)</f>
        <v>-97.3</v>
      </c>
      <c r="Q1220" s="81"/>
      <c r="R1220" s="81">
        <f ca="1">IFERROR(__xludf.DUMMYFUNCTION("""COMPUTED_VALUE"""),-90)</f>
        <v>-90</v>
      </c>
      <c r="S1220" s="81"/>
      <c r="T1220" s="81"/>
      <c r="U1220" s="82"/>
      <c r="V1220" s="82"/>
      <c r="W1220" s="83"/>
      <c r="X1220" s="83"/>
      <c r="Y1220" s="83"/>
    </row>
    <row r="1221" spans="1:25" ht="13.8">
      <c r="A1221" s="78" t="str">
        <f ca="1">IFERROR(__xludf.DUMMYFUNCTION("""COMPUTED_VALUE"""),"LV")</f>
        <v>LV</v>
      </c>
      <c r="B1221" s="79" t="str">
        <f ca="1">IFERROR(__xludf.DUMMYFUNCTION("""COMPUTED_VALUE"""),"Reese Andresen")</f>
        <v>Reese Andresen</v>
      </c>
      <c r="C1221" s="78">
        <f ca="1">IFERROR(__xludf.DUMMYFUNCTION("""COMPUTED_VALUE"""),8)</f>
        <v>8</v>
      </c>
      <c r="D1221" s="78" t="str">
        <f ca="1">IFERROR(__xludf.DUMMYFUNCTION("""COMPUTED_VALUE"""),"G")</f>
        <v>G</v>
      </c>
      <c r="E1221" s="80" t="str">
        <f ca="1">IFERROR(__xludf.DUMMYFUNCTION("""COMPUTED_VALUE"""),"F")</f>
        <v>F</v>
      </c>
      <c r="F1221" s="80" t="str">
        <f ca="1">IFERROR(__xludf.DUMMYFUNCTION("""COMPUTED_VALUE"""),"J")</f>
        <v>J</v>
      </c>
      <c r="G1221" s="80">
        <f ca="1">IFERROR(__xludf.DUMMYFUNCTION("""COMPUTED_VALUE"""),5)</f>
        <v>5</v>
      </c>
      <c r="H1221" s="80" t="str">
        <f ca="1">IFERROR(__xludf.DUMMYFUNCTION("""COMPUTED_VALUE"""),"LV")</f>
        <v>LV</v>
      </c>
      <c r="I1221" s="80">
        <f ca="1">IFERROR(__xludf.DUMMYFUNCTION("""COMPUTED_VALUE"""),2)</f>
        <v>2</v>
      </c>
      <c r="J1221" s="81">
        <f ca="1">IFERROR(__xludf.DUMMYFUNCTION("""COMPUTED_VALUE"""),5)</f>
        <v>5</v>
      </c>
      <c r="K1221" s="81">
        <f ca="1">IFERROR(__xludf.DUMMYFUNCTION("""COMPUTED_VALUE"""),39.05)</f>
        <v>39.049999999999997</v>
      </c>
      <c r="L1221" s="81">
        <f ca="1">IFERROR(__xludf.DUMMYFUNCTION("""COMPUTED_VALUE"""),22.65)</f>
        <v>22.65</v>
      </c>
      <c r="M1221" s="81"/>
      <c r="N1221" s="81">
        <f ca="1">IFERROR(__xludf.DUMMYFUNCTION("""COMPUTED_VALUE"""),32.15)</f>
        <v>32.15</v>
      </c>
      <c r="O1221" s="81"/>
      <c r="P1221" s="81">
        <f ca="1">IFERROR(__xludf.DUMMYFUNCTION("""COMPUTED_VALUE"""),32.2)</f>
        <v>32.200000000000003</v>
      </c>
      <c r="Q1221" s="81"/>
      <c r="R1221" s="81">
        <f ca="1">IFERROR(__xludf.DUMMYFUNCTION("""COMPUTED_VALUE"""),39.05)</f>
        <v>39.049999999999997</v>
      </c>
      <c r="S1221" s="81"/>
      <c r="T1221" s="81"/>
      <c r="U1221" s="82"/>
      <c r="V1221" s="82"/>
      <c r="W1221" s="83"/>
      <c r="X1221" s="83"/>
      <c r="Y1221" s="83"/>
    </row>
    <row r="1222" spans="1:25" ht="13.8">
      <c r="A1222" s="78" t="str">
        <f ca="1">IFERROR(__xludf.DUMMYFUNCTION("""COMPUTED_VALUE"""),"LV")</f>
        <v>LV</v>
      </c>
      <c r="B1222" s="79" t="str">
        <f ca="1">IFERROR(__xludf.DUMMYFUNCTION("""COMPUTED_VALUE"""),"Hannah Carroll")</f>
        <v>Hannah Carroll</v>
      </c>
      <c r="C1222" s="78">
        <f ca="1">IFERROR(__xludf.DUMMYFUNCTION("""COMPUTED_VALUE"""),8)</f>
        <v>8</v>
      </c>
      <c r="D1222" s="78" t="str">
        <f ca="1">IFERROR(__xludf.DUMMYFUNCTION("""COMPUTED_VALUE"""),"G")</f>
        <v>G</v>
      </c>
      <c r="E1222" s="80" t="str">
        <f ca="1">IFERROR(__xludf.DUMMYFUNCTION("""COMPUTED_VALUE"""),"F")</f>
        <v>F</v>
      </c>
      <c r="F1222" s="80" t="str">
        <f ca="1">IFERROR(__xludf.DUMMYFUNCTION("""COMPUTED_VALUE"""),"J")</f>
        <v>J</v>
      </c>
      <c r="G1222" s="80">
        <f ca="1">IFERROR(__xludf.DUMMYFUNCTION("""COMPUTED_VALUE"""),5)</f>
        <v>5</v>
      </c>
      <c r="H1222" s="80" t="str">
        <f ca="1">IFERROR(__xludf.DUMMYFUNCTION("""COMPUTED_VALUE"""),"LV")</f>
        <v>LV</v>
      </c>
      <c r="I1222" s="80">
        <f ca="1">IFERROR(__xludf.DUMMYFUNCTION("""COMPUTED_VALUE"""),2)</f>
        <v>2</v>
      </c>
      <c r="J1222" s="81">
        <f ca="1">IFERROR(__xludf.DUMMYFUNCTION("""COMPUTED_VALUE"""),5)</f>
        <v>5</v>
      </c>
      <c r="K1222" s="81">
        <f ca="1">IFERROR(__xludf.DUMMYFUNCTION("""COMPUTED_VALUE"""),40.9)</f>
        <v>40.9</v>
      </c>
      <c r="L1222" s="81">
        <f ca="1">IFERROR(__xludf.DUMMYFUNCTION("""COMPUTED_VALUE"""),18.75)</f>
        <v>18.75</v>
      </c>
      <c r="M1222" s="81"/>
      <c r="N1222" s="81">
        <f ca="1">IFERROR(__xludf.DUMMYFUNCTION("""COMPUTED_VALUE"""),29.3)</f>
        <v>29.3</v>
      </c>
      <c r="O1222" s="81"/>
      <c r="P1222" s="81">
        <f ca="1">IFERROR(__xludf.DUMMYFUNCTION("""COMPUTED_VALUE"""),40.9)</f>
        <v>40.9</v>
      </c>
      <c r="Q1222" s="81"/>
      <c r="R1222" s="81">
        <f ca="1">IFERROR(__xludf.DUMMYFUNCTION("""COMPUTED_VALUE"""),17.75)</f>
        <v>17.75</v>
      </c>
      <c r="S1222" s="81"/>
      <c r="T1222" s="81"/>
      <c r="U1222" s="82"/>
      <c r="V1222" s="82"/>
      <c r="W1222" s="83"/>
      <c r="X1222" s="83"/>
      <c r="Y1222" s="83"/>
    </row>
    <row r="1223" spans="1:25" ht="13.8">
      <c r="A1223" s="78" t="str">
        <f ca="1">IFERROR(__xludf.DUMMYFUNCTION("""COMPUTED_VALUE"""),"LV")</f>
        <v>LV</v>
      </c>
      <c r="B1223" s="79" t="str">
        <f ca="1">IFERROR(__xludf.DUMMYFUNCTION("""COMPUTED_VALUE"""),"Deena Epstein")</f>
        <v>Deena Epstein</v>
      </c>
      <c r="C1223" s="78">
        <f ca="1">IFERROR(__xludf.DUMMYFUNCTION("""COMPUTED_VALUE"""),9)</f>
        <v>9</v>
      </c>
      <c r="D1223" s="78" t="str">
        <f ca="1">IFERROR(__xludf.DUMMYFUNCTION("""COMPUTED_VALUE"""),"G")</f>
        <v>G</v>
      </c>
      <c r="E1223" s="80" t="str">
        <f ca="1">IFERROR(__xludf.DUMMYFUNCTION("""COMPUTED_VALUE"""),"F")</f>
        <v>F</v>
      </c>
      <c r="F1223" s="80" t="str">
        <f ca="1">IFERROR(__xludf.DUMMYFUNCTION("""COMPUTED_VALUE"""),"J")</f>
        <v>J</v>
      </c>
      <c r="G1223" s="80">
        <f ca="1">IFERROR(__xludf.DUMMYFUNCTION("""COMPUTED_VALUE"""),5)</f>
        <v>5</v>
      </c>
      <c r="H1223" s="80" t="str">
        <f ca="1">IFERROR(__xludf.DUMMYFUNCTION("""COMPUTED_VALUE"""),"LV")</f>
        <v>LV</v>
      </c>
      <c r="I1223" s="80">
        <f ca="1">IFERROR(__xludf.DUMMYFUNCTION("""COMPUTED_VALUE"""),2)</f>
        <v>2</v>
      </c>
      <c r="J1223" s="81">
        <f ca="1">IFERROR(__xludf.DUMMYFUNCTION("""COMPUTED_VALUE"""),3)</f>
        <v>3</v>
      </c>
      <c r="K1223" s="81">
        <f ca="1">IFERROR(__xludf.DUMMYFUNCTION("""COMPUTED_VALUE"""),44.65)</f>
        <v>44.65</v>
      </c>
      <c r="L1223" s="81">
        <f ca="1">IFERROR(__xludf.DUMMYFUNCTION("""COMPUTED_VALUE"""),0)</f>
        <v>0</v>
      </c>
      <c r="M1223" s="81"/>
      <c r="N1223" s="81" t="str">
        <f ca="1">IFERROR(__xludf.DUMMYFUNCTION("""COMPUTED_VALUE""")," DQ")</f>
        <v xml:space="preserve"> DQ</v>
      </c>
      <c r="O1223" s="81"/>
      <c r="P1223" s="81">
        <f ca="1">IFERROR(__xludf.DUMMYFUNCTION("""COMPUTED_VALUE"""),31.7)</f>
        <v>31.7</v>
      </c>
      <c r="Q1223" s="81"/>
      <c r="R1223" s="81">
        <f ca="1">IFERROR(__xludf.DUMMYFUNCTION("""COMPUTED_VALUE"""),44.65)</f>
        <v>44.65</v>
      </c>
      <c r="S1223" s="81"/>
      <c r="T1223" s="81"/>
      <c r="U1223" s="82"/>
      <c r="V1223" s="82"/>
      <c r="W1223" s="83"/>
      <c r="X1223" s="83"/>
      <c r="Y1223" s="83"/>
    </row>
    <row r="1224" spans="1:25" ht="13.8">
      <c r="A1224" s="78" t="str">
        <f ca="1">IFERROR(__xludf.DUMMYFUNCTION("""COMPUTED_VALUE"""),"LV")</f>
        <v>LV</v>
      </c>
      <c r="B1224" s="79" t="str">
        <f ca="1">IFERROR(__xludf.DUMMYFUNCTION("""COMPUTED_VALUE"""),"Geraldine Epstein")</f>
        <v>Geraldine Epstein</v>
      </c>
      <c r="C1224" s="78">
        <f ca="1">IFERROR(__xludf.DUMMYFUNCTION("""COMPUTED_VALUE"""),9)</f>
        <v>9</v>
      </c>
      <c r="D1224" s="78" t="str">
        <f ca="1">IFERROR(__xludf.DUMMYFUNCTION("""COMPUTED_VALUE"""),"G")</f>
        <v>G</v>
      </c>
      <c r="E1224" s="80" t="str">
        <f ca="1">IFERROR(__xludf.DUMMYFUNCTION("""COMPUTED_VALUE"""),"F")</f>
        <v>F</v>
      </c>
      <c r="F1224" s="80" t="str">
        <f ca="1">IFERROR(__xludf.DUMMYFUNCTION("""COMPUTED_VALUE"""),"J")</f>
        <v>J</v>
      </c>
      <c r="G1224" s="80">
        <f ca="1">IFERROR(__xludf.DUMMYFUNCTION("""COMPUTED_VALUE"""),5)</f>
        <v>5</v>
      </c>
      <c r="H1224" s="80" t="str">
        <f ca="1">IFERROR(__xludf.DUMMYFUNCTION("""COMPUTED_VALUE"""),"LV")</f>
        <v>LV</v>
      </c>
      <c r="I1224" s="80">
        <f ca="1">IFERROR(__xludf.DUMMYFUNCTION("""COMPUTED_VALUE"""),2)</f>
        <v>2</v>
      </c>
      <c r="J1224" s="81">
        <f ca="1">IFERROR(__xludf.DUMMYFUNCTION("""COMPUTED_VALUE"""),1)</f>
        <v>1</v>
      </c>
      <c r="K1224" s="81">
        <f ca="1">IFERROR(__xludf.DUMMYFUNCTION("""COMPUTED_VALUE"""),9.5)</f>
        <v>9.5</v>
      </c>
      <c r="L1224" s="81">
        <f ca="1">IFERROR(__xludf.DUMMYFUNCTION("""COMPUTED_VALUE"""),9.5)</f>
        <v>9.5</v>
      </c>
      <c r="M1224" s="81"/>
      <c r="N1224" s="81">
        <f ca="1">IFERROR(__xludf.DUMMYFUNCTION("""COMPUTED_VALUE"""),0)</f>
        <v>0</v>
      </c>
      <c r="O1224" s="81"/>
      <c r="P1224" s="81">
        <f ca="1">IFERROR(__xludf.DUMMYFUNCTION("""COMPUTED_VALUE"""),0)</f>
        <v>0</v>
      </c>
      <c r="Q1224" s="81"/>
      <c r="R1224" s="81">
        <f ca="1">IFERROR(__xludf.DUMMYFUNCTION("""COMPUTED_VALUE"""),0)</f>
        <v>0</v>
      </c>
      <c r="S1224" s="81"/>
      <c r="T1224" s="81"/>
      <c r="U1224" s="82"/>
      <c r="V1224" s="82"/>
      <c r="W1224" s="83"/>
      <c r="X1224" s="83"/>
      <c r="Y1224" s="83"/>
    </row>
    <row r="1225" spans="1:25" ht="13.8">
      <c r="A1225" s="78" t="str">
        <f ca="1">IFERROR(__xludf.DUMMYFUNCTION("""COMPUTED_VALUE"""),"LV")</f>
        <v>LV</v>
      </c>
      <c r="B1225" s="79" t="str">
        <f ca="1">IFERROR(__xludf.DUMMYFUNCTION("""COMPUTED_VALUE"""),"Norah Flintoft")</f>
        <v>Norah Flintoft</v>
      </c>
      <c r="C1225" s="78">
        <f ca="1">IFERROR(__xludf.DUMMYFUNCTION("""COMPUTED_VALUE"""),10)</f>
        <v>10</v>
      </c>
      <c r="D1225" s="78" t="str">
        <f ca="1">IFERROR(__xludf.DUMMYFUNCTION("""COMPUTED_VALUE"""),"G")</f>
        <v>G</v>
      </c>
      <c r="E1225" s="80" t="str">
        <f ca="1">IFERROR(__xludf.DUMMYFUNCTION("""COMPUTED_VALUE"""),"F")</f>
        <v>F</v>
      </c>
      <c r="F1225" s="80" t="str">
        <f ca="1">IFERROR(__xludf.DUMMYFUNCTION("""COMPUTED_VALUE"""),"J")</f>
        <v>J</v>
      </c>
      <c r="G1225" s="80">
        <f ca="1">IFERROR(__xludf.DUMMYFUNCTION("""COMPUTED_VALUE"""),5)</f>
        <v>5</v>
      </c>
      <c r="H1225" s="80" t="str">
        <f ca="1">IFERROR(__xludf.DUMMYFUNCTION("""COMPUTED_VALUE"""),"LV")</f>
        <v>LV</v>
      </c>
      <c r="I1225" s="80">
        <f ca="1">IFERROR(__xludf.DUMMYFUNCTION("""COMPUTED_VALUE"""),2)</f>
        <v>2</v>
      </c>
      <c r="J1225" s="81">
        <f ca="1">IFERROR(__xludf.DUMMYFUNCTION("""COMPUTED_VALUE"""),4)</f>
        <v>4</v>
      </c>
      <c r="K1225" s="81">
        <f ca="1">IFERROR(__xludf.DUMMYFUNCTION("""COMPUTED_VALUE"""),27.15)</f>
        <v>27.15</v>
      </c>
      <c r="L1225" s="81">
        <f ca="1">IFERROR(__xludf.DUMMYFUNCTION("""COMPUTED_VALUE"""),0)</f>
        <v>0</v>
      </c>
      <c r="M1225" s="81"/>
      <c r="N1225" s="81">
        <f ca="1">IFERROR(__xludf.DUMMYFUNCTION("""COMPUTED_VALUE"""),18.35)</f>
        <v>18.350000000000001</v>
      </c>
      <c r="O1225" s="81"/>
      <c r="P1225" s="81">
        <f ca="1">IFERROR(__xludf.DUMMYFUNCTION("""COMPUTED_VALUE"""),27.15)</f>
        <v>27.15</v>
      </c>
      <c r="Q1225" s="81"/>
      <c r="R1225" s="81">
        <f ca="1">IFERROR(__xludf.DUMMYFUNCTION("""COMPUTED_VALUE"""),19.9)</f>
        <v>19.899999999999999</v>
      </c>
      <c r="S1225" s="81"/>
      <c r="T1225" s="81"/>
      <c r="U1225" s="82"/>
      <c r="V1225" s="82"/>
      <c r="W1225" s="83"/>
      <c r="X1225" s="83"/>
      <c r="Y1225" s="83"/>
    </row>
    <row r="1226" spans="1:25" ht="13.8">
      <c r="A1226" s="78" t="str">
        <f ca="1">IFERROR(__xludf.DUMMYFUNCTION("""COMPUTED_VALUE"""),"LV")</f>
        <v>LV</v>
      </c>
      <c r="B1226" s="79" t="str">
        <f ca="1">IFERROR(__xludf.DUMMYFUNCTION("""COMPUTED_VALUE"""),"Isabelle Koenig")</f>
        <v>Isabelle Koenig</v>
      </c>
      <c r="C1226" s="78">
        <f ca="1">IFERROR(__xludf.DUMMYFUNCTION("""COMPUTED_VALUE"""),10)</f>
        <v>10</v>
      </c>
      <c r="D1226" s="78" t="str">
        <f ca="1">IFERROR(__xludf.DUMMYFUNCTION("""COMPUTED_VALUE"""),"G")</f>
        <v>G</v>
      </c>
      <c r="E1226" s="80" t="str">
        <f ca="1">IFERROR(__xludf.DUMMYFUNCTION("""COMPUTED_VALUE"""),"F")</f>
        <v>F</v>
      </c>
      <c r="F1226" s="80" t="str">
        <f ca="1">IFERROR(__xludf.DUMMYFUNCTION("""COMPUTED_VALUE"""),"J")</f>
        <v>J</v>
      </c>
      <c r="G1226" s="80">
        <f ca="1">IFERROR(__xludf.DUMMYFUNCTION("""COMPUTED_VALUE"""),5)</f>
        <v>5</v>
      </c>
      <c r="H1226" s="80" t="str">
        <f ca="1">IFERROR(__xludf.DUMMYFUNCTION("""COMPUTED_VALUE"""),"LV")</f>
        <v>LV</v>
      </c>
      <c r="I1226" s="80">
        <f ca="1">IFERROR(__xludf.DUMMYFUNCTION("""COMPUTED_VALUE"""),2)</f>
        <v>2</v>
      </c>
      <c r="J1226" s="81">
        <f ca="1">IFERROR(__xludf.DUMMYFUNCTION("""COMPUTED_VALUE"""),5)</f>
        <v>5</v>
      </c>
      <c r="K1226" s="81">
        <f ca="1">IFERROR(__xludf.DUMMYFUNCTION("""COMPUTED_VALUE"""),67.55)</f>
        <v>67.55</v>
      </c>
      <c r="L1226" s="81">
        <f ca="1">IFERROR(__xludf.DUMMYFUNCTION("""COMPUTED_VALUE"""),49)</f>
        <v>49</v>
      </c>
      <c r="M1226" s="81"/>
      <c r="N1226" s="81">
        <f ca="1">IFERROR(__xludf.DUMMYFUNCTION("""COMPUTED_VALUE"""),55)</f>
        <v>55</v>
      </c>
      <c r="O1226" s="81"/>
      <c r="P1226" s="81">
        <f ca="1">IFERROR(__xludf.DUMMYFUNCTION("""COMPUTED_VALUE"""),67.55)</f>
        <v>67.55</v>
      </c>
      <c r="Q1226" s="81"/>
      <c r="R1226" s="81">
        <f ca="1">IFERROR(__xludf.DUMMYFUNCTION("""COMPUTED_VALUE"""),66.05)</f>
        <v>66.05</v>
      </c>
      <c r="S1226" s="81"/>
      <c r="T1226" s="81"/>
      <c r="U1226" s="82"/>
      <c r="V1226" s="82"/>
      <c r="W1226" s="83"/>
      <c r="X1226" s="83"/>
      <c r="Y1226" s="83"/>
    </row>
    <row r="1227" spans="1:25" ht="13.8">
      <c r="A1227" s="78" t="str">
        <f ca="1">IFERROR(__xludf.DUMMYFUNCTION("""COMPUTED_VALUE"""),"LV")</f>
        <v>LV</v>
      </c>
      <c r="B1227" s="79" t="str">
        <f ca="1">IFERROR(__xludf.DUMMYFUNCTION("""COMPUTED_VALUE"""),"Mimei Minato")</f>
        <v>Mimei Minato</v>
      </c>
      <c r="C1227" s="78">
        <f ca="1">IFERROR(__xludf.DUMMYFUNCTION("""COMPUTED_VALUE"""),9)</f>
        <v>9</v>
      </c>
      <c r="D1227" s="78" t="str">
        <f ca="1">IFERROR(__xludf.DUMMYFUNCTION("""COMPUTED_VALUE"""),"G")</f>
        <v>G</v>
      </c>
      <c r="E1227" s="80" t="str">
        <f ca="1">IFERROR(__xludf.DUMMYFUNCTION("""COMPUTED_VALUE"""),"F")</f>
        <v>F</v>
      </c>
      <c r="F1227" s="80" t="str">
        <f ca="1">IFERROR(__xludf.DUMMYFUNCTION("""COMPUTED_VALUE"""),"J")</f>
        <v>J</v>
      </c>
      <c r="G1227" s="80">
        <f ca="1">IFERROR(__xludf.DUMMYFUNCTION("""COMPUTED_VALUE"""),5)</f>
        <v>5</v>
      </c>
      <c r="H1227" s="80" t="str">
        <f ca="1">IFERROR(__xludf.DUMMYFUNCTION("""COMPUTED_VALUE"""),"LV")</f>
        <v>LV</v>
      </c>
      <c r="I1227" s="80">
        <f ca="1">IFERROR(__xludf.DUMMYFUNCTION("""COMPUTED_VALUE"""),2)</f>
        <v>2</v>
      </c>
      <c r="J1227" s="81">
        <f ca="1">IFERROR(__xludf.DUMMYFUNCTION("""COMPUTED_VALUE"""),4)</f>
        <v>4</v>
      </c>
      <c r="K1227" s="81">
        <f ca="1">IFERROR(__xludf.DUMMYFUNCTION("""COMPUTED_VALUE"""),48.55)</f>
        <v>48.55</v>
      </c>
      <c r="L1227" s="81">
        <f ca="1">IFERROR(__xludf.DUMMYFUNCTION("""COMPUTED_VALUE"""),42.25)</f>
        <v>42.25</v>
      </c>
      <c r="M1227" s="81"/>
      <c r="N1227" s="81">
        <f ca="1">IFERROR(__xludf.DUMMYFUNCTION("""COMPUTED_VALUE"""),34)</f>
        <v>34</v>
      </c>
      <c r="O1227" s="81"/>
      <c r="P1227" s="81">
        <f ca="1">IFERROR(__xludf.DUMMYFUNCTION("""COMPUTED_VALUE"""),48.55)</f>
        <v>48.55</v>
      </c>
      <c r="Q1227" s="81"/>
      <c r="R1227" s="81">
        <f ca="1">IFERROR(__xludf.DUMMYFUNCTION("""COMPUTED_VALUE"""),39.05)</f>
        <v>39.049999999999997</v>
      </c>
      <c r="S1227" s="81"/>
      <c r="T1227" s="81"/>
      <c r="U1227" s="82"/>
      <c r="V1227" s="82"/>
      <c r="W1227" s="83"/>
      <c r="X1227" s="83"/>
      <c r="Y1227" s="83"/>
    </row>
    <row r="1228" spans="1:25" ht="13.8">
      <c r="A1228" s="78" t="str">
        <f ca="1">IFERROR(__xludf.DUMMYFUNCTION("""COMPUTED_VALUE"""),"LV")</f>
        <v>LV</v>
      </c>
      <c r="B1228" s="79" t="str">
        <f ca="1">IFERROR(__xludf.DUMMYFUNCTION("""COMPUTED_VALUE"""),"Karoline Slone")</f>
        <v>Karoline Slone</v>
      </c>
      <c r="C1228" s="78">
        <f ca="1">IFERROR(__xludf.DUMMYFUNCTION("""COMPUTED_VALUE"""),7)</f>
        <v>7</v>
      </c>
      <c r="D1228" s="78" t="str">
        <f ca="1">IFERROR(__xludf.DUMMYFUNCTION("""COMPUTED_VALUE"""),"G")</f>
        <v>G</v>
      </c>
      <c r="E1228" s="80" t="str">
        <f ca="1">IFERROR(__xludf.DUMMYFUNCTION("""COMPUTED_VALUE"""),"F")</f>
        <v>F</v>
      </c>
      <c r="F1228" s="80" t="str">
        <f ca="1">IFERROR(__xludf.DUMMYFUNCTION("""COMPUTED_VALUE"""),"J")</f>
        <v>J</v>
      </c>
      <c r="G1228" s="80">
        <f ca="1">IFERROR(__xludf.DUMMYFUNCTION("""COMPUTED_VALUE"""),5)</f>
        <v>5</v>
      </c>
      <c r="H1228" s="80" t="str">
        <f ca="1">IFERROR(__xludf.DUMMYFUNCTION("""COMPUTED_VALUE"""),"LV")</f>
        <v>LV</v>
      </c>
      <c r="I1228" s="80">
        <f ca="1">IFERROR(__xludf.DUMMYFUNCTION("""COMPUTED_VALUE"""),2)</f>
        <v>2</v>
      </c>
      <c r="J1228" s="81">
        <f ca="1">IFERROR(__xludf.DUMMYFUNCTION("""COMPUTED_VALUE"""),3)</f>
        <v>3</v>
      </c>
      <c r="K1228" s="81">
        <f ca="1">IFERROR(__xludf.DUMMYFUNCTION("""COMPUTED_VALUE"""),34.8)</f>
        <v>34.799999999999997</v>
      </c>
      <c r="L1228" s="81">
        <f ca="1">IFERROR(__xludf.DUMMYFUNCTION("""COMPUTED_VALUE"""),0)</f>
        <v>0</v>
      </c>
      <c r="M1228" s="81"/>
      <c r="N1228" s="81">
        <f ca="1">IFERROR(__xludf.DUMMYFUNCTION("""COMPUTED_VALUE"""),18.55)</f>
        <v>18.55</v>
      </c>
      <c r="O1228" s="81"/>
      <c r="P1228" s="81">
        <f ca="1">IFERROR(__xludf.DUMMYFUNCTION("""COMPUTED_VALUE"""),34.8)</f>
        <v>34.799999999999997</v>
      </c>
      <c r="Q1228" s="81"/>
      <c r="R1228" s="81">
        <f ca="1">IFERROR(__xludf.DUMMYFUNCTION("""COMPUTED_VALUE"""),0)</f>
        <v>0</v>
      </c>
      <c r="S1228" s="81"/>
      <c r="T1228" s="81"/>
      <c r="U1228" s="82"/>
      <c r="V1228" s="82"/>
      <c r="W1228" s="83"/>
      <c r="X1228" s="83"/>
      <c r="Y1228" s="83"/>
    </row>
    <row r="1229" spans="1:25" ht="13.8">
      <c r="A1229" s="78" t="str">
        <f ca="1">IFERROR(__xludf.DUMMYFUNCTION("""COMPUTED_VALUE"""),"LV")</f>
        <v>LV</v>
      </c>
      <c r="B1229" s="79" t="str">
        <f ca="1">IFERROR(__xludf.DUMMYFUNCTION("""COMPUTED_VALUE"""),"Lacey Slone")</f>
        <v>Lacey Slone</v>
      </c>
      <c r="C1229" s="78">
        <f ca="1">IFERROR(__xludf.DUMMYFUNCTION("""COMPUTED_VALUE"""),9)</f>
        <v>9</v>
      </c>
      <c r="D1229" s="78" t="str">
        <f ca="1">IFERROR(__xludf.DUMMYFUNCTION("""COMPUTED_VALUE"""),"G")</f>
        <v>G</v>
      </c>
      <c r="E1229" s="80" t="str">
        <f ca="1">IFERROR(__xludf.DUMMYFUNCTION("""COMPUTED_VALUE"""),"F")</f>
        <v>F</v>
      </c>
      <c r="F1229" s="80" t="str">
        <f ca="1">IFERROR(__xludf.DUMMYFUNCTION("""COMPUTED_VALUE"""),"J")</f>
        <v>J</v>
      </c>
      <c r="G1229" s="80">
        <f ca="1">IFERROR(__xludf.DUMMYFUNCTION("""COMPUTED_VALUE"""),5)</f>
        <v>5</v>
      </c>
      <c r="H1229" s="80" t="str">
        <f ca="1">IFERROR(__xludf.DUMMYFUNCTION("""COMPUTED_VALUE"""),"LV")</f>
        <v>LV</v>
      </c>
      <c r="I1229" s="80">
        <f ca="1">IFERROR(__xludf.DUMMYFUNCTION("""COMPUTED_VALUE"""),2)</f>
        <v>2</v>
      </c>
      <c r="J1229" s="81">
        <f ca="1">IFERROR(__xludf.DUMMYFUNCTION("""COMPUTED_VALUE"""),3)</f>
        <v>3</v>
      </c>
      <c r="K1229" s="81">
        <f ca="1">IFERROR(__xludf.DUMMYFUNCTION("""COMPUTED_VALUE"""),44.95)</f>
        <v>44.95</v>
      </c>
      <c r="L1229" s="81">
        <f ca="1">IFERROR(__xludf.DUMMYFUNCTION("""COMPUTED_VALUE"""),0)</f>
        <v>0</v>
      </c>
      <c r="M1229" s="81"/>
      <c r="N1229" s="81">
        <f ca="1">IFERROR(__xludf.DUMMYFUNCTION("""COMPUTED_VALUE"""),42.15)</f>
        <v>42.15</v>
      </c>
      <c r="O1229" s="81"/>
      <c r="P1229" s="81">
        <f ca="1">IFERROR(__xludf.DUMMYFUNCTION("""COMPUTED_VALUE"""),44.95)</f>
        <v>44.95</v>
      </c>
      <c r="Q1229" s="81"/>
      <c r="R1229" s="81">
        <f ca="1">IFERROR(__xludf.DUMMYFUNCTION("""COMPUTED_VALUE"""),0)</f>
        <v>0</v>
      </c>
      <c r="S1229" s="81"/>
      <c r="T1229" s="81"/>
      <c r="U1229" s="82"/>
      <c r="V1229" s="82"/>
      <c r="W1229" s="83"/>
      <c r="X1229" s="83"/>
      <c r="Y1229" s="83"/>
    </row>
    <row r="1230" spans="1:25" ht="13.8">
      <c r="A1230" s="78" t="str">
        <f ca="1">IFERROR(__xludf.DUMMYFUNCTION("""COMPUTED_VALUE"""),"LV")</f>
        <v>LV</v>
      </c>
      <c r="B1230" s="79" t="str">
        <f ca="1">IFERROR(__xludf.DUMMYFUNCTION("""COMPUTED_VALUE"""),"Claire Webster")</f>
        <v>Claire Webster</v>
      </c>
      <c r="C1230" s="78">
        <f ca="1">IFERROR(__xludf.DUMMYFUNCTION("""COMPUTED_VALUE"""),8)</f>
        <v>8</v>
      </c>
      <c r="D1230" s="78" t="str">
        <f ca="1">IFERROR(__xludf.DUMMYFUNCTION("""COMPUTED_VALUE"""),"G")</f>
        <v>G</v>
      </c>
      <c r="E1230" s="80" t="str">
        <f ca="1">IFERROR(__xludf.DUMMYFUNCTION("""COMPUTED_VALUE"""),"F")</f>
        <v>F</v>
      </c>
      <c r="F1230" s="80" t="str">
        <f ca="1">IFERROR(__xludf.DUMMYFUNCTION("""COMPUTED_VALUE"""),"J")</f>
        <v>J</v>
      </c>
      <c r="G1230" s="80">
        <f ca="1">IFERROR(__xludf.DUMMYFUNCTION("""COMPUTED_VALUE"""),5)</f>
        <v>5</v>
      </c>
      <c r="H1230" s="80" t="str">
        <f ca="1">IFERROR(__xludf.DUMMYFUNCTION("""COMPUTED_VALUE"""),"LV")</f>
        <v>LV</v>
      </c>
      <c r="I1230" s="80">
        <f ca="1">IFERROR(__xludf.DUMMYFUNCTION("""COMPUTED_VALUE"""),2)</f>
        <v>2</v>
      </c>
      <c r="J1230" s="81">
        <f ca="1">IFERROR(__xludf.DUMMYFUNCTION("""COMPUTED_VALUE"""),5)</f>
        <v>5</v>
      </c>
      <c r="K1230" s="81">
        <f ca="1">IFERROR(__xludf.DUMMYFUNCTION("""COMPUTED_VALUE"""),45.2)</f>
        <v>45.2</v>
      </c>
      <c r="L1230" s="81">
        <f ca="1">IFERROR(__xludf.DUMMYFUNCTION("""COMPUTED_VALUE"""),32.2)</f>
        <v>32.200000000000003</v>
      </c>
      <c r="M1230" s="81"/>
      <c r="N1230" s="81">
        <f ca="1">IFERROR(__xludf.DUMMYFUNCTION("""COMPUTED_VALUE"""),27.55)</f>
        <v>27.55</v>
      </c>
      <c r="O1230" s="81"/>
      <c r="P1230" s="81">
        <f ca="1">IFERROR(__xludf.DUMMYFUNCTION("""COMPUTED_VALUE"""),37.3)</f>
        <v>37.299999999999997</v>
      </c>
      <c r="Q1230" s="81"/>
      <c r="R1230" s="81">
        <f ca="1">IFERROR(__xludf.DUMMYFUNCTION("""COMPUTED_VALUE"""),45.2)</f>
        <v>45.2</v>
      </c>
      <c r="S1230" s="81"/>
      <c r="T1230" s="81"/>
      <c r="U1230" s="82"/>
      <c r="V1230" s="82"/>
      <c r="W1230" s="83"/>
      <c r="X1230" s="83"/>
      <c r="Y1230" s="83"/>
    </row>
    <row r="1231" spans="1:25" ht="13.8">
      <c r="A1231" s="78" t="str">
        <f ca="1">IFERROR(__xludf.DUMMYFUNCTION("""COMPUTED_VALUE"""),"LV")</f>
        <v>LV</v>
      </c>
      <c r="B1231" s="79" t="str">
        <f ca="1">IFERROR(__xludf.DUMMYFUNCTION("""COMPUTED_VALUE"""),"Addy Whritenour")</f>
        <v>Addy Whritenour</v>
      </c>
      <c r="C1231" s="78">
        <f ca="1">IFERROR(__xludf.DUMMYFUNCTION("""COMPUTED_VALUE"""),8)</f>
        <v>8</v>
      </c>
      <c r="D1231" s="78" t="str">
        <f ca="1">IFERROR(__xludf.DUMMYFUNCTION("""COMPUTED_VALUE"""),"G")</f>
        <v>G</v>
      </c>
      <c r="E1231" s="80" t="str">
        <f ca="1">IFERROR(__xludf.DUMMYFUNCTION("""COMPUTED_VALUE"""),"F")</f>
        <v>F</v>
      </c>
      <c r="F1231" s="80" t="str">
        <f ca="1">IFERROR(__xludf.DUMMYFUNCTION("""COMPUTED_VALUE"""),"J")</f>
        <v>J</v>
      </c>
      <c r="G1231" s="80">
        <f ca="1">IFERROR(__xludf.DUMMYFUNCTION("""COMPUTED_VALUE"""),5)</f>
        <v>5</v>
      </c>
      <c r="H1231" s="80" t="str">
        <f ca="1">IFERROR(__xludf.DUMMYFUNCTION("""COMPUTED_VALUE"""),"LV")</f>
        <v>LV</v>
      </c>
      <c r="I1231" s="80">
        <f ca="1">IFERROR(__xludf.DUMMYFUNCTION("""COMPUTED_VALUE"""),2)</f>
        <v>2</v>
      </c>
      <c r="J1231" s="81">
        <f ca="1">IFERROR(__xludf.DUMMYFUNCTION("""COMPUTED_VALUE"""),3)</f>
        <v>3</v>
      </c>
      <c r="K1231" s="81">
        <f ca="1">IFERROR(__xludf.DUMMYFUNCTION("""COMPUTED_VALUE"""),38.5)</f>
        <v>38.5</v>
      </c>
      <c r="L1231" s="81">
        <f ca="1">IFERROR(__xludf.DUMMYFUNCTION("""COMPUTED_VALUE"""),0)</f>
        <v>0</v>
      </c>
      <c r="M1231" s="81"/>
      <c r="N1231" s="81">
        <f ca="1">IFERROR(__xludf.DUMMYFUNCTION("""COMPUTED_VALUE"""),0)</f>
        <v>0</v>
      </c>
      <c r="O1231" s="81"/>
      <c r="P1231" s="81">
        <f ca="1">IFERROR(__xludf.DUMMYFUNCTION("""COMPUTED_VALUE"""),38.5)</f>
        <v>38.5</v>
      </c>
      <c r="Q1231" s="81"/>
      <c r="R1231" s="81">
        <f ca="1">IFERROR(__xludf.DUMMYFUNCTION("""COMPUTED_VALUE"""),32.9)</f>
        <v>32.9</v>
      </c>
      <c r="S1231" s="81"/>
      <c r="T1231" s="81"/>
      <c r="U1231" s="82"/>
      <c r="V1231" s="82"/>
      <c r="W1231" s="83"/>
      <c r="X1231" s="83"/>
      <c r="Y1231" s="83"/>
    </row>
    <row r="1232" spans="1:25" ht="13.8">
      <c r="A1232" s="78" t="str">
        <f ca="1">IFERROR(__xludf.DUMMYFUNCTION("""COMPUTED_VALUE"""),"LV")</f>
        <v>LV</v>
      </c>
      <c r="B1232" s="79" t="str">
        <f ca="1">IFERROR(__xludf.DUMMYFUNCTION("""COMPUTED_VALUE"""),"Thomas Gardner")</f>
        <v>Thomas Gardner</v>
      </c>
      <c r="C1232" s="78">
        <f ca="1">IFERROR(__xludf.DUMMYFUNCTION("""COMPUTED_VALUE"""),10)</f>
        <v>10</v>
      </c>
      <c r="D1232" s="78" t="str">
        <f ca="1">IFERROR(__xludf.DUMMYFUNCTION("""COMPUTED_VALUE"""),"B")</f>
        <v>B</v>
      </c>
      <c r="E1232" s="80" t="str">
        <f ca="1">IFERROR(__xludf.DUMMYFUNCTION("""COMPUTED_VALUE"""),"F")</f>
        <v>F</v>
      </c>
      <c r="F1232" s="80" t="str">
        <f ca="1">IFERROR(__xludf.DUMMYFUNCTION("""COMPUTED_VALUE"""),"J")</f>
        <v>J</v>
      </c>
      <c r="G1232" s="80">
        <f ca="1">IFERROR(__xludf.DUMMYFUNCTION("""COMPUTED_VALUE"""),5)</f>
        <v>5</v>
      </c>
      <c r="H1232" s="80" t="str">
        <f ca="1">IFERROR(__xludf.DUMMYFUNCTION("""COMPUTED_VALUE"""),"LV")</f>
        <v>LV</v>
      </c>
      <c r="I1232" s="80">
        <f ca="1">IFERROR(__xludf.DUMMYFUNCTION("""COMPUTED_VALUE"""),3)</f>
        <v>3</v>
      </c>
      <c r="J1232" s="81">
        <f ca="1">IFERROR(__xludf.DUMMYFUNCTION("""COMPUTED_VALUE"""),3)</f>
        <v>3</v>
      </c>
      <c r="K1232" s="81">
        <f ca="1">IFERROR(__xludf.DUMMYFUNCTION("""COMPUTED_VALUE"""),57.3)</f>
        <v>57.3</v>
      </c>
      <c r="L1232" s="81">
        <f ca="1">IFERROR(__xludf.DUMMYFUNCTION("""COMPUTED_VALUE"""),56.15)</f>
        <v>56.15</v>
      </c>
      <c r="M1232" s="81"/>
      <c r="N1232" s="81">
        <f ca="1">IFERROR(__xludf.DUMMYFUNCTION("""COMPUTED_VALUE"""),0)</f>
        <v>0</v>
      </c>
      <c r="O1232" s="81"/>
      <c r="P1232" s="81">
        <f ca="1">IFERROR(__xludf.DUMMYFUNCTION("""COMPUTED_VALUE"""),0)</f>
        <v>0</v>
      </c>
      <c r="Q1232" s="81"/>
      <c r="R1232" s="81">
        <f ca="1">IFERROR(__xludf.DUMMYFUNCTION("""COMPUTED_VALUE"""),57.3)</f>
        <v>57.3</v>
      </c>
      <c r="S1232" s="81"/>
      <c r="T1232" s="81"/>
      <c r="U1232" s="82"/>
      <c r="V1232" s="82"/>
      <c r="W1232" s="83"/>
      <c r="X1232" s="83"/>
      <c r="Y1232" s="83"/>
    </row>
    <row r="1233" spans="1:25" ht="13.8">
      <c r="A1233" s="78" t="str">
        <f ca="1">IFERROR(__xludf.DUMMYFUNCTION("""COMPUTED_VALUE"""),"LV")</f>
        <v>LV</v>
      </c>
      <c r="B1233" s="79" t="str">
        <f ca="1">IFERROR(__xludf.DUMMYFUNCTION("""COMPUTED_VALUE"""),"Logan Gernatt")</f>
        <v>Logan Gernatt</v>
      </c>
      <c r="C1233" s="78">
        <f ca="1">IFERROR(__xludf.DUMMYFUNCTION("""COMPUTED_VALUE"""),8)</f>
        <v>8</v>
      </c>
      <c r="D1233" s="78" t="str">
        <f ca="1">IFERROR(__xludf.DUMMYFUNCTION("""COMPUTED_VALUE"""),"B")</f>
        <v>B</v>
      </c>
      <c r="E1233" s="80" t="str">
        <f ca="1">IFERROR(__xludf.DUMMYFUNCTION("""COMPUTED_VALUE"""),"F")</f>
        <v>F</v>
      </c>
      <c r="F1233" s="80" t="str">
        <f ca="1">IFERROR(__xludf.DUMMYFUNCTION("""COMPUTED_VALUE"""),"J")</f>
        <v>J</v>
      </c>
      <c r="G1233" s="80">
        <f ca="1">IFERROR(__xludf.DUMMYFUNCTION("""COMPUTED_VALUE"""),5)</f>
        <v>5</v>
      </c>
      <c r="H1233" s="80" t="str">
        <f ca="1">IFERROR(__xludf.DUMMYFUNCTION("""COMPUTED_VALUE"""),"LV")</f>
        <v>LV</v>
      </c>
      <c r="I1233" s="80">
        <f ca="1">IFERROR(__xludf.DUMMYFUNCTION("""COMPUTED_VALUE"""),3)</f>
        <v>3</v>
      </c>
      <c r="J1233" s="81">
        <f ca="1">IFERROR(__xludf.DUMMYFUNCTION("""COMPUTED_VALUE"""),4)</f>
        <v>4</v>
      </c>
      <c r="K1233" s="81">
        <f ca="1">IFERROR(__xludf.DUMMYFUNCTION("""COMPUTED_VALUE"""),35.95)</f>
        <v>35.950000000000003</v>
      </c>
      <c r="L1233" s="81">
        <f ca="1">IFERROR(__xludf.DUMMYFUNCTION("""COMPUTED_VALUE"""),30.65)</f>
        <v>30.65</v>
      </c>
      <c r="M1233" s="81"/>
      <c r="N1233" s="81">
        <f ca="1">IFERROR(__xludf.DUMMYFUNCTION("""COMPUTED_VALUE"""),32.9)</f>
        <v>32.9</v>
      </c>
      <c r="O1233" s="81"/>
      <c r="P1233" s="81">
        <f ca="1">IFERROR(__xludf.DUMMYFUNCTION("""COMPUTED_VALUE"""),35.95)</f>
        <v>35.950000000000003</v>
      </c>
      <c r="Q1233" s="81"/>
      <c r="R1233" s="81">
        <f ca="1">IFERROR(__xludf.DUMMYFUNCTION("""COMPUTED_VALUE"""),0)</f>
        <v>0</v>
      </c>
      <c r="S1233" s="81"/>
      <c r="T1233" s="81"/>
      <c r="U1233" s="82"/>
      <c r="V1233" s="82"/>
      <c r="W1233" s="83"/>
      <c r="X1233" s="83"/>
      <c r="Y1233" s="83"/>
    </row>
    <row r="1234" spans="1:25" ht="13.8">
      <c r="A1234" s="78" t="str">
        <f ca="1">IFERROR(__xludf.DUMMYFUNCTION("""COMPUTED_VALUE"""),"LV")</f>
        <v>LV</v>
      </c>
      <c r="B1234" s="79" t="str">
        <f ca="1">IFERROR(__xludf.DUMMYFUNCTION("""COMPUTED_VALUE"""),"Zachary Holden")</f>
        <v>Zachary Holden</v>
      </c>
      <c r="C1234" s="78">
        <f ca="1">IFERROR(__xludf.DUMMYFUNCTION("""COMPUTED_VALUE"""),10)</f>
        <v>10</v>
      </c>
      <c r="D1234" s="78" t="str">
        <f ca="1">IFERROR(__xludf.DUMMYFUNCTION("""COMPUTED_VALUE"""),"B")</f>
        <v>B</v>
      </c>
      <c r="E1234" s="80" t="str">
        <f ca="1">IFERROR(__xludf.DUMMYFUNCTION("""COMPUTED_VALUE"""),"F")</f>
        <v>F</v>
      </c>
      <c r="F1234" s="80" t="str">
        <f ca="1">IFERROR(__xludf.DUMMYFUNCTION("""COMPUTED_VALUE"""),"J")</f>
        <v>J</v>
      </c>
      <c r="G1234" s="80">
        <f ca="1">IFERROR(__xludf.DUMMYFUNCTION("""COMPUTED_VALUE"""),5)</f>
        <v>5</v>
      </c>
      <c r="H1234" s="80" t="str">
        <f ca="1">IFERROR(__xludf.DUMMYFUNCTION("""COMPUTED_VALUE"""),"LV")</f>
        <v>LV</v>
      </c>
      <c r="I1234" s="80">
        <f ca="1">IFERROR(__xludf.DUMMYFUNCTION("""COMPUTED_VALUE"""),3)</f>
        <v>3</v>
      </c>
      <c r="J1234" s="81">
        <f ca="1">IFERROR(__xludf.DUMMYFUNCTION("""COMPUTED_VALUE"""),4)</f>
        <v>4</v>
      </c>
      <c r="K1234" s="81">
        <f ca="1">IFERROR(__xludf.DUMMYFUNCTION("""COMPUTED_VALUE"""),60.25)</f>
        <v>60.25</v>
      </c>
      <c r="L1234" s="81">
        <f ca="1">IFERROR(__xludf.DUMMYFUNCTION("""COMPUTED_VALUE"""),22.25)</f>
        <v>22.25</v>
      </c>
      <c r="M1234" s="81"/>
      <c r="N1234" s="81">
        <f ca="1">IFERROR(__xludf.DUMMYFUNCTION("""COMPUTED_VALUE"""),34.1)</f>
        <v>34.1</v>
      </c>
      <c r="O1234" s="81"/>
      <c r="P1234" s="81">
        <f ca="1">IFERROR(__xludf.DUMMYFUNCTION("""COMPUTED_VALUE"""),60.25)</f>
        <v>60.25</v>
      </c>
      <c r="Q1234" s="81"/>
      <c r="R1234" s="81">
        <f ca="1">IFERROR(__xludf.DUMMYFUNCTION("""COMPUTED_VALUE"""),0)</f>
        <v>0</v>
      </c>
      <c r="S1234" s="81"/>
      <c r="T1234" s="81"/>
      <c r="U1234" s="82"/>
      <c r="V1234" s="82"/>
      <c r="W1234" s="83"/>
      <c r="X1234" s="83"/>
      <c r="Y1234" s="83"/>
    </row>
    <row r="1235" spans="1:25" ht="13.8">
      <c r="A1235" s="78" t="str">
        <f ca="1">IFERROR(__xludf.DUMMYFUNCTION("""COMPUTED_VALUE"""),"LV")</f>
        <v>LV</v>
      </c>
      <c r="B1235" s="79" t="str">
        <f ca="1">IFERROR(__xludf.DUMMYFUNCTION("""COMPUTED_VALUE"""),"Gunner Larson")</f>
        <v>Gunner Larson</v>
      </c>
      <c r="C1235" s="78">
        <f ca="1">IFERROR(__xludf.DUMMYFUNCTION("""COMPUTED_VALUE"""),10)</f>
        <v>10</v>
      </c>
      <c r="D1235" s="78" t="str">
        <f ca="1">IFERROR(__xludf.DUMMYFUNCTION("""COMPUTED_VALUE"""),"B")</f>
        <v>B</v>
      </c>
      <c r="E1235" s="80" t="str">
        <f ca="1">IFERROR(__xludf.DUMMYFUNCTION("""COMPUTED_VALUE"""),"F")</f>
        <v>F</v>
      </c>
      <c r="F1235" s="80" t="str">
        <f ca="1">IFERROR(__xludf.DUMMYFUNCTION("""COMPUTED_VALUE"""),"J")</f>
        <v>J</v>
      </c>
      <c r="G1235" s="80">
        <f ca="1">IFERROR(__xludf.DUMMYFUNCTION("""COMPUTED_VALUE"""),5)</f>
        <v>5</v>
      </c>
      <c r="H1235" s="80" t="str">
        <f ca="1">IFERROR(__xludf.DUMMYFUNCTION("""COMPUTED_VALUE"""),"LV")</f>
        <v>LV</v>
      </c>
      <c r="I1235" s="80">
        <f ca="1">IFERROR(__xludf.DUMMYFUNCTION("""COMPUTED_VALUE"""),3)</f>
        <v>3</v>
      </c>
      <c r="J1235" s="81">
        <f ca="1">IFERROR(__xludf.DUMMYFUNCTION("""COMPUTED_VALUE"""),5)</f>
        <v>5</v>
      </c>
      <c r="K1235" s="81">
        <f ca="1">IFERROR(__xludf.DUMMYFUNCTION("""COMPUTED_VALUE"""),-66.95)</f>
        <v>-66.95</v>
      </c>
      <c r="L1235" s="81">
        <f ca="1">IFERROR(__xludf.DUMMYFUNCTION("""COMPUTED_VALUE"""),-70.05)</f>
        <v>-70.05</v>
      </c>
      <c r="M1235" s="81"/>
      <c r="N1235" s="81">
        <f ca="1">IFERROR(__xludf.DUMMYFUNCTION("""COMPUTED_VALUE"""),-66.95)</f>
        <v>-66.95</v>
      </c>
      <c r="O1235" s="81"/>
      <c r="P1235" s="81">
        <f ca="1">IFERROR(__xludf.DUMMYFUNCTION("""COMPUTED_VALUE"""),-87.05)</f>
        <v>-87.05</v>
      </c>
      <c r="Q1235" s="81"/>
      <c r="R1235" s="81">
        <f ca="1">IFERROR(__xludf.DUMMYFUNCTION("""COMPUTED_VALUE"""),-87.3)</f>
        <v>-87.3</v>
      </c>
      <c r="S1235" s="81"/>
      <c r="T1235" s="81"/>
      <c r="U1235" s="82"/>
      <c r="V1235" s="82"/>
      <c r="W1235" s="83"/>
      <c r="X1235" s="83"/>
      <c r="Y1235" s="83"/>
    </row>
    <row r="1236" spans="1:25" ht="13.8">
      <c r="A1236" s="78" t="str">
        <f ca="1">IFERROR(__xludf.DUMMYFUNCTION("""COMPUTED_VALUE"""),"LV")</f>
        <v>LV</v>
      </c>
      <c r="B1236" s="79" t="str">
        <f ca="1">IFERROR(__xludf.DUMMYFUNCTION("""COMPUTED_VALUE"""),"Arik Stone")</f>
        <v>Arik Stone</v>
      </c>
      <c r="C1236" s="78">
        <f ca="1">IFERROR(__xludf.DUMMYFUNCTION("""COMPUTED_VALUE"""),9)</f>
        <v>9</v>
      </c>
      <c r="D1236" s="78" t="str">
        <f ca="1">IFERROR(__xludf.DUMMYFUNCTION("""COMPUTED_VALUE"""),"B")</f>
        <v>B</v>
      </c>
      <c r="E1236" s="80" t="str">
        <f ca="1">IFERROR(__xludf.DUMMYFUNCTION("""COMPUTED_VALUE"""),"F")</f>
        <v>F</v>
      </c>
      <c r="F1236" s="80" t="str">
        <f ca="1">IFERROR(__xludf.DUMMYFUNCTION("""COMPUTED_VALUE"""),"J")</f>
        <v>J</v>
      </c>
      <c r="G1236" s="80">
        <f ca="1">IFERROR(__xludf.DUMMYFUNCTION("""COMPUTED_VALUE"""),5)</f>
        <v>5</v>
      </c>
      <c r="H1236" s="80" t="str">
        <f ca="1">IFERROR(__xludf.DUMMYFUNCTION("""COMPUTED_VALUE"""),"LV")</f>
        <v>LV</v>
      </c>
      <c r="I1236" s="80">
        <f ca="1">IFERROR(__xludf.DUMMYFUNCTION("""COMPUTED_VALUE"""),3)</f>
        <v>3</v>
      </c>
      <c r="J1236" s="81">
        <f ca="1">IFERROR(__xludf.DUMMYFUNCTION("""COMPUTED_VALUE"""),4)</f>
        <v>4</v>
      </c>
      <c r="K1236" s="81">
        <f ca="1">IFERROR(__xludf.DUMMYFUNCTION("""COMPUTED_VALUE"""),77.6)</f>
        <v>77.599999999999994</v>
      </c>
      <c r="L1236" s="81">
        <f ca="1">IFERROR(__xludf.DUMMYFUNCTION("""COMPUTED_VALUE"""),0)</f>
        <v>0</v>
      </c>
      <c r="M1236" s="81"/>
      <c r="N1236" s="81">
        <f ca="1">IFERROR(__xludf.DUMMYFUNCTION("""COMPUTED_VALUE"""),50.85)</f>
        <v>50.85</v>
      </c>
      <c r="O1236" s="81"/>
      <c r="P1236" s="81">
        <f ca="1">IFERROR(__xludf.DUMMYFUNCTION("""COMPUTED_VALUE"""),77.6)</f>
        <v>77.599999999999994</v>
      </c>
      <c r="Q1236" s="81"/>
      <c r="R1236" s="81">
        <f ca="1">IFERROR(__xludf.DUMMYFUNCTION("""COMPUTED_VALUE"""),58.6)</f>
        <v>58.6</v>
      </c>
      <c r="S1236" s="81"/>
      <c r="T1236" s="81"/>
      <c r="U1236" s="82"/>
      <c r="V1236" s="82"/>
      <c r="W1236" s="83"/>
      <c r="X1236" s="83"/>
      <c r="Y1236" s="83"/>
    </row>
    <row r="1237" spans="1:25" ht="13.8">
      <c r="A1237" s="78" t="str">
        <f ca="1">IFERROR(__xludf.DUMMYFUNCTION("""COMPUTED_VALUE"""),"LV")</f>
        <v>LV</v>
      </c>
      <c r="B1237" s="79" t="str">
        <f ca="1">IFERROR(__xludf.DUMMYFUNCTION("""COMPUTED_VALUE"""),"Pax Whritenour")</f>
        <v>Pax Whritenour</v>
      </c>
      <c r="C1237" s="78">
        <f ca="1">IFERROR(__xludf.DUMMYFUNCTION("""COMPUTED_VALUE"""),9)</f>
        <v>9</v>
      </c>
      <c r="D1237" s="78" t="str">
        <f ca="1">IFERROR(__xludf.DUMMYFUNCTION("""COMPUTED_VALUE"""),"B")</f>
        <v>B</v>
      </c>
      <c r="E1237" s="80" t="str">
        <f ca="1">IFERROR(__xludf.DUMMYFUNCTION("""COMPUTED_VALUE"""),"F")</f>
        <v>F</v>
      </c>
      <c r="F1237" s="80" t="str">
        <f ca="1">IFERROR(__xludf.DUMMYFUNCTION("""COMPUTED_VALUE"""),"J")</f>
        <v>J</v>
      </c>
      <c r="G1237" s="80">
        <f ca="1">IFERROR(__xludf.DUMMYFUNCTION("""COMPUTED_VALUE"""),5)</f>
        <v>5</v>
      </c>
      <c r="H1237" s="80" t="str">
        <f ca="1">IFERROR(__xludf.DUMMYFUNCTION("""COMPUTED_VALUE"""),"LV")</f>
        <v>LV</v>
      </c>
      <c r="I1237" s="80">
        <f ca="1">IFERROR(__xludf.DUMMYFUNCTION("""COMPUTED_VALUE"""),3)</f>
        <v>3</v>
      </c>
      <c r="J1237" s="81">
        <f ca="1">IFERROR(__xludf.DUMMYFUNCTION("""COMPUTED_VALUE"""),4)</f>
        <v>4</v>
      </c>
      <c r="K1237" s="81">
        <f ca="1">IFERROR(__xludf.DUMMYFUNCTION("""COMPUTED_VALUE"""),56.15)</f>
        <v>56.15</v>
      </c>
      <c r="L1237" s="81">
        <f ca="1">IFERROR(__xludf.DUMMYFUNCTION("""COMPUTED_VALUE"""),0)</f>
        <v>0</v>
      </c>
      <c r="M1237" s="81"/>
      <c r="N1237" s="81">
        <f ca="1">IFERROR(__xludf.DUMMYFUNCTION("""COMPUTED_VALUE"""),52.85)</f>
        <v>52.85</v>
      </c>
      <c r="O1237" s="81"/>
      <c r="P1237" s="81">
        <f ca="1">IFERROR(__xludf.DUMMYFUNCTION("""COMPUTED_VALUE"""),50.55)</f>
        <v>50.55</v>
      </c>
      <c r="Q1237" s="81"/>
      <c r="R1237" s="81">
        <f ca="1">IFERROR(__xludf.DUMMYFUNCTION("""COMPUTED_VALUE"""),56.15)</f>
        <v>56.15</v>
      </c>
      <c r="S1237" s="81"/>
      <c r="T1237" s="81"/>
      <c r="U1237" s="82"/>
      <c r="V1237" s="82"/>
      <c r="W1237" s="83"/>
      <c r="X1237" s="83"/>
      <c r="Y1237" s="83"/>
    </row>
    <row r="1238" spans="1:25" ht="13.8">
      <c r="A1238" s="78" t="str">
        <f ca="1">IFERROR(__xludf.DUMMYFUNCTION("""COMPUTED_VALUE"""),"LV")</f>
        <v>LV</v>
      </c>
      <c r="B1238" s="79" t="str">
        <f ca="1">IFERROR(__xludf.DUMMYFUNCTION("""COMPUTED_VALUE"""),"Ethan Hubbard")</f>
        <v>Ethan Hubbard</v>
      </c>
      <c r="C1238" s="78">
        <f ca="1">IFERROR(__xludf.DUMMYFUNCTION("""COMPUTED_VALUE"""),11)</f>
        <v>11</v>
      </c>
      <c r="D1238" s="78" t="str">
        <f ca="1">IFERROR(__xludf.DUMMYFUNCTION("""COMPUTED_VALUE"""),"B")</f>
        <v>B</v>
      </c>
      <c r="E1238" s="80" t="str">
        <f ca="1">IFERROR(__xludf.DUMMYFUNCTION("""COMPUTED_VALUE"""),"J")</f>
        <v>J</v>
      </c>
      <c r="F1238" s="80" t="str">
        <f ca="1">IFERROR(__xludf.DUMMYFUNCTION("""COMPUTED_VALUE"""),"I")</f>
        <v>I</v>
      </c>
      <c r="G1238" s="80">
        <f ca="1">IFERROR(__xludf.DUMMYFUNCTION("""COMPUTED_VALUE"""),5)</f>
        <v>5</v>
      </c>
      <c r="H1238" s="80" t="str">
        <f ca="1">IFERROR(__xludf.DUMMYFUNCTION("""COMPUTED_VALUE"""),"LV")</f>
        <v>LV</v>
      </c>
      <c r="I1238" s="80">
        <f ca="1">IFERROR(__xludf.DUMMYFUNCTION("""COMPUTED_VALUE"""),5)</f>
        <v>5</v>
      </c>
      <c r="J1238" s="81">
        <f ca="1">IFERROR(__xludf.DUMMYFUNCTION("""COMPUTED_VALUE"""),3)</f>
        <v>3</v>
      </c>
      <c r="K1238" s="81">
        <f ca="1">IFERROR(__xludf.DUMMYFUNCTION("""COMPUTED_VALUE"""),88.8)</f>
        <v>88.8</v>
      </c>
      <c r="L1238" s="81">
        <f ca="1">IFERROR(__xludf.DUMMYFUNCTION("""COMPUTED_VALUE"""),58.25)</f>
        <v>58.25</v>
      </c>
      <c r="M1238" s="81"/>
      <c r="N1238" s="81">
        <f ca="1">IFERROR(__xludf.DUMMYFUNCTION("""COMPUTED_VALUE"""),66.55)</f>
        <v>66.55</v>
      </c>
      <c r="O1238" s="81"/>
      <c r="P1238" s="81">
        <f ca="1">IFERROR(__xludf.DUMMYFUNCTION("""COMPUTED_VALUE"""),88.8)</f>
        <v>88.8</v>
      </c>
      <c r="Q1238" s="81"/>
      <c r="R1238" s="81">
        <f ca="1">IFERROR(__xludf.DUMMYFUNCTION("""COMPUTED_VALUE"""),0)</f>
        <v>0</v>
      </c>
      <c r="S1238" s="81"/>
      <c r="T1238" s="81"/>
      <c r="U1238" s="82"/>
      <c r="V1238" s="82"/>
      <c r="W1238" s="83"/>
      <c r="X1238" s="83"/>
      <c r="Y1238" s="83"/>
    </row>
    <row r="1239" spans="1:25" ht="13.8">
      <c r="A1239" s="78" t="str">
        <f ca="1">IFERROR(__xludf.DUMMYFUNCTION("""COMPUTED_VALUE"""),"LV")</f>
        <v>LV</v>
      </c>
      <c r="B1239" s="79" t="str">
        <f ca="1">IFERROR(__xludf.DUMMYFUNCTION("""COMPUTED_VALUE"""),"Catherine Fleck")</f>
        <v>Catherine Fleck</v>
      </c>
      <c r="C1239" s="78">
        <f ca="1">IFERROR(__xludf.DUMMYFUNCTION("""COMPUTED_VALUE"""),13)</f>
        <v>13</v>
      </c>
      <c r="D1239" s="78" t="str">
        <f ca="1">IFERROR(__xludf.DUMMYFUNCTION("""COMPUTED_VALUE"""),"G")</f>
        <v>G</v>
      </c>
      <c r="E1239" s="80" t="str">
        <f ca="1">IFERROR(__xludf.DUMMYFUNCTION("""COMPUTED_VALUE"""),"I")</f>
        <v>I</v>
      </c>
      <c r="F1239" s="80" t="str">
        <f ca="1">IFERROR(__xludf.DUMMYFUNCTION("""COMPUTED_VALUE"""),"S")</f>
        <v>S</v>
      </c>
      <c r="G1239" s="80">
        <f ca="1">IFERROR(__xludf.DUMMYFUNCTION("""COMPUTED_VALUE"""),5)</f>
        <v>5</v>
      </c>
      <c r="H1239" s="80" t="str">
        <f ca="1">IFERROR(__xludf.DUMMYFUNCTION("""COMPUTED_VALUE"""),"LV")</f>
        <v>LV</v>
      </c>
      <c r="I1239" s="80">
        <f ca="1">IFERROR(__xludf.DUMMYFUNCTION("""COMPUTED_VALUE"""),6)</f>
        <v>6</v>
      </c>
      <c r="J1239" s="81">
        <f ca="1">IFERROR(__xludf.DUMMYFUNCTION("""COMPUTED_VALUE"""),5)</f>
        <v>5</v>
      </c>
      <c r="K1239" s="81">
        <f ca="1">IFERROR(__xludf.DUMMYFUNCTION("""COMPUTED_VALUE"""),142.8)</f>
        <v>142.80000000000001</v>
      </c>
      <c r="L1239" s="81">
        <f ca="1">IFERROR(__xludf.DUMMYFUNCTION("""COMPUTED_VALUE"""),122.6)</f>
        <v>122.6</v>
      </c>
      <c r="M1239" s="81"/>
      <c r="N1239" s="81">
        <f ca="1">IFERROR(__xludf.DUMMYFUNCTION("""COMPUTED_VALUE"""),114.35)</f>
        <v>114.35</v>
      </c>
      <c r="O1239" s="81"/>
      <c r="P1239" s="81">
        <f ca="1">IFERROR(__xludf.DUMMYFUNCTION("""COMPUTED_VALUE"""),142.8)</f>
        <v>142.80000000000001</v>
      </c>
      <c r="Q1239" s="81"/>
      <c r="R1239" s="81">
        <f ca="1">IFERROR(__xludf.DUMMYFUNCTION("""COMPUTED_VALUE"""),132.35)</f>
        <v>132.35</v>
      </c>
      <c r="S1239" s="81"/>
      <c r="T1239" s="81"/>
      <c r="U1239" s="82"/>
      <c r="V1239" s="82"/>
      <c r="W1239" s="83"/>
      <c r="X1239" s="83"/>
      <c r="Y1239" s="83"/>
    </row>
    <row r="1240" spans="1:25" ht="13.8">
      <c r="A1240" s="78" t="str">
        <f ca="1">IFERROR(__xludf.DUMMYFUNCTION("""COMPUTED_VALUE"""),"LV")</f>
        <v>LV</v>
      </c>
      <c r="B1240" s="79" t="str">
        <f ca="1">IFERROR(__xludf.DUMMYFUNCTION("""COMPUTED_VALUE"""),"Leyna Flintoft")</f>
        <v>Leyna Flintoft</v>
      </c>
      <c r="C1240" s="78">
        <f ca="1">IFERROR(__xludf.DUMMYFUNCTION("""COMPUTED_VALUE"""),13)</f>
        <v>13</v>
      </c>
      <c r="D1240" s="78" t="str">
        <f ca="1">IFERROR(__xludf.DUMMYFUNCTION("""COMPUTED_VALUE"""),"G")</f>
        <v>G</v>
      </c>
      <c r="E1240" s="80" t="str">
        <f ca="1">IFERROR(__xludf.DUMMYFUNCTION("""COMPUTED_VALUE"""),"I")</f>
        <v>I</v>
      </c>
      <c r="F1240" s="80" t="str">
        <f ca="1">IFERROR(__xludf.DUMMYFUNCTION("""COMPUTED_VALUE"""),"S")</f>
        <v>S</v>
      </c>
      <c r="G1240" s="80">
        <f ca="1">IFERROR(__xludf.DUMMYFUNCTION("""COMPUTED_VALUE"""),5)</f>
        <v>5</v>
      </c>
      <c r="H1240" s="80" t="str">
        <f ca="1">IFERROR(__xludf.DUMMYFUNCTION("""COMPUTED_VALUE"""),"LV")</f>
        <v>LV</v>
      </c>
      <c r="I1240" s="80">
        <f ca="1">IFERROR(__xludf.DUMMYFUNCTION("""COMPUTED_VALUE"""),6)</f>
        <v>6</v>
      </c>
      <c r="J1240" s="81">
        <f ca="1">IFERROR(__xludf.DUMMYFUNCTION("""COMPUTED_VALUE"""),5)</f>
        <v>5</v>
      </c>
      <c r="K1240" s="81">
        <f ca="1">IFERROR(__xludf.DUMMYFUNCTION("""COMPUTED_VALUE"""),125.95)</f>
        <v>125.95</v>
      </c>
      <c r="L1240" s="81">
        <f ca="1">IFERROR(__xludf.DUMMYFUNCTION("""COMPUTED_VALUE"""),86.2)</f>
        <v>86.2</v>
      </c>
      <c r="M1240" s="81"/>
      <c r="N1240" s="81">
        <f ca="1">IFERROR(__xludf.DUMMYFUNCTION("""COMPUTED_VALUE"""),91.7)</f>
        <v>91.7</v>
      </c>
      <c r="O1240" s="81"/>
      <c r="P1240" s="81">
        <f ca="1">IFERROR(__xludf.DUMMYFUNCTION("""COMPUTED_VALUE"""),125.95)</f>
        <v>125.95</v>
      </c>
      <c r="Q1240" s="81"/>
      <c r="R1240" s="81">
        <f ca="1">IFERROR(__xludf.DUMMYFUNCTION("""COMPUTED_VALUE"""),98.95)</f>
        <v>98.95</v>
      </c>
      <c r="S1240" s="81"/>
      <c r="T1240" s="81"/>
      <c r="U1240" s="82"/>
      <c r="V1240" s="82"/>
      <c r="W1240" s="83"/>
      <c r="X1240" s="83"/>
      <c r="Y1240" s="83"/>
    </row>
    <row r="1241" spans="1:25" ht="13.8">
      <c r="A1241" s="78" t="str">
        <f ca="1">IFERROR(__xludf.DUMMYFUNCTION("""COMPUTED_VALUE"""),"LV")</f>
        <v>LV</v>
      </c>
      <c r="B1241" s="79" t="str">
        <f ca="1">IFERROR(__xludf.DUMMYFUNCTION("""COMPUTED_VALUE"""),"Lora Berkeley (LB) Macaranas")</f>
        <v>Lora Berkeley (LB) Macaranas</v>
      </c>
      <c r="C1241" s="78">
        <f ca="1">IFERROR(__xludf.DUMMYFUNCTION("""COMPUTED_VALUE"""),14)</f>
        <v>14</v>
      </c>
      <c r="D1241" s="78" t="str">
        <f ca="1">IFERROR(__xludf.DUMMYFUNCTION("""COMPUTED_VALUE"""),"G")</f>
        <v>G</v>
      </c>
      <c r="E1241" s="80" t="str">
        <f ca="1">IFERROR(__xludf.DUMMYFUNCTION("""COMPUTED_VALUE"""),"I")</f>
        <v>I</v>
      </c>
      <c r="F1241" s="80" t="str">
        <f ca="1">IFERROR(__xludf.DUMMYFUNCTION("""COMPUTED_VALUE"""),"S")</f>
        <v>S</v>
      </c>
      <c r="G1241" s="80">
        <f ca="1">IFERROR(__xludf.DUMMYFUNCTION("""COMPUTED_VALUE"""),5)</f>
        <v>5</v>
      </c>
      <c r="H1241" s="80" t="str">
        <f ca="1">IFERROR(__xludf.DUMMYFUNCTION("""COMPUTED_VALUE"""),"LV")</f>
        <v>LV</v>
      </c>
      <c r="I1241" s="80">
        <f ca="1">IFERROR(__xludf.DUMMYFUNCTION("""COMPUTED_VALUE"""),6)</f>
        <v>6</v>
      </c>
      <c r="J1241" s="81">
        <f ca="1">IFERROR(__xludf.DUMMYFUNCTION("""COMPUTED_VALUE"""),5)</f>
        <v>5</v>
      </c>
      <c r="K1241" s="81">
        <f ca="1">IFERROR(__xludf.DUMMYFUNCTION("""COMPUTED_VALUE"""),153.5)</f>
        <v>153.5</v>
      </c>
      <c r="L1241" s="81">
        <f ca="1">IFERROR(__xludf.DUMMYFUNCTION("""COMPUTED_VALUE"""),126.95)</f>
        <v>126.95</v>
      </c>
      <c r="M1241" s="81"/>
      <c r="N1241" s="81">
        <f ca="1">IFERROR(__xludf.DUMMYFUNCTION("""COMPUTED_VALUE"""),120.9)</f>
        <v>120.9</v>
      </c>
      <c r="O1241" s="81"/>
      <c r="P1241" s="81">
        <f ca="1">IFERROR(__xludf.DUMMYFUNCTION("""COMPUTED_VALUE"""),153.5)</f>
        <v>153.5</v>
      </c>
      <c r="Q1241" s="81"/>
      <c r="R1241" s="81">
        <f ca="1">IFERROR(__xludf.DUMMYFUNCTION("""COMPUTED_VALUE"""),137.65)</f>
        <v>137.65</v>
      </c>
      <c r="S1241" s="81"/>
      <c r="T1241" s="81"/>
      <c r="U1241" s="82"/>
      <c r="V1241" s="82"/>
      <c r="W1241" s="83"/>
      <c r="X1241" s="83"/>
      <c r="Y1241" s="83"/>
    </row>
    <row r="1242" spans="1:25" ht="13.8">
      <c r="A1242" s="78" t="str">
        <f ca="1">IFERROR(__xludf.DUMMYFUNCTION("""COMPUTED_VALUE"""),"LV")</f>
        <v>LV</v>
      </c>
      <c r="B1242" s="79" t="str">
        <f ca="1">IFERROR(__xludf.DUMMYFUNCTION("""COMPUTED_VALUE"""),"Abigail Meehan")</f>
        <v>Abigail Meehan</v>
      </c>
      <c r="C1242" s="78">
        <f ca="1">IFERROR(__xludf.DUMMYFUNCTION("""COMPUTED_VALUE"""),14)</f>
        <v>14</v>
      </c>
      <c r="D1242" s="78" t="str">
        <f ca="1">IFERROR(__xludf.DUMMYFUNCTION("""COMPUTED_VALUE"""),"G")</f>
        <v>G</v>
      </c>
      <c r="E1242" s="80" t="str">
        <f ca="1">IFERROR(__xludf.DUMMYFUNCTION("""COMPUTED_VALUE"""),"I")</f>
        <v>I</v>
      </c>
      <c r="F1242" s="80" t="str">
        <f ca="1">IFERROR(__xludf.DUMMYFUNCTION("""COMPUTED_VALUE"""),"S")</f>
        <v>S</v>
      </c>
      <c r="G1242" s="80">
        <f ca="1">IFERROR(__xludf.DUMMYFUNCTION("""COMPUTED_VALUE"""),5)</f>
        <v>5</v>
      </c>
      <c r="H1242" s="80" t="str">
        <f ca="1">IFERROR(__xludf.DUMMYFUNCTION("""COMPUTED_VALUE"""),"LV")</f>
        <v>LV</v>
      </c>
      <c r="I1242" s="80">
        <f ca="1">IFERROR(__xludf.DUMMYFUNCTION("""COMPUTED_VALUE"""),6)</f>
        <v>6</v>
      </c>
      <c r="J1242" s="81">
        <f ca="1">IFERROR(__xludf.DUMMYFUNCTION("""COMPUTED_VALUE"""),4)</f>
        <v>4</v>
      </c>
      <c r="K1242" s="81">
        <f ca="1">IFERROR(__xludf.DUMMYFUNCTION("""COMPUTED_VALUE"""),112.25)</f>
        <v>112.25</v>
      </c>
      <c r="L1242" s="81">
        <f ca="1">IFERROR(__xludf.DUMMYFUNCTION("""COMPUTED_VALUE"""),74.35)</f>
        <v>74.349999999999994</v>
      </c>
      <c r="M1242" s="81"/>
      <c r="N1242" s="81">
        <f ca="1">IFERROR(__xludf.DUMMYFUNCTION("""COMPUTED_VALUE"""),0)</f>
        <v>0</v>
      </c>
      <c r="O1242" s="81"/>
      <c r="P1242" s="81">
        <f ca="1">IFERROR(__xludf.DUMMYFUNCTION("""COMPUTED_VALUE"""),112.25)</f>
        <v>112.25</v>
      </c>
      <c r="Q1242" s="81"/>
      <c r="R1242" s="81">
        <f ca="1">IFERROR(__xludf.DUMMYFUNCTION("""COMPUTED_VALUE"""),79.15)</f>
        <v>79.150000000000006</v>
      </c>
      <c r="S1242" s="81"/>
      <c r="T1242" s="81"/>
      <c r="U1242" s="82"/>
      <c r="V1242" s="82"/>
      <c r="W1242" s="83"/>
      <c r="X1242" s="83"/>
      <c r="Y1242" s="83"/>
    </row>
    <row r="1243" spans="1:25" ht="13.8">
      <c r="A1243" s="78" t="str">
        <f ca="1">IFERROR(__xludf.DUMMYFUNCTION("""COMPUTED_VALUE"""),"LV")</f>
        <v>LV</v>
      </c>
      <c r="B1243" s="79" t="str">
        <f ca="1">IFERROR(__xludf.DUMMYFUNCTION("""COMPUTED_VALUE"""),"Antonella Palazzo")</f>
        <v>Antonella Palazzo</v>
      </c>
      <c r="C1243" s="78">
        <f ca="1">IFERROR(__xludf.DUMMYFUNCTION("""COMPUTED_VALUE"""),13)</f>
        <v>13</v>
      </c>
      <c r="D1243" s="78" t="str">
        <f ca="1">IFERROR(__xludf.DUMMYFUNCTION("""COMPUTED_VALUE"""),"G")</f>
        <v>G</v>
      </c>
      <c r="E1243" s="80" t="str">
        <f ca="1">IFERROR(__xludf.DUMMYFUNCTION("""COMPUTED_VALUE"""),"I")</f>
        <v>I</v>
      </c>
      <c r="F1243" s="80" t="str">
        <f ca="1">IFERROR(__xludf.DUMMYFUNCTION("""COMPUTED_VALUE"""),"S")</f>
        <v>S</v>
      </c>
      <c r="G1243" s="80">
        <f ca="1">IFERROR(__xludf.DUMMYFUNCTION("""COMPUTED_VALUE"""),5)</f>
        <v>5</v>
      </c>
      <c r="H1243" s="80" t="str">
        <f ca="1">IFERROR(__xludf.DUMMYFUNCTION("""COMPUTED_VALUE"""),"LV")</f>
        <v>LV</v>
      </c>
      <c r="I1243" s="80">
        <f ca="1">IFERROR(__xludf.DUMMYFUNCTION("""COMPUTED_VALUE"""),6)</f>
        <v>6</v>
      </c>
      <c r="J1243" s="81">
        <f ca="1">IFERROR(__xludf.DUMMYFUNCTION("""COMPUTED_VALUE"""),5)</f>
        <v>5</v>
      </c>
      <c r="K1243" s="81">
        <f ca="1">IFERROR(__xludf.DUMMYFUNCTION("""COMPUTED_VALUE"""),138.15)</f>
        <v>138.15</v>
      </c>
      <c r="L1243" s="81">
        <f ca="1">IFERROR(__xludf.DUMMYFUNCTION("""COMPUTED_VALUE"""),96.9)</f>
        <v>96.9</v>
      </c>
      <c r="M1243" s="81"/>
      <c r="N1243" s="81">
        <f ca="1">IFERROR(__xludf.DUMMYFUNCTION("""COMPUTED_VALUE"""),75.35)</f>
        <v>75.349999999999994</v>
      </c>
      <c r="O1243" s="81"/>
      <c r="P1243" s="81">
        <f ca="1">IFERROR(__xludf.DUMMYFUNCTION("""COMPUTED_VALUE"""),138.15)</f>
        <v>138.15</v>
      </c>
      <c r="Q1243" s="81"/>
      <c r="R1243" s="81">
        <f ca="1">IFERROR(__xludf.DUMMYFUNCTION("""COMPUTED_VALUE"""),119.1)</f>
        <v>119.1</v>
      </c>
      <c r="S1243" s="81"/>
      <c r="T1243" s="81"/>
      <c r="U1243" s="82"/>
      <c r="V1243" s="82"/>
      <c r="W1243" s="83"/>
      <c r="X1243" s="83"/>
      <c r="Y1243" s="83"/>
    </row>
    <row r="1244" spans="1:25" ht="13.8">
      <c r="A1244" s="78" t="str">
        <f ca="1">IFERROR(__xludf.DUMMYFUNCTION("""COMPUTED_VALUE"""),"LV")</f>
        <v>LV</v>
      </c>
      <c r="B1244" s="79" t="str">
        <f ca="1">IFERROR(__xludf.DUMMYFUNCTION("""COMPUTED_VALUE"""),"Shawn Hubbard")</f>
        <v>Shawn Hubbard</v>
      </c>
      <c r="C1244" s="78">
        <f ca="1">IFERROR(__xludf.DUMMYFUNCTION("""COMPUTED_VALUE"""),14)</f>
        <v>14</v>
      </c>
      <c r="D1244" s="78" t="str">
        <f ca="1">IFERROR(__xludf.DUMMYFUNCTION("""COMPUTED_VALUE"""),"B")</f>
        <v>B</v>
      </c>
      <c r="E1244" s="80" t="str">
        <f ca="1">IFERROR(__xludf.DUMMYFUNCTION("""COMPUTED_VALUE"""),"I")</f>
        <v>I</v>
      </c>
      <c r="F1244" s="80" t="str">
        <f ca="1">IFERROR(__xludf.DUMMYFUNCTION("""COMPUTED_VALUE"""),"S")</f>
        <v>S</v>
      </c>
      <c r="G1244" s="80">
        <f ca="1">IFERROR(__xludf.DUMMYFUNCTION("""COMPUTED_VALUE"""),5)</f>
        <v>5</v>
      </c>
      <c r="H1244" s="80" t="str">
        <f ca="1">IFERROR(__xludf.DUMMYFUNCTION("""COMPUTED_VALUE"""),"LV")</f>
        <v>LV</v>
      </c>
      <c r="I1244" s="80">
        <f ca="1">IFERROR(__xludf.DUMMYFUNCTION("""COMPUTED_VALUE"""),7)</f>
        <v>7</v>
      </c>
      <c r="J1244" s="81">
        <f ca="1">IFERROR(__xludf.DUMMYFUNCTION("""COMPUTED_VALUE"""),1)</f>
        <v>1</v>
      </c>
      <c r="K1244" s="81">
        <f ca="1">IFERROR(__xludf.DUMMYFUNCTION("""COMPUTED_VALUE"""),119.7)</f>
        <v>119.7</v>
      </c>
      <c r="L1244" s="81">
        <f ca="1">IFERROR(__xludf.DUMMYFUNCTION("""COMPUTED_VALUE"""),0)</f>
        <v>0</v>
      </c>
      <c r="M1244" s="81"/>
      <c r="N1244" s="81">
        <f ca="1">IFERROR(__xludf.DUMMYFUNCTION("""COMPUTED_VALUE"""),0)</f>
        <v>0</v>
      </c>
      <c r="O1244" s="81"/>
      <c r="P1244" s="81">
        <f ca="1">IFERROR(__xludf.DUMMYFUNCTION("""COMPUTED_VALUE"""),119.7)</f>
        <v>119.7</v>
      </c>
      <c r="Q1244" s="81"/>
      <c r="R1244" s="81">
        <f ca="1">IFERROR(__xludf.DUMMYFUNCTION("""COMPUTED_VALUE"""),0)</f>
        <v>0</v>
      </c>
      <c r="S1244" s="81"/>
      <c r="T1244" s="81"/>
      <c r="U1244" s="82"/>
      <c r="V1244" s="82"/>
      <c r="W1244" s="83"/>
      <c r="X1244" s="83"/>
      <c r="Y1244" s="83"/>
    </row>
    <row r="1245" spans="1:25" ht="13.8">
      <c r="A1245" s="78" t="str">
        <f ca="1">IFERROR(__xludf.DUMMYFUNCTION("""COMPUTED_VALUE"""),"LV")</f>
        <v>LV</v>
      </c>
      <c r="B1245" s="79" t="str">
        <f ca="1">IFERROR(__xludf.DUMMYFUNCTION("""COMPUTED_VALUE"""),"Jacob Komnenous")</f>
        <v>Jacob Komnenous</v>
      </c>
      <c r="C1245" s="78">
        <f ca="1">IFERROR(__xludf.DUMMYFUNCTION("""COMPUTED_VALUE"""),14)</f>
        <v>14</v>
      </c>
      <c r="D1245" s="78" t="str">
        <f ca="1">IFERROR(__xludf.DUMMYFUNCTION("""COMPUTED_VALUE"""),"B")</f>
        <v>B</v>
      </c>
      <c r="E1245" s="80" t="str">
        <f ca="1">IFERROR(__xludf.DUMMYFUNCTION("""COMPUTED_VALUE"""),"I")</f>
        <v>I</v>
      </c>
      <c r="F1245" s="80" t="str">
        <f ca="1">IFERROR(__xludf.DUMMYFUNCTION("""COMPUTED_VALUE"""),"S")</f>
        <v>S</v>
      </c>
      <c r="G1245" s="80">
        <f ca="1">IFERROR(__xludf.DUMMYFUNCTION("""COMPUTED_VALUE"""),5)</f>
        <v>5</v>
      </c>
      <c r="H1245" s="80" t="str">
        <f ca="1">IFERROR(__xludf.DUMMYFUNCTION("""COMPUTED_VALUE"""),"LV")</f>
        <v>LV</v>
      </c>
      <c r="I1245" s="80">
        <f ca="1">IFERROR(__xludf.DUMMYFUNCTION("""COMPUTED_VALUE"""),7)</f>
        <v>7</v>
      </c>
      <c r="J1245" s="81">
        <f ca="1">IFERROR(__xludf.DUMMYFUNCTION("""COMPUTED_VALUE"""),4)</f>
        <v>4</v>
      </c>
      <c r="K1245" s="81">
        <f ca="1">IFERROR(__xludf.DUMMYFUNCTION("""COMPUTED_VALUE"""),114.25)</f>
        <v>114.25</v>
      </c>
      <c r="L1245" s="81">
        <f ca="1">IFERROR(__xludf.DUMMYFUNCTION("""COMPUTED_VALUE"""),60.1)</f>
        <v>60.1</v>
      </c>
      <c r="M1245" s="81"/>
      <c r="N1245" s="81">
        <f ca="1">IFERROR(__xludf.DUMMYFUNCTION("""COMPUTED_VALUE"""),93.6)</f>
        <v>93.6</v>
      </c>
      <c r="O1245" s="81"/>
      <c r="P1245" s="81">
        <f ca="1">IFERROR(__xludf.DUMMYFUNCTION("""COMPUTED_VALUE"""),0)</f>
        <v>0</v>
      </c>
      <c r="Q1245" s="81"/>
      <c r="R1245" s="81">
        <f ca="1">IFERROR(__xludf.DUMMYFUNCTION("""COMPUTED_VALUE"""),114.25)</f>
        <v>114.25</v>
      </c>
      <c r="S1245" s="81"/>
      <c r="T1245" s="81"/>
      <c r="U1245" s="82"/>
      <c r="V1245" s="82"/>
      <c r="W1245" s="83"/>
      <c r="X1245" s="83"/>
      <c r="Y1245" s="83"/>
    </row>
    <row r="1246" spans="1:25" ht="13.8">
      <c r="A1246" s="78" t="str">
        <f ca="1">IFERROR(__xludf.DUMMYFUNCTION("""COMPUTED_VALUE"""),"LV")</f>
        <v>LV</v>
      </c>
      <c r="B1246" s="79" t="str">
        <f ca="1">IFERROR(__xludf.DUMMYFUNCTION("""COMPUTED_VALUE"""),"Silas Platt")</f>
        <v>Silas Platt</v>
      </c>
      <c r="C1246" s="78">
        <f ca="1">IFERROR(__xludf.DUMMYFUNCTION("""COMPUTED_VALUE"""),13)</f>
        <v>13</v>
      </c>
      <c r="D1246" s="78" t="str">
        <f ca="1">IFERROR(__xludf.DUMMYFUNCTION("""COMPUTED_VALUE"""),"B")</f>
        <v>B</v>
      </c>
      <c r="E1246" s="80" t="str">
        <f ca="1">IFERROR(__xludf.DUMMYFUNCTION("""COMPUTED_VALUE"""),"I")</f>
        <v>I</v>
      </c>
      <c r="F1246" s="80" t="str">
        <f ca="1">IFERROR(__xludf.DUMMYFUNCTION("""COMPUTED_VALUE"""),"S")</f>
        <v>S</v>
      </c>
      <c r="G1246" s="80">
        <f ca="1">IFERROR(__xludf.DUMMYFUNCTION("""COMPUTED_VALUE"""),5)</f>
        <v>5</v>
      </c>
      <c r="H1246" s="80" t="str">
        <f ca="1">IFERROR(__xludf.DUMMYFUNCTION("""COMPUTED_VALUE"""),"LV")</f>
        <v>LV</v>
      </c>
      <c r="I1246" s="80">
        <f ca="1">IFERROR(__xludf.DUMMYFUNCTION("""COMPUTED_VALUE"""),7)</f>
        <v>7</v>
      </c>
      <c r="J1246" s="81">
        <f ca="1">IFERROR(__xludf.DUMMYFUNCTION("""COMPUTED_VALUE"""),3)</f>
        <v>3</v>
      </c>
      <c r="K1246" s="81">
        <f ca="1">IFERROR(__xludf.DUMMYFUNCTION("""COMPUTED_VALUE"""),0)</f>
        <v>0</v>
      </c>
      <c r="L1246" s="81">
        <f ca="1">IFERROR(__xludf.DUMMYFUNCTION("""COMPUTED_VALUE"""),0)</f>
        <v>0</v>
      </c>
      <c r="M1246" s="81"/>
      <c r="N1246" s="81">
        <f ca="1">IFERROR(__xludf.DUMMYFUNCTION("""COMPUTED_VALUE"""),-120)</f>
        <v>-120</v>
      </c>
      <c r="O1246" s="81"/>
      <c r="P1246" s="81">
        <f ca="1">IFERROR(__xludf.DUMMYFUNCTION("""COMPUTED_VALUE"""),-152.05)</f>
        <v>-152.05000000000001</v>
      </c>
      <c r="Q1246" s="81"/>
      <c r="R1246" s="81">
        <f ca="1">IFERROR(__xludf.DUMMYFUNCTION("""COMPUTED_VALUE"""),-157)</f>
        <v>-157</v>
      </c>
      <c r="S1246" s="81"/>
      <c r="T1246" s="81"/>
      <c r="U1246" s="82"/>
      <c r="V1246" s="82"/>
      <c r="W1246" s="83"/>
      <c r="X1246" s="83"/>
      <c r="Y1246" s="83"/>
    </row>
    <row r="1247" spans="1:25" ht="13.8">
      <c r="A1247" s="78" t="str">
        <f ca="1">IFERROR(__xludf.DUMMYFUNCTION("""COMPUTED_VALUE"""),"LV")</f>
        <v>LV</v>
      </c>
      <c r="B1247" s="79" t="str">
        <f ca="1">IFERROR(__xludf.DUMMYFUNCTION("""COMPUTED_VALUE"""),"Nicole Bondanella")</f>
        <v>Nicole Bondanella</v>
      </c>
      <c r="C1247" s="78">
        <f ca="1">IFERROR(__xludf.DUMMYFUNCTION("""COMPUTED_VALUE"""),16)</f>
        <v>16</v>
      </c>
      <c r="D1247" s="78" t="str">
        <f ca="1">IFERROR(__xludf.DUMMYFUNCTION("""COMPUTED_VALUE"""),"G")</f>
        <v>G</v>
      </c>
      <c r="E1247" s="80" t="str">
        <f ca="1">IFERROR(__xludf.DUMMYFUNCTION("""COMPUTED_VALUE"""),"S")</f>
        <v>S</v>
      </c>
      <c r="F1247" s="80" t="str">
        <f ca="1">IFERROR(__xludf.DUMMYFUNCTION("""COMPUTED_VALUE"""),"S")</f>
        <v>S</v>
      </c>
      <c r="G1247" s="80">
        <f ca="1">IFERROR(__xludf.DUMMYFUNCTION("""COMPUTED_VALUE"""),5)</f>
        <v>5</v>
      </c>
      <c r="H1247" s="80" t="str">
        <f ca="1">IFERROR(__xludf.DUMMYFUNCTION("""COMPUTED_VALUE"""),"LV")</f>
        <v>LV</v>
      </c>
      <c r="I1247" s="80">
        <f ca="1">IFERROR(__xludf.DUMMYFUNCTION("""COMPUTED_VALUE"""),8)</f>
        <v>8</v>
      </c>
      <c r="J1247" s="81">
        <f ca="1">IFERROR(__xludf.DUMMYFUNCTION("""COMPUTED_VALUE"""),5)</f>
        <v>5</v>
      </c>
      <c r="K1247" s="81">
        <f ca="1">IFERROR(__xludf.DUMMYFUNCTION("""COMPUTED_VALUE"""),198.4)</f>
        <v>198.4</v>
      </c>
      <c r="L1247" s="81">
        <f ca="1">IFERROR(__xludf.DUMMYFUNCTION("""COMPUTED_VALUE"""),164.05)</f>
        <v>164.05</v>
      </c>
      <c r="M1247" s="81"/>
      <c r="N1247" s="81">
        <f ca="1">IFERROR(__xludf.DUMMYFUNCTION("""COMPUTED_VALUE"""),159.9)</f>
        <v>159.9</v>
      </c>
      <c r="O1247" s="81"/>
      <c r="P1247" s="81">
        <f ca="1">IFERROR(__xludf.DUMMYFUNCTION("""COMPUTED_VALUE"""),198.4)</f>
        <v>198.4</v>
      </c>
      <c r="Q1247" s="81"/>
      <c r="R1247" s="81">
        <f ca="1">IFERROR(__xludf.DUMMYFUNCTION("""COMPUTED_VALUE"""),186.05)</f>
        <v>186.05</v>
      </c>
      <c r="S1247" s="81"/>
      <c r="T1247" s="81"/>
      <c r="U1247" s="82"/>
      <c r="V1247" s="82"/>
      <c r="W1247" s="83"/>
      <c r="X1247" s="83"/>
      <c r="Y1247" s="83"/>
    </row>
    <row r="1248" spans="1:25" ht="13.8">
      <c r="A1248" s="78" t="str">
        <f ca="1">IFERROR(__xludf.DUMMYFUNCTION("""COMPUTED_VALUE"""),"LV")</f>
        <v>LV</v>
      </c>
      <c r="B1248" s="79" t="str">
        <f ca="1">IFERROR(__xludf.DUMMYFUNCTION("""COMPUTED_VALUE"""),"Zoe Dolfis")</f>
        <v>Zoe Dolfis</v>
      </c>
      <c r="C1248" s="78">
        <f ca="1">IFERROR(__xludf.DUMMYFUNCTION("""COMPUTED_VALUE"""),16)</f>
        <v>16</v>
      </c>
      <c r="D1248" s="78" t="str">
        <f ca="1">IFERROR(__xludf.DUMMYFUNCTION("""COMPUTED_VALUE"""),"G")</f>
        <v>G</v>
      </c>
      <c r="E1248" s="80" t="str">
        <f ca="1">IFERROR(__xludf.DUMMYFUNCTION("""COMPUTED_VALUE"""),"S")</f>
        <v>S</v>
      </c>
      <c r="F1248" s="80" t="str">
        <f ca="1">IFERROR(__xludf.DUMMYFUNCTION("""COMPUTED_VALUE"""),"S")</f>
        <v>S</v>
      </c>
      <c r="G1248" s="80">
        <f ca="1">IFERROR(__xludf.DUMMYFUNCTION("""COMPUTED_VALUE"""),5)</f>
        <v>5</v>
      </c>
      <c r="H1248" s="80" t="str">
        <f ca="1">IFERROR(__xludf.DUMMYFUNCTION("""COMPUTED_VALUE"""),"LV")</f>
        <v>LV</v>
      </c>
      <c r="I1248" s="80">
        <f ca="1">IFERROR(__xludf.DUMMYFUNCTION("""COMPUTED_VALUE"""),8)</f>
        <v>8</v>
      </c>
      <c r="J1248" s="81">
        <f ca="1">IFERROR(__xludf.DUMMYFUNCTION("""COMPUTED_VALUE"""),4)</f>
        <v>4</v>
      </c>
      <c r="K1248" s="81">
        <f ca="1">IFERROR(__xludf.DUMMYFUNCTION("""COMPUTED_VALUE"""),152.6)</f>
        <v>152.6</v>
      </c>
      <c r="L1248" s="81">
        <f ca="1">IFERROR(__xludf.DUMMYFUNCTION("""COMPUTED_VALUE"""),110)</f>
        <v>110</v>
      </c>
      <c r="M1248" s="81"/>
      <c r="N1248" s="81">
        <f ca="1">IFERROR(__xludf.DUMMYFUNCTION("""COMPUTED_VALUE"""),0)</f>
        <v>0</v>
      </c>
      <c r="O1248" s="81"/>
      <c r="P1248" s="81">
        <f ca="1">IFERROR(__xludf.DUMMYFUNCTION("""COMPUTED_VALUE"""),150.45)</f>
        <v>150.44999999999999</v>
      </c>
      <c r="Q1248" s="81"/>
      <c r="R1248" s="81">
        <f ca="1">IFERROR(__xludf.DUMMYFUNCTION("""COMPUTED_VALUE"""),152.6)</f>
        <v>152.6</v>
      </c>
      <c r="S1248" s="81"/>
      <c r="T1248" s="81"/>
      <c r="U1248" s="82"/>
      <c r="V1248" s="82"/>
      <c r="W1248" s="83"/>
      <c r="X1248" s="83"/>
      <c r="Y1248" s="83"/>
    </row>
    <row r="1249" spans="1:25" ht="13.8">
      <c r="A1249" s="78" t="str">
        <f ca="1">IFERROR(__xludf.DUMMYFUNCTION("""COMPUTED_VALUE"""),"LV")</f>
        <v>LV</v>
      </c>
      <c r="B1249" s="79" t="str">
        <f ca="1">IFERROR(__xludf.DUMMYFUNCTION("""COMPUTED_VALUE"""),"Campbell McCracken")</f>
        <v>Campbell McCracken</v>
      </c>
      <c r="C1249" s="78">
        <f ca="1">IFERROR(__xludf.DUMMYFUNCTION("""COMPUTED_VALUE"""),15)</f>
        <v>15</v>
      </c>
      <c r="D1249" s="78" t="str">
        <f ca="1">IFERROR(__xludf.DUMMYFUNCTION("""COMPUTED_VALUE"""),"G")</f>
        <v>G</v>
      </c>
      <c r="E1249" s="80" t="str">
        <f ca="1">IFERROR(__xludf.DUMMYFUNCTION("""COMPUTED_VALUE"""),"S")</f>
        <v>S</v>
      </c>
      <c r="F1249" s="80" t="str">
        <f ca="1">IFERROR(__xludf.DUMMYFUNCTION("""COMPUTED_VALUE"""),"S")</f>
        <v>S</v>
      </c>
      <c r="G1249" s="80">
        <f ca="1">IFERROR(__xludf.DUMMYFUNCTION("""COMPUTED_VALUE"""),5)</f>
        <v>5</v>
      </c>
      <c r="H1249" s="80" t="str">
        <f ca="1">IFERROR(__xludf.DUMMYFUNCTION("""COMPUTED_VALUE"""),"LV")</f>
        <v>LV</v>
      </c>
      <c r="I1249" s="80">
        <f ca="1">IFERROR(__xludf.DUMMYFUNCTION("""COMPUTED_VALUE"""),8)</f>
        <v>8</v>
      </c>
      <c r="J1249" s="81">
        <f ca="1">IFERROR(__xludf.DUMMYFUNCTION("""COMPUTED_VALUE"""),5)</f>
        <v>5</v>
      </c>
      <c r="K1249" s="81">
        <f ca="1">IFERROR(__xludf.DUMMYFUNCTION("""COMPUTED_VALUE"""),182.6)</f>
        <v>182.6</v>
      </c>
      <c r="L1249" s="81">
        <f ca="1">IFERROR(__xludf.DUMMYFUNCTION("""COMPUTED_VALUE"""),137.5)</f>
        <v>137.5</v>
      </c>
      <c r="M1249" s="81"/>
      <c r="N1249" s="81">
        <f ca="1">IFERROR(__xludf.DUMMYFUNCTION("""COMPUTED_VALUE"""),137.55)</f>
        <v>137.55000000000001</v>
      </c>
      <c r="O1249" s="81"/>
      <c r="P1249" s="81">
        <f ca="1">IFERROR(__xludf.DUMMYFUNCTION("""COMPUTED_VALUE"""),182.6)</f>
        <v>182.6</v>
      </c>
      <c r="Q1249" s="81"/>
      <c r="R1249" s="81">
        <f ca="1">IFERROR(__xludf.DUMMYFUNCTION("""COMPUTED_VALUE"""),167.45)</f>
        <v>167.45</v>
      </c>
      <c r="S1249" s="81"/>
      <c r="T1249" s="81"/>
      <c r="U1249" s="82"/>
      <c r="V1249" s="82"/>
      <c r="W1249" s="83"/>
      <c r="X1249" s="83"/>
      <c r="Y1249" s="83"/>
    </row>
    <row r="1250" spans="1:25" ht="13.8">
      <c r="A1250" s="78" t="str">
        <f ca="1">IFERROR(__xludf.DUMMYFUNCTION("""COMPUTED_VALUE"""),"LV")</f>
        <v>LV</v>
      </c>
      <c r="B1250" s="79" t="str">
        <f ca="1">IFERROR(__xludf.DUMMYFUNCTION("""COMPUTED_VALUE"""),"William Fleck")</f>
        <v>William Fleck</v>
      </c>
      <c r="C1250" s="78">
        <f ca="1">IFERROR(__xludf.DUMMYFUNCTION("""COMPUTED_VALUE"""),16)</f>
        <v>16</v>
      </c>
      <c r="D1250" s="78" t="str">
        <f ca="1">IFERROR(__xludf.DUMMYFUNCTION("""COMPUTED_VALUE"""),"B")</f>
        <v>B</v>
      </c>
      <c r="E1250" s="80" t="str">
        <f ca="1">IFERROR(__xludf.DUMMYFUNCTION("""COMPUTED_VALUE"""),"S")</f>
        <v>S</v>
      </c>
      <c r="F1250" s="80" t="str">
        <f ca="1">IFERROR(__xludf.DUMMYFUNCTION("""COMPUTED_VALUE"""),"S")</f>
        <v>S</v>
      </c>
      <c r="G1250" s="80">
        <f ca="1">IFERROR(__xludf.DUMMYFUNCTION("""COMPUTED_VALUE"""),5)</f>
        <v>5</v>
      </c>
      <c r="H1250" s="80" t="str">
        <f ca="1">IFERROR(__xludf.DUMMYFUNCTION("""COMPUTED_VALUE"""),"LV")</f>
        <v>LV</v>
      </c>
      <c r="I1250" s="80">
        <f ca="1">IFERROR(__xludf.DUMMYFUNCTION("""COMPUTED_VALUE"""),9)</f>
        <v>9</v>
      </c>
      <c r="J1250" s="81">
        <f ca="1">IFERROR(__xludf.DUMMYFUNCTION("""COMPUTED_VALUE"""),0)</f>
        <v>0</v>
      </c>
      <c r="K1250" s="81">
        <f ca="1">IFERROR(__xludf.DUMMYFUNCTION("""COMPUTED_VALUE"""),0)</f>
        <v>0</v>
      </c>
      <c r="L1250" s="81">
        <f ca="1">IFERROR(__xludf.DUMMYFUNCTION("""COMPUTED_VALUE"""),0)</f>
        <v>0</v>
      </c>
      <c r="M1250" s="81"/>
      <c r="N1250" s="81">
        <f ca="1">IFERROR(__xludf.DUMMYFUNCTION("""COMPUTED_VALUE"""),0)</f>
        <v>0</v>
      </c>
      <c r="O1250" s="81"/>
      <c r="P1250" s="81">
        <f ca="1">IFERROR(__xludf.DUMMYFUNCTION("""COMPUTED_VALUE"""),0)</f>
        <v>0</v>
      </c>
      <c r="Q1250" s="81"/>
      <c r="R1250" s="81">
        <f ca="1">IFERROR(__xludf.DUMMYFUNCTION("""COMPUTED_VALUE"""),0)</f>
        <v>0</v>
      </c>
      <c r="S1250" s="81"/>
      <c r="T1250" s="81"/>
      <c r="U1250" s="82"/>
      <c r="V1250" s="82"/>
      <c r="W1250" s="83"/>
      <c r="X1250" s="83"/>
      <c r="Y1250" s="83"/>
    </row>
    <row r="1251" spans="1:25" ht="13.8">
      <c r="A1251" s="78" t="str">
        <f ca="1">IFERROR(__xludf.DUMMYFUNCTION("""COMPUTED_VALUE"""),"LV")</f>
        <v>LV</v>
      </c>
      <c r="B1251" s="79" t="str">
        <f ca="1">IFERROR(__xludf.DUMMYFUNCTION("""COMPUTED_VALUE"""),"Ryan Mitchell")</f>
        <v>Ryan Mitchell</v>
      </c>
      <c r="C1251" s="78">
        <f ca="1">IFERROR(__xludf.DUMMYFUNCTION("""COMPUTED_VALUE"""),15)</f>
        <v>15</v>
      </c>
      <c r="D1251" s="78" t="str">
        <f ca="1">IFERROR(__xludf.DUMMYFUNCTION("""COMPUTED_VALUE"""),"B")</f>
        <v>B</v>
      </c>
      <c r="E1251" s="80" t="str">
        <f ca="1">IFERROR(__xludf.DUMMYFUNCTION("""COMPUTED_VALUE"""),"S")</f>
        <v>S</v>
      </c>
      <c r="F1251" s="80" t="str">
        <f ca="1">IFERROR(__xludf.DUMMYFUNCTION("""COMPUTED_VALUE"""),"S")</f>
        <v>S</v>
      </c>
      <c r="G1251" s="80">
        <f ca="1">IFERROR(__xludf.DUMMYFUNCTION("""COMPUTED_VALUE"""),5)</f>
        <v>5</v>
      </c>
      <c r="H1251" s="80" t="str">
        <f ca="1">IFERROR(__xludf.DUMMYFUNCTION("""COMPUTED_VALUE"""),"LV")</f>
        <v>LV</v>
      </c>
      <c r="I1251" s="80">
        <f ca="1">IFERROR(__xludf.DUMMYFUNCTION("""COMPUTED_VALUE"""),9)</f>
        <v>9</v>
      </c>
      <c r="J1251" s="81">
        <f ca="1">IFERROR(__xludf.DUMMYFUNCTION("""COMPUTED_VALUE"""),2)</f>
        <v>2</v>
      </c>
      <c r="K1251" s="81">
        <f ca="1">IFERROR(__xludf.DUMMYFUNCTION("""COMPUTED_VALUE"""),233.8)</f>
        <v>233.8</v>
      </c>
      <c r="L1251" s="81">
        <f ca="1">IFERROR(__xludf.DUMMYFUNCTION("""COMPUTED_VALUE"""),233.8)</f>
        <v>233.8</v>
      </c>
      <c r="M1251" s="81"/>
      <c r="N1251" s="81">
        <f ca="1">IFERROR(__xludf.DUMMYFUNCTION("""COMPUTED_VALUE"""),0)</f>
        <v>0</v>
      </c>
      <c r="O1251" s="81"/>
      <c r="P1251" s="81">
        <f ca="1">IFERROR(__xludf.DUMMYFUNCTION("""COMPUTED_VALUE"""),0)</f>
        <v>0</v>
      </c>
      <c r="Q1251" s="81"/>
      <c r="R1251" s="81">
        <f ca="1">IFERROR(__xludf.DUMMYFUNCTION("""COMPUTED_VALUE"""),0)</f>
        <v>0</v>
      </c>
      <c r="S1251" s="81"/>
      <c r="T1251" s="81"/>
      <c r="U1251" s="82"/>
      <c r="V1251" s="82"/>
      <c r="W1251" s="83"/>
      <c r="X1251" s="83"/>
      <c r="Y1251" s="83"/>
    </row>
    <row r="1252" spans="1:25" ht="13.8">
      <c r="A1252" s="78" t="str">
        <f ca="1">IFERROR(__xludf.DUMMYFUNCTION("""COMPUTED_VALUE"""),"M")</f>
        <v>M</v>
      </c>
      <c r="B1252" s="79" t="str">
        <f ca="1">IFERROR(__xludf.DUMMYFUNCTION("""COMPUTED_VALUE"""),"Claire Cashin")</f>
        <v>Claire Cashin</v>
      </c>
      <c r="C1252" s="78">
        <f ca="1">IFERROR(__xludf.DUMMYFUNCTION("""COMPUTED_VALUE"""),7)</f>
        <v>7</v>
      </c>
      <c r="D1252" s="78" t="str">
        <f ca="1">IFERROR(__xludf.DUMMYFUNCTION("""COMPUTED_VALUE"""),"G")</f>
        <v>G</v>
      </c>
      <c r="E1252" s="80" t="str">
        <f ca="1">IFERROR(__xludf.DUMMYFUNCTION("""COMPUTED_VALUE"""),"F")</f>
        <v>F</v>
      </c>
      <c r="F1252" s="80" t="str">
        <f ca="1">IFERROR(__xludf.DUMMYFUNCTION("""COMPUTED_VALUE"""),"J")</f>
        <v>J</v>
      </c>
      <c r="G1252" s="80">
        <f ca="1">IFERROR(__xludf.DUMMYFUNCTION("""COMPUTED_VALUE"""),7)</f>
        <v>7</v>
      </c>
      <c r="H1252" s="80" t="str">
        <f ca="1">IFERROR(__xludf.DUMMYFUNCTION("""COMPUTED_VALUE"""),"M")</f>
        <v>M</v>
      </c>
      <c r="I1252" s="80">
        <f ca="1">IFERROR(__xludf.DUMMYFUNCTION("""COMPUTED_VALUE"""),2)</f>
        <v>2</v>
      </c>
      <c r="J1252" s="81">
        <f ca="1">IFERROR(__xludf.DUMMYFUNCTION("""COMPUTED_VALUE"""),4)</f>
        <v>4</v>
      </c>
      <c r="K1252" s="81">
        <f ca="1">IFERROR(__xludf.DUMMYFUNCTION("""COMPUTED_VALUE"""),26.2)</f>
        <v>26.2</v>
      </c>
      <c r="L1252" s="81">
        <f ca="1">IFERROR(__xludf.DUMMYFUNCTION("""COMPUTED_VALUE"""),15.95)</f>
        <v>15.95</v>
      </c>
      <c r="M1252" s="81"/>
      <c r="N1252" s="81">
        <f ca="1">IFERROR(__xludf.DUMMYFUNCTION("""COMPUTED_VALUE"""),21.9)</f>
        <v>21.9</v>
      </c>
      <c r="O1252" s="81"/>
      <c r="P1252" s="81">
        <f ca="1">IFERROR(__xludf.DUMMYFUNCTION("""COMPUTED_VALUE"""),22.1)</f>
        <v>22.1</v>
      </c>
      <c r="Q1252" s="81"/>
      <c r="R1252" s="81">
        <f ca="1">IFERROR(__xludf.DUMMYFUNCTION("""COMPUTED_VALUE"""),26.2)</f>
        <v>26.2</v>
      </c>
      <c r="S1252" s="81"/>
      <c r="T1252" s="81"/>
      <c r="U1252" s="82"/>
      <c r="V1252" s="82"/>
      <c r="W1252" s="83"/>
      <c r="X1252" s="83"/>
      <c r="Y1252" s="83"/>
    </row>
    <row r="1253" spans="1:25" ht="13.8">
      <c r="A1253" s="78" t="str">
        <f ca="1">IFERROR(__xludf.DUMMYFUNCTION("""COMPUTED_VALUE"""),"M")</f>
        <v>M</v>
      </c>
      <c r="B1253" s="79" t="str">
        <f ca="1">IFERROR(__xludf.DUMMYFUNCTION("""COMPUTED_VALUE"""),"Chloe Deng")</f>
        <v>Chloe Deng</v>
      </c>
      <c r="C1253" s="78">
        <f ca="1">IFERROR(__xludf.DUMMYFUNCTION("""COMPUTED_VALUE"""),9)</f>
        <v>9</v>
      </c>
      <c r="D1253" s="78" t="str">
        <f ca="1">IFERROR(__xludf.DUMMYFUNCTION("""COMPUTED_VALUE"""),"G")</f>
        <v>G</v>
      </c>
      <c r="E1253" s="80" t="str">
        <f ca="1">IFERROR(__xludf.DUMMYFUNCTION("""COMPUTED_VALUE"""),"F")</f>
        <v>F</v>
      </c>
      <c r="F1253" s="80" t="str">
        <f ca="1">IFERROR(__xludf.DUMMYFUNCTION("""COMPUTED_VALUE"""),"J")</f>
        <v>J</v>
      </c>
      <c r="G1253" s="80">
        <f ca="1">IFERROR(__xludf.DUMMYFUNCTION("""COMPUTED_VALUE"""),7)</f>
        <v>7</v>
      </c>
      <c r="H1253" s="80" t="str">
        <f ca="1">IFERROR(__xludf.DUMMYFUNCTION("""COMPUTED_VALUE"""),"M")</f>
        <v>M</v>
      </c>
      <c r="I1253" s="80">
        <f ca="1">IFERROR(__xludf.DUMMYFUNCTION("""COMPUTED_VALUE"""),2)</f>
        <v>2</v>
      </c>
      <c r="J1253" s="81">
        <f ca="1">IFERROR(__xludf.DUMMYFUNCTION("""COMPUTED_VALUE"""),3)</f>
        <v>3</v>
      </c>
      <c r="K1253" s="81">
        <f ca="1">IFERROR(__xludf.DUMMYFUNCTION("""COMPUTED_VALUE"""),31.9)</f>
        <v>31.9</v>
      </c>
      <c r="L1253" s="81">
        <f ca="1">IFERROR(__xludf.DUMMYFUNCTION("""COMPUTED_VALUE"""),25.2)</f>
        <v>25.2</v>
      </c>
      <c r="M1253" s="81"/>
      <c r="N1253" s="81">
        <f ca="1">IFERROR(__xludf.DUMMYFUNCTION("""COMPUTED_VALUE"""),24.65)</f>
        <v>24.65</v>
      </c>
      <c r="O1253" s="81"/>
      <c r="P1253" s="81">
        <f ca="1">IFERROR(__xludf.DUMMYFUNCTION("""COMPUTED_VALUE"""),0)</f>
        <v>0</v>
      </c>
      <c r="Q1253" s="81"/>
      <c r="R1253" s="81">
        <f ca="1">IFERROR(__xludf.DUMMYFUNCTION("""COMPUTED_VALUE"""),31.9)</f>
        <v>31.9</v>
      </c>
      <c r="S1253" s="81"/>
      <c r="T1253" s="81"/>
      <c r="U1253" s="82"/>
      <c r="V1253" s="82"/>
      <c r="W1253" s="83"/>
      <c r="X1253" s="83"/>
      <c r="Y1253" s="83"/>
    </row>
    <row r="1254" spans="1:25" ht="13.8">
      <c r="A1254" s="78" t="str">
        <f ca="1">IFERROR(__xludf.DUMMYFUNCTION("""COMPUTED_VALUE"""),"M")</f>
        <v>M</v>
      </c>
      <c r="B1254" s="79" t="str">
        <f ca="1">IFERROR(__xludf.DUMMYFUNCTION("""COMPUTED_VALUE"""),"Kate Evonuk")</f>
        <v>Kate Evonuk</v>
      </c>
      <c r="C1254" s="78">
        <f ca="1">IFERROR(__xludf.DUMMYFUNCTION("""COMPUTED_VALUE"""),10)</f>
        <v>10</v>
      </c>
      <c r="D1254" s="78" t="str">
        <f ca="1">IFERROR(__xludf.DUMMYFUNCTION("""COMPUTED_VALUE"""),"G")</f>
        <v>G</v>
      </c>
      <c r="E1254" s="80" t="str">
        <f ca="1">IFERROR(__xludf.DUMMYFUNCTION("""COMPUTED_VALUE"""),"F")</f>
        <v>F</v>
      </c>
      <c r="F1254" s="80" t="str">
        <f ca="1">IFERROR(__xludf.DUMMYFUNCTION("""COMPUTED_VALUE"""),"J")</f>
        <v>J</v>
      </c>
      <c r="G1254" s="80">
        <f ca="1">IFERROR(__xludf.DUMMYFUNCTION("""COMPUTED_VALUE"""),7)</f>
        <v>7</v>
      </c>
      <c r="H1254" s="80" t="str">
        <f ca="1">IFERROR(__xludf.DUMMYFUNCTION("""COMPUTED_VALUE"""),"M")</f>
        <v>M</v>
      </c>
      <c r="I1254" s="80">
        <f ca="1">IFERROR(__xludf.DUMMYFUNCTION("""COMPUTED_VALUE"""),2)</f>
        <v>2</v>
      </c>
      <c r="J1254" s="81">
        <f ca="1">IFERROR(__xludf.DUMMYFUNCTION("""COMPUTED_VALUE"""),4)</f>
        <v>4</v>
      </c>
      <c r="K1254" s="81">
        <f ca="1">IFERROR(__xludf.DUMMYFUNCTION("""COMPUTED_VALUE"""),50.04)</f>
        <v>50.04</v>
      </c>
      <c r="L1254" s="81">
        <f ca="1">IFERROR(__xludf.DUMMYFUNCTION("""COMPUTED_VALUE"""),50.04)</f>
        <v>50.04</v>
      </c>
      <c r="M1254" s="81"/>
      <c r="N1254" s="81">
        <f ca="1">IFERROR(__xludf.DUMMYFUNCTION("""COMPUTED_VALUE"""),0)</f>
        <v>0</v>
      </c>
      <c r="O1254" s="81"/>
      <c r="P1254" s="81">
        <f ca="1">IFERROR(__xludf.DUMMYFUNCTION("""COMPUTED_VALUE"""),47.1)</f>
        <v>47.1</v>
      </c>
      <c r="Q1254" s="81"/>
      <c r="R1254" s="81">
        <f ca="1">IFERROR(__xludf.DUMMYFUNCTION("""COMPUTED_VALUE"""),47.4)</f>
        <v>47.4</v>
      </c>
      <c r="S1254" s="81"/>
      <c r="T1254" s="81"/>
      <c r="U1254" s="82"/>
      <c r="V1254" s="82"/>
      <c r="W1254" s="83"/>
      <c r="X1254" s="83"/>
      <c r="Y1254" s="83"/>
    </row>
    <row r="1255" spans="1:25" ht="13.8">
      <c r="A1255" s="78" t="str">
        <f ca="1">IFERROR(__xludf.DUMMYFUNCTION("""COMPUTED_VALUE"""),"M")</f>
        <v>M</v>
      </c>
      <c r="B1255" s="79" t="str">
        <f ca="1">IFERROR(__xludf.DUMMYFUNCTION("""COMPUTED_VALUE"""),"Maya Gonzalez")</f>
        <v>Maya Gonzalez</v>
      </c>
      <c r="C1255" s="78">
        <f ca="1">IFERROR(__xludf.DUMMYFUNCTION("""COMPUTED_VALUE"""),8)</f>
        <v>8</v>
      </c>
      <c r="D1255" s="78" t="str">
        <f ca="1">IFERROR(__xludf.DUMMYFUNCTION("""COMPUTED_VALUE"""),"G")</f>
        <v>G</v>
      </c>
      <c r="E1255" s="80" t="str">
        <f ca="1">IFERROR(__xludf.DUMMYFUNCTION("""COMPUTED_VALUE"""),"F")</f>
        <v>F</v>
      </c>
      <c r="F1255" s="80" t="str">
        <f ca="1">IFERROR(__xludf.DUMMYFUNCTION("""COMPUTED_VALUE"""),"J")</f>
        <v>J</v>
      </c>
      <c r="G1255" s="80">
        <f ca="1">IFERROR(__xludf.DUMMYFUNCTION("""COMPUTED_VALUE"""),7)</f>
        <v>7</v>
      </c>
      <c r="H1255" s="80" t="str">
        <f ca="1">IFERROR(__xludf.DUMMYFUNCTION("""COMPUTED_VALUE"""),"M")</f>
        <v>M</v>
      </c>
      <c r="I1255" s="80">
        <f ca="1">IFERROR(__xludf.DUMMYFUNCTION("""COMPUTED_VALUE"""),2)</f>
        <v>2</v>
      </c>
      <c r="J1255" s="81">
        <f ca="1">IFERROR(__xludf.DUMMYFUNCTION("""COMPUTED_VALUE"""),1)</f>
        <v>1</v>
      </c>
      <c r="K1255" s="81">
        <f ca="1">IFERROR(__xludf.DUMMYFUNCTION("""COMPUTED_VALUE"""),0)</f>
        <v>0</v>
      </c>
      <c r="L1255" s="81">
        <f ca="1">IFERROR(__xludf.DUMMYFUNCTION("""COMPUTED_VALUE"""),0)</f>
        <v>0</v>
      </c>
      <c r="M1255" s="81"/>
      <c r="N1255" s="81">
        <f ca="1">IFERROR(__xludf.DUMMYFUNCTION("""COMPUTED_VALUE"""),0)</f>
        <v>0</v>
      </c>
      <c r="O1255" s="81"/>
      <c r="P1255" s="81">
        <f ca="1">IFERROR(__xludf.DUMMYFUNCTION("""COMPUTED_VALUE"""),0)</f>
        <v>0</v>
      </c>
      <c r="Q1255" s="81"/>
      <c r="R1255" s="81">
        <f ca="1">IFERROR(__xludf.DUMMYFUNCTION("""COMPUTED_VALUE"""),0)</f>
        <v>0</v>
      </c>
      <c r="S1255" s="81"/>
      <c r="T1255" s="81"/>
      <c r="U1255" s="82"/>
      <c r="V1255" s="82"/>
      <c r="W1255" s="83"/>
      <c r="X1255" s="83"/>
      <c r="Y1255" s="83"/>
    </row>
    <row r="1256" spans="1:25" ht="13.8">
      <c r="A1256" s="78" t="str">
        <f ca="1">IFERROR(__xludf.DUMMYFUNCTION("""COMPUTED_VALUE"""),"M")</f>
        <v>M</v>
      </c>
      <c r="B1256" s="79" t="str">
        <f ca="1">IFERROR(__xludf.DUMMYFUNCTION("""COMPUTED_VALUE"""),"Donna Grenias")</f>
        <v>Donna Grenias</v>
      </c>
      <c r="C1256" s="78">
        <f ca="1">IFERROR(__xludf.DUMMYFUNCTION("""COMPUTED_VALUE"""),10)</f>
        <v>10</v>
      </c>
      <c r="D1256" s="78" t="str">
        <f ca="1">IFERROR(__xludf.DUMMYFUNCTION("""COMPUTED_VALUE"""),"G")</f>
        <v>G</v>
      </c>
      <c r="E1256" s="80" t="str">
        <f ca="1">IFERROR(__xludf.DUMMYFUNCTION("""COMPUTED_VALUE"""),"F")</f>
        <v>F</v>
      </c>
      <c r="F1256" s="80" t="str">
        <f ca="1">IFERROR(__xludf.DUMMYFUNCTION("""COMPUTED_VALUE"""),"J")</f>
        <v>J</v>
      </c>
      <c r="G1256" s="80">
        <f ca="1">IFERROR(__xludf.DUMMYFUNCTION("""COMPUTED_VALUE"""),7)</f>
        <v>7</v>
      </c>
      <c r="H1256" s="80" t="str">
        <f ca="1">IFERROR(__xludf.DUMMYFUNCTION("""COMPUTED_VALUE"""),"M")</f>
        <v>M</v>
      </c>
      <c r="I1256" s="80">
        <f ca="1">IFERROR(__xludf.DUMMYFUNCTION("""COMPUTED_VALUE"""),2)</f>
        <v>2</v>
      </c>
      <c r="J1256" s="81">
        <f ca="1">IFERROR(__xludf.DUMMYFUNCTION("""COMPUTED_VALUE"""),1)</f>
        <v>1</v>
      </c>
      <c r="K1256" s="81">
        <f ca="1">IFERROR(__xludf.DUMMYFUNCTION("""COMPUTED_VALUE"""),0)</f>
        <v>0</v>
      </c>
      <c r="L1256" s="81">
        <f ca="1">IFERROR(__xludf.DUMMYFUNCTION("""COMPUTED_VALUE"""),0)</f>
        <v>0</v>
      </c>
      <c r="M1256" s="81"/>
      <c r="N1256" s="81">
        <f ca="1">IFERROR(__xludf.DUMMYFUNCTION("""COMPUTED_VALUE"""),0)</f>
        <v>0</v>
      </c>
      <c r="O1256" s="81"/>
      <c r="P1256" s="81">
        <f ca="1">IFERROR(__xludf.DUMMYFUNCTION("""COMPUTED_VALUE"""),0)</f>
        <v>0</v>
      </c>
      <c r="Q1256" s="81"/>
      <c r="R1256" s="81">
        <f ca="1">IFERROR(__xludf.DUMMYFUNCTION("""COMPUTED_VALUE"""),0)</f>
        <v>0</v>
      </c>
      <c r="S1256" s="81"/>
      <c r="T1256" s="81"/>
      <c r="U1256" s="82"/>
      <c r="V1256" s="82"/>
      <c r="W1256" s="83"/>
      <c r="X1256" s="83"/>
      <c r="Y1256" s="83"/>
    </row>
    <row r="1257" spans="1:25" ht="13.8">
      <c r="A1257" s="78" t="str">
        <f ca="1">IFERROR(__xludf.DUMMYFUNCTION("""COMPUTED_VALUE"""),"M")</f>
        <v>M</v>
      </c>
      <c r="B1257" s="79" t="str">
        <f ca="1">IFERROR(__xludf.DUMMYFUNCTION("""COMPUTED_VALUE"""),"Joanna Halper")</f>
        <v>Joanna Halper</v>
      </c>
      <c r="C1257" s="78">
        <f ca="1">IFERROR(__xludf.DUMMYFUNCTION("""COMPUTED_VALUE"""),7)</f>
        <v>7</v>
      </c>
      <c r="D1257" s="78" t="str">
        <f ca="1">IFERROR(__xludf.DUMMYFUNCTION("""COMPUTED_VALUE"""),"G")</f>
        <v>G</v>
      </c>
      <c r="E1257" s="80" t="str">
        <f ca="1">IFERROR(__xludf.DUMMYFUNCTION("""COMPUTED_VALUE"""),"F")</f>
        <v>F</v>
      </c>
      <c r="F1257" s="80" t="str">
        <f ca="1">IFERROR(__xludf.DUMMYFUNCTION("""COMPUTED_VALUE"""),"J")</f>
        <v>J</v>
      </c>
      <c r="G1257" s="80">
        <f ca="1">IFERROR(__xludf.DUMMYFUNCTION("""COMPUTED_VALUE"""),7)</f>
        <v>7</v>
      </c>
      <c r="H1257" s="80" t="str">
        <f ca="1">IFERROR(__xludf.DUMMYFUNCTION("""COMPUTED_VALUE"""),"M")</f>
        <v>M</v>
      </c>
      <c r="I1257" s="80">
        <f ca="1">IFERROR(__xludf.DUMMYFUNCTION("""COMPUTED_VALUE"""),2)</f>
        <v>2</v>
      </c>
      <c r="J1257" s="81">
        <f ca="1">IFERROR(__xludf.DUMMYFUNCTION("""COMPUTED_VALUE"""),0)</f>
        <v>0</v>
      </c>
      <c r="K1257" s="81">
        <f ca="1">IFERROR(__xludf.DUMMYFUNCTION("""COMPUTED_VALUE"""),0)</f>
        <v>0</v>
      </c>
      <c r="L1257" s="81">
        <f ca="1">IFERROR(__xludf.DUMMYFUNCTION("""COMPUTED_VALUE"""),0)</f>
        <v>0</v>
      </c>
      <c r="M1257" s="81"/>
      <c r="N1257" s="81">
        <f ca="1">IFERROR(__xludf.DUMMYFUNCTION("""COMPUTED_VALUE"""),0)</f>
        <v>0</v>
      </c>
      <c r="O1257" s="81"/>
      <c r="P1257" s="81">
        <f ca="1">IFERROR(__xludf.DUMMYFUNCTION("""COMPUTED_VALUE"""),0)</f>
        <v>0</v>
      </c>
      <c r="Q1257" s="81"/>
      <c r="R1257" s="81">
        <f ca="1">IFERROR(__xludf.DUMMYFUNCTION("""COMPUTED_VALUE"""),0)</f>
        <v>0</v>
      </c>
      <c r="S1257" s="81"/>
      <c r="T1257" s="81"/>
      <c r="U1257" s="82"/>
      <c r="V1257" s="82"/>
      <c r="W1257" s="83"/>
      <c r="X1257" s="83"/>
      <c r="Y1257" s="83"/>
    </row>
    <row r="1258" spans="1:25" ht="13.8">
      <c r="A1258" s="78" t="str">
        <f ca="1">IFERROR(__xludf.DUMMYFUNCTION("""COMPUTED_VALUE"""),"M")</f>
        <v>M</v>
      </c>
      <c r="B1258" s="79" t="str">
        <f ca="1">IFERROR(__xludf.DUMMYFUNCTION("""COMPUTED_VALUE"""),"Magnolia Johnston")</f>
        <v>Magnolia Johnston</v>
      </c>
      <c r="C1258" s="78">
        <f ca="1">IFERROR(__xludf.DUMMYFUNCTION("""COMPUTED_VALUE"""),10)</f>
        <v>10</v>
      </c>
      <c r="D1258" s="78" t="str">
        <f ca="1">IFERROR(__xludf.DUMMYFUNCTION("""COMPUTED_VALUE"""),"G")</f>
        <v>G</v>
      </c>
      <c r="E1258" s="80" t="str">
        <f ca="1">IFERROR(__xludf.DUMMYFUNCTION("""COMPUTED_VALUE"""),"F")</f>
        <v>F</v>
      </c>
      <c r="F1258" s="80" t="str">
        <f ca="1">IFERROR(__xludf.DUMMYFUNCTION("""COMPUTED_VALUE"""),"J")</f>
        <v>J</v>
      </c>
      <c r="G1258" s="80">
        <f ca="1">IFERROR(__xludf.DUMMYFUNCTION("""COMPUTED_VALUE"""),7)</f>
        <v>7</v>
      </c>
      <c r="H1258" s="80" t="str">
        <f ca="1">IFERROR(__xludf.DUMMYFUNCTION("""COMPUTED_VALUE"""),"M")</f>
        <v>M</v>
      </c>
      <c r="I1258" s="80">
        <f ca="1">IFERROR(__xludf.DUMMYFUNCTION("""COMPUTED_VALUE"""),2)</f>
        <v>2</v>
      </c>
      <c r="J1258" s="81">
        <f ca="1">IFERROR(__xludf.DUMMYFUNCTION("""COMPUTED_VALUE"""),4)</f>
        <v>4</v>
      </c>
      <c r="K1258" s="81">
        <f ca="1">IFERROR(__xludf.DUMMYFUNCTION("""COMPUTED_VALUE"""),68.9)</f>
        <v>68.900000000000006</v>
      </c>
      <c r="L1258" s="81">
        <f ca="1">IFERROR(__xludf.DUMMYFUNCTION("""COMPUTED_VALUE"""),68.9)</f>
        <v>68.900000000000006</v>
      </c>
      <c r="M1258" s="81"/>
      <c r="N1258" s="81">
        <f ca="1">IFERROR(__xludf.DUMMYFUNCTION("""COMPUTED_VALUE"""),57.8)</f>
        <v>57.8</v>
      </c>
      <c r="O1258" s="81"/>
      <c r="P1258" s="81">
        <f ca="1">IFERROR(__xludf.DUMMYFUNCTION("""COMPUTED_VALUE"""),0)</f>
        <v>0</v>
      </c>
      <c r="Q1258" s="81"/>
      <c r="R1258" s="81">
        <f ca="1">IFERROR(__xludf.DUMMYFUNCTION("""COMPUTED_VALUE"""),63.6)</f>
        <v>63.6</v>
      </c>
      <c r="S1258" s="81"/>
      <c r="T1258" s="81"/>
      <c r="U1258" s="82"/>
      <c r="V1258" s="82"/>
      <c r="W1258" s="83"/>
      <c r="X1258" s="83"/>
      <c r="Y1258" s="83"/>
    </row>
    <row r="1259" spans="1:25" ht="13.8">
      <c r="A1259" s="78" t="str">
        <f ca="1">IFERROR(__xludf.DUMMYFUNCTION("""COMPUTED_VALUE"""),"M")</f>
        <v>M</v>
      </c>
      <c r="B1259" s="79" t="str">
        <f ca="1">IFERROR(__xludf.DUMMYFUNCTION("""COMPUTED_VALUE"""),"Sophia Kemp")</f>
        <v>Sophia Kemp</v>
      </c>
      <c r="C1259" s="78">
        <f ca="1">IFERROR(__xludf.DUMMYFUNCTION("""COMPUTED_VALUE"""),10)</f>
        <v>10</v>
      </c>
      <c r="D1259" s="78" t="str">
        <f ca="1">IFERROR(__xludf.DUMMYFUNCTION("""COMPUTED_VALUE"""),"G")</f>
        <v>G</v>
      </c>
      <c r="E1259" s="80" t="str">
        <f ca="1">IFERROR(__xludf.DUMMYFUNCTION("""COMPUTED_VALUE"""),"F")</f>
        <v>F</v>
      </c>
      <c r="F1259" s="80" t="str">
        <f ca="1">IFERROR(__xludf.DUMMYFUNCTION("""COMPUTED_VALUE"""),"J")</f>
        <v>J</v>
      </c>
      <c r="G1259" s="80">
        <f ca="1">IFERROR(__xludf.DUMMYFUNCTION("""COMPUTED_VALUE"""),7)</f>
        <v>7</v>
      </c>
      <c r="H1259" s="80" t="str">
        <f ca="1">IFERROR(__xludf.DUMMYFUNCTION("""COMPUTED_VALUE"""),"M")</f>
        <v>M</v>
      </c>
      <c r="I1259" s="80">
        <f ca="1">IFERROR(__xludf.DUMMYFUNCTION("""COMPUTED_VALUE"""),2)</f>
        <v>2</v>
      </c>
      <c r="J1259" s="81">
        <f ca="1">IFERROR(__xludf.DUMMYFUNCTION("""COMPUTED_VALUE"""),4)</f>
        <v>4</v>
      </c>
      <c r="K1259" s="81">
        <f ca="1">IFERROR(__xludf.DUMMYFUNCTION("""COMPUTED_VALUE"""),32.4)</f>
        <v>32.4</v>
      </c>
      <c r="L1259" s="81">
        <f ca="1">IFERROR(__xludf.DUMMYFUNCTION("""COMPUTED_VALUE"""),32.4)</f>
        <v>32.4</v>
      </c>
      <c r="M1259" s="81"/>
      <c r="N1259" s="81">
        <f ca="1">IFERROR(__xludf.DUMMYFUNCTION("""COMPUTED_VALUE"""),27.25)</f>
        <v>27.25</v>
      </c>
      <c r="O1259" s="81"/>
      <c r="P1259" s="81">
        <f ca="1">IFERROR(__xludf.DUMMYFUNCTION("""COMPUTED_VALUE"""),0)</f>
        <v>0</v>
      </c>
      <c r="Q1259" s="81"/>
      <c r="R1259" s="81">
        <f ca="1">IFERROR(__xludf.DUMMYFUNCTION("""COMPUTED_VALUE"""),21.7)</f>
        <v>21.7</v>
      </c>
      <c r="S1259" s="81"/>
      <c r="T1259" s="81"/>
      <c r="U1259" s="82"/>
      <c r="V1259" s="82"/>
      <c r="W1259" s="83"/>
      <c r="X1259" s="83"/>
      <c r="Y1259" s="83"/>
    </row>
    <row r="1260" spans="1:25" ht="13.8">
      <c r="A1260" s="78" t="str">
        <f ca="1">IFERROR(__xludf.DUMMYFUNCTION("""COMPUTED_VALUE"""),"M")</f>
        <v>M</v>
      </c>
      <c r="B1260" s="79" t="str">
        <f ca="1">IFERROR(__xludf.DUMMYFUNCTION("""COMPUTED_VALUE"""),"Maggie Levi")</f>
        <v>Maggie Levi</v>
      </c>
      <c r="C1260" s="78">
        <f ca="1">IFERROR(__xludf.DUMMYFUNCTION("""COMPUTED_VALUE"""),10)</f>
        <v>10</v>
      </c>
      <c r="D1260" s="78" t="str">
        <f ca="1">IFERROR(__xludf.DUMMYFUNCTION("""COMPUTED_VALUE"""),"G")</f>
        <v>G</v>
      </c>
      <c r="E1260" s="80" t="str">
        <f ca="1">IFERROR(__xludf.DUMMYFUNCTION("""COMPUTED_VALUE"""),"F")</f>
        <v>F</v>
      </c>
      <c r="F1260" s="80" t="str">
        <f ca="1">IFERROR(__xludf.DUMMYFUNCTION("""COMPUTED_VALUE"""),"J")</f>
        <v>J</v>
      </c>
      <c r="G1260" s="80">
        <f ca="1">IFERROR(__xludf.DUMMYFUNCTION("""COMPUTED_VALUE"""),7)</f>
        <v>7</v>
      </c>
      <c r="H1260" s="80" t="str">
        <f ca="1">IFERROR(__xludf.DUMMYFUNCTION("""COMPUTED_VALUE"""),"M")</f>
        <v>M</v>
      </c>
      <c r="I1260" s="80">
        <f ca="1">IFERROR(__xludf.DUMMYFUNCTION("""COMPUTED_VALUE"""),2)</f>
        <v>2</v>
      </c>
      <c r="J1260" s="81">
        <f ca="1">IFERROR(__xludf.DUMMYFUNCTION("""COMPUTED_VALUE"""),5)</f>
        <v>5</v>
      </c>
      <c r="K1260" s="81">
        <f ca="1">IFERROR(__xludf.DUMMYFUNCTION("""COMPUTED_VALUE"""),63)</f>
        <v>63</v>
      </c>
      <c r="L1260" s="81">
        <f ca="1">IFERROR(__xludf.DUMMYFUNCTION("""COMPUTED_VALUE"""),63)</f>
        <v>63</v>
      </c>
      <c r="M1260" s="81"/>
      <c r="N1260" s="81">
        <f ca="1">IFERROR(__xludf.DUMMYFUNCTION("""COMPUTED_VALUE"""),62.15)</f>
        <v>62.15</v>
      </c>
      <c r="O1260" s="81"/>
      <c r="P1260" s="81">
        <f ca="1">IFERROR(__xludf.DUMMYFUNCTION("""COMPUTED_VALUE"""),56.4)</f>
        <v>56.4</v>
      </c>
      <c r="Q1260" s="81"/>
      <c r="R1260" s="81">
        <f ca="1">IFERROR(__xludf.DUMMYFUNCTION("""COMPUTED_VALUE"""),60.9)</f>
        <v>60.9</v>
      </c>
      <c r="S1260" s="81"/>
      <c r="T1260" s="81"/>
      <c r="U1260" s="82"/>
      <c r="V1260" s="82"/>
      <c r="W1260" s="83"/>
      <c r="X1260" s="83"/>
      <c r="Y1260" s="83"/>
    </row>
    <row r="1261" spans="1:25" ht="13.8">
      <c r="A1261" s="78" t="str">
        <f ca="1">IFERROR(__xludf.DUMMYFUNCTION("""COMPUTED_VALUE"""),"M")</f>
        <v>M</v>
      </c>
      <c r="B1261" s="79" t="str">
        <f ca="1">IFERROR(__xludf.DUMMYFUNCTION("""COMPUTED_VALUE"""),"Adele Pino")</f>
        <v>Adele Pino</v>
      </c>
      <c r="C1261" s="78">
        <f ca="1">IFERROR(__xludf.DUMMYFUNCTION("""COMPUTED_VALUE"""),7)</f>
        <v>7</v>
      </c>
      <c r="D1261" s="78" t="str">
        <f ca="1">IFERROR(__xludf.DUMMYFUNCTION("""COMPUTED_VALUE"""),"G")</f>
        <v>G</v>
      </c>
      <c r="E1261" s="80" t="str">
        <f ca="1">IFERROR(__xludf.DUMMYFUNCTION("""COMPUTED_VALUE"""),"F")</f>
        <v>F</v>
      </c>
      <c r="F1261" s="80" t="str">
        <f ca="1">IFERROR(__xludf.DUMMYFUNCTION("""COMPUTED_VALUE"""),"J")</f>
        <v>J</v>
      </c>
      <c r="G1261" s="80">
        <f ca="1">IFERROR(__xludf.DUMMYFUNCTION("""COMPUTED_VALUE"""),7)</f>
        <v>7</v>
      </c>
      <c r="H1261" s="80" t="str">
        <f ca="1">IFERROR(__xludf.DUMMYFUNCTION("""COMPUTED_VALUE"""),"M")</f>
        <v>M</v>
      </c>
      <c r="I1261" s="80">
        <f ca="1">IFERROR(__xludf.DUMMYFUNCTION("""COMPUTED_VALUE"""),2)</f>
        <v>2</v>
      </c>
      <c r="J1261" s="81">
        <f ca="1">IFERROR(__xludf.DUMMYFUNCTION("""COMPUTED_VALUE"""),5)</f>
        <v>5</v>
      </c>
      <c r="K1261" s="81">
        <f ca="1">IFERROR(__xludf.DUMMYFUNCTION("""COMPUTED_VALUE"""),35.9)</f>
        <v>35.9</v>
      </c>
      <c r="L1261" s="81">
        <f ca="1">IFERROR(__xludf.DUMMYFUNCTION("""COMPUTED_VALUE"""),8.5)</f>
        <v>8.5</v>
      </c>
      <c r="M1261" s="81"/>
      <c r="N1261" s="81">
        <f ca="1">IFERROR(__xludf.DUMMYFUNCTION("""COMPUTED_VALUE"""),15.9)</f>
        <v>15.9</v>
      </c>
      <c r="O1261" s="81"/>
      <c r="P1261" s="81">
        <f ca="1">IFERROR(__xludf.DUMMYFUNCTION("""COMPUTED_VALUE"""),25.35)</f>
        <v>25.35</v>
      </c>
      <c r="Q1261" s="81"/>
      <c r="R1261" s="81">
        <f ca="1">IFERROR(__xludf.DUMMYFUNCTION("""COMPUTED_VALUE"""),35.9)</f>
        <v>35.9</v>
      </c>
      <c r="S1261" s="81"/>
      <c r="T1261" s="81"/>
      <c r="U1261" s="82"/>
      <c r="V1261" s="82"/>
      <c r="W1261" s="83"/>
      <c r="X1261" s="83"/>
      <c r="Y1261" s="83"/>
    </row>
    <row r="1262" spans="1:25" ht="13.8">
      <c r="A1262" s="78" t="str">
        <f ca="1">IFERROR(__xludf.DUMMYFUNCTION("""COMPUTED_VALUE"""),"M")</f>
        <v>M</v>
      </c>
      <c r="B1262" s="79" t="str">
        <f ca="1">IFERROR(__xludf.DUMMYFUNCTION("""COMPUTED_VALUE"""),"Alaina Pisco")</f>
        <v>Alaina Pisco</v>
      </c>
      <c r="C1262" s="78">
        <f ca="1">IFERROR(__xludf.DUMMYFUNCTION("""COMPUTED_VALUE"""),7)</f>
        <v>7</v>
      </c>
      <c r="D1262" s="78" t="str">
        <f ca="1">IFERROR(__xludf.DUMMYFUNCTION("""COMPUTED_VALUE"""),"G")</f>
        <v>G</v>
      </c>
      <c r="E1262" s="80" t="str">
        <f ca="1">IFERROR(__xludf.DUMMYFUNCTION("""COMPUTED_VALUE"""),"F")</f>
        <v>F</v>
      </c>
      <c r="F1262" s="80" t="str">
        <f ca="1">IFERROR(__xludf.DUMMYFUNCTION("""COMPUTED_VALUE"""),"J")</f>
        <v>J</v>
      </c>
      <c r="G1262" s="80">
        <f ca="1">IFERROR(__xludf.DUMMYFUNCTION("""COMPUTED_VALUE"""),7)</f>
        <v>7</v>
      </c>
      <c r="H1262" s="80" t="str">
        <f ca="1">IFERROR(__xludf.DUMMYFUNCTION("""COMPUTED_VALUE"""),"M")</f>
        <v>M</v>
      </c>
      <c r="I1262" s="80">
        <f ca="1">IFERROR(__xludf.DUMMYFUNCTION("""COMPUTED_VALUE"""),2)</f>
        <v>2</v>
      </c>
      <c r="J1262" s="81">
        <f ca="1">IFERROR(__xludf.DUMMYFUNCTION("""COMPUTED_VALUE"""),1)</f>
        <v>1</v>
      </c>
      <c r="K1262" s="81">
        <f ca="1">IFERROR(__xludf.DUMMYFUNCTION("""COMPUTED_VALUE"""),0)</f>
        <v>0</v>
      </c>
      <c r="L1262" s="81">
        <f ca="1">IFERROR(__xludf.DUMMYFUNCTION("""COMPUTED_VALUE"""),0)</f>
        <v>0</v>
      </c>
      <c r="M1262" s="81"/>
      <c r="N1262" s="81">
        <f ca="1">IFERROR(__xludf.DUMMYFUNCTION("""COMPUTED_VALUE"""),0)</f>
        <v>0</v>
      </c>
      <c r="O1262" s="81"/>
      <c r="P1262" s="81">
        <f ca="1">IFERROR(__xludf.DUMMYFUNCTION("""COMPUTED_VALUE"""),0)</f>
        <v>0</v>
      </c>
      <c r="Q1262" s="81"/>
      <c r="R1262" s="81">
        <f ca="1">IFERROR(__xludf.DUMMYFUNCTION("""COMPUTED_VALUE"""),0)</f>
        <v>0</v>
      </c>
      <c r="S1262" s="81"/>
      <c r="T1262" s="81"/>
      <c r="U1262" s="82"/>
      <c r="V1262" s="82"/>
      <c r="W1262" s="83"/>
      <c r="X1262" s="83"/>
      <c r="Y1262" s="83"/>
    </row>
    <row r="1263" spans="1:25" ht="13.8">
      <c r="A1263" s="78" t="str">
        <f ca="1">IFERROR(__xludf.DUMMYFUNCTION("""COMPUTED_VALUE"""),"M")</f>
        <v>M</v>
      </c>
      <c r="B1263" s="79" t="str">
        <f ca="1">IFERROR(__xludf.DUMMYFUNCTION("""COMPUTED_VALUE"""),"Catherine Redington")</f>
        <v>Catherine Redington</v>
      </c>
      <c r="C1263" s="78">
        <f ca="1">IFERROR(__xludf.DUMMYFUNCTION("""COMPUTED_VALUE"""),9)</f>
        <v>9</v>
      </c>
      <c r="D1263" s="78" t="str">
        <f ca="1">IFERROR(__xludf.DUMMYFUNCTION("""COMPUTED_VALUE"""),"G")</f>
        <v>G</v>
      </c>
      <c r="E1263" s="80" t="str">
        <f ca="1">IFERROR(__xludf.DUMMYFUNCTION("""COMPUTED_VALUE"""),"F")</f>
        <v>F</v>
      </c>
      <c r="F1263" s="80" t="str">
        <f ca="1">IFERROR(__xludf.DUMMYFUNCTION("""COMPUTED_VALUE"""),"J")</f>
        <v>J</v>
      </c>
      <c r="G1263" s="80">
        <f ca="1">IFERROR(__xludf.DUMMYFUNCTION("""COMPUTED_VALUE"""),7)</f>
        <v>7</v>
      </c>
      <c r="H1263" s="80" t="str">
        <f ca="1">IFERROR(__xludf.DUMMYFUNCTION("""COMPUTED_VALUE"""),"M")</f>
        <v>M</v>
      </c>
      <c r="I1263" s="80">
        <f ca="1">IFERROR(__xludf.DUMMYFUNCTION("""COMPUTED_VALUE"""),2)</f>
        <v>2</v>
      </c>
      <c r="J1263" s="81">
        <f ca="1">IFERROR(__xludf.DUMMYFUNCTION("""COMPUTED_VALUE"""),3)</f>
        <v>3</v>
      </c>
      <c r="K1263" s="81">
        <f ca="1">IFERROR(__xludf.DUMMYFUNCTION("""COMPUTED_VALUE"""),48.8)</f>
        <v>48.8</v>
      </c>
      <c r="L1263" s="81">
        <f ca="1">IFERROR(__xludf.DUMMYFUNCTION("""COMPUTED_VALUE"""),0)</f>
        <v>0</v>
      </c>
      <c r="M1263" s="81"/>
      <c r="N1263" s="81">
        <f ca="1">IFERROR(__xludf.DUMMYFUNCTION("""COMPUTED_VALUE"""),0)</f>
        <v>0</v>
      </c>
      <c r="O1263" s="81"/>
      <c r="P1263" s="81">
        <f ca="1">IFERROR(__xludf.DUMMYFUNCTION("""COMPUTED_VALUE"""),46.45)</f>
        <v>46.45</v>
      </c>
      <c r="Q1263" s="81"/>
      <c r="R1263" s="81">
        <f ca="1">IFERROR(__xludf.DUMMYFUNCTION("""COMPUTED_VALUE"""),48.8)</f>
        <v>48.8</v>
      </c>
      <c r="S1263" s="81"/>
      <c r="T1263" s="81"/>
      <c r="U1263" s="82"/>
      <c r="V1263" s="82"/>
      <c r="W1263" s="83"/>
      <c r="X1263" s="83"/>
      <c r="Y1263" s="83"/>
    </row>
    <row r="1264" spans="1:25" ht="13.8">
      <c r="A1264" s="78" t="str">
        <f ca="1">IFERROR(__xludf.DUMMYFUNCTION("""COMPUTED_VALUE"""),"M")</f>
        <v>M</v>
      </c>
      <c r="B1264" s="79" t="str">
        <f ca="1">IFERROR(__xludf.DUMMYFUNCTION("""COMPUTED_VALUE"""),"Catherine Rene")</f>
        <v>Catherine Rene</v>
      </c>
      <c r="C1264" s="78">
        <f ca="1">IFERROR(__xludf.DUMMYFUNCTION("""COMPUTED_VALUE"""),8)</f>
        <v>8</v>
      </c>
      <c r="D1264" s="78" t="str">
        <f ca="1">IFERROR(__xludf.DUMMYFUNCTION("""COMPUTED_VALUE"""),"G")</f>
        <v>G</v>
      </c>
      <c r="E1264" s="80" t="str">
        <f ca="1">IFERROR(__xludf.DUMMYFUNCTION("""COMPUTED_VALUE"""),"F")</f>
        <v>F</v>
      </c>
      <c r="F1264" s="80" t="str">
        <f ca="1">IFERROR(__xludf.DUMMYFUNCTION("""COMPUTED_VALUE"""),"J")</f>
        <v>J</v>
      </c>
      <c r="G1264" s="80">
        <f ca="1">IFERROR(__xludf.DUMMYFUNCTION("""COMPUTED_VALUE"""),7)</f>
        <v>7</v>
      </c>
      <c r="H1264" s="80" t="str">
        <f ca="1">IFERROR(__xludf.DUMMYFUNCTION("""COMPUTED_VALUE"""),"M")</f>
        <v>M</v>
      </c>
      <c r="I1264" s="80">
        <f ca="1">IFERROR(__xludf.DUMMYFUNCTION("""COMPUTED_VALUE"""),2)</f>
        <v>2</v>
      </c>
      <c r="J1264" s="81">
        <f ca="1">IFERROR(__xludf.DUMMYFUNCTION("""COMPUTED_VALUE"""),0)</f>
        <v>0</v>
      </c>
      <c r="K1264" s="81">
        <f ca="1">IFERROR(__xludf.DUMMYFUNCTION("""COMPUTED_VALUE"""),0)</f>
        <v>0</v>
      </c>
      <c r="L1264" s="81">
        <f ca="1">IFERROR(__xludf.DUMMYFUNCTION("""COMPUTED_VALUE"""),0)</f>
        <v>0</v>
      </c>
      <c r="M1264" s="81"/>
      <c r="N1264" s="81">
        <f ca="1">IFERROR(__xludf.DUMMYFUNCTION("""COMPUTED_VALUE"""),0)</f>
        <v>0</v>
      </c>
      <c r="O1264" s="81"/>
      <c r="P1264" s="81">
        <f ca="1">IFERROR(__xludf.DUMMYFUNCTION("""COMPUTED_VALUE"""),0)</f>
        <v>0</v>
      </c>
      <c r="Q1264" s="81"/>
      <c r="R1264" s="81">
        <f ca="1">IFERROR(__xludf.DUMMYFUNCTION("""COMPUTED_VALUE"""),0)</f>
        <v>0</v>
      </c>
      <c r="S1264" s="81"/>
      <c r="T1264" s="81"/>
      <c r="U1264" s="82"/>
      <c r="V1264" s="82"/>
      <c r="W1264" s="83"/>
      <c r="X1264" s="83"/>
      <c r="Y1264" s="83"/>
    </row>
    <row r="1265" spans="1:25" ht="13.8">
      <c r="A1265" s="78" t="str">
        <f ca="1">IFERROR(__xludf.DUMMYFUNCTION("""COMPUTED_VALUE"""),"M")</f>
        <v>M</v>
      </c>
      <c r="B1265" s="79" t="str">
        <f ca="1">IFERROR(__xludf.DUMMYFUNCTION("""COMPUTED_VALUE"""),"Annabel Rider")</f>
        <v>Annabel Rider</v>
      </c>
      <c r="C1265" s="78">
        <f ca="1">IFERROR(__xludf.DUMMYFUNCTION("""COMPUTED_VALUE"""),7)</f>
        <v>7</v>
      </c>
      <c r="D1265" s="78" t="str">
        <f ca="1">IFERROR(__xludf.DUMMYFUNCTION("""COMPUTED_VALUE"""),"G")</f>
        <v>G</v>
      </c>
      <c r="E1265" s="80" t="str">
        <f ca="1">IFERROR(__xludf.DUMMYFUNCTION("""COMPUTED_VALUE"""),"F")</f>
        <v>F</v>
      </c>
      <c r="F1265" s="80" t="str">
        <f ca="1">IFERROR(__xludf.DUMMYFUNCTION("""COMPUTED_VALUE"""),"J")</f>
        <v>J</v>
      </c>
      <c r="G1265" s="80">
        <f ca="1">IFERROR(__xludf.DUMMYFUNCTION("""COMPUTED_VALUE"""),7)</f>
        <v>7</v>
      </c>
      <c r="H1265" s="80" t="str">
        <f ca="1">IFERROR(__xludf.DUMMYFUNCTION("""COMPUTED_VALUE"""),"M")</f>
        <v>M</v>
      </c>
      <c r="I1265" s="80">
        <f ca="1">IFERROR(__xludf.DUMMYFUNCTION("""COMPUTED_VALUE"""),2)</f>
        <v>2</v>
      </c>
      <c r="J1265" s="81">
        <f ca="1">IFERROR(__xludf.DUMMYFUNCTION("""COMPUTED_VALUE"""),5)</f>
        <v>5</v>
      </c>
      <c r="K1265" s="81">
        <f ca="1">IFERROR(__xludf.DUMMYFUNCTION("""COMPUTED_VALUE"""),33.4)</f>
        <v>33.4</v>
      </c>
      <c r="L1265" s="81">
        <f ca="1">IFERROR(__xludf.DUMMYFUNCTION("""COMPUTED_VALUE"""),21.9)</f>
        <v>21.9</v>
      </c>
      <c r="M1265" s="81"/>
      <c r="N1265" s="81">
        <f ca="1">IFERROR(__xludf.DUMMYFUNCTION("""COMPUTED_VALUE"""),20.9)</f>
        <v>20.9</v>
      </c>
      <c r="O1265" s="81"/>
      <c r="P1265" s="81">
        <f ca="1">IFERROR(__xludf.DUMMYFUNCTION("""COMPUTED_VALUE"""),22.7)</f>
        <v>22.7</v>
      </c>
      <c r="Q1265" s="81"/>
      <c r="R1265" s="81">
        <f ca="1">IFERROR(__xludf.DUMMYFUNCTION("""COMPUTED_VALUE"""),33.4)</f>
        <v>33.4</v>
      </c>
      <c r="S1265" s="81"/>
      <c r="T1265" s="81"/>
      <c r="U1265" s="82"/>
      <c r="V1265" s="82"/>
      <c r="W1265" s="83"/>
      <c r="X1265" s="83"/>
      <c r="Y1265" s="83"/>
    </row>
    <row r="1266" spans="1:25" ht="13.8">
      <c r="A1266" s="78" t="str">
        <f ca="1">IFERROR(__xludf.DUMMYFUNCTION("""COMPUTED_VALUE"""),"M")</f>
        <v>M</v>
      </c>
      <c r="B1266" s="79" t="str">
        <f ca="1">IFERROR(__xludf.DUMMYFUNCTION("""COMPUTED_VALUE"""),"Kree Setliff")</f>
        <v>Kree Setliff</v>
      </c>
      <c r="C1266" s="78">
        <f ca="1">IFERROR(__xludf.DUMMYFUNCTION("""COMPUTED_VALUE"""),7)</f>
        <v>7</v>
      </c>
      <c r="D1266" s="78" t="str">
        <f ca="1">IFERROR(__xludf.DUMMYFUNCTION("""COMPUTED_VALUE"""),"G")</f>
        <v>G</v>
      </c>
      <c r="E1266" s="80" t="str">
        <f ca="1">IFERROR(__xludf.DUMMYFUNCTION("""COMPUTED_VALUE"""),"F")</f>
        <v>F</v>
      </c>
      <c r="F1266" s="80" t="str">
        <f ca="1">IFERROR(__xludf.DUMMYFUNCTION("""COMPUTED_VALUE"""),"J")</f>
        <v>J</v>
      </c>
      <c r="G1266" s="80">
        <f ca="1">IFERROR(__xludf.DUMMYFUNCTION("""COMPUTED_VALUE"""),7)</f>
        <v>7</v>
      </c>
      <c r="H1266" s="80" t="str">
        <f ca="1">IFERROR(__xludf.DUMMYFUNCTION("""COMPUTED_VALUE"""),"M")</f>
        <v>M</v>
      </c>
      <c r="I1266" s="80">
        <f ca="1">IFERROR(__xludf.DUMMYFUNCTION("""COMPUTED_VALUE"""),2)</f>
        <v>2</v>
      </c>
      <c r="J1266" s="81">
        <f ca="1">IFERROR(__xludf.DUMMYFUNCTION("""COMPUTED_VALUE"""),4)</f>
        <v>4</v>
      </c>
      <c r="K1266" s="81">
        <f ca="1">IFERROR(__xludf.DUMMYFUNCTION("""COMPUTED_VALUE"""),31.4)</f>
        <v>31.4</v>
      </c>
      <c r="L1266" s="81">
        <f ca="1">IFERROR(__xludf.DUMMYFUNCTION("""COMPUTED_VALUE"""),0)</f>
        <v>0</v>
      </c>
      <c r="M1266" s="81"/>
      <c r="N1266" s="81">
        <f ca="1">IFERROR(__xludf.DUMMYFUNCTION("""COMPUTED_VALUE"""),26.1)</f>
        <v>26.1</v>
      </c>
      <c r="O1266" s="81"/>
      <c r="P1266" s="81">
        <f ca="1">IFERROR(__xludf.DUMMYFUNCTION("""COMPUTED_VALUE"""),31.4)</f>
        <v>31.4</v>
      </c>
      <c r="Q1266" s="81"/>
      <c r="R1266" s="81">
        <f ca="1">IFERROR(__xludf.DUMMYFUNCTION("""COMPUTED_VALUE"""),19.7)</f>
        <v>19.7</v>
      </c>
      <c r="S1266" s="81"/>
      <c r="T1266" s="81"/>
      <c r="U1266" s="82"/>
      <c r="V1266" s="82"/>
      <c r="W1266" s="83"/>
      <c r="X1266" s="83"/>
      <c r="Y1266" s="83"/>
    </row>
    <row r="1267" spans="1:25" ht="13.8">
      <c r="A1267" s="78" t="str">
        <f ca="1">IFERROR(__xludf.DUMMYFUNCTION("""COMPUTED_VALUE"""),"M")</f>
        <v>M</v>
      </c>
      <c r="B1267" s="79" t="str">
        <f ca="1">IFERROR(__xludf.DUMMYFUNCTION("""COMPUTED_VALUE"""),"Cara Tansey")</f>
        <v>Cara Tansey</v>
      </c>
      <c r="C1267" s="78">
        <f ca="1">IFERROR(__xludf.DUMMYFUNCTION("""COMPUTED_VALUE"""),6)</f>
        <v>6</v>
      </c>
      <c r="D1267" s="78" t="str">
        <f ca="1">IFERROR(__xludf.DUMMYFUNCTION("""COMPUTED_VALUE"""),"G")</f>
        <v>G</v>
      </c>
      <c r="E1267" s="80" t="str">
        <f ca="1">IFERROR(__xludf.DUMMYFUNCTION("""COMPUTED_VALUE"""),"F")</f>
        <v>F</v>
      </c>
      <c r="F1267" s="80" t="str">
        <f ca="1">IFERROR(__xludf.DUMMYFUNCTION("""COMPUTED_VALUE"""),"J")</f>
        <v>J</v>
      </c>
      <c r="G1267" s="80">
        <f ca="1">IFERROR(__xludf.DUMMYFUNCTION("""COMPUTED_VALUE"""),7)</f>
        <v>7</v>
      </c>
      <c r="H1267" s="80" t="str">
        <f ca="1">IFERROR(__xludf.DUMMYFUNCTION("""COMPUTED_VALUE"""),"M")</f>
        <v>M</v>
      </c>
      <c r="I1267" s="80">
        <f ca="1">IFERROR(__xludf.DUMMYFUNCTION("""COMPUTED_VALUE"""),2)</f>
        <v>2</v>
      </c>
      <c r="J1267" s="81">
        <f ca="1">IFERROR(__xludf.DUMMYFUNCTION("""COMPUTED_VALUE"""),3)</f>
        <v>3</v>
      </c>
      <c r="K1267" s="81">
        <f ca="1">IFERROR(__xludf.DUMMYFUNCTION("""COMPUTED_VALUE"""),16.9)</f>
        <v>16.899999999999999</v>
      </c>
      <c r="L1267" s="81">
        <f ca="1">IFERROR(__xludf.DUMMYFUNCTION("""COMPUTED_VALUE"""),0)</f>
        <v>0</v>
      </c>
      <c r="M1267" s="81"/>
      <c r="N1267" s="81">
        <f ca="1">IFERROR(__xludf.DUMMYFUNCTION("""COMPUTED_VALUE"""),13.5)</f>
        <v>13.5</v>
      </c>
      <c r="O1267" s="81"/>
      <c r="P1267" s="81">
        <f ca="1">IFERROR(__xludf.DUMMYFUNCTION("""COMPUTED_VALUE"""),9.5)</f>
        <v>9.5</v>
      </c>
      <c r="Q1267" s="81"/>
      <c r="R1267" s="81">
        <f ca="1">IFERROR(__xludf.DUMMYFUNCTION("""COMPUTED_VALUE"""),16.9)</f>
        <v>16.899999999999999</v>
      </c>
      <c r="S1267" s="81"/>
      <c r="T1267" s="81"/>
      <c r="U1267" s="82"/>
      <c r="V1267" s="82"/>
      <c r="W1267" s="83"/>
      <c r="X1267" s="83"/>
      <c r="Y1267" s="83"/>
    </row>
    <row r="1268" spans="1:25" ht="13.8">
      <c r="A1268" s="78" t="str">
        <f ca="1">IFERROR(__xludf.DUMMYFUNCTION("""COMPUTED_VALUE"""),"M")</f>
        <v>M</v>
      </c>
      <c r="B1268" s="79" t="str">
        <f ca="1">IFERROR(__xludf.DUMMYFUNCTION("""COMPUTED_VALUE"""),"Cara Tansy")</f>
        <v>Cara Tansy</v>
      </c>
      <c r="C1268" s="78">
        <f ca="1">IFERROR(__xludf.DUMMYFUNCTION("""COMPUTED_VALUE"""),6)</f>
        <v>6</v>
      </c>
      <c r="D1268" s="78" t="str">
        <f ca="1">IFERROR(__xludf.DUMMYFUNCTION("""COMPUTED_VALUE"""),"G")</f>
        <v>G</v>
      </c>
      <c r="E1268" s="80" t="str">
        <f ca="1">IFERROR(__xludf.DUMMYFUNCTION("""COMPUTED_VALUE"""),"F")</f>
        <v>F</v>
      </c>
      <c r="F1268" s="80" t="str">
        <f ca="1">IFERROR(__xludf.DUMMYFUNCTION("""COMPUTED_VALUE"""),"J")</f>
        <v>J</v>
      </c>
      <c r="G1268" s="80">
        <f ca="1">IFERROR(__xludf.DUMMYFUNCTION("""COMPUTED_VALUE"""),7)</f>
        <v>7</v>
      </c>
      <c r="H1268" s="80" t="str">
        <f ca="1">IFERROR(__xludf.DUMMYFUNCTION("""COMPUTED_VALUE"""),"M")</f>
        <v>M</v>
      </c>
      <c r="I1268" s="80">
        <f ca="1">IFERROR(__xludf.DUMMYFUNCTION("""COMPUTED_VALUE"""),2)</f>
        <v>2</v>
      </c>
      <c r="J1268" s="81">
        <f ca="1">IFERROR(__xludf.DUMMYFUNCTION("""COMPUTED_VALUE"""),0)</f>
        <v>0</v>
      </c>
      <c r="K1268" s="81">
        <f ca="1">IFERROR(__xludf.DUMMYFUNCTION("""COMPUTED_VALUE"""),0)</f>
        <v>0</v>
      </c>
      <c r="L1268" s="81">
        <f ca="1">IFERROR(__xludf.DUMMYFUNCTION("""COMPUTED_VALUE"""),0)</f>
        <v>0</v>
      </c>
      <c r="M1268" s="81"/>
      <c r="N1268" s="81">
        <f ca="1">IFERROR(__xludf.DUMMYFUNCTION("""COMPUTED_VALUE"""),0)</f>
        <v>0</v>
      </c>
      <c r="O1268" s="81"/>
      <c r="P1268" s="81">
        <f ca="1">IFERROR(__xludf.DUMMYFUNCTION("""COMPUTED_VALUE"""),0)</f>
        <v>0</v>
      </c>
      <c r="Q1268" s="81"/>
      <c r="R1268" s="81">
        <f ca="1">IFERROR(__xludf.DUMMYFUNCTION("""COMPUTED_VALUE"""),0)</f>
        <v>0</v>
      </c>
      <c r="S1268" s="81"/>
      <c r="T1268" s="81"/>
      <c r="U1268" s="82"/>
      <c r="V1268" s="82"/>
      <c r="W1268" s="83"/>
      <c r="X1268" s="83"/>
      <c r="Y1268" s="83"/>
    </row>
    <row r="1269" spans="1:25" ht="13.8">
      <c r="A1269" s="78" t="str">
        <f ca="1">IFERROR(__xludf.DUMMYFUNCTION("""COMPUTED_VALUE"""),"M")</f>
        <v>M</v>
      </c>
      <c r="B1269" s="79" t="str">
        <f ca="1">IFERROR(__xludf.DUMMYFUNCTION("""COMPUTED_VALUE"""),"Juliet Tetreault")</f>
        <v>Juliet Tetreault</v>
      </c>
      <c r="C1269" s="78">
        <f ca="1">IFERROR(__xludf.DUMMYFUNCTION("""COMPUTED_VALUE"""),8)</f>
        <v>8</v>
      </c>
      <c r="D1269" s="78" t="str">
        <f ca="1">IFERROR(__xludf.DUMMYFUNCTION("""COMPUTED_VALUE"""),"G")</f>
        <v>G</v>
      </c>
      <c r="E1269" s="80" t="str">
        <f ca="1">IFERROR(__xludf.DUMMYFUNCTION("""COMPUTED_VALUE"""),"F")</f>
        <v>F</v>
      </c>
      <c r="F1269" s="80" t="str">
        <f ca="1">IFERROR(__xludf.DUMMYFUNCTION("""COMPUTED_VALUE"""),"J")</f>
        <v>J</v>
      </c>
      <c r="G1269" s="80">
        <f ca="1">IFERROR(__xludf.DUMMYFUNCTION("""COMPUTED_VALUE"""),7)</f>
        <v>7</v>
      </c>
      <c r="H1269" s="80" t="str">
        <f ca="1">IFERROR(__xludf.DUMMYFUNCTION("""COMPUTED_VALUE"""),"M")</f>
        <v>M</v>
      </c>
      <c r="I1269" s="80">
        <f ca="1">IFERROR(__xludf.DUMMYFUNCTION("""COMPUTED_VALUE"""),2)</f>
        <v>2</v>
      </c>
      <c r="J1269" s="81">
        <f ca="1">IFERROR(__xludf.DUMMYFUNCTION("""COMPUTED_VALUE"""),5)</f>
        <v>5</v>
      </c>
      <c r="K1269" s="81">
        <f ca="1">IFERROR(__xludf.DUMMYFUNCTION("""COMPUTED_VALUE"""),40.6)</f>
        <v>40.6</v>
      </c>
      <c r="L1269" s="81">
        <f ca="1">IFERROR(__xludf.DUMMYFUNCTION("""COMPUTED_VALUE"""),28.1)</f>
        <v>28.1</v>
      </c>
      <c r="M1269" s="81"/>
      <c r="N1269" s="81">
        <f ca="1">IFERROR(__xludf.DUMMYFUNCTION("""COMPUTED_VALUE"""),36.45)</f>
        <v>36.450000000000003</v>
      </c>
      <c r="O1269" s="81"/>
      <c r="P1269" s="81">
        <f ca="1">IFERROR(__xludf.DUMMYFUNCTION("""COMPUTED_VALUE"""),34.75)</f>
        <v>34.75</v>
      </c>
      <c r="Q1269" s="81"/>
      <c r="R1269" s="81">
        <f ca="1">IFERROR(__xludf.DUMMYFUNCTION("""COMPUTED_VALUE"""),40.6)</f>
        <v>40.6</v>
      </c>
      <c r="S1269" s="81"/>
      <c r="T1269" s="81"/>
      <c r="U1269" s="82"/>
      <c r="V1269" s="82"/>
      <c r="W1269" s="83"/>
      <c r="X1269" s="83"/>
      <c r="Y1269" s="83"/>
    </row>
    <row r="1270" spans="1:25" ht="13.8">
      <c r="A1270" s="78" t="str">
        <f ca="1">IFERROR(__xludf.DUMMYFUNCTION("""COMPUTED_VALUE"""),"M")</f>
        <v>M</v>
      </c>
      <c r="B1270" s="79" t="str">
        <f ca="1">IFERROR(__xludf.DUMMYFUNCTION("""COMPUTED_VALUE"""),"Leila White")</f>
        <v>Leila White</v>
      </c>
      <c r="C1270" s="78">
        <f ca="1">IFERROR(__xludf.DUMMYFUNCTION("""COMPUTED_VALUE"""),7)</f>
        <v>7</v>
      </c>
      <c r="D1270" s="78" t="str">
        <f ca="1">IFERROR(__xludf.DUMMYFUNCTION("""COMPUTED_VALUE"""),"G")</f>
        <v>G</v>
      </c>
      <c r="E1270" s="80" t="str">
        <f ca="1">IFERROR(__xludf.DUMMYFUNCTION("""COMPUTED_VALUE"""),"F")</f>
        <v>F</v>
      </c>
      <c r="F1270" s="80" t="str">
        <f ca="1">IFERROR(__xludf.DUMMYFUNCTION("""COMPUTED_VALUE"""),"J")</f>
        <v>J</v>
      </c>
      <c r="G1270" s="80">
        <f ca="1">IFERROR(__xludf.DUMMYFUNCTION("""COMPUTED_VALUE"""),7)</f>
        <v>7</v>
      </c>
      <c r="H1270" s="80" t="str">
        <f ca="1">IFERROR(__xludf.DUMMYFUNCTION("""COMPUTED_VALUE"""),"M")</f>
        <v>M</v>
      </c>
      <c r="I1270" s="80">
        <f ca="1">IFERROR(__xludf.DUMMYFUNCTION("""COMPUTED_VALUE"""),2)</f>
        <v>2</v>
      </c>
      <c r="J1270" s="81">
        <f ca="1">IFERROR(__xludf.DUMMYFUNCTION("""COMPUTED_VALUE"""),4)</f>
        <v>4</v>
      </c>
      <c r="K1270" s="81">
        <f ca="1">IFERROR(__xludf.DUMMYFUNCTION("""COMPUTED_VALUE"""),36.85)</f>
        <v>36.85</v>
      </c>
      <c r="L1270" s="81">
        <f ca="1">IFERROR(__xludf.DUMMYFUNCTION("""COMPUTED_VALUE"""),36.85)</f>
        <v>36.85</v>
      </c>
      <c r="M1270" s="81"/>
      <c r="N1270" s="81">
        <f ca="1">IFERROR(__xludf.DUMMYFUNCTION("""COMPUTED_VALUE"""),34.45)</f>
        <v>34.450000000000003</v>
      </c>
      <c r="O1270" s="81"/>
      <c r="P1270" s="81">
        <f ca="1">IFERROR(__xludf.DUMMYFUNCTION("""COMPUTED_VALUE"""),30.8)</f>
        <v>30.8</v>
      </c>
      <c r="Q1270" s="81"/>
      <c r="R1270" s="81">
        <f ca="1">IFERROR(__xludf.DUMMYFUNCTION("""COMPUTED_VALUE"""),30.5)</f>
        <v>30.5</v>
      </c>
      <c r="S1270" s="81"/>
      <c r="T1270" s="81"/>
      <c r="U1270" s="82"/>
      <c r="V1270" s="82"/>
      <c r="W1270" s="83"/>
      <c r="X1270" s="83"/>
      <c r="Y1270" s="83"/>
    </row>
    <row r="1271" spans="1:25" ht="13.8">
      <c r="A1271" s="78" t="str">
        <f ca="1">IFERROR(__xludf.DUMMYFUNCTION("""COMPUTED_VALUE"""),"M")</f>
        <v>M</v>
      </c>
      <c r="B1271" s="79" t="str">
        <f ca="1">IFERROR(__xludf.DUMMYFUNCTION("""COMPUTED_VALUE"""),"Emily Wills")</f>
        <v>Emily Wills</v>
      </c>
      <c r="C1271" s="78">
        <f ca="1">IFERROR(__xludf.DUMMYFUNCTION("""COMPUTED_VALUE"""),9)</f>
        <v>9</v>
      </c>
      <c r="D1271" s="78" t="str">
        <f ca="1">IFERROR(__xludf.DUMMYFUNCTION("""COMPUTED_VALUE"""),"G")</f>
        <v>G</v>
      </c>
      <c r="E1271" s="80" t="str">
        <f ca="1">IFERROR(__xludf.DUMMYFUNCTION("""COMPUTED_VALUE"""),"F")</f>
        <v>F</v>
      </c>
      <c r="F1271" s="80" t="str">
        <f ca="1">IFERROR(__xludf.DUMMYFUNCTION("""COMPUTED_VALUE"""),"J")</f>
        <v>J</v>
      </c>
      <c r="G1271" s="80">
        <f ca="1">IFERROR(__xludf.DUMMYFUNCTION("""COMPUTED_VALUE"""),7)</f>
        <v>7</v>
      </c>
      <c r="H1271" s="80" t="str">
        <f ca="1">IFERROR(__xludf.DUMMYFUNCTION("""COMPUTED_VALUE"""),"M")</f>
        <v>M</v>
      </c>
      <c r="I1271" s="80">
        <f ca="1">IFERROR(__xludf.DUMMYFUNCTION("""COMPUTED_VALUE"""),2)</f>
        <v>2</v>
      </c>
      <c r="J1271" s="81">
        <f ca="1">IFERROR(__xludf.DUMMYFUNCTION("""COMPUTED_VALUE"""),3)</f>
        <v>3</v>
      </c>
      <c r="K1271" s="81">
        <f ca="1">IFERROR(__xludf.DUMMYFUNCTION("""COMPUTED_VALUE"""),32.6)</f>
        <v>32.6</v>
      </c>
      <c r="L1271" s="81">
        <f ca="1">IFERROR(__xludf.DUMMYFUNCTION("""COMPUTED_VALUE"""),29.05)</f>
        <v>29.05</v>
      </c>
      <c r="M1271" s="81"/>
      <c r="N1271" s="81">
        <f ca="1">IFERROR(__xludf.DUMMYFUNCTION("""COMPUTED_VALUE"""),32.6)</f>
        <v>32.6</v>
      </c>
      <c r="O1271" s="81"/>
      <c r="P1271" s="81">
        <f ca="1">IFERROR(__xludf.DUMMYFUNCTION("""COMPUTED_VALUE"""),22.85)</f>
        <v>22.85</v>
      </c>
      <c r="Q1271" s="81"/>
      <c r="R1271" s="81">
        <f ca="1">IFERROR(__xludf.DUMMYFUNCTION("""COMPUTED_VALUE"""),0)</f>
        <v>0</v>
      </c>
      <c r="S1271" s="81"/>
      <c r="T1271" s="81"/>
      <c r="U1271" s="82"/>
      <c r="V1271" s="82"/>
      <c r="W1271" s="83"/>
      <c r="X1271" s="83"/>
      <c r="Y1271" s="83"/>
    </row>
    <row r="1272" spans="1:25" ht="13.8">
      <c r="A1272" s="78" t="str">
        <f ca="1">IFERROR(__xludf.DUMMYFUNCTION("""COMPUTED_VALUE"""),"M")</f>
        <v>M</v>
      </c>
      <c r="B1272" s="79" t="str">
        <f ca="1">IFERROR(__xludf.DUMMYFUNCTION("""COMPUTED_VALUE"""),"Grant Evonuk")</f>
        <v>Grant Evonuk</v>
      </c>
      <c r="C1272" s="78">
        <f ca="1">IFERROR(__xludf.DUMMYFUNCTION("""COMPUTED_VALUE"""),9)</f>
        <v>9</v>
      </c>
      <c r="D1272" s="78" t="str">
        <f ca="1">IFERROR(__xludf.DUMMYFUNCTION("""COMPUTED_VALUE"""),"B")</f>
        <v>B</v>
      </c>
      <c r="E1272" s="80" t="str">
        <f ca="1">IFERROR(__xludf.DUMMYFUNCTION("""COMPUTED_VALUE"""),"F")</f>
        <v>F</v>
      </c>
      <c r="F1272" s="80" t="str">
        <f ca="1">IFERROR(__xludf.DUMMYFUNCTION("""COMPUTED_VALUE"""),"J")</f>
        <v>J</v>
      </c>
      <c r="G1272" s="80">
        <f ca="1">IFERROR(__xludf.DUMMYFUNCTION("""COMPUTED_VALUE"""),7)</f>
        <v>7</v>
      </c>
      <c r="H1272" s="80" t="str">
        <f ca="1">IFERROR(__xludf.DUMMYFUNCTION("""COMPUTED_VALUE"""),"M")</f>
        <v>M</v>
      </c>
      <c r="I1272" s="80">
        <f ca="1">IFERROR(__xludf.DUMMYFUNCTION("""COMPUTED_VALUE"""),3)</f>
        <v>3</v>
      </c>
      <c r="J1272" s="81">
        <f ca="1">IFERROR(__xludf.DUMMYFUNCTION("""COMPUTED_VALUE"""),4)</f>
        <v>4</v>
      </c>
      <c r="K1272" s="81">
        <f ca="1">IFERROR(__xludf.DUMMYFUNCTION("""COMPUTED_VALUE"""),54.8)</f>
        <v>54.8</v>
      </c>
      <c r="L1272" s="81">
        <f ca="1">IFERROR(__xludf.DUMMYFUNCTION("""COMPUTED_VALUE"""),44.15)</f>
        <v>44.15</v>
      </c>
      <c r="M1272" s="81"/>
      <c r="N1272" s="81">
        <f ca="1">IFERROR(__xludf.DUMMYFUNCTION("""COMPUTED_VALUE"""),0)</f>
        <v>0</v>
      </c>
      <c r="O1272" s="81"/>
      <c r="P1272" s="81">
        <f ca="1">IFERROR(__xludf.DUMMYFUNCTION("""COMPUTED_VALUE"""),54.8)</f>
        <v>54.8</v>
      </c>
      <c r="Q1272" s="81"/>
      <c r="R1272" s="81">
        <f ca="1">IFERROR(__xludf.DUMMYFUNCTION("""COMPUTED_VALUE"""),-72.1)</f>
        <v>-72.099999999999994</v>
      </c>
      <c r="S1272" s="81"/>
      <c r="T1272" s="81"/>
      <c r="U1272" s="82"/>
      <c r="V1272" s="82"/>
      <c r="W1272" s="83"/>
      <c r="X1272" s="83"/>
      <c r="Y1272" s="83"/>
    </row>
    <row r="1273" spans="1:25" ht="13.8">
      <c r="A1273" s="78" t="str">
        <f ca="1">IFERROR(__xludf.DUMMYFUNCTION("""COMPUTED_VALUE"""),"M")</f>
        <v>M</v>
      </c>
      <c r="B1273" s="79" t="str">
        <f ca="1">IFERROR(__xludf.DUMMYFUNCTION("""COMPUTED_VALUE"""),"Nicolas Hill")</f>
        <v>Nicolas Hill</v>
      </c>
      <c r="C1273" s="78">
        <f ca="1">IFERROR(__xludf.DUMMYFUNCTION("""COMPUTED_VALUE"""),9)</f>
        <v>9</v>
      </c>
      <c r="D1273" s="78" t="str">
        <f ca="1">IFERROR(__xludf.DUMMYFUNCTION("""COMPUTED_VALUE"""),"B")</f>
        <v>B</v>
      </c>
      <c r="E1273" s="80" t="str">
        <f ca="1">IFERROR(__xludf.DUMMYFUNCTION("""COMPUTED_VALUE"""),"F")</f>
        <v>F</v>
      </c>
      <c r="F1273" s="80" t="str">
        <f ca="1">IFERROR(__xludf.DUMMYFUNCTION("""COMPUTED_VALUE"""),"J")</f>
        <v>J</v>
      </c>
      <c r="G1273" s="80">
        <f ca="1">IFERROR(__xludf.DUMMYFUNCTION("""COMPUTED_VALUE"""),7)</f>
        <v>7</v>
      </c>
      <c r="H1273" s="80" t="str">
        <f ca="1">IFERROR(__xludf.DUMMYFUNCTION("""COMPUTED_VALUE"""),"M")</f>
        <v>M</v>
      </c>
      <c r="I1273" s="80">
        <f ca="1">IFERROR(__xludf.DUMMYFUNCTION("""COMPUTED_VALUE"""),3)</f>
        <v>3</v>
      </c>
      <c r="J1273" s="81">
        <f ca="1">IFERROR(__xludf.DUMMYFUNCTION("""COMPUTED_VALUE"""),5)</f>
        <v>5</v>
      </c>
      <c r="K1273" s="81">
        <f ca="1">IFERROR(__xludf.DUMMYFUNCTION("""COMPUTED_VALUE"""),33.9)</f>
        <v>33.9</v>
      </c>
      <c r="L1273" s="81">
        <f ca="1">IFERROR(__xludf.DUMMYFUNCTION("""COMPUTED_VALUE"""),30.25)</f>
        <v>30.25</v>
      </c>
      <c r="M1273" s="81"/>
      <c r="N1273" s="81">
        <f ca="1">IFERROR(__xludf.DUMMYFUNCTION("""COMPUTED_VALUE"""),27.15)</f>
        <v>27.15</v>
      </c>
      <c r="O1273" s="81"/>
      <c r="P1273" s="81">
        <f ca="1">IFERROR(__xludf.DUMMYFUNCTION("""COMPUTED_VALUE"""),25.65)</f>
        <v>25.65</v>
      </c>
      <c r="Q1273" s="81"/>
      <c r="R1273" s="81">
        <f ca="1">IFERROR(__xludf.DUMMYFUNCTION("""COMPUTED_VALUE"""),33.9)</f>
        <v>33.9</v>
      </c>
      <c r="S1273" s="81"/>
      <c r="T1273" s="81"/>
      <c r="U1273" s="82"/>
      <c r="V1273" s="82"/>
      <c r="W1273" s="83"/>
      <c r="X1273" s="83"/>
      <c r="Y1273" s="83"/>
    </row>
    <row r="1274" spans="1:25" ht="13.8">
      <c r="A1274" s="78" t="str">
        <f ca="1">IFERROR(__xludf.DUMMYFUNCTION("""COMPUTED_VALUE"""),"M")</f>
        <v>M</v>
      </c>
      <c r="B1274" s="79" t="str">
        <f ca="1">IFERROR(__xludf.DUMMYFUNCTION("""COMPUTED_VALUE"""),"Max Molina Weir")</f>
        <v>Max Molina Weir</v>
      </c>
      <c r="C1274" s="78">
        <f ca="1">IFERROR(__xludf.DUMMYFUNCTION("""COMPUTED_VALUE"""),9)</f>
        <v>9</v>
      </c>
      <c r="D1274" s="78" t="str">
        <f ca="1">IFERROR(__xludf.DUMMYFUNCTION("""COMPUTED_VALUE"""),"B")</f>
        <v>B</v>
      </c>
      <c r="E1274" s="80" t="str">
        <f ca="1">IFERROR(__xludf.DUMMYFUNCTION("""COMPUTED_VALUE"""),"F")</f>
        <v>F</v>
      </c>
      <c r="F1274" s="80" t="str">
        <f ca="1">IFERROR(__xludf.DUMMYFUNCTION("""COMPUTED_VALUE"""),"J")</f>
        <v>J</v>
      </c>
      <c r="G1274" s="80">
        <f ca="1">IFERROR(__xludf.DUMMYFUNCTION("""COMPUTED_VALUE"""),7)</f>
        <v>7</v>
      </c>
      <c r="H1274" s="80" t="str">
        <f ca="1">IFERROR(__xludf.DUMMYFUNCTION("""COMPUTED_VALUE"""),"M")</f>
        <v>M</v>
      </c>
      <c r="I1274" s="80">
        <f ca="1">IFERROR(__xludf.DUMMYFUNCTION("""COMPUTED_VALUE"""),3)</f>
        <v>3</v>
      </c>
      <c r="J1274" s="81">
        <f ca="1">IFERROR(__xludf.DUMMYFUNCTION("""COMPUTED_VALUE"""),5)</f>
        <v>5</v>
      </c>
      <c r="K1274" s="81">
        <f ca="1">IFERROR(__xludf.DUMMYFUNCTION("""COMPUTED_VALUE"""),35.55)</f>
        <v>35.549999999999997</v>
      </c>
      <c r="L1274" s="81">
        <f ca="1">IFERROR(__xludf.DUMMYFUNCTION("""COMPUTED_VALUE"""),32.3)</f>
        <v>32.299999999999997</v>
      </c>
      <c r="M1274" s="81"/>
      <c r="N1274" s="81">
        <f ca="1">IFERROR(__xludf.DUMMYFUNCTION("""COMPUTED_VALUE"""),35.55)</f>
        <v>35.549999999999997</v>
      </c>
      <c r="O1274" s="81"/>
      <c r="P1274" s="81">
        <f ca="1">IFERROR(__xludf.DUMMYFUNCTION("""COMPUTED_VALUE"""),27.35)</f>
        <v>27.35</v>
      </c>
      <c r="Q1274" s="81"/>
      <c r="R1274" s="81">
        <f ca="1">IFERROR(__xludf.DUMMYFUNCTION("""COMPUTED_VALUE"""),35.3)</f>
        <v>35.299999999999997</v>
      </c>
      <c r="S1274" s="81"/>
      <c r="T1274" s="81"/>
      <c r="U1274" s="82"/>
      <c r="V1274" s="82"/>
      <c r="W1274" s="83"/>
      <c r="X1274" s="83"/>
      <c r="Y1274" s="83"/>
    </row>
    <row r="1275" spans="1:25" ht="13.8">
      <c r="A1275" s="78" t="str">
        <f ca="1">IFERROR(__xludf.DUMMYFUNCTION("""COMPUTED_VALUE"""),"M")</f>
        <v>M</v>
      </c>
      <c r="B1275" s="79" t="str">
        <f ca="1">IFERROR(__xludf.DUMMYFUNCTION("""COMPUTED_VALUE"""),"Owen Molina Weir")</f>
        <v>Owen Molina Weir</v>
      </c>
      <c r="C1275" s="78">
        <f ca="1">IFERROR(__xludf.DUMMYFUNCTION("""COMPUTED_VALUE"""),9)</f>
        <v>9</v>
      </c>
      <c r="D1275" s="78" t="str">
        <f ca="1">IFERROR(__xludf.DUMMYFUNCTION("""COMPUTED_VALUE"""),"B")</f>
        <v>B</v>
      </c>
      <c r="E1275" s="80" t="str">
        <f ca="1">IFERROR(__xludf.DUMMYFUNCTION("""COMPUTED_VALUE"""),"F")</f>
        <v>F</v>
      </c>
      <c r="F1275" s="80" t="str">
        <f ca="1">IFERROR(__xludf.DUMMYFUNCTION("""COMPUTED_VALUE"""),"J")</f>
        <v>J</v>
      </c>
      <c r="G1275" s="80">
        <f ca="1">IFERROR(__xludf.DUMMYFUNCTION("""COMPUTED_VALUE"""),7)</f>
        <v>7</v>
      </c>
      <c r="H1275" s="80" t="str">
        <f ca="1">IFERROR(__xludf.DUMMYFUNCTION("""COMPUTED_VALUE"""),"M")</f>
        <v>M</v>
      </c>
      <c r="I1275" s="80">
        <f ca="1">IFERROR(__xludf.DUMMYFUNCTION("""COMPUTED_VALUE"""),3)</f>
        <v>3</v>
      </c>
      <c r="J1275" s="81">
        <f ca="1">IFERROR(__xludf.DUMMYFUNCTION("""COMPUTED_VALUE"""),5)</f>
        <v>5</v>
      </c>
      <c r="K1275" s="81">
        <f ca="1">IFERROR(__xludf.DUMMYFUNCTION("""COMPUTED_VALUE"""),50.3)</f>
        <v>50.3</v>
      </c>
      <c r="L1275" s="81">
        <f ca="1">IFERROR(__xludf.DUMMYFUNCTION("""COMPUTED_VALUE"""),34.9)</f>
        <v>34.9</v>
      </c>
      <c r="M1275" s="81"/>
      <c r="N1275" s="81">
        <f ca="1">IFERROR(__xludf.DUMMYFUNCTION("""COMPUTED_VALUE"""),32)</f>
        <v>32</v>
      </c>
      <c r="O1275" s="81"/>
      <c r="P1275" s="81">
        <f ca="1">IFERROR(__xludf.DUMMYFUNCTION("""COMPUTED_VALUE"""),-58.85)</f>
        <v>-58.85</v>
      </c>
      <c r="Q1275" s="81"/>
      <c r="R1275" s="81">
        <f ca="1">IFERROR(__xludf.DUMMYFUNCTION("""COMPUTED_VALUE"""),50.3)</f>
        <v>50.3</v>
      </c>
      <c r="S1275" s="81"/>
      <c r="T1275" s="81"/>
      <c r="U1275" s="82"/>
      <c r="V1275" s="82"/>
      <c r="W1275" s="83"/>
      <c r="X1275" s="83"/>
      <c r="Y1275" s="83"/>
    </row>
    <row r="1276" spans="1:25" ht="13.8">
      <c r="A1276" s="78" t="str">
        <f ca="1">IFERROR(__xludf.DUMMYFUNCTION("""COMPUTED_VALUE"""),"M")</f>
        <v>M</v>
      </c>
      <c r="B1276" s="79" t="str">
        <f ca="1">IFERROR(__xludf.DUMMYFUNCTION("""COMPUTED_VALUE"""),"Merrick Nicoll")</f>
        <v>Merrick Nicoll</v>
      </c>
      <c r="C1276" s="78">
        <f ca="1">IFERROR(__xludf.DUMMYFUNCTION("""COMPUTED_VALUE"""),9)</f>
        <v>9</v>
      </c>
      <c r="D1276" s="78" t="str">
        <f ca="1">IFERROR(__xludf.DUMMYFUNCTION("""COMPUTED_VALUE"""),"B")</f>
        <v>B</v>
      </c>
      <c r="E1276" s="80" t="str">
        <f ca="1">IFERROR(__xludf.DUMMYFUNCTION("""COMPUTED_VALUE"""),"F")</f>
        <v>F</v>
      </c>
      <c r="F1276" s="80" t="str">
        <f ca="1">IFERROR(__xludf.DUMMYFUNCTION("""COMPUTED_VALUE"""),"J")</f>
        <v>J</v>
      </c>
      <c r="G1276" s="80">
        <f ca="1">IFERROR(__xludf.DUMMYFUNCTION("""COMPUTED_VALUE"""),7)</f>
        <v>7</v>
      </c>
      <c r="H1276" s="80" t="str">
        <f ca="1">IFERROR(__xludf.DUMMYFUNCTION("""COMPUTED_VALUE"""),"M")</f>
        <v>M</v>
      </c>
      <c r="I1276" s="80">
        <f ca="1">IFERROR(__xludf.DUMMYFUNCTION("""COMPUTED_VALUE"""),3)</f>
        <v>3</v>
      </c>
      <c r="J1276" s="81">
        <f ca="1">IFERROR(__xludf.DUMMYFUNCTION("""COMPUTED_VALUE"""),1)</f>
        <v>1</v>
      </c>
      <c r="K1276" s="81">
        <f ca="1">IFERROR(__xludf.DUMMYFUNCTION("""COMPUTED_VALUE"""),0)</f>
        <v>0</v>
      </c>
      <c r="L1276" s="81">
        <f ca="1">IFERROR(__xludf.DUMMYFUNCTION("""COMPUTED_VALUE"""),0)</f>
        <v>0</v>
      </c>
      <c r="M1276" s="81"/>
      <c r="N1276" s="81">
        <f ca="1">IFERROR(__xludf.DUMMYFUNCTION("""COMPUTED_VALUE"""),0)</f>
        <v>0</v>
      </c>
      <c r="O1276" s="81"/>
      <c r="P1276" s="81">
        <f ca="1">IFERROR(__xludf.DUMMYFUNCTION("""COMPUTED_VALUE"""),0)</f>
        <v>0</v>
      </c>
      <c r="Q1276" s="81"/>
      <c r="R1276" s="81">
        <f ca="1">IFERROR(__xludf.DUMMYFUNCTION("""COMPUTED_VALUE"""),0)</f>
        <v>0</v>
      </c>
      <c r="S1276" s="81"/>
      <c r="T1276" s="81"/>
      <c r="U1276" s="82"/>
      <c r="V1276" s="82"/>
      <c r="W1276" s="83"/>
      <c r="X1276" s="83"/>
      <c r="Y1276" s="83"/>
    </row>
    <row r="1277" spans="1:25" ht="13.8">
      <c r="A1277" s="78" t="str">
        <f ca="1">IFERROR(__xludf.DUMMYFUNCTION("""COMPUTED_VALUE"""),"M")</f>
        <v>M</v>
      </c>
      <c r="B1277" s="79" t="str">
        <f ca="1">IFERROR(__xludf.DUMMYFUNCTION("""COMPUTED_VALUE"""),"Liam Redington")</f>
        <v>Liam Redington</v>
      </c>
      <c r="C1277" s="78">
        <f ca="1">IFERROR(__xludf.DUMMYFUNCTION("""COMPUTED_VALUE"""),6)</f>
        <v>6</v>
      </c>
      <c r="D1277" s="78" t="str">
        <f ca="1">IFERROR(__xludf.DUMMYFUNCTION("""COMPUTED_VALUE"""),"B")</f>
        <v>B</v>
      </c>
      <c r="E1277" s="80" t="str">
        <f ca="1">IFERROR(__xludf.DUMMYFUNCTION("""COMPUTED_VALUE"""),"F")</f>
        <v>F</v>
      </c>
      <c r="F1277" s="80" t="str">
        <f ca="1">IFERROR(__xludf.DUMMYFUNCTION("""COMPUTED_VALUE"""),"J")</f>
        <v>J</v>
      </c>
      <c r="G1277" s="80">
        <f ca="1">IFERROR(__xludf.DUMMYFUNCTION("""COMPUTED_VALUE"""),7)</f>
        <v>7</v>
      </c>
      <c r="H1277" s="80" t="str">
        <f ca="1">IFERROR(__xludf.DUMMYFUNCTION("""COMPUTED_VALUE"""),"M")</f>
        <v>M</v>
      </c>
      <c r="I1277" s="80">
        <f ca="1">IFERROR(__xludf.DUMMYFUNCTION("""COMPUTED_VALUE"""),3)</f>
        <v>3</v>
      </c>
      <c r="J1277" s="81">
        <f ca="1">IFERROR(__xludf.DUMMYFUNCTION("""COMPUTED_VALUE"""),4)</f>
        <v>4</v>
      </c>
      <c r="K1277" s="81">
        <f ca="1">IFERROR(__xludf.DUMMYFUNCTION("""COMPUTED_VALUE"""),28.1)</f>
        <v>28.1</v>
      </c>
      <c r="L1277" s="81">
        <f ca="1">IFERROR(__xludf.DUMMYFUNCTION("""COMPUTED_VALUE"""),0)</f>
        <v>0</v>
      </c>
      <c r="M1277" s="81"/>
      <c r="N1277" s="81">
        <f ca="1">IFERROR(__xludf.DUMMYFUNCTION("""COMPUTED_VALUE"""),23.4)</f>
        <v>23.4</v>
      </c>
      <c r="O1277" s="81"/>
      <c r="P1277" s="81">
        <f ca="1">IFERROR(__xludf.DUMMYFUNCTION("""COMPUTED_VALUE"""),28.1)</f>
        <v>28.1</v>
      </c>
      <c r="Q1277" s="81"/>
      <c r="R1277" s="81">
        <f ca="1">IFERROR(__xludf.DUMMYFUNCTION("""COMPUTED_VALUE"""),22.5)</f>
        <v>22.5</v>
      </c>
      <c r="S1277" s="81"/>
      <c r="T1277" s="81"/>
      <c r="U1277" s="82"/>
      <c r="V1277" s="82"/>
      <c r="W1277" s="83"/>
      <c r="X1277" s="83"/>
      <c r="Y1277" s="83"/>
    </row>
    <row r="1278" spans="1:25" ht="13.8">
      <c r="A1278" s="78" t="str">
        <f ca="1">IFERROR(__xludf.DUMMYFUNCTION("""COMPUTED_VALUE"""),"M")</f>
        <v>M</v>
      </c>
      <c r="B1278" s="79" t="str">
        <f ca="1">IFERROR(__xludf.DUMMYFUNCTION("""COMPUTED_VALUE"""),"Gavin Taylor")</f>
        <v>Gavin Taylor</v>
      </c>
      <c r="C1278" s="78">
        <f ca="1">IFERROR(__xludf.DUMMYFUNCTION("""COMPUTED_VALUE"""),9)</f>
        <v>9</v>
      </c>
      <c r="D1278" s="78" t="str">
        <f ca="1">IFERROR(__xludf.DUMMYFUNCTION("""COMPUTED_VALUE"""),"B")</f>
        <v>B</v>
      </c>
      <c r="E1278" s="80" t="str">
        <f ca="1">IFERROR(__xludf.DUMMYFUNCTION("""COMPUTED_VALUE"""),"F")</f>
        <v>F</v>
      </c>
      <c r="F1278" s="80" t="str">
        <f ca="1">IFERROR(__xludf.DUMMYFUNCTION("""COMPUTED_VALUE"""),"J")</f>
        <v>J</v>
      </c>
      <c r="G1278" s="80">
        <f ca="1">IFERROR(__xludf.DUMMYFUNCTION("""COMPUTED_VALUE"""),7)</f>
        <v>7</v>
      </c>
      <c r="H1278" s="80" t="str">
        <f ca="1">IFERROR(__xludf.DUMMYFUNCTION("""COMPUTED_VALUE"""),"M")</f>
        <v>M</v>
      </c>
      <c r="I1278" s="80">
        <f ca="1">IFERROR(__xludf.DUMMYFUNCTION("""COMPUTED_VALUE"""),3)</f>
        <v>3</v>
      </c>
      <c r="J1278" s="81">
        <f ca="1">IFERROR(__xludf.DUMMYFUNCTION("""COMPUTED_VALUE"""),0)</f>
        <v>0</v>
      </c>
      <c r="K1278" s="81">
        <f ca="1">IFERROR(__xludf.DUMMYFUNCTION("""COMPUTED_VALUE"""),0)</f>
        <v>0</v>
      </c>
      <c r="L1278" s="81">
        <f ca="1">IFERROR(__xludf.DUMMYFUNCTION("""COMPUTED_VALUE"""),0)</f>
        <v>0</v>
      </c>
      <c r="M1278" s="81"/>
      <c r="N1278" s="81">
        <f ca="1">IFERROR(__xludf.DUMMYFUNCTION("""COMPUTED_VALUE"""),0)</f>
        <v>0</v>
      </c>
      <c r="O1278" s="81"/>
      <c r="P1278" s="81">
        <f ca="1">IFERROR(__xludf.DUMMYFUNCTION("""COMPUTED_VALUE"""),0)</f>
        <v>0</v>
      </c>
      <c r="Q1278" s="81"/>
      <c r="R1278" s="81">
        <f ca="1">IFERROR(__xludf.DUMMYFUNCTION("""COMPUTED_VALUE"""),0)</f>
        <v>0</v>
      </c>
      <c r="S1278" s="81"/>
      <c r="T1278" s="81"/>
      <c r="U1278" s="82"/>
      <c r="V1278" s="82"/>
      <c r="W1278" s="83"/>
      <c r="X1278" s="83"/>
      <c r="Y1278" s="83"/>
    </row>
    <row r="1279" spans="1:25" ht="13.8">
      <c r="A1279" s="78" t="str">
        <f ca="1">IFERROR(__xludf.DUMMYFUNCTION("""COMPUTED_VALUE"""),"M")</f>
        <v>M</v>
      </c>
      <c r="B1279" s="79" t="str">
        <f ca="1">IFERROR(__xludf.DUMMYFUNCTION("""COMPUTED_VALUE"""),"Jayden Taylor")</f>
        <v>Jayden Taylor</v>
      </c>
      <c r="C1279" s="78">
        <f ca="1">IFERROR(__xludf.DUMMYFUNCTION("""COMPUTED_VALUE"""),8)</f>
        <v>8</v>
      </c>
      <c r="D1279" s="78" t="str">
        <f ca="1">IFERROR(__xludf.DUMMYFUNCTION("""COMPUTED_VALUE"""),"B")</f>
        <v>B</v>
      </c>
      <c r="E1279" s="80" t="str">
        <f ca="1">IFERROR(__xludf.DUMMYFUNCTION("""COMPUTED_VALUE"""),"F")</f>
        <v>F</v>
      </c>
      <c r="F1279" s="80" t="str">
        <f ca="1">IFERROR(__xludf.DUMMYFUNCTION("""COMPUTED_VALUE"""),"J")</f>
        <v>J</v>
      </c>
      <c r="G1279" s="80">
        <f ca="1">IFERROR(__xludf.DUMMYFUNCTION("""COMPUTED_VALUE"""),7)</f>
        <v>7</v>
      </c>
      <c r="H1279" s="80" t="str">
        <f ca="1">IFERROR(__xludf.DUMMYFUNCTION("""COMPUTED_VALUE"""),"M")</f>
        <v>M</v>
      </c>
      <c r="I1279" s="80">
        <f ca="1">IFERROR(__xludf.DUMMYFUNCTION("""COMPUTED_VALUE"""),3)</f>
        <v>3</v>
      </c>
      <c r="J1279" s="81">
        <f ca="1">IFERROR(__xludf.DUMMYFUNCTION("""COMPUTED_VALUE"""),0)</f>
        <v>0</v>
      </c>
      <c r="K1279" s="81">
        <f ca="1">IFERROR(__xludf.DUMMYFUNCTION("""COMPUTED_VALUE"""),0)</f>
        <v>0</v>
      </c>
      <c r="L1279" s="81">
        <f ca="1">IFERROR(__xludf.DUMMYFUNCTION("""COMPUTED_VALUE"""),0)</f>
        <v>0</v>
      </c>
      <c r="M1279" s="81"/>
      <c r="N1279" s="81">
        <f ca="1">IFERROR(__xludf.DUMMYFUNCTION("""COMPUTED_VALUE"""),0)</f>
        <v>0</v>
      </c>
      <c r="O1279" s="81"/>
      <c r="P1279" s="81">
        <f ca="1">IFERROR(__xludf.DUMMYFUNCTION("""COMPUTED_VALUE"""),0)</f>
        <v>0</v>
      </c>
      <c r="Q1279" s="81"/>
      <c r="R1279" s="81">
        <f ca="1">IFERROR(__xludf.DUMMYFUNCTION("""COMPUTED_VALUE"""),0)</f>
        <v>0</v>
      </c>
      <c r="S1279" s="81"/>
      <c r="T1279" s="81"/>
      <c r="U1279" s="82"/>
      <c r="V1279" s="82"/>
      <c r="W1279" s="83"/>
      <c r="X1279" s="83"/>
      <c r="Y1279" s="83"/>
    </row>
    <row r="1280" spans="1:25" ht="13.8">
      <c r="A1280" s="78" t="str">
        <f ca="1">IFERROR(__xludf.DUMMYFUNCTION("""COMPUTED_VALUE"""),"M")</f>
        <v>M</v>
      </c>
      <c r="B1280" s="79" t="str">
        <f ca="1">IFERROR(__xludf.DUMMYFUNCTION("""COMPUTED_VALUE"""),"Lila Hollerieth")</f>
        <v>Lila Hollerieth</v>
      </c>
      <c r="C1280" s="78">
        <f ca="1">IFERROR(__xludf.DUMMYFUNCTION("""COMPUTED_VALUE"""),11)</f>
        <v>11</v>
      </c>
      <c r="D1280" s="78" t="str">
        <f ca="1">IFERROR(__xludf.DUMMYFUNCTION("""COMPUTED_VALUE"""),"G")</f>
        <v>G</v>
      </c>
      <c r="E1280" s="80" t="str">
        <f ca="1">IFERROR(__xludf.DUMMYFUNCTION("""COMPUTED_VALUE"""),"J")</f>
        <v>J</v>
      </c>
      <c r="F1280" s="80" t="str">
        <f ca="1">IFERROR(__xludf.DUMMYFUNCTION("""COMPUTED_VALUE"""),"I")</f>
        <v>I</v>
      </c>
      <c r="G1280" s="80">
        <f ca="1">IFERROR(__xludf.DUMMYFUNCTION("""COMPUTED_VALUE"""),7)</f>
        <v>7</v>
      </c>
      <c r="H1280" s="80" t="str">
        <f ca="1">IFERROR(__xludf.DUMMYFUNCTION("""COMPUTED_VALUE"""),"M")</f>
        <v>M</v>
      </c>
      <c r="I1280" s="80">
        <f ca="1">IFERROR(__xludf.DUMMYFUNCTION("""COMPUTED_VALUE"""),4)</f>
        <v>4</v>
      </c>
      <c r="J1280" s="81">
        <f ca="1">IFERROR(__xludf.DUMMYFUNCTION("""COMPUTED_VALUE"""),0)</f>
        <v>0</v>
      </c>
      <c r="K1280" s="81">
        <f ca="1">IFERROR(__xludf.DUMMYFUNCTION("""COMPUTED_VALUE"""),0)</f>
        <v>0</v>
      </c>
      <c r="L1280" s="81">
        <f ca="1">IFERROR(__xludf.DUMMYFUNCTION("""COMPUTED_VALUE"""),0)</f>
        <v>0</v>
      </c>
      <c r="M1280" s="81"/>
      <c r="N1280" s="81">
        <f ca="1">IFERROR(__xludf.DUMMYFUNCTION("""COMPUTED_VALUE"""),0)</f>
        <v>0</v>
      </c>
      <c r="O1280" s="81"/>
      <c r="P1280" s="81">
        <f ca="1">IFERROR(__xludf.DUMMYFUNCTION("""COMPUTED_VALUE"""),0)</f>
        <v>0</v>
      </c>
      <c r="Q1280" s="81"/>
      <c r="R1280" s="81">
        <f ca="1">IFERROR(__xludf.DUMMYFUNCTION("""COMPUTED_VALUE"""),0)</f>
        <v>0</v>
      </c>
      <c r="S1280" s="81"/>
      <c r="T1280" s="81"/>
      <c r="U1280" s="82"/>
      <c r="V1280" s="82"/>
      <c r="W1280" s="83"/>
      <c r="X1280" s="83"/>
      <c r="Y1280" s="83"/>
    </row>
    <row r="1281" spans="1:25" ht="13.8">
      <c r="A1281" s="78" t="str">
        <f ca="1">IFERROR(__xludf.DUMMYFUNCTION("""COMPUTED_VALUE"""),"M")</f>
        <v>M</v>
      </c>
      <c r="B1281" s="79" t="str">
        <f ca="1">IFERROR(__xludf.DUMMYFUNCTION("""COMPUTED_VALUE"""),"Annabel Kemp")</f>
        <v>Annabel Kemp</v>
      </c>
      <c r="C1281" s="78">
        <f ca="1">IFERROR(__xludf.DUMMYFUNCTION("""COMPUTED_VALUE"""),12)</f>
        <v>12</v>
      </c>
      <c r="D1281" s="78" t="str">
        <f ca="1">IFERROR(__xludf.DUMMYFUNCTION("""COMPUTED_VALUE"""),"G")</f>
        <v>G</v>
      </c>
      <c r="E1281" s="80" t="str">
        <f ca="1">IFERROR(__xludf.DUMMYFUNCTION("""COMPUTED_VALUE"""),"J")</f>
        <v>J</v>
      </c>
      <c r="F1281" s="80" t="str">
        <f ca="1">IFERROR(__xludf.DUMMYFUNCTION("""COMPUTED_VALUE"""),"I")</f>
        <v>I</v>
      </c>
      <c r="G1281" s="80">
        <f ca="1">IFERROR(__xludf.DUMMYFUNCTION("""COMPUTED_VALUE"""),7)</f>
        <v>7</v>
      </c>
      <c r="H1281" s="80" t="str">
        <f ca="1">IFERROR(__xludf.DUMMYFUNCTION("""COMPUTED_VALUE"""),"M")</f>
        <v>M</v>
      </c>
      <c r="I1281" s="80">
        <f ca="1">IFERROR(__xludf.DUMMYFUNCTION("""COMPUTED_VALUE"""),4)</f>
        <v>4</v>
      </c>
      <c r="J1281" s="81">
        <f ca="1">IFERROR(__xludf.DUMMYFUNCTION("""COMPUTED_VALUE"""),0)</f>
        <v>0</v>
      </c>
      <c r="K1281" s="81">
        <f ca="1">IFERROR(__xludf.DUMMYFUNCTION("""COMPUTED_VALUE"""),0)</f>
        <v>0</v>
      </c>
      <c r="L1281" s="81">
        <f ca="1">IFERROR(__xludf.DUMMYFUNCTION("""COMPUTED_VALUE"""),0)</f>
        <v>0</v>
      </c>
      <c r="M1281" s="81"/>
      <c r="N1281" s="81">
        <f ca="1">IFERROR(__xludf.DUMMYFUNCTION("""COMPUTED_VALUE"""),0)</f>
        <v>0</v>
      </c>
      <c r="O1281" s="81"/>
      <c r="P1281" s="81">
        <f ca="1">IFERROR(__xludf.DUMMYFUNCTION("""COMPUTED_VALUE"""),0)</f>
        <v>0</v>
      </c>
      <c r="Q1281" s="81"/>
      <c r="R1281" s="81">
        <f ca="1">IFERROR(__xludf.DUMMYFUNCTION("""COMPUTED_VALUE"""),0)</f>
        <v>0</v>
      </c>
      <c r="S1281" s="81"/>
      <c r="T1281" s="81"/>
      <c r="U1281" s="82"/>
      <c r="V1281" s="82"/>
      <c r="W1281" s="83"/>
      <c r="X1281" s="83"/>
      <c r="Y1281" s="83"/>
    </row>
    <row r="1282" spans="1:25" ht="13.8">
      <c r="A1282" s="78" t="str">
        <f ca="1">IFERROR(__xludf.DUMMYFUNCTION("""COMPUTED_VALUE"""),"M")</f>
        <v>M</v>
      </c>
      <c r="B1282" s="79" t="str">
        <f ca="1">IFERROR(__xludf.DUMMYFUNCTION("""COMPUTED_VALUE"""),"Payton Kiessling")</f>
        <v>Payton Kiessling</v>
      </c>
      <c r="C1282" s="78">
        <f ca="1">IFERROR(__xludf.DUMMYFUNCTION("""COMPUTED_VALUE"""),11)</f>
        <v>11</v>
      </c>
      <c r="D1282" s="78" t="str">
        <f ca="1">IFERROR(__xludf.DUMMYFUNCTION("""COMPUTED_VALUE"""),"G")</f>
        <v>G</v>
      </c>
      <c r="E1282" s="80" t="str">
        <f ca="1">IFERROR(__xludf.DUMMYFUNCTION("""COMPUTED_VALUE"""),"J")</f>
        <v>J</v>
      </c>
      <c r="F1282" s="80" t="str">
        <f ca="1">IFERROR(__xludf.DUMMYFUNCTION("""COMPUTED_VALUE"""),"I")</f>
        <v>I</v>
      </c>
      <c r="G1282" s="80">
        <f ca="1">IFERROR(__xludf.DUMMYFUNCTION("""COMPUTED_VALUE"""),7)</f>
        <v>7</v>
      </c>
      <c r="H1282" s="80" t="str">
        <f ca="1">IFERROR(__xludf.DUMMYFUNCTION("""COMPUTED_VALUE"""),"M")</f>
        <v>M</v>
      </c>
      <c r="I1282" s="80">
        <f ca="1">IFERROR(__xludf.DUMMYFUNCTION("""COMPUTED_VALUE"""),4)</f>
        <v>4</v>
      </c>
      <c r="J1282" s="81">
        <f ca="1">IFERROR(__xludf.DUMMYFUNCTION("""COMPUTED_VALUE"""),0)</f>
        <v>0</v>
      </c>
      <c r="K1282" s="81">
        <f ca="1">IFERROR(__xludf.DUMMYFUNCTION("""COMPUTED_VALUE"""),0)</f>
        <v>0</v>
      </c>
      <c r="L1282" s="81">
        <f ca="1">IFERROR(__xludf.DUMMYFUNCTION("""COMPUTED_VALUE"""),0)</f>
        <v>0</v>
      </c>
      <c r="M1282" s="81"/>
      <c r="N1282" s="81">
        <f ca="1">IFERROR(__xludf.DUMMYFUNCTION("""COMPUTED_VALUE"""),0)</f>
        <v>0</v>
      </c>
      <c r="O1282" s="81"/>
      <c r="P1282" s="81">
        <f ca="1">IFERROR(__xludf.DUMMYFUNCTION("""COMPUTED_VALUE"""),0)</f>
        <v>0</v>
      </c>
      <c r="Q1282" s="81"/>
      <c r="R1282" s="81">
        <f ca="1">IFERROR(__xludf.DUMMYFUNCTION("""COMPUTED_VALUE"""),0)</f>
        <v>0</v>
      </c>
      <c r="S1282" s="81"/>
      <c r="T1282" s="81"/>
      <c r="U1282" s="82"/>
      <c r="V1282" s="82"/>
      <c r="W1282" s="83"/>
      <c r="X1282" s="83"/>
      <c r="Y1282" s="83"/>
    </row>
    <row r="1283" spans="1:25" ht="13.8">
      <c r="A1283" s="78" t="str">
        <f ca="1">IFERROR(__xludf.DUMMYFUNCTION("""COMPUTED_VALUE"""),"M")</f>
        <v>M</v>
      </c>
      <c r="B1283" s="79" t="str">
        <f ca="1">IFERROR(__xludf.DUMMYFUNCTION("""COMPUTED_VALUE"""),"Meghan McGinley")</f>
        <v>Meghan McGinley</v>
      </c>
      <c r="C1283" s="78">
        <f ca="1">IFERROR(__xludf.DUMMYFUNCTION("""COMPUTED_VALUE"""),11)</f>
        <v>11</v>
      </c>
      <c r="D1283" s="78" t="str">
        <f ca="1">IFERROR(__xludf.DUMMYFUNCTION("""COMPUTED_VALUE"""),"G")</f>
        <v>G</v>
      </c>
      <c r="E1283" s="80" t="str">
        <f ca="1">IFERROR(__xludf.DUMMYFUNCTION("""COMPUTED_VALUE"""),"J")</f>
        <v>J</v>
      </c>
      <c r="F1283" s="80" t="str">
        <f ca="1">IFERROR(__xludf.DUMMYFUNCTION("""COMPUTED_VALUE"""),"I")</f>
        <v>I</v>
      </c>
      <c r="G1283" s="80">
        <f ca="1">IFERROR(__xludf.DUMMYFUNCTION("""COMPUTED_VALUE"""),7)</f>
        <v>7</v>
      </c>
      <c r="H1283" s="80" t="str">
        <f ca="1">IFERROR(__xludf.DUMMYFUNCTION("""COMPUTED_VALUE"""),"M")</f>
        <v>M</v>
      </c>
      <c r="I1283" s="80">
        <f ca="1">IFERROR(__xludf.DUMMYFUNCTION("""COMPUTED_VALUE"""),4)</f>
        <v>4</v>
      </c>
      <c r="J1283" s="81">
        <f ca="1">IFERROR(__xludf.DUMMYFUNCTION("""COMPUTED_VALUE"""),0)</f>
        <v>0</v>
      </c>
      <c r="K1283" s="81">
        <f ca="1">IFERROR(__xludf.DUMMYFUNCTION("""COMPUTED_VALUE"""),0)</f>
        <v>0</v>
      </c>
      <c r="L1283" s="81">
        <f ca="1">IFERROR(__xludf.DUMMYFUNCTION("""COMPUTED_VALUE"""),0)</f>
        <v>0</v>
      </c>
      <c r="M1283" s="81"/>
      <c r="N1283" s="81">
        <f ca="1">IFERROR(__xludf.DUMMYFUNCTION("""COMPUTED_VALUE"""),0)</f>
        <v>0</v>
      </c>
      <c r="O1283" s="81"/>
      <c r="P1283" s="81">
        <f ca="1">IFERROR(__xludf.DUMMYFUNCTION("""COMPUTED_VALUE"""),0)</f>
        <v>0</v>
      </c>
      <c r="Q1283" s="81"/>
      <c r="R1283" s="81">
        <f ca="1">IFERROR(__xludf.DUMMYFUNCTION("""COMPUTED_VALUE"""),0)</f>
        <v>0</v>
      </c>
      <c r="S1283" s="81"/>
      <c r="T1283" s="81"/>
      <c r="U1283" s="82"/>
      <c r="V1283" s="82"/>
      <c r="W1283" s="83"/>
      <c r="X1283" s="83"/>
      <c r="Y1283" s="83"/>
    </row>
    <row r="1284" spans="1:25" ht="13.8">
      <c r="A1284" s="78" t="str">
        <f ca="1">IFERROR(__xludf.DUMMYFUNCTION("""COMPUTED_VALUE"""),"M")</f>
        <v>M</v>
      </c>
      <c r="B1284" s="79" t="str">
        <f ca="1">IFERROR(__xludf.DUMMYFUNCTION("""COMPUTED_VALUE"""),"Isla McRobbie")</f>
        <v>Isla McRobbie</v>
      </c>
      <c r="C1284" s="78">
        <f ca="1">IFERROR(__xludf.DUMMYFUNCTION("""COMPUTED_VALUE"""),11)</f>
        <v>11</v>
      </c>
      <c r="D1284" s="78" t="str">
        <f ca="1">IFERROR(__xludf.DUMMYFUNCTION("""COMPUTED_VALUE"""),"G")</f>
        <v>G</v>
      </c>
      <c r="E1284" s="80" t="str">
        <f ca="1">IFERROR(__xludf.DUMMYFUNCTION("""COMPUTED_VALUE"""),"J")</f>
        <v>J</v>
      </c>
      <c r="F1284" s="80" t="str">
        <f ca="1">IFERROR(__xludf.DUMMYFUNCTION("""COMPUTED_VALUE"""),"I")</f>
        <v>I</v>
      </c>
      <c r="G1284" s="80">
        <f ca="1">IFERROR(__xludf.DUMMYFUNCTION("""COMPUTED_VALUE"""),7)</f>
        <v>7</v>
      </c>
      <c r="H1284" s="80" t="str">
        <f ca="1">IFERROR(__xludf.DUMMYFUNCTION("""COMPUTED_VALUE"""),"M")</f>
        <v>M</v>
      </c>
      <c r="I1284" s="80">
        <f ca="1">IFERROR(__xludf.DUMMYFUNCTION("""COMPUTED_VALUE"""),4)</f>
        <v>4</v>
      </c>
      <c r="J1284" s="81">
        <f ca="1">IFERROR(__xludf.DUMMYFUNCTION("""COMPUTED_VALUE"""),0)</f>
        <v>0</v>
      </c>
      <c r="K1284" s="81">
        <f ca="1">IFERROR(__xludf.DUMMYFUNCTION("""COMPUTED_VALUE"""),0)</f>
        <v>0</v>
      </c>
      <c r="L1284" s="81">
        <f ca="1">IFERROR(__xludf.DUMMYFUNCTION("""COMPUTED_VALUE"""),0)</f>
        <v>0</v>
      </c>
      <c r="M1284" s="81"/>
      <c r="N1284" s="81">
        <f ca="1">IFERROR(__xludf.DUMMYFUNCTION("""COMPUTED_VALUE"""),0)</f>
        <v>0</v>
      </c>
      <c r="O1284" s="81"/>
      <c r="P1284" s="81">
        <f ca="1">IFERROR(__xludf.DUMMYFUNCTION("""COMPUTED_VALUE"""),0)</f>
        <v>0</v>
      </c>
      <c r="Q1284" s="81"/>
      <c r="R1284" s="81">
        <f ca="1">IFERROR(__xludf.DUMMYFUNCTION("""COMPUTED_VALUE"""),0)</f>
        <v>0</v>
      </c>
      <c r="S1284" s="81"/>
      <c r="T1284" s="81"/>
      <c r="U1284" s="82"/>
      <c r="V1284" s="82"/>
      <c r="W1284" s="83"/>
      <c r="X1284" s="83"/>
      <c r="Y1284" s="83"/>
    </row>
    <row r="1285" spans="1:25" ht="13.8">
      <c r="A1285" s="78" t="str">
        <f ca="1">IFERROR(__xludf.DUMMYFUNCTION("""COMPUTED_VALUE"""),"M")</f>
        <v>M</v>
      </c>
      <c r="B1285" s="79" t="str">
        <f ca="1">IFERROR(__xludf.DUMMYFUNCTION("""COMPUTED_VALUE"""),"Charlotte Menge")</f>
        <v>Charlotte Menge</v>
      </c>
      <c r="C1285" s="78">
        <f ca="1">IFERROR(__xludf.DUMMYFUNCTION("""COMPUTED_VALUE"""),11)</f>
        <v>11</v>
      </c>
      <c r="D1285" s="78" t="str">
        <f ca="1">IFERROR(__xludf.DUMMYFUNCTION("""COMPUTED_VALUE"""),"G")</f>
        <v>G</v>
      </c>
      <c r="E1285" s="80" t="str">
        <f ca="1">IFERROR(__xludf.DUMMYFUNCTION("""COMPUTED_VALUE"""),"J")</f>
        <v>J</v>
      </c>
      <c r="F1285" s="80" t="str">
        <f ca="1">IFERROR(__xludf.DUMMYFUNCTION("""COMPUTED_VALUE"""),"I")</f>
        <v>I</v>
      </c>
      <c r="G1285" s="80">
        <f ca="1">IFERROR(__xludf.DUMMYFUNCTION("""COMPUTED_VALUE"""),7)</f>
        <v>7</v>
      </c>
      <c r="H1285" s="80" t="str">
        <f ca="1">IFERROR(__xludf.DUMMYFUNCTION("""COMPUTED_VALUE"""),"M")</f>
        <v>M</v>
      </c>
      <c r="I1285" s="80">
        <f ca="1">IFERROR(__xludf.DUMMYFUNCTION("""COMPUTED_VALUE"""),4)</f>
        <v>4</v>
      </c>
      <c r="J1285" s="81">
        <f ca="1">IFERROR(__xludf.DUMMYFUNCTION("""COMPUTED_VALUE"""),0)</f>
        <v>0</v>
      </c>
      <c r="K1285" s="81">
        <f ca="1">IFERROR(__xludf.DUMMYFUNCTION("""COMPUTED_VALUE"""),0)</f>
        <v>0</v>
      </c>
      <c r="L1285" s="81">
        <f ca="1">IFERROR(__xludf.DUMMYFUNCTION("""COMPUTED_VALUE"""),0)</f>
        <v>0</v>
      </c>
      <c r="M1285" s="81"/>
      <c r="N1285" s="81">
        <f ca="1">IFERROR(__xludf.DUMMYFUNCTION("""COMPUTED_VALUE"""),0)</f>
        <v>0</v>
      </c>
      <c r="O1285" s="81"/>
      <c r="P1285" s="81">
        <f ca="1">IFERROR(__xludf.DUMMYFUNCTION("""COMPUTED_VALUE"""),0)</f>
        <v>0</v>
      </c>
      <c r="Q1285" s="81"/>
      <c r="R1285" s="81">
        <f ca="1">IFERROR(__xludf.DUMMYFUNCTION("""COMPUTED_VALUE"""),0)</f>
        <v>0</v>
      </c>
      <c r="S1285" s="81"/>
      <c r="T1285" s="81"/>
      <c r="U1285" s="82"/>
      <c r="V1285" s="82"/>
      <c r="W1285" s="83"/>
      <c r="X1285" s="83"/>
      <c r="Y1285" s="83"/>
    </row>
    <row r="1286" spans="1:25" ht="13.8">
      <c r="A1286" s="78" t="str">
        <f ca="1">IFERROR(__xludf.DUMMYFUNCTION("""COMPUTED_VALUE"""),"M")</f>
        <v>M</v>
      </c>
      <c r="B1286" s="79" t="str">
        <f ca="1">IFERROR(__xludf.DUMMYFUNCTION("""COMPUTED_VALUE"""),"Emery Mize")</f>
        <v>Emery Mize</v>
      </c>
      <c r="C1286" s="78">
        <f ca="1">IFERROR(__xludf.DUMMYFUNCTION("""COMPUTED_VALUE"""),11)</f>
        <v>11</v>
      </c>
      <c r="D1286" s="78" t="str">
        <f ca="1">IFERROR(__xludf.DUMMYFUNCTION("""COMPUTED_VALUE"""),"G")</f>
        <v>G</v>
      </c>
      <c r="E1286" s="80" t="str">
        <f ca="1">IFERROR(__xludf.DUMMYFUNCTION("""COMPUTED_VALUE"""),"J")</f>
        <v>J</v>
      </c>
      <c r="F1286" s="80" t="str">
        <f ca="1">IFERROR(__xludf.DUMMYFUNCTION("""COMPUTED_VALUE"""),"I")</f>
        <v>I</v>
      </c>
      <c r="G1286" s="80">
        <f ca="1">IFERROR(__xludf.DUMMYFUNCTION("""COMPUTED_VALUE"""),7)</f>
        <v>7</v>
      </c>
      <c r="H1286" s="80" t="str">
        <f ca="1">IFERROR(__xludf.DUMMYFUNCTION("""COMPUTED_VALUE"""),"M")</f>
        <v>M</v>
      </c>
      <c r="I1286" s="80">
        <f ca="1">IFERROR(__xludf.DUMMYFUNCTION("""COMPUTED_VALUE"""),4)</f>
        <v>4</v>
      </c>
      <c r="J1286" s="81">
        <f ca="1">IFERROR(__xludf.DUMMYFUNCTION("""COMPUTED_VALUE"""),2)</f>
        <v>2</v>
      </c>
      <c r="K1286" s="81">
        <f ca="1">IFERROR(__xludf.DUMMYFUNCTION("""COMPUTED_VALUE"""),64.6)</f>
        <v>64.599999999999994</v>
      </c>
      <c r="L1286" s="81">
        <f ca="1">IFERROR(__xludf.DUMMYFUNCTION("""COMPUTED_VALUE"""),0)</f>
        <v>0</v>
      </c>
      <c r="M1286" s="81"/>
      <c r="N1286" s="81">
        <f ca="1">IFERROR(__xludf.DUMMYFUNCTION("""COMPUTED_VALUE"""),59.25)</f>
        <v>59.25</v>
      </c>
      <c r="O1286" s="81"/>
      <c r="P1286" s="81">
        <f ca="1">IFERROR(__xludf.DUMMYFUNCTION("""COMPUTED_VALUE"""),64.6)</f>
        <v>64.599999999999994</v>
      </c>
      <c r="Q1286" s="81"/>
      <c r="R1286" s="81">
        <f ca="1">IFERROR(__xludf.DUMMYFUNCTION("""COMPUTED_VALUE"""),0)</f>
        <v>0</v>
      </c>
      <c r="S1286" s="81"/>
      <c r="T1286" s="81"/>
      <c r="U1286" s="82"/>
      <c r="V1286" s="82"/>
      <c r="W1286" s="83"/>
      <c r="X1286" s="83"/>
      <c r="Y1286" s="83"/>
    </row>
    <row r="1287" spans="1:25" ht="13.8">
      <c r="A1287" s="78" t="str">
        <f ca="1">IFERROR(__xludf.DUMMYFUNCTION("""COMPUTED_VALUE"""),"M")</f>
        <v>M</v>
      </c>
      <c r="B1287" s="79" t="str">
        <f ca="1">IFERROR(__xludf.DUMMYFUNCTION("""COMPUTED_VALUE"""),"Alannah Murphy")</f>
        <v>Alannah Murphy</v>
      </c>
      <c r="C1287" s="78">
        <f ca="1">IFERROR(__xludf.DUMMYFUNCTION("""COMPUTED_VALUE"""),11)</f>
        <v>11</v>
      </c>
      <c r="D1287" s="78" t="str">
        <f ca="1">IFERROR(__xludf.DUMMYFUNCTION("""COMPUTED_VALUE"""),"G")</f>
        <v>G</v>
      </c>
      <c r="E1287" s="80" t="str">
        <f ca="1">IFERROR(__xludf.DUMMYFUNCTION("""COMPUTED_VALUE"""),"J")</f>
        <v>J</v>
      </c>
      <c r="F1287" s="80" t="str">
        <f ca="1">IFERROR(__xludf.DUMMYFUNCTION("""COMPUTED_VALUE"""),"I")</f>
        <v>I</v>
      </c>
      <c r="G1287" s="80">
        <f ca="1">IFERROR(__xludf.DUMMYFUNCTION("""COMPUTED_VALUE"""),7)</f>
        <v>7</v>
      </c>
      <c r="H1287" s="80" t="str">
        <f ca="1">IFERROR(__xludf.DUMMYFUNCTION("""COMPUTED_VALUE"""),"M")</f>
        <v>M</v>
      </c>
      <c r="I1287" s="80">
        <f ca="1">IFERROR(__xludf.DUMMYFUNCTION("""COMPUTED_VALUE"""),4)</f>
        <v>4</v>
      </c>
      <c r="J1287" s="81">
        <f ca="1">IFERROR(__xludf.DUMMYFUNCTION("""COMPUTED_VALUE"""),4)</f>
        <v>4</v>
      </c>
      <c r="K1287" s="81">
        <f ca="1">IFERROR(__xludf.DUMMYFUNCTION("""COMPUTED_VALUE"""),65.3)</f>
        <v>65.3</v>
      </c>
      <c r="L1287" s="81">
        <f ca="1">IFERROR(__xludf.DUMMYFUNCTION("""COMPUTED_VALUE"""),60.3)</f>
        <v>60.3</v>
      </c>
      <c r="M1287" s="81"/>
      <c r="N1287" s="81">
        <f ca="1">IFERROR(__xludf.DUMMYFUNCTION("""COMPUTED_VALUE"""),64.5)</f>
        <v>64.5</v>
      </c>
      <c r="O1287" s="81"/>
      <c r="P1287" s="81">
        <f ca="1">IFERROR(__xludf.DUMMYFUNCTION("""COMPUTED_VALUE"""),0)</f>
        <v>0</v>
      </c>
      <c r="Q1287" s="81"/>
      <c r="R1287" s="81">
        <f ca="1">IFERROR(__xludf.DUMMYFUNCTION("""COMPUTED_VALUE"""),65.3)</f>
        <v>65.3</v>
      </c>
      <c r="S1287" s="81"/>
      <c r="T1287" s="81"/>
      <c r="U1287" s="82"/>
      <c r="V1287" s="82"/>
      <c r="W1287" s="83"/>
      <c r="X1287" s="83"/>
      <c r="Y1287" s="83"/>
    </row>
    <row r="1288" spans="1:25" ht="13.8">
      <c r="A1288" s="78" t="str">
        <f ca="1">IFERROR(__xludf.DUMMYFUNCTION("""COMPUTED_VALUE"""),"M")</f>
        <v>M</v>
      </c>
      <c r="B1288" s="79" t="str">
        <f ca="1">IFERROR(__xludf.DUMMYFUNCTION("""COMPUTED_VALUE"""),"Stina Nystrom")</f>
        <v>Stina Nystrom</v>
      </c>
      <c r="C1288" s="78">
        <f ca="1">IFERROR(__xludf.DUMMYFUNCTION("""COMPUTED_VALUE"""),11)</f>
        <v>11</v>
      </c>
      <c r="D1288" s="78" t="str">
        <f ca="1">IFERROR(__xludf.DUMMYFUNCTION("""COMPUTED_VALUE"""),"G")</f>
        <v>G</v>
      </c>
      <c r="E1288" s="80" t="str">
        <f ca="1">IFERROR(__xludf.DUMMYFUNCTION("""COMPUTED_VALUE"""),"J")</f>
        <v>J</v>
      </c>
      <c r="F1288" s="80" t="str">
        <f ca="1">IFERROR(__xludf.DUMMYFUNCTION("""COMPUTED_VALUE"""),"I")</f>
        <v>I</v>
      </c>
      <c r="G1288" s="80">
        <f ca="1">IFERROR(__xludf.DUMMYFUNCTION("""COMPUTED_VALUE"""),7)</f>
        <v>7</v>
      </c>
      <c r="H1288" s="80" t="str">
        <f ca="1">IFERROR(__xludf.DUMMYFUNCTION("""COMPUTED_VALUE"""),"M")</f>
        <v>M</v>
      </c>
      <c r="I1288" s="80">
        <f ca="1">IFERROR(__xludf.DUMMYFUNCTION("""COMPUTED_VALUE"""),4)</f>
        <v>4</v>
      </c>
      <c r="J1288" s="81">
        <f ca="1">IFERROR(__xludf.DUMMYFUNCTION("""COMPUTED_VALUE"""),5)</f>
        <v>5</v>
      </c>
      <c r="K1288" s="81">
        <f ca="1">IFERROR(__xludf.DUMMYFUNCTION("""COMPUTED_VALUE"""),68.65)</f>
        <v>68.650000000000006</v>
      </c>
      <c r="L1288" s="81">
        <f ca="1">IFERROR(__xludf.DUMMYFUNCTION("""COMPUTED_VALUE"""),63.1)</f>
        <v>63.1</v>
      </c>
      <c r="M1288" s="81"/>
      <c r="N1288" s="81">
        <f ca="1">IFERROR(__xludf.DUMMYFUNCTION("""COMPUTED_VALUE"""),65.55)</f>
        <v>65.55</v>
      </c>
      <c r="O1288" s="81"/>
      <c r="P1288" s="81">
        <f ca="1">IFERROR(__xludf.DUMMYFUNCTION("""COMPUTED_VALUE"""),68.65)</f>
        <v>68.650000000000006</v>
      </c>
      <c r="Q1288" s="81"/>
      <c r="R1288" s="81">
        <f ca="1">IFERROR(__xludf.DUMMYFUNCTION("""COMPUTED_VALUE"""),63.1)</f>
        <v>63.1</v>
      </c>
      <c r="S1288" s="81"/>
      <c r="T1288" s="81"/>
      <c r="U1288" s="82"/>
      <c r="V1288" s="82"/>
      <c r="W1288" s="83"/>
      <c r="X1288" s="83"/>
      <c r="Y1288" s="83"/>
    </row>
    <row r="1289" spans="1:25" ht="13.8">
      <c r="A1289" s="78" t="str">
        <f ca="1">IFERROR(__xludf.DUMMYFUNCTION("""COMPUTED_VALUE"""),"M")</f>
        <v>M</v>
      </c>
      <c r="B1289" s="79" t="str">
        <f ca="1">IFERROR(__xludf.DUMMYFUNCTION("""COMPUTED_VALUE"""),"Eva Schwenzer")</f>
        <v>Eva Schwenzer</v>
      </c>
      <c r="C1289" s="78">
        <f ca="1">IFERROR(__xludf.DUMMYFUNCTION("""COMPUTED_VALUE"""),11)</f>
        <v>11</v>
      </c>
      <c r="D1289" s="78" t="str">
        <f ca="1">IFERROR(__xludf.DUMMYFUNCTION("""COMPUTED_VALUE"""),"G")</f>
        <v>G</v>
      </c>
      <c r="E1289" s="80" t="str">
        <f ca="1">IFERROR(__xludf.DUMMYFUNCTION("""COMPUTED_VALUE"""),"J")</f>
        <v>J</v>
      </c>
      <c r="F1289" s="80" t="str">
        <f ca="1">IFERROR(__xludf.DUMMYFUNCTION("""COMPUTED_VALUE"""),"I")</f>
        <v>I</v>
      </c>
      <c r="G1289" s="80">
        <f ca="1">IFERROR(__xludf.DUMMYFUNCTION("""COMPUTED_VALUE"""),7)</f>
        <v>7</v>
      </c>
      <c r="H1289" s="80" t="str">
        <f ca="1">IFERROR(__xludf.DUMMYFUNCTION("""COMPUTED_VALUE"""),"M")</f>
        <v>M</v>
      </c>
      <c r="I1289" s="80">
        <f ca="1">IFERROR(__xludf.DUMMYFUNCTION("""COMPUTED_VALUE"""),4)</f>
        <v>4</v>
      </c>
      <c r="J1289" s="81">
        <f ca="1">IFERROR(__xludf.DUMMYFUNCTION("""COMPUTED_VALUE"""),3)</f>
        <v>3</v>
      </c>
      <c r="K1289" s="81">
        <f ca="1">IFERROR(__xludf.DUMMYFUNCTION("""COMPUTED_VALUE"""),68.25)</f>
        <v>68.25</v>
      </c>
      <c r="L1289" s="81">
        <f ca="1">IFERROR(__xludf.DUMMYFUNCTION("""COMPUTED_VALUE"""),65.3)</f>
        <v>65.3</v>
      </c>
      <c r="M1289" s="81"/>
      <c r="N1289" s="81">
        <f ca="1">IFERROR(__xludf.DUMMYFUNCTION("""COMPUTED_VALUE"""),68.25)</f>
        <v>68.25</v>
      </c>
      <c r="O1289" s="81"/>
      <c r="P1289" s="81">
        <f ca="1">IFERROR(__xludf.DUMMYFUNCTION("""COMPUTED_VALUE"""),0)</f>
        <v>0</v>
      </c>
      <c r="Q1289" s="81"/>
      <c r="R1289" s="81">
        <f ca="1">IFERROR(__xludf.DUMMYFUNCTION("""COMPUTED_VALUE"""),0)</f>
        <v>0</v>
      </c>
      <c r="S1289" s="81"/>
      <c r="T1289" s="81"/>
      <c r="U1289" s="82"/>
      <c r="V1289" s="82"/>
      <c r="W1289" s="83"/>
      <c r="X1289" s="83"/>
      <c r="Y1289" s="83"/>
    </row>
    <row r="1290" spans="1:25" ht="13.8">
      <c r="A1290" s="78" t="str">
        <f ca="1">IFERROR(__xludf.DUMMYFUNCTION("""COMPUTED_VALUE"""),"M")</f>
        <v>M</v>
      </c>
      <c r="B1290" s="79" t="str">
        <f ca="1">IFERROR(__xludf.DUMMYFUNCTION("""COMPUTED_VALUE"""),"Lydia Tetreault")</f>
        <v>Lydia Tetreault</v>
      </c>
      <c r="C1290" s="78">
        <f ca="1">IFERROR(__xludf.DUMMYFUNCTION("""COMPUTED_VALUE"""),11)</f>
        <v>11</v>
      </c>
      <c r="D1290" s="78" t="str">
        <f ca="1">IFERROR(__xludf.DUMMYFUNCTION("""COMPUTED_VALUE"""),"G")</f>
        <v>G</v>
      </c>
      <c r="E1290" s="80" t="str">
        <f ca="1">IFERROR(__xludf.DUMMYFUNCTION("""COMPUTED_VALUE"""),"J")</f>
        <v>J</v>
      </c>
      <c r="F1290" s="80" t="str">
        <f ca="1">IFERROR(__xludf.DUMMYFUNCTION("""COMPUTED_VALUE"""),"I")</f>
        <v>I</v>
      </c>
      <c r="G1290" s="80">
        <f ca="1">IFERROR(__xludf.DUMMYFUNCTION("""COMPUTED_VALUE"""),7)</f>
        <v>7</v>
      </c>
      <c r="H1290" s="80" t="str">
        <f ca="1">IFERROR(__xludf.DUMMYFUNCTION("""COMPUTED_VALUE"""),"M")</f>
        <v>M</v>
      </c>
      <c r="I1290" s="80">
        <f ca="1">IFERROR(__xludf.DUMMYFUNCTION("""COMPUTED_VALUE"""),4)</f>
        <v>4</v>
      </c>
      <c r="J1290" s="81">
        <f ca="1">IFERROR(__xludf.DUMMYFUNCTION("""COMPUTED_VALUE"""),5)</f>
        <v>5</v>
      </c>
      <c r="K1290" s="81">
        <f ca="1">IFERROR(__xludf.DUMMYFUNCTION("""COMPUTED_VALUE"""),73.9)</f>
        <v>73.900000000000006</v>
      </c>
      <c r="L1290" s="81">
        <f ca="1">IFERROR(__xludf.DUMMYFUNCTION("""COMPUTED_VALUE"""),58.85)</f>
        <v>58.85</v>
      </c>
      <c r="M1290" s="81"/>
      <c r="N1290" s="81">
        <f ca="1">IFERROR(__xludf.DUMMYFUNCTION("""COMPUTED_VALUE"""),71)</f>
        <v>71</v>
      </c>
      <c r="O1290" s="81"/>
      <c r="P1290" s="81">
        <f ca="1">IFERROR(__xludf.DUMMYFUNCTION("""COMPUTED_VALUE"""),73.9)</f>
        <v>73.900000000000006</v>
      </c>
      <c r="Q1290" s="81"/>
      <c r="R1290" s="81">
        <f ca="1">IFERROR(__xludf.DUMMYFUNCTION("""COMPUTED_VALUE"""),62.5)</f>
        <v>62.5</v>
      </c>
      <c r="S1290" s="81"/>
      <c r="T1290" s="81"/>
      <c r="U1290" s="82"/>
      <c r="V1290" s="82"/>
      <c r="W1290" s="83"/>
      <c r="X1290" s="83"/>
      <c r="Y1290" s="83"/>
    </row>
    <row r="1291" spans="1:25" ht="13.8">
      <c r="A1291" s="78" t="str">
        <f ca="1">IFERROR(__xludf.DUMMYFUNCTION("""COMPUTED_VALUE"""),"M")</f>
        <v>M</v>
      </c>
      <c r="B1291" s="79" t="str">
        <f ca="1">IFERROR(__xludf.DUMMYFUNCTION("""COMPUTED_VALUE"""),"Samantha Eldred")</f>
        <v>Samantha Eldred</v>
      </c>
      <c r="C1291" s="78">
        <f ca="1">IFERROR(__xludf.DUMMYFUNCTION("""COMPUTED_VALUE"""),13)</f>
        <v>13</v>
      </c>
      <c r="D1291" s="78" t="str">
        <f ca="1">IFERROR(__xludf.DUMMYFUNCTION("""COMPUTED_VALUE"""),"G")</f>
        <v>G</v>
      </c>
      <c r="E1291" s="80" t="str">
        <f ca="1">IFERROR(__xludf.DUMMYFUNCTION("""COMPUTED_VALUE"""),"I")</f>
        <v>I</v>
      </c>
      <c r="F1291" s="80" t="str">
        <f ca="1">IFERROR(__xludf.DUMMYFUNCTION("""COMPUTED_VALUE"""),"S")</f>
        <v>S</v>
      </c>
      <c r="G1291" s="80">
        <f ca="1">IFERROR(__xludf.DUMMYFUNCTION("""COMPUTED_VALUE"""),7)</f>
        <v>7</v>
      </c>
      <c r="H1291" s="80" t="str">
        <f ca="1">IFERROR(__xludf.DUMMYFUNCTION("""COMPUTED_VALUE"""),"M")</f>
        <v>M</v>
      </c>
      <c r="I1291" s="80">
        <f ca="1">IFERROR(__xludf.DUMMYFUNCTION("""COMPUTED_VALUE"""),6)</f>
        <v>6</v>
      </c>
      <c r="J1291" s="81">
        <f ca="1">IFERROR(__xludf.DUMMYFUNCTION("""COMPUTED_VALUE"""),4)</f>
        <v>4</v>
      </c>
      <c r="K1291" s="81">
        <f ca="1">IFERROR(__xludf.DUMMYFUNCTION("""COMPUTED_VALUE"""),113.25)</f>
        <v>113.25</v>
      </c>
      <c r="L1291" s="81">
        <f ca="1">IFERROR(__xludf.DUMMYFUNCTION("""COMPUTED_VALUE"""),113.25)</f>
        <v>113.25</v>
      </c>
      <c r="M1291" s="81"/>
      <c r="N1291" s="81">
        <f ca="1">IFERROR(__xludf.DUMMYFUNCTION("""COMPUTED_VALUE"""),0)</f>
        <v>0</v>
      </c>
      <c r="O1291" s="81"/>
      <c r="P1291" s="81">
        <f ca="1">IFERROR(__xludf.DUMMYFUNCTION("""COMPUTED_VALUE"""),107.3)</f>
        <v>107.3</v>
      </c>
      <c r="Q1291" s="81"/>
      <c r="R1291" s="81">
        <f ca="1">IFERROR(__xludf.DUMMYFUNCTION("""COMPUTED_VALUE"""),100.3)</f>
        <v>100.3</v>
      </c>
      <c r="S1291" s="81"/>
      <c r="T1291" s="81"/>
      <c r="U1291" s="82"/>
      <c r="V1291" s="82"/>
      <c r="W1291" s="83"/>
      <c r="X1291" s="83"/>
      <c r="Y1291" s="83"/>
    </row>
    <row r="1292" spans="1:25" ht="13.8">
      <c r="A1292" s="78" t="str">
        <f ca="1">IFERROR(__xludf.DUMMYFUNCTION("""COMPUTED_VALUE"""),"M")</f>
        <v>M</v>
      </c>
      <c r="B1292" s="79" t="str">
        <f ca="1">IFERROR(__xludf.DUMMYFUNCTION("""COMPUTED_VALUE"""),"Susan Wang Andera")</f>
        <v>Susan Wang Andera</v>
      </c>
      <c r="C1292" s="78">
        <f ca="1">IFERROR(__xludf.DUMMYFUNCTION("""COMPUTED_VALUE"""),13)</f>
        <v>13</v>
      </c>
      <c r="D1292" s="78" t="str">
        <f ca="1">IFERROR(__xludf.DUMMYFUNCTION("""COMPUTED_VALUE"""),"G")</f>
        <v>G</v>
      </c>
      <c r="E1292" s="80" t="str">
        <f ca="1">IFERROR(__xludf.DUMMYFUNCTION("""COMPUTED_VALUE"""),"I")</f>
        <v>I</v>
      </c>
      <c r="F1292" s="80" t="str">
        <f ca="1">IFERROR(__xludf.DUMMYFUNCTION("""COMPUTED_VALUE"""),"S")</f>
        <v>S</v>
      </c>
      <c r="G1292" s="80">
        <f ca="1">IFERROR(__xludf.DUMMYFUNCTION("""COMPUTED_VALUE"""),7)</f>
        <v>7</v>
      </c>
      <c r="H1292" s="80" t="str">
        <f ca="1">IFERROR(__xludf.DUMMYFUNCTION("""COMPUTED_VALUE"""),"M")</f>
        <v>M</v>
      </c>
      <c r="I1292" s="80">
        <f ca="1">IFERROR(__xludf.DUMMYFUNCTION("""COMPUTED_VALUE"""),6)</f>
        <v>6</v>
      </c>
      <c r="J1292" s="81">
        <f ca="1">IFERROR(__xludf.DUMMYFUNCTION("""COMPUTED_VALUE"""),5)</f>
        <v>5</v>
      </c>
      <c r="K1292" s="81">
        <f ca="1">IFERROR(__xludf.DUMMYFUNCTION("""COMPUTED_VALUE"""),91.65)</f>
        <v>91.65</v>
      </c>
      <c r="L1292" s="81">
        <f ca="1">IFERROR(__xludf.DUMMYFUNCTION("""COMPUTED_VALUE"""),66.95)</f>
        <v>66.95</v>
      </c>
      <c r="M1292" s="81"/>
      <c r="N1292" s="81">
        <f ca="1">IFERROR(__xludf.DUMMYFUNCTION("""COMPUTED_VALUE"""),71.85)</f>
        <v>71.849999999999994</v>
      </c>
      <c r="O1292" s="81"/>
      <c r="P1292" s="81">
        <f ca="1">IFERROR(__xludf.DUMMYFUNCTION("""COMPUTED_VALUE"""),91.65)</f>
        <v>91.65</v>
      </c>
      <c r="Q1292" s="81"/>
      <c r="R1292" s="81">
        <f ca="1">IFERROR(__xludf.DUMMYFUNCTION("""COMPUTED_VALUE"""),76.9)</f>
        <v>76.900000000000006</v>
      </c>
      <c r="S1292" s="81"/>
      <c r="T1292" s="81"/>
      <c r="U1292" s="82"/>
      <c r="V1292" s="82"/>
      <c r="W1292" s="83"/>
      <c r="X1292" s="83"/>
      <c r="Y1292" s="83"/>
    </row>
    <row r="1293" spans="1:25" ht="13.8">
      <c r="A1293" s="78" t="str">
        <f ca="1">IFERROR(__xludf.DUMMYFUNCTION("""COMPUTED_VALUE"""),"M")</f>
        <v>M</v>
      </c>
      <c r="B1293" s="79" t="str">
        <f ca="1">IFERROR(__xludf.DUMMYFUNCTION("""COMPUTED_VALUE"""),"Henry Levi")</f>
        <v>Henry Levi</v>
      </c>
      <c r="C1293" s="78">
        <f ca="1">IFERROR(__xludf.DUMMYFUNCTION("""COMPUTED_VALUE"""),14)</f>
        <v>14</v>
      </c>
      <c r="D1293" s="78" t="str">
        <f ca="1">IFERROR(__xludf.DUMMYFUNCTION("""COMPUTED_VALUE"""),"B")</f>
        <v>B</v>
      </c>
      <c r="E1293" s="80" t="str">
        <f ca="1">IFERROR(__xludf.DUMMYFUNCTION("""COMPUTED_VALUE"""),"I")</f>
        <v>I</v>
      </c>
      <c r="F1293" s="80" t="str">
        <f ca="1">IFERROR(__xludf.DUMMYFUNCTION("""COMPUTED_VALUE"""),"S")</f>
        <v>S</v>
      </c>
      <c r="G1293" s="80">
        <f ca="1">IFERROR(__xludf.DUMMYFUNCTION("""COMPUTED_VALUE"""),7)</f>
        <v>7</v>
      </c>
      <c r="H1293" s="80" t="str">
        <f ca="1">IFERROR(__xludf.DUMMYFUNCTION("""COMPUTED_VALUE"""),"M")</f>
        <v>M</v>
      </c>
      <c r="I1293" s="80">
        <f ca="1">IFERROR(__xludf.DUMMYFUNCTION("""COMPUTED_VALUE"""),7)</f>
        <v>7</v>
      </c>
      <c r="J1293" s="81">
        <f ca="1">IFERROR(__xludf.DUMMYFUNCTION("""COMPUTED_VALUE"""),4)</f>
        <v>4</v>
      </c>
      <c r="K1293" s="81">
        <f ca="1">IFERROR(__xludf.DUMMYFUNCTION("""COMPUTED_VALUE"""),116.65)</f>
        <v>116.65</v>
      </c>
      <c r="L1293" s="81">
        <f ca="1">IFERROR(__xludf.DUMMYFUNCTION("""COMPUTED_VALUE"""),112.9)</f>
        <v>112.9</v>
      </c>
      <c r="M1293" s="81"/>
      <c r="N1293" s="81">
        <f ca="1">IFERROR(__xludf.DUMMYFUNCTION("""COMPUTED_VALUE"""),0)</f>
        <v>0</v>
      </c>
      <c r="O1293" s="81"/>
      <c r="P1293" s="81">
        <f ca="1">IFERROR(__xludf.DUMMYFUNCTION("""COMPUTED_VALUE"""),116.65)</f>
        <v>116.65</v>
      </c>
      <c r="Q1293" s="81"/>
      <c r="R1293" s="81">
        <f ca="1">IFERROR(__xludf.DUMMYFUNCTION("""COMPUTED_VALUE"""),115.1)</f>
        <v>115.1</v>
      </c>
      <c r="S1293" s="81"/>
      <c r="T1293" s="81"/>
      <c r="U1293" s="82"/>
      <c r="V1293" s="82"/>
      <c r="W1293" s="83"/>
      <c r="X1293" s="83"/>
      <c r="Y1293" s="83"/>
    </row>
    <row r="1294" spans="1:25" ht="13.8">
      <c r="A1294" s="78" t="str">
        <f ca="1">IFERROR(__xludf.DUMMYFUNCTION("""COMPUTED_VALUE"""),"M")</f>
        <v>M</v>
      </c>
      <c r="B1294" s="79" t="str">
        <f ca="1">IFERROR(__xludf.DUMMYFUNCTION("""COMPUTED_VALUE"""),"Brenden McGinley")</f>
        <v>Brenden McGinley</v>
      </c>
      <c r="C1294" s="78">
        <f ca="1">IFERROR(__xludf.DUMMYFUNCTION("""COMPUTED_VALUE"""),13)</f>
        <v>13</v>
      </c>
      <c r="D1294" s="78" t="str">
        <f ca="1">IFERROR(__xludf.DUMMYFUNCTION("""COMPUTED_VALUE"""),"B")</f>
        <v>B</v>
      </c>
      <c r="E1294" s="80" t="str">
        <f ca="1">IFERROR(__xludf.DUMMYFUNCTION("""COMPUTED_VALUE"""),"I")</f>
        <v>I</v>
      </c>
      <c r="F1294" s="80" t="str">
        <f ca="1">IFERROR(__xludf.DUMMYFUNCTION("""COMPUTED_VALUE"""),"S")</f>
        <v>S</v>
      </c>
      <c r="G1294" s="80">
        <f ca="1">IFERROR(__xludf.DUMMYFUNCTION("""COMPUTED_VALUE"""),7)</f>
        <v>7</v>
      </c>
      <c r="H1294" s="80" t="str">
        <f ca="1">IFERROR(__xludf.DUMMYFUNCTION("""COMPUTED_VALUE"""),"M")</f>
        <v>M</v>
      </c>
      <c r="I1294" s="80">
        <f ca="1">IFERROR(__xludf.DUMMYFUNCTION("""COMPUTED_VALUE"""),7)</f>
        <v>7</v>
      </c>
      <c r="J1294" s="81">
        <f ca="1">IFERROR(__xludf.DUMMYFUNCTION("""COMPUTED_VALUE"""),0)</f>
        <v>0</v>
      </c>
      <c r="K1294" s="81">
        <f ca="1">IFERROR(__xludf.DUMMYFUNCTION("""COMPUTED_VALUE"""),0)</f>
        <v>0</v>
      </c>
      <c r="L1294" s="81">
        <f ca="1">IFERROR(__xludf.DUMMYFUNCTION("""COMPUTED_VALUE"""),0)</f>
        <v>0</v>
      </c>
      <c r="M1294" s="81"/>
      <c r="N1294" s="81">
        <f ca="1">IFERROR(__xludf.DUMMYFUNCTION("""COMPUTED_VALUE"""),0)</f>
        <v>0</v>
      </c>
      <c r="O1294" s="81"/>
      <c r="P1294" s="81">
        <f ca="1">IFERROR(__xludf.DUMMYFUNCTION("""COMPUTED_VALUE"""),0)</f>
        <v>0</v>
      </c>
      <c r="Q1294" s="81"/>
      <c r="R1294" s="81">
        <f ca="1">IFERROR(__xludf.DUMMYFUNCTION("""COMPUTED_VALUE"""),0)</f>
        <v>0</v>
      </c>
      <c r="S1294" s="81"/>
      <c r="T1294" s="81"/>
      <c r="U1294" s="82"/>
      <c r="V1294" s="82"/>
      <c r="W1294" s="83"/>
      <c r="X1294" s="83"/>
      <c r="Y1294" s="83"/>
    </row>
    <row r="1295" spans="1:25" ht="13.8">
      <c r="A1295" s="78" t="str">
        <f ca="1">IFERROR(__xludf.DUMMYFUNCTION("""COMPUTED_VALUE"""),"M")</f>
        <v>M</v>
      </c>
      <c r="B1295" s="79" t="str">
        <f ca="1">IFERROR(__xludf.DUMMYFUNCTION("""COMPUTED_VALUE"""),"Dexter Tetreault")</f>
        <v>Dexter Tetreault</v>
      </c>
      <c r="C1295" s="78">
        <f ca="1">IFERROR(__xludf.DUMMYFUNCTION("""COMPUTED_VALUE"""),13)</f>
        <v>13</v>
      </c>
      <c r="D1295" s="78" t="str">
        <f ca="1">IFERROR(__xludf.DUMMYFUNCTION("""COMPUTED_VALUE"""),"B")</f>
        <v>B</v>
      </c>
      <c r="E1295" s="80" t="str">
        <f ca="1">IFERROR(__xludf.DUMMYFUNCTION("""COMPUTED_VALUE"""),"I")</f>
        <v>I</v>
      </c>
      <c r="F1295" s="80" t="str">
        <f ca="1">IFERROR(__xludf.DUMMYFUNCTION("""COMPUTED_VALUE"""),"S")</f>
        <v>S</v>
      </c>
      <c r="G1295" s="80">
        <f ca="1">IFERROR(__xludf.DUMMYFUNCTION("""COMPUTED_VALUE"""),7)</f>
        <v>7</v>
      </c>
      <c r="H1295" s="80" t="str">
        <f ca="1">IFERROR(__xludf.DUMMYFUNCTION("""COMPUTED_VALUE"""),"M")</f>
        <v>M</v>
      </c>
      <c r="I1295" s="80">
        <f ca="1">IFERROR(__xludf.DUMMYFUNCTION("""COMPUTED_VALUE"""),7)</f>
        <v>7</v>
      </c>
      <c r="J1295" s="81">
        <f ca="1">IFERROR(__xludf.DUMMYFUNCTION("""COMPUTED_VALUE"""),5)</f>
        <v>5</v>
      </c>
      <c r="K1295" s="81">
        <f ca="1">IFERROR(__xludf.DUMMYFUNCTION("""COMPUTED_VALUE"""),100.65)</f>
        <v>100.65</v>
      </c>
      <c r="L1295" s="81">
        <f ca="1">IFERROR(__xludf.DUMMYFUNCTION("""COMPUTED_VALUE"""),94.5)</f>
        <v>94.5</v>
      </c>
      <c r="M1295" s="81"/>
      <c r="N1295" s="81">
        <f ca="1">IFERROR(__xludf.DUMMYFUNCTION("""COMPUTED_VALUE"""),100.65)</f>
        <v>100.65</v>
      </c>
      <c r="O1295" s="81"/>
      <c r="P1295" s="81">
        <f ca="1">IFERROR(__xludf.DUMMYFUNCTION("""COMPUTED_VALUE"""),89.95)</f>
        <v>89.95</v>
      </c>
      <c r="Q1295" s="81"/>
      <c r="R1295" s="81">
        <f ca="1">IFERROR(__xludf.DUMMYFUNCTION("""COMPUTED_VALUE"""),84.6)</f>
        <v>84.6</v>
      </c>
      <c r="S1295" s="81"/>
      <c r="T1295" s="81"/>
      <c r="U1295" s="82"/>
      <c r="V1295" s="82"/>
      <c r="W1295" s="83"/>
      <c r="X1295" s="83"/>
      <c r="Y1295" s="83"/>
    </row>
    <row r="1296" spans="1:25" ht="13.8">
      <c r="A1296" s="78" t="str">
        <f ca="1">IFERROR(__xludf.DUMMYFUNCTION("""COMPUTED_VALUE"""),"M")</f>
        <v>M</v>
      </c>
      <c r="B1296" s="79" t="str">
        <f ca="1">IFERROR(__xludf.DUMMYFUNCTION("""COMPUTED_VALUE"""),"Darius VanDyck")</f>
        <v>Darius VanDyck</v>
      </c>
      <c r="C1296" s="78">
        <f ca="1">IFERROR(__xludf.DUMMYFUNCTION("""COMPUTED_VALUE"""),14)</f>
        <v>14</v>
      </c>
      <c r="D1296" s="78" t="str">
        <f ca="1">IFERROR(__xludf.DUMMYFUNCTION("""COMPUTED_VALUE"""),"B")</f>
        <v>B</v>
      </c>
      <c r="E1296" s="80" t="str">
        <f ca="1">IFERROR(__xludf.DUMMYFUNCTION("""COMPUTED_VALUE"""),"I")</f>
        <v>I</v>
      </c>
      <c r="F1296" s="80" t="str">
        <f ca="1">IFERROR(__xludf.DUMMYFUNCTION("""COMPUTED_VALUE"""),"S")</f>
        <v>S</v>
      </c>
      <c r="G1296" s="80">
        <f ca="1">IFERROR(__xludf.DUMMYFUNCTION("""COMPUTED_VALUE"""),7)</f>
        <v>7</v>
      </c>
      <c r="H1296" s="80" t="str">
        <f ca="1">IFERROR(__xludf.DUMMYFUNCTION("""COMPUTED_VALUE"""),"M")</f>
        <v>M</v>
      </c>
      <c r="I1296" s="80">
        <f ca="1">IFERROR(__xludf.DUMMYFUNCTION("""COMPUTED_VALUE"""),7)</f>
        <v>7</v>
      </c>
      <c r="J1296" s="81">
        <f ca="1">IFERROR(__xludf.DUMMYFUNCTION("""COMPUTED_VALUE"""),0)</f>
        <v>0</v>
      </c>
      <c r="K1296" s="81">
        <f ca="1">IFERROR(__xludf.DUMMYFUNCTION("""COMPUTED_VALUE"""),0)</f>
        <v>0</v>
      </c>
      <c r="L1296" s="81">
        <f ca="1">IFERROR(__xludf.DUMMYFUNCTION("""COMPUTED_VALUE"""),0)</f>
        <v>0</v>
      </c>
      <c r="M1296" s="81"/>
      <c r="N1296" s="81">
        <f ca="1">IFERROR(__xludf.DUMMYFUNCTION("""COMPUTED_VALUE"""),0)</f>
        <v>0</v>
      </c>
      <c r="O1296" s="81"/>
      <c r="P1296" s="81">
        <f ca="1">IFERROR(__xludf.DUMMYFUNCTION("""COMPUTED_VALUE"""),0)</f>
        <v>0</v>
      </c>
      <c r="Q1296" s="81"/>
      <c r="R1296" s="81">
        <f ca="1">IFERROR(__xludf.DUMMYFUNCTION("""COMPUTED_VALUE"""),0)</f>
        <v>0</v>
      </c>
      <c r="S1296" s="81"/>
      <c r="T1296" s="81"/>
      <c r="U1296" s="82"/>
      <c r="V1296" s="82"/>
      <c r="W1296" s="83"/>
      <c r="X1296" s="83"/>
      <c r="Y1296" s="83"/>
    </row>
    <row r="1297" spans="1:25" ht="13.8">
      <c r="A1297" s="78" t="str">
        <f ca="1">IFERROR(__xludf.DUMMYFUNCTION("""COMPUTED_VALUE"""),"M")</f>
        <v>M</v>
      </c>
      <c r="B1297" s="79" t="str">
        <f ca="1">IFERROR(__xludf.DUMMYFUNCTION("""COMPUTED_VALUE"""),"Braydon West")</f>
        <v>Braydon West</v>
      </c>
      <c r="C1297" s="78">
        <f ca="1">IFERROR(__xludf.DUMMYFUNCTION("""COMPUTED_VALUE"""),13)</f>
        <v>13</v>
      </c>
      <c r="D1297" s="78" t="str">
        <f ca="1">IFERROR(__xludf.DUMMYFUNCTION("""COMPUTED_VALUE"""),"B")</f>
        <v>B</v>
      </c>
      <c r="E1297" s="80" t="str">
        <f ca="1">IFERROR(__xludf.DUMMYFUNCTION("""COMPUTED_VALUE"""),"I")</f>
        <v>I</v>
      </c>
      <c r="F1297" s="80" t="str">
        <f ca="1">IFERROR(__xludf.DUMMYFUNCTION("""COMPUTED_VALUE"""),"S")</f>
        <v>S</v>
      </c>
      <c r="G1297" s="80">
        <f ca="1">IFERROR(__xludf.DUMMYFUNCTION("""COMPUTED_VALUE"""),7)</f>
        <v>7</v>
      </c>
      <c r="H1297" s="80" t="str">
        <f ca="1">IFERROR(__xludf.DUMMYFUNCTION("""COMPUTED_VALUE"""),"M")</f>
        <v>M</v>
      </c>
      <c r="I1297" s="80">
        <f ca="1">IFERROR(__xludf.DUMMYFUNCTION("""COMPUTED_VALUE"""),7)</f>
        <v>7</v>
      </c>
      <c r="J1297" s="81">
        <f ca="1">IFERROR(__xludf.DUMMYFUNCTION("""COMPUTED_VALUE"""),0)</f>
        <v>0</v>
      </c>
      <c r="K1297" s="81">
        <f ca="1">IFERROR(__xludf.DUMMYFUNCTION("""COMPUTED_VALUE"""),0)</f>
        <v>0</v>
      </c>
      <c r="L1297" s="81">
        <f ca="1">IFERROR(__xludf.DUMMYFUNCTION("""COMPUTED_VALUE"""),0)</f>
        <v>0</v>
      </c>
      <c r="M1297" s="81"/>
      <c r="N1297" s="81">
        <f ca="1">IFERROR(__xludf.DUMMYFUNCTION("""COMPUTED_VALUE"""),0)</f>
        <v>0</v>
      </c>
      <c r="O1297" s="81"/>
      <c r="P1297" s="81">
        <f ca="1">IFERROR(__xludf.DUMMYFUNCTION("""COMPUTED_VALUE"""),0)</f>
        <v>0</v>
      </c>
      <c r="Q1297" s="81"/>
      <c r="R1297" s="81">
        <f ca="1">IFERROR(__xludf.DUMMYFUNCTION("""COMPUTED_VALUE"""),0)</f>
        <v>0</v>
      </c>
      <c r="S1297" s="81"/>
      <c r="T1297" s="81"/>
      <c r="U1297" s="82"/>
      <c r="V1297" s="82"/>
      <c r="W1297" s="83"/>
      <c r="X1297" s="83"/>
      <c r="Y1297" s="83"/>
    </row>
    <row r="1298" spans="1:25" ht="13.8">
      <c r="A1298" s="78" t="str">
        <f ca="1">IFERROR(__xludf.DUMMYFUNCTION("""COMPUTED_VALUE"""),"M")</f>
        <v>M</v>
      </c>
      <c r="B1298" s="79" t="str">
        <f ca="1">IFERROR(__xludf.DUMMYFUNCTION("""COMPUTED_VALUE"""),"Sally Harrington")</f>
        <v>Sally Harrington</v>
      </c>
      <c r="C1298" s="78">
        <f ca="1">IFERROR(__xludf.DUMMYFUNCTION("""COMPUTED_VALUE"""),16)</f>
        <v>16</v>
      </c>
      <c r="D1298" s="78" t="str">
        <f ca="1">IFERROR(__xludf.DUMMYFUNCTION("""COMPUTED_VALUE"""),"G")</f>
        <v>G</v>
      </c>
      <c r="E1298" s="80" t="str">
        <f ca="1">IFERROR(__xludf.DUMMYFUNCTION("""COMPUTED_VALUE"""),"S")</f>
        <v>S</v>
      </c>
      <c r="F1298" s="80" t="str">
        <f ca="1">IFERROR(__xludf.DUMMYFUNCTION("""COMPUTED_VALUE"""),"S")</f>
        <v>S</v>
      </c>
      <c r="G1298" s="80">
        <f ca="1">IFERROR(__xludf.DUMMYFUNCTION("""COMPUTED_VALUE"""),7)</f>
        <v>7</v>
      </c>
      <c r="H1298" s="80" t="str">
        <f ca="1">IFERROR(__xludf.DUMMYFUNCTION("""COMPUTED_VALUE"""),"M")</f>
        <v>M</v>
      </c>
      <c r="I1298" s="80">
        <f ca="1">IFERROR(__xludf.DUMMYFUNCTION("""COMPUTED_VALUE"""),8)</f>
        <v>8</v>
      </c>
      <c r="J1298" s="81">
        <f ca="1">IFERROR(__xludf.DUMMYFUNCTION("""COMPUTED_VALUE"""),5)</f>
        <v>5</v>
      </c>
      <c r="K1298" s="81">
        <f ca="1">IFERROR(__xludf.DUMMYFUNCTION("""COMPUTED_VALUE"""),199.2)</f>
        <v>199.2</v>
      </c>
      <c r="L1298" s="81">
        <f ca="1">IFERROR(__xludf.DUMMYFUNCTION("""COMPUTED_VALUE"""),181.2)</f>
        <v>181.2</v>
      </c>
      <c r="M1298" s="81"/>
      <c r="N1298" s="81">
        <f ca="1">IFERROR(__xludf.DUMMYFUNCTION("""COMPUTED_VALUE"""),188.95)</f>
        <v>188.95</v>
      </c>
      <c r="O1298" s="81"/>
      <c r="P1298" s="81">
        <f ca="1">IFERROR(__xludf.DUMMYFUNCTION("""COMPUTED_VALUE"""),199.2)</f>
        <v>199.2</v>
      </c>
      <c r="Q1298" s="81"/>
      <c r="R1298" s="81">
        <f ca="1">IFERROR(__xludf.DUMMYFUNCTION("""COMPUTED_VALUE"""),185.1)</f>
        <v>185.1</v>
      </c>
      <c r="S1298" s="81"/>
      <c r="T1298" s="81"/>
      <c r="U1298" s="82"/>
      <c r="V1298" s="82"/>
      <c r="W1298" s="83"/>
      <c r="X1298" s="83"/>
      <c r="Y1298" s="83"/>
    </row>
    <row r="1299" spans="1:25" ht="13.8">
      <c r="A1299" s="78" t="str">
        <f ca="1">IFERROR(__xludf.DUMMYFUNCTION("""COMPUTED_VALUE"""),"M")</f>
        <v>M</v>
      </c>
      <c r="B1299" s="79" t="str">
        <f ca="1">IFERROR(__xludf.DUMMYFUNCTION("""COMPUTED_VALUE"""),"Sammy McKnight")</f>
        <v>Sammy McKnight</v>
      </c>
      <c r="C1299" s="78">
        <f ca="1">IFERROR(__xludf.DUMMYFUNCTION("""COMPUTED_VALUE"""),16)</f>
        <v>16</v>
      </c>
      <c r="D1299" s="78" t="str">
        <f ca="1">IFERROR(__xludf.DUMMYFUNCTION("""COMPUTED_VALUE"""),"G")</f>
        <v>G</v>
      </c>
      <c r="E1299" s="80" t="str">
        <f ca="1">IFERROR(__xludf.DUMMYFUNCTION("""COMPUTED_VALUE"""),"S")</f>
        <v>S</v>
      </c>
      <c r="F1299" s="80" t="str">
        <f ca="1">IFERROR(__xludf.DUMMYFUNCTION("""COMPUTED_VALUE"""),"S")</f>
        <v>S</v>
      </c>
      <c r="G1299" s="80">
        <f ca="1">IFERROR(__xludf.DUMMYFUNCTION("""COMPUTED_VALUE"""),7)</f>
        <v>7</v>
      </c>
      <c r="H1299" s="80" t="str">
        <f ca="1">IFERROR(__xludf.DUMMYFUNCTION("""COMPUTED_VALUE"""),"M")</f>
        <v>M</v>
      </c>
      <c r="I1299" s="80">
        <f ca="1">IFERROR(__xludf.DUMMYFUNCTION("""COMPUTED_VALUE"""),8)</f>
        <v>8</v>
      </c>
      <c r="J1299" s="81">
        <f ca="1">IFERROR(__xludf.DUMMYFUNCTION("""COMPUTED_VALUE"""),5)</f>
        <v>5</v>
      </c>
      <c r="K1299" s="81">
        <f ca="1">IFERROR(__xludf.DUMMYFUNCTION("""COMPUTED_VALUE"""),130.9)</f>
        <v>130.9</v>
      </c>
      <c r="L1299" s="81">
        <f ca="1">IFERROR(__xludf.DUMMYFUNCTION("""COMPUTED_VALUE"""),127.95)</f>
        <v>127.95</v>
      </c>
      <c r="M1299" s="81"/>
      <c r="N1299" s="81">
        <f ca="1">IFERROR(__xludf.DUMMYFUNCTION("""COMPUTED_VALUE"""),119.7)</f>
        <v>119.7</v>
      </c>
      <c r="O1299" s="81"/>
      <c r="P1299" s="81">
        <f ca="1">IFERROR(__xludf.DUMMYFUNCTION("""COMPUTED_VALUE"""),130.9)</f>
        <v>130.9</v>
      </c>
      <c r="Q1299" s="81"/>
      <c r="R1299" s="81">
        <f ca="1">IFERROR(__xludf.DUMMYFUNCTION("""COMPUTED_VALUE"""),88.7)</f>
        <v>88.7</v>
      </c>
      <c r="S1299" s="81"/>
      <c r="T1299" s="81"/>
      <c r="U1299" s="82"/>
      <c r="V1299" s="82"/>
      <c r="W1299" s="83"/>
      <c r="X1299" s="83"/>
      <c r="Y1299" s="83"/>
    </row>
    <row r="1300" spans="1:25" ht="13.8">
      <c r="A1300" s="78" t="str">
        <f ca="1">IFERROR(__xludf.DUMMYFUNCTION("""COMPUTED_VALUE"""),"M")</f>
        <v>M</v>
      </c>
      <c r="B1300" s="79" t="str">
        <f ca="1">IFERROR(__xludf.DUMMYFUNCTION("""COMPUTED_VALUE"""),"Sofia Nystrom")</f>
        <v>Sofia Nystrom</v>
      </c>
      <c r="C1300" s="78">
        <f ca="1">IFERROR(__xludf.DUMMYFUNCTION("""COMPUTED_VALUE"""),15)</f>
        <v>15</v>
      </c>
      <c r="D1300" s="78" t="str">
        <f ca="1">IFERROR(__xludf.DUMMYFUNCTION("""COMPUTED_VALUE"""),"G")</f>
        <v>G</v>
      </c>
      <c r="E1300" s="80" t="str">
        <f ca="1">IFERROR(__xludf.DUMMYFUNCTION("""COMPUTED_VALUE"""),"S")</f>
        <v>S</v>
      </c>
      <c r="F1300" s="80" t="str">
        <f ca="1">IFERROR(__xludf.DUMMYFUNCTION("""COMPUTED_VALUE"""),"S")</f>
        <v>S</v>
      </c>
      <c r="G1300" s="80">
        <f ca="1">IFERROR(__xludf.DUMMYFUNCTION("""COMPUTED_VALUE"""),7)</f>
        <v>7</v>
      </c>
      <c r="H1300" s="80" t="str">
        <f ca="1">IFERROR(__xludf.DUMMYFUNCTION("""COMPUTED_VALUE"""),"M")</f>
        <v>M</v>
      </c>
      <c r="I1300" s="80">
        <f ca="1">IFERROR(__xludf.DUMMYFUNCTION("""COMPUTED_VALUE"""),8)</f>
        <v>8</v>
      </c>
      <c r="J1300" s="81">
        <f ca="1">IFERROR(__xludf.DUMMYFUNCTION("""COMPUTED_VALUE"""),5)</f>
        <v>5</v>
      </c>
      <c r="K1300" s="81">
        <f ca="1">IFERROR(__xludf.DUMMYFUNCTION("""COMPUTED_VALUE"""),130.7)</f>
        <v>130.69999999999999</v>
      </c>
      <c r="L1300" s="81">
        <f ca="1">IFERROR(__xludf.DUMMYFUNCTION("""COMPUTED_VALUE"""),116.3)</f>
        <v>116.3</v>
      </c>
      <c r="M1300" s="81"/>
      <c r="N1300" s="81">
        <f ca="1">IFERROR(__xludf.DUMMYFUNCTION("""COMPUTED_VALUE"""),121.5)</f>
        <v>121.5</v>
      </c>
      <c r="O1300" s="81"/>
      <c r="P1300" s="81">
        <f ca="1">IFERROR(__xludf.DUMMYFUNCTION("""COMPUTED_VALUE"""),130.7)</f>
        <v>130.69999999999999</v>
      </c>
      <c r="Q1300" s="81"/>
      <c r="R1300" s="81">
        <f ca="1">IFERROR(__xludf.DUMMYFUNCTION("""COMPUTED_VALUE"""),113.7)</f>
        <v>113.7</v>
      </c>
      <c r="S1300" s="81"/>
      <c r="T1300" s="81"/>
      <c r="U1300" s="82"/>
      <c r="V1300" s="82"/>
      <c r="W1300" s="83"/>
      <c r="X1300" s="83"/>
      <c r="Y1300" s="83"/>
    </row>
    <row r="1301" spans="1:25" ht="13.8">
      <c r="A1301" s="78" t="str">
        <f ca="1">IFERROR(__xludf.DUMMYFUNCTION("""COMPUTED_VALUE"""),"M")</f>
        <v>M</v>
      </c>
      <c r="B1301" s="79" t="str">
        <f ca="1">IFERROR(__xludf.DUMMYFUNCTION("""COMPUTED_VALUE"""),"Rohan McCarthy")</f>
        <v>Rohan McCarthy</v>
      </c>
      <c r="C1301" s="78">
        <f ca="1">IFERROR(__xludf.DUMMYFUNCTION("""COMPUTED_VALUE"""),16)</f>
        <v>16</v>
      </c>
      <c r="D1301" s="78" t="str">
        <f ca="1">IFERROR(__xludf.DUMMYFUNCTION("""COMPUTED_VALUE"""),"B")</f>
        <v>B</v>
      </c>
      <c r="E1301" s="80" t="str">
        <f ca="1">IFERROR(__xludf.DUMMYFUNCTION("""COMPUTED_VALUE"""),"S")</f>
        <v>S</v>
      </c>
      <c r="F1301" s="80" t="str">
        <f ca="1">IFERROR(__xludf.DUMMYFUNCTION("""COMPUTED_VALUE"""),"S")</f>
        <v>S</v>
      </c>
      <c r="G1301" s="80">
        <f ca="1">IFERROR(__xludf.DUMMYFUNCTION("""COMPUTED_VALUE"""),7)</f>
        <v>7</v>
      </c>
      <c r="H1301" s="80" t="str">
        <f ca="1">IFERROR(__xludf.DUMMYFUNCTION("""COMPUTED_VALUE"""),"M")</f>
        <v>M</v>
      </c>
      <c r="I1301" s="80">
        <f ca="1">IFERROR(__xludf.DUMMYFUNCTION("""COMPUTED_VALUE"""),9)</f>
        <v>9</v>
      </c>
      <c r="J1301" s="81">
        <f ca="1">IFERROR(__xludf.DUMMYFUNCTION("""COMPUTED_VALUE"""),5)</f>
        <v>5</v>
      </c>
      <c r="K1301" s="81">
        <f ca="1">IFERROR(__xludf.DUMMYFUNCTION("""COMPUTED_VALUE"""),156.7)</f>
        <v>156.69999999999999</v>
      </c>
      <c r="L1301" s="81">
        <f ca="1">IFERROR(__xludf.DUMMYFUNCTION("""COMPUTED_VALUE"""),117.95)</f>
        <v>117.95</v>
      </c>
      <c r="M1301" s="81"/>
      <c r="N1301" s="81">
        <f ca="1">IFERROR(__xludf.DUMMYFUNCTION("""COMPUTED_VALUE"""),156.7)</f>
        <v>156.69999999999999</v>
      </c>
      <c r="O1301" s="81"/>
      <c r="P1301" s="81">
        <f ca="1">IFERROR(__xludf.DUMMYFUNCTION("""COMPUTED_VALUE"""),143)</f>
        <v>143</v>
      </c>
      <c r="Q1301" s="81"/>
      <c r="R1301" s="81">
        <f ca="1">IFERROR(__xludf.DUMMYFUNCTION("""COMPUTED_VALUE"""),137.1)</f>
        <v>137.1</v>
      </c>
      <c r="S1301" s="81"/>
      <c r="T1301" s="81"/>
      <c r="U1301" s="82"/>
      <c r="V1301" s="82"/>
      <c r="W1301" s="83"/>
      <c r="X1301" s="83"/>
      <c r="Y1301" s="83"/>
    </row>
    <row r="1302" spans="1:25" ht="13.8">
      <c r="A1302" s="78" t="str">
        <f ca="1">IFERROR(__xludf.DUMMYFUNCTION("""COMPUTED_VALUE"""),"M")</f>
        <v>M</v>
      </c>
      <c r="B1302" s="79" t="str">
        <f ca="1">IFERROR(__xludf.DUMMYFUNCTION("""COMPUTED_VALUE"""),"Eian Murphy")</f>
        <v>Eian Murphy</v>
      </c>
      <c r="C1302" s="78">
        <f ca="1">IFERROR(__xludf.DUMMYFUNCTION("""COMPUTED_VALUE"""),16)</f>
        <v>16</v>
      </c>
      <c r="D1302" s="78" t="str">
        <f ca="1">IFERROR(__xludf.DUMMYFUNCTION("""COMPUTED_VALUE"""),"B")</f>
        <v>B</v>
      </c>
      <c r="E1302" s="80" t="str">
        <f ca="1">IFERROR(__xludf.DUMMYFUNCTION("""COMPUTED_VALUE"""),"S")</f>
        <v>S</v>
      </c>
      <c r="F1302" s="80" t="str">
        <f ca="1">IFERROR(__xludf.DUMMYFUNCTION("""COMPUTED_VALUE"""),"S")</f>
        <v>S</v>
      </c>
      <c r="G1302" s="80">
        <f ca="1">IFERROR(__xludf.DUMMYFUNCTION("""COMPUTED_VALUE"""),7)</f>
        <v>7</v>
      </c>
      <c r="H1302" s="80" t="str">
        <f ca="1">IFERROR(__xludf.DUMMYFUNCTION("""COMPUTED_VALUE"""),"M")</f>
        <v>M</v>
      </c>
      <c r="I1302" s="80">
        <f ca="1">IFERROR(__xludf.DUMMYFUNCTION("""COMPUTED_VALUE"""),9)</f>
        <v>9</v>
      </c>
      <c r="J1302" s="81">
        <f ca="1">IFERROR(__xludf.DUMMYFUNCTION("""COMPUTED_VALUE"""),5)</f>
        <v>5</v>
      </c>
      <c r="K1302" s="81">
        <f ca="1">IFERROR(__xludf.DUMMYFUNCTION("""COMPUTED_VALUE"""),164.5)</f>
        <v>164.5</v>
      </c>
      <c r="L1302" s="81">
        <f ca="1">IFERROR(__xludf.DUMMYFUNCTION("""COMPUTED_VALUE"""),144)</f>
        <v>144</v>
      </c>
      <c r="M1302" s="81"/>
      <c r="N1302" s="81">
        <f ca="1">IFERROR(__xludf.DUMMYFUNCTION("""COMPUTED_VALUE"""),164.5)</f>
        <v>164.5</v>
      </c>
      <c r="O1302" s="81"/>
      <c r="P1302" s="81">
        <f ca="1">IFERROR(__xludf.DUMMYFUNCTION("""COMPUTED_VALUE"""),155.65)</f>
        <v>155.65</v>
      </c>
      <c r="Q1302" s="81"/>
      <c r="R1302" s="81">
        <f ca="1">IFERROR(__xludf.DUMMYFUNCTION("""COMPUTED_VALUE"""),145.8)</f>
        <v>145.80000000000001</v>
      </c>
      <c r="S1302" s="81"/>
      <c r="T1302" s="81"/>
      <c r="U1302" s="82"/>
      <c r="V1302" s="82"/>
      <c r="W1302" s="83"/>
      <c r="X1302" s="83"/>
      <c r="Y1302" s="83"/>
    </row>
    <row r="1303" spans="1:25" ht="13.8">
      <c r="A1303" s="78" t="str">
        <f ca="1">IFERROR(__xludf.DUMMYFUNCTION("""COMPUTED_VALUE"""),"M")</f>
        <v>M</v>
      </c>
      <c r="B1303" s="79" t="str">
        <f ca="1">IFERROR(__xludf.DUMMYFUNCTION("""COMPUTED_VALUE"""),"Cyril Rudnev")</f>
        <v>Cyril Rudnev</v>
      </c>
      <c r="C1303" s="78">
        <f ca="1">IFERROR(__xludf.DUMMYFUNCTION("""COMPUTED_VALUE"""),17)</f>
        <v>17</v>
      </c>
      <c r="D1303" s="78" t="str">
        <f ca="1">IFERROR(__xludf.DUMMYFUNCTION("""COMPUTED_VALUE"""),"B")</f>
        <v>B</v>
      </c>
      <c r="E1303" s="80" t="str">
        <f ca="1">IFERROR(__xludf.DUMMYFUNCTION("""COMPUTED_VALUE"""),"S")</f>
        <v>S</v>
      </c>
      <c r="F1303" s="80" t="str">
        <f ca="1">IFERROR(__xludf.DUMMYFUNCTION("""COMPUTED_VALUE"""),"S")</f>
        <v>S</v>
      </c>
      <c r="G1303" s="80">
        <f ca="1">IFERROR(__xludf.DUMMYFUNCTION("""COMPUTED_VALUE"""),7)</f>
        <v>7</v>
      </c>
      <c r="H1303" s="80" t="str">
        <f ca="1">IFERROR(__xludf.DUMMYFUNCTION("""COMPUTED_VALUE"""),"M")</f>
        <v>M</v>
      </c>
      <c r="I1303" s="80">
        <f ca="1">IFERROR(__xludf.DUMMYFUNCTION("""COMPUTED_VALUE"""),9)</f>
        <v>9</v>
      </c>
      <c r="J1303" s="81">
        <f ca="1">IFERROR(__xludf.DUMMYFUNCTION("""COMPUTED_VALUE"""),4)</f>
        <v>4</v>
      </c>
      <c r="K1303" s="81">
        <f ca="1">IFERROR(__xludf.DUMMYFUNCTION("""COMPUTED_VALUE"""),124.25)</f>
        <v>124.25</v>
      </c>
      <c r="L1303" s="81">
        <f ca="1">IFERROR(__xludf.DUMMYFUNCTION("""COMPUTED_VALUE"""),107.5)</f>
        <v>107.5</v>
      </c>
      <c r="M1303" s="81"/>
      <c r="N1303" s="81">
        <f ca="1">IFERROR(__xludf.DUMMYFUNCTION("""COMPUTED_VALUE"""),124.25)</f>
        <v>124.25</v>
      </c>
      <c r="O1303" s="81"/>
      <c r="P1303" s="81">
        <f ca="1">IFERROR(__xludf.DUMMYFUNCTION("""COMPUTED_VALUE"""),0)</f>
        <v>0</v>
      </c>
      <c r="Q1303" s="81"/>
      <c r="R1303" s="81">
        <f ca="1">IFERROR(__xludf.DUMMYFUNCTION("""COMPUTED_VALUE"""),85.9)</f>
        <v>85.9</v>
      </c>
      <c r="S1303" s="81"/>
      <c r="T1303" s="81"/>
      <c r="U1303" s="82"/>
      <c r="V1303" s="82"/>
      <c r="W1303" s="83"/>
      <c r="X1303" s="83"/>
      <c r="Y1303" s="83"/>
    </row>
    <row r="1304" spans="1:25" ht="13.8">
      <c r="A1304" s="78" t="str">
        <f ca="1">IFERROR(__xludf.DUMMYFUNCTION("""COMPUTED_VALUE"""),"MHC")</f>
        <v>MHC</v>
      </c>
      <c r="B1304" s="79" t="str">
        <f ca="1">IFERROR(__xludf.DUMMYFUNCTION("""COMPUTED_VALUE"""),"Faye Bias")</f>
        <v>Faye Bias</v>
      </c>
      <c r="C1304" s="78">
        <f ca="1">IFERROR(__xludf.DUMMYFUNCTION("""COMPUTED_VALUE"""),6)</f>
        <v>6</v>
      </c>
      <c r="D1304" s="78" t="str">
        <f ca="1">IFERROR(__xludf.DUMMYFUNCTION("""COMPUTED_VALUE"""),"G")</f>
        <v>G</v>
      </c>
      <c r="E1304" s="80" t="str">
        <f ca="1">IFERROR(__xludf.DUMMYFUNCTION("""COMPUTED_VALUE"""),"F")</f>
        <v>F</v>
      </c>
      <c r="F1304" s="80" t="str">
        <f ca="1">IFERROR(__xludf.DUMMYFUNCTION("""COMPUTED_VALUE"""),"J")</f>
        <v>J</v>
      </c>
      <c r="G1304" s="80">
        <f ca="1">IFERROR(__xludf.DUMMYFUNCTION("""COMPUTED_VALUE"""),2)</f>
        <v>2</v>
      </c>
      <c r="H1304" s="80" t="str">
        <f ca="1">IFERROR(__xludf.DUMMYFUNCTION("""COMPUTED_VALUE"""),"MHC")</f>
        <v>MHC</v>
      </c>
      <c r="I1304" s="80">
        <f ca="1">IFERROR(__xludf.DUMMYFUNCTION("""COMPUTED_VALUE"""),2)</f>
        <v>2</v>
      </c>
      <c r="J1304" s="81">
        <f ca="1">IFERROR(__xludf.DUMMYFUNCTION("""COMPUTED_VALUE"""),0)</f>
        <v>0</v>
      </c>
      <c r="K1304" s="81">
        <f ca="1">IFERROR(__xludf.DUMMYFUNCTION("""COMPUTED_VALUE"""),0)</f>
        <v>0</v>
      </c>
      <c r="L1304" s="81">
        <f ca="1">IFERROR(__xludf.DUMMYFUNCTION("""COMPUTED_VALUE"""),0)</f>
        <v>0</v>
      </c>
      <c r="M1304" s="81"/>
      <c r="N1304" s="81">
        <f ca="1">IFERROR(__xludf.DUMMYFUNCTION("""COMPUTED_VALUE"""),0)</f>
        <v>0</v>
      </c>
      <c r="O1304" s="81"/>
      <c r="P1304" s="81">
        <f ca="1">IFERROR(__xludf.DUMMYFUNCTION("""COMPUTED_VALUE"""),0)</f>
        <v>0</v>
      </c>
      <c r="Q1304" s="81"/>
      <c r="R1304" s="81">
        <f ca="1">IFERROR(__xludf.DUMMYFUNCTION("""COMPUTED_VALUE"""),0)</f>
        <v>0</v>
      </c>
      <c r="S1304" s="81"/>
      <c r="T1304" s="81"/>
      <c r="U1304" s="82"/>
      <c r="V1304" s="82"/>
      <c r="W1304" s="83"/>
      <c r="X1304" s="83"/>
      <c r="Y1304" s="83"/>
    </row>
    <row r="1305" spans="1:25" ht="13.8">
      <c r="A1305" s="78" t="str">
        <f ca="1">IFERROR(__xludf.DUMMYFUNCTION("""COMPUTED_VALUE"""),"MHC")</f>
        <v>MHC</v>
      </c>
      <c r="B1305" s="79" t="str">
        <f ca="1">IFERROR(__xludf.DUMMYFUNCTION("""COMPUTED_VALUE"""),"Macy Bias")</f>
        <v>Macy Bias</v>
      </c>
      <c r="C1305" s="78">
        <f ca="1">IFERROR(__xludf.DUMMYFUNCTION("""COMPUTED_VALUE"""),8)</f>
        <v>8</v>
      </c>
      <c r="D1305" s="78" t="str">
        <f ca="1">IFERROR(__xludf.DUMMYFUNCTION("""COMPUTED_VALUE"""),"G")</f>
        <v>G</v>
      </c>
      <c r="E1305" s="80" t="str">
        <f ca="1">IFERROR(__xludf.DUMMYFUNCTION("""COMPUTED_VALUE"""),"F")</f>
        <v>F</v>
      </c>
      <c r="F1305" s="80" t="str">
        <f ca="1">IFERROR(__xludf.DUMMYFUNCTION("""COMPUTED_VALUE"""),"J")</f>
        <v>J</v>
      </c>
      <c r="G1305" s="80">
        <f ca="1">IFERROR(__xludf.DUMMYFUNCTION("""COMPUTED_VALUE"""),2)</f>
        <v>2</v>
      </c>
      <c r="H1305" s="80" t="str">
        <f ca="1">IFERROR(__xludf.DUMMYFUNCTION("""COMPUTED_VALUE"""),"MHC")</f>
        <v>MHC</v>
      </c>
      <c r="I1305" s="80">
        <f ca="1">IFERROR(__xludf.DUMMYFUNCTION("""COMPUTED_VALUE"""),2)</f>
        <v>2</v>
      </c>
      <c r="J1305" s="81">
        <f ca="1">IFERROR(__xludf.DUMMYFUNCTION("""COMPUTED_VALUE"""),4)</f>
        <v>4</v>
      </c>
      <c r="K1305" s="81">
        <f ca="1">IFERROR(__xludf.DUMMYFUNCTION("""COMPUTED_VALUE"""),32.5)</f>
        <v>32.5</v>
      </c>
      <c r="L1305" s="81">
        <f ca="1">IFERROR(__xludf.DUMMYFUNCTION("""COMPUTED_VALUE"""),0)</f>
        <v>0</v>
      </c>
      <c r="M1305" s="81"/>
      <c r="N1305" s="81">
        <f ca="1">IFERROR(__xludf.DUMMYFUNCTION("""COMPUTED_VALUE"""),21.2)</f>
        <v>21.2</v>
      </c>
      <c r="O1305" s="81"/>
      <c r="P1305" s="81">
        <f ca="1">IFERROR(__xludf.DUMMYFUNCTION("""COMPUTED_VALUE"""),24.85)</f>
        <v>24.85</v>
      </c>
      <c r="Q1305" s="81"/>
      <c r="R1305" s="81">
        <f ca="1">IFERROR(__xludf.DUMMYFUNCTION("""COMPUTED_VALUE"""),32.5)</f>
        <v>32.5</v>
      </c>
      <c r="S1305" s="81"/>
      <c r="T1305" s="81"/>
      <c r="U1305" s="82"/>
      <c r="V1305" s="82"/>
      <c r="W1305" s="83"/>
      <c r="X1305" s="83"/>
      <c r="Y1305" s="83"/>
    </row>
    <row r="1306" spans="1:25" ht="13.8">
      <c r="A1306" s="78" t="str">
        <f ca="1">IFERROR(__xludf.DUMMYFUNCTION("""COMPUTED_VALUE"""),"MHC")</f>
        <v>MHC</v>
      </c>
      <c r="B1306" s="79" t="str">
        <f ca="1">IFERROR(__xludf.DUMMYFUNCTION("""COMPUTED_VALUE"""),"AJ Keane")</f>
        <v>AJ Keane</v>
      </c>
      <c r="C1306" s="78">
        <f ca="1">IFERROR(__xludf.DUMMYFUNCTION("""COMPUTED_VALUE"""),7)</f>
        <v>7</v>
      </c>
      <c r="D1306" s="78" t="str">
        <f ca="1">IFERROR(__xludf.DUMMYFUNCTION("""COMPUTED_VALUE"""),"G")</f>
        <v>G</v>
      </c>
      <c r="E1306" s="80" t="str">
        <f ca="1">IFERROR(__xludf.DUMMYFUNCTION("""COMPUTED_VALUE"""),"F")</f>
        <v>F</v>
      </c>
      <c r="F1306" s="80" t="str">
        <f ca="1">IFERROR(__xludf.DUMMYFUNCTION("""COMPUTED_VALUE"""),"J")</f>
        <v>J</v>
      </c>
      <c r="G1306" s="80">
        <f ca="1">IFERROR(__xludf.DUMMYFUNCTION("""COMPUTED_VALUE"""),2)</f>
        <v>2</v>
      </c>
      <c r="H1306" s="80" t="str">
        <f ca="1">IFERROR(__xludf.DUMMYFUNCTION("""COMPUTED_VALUE"""),"MHC")</f>
        <v>MHC</v>
      </c>
      <c r="I1306" s="80">
        <f ca="1">IFERROR(__xludf.DUMMYFUNCTION("""COMPUTED_VALUE"""),2)</f>
        <v>2</v>
      </c>
      <c r="J1306" s="81">
        <f ca="1">IFERROR(__xludf.DUMMYFUNCTION("""COMPUTED_VALUE"""),5)</f>
        <v>5</v>
      </c>
      <c r="K1306" s="81">
        <f ca="1">IFERROR(__xludf.DUMMYFUNCTION("""COMPUTED_VALUE"""),41.6)</f>
        <v>41.6</v>
      </c>
      <c r="L1306" s="81">
        <f ca="1">IFERROR(__xludf.DUMMYFUNCTION("""COMPUTED_VALUE"""),13.1)</f>
        <v>13.1</v>
      </c>
      <c r="M1306" s="81"/>
      <c r="N1306" s="81">
        <f ca="1">IFERROR(__xludf.DUMMYFUNCTION("""COMPUTED_VALUE"""),21)</f>
        <v>21</v>
      </c>
      <c r="O1306" s="81"/>
      <c r="P1306" s="81">
        <f ca="1">IFERROR(__xludf.DUMMYFUNCTION("""COMPUTED_VALUE"""),35)</f>
        <v>35</v>
      </c>
      <c r="Q1306" s="81"/>
      <c r="R1306" s="81">
        <f ca="1">IFERROR(__xludf.DUMMYFUNCTION("""COMPUTED_VALUE"""),41.6)</f>
        <v>41.6</v>
      </c>
      <c r="S1306" s="81"/>
      <c r="T1306" s="81"/>
      <c r="U1306" s="82"/>
      <c r="V1306" s="82"/>
      <c r="W1306" s="83"/>
      <c r="X1306" s="83"/>
      <c r="Y1306" s="83"/>
    </row>
    <row r="1307" spans="1:25" ht="13.8">
      <c r="A1307" s="78" t="str">
        <f ca="1">IFERROR(__xludf.DUMMYFUNCTION("""COMPUTED_VALUE"""),"MHC")</f>
        <v>MHC</v>
      </c>
      <c r="B1307" s="79" t="str">
        <f ca="1">IFERROR(__xludf.DUMMYFUNCTION("""COMPUTED_VALUE"""),"Rachel MacDonald")</f>
        <v>Rachel MacDonald</v>
      </c>
      <c r="C1307" s="78">
        <f ca="1">IFERROR(__xludf.DUMMYFUNCTION("""COMPUTED_VALUE"""),9)</f>
        <v>9</v>
      </c>
      <c r="D1307" s="78" t="str">
        <f ca="1">IFERROR(__xludf.DUMMYFUNCTION("""COMPUTED_VALUE"""),"G")</f>
        <v>G</v>
      </c>
      <c r="E1307" s="80" t="str">
        <f ca="1">IFERROR(__xludf.DUMMYFUNCTION("""COMPUTED_VALUE"""),"F")</f>
        <v>F</v>
      </c>
      <c r="F1307" s="80" t="str">
        <f ca="1">IFERROR(__xludf.DUMMYFUNCTION("""COMPUTED_VALUE"""),"J")</f>
        <v>J</v>
      </c>
      <c r="G1307" s="80">
        <f ca="1">IFERROR(__xludf.DUMMYFUNCTION("""COMPUTED_VALUE"""),2)</f>
        <v>2</v>
      </c>
      <c r="H1307" s="80" t="str">
        <f ca="1">IFERROR(__xludf.DUMMYFUNCTION("""COMPUTED_VALUE"""),"MHC")</f>
        <v>MHC</v>
      </c>
      <c r="I1307" s="80">
        <f ca="1">IFERROR(__xludf.DUMMYFUNCTION("""COMPUTED_VALUE"""),2)</f>
        <v>2</v>
      </c>
      <c r="J1307" s="81">
        <f ca="1">IFERROR(__xludf.DUMMYFUNCTION("""COMPUTED_VALUE"""),3)</f>
        <v>3</v>
      </c>
      <c r="K1307" s="81">
        <f ca="1">IFERROR(__xludf.DUMMYFUNCTION("""COMPUTED_VALUE"""),48.3)</f>
        <v>48.3</v>
      </c>
      <c r="L1307" s="81">
        <f ca="1">IFERROR(__xludf.DUMMYFUNCTION("""COMPUTED_VALUE"""),48.3)</f>
        <v>48.3</v>
      </c>
      <c r="M1307" s="81"/>
      <c r="N1307" s="81">
        <f ca="1">IFERROR(__xludf.DUMMYFUNCTION("""COMPUTED_VALUE"""),0)</f>
        <v>0</v>
      </c>
      <c r="O1307" s="81"/>
      <c r="P1307" s="81">
        <f ca="1">IFERROR(__xludf.DUMMYFUNCTION("""COMPUTED_VALUE"""),37.1)</f>
        <v>37.1</v>
      </c>
      <c r="Q1307" s="81"/>
      <c r="R1307" s="81">
        <f ca="1">IFERROR(__xludf.DUMMYFUNCTION("""COMPUTED_VALUE"""),0)</f>
        <v>0</v>
      </c>
      <c r="S1307" s="81"/>
      <c r="T1307" s="81"/>
      <c r="U1307" s="82"/>
      <c r="V1307" s="82"/>
      <c r="W1307" s="83"/>
      <c r="X1307" s="83"/>
      <c r="Y1307" s="83"/>
    </row>
    <row r="1308" spans="1:25" ht="13.8">
      <c r="A1308" s="78" t="str">
        <f ca="1">IFERROR(__xludf.DUMMYFUNCTION("""COMPUTED_VALUE"""),"MHC")</f>
        <v>MHC</v>
      </c>
      <c r="B1308" s="79" t="str">
        <f ca="1">IFERROR(__xludf.DUMMYFUNCTION("""COMPUTED_VALUE"""),"Reagan Marm")</f>
        <v>Reagan Marm</v>
      </c>
      <c r="C1308" s="78">
        <f ca="1">IFERROR(__xludf.DUMMYFUNCTION("""COMPUTED_VALUE"""),9)</f>
        <v>9</v>
      </c>
      <c r="D1308" s="78" t="str">
        <f ca="1">IFERROR(__xludf.DUMMYFUNCTION("""COMPUTED_VALUE"""),"G")</f>
        <v>G</v>
      </c>
      <c r="E1308" s="80" t="str">
        <f ca="1">IFERROR(__xludf.DUMMYFUNCTION("""COMPUTED_VALUE"""),"F")</f>
        <v>F</v>
      </c>
      <c r="F1308" s="80" t="str">
        <f ca="1">IFERROR(__xludf.DUMMYFUNCTION("""COMPUTED_VALUE"""),"J")</f>
        <v>J</v>
      </c>
      <c r="G1308" s="80">
        <f ca="1">IFERROR(__xludf.DUMMYFUNCTION("""COMPUTED_VALUE"""),2)</f>
        <v>2</v>
      </c>
      <c r="H1308" s="80" t="str">
        <f ca="1">IFERROR(__xludf.DUMMYFUNCTION("""COMPUTED_VALUE"""),"MHC")</f>
        <v>MHC</v>
      </c>
      <c r="I1308" s="80">
        <f ca="1">IFERROR(__xludf.DUMMYFUNCTION("""COMPUTED_VALUE"""),2)</f>
        <v>2</v>
      </c>
      <c r="J1308" s="81">
        <f ca="1">IFERROR(__xludf.DUMMYFUNCTION("""COMPUTED_VALUE"""),0)</f>
        <v>0</v>
      </c>
      <c r="K1308" s="81">
        <f ca="1">IFERROR(__xludf.DUMMYFUNCTION("""COMPUTED_VALUE"""),0)</f>
        <v>0</v>
      </c>
      <c r="L1308" s="81">
        <f ca="1">IFERROR(__xludf.DUMMYFUNCTION("""COMPUTED_VALUE"""),0)</f>
        <v>0</v>
      </c>
      <c r="M1308" s="81"/>
      <c r="N1308" s="81">
        <f ca="1">IFERROR(__xludf.DUMMYFUNCTION("""COMPUTED_VALUE"""),0)</f>
        <v>0</v>
      </c>
      <c r="O1308" s="81"/>
      <c r="P1308" s="81">
        <f ca="1">IFERROR(__xludf.DUMMYFUNCTION("""COMPUTED_VALUE"""),0)</f>
        <v>0</v>
      </c>
      <c r="Q1308" s="81"/>
      <c r="R1308" s="81">
        <f ca="1">IFERROR(__xludf.DUMMYFUNCTION("""COMPUTED_VALUE"""),0)</f>
        <v>0</v>
      </c>
      <c r="S1308" s="81"/>
      <c r="T1308" s="81"/>
      <c r="U1308" s="82"/>
      <c r="V1308" s="82"/>
      <c r="W1308" s="83"/>
      <c r="X1308" s="83"/>
      <c r="Y1308" s="83"/>
    </row>
    <row r="1309" spans="1:25" ht="13.8">
      <c r="A1309" s="78" t="str">
        <f ca="1">IFERROR(__xludf.DUMMYFUNCTION("""COMPUTED_VALUE"""),"MHC")</f>
        <v>MHC</v>
      </c>
      <c r="B1309" s="79" t="str">
        <f ca="1">IFERROR(__xludf.DUMMYFUNCTION("""COMPUTED_VALUE"""),"Delaney Payne")</f>
        <v>Delaney Payne</v>
      </c>
      <c r="C1309" s="78">
        <f ca="1">IFERROR(__xludf.DUMMYFUNCTION("""COMPUTED_VALUE"""),8)</f>
        <v>8</v>
      </c>
      <c r="D1309" s="78" t="str">
        <f ca="1">IFERROR(__xludf.DUMMYFUNCTION("""COMPUTED_VALUE"""),"G")</f>
        <v>G</v>
      </c>
      <c r="E1309" s="80" t="str">
        <f ca="1">IFERROR(__xludf.DUMMYFUNCTION("""COMPUTED_VALUE"""),"F")</f>
        <v>F</v>
      </c>
      <c r="F1309" s="80" t="str">
        <f ca="1">IFERROR(__xludf.DUMMYFUNCTION("""COMPUTED_VALUE"""),"J")</f>
        <v>J</v>
      </c>
      <c r="G1309" s="80">
        <f ca="1">IFERROR(__xludf.DUMMYFUNCTION("""COMPUTED_VALUE"""),2)</f>
        <v>2</v>
      </c>
      <c r="H1309" s="80" t="str">
        <f ca="1">IFERROR(__xludf.DUMMYFUNCTION("""COMPUTED_VALUE"""),"MHC")</f>
        <v>MHC</v>
      </c>
      <c r="I1309" s="80">
        <f ca="1">IFERROR(__xludf.DUMMYFUNCTION("""COMPUTED_VALUE"""),2)</f>
        <v>2</v>
      </c>
      <c r="J1309" s="81">
        <f ca="1">IFERROR(__xludf.DUMMYFUNCTION("""COMPUTED_VALUE"""),3)</f>
        <v>3</v>
      </c>
      <c r="K1309" s="81">
        <f ca="1">IFERROR(__xludf.DUMMYFUNCTION("""COMPUTED_VALUE"""),40.15)</f>
        <v>40.15</v>
      </c>
      <c r="L1309" s="81">
        <f ca="1">IFERROR(__xludf.DUMMYFUNCTION("""COMPUTED_VALUE"""),0)</f>
        <v>0</v>
      </c>
      <c r="M1309" s="81"/>
      <c r="N1309" s="81">
        <f ca="1">IFERROR(__xludf.DUMMYFUNCTION("""COMPUTED_VALUE"""),40.15)</f>
        <v>40.15</v>
      </c>
      <c r="O1309" s="81"/>
      <c r="P1309" s="81">
        <f ca="1">IFERROR(__xludf.DUMMYFUNCTION("""COMPUTED_VALUE"""),0)</f>
        <v>0</v>
      </c>
      <c r="Q1309" s="81"/>
      <c r="R1309" s="81">
        <f ca="1">IFERROR(__xludf.DUMMYFUNCTION("""COMPUTED_VALUE"""),33)</f>
        <v>33</v>
      </c>
      <c r="S1309" s="81"/>
      <c r="T1309" s="81"/>
      <c r="U1309" s="82"/>
      <c r="V1309" s="82"/>
      <c r="W1309" s="83"/>
      <c r="X1309" s="83"/>
      <c r="Y1309" s="83"/>
    </row>
    <row r="1310" spans="1:25" ht="13.8">
      <c r="A1310" s="78" t="str">
        <f ca="1">IFERROR(__xludf.DUMMYFUNCTION("""COMPUTED_VALUE"""),"MHC")</f>
        <v>MHC</v>
      </c>
      <c r="B1310" s="79" t="str">
        <f ca="1">IFERROR(__xludf.DUMMYFUNCTION("""COMPUTED_VALUE"""),"Thomas Bergeron")</f>
        <v>Thomas Bergeron</v>
      </c>
      <c r="C1310" s="78">
        <f ca="1">IFERROR(__xludf.DUMMYFUNCTION("""COMPUTED_VALUE"""),10)</f>
        <v>10</v>
      </c>
      <c r="D1310" s="78" t="str">
        <f ca="1">IFERROR(__xludf.DUMMYFUNCTION("""COMPUTED_VALUE"""),"B")</f>
        <v>B</v>
      </c>
      <c r="E1310" s="80" t="str">
        <f ca="1">IFERROR(__xludf.DUMMYFUNCTION("""COMPUTED_VALUE"""),"F")</f>
        <v>F</v>
      </c>
      <c r="F1310" s="80" t="str">
        <f ca="1">IFERROR(__xludf.DUMMYFUNCTION("""COMPUTED_VALUE"""),"J")</f>
        <v>J</v>
      </c>
      <c r="G1310" s="80">
        <f ca="1">IFERROR(__xludf.DUMMYFUNCTION("""COMPUTED_VALUE"""),2)</f>
        <v>2</v>
      </c>
      <c r="H1310" s="80" t="str">
        <f ca="1">IFERROR(__xludf.DUMMYFUNCTION("""COMPUTED_VALUE"""),"MHC")</f>
        <v>MHC</v>
      </c>
      <c r="I1310" s="80">
        <f ca="1">IFERROR(__xludf.DUMMYFUNCTION("""COMPUTED_VALUE"""),3)</f>
        <v>3</v>
      </c>
      <c r="J1310" s="81">
        <f ca="1">IFERROR(__xludf.DUMMYFUNCTION("""COMPUTED_VALUE"""),1)</f>
        <v>1</v>
      </c>
      <c r="K1310" s="81">
        <f ca="1">IFERROR(__xludf.DUMMYFUNCTION("""COMPUTED_VALUE"""),0)</f>
        <v>0</v>
      </c>
      <c r="L1310" s="81">
        <f ca="1">IFERROR(__xludf.DUMMYFUNCTION("""COMPUTED_VALUE"""),0)</f>
        <v>0</v>
      </c>
      <c r="M1310" s="81"/>
      <c r="N1310" s="81">
        <f ca="1">IFERROR(__xludf.DUMMYFUNCTION("""COMPUTED_VALUE"""),-43.35)</f>
        <v>-43.35</v>
      </c>
      <c r="O1310" s="81"/>
      <c r="P1310" s="81">
        <f ca="1">IFERROR(__xludf.DUMMYFUNCTION("""COMPUTED_VALUE"""),0)</f>
        <v>0</v>
      </c>
      <c r="Q1310" s="81"/>
      <c r="R1310" s="81">
        <f ca="1">IFERROR(__xludf.DUMMYFUNCTION("""COMPUTED_VALUE"""),0)</f>
        <v>0</v>
      </c>
      <c r="S1310" s="81"/>
      <c r="T1310" s="81"/>
      <c r="U1310" s="82"/>
      <c r="V1310" s="82"/>
      <c r="W1310" s="83"/>
      <c r="X1310" s="83"/>
      <c r="Y1310" s="83"/>
    </row>
    <row r="1311" spans="1:25" ht="13.8">
      <c r="A1311" s="78" t="str">
        <f ca="1">IFERROR(__xludf.DUMMYFUNCTION("""COMPUTED_VALUE"""),"MHC")</f>
        <v>MHC</v>
      </c>
      <c r="B1311" s="79" t="str">
        <f ca="1">IFERROR(__xludf.DUMMYFUNCTION("""COMPUTED_VALUE"""),"Zachary Bergeron")</f>
        <v>Zachary Bergeron</v>
      </c>
      <c r="C1311" s="78">
        <f ca="1">IFERROR(__xludf.DUMMYFUNCTION("""COMPUTED_VALUE"""),9)</f>
        <v>9</v>
      </c>
      <c r="D1311" s="78" t="str">
        <f ca="1">IFERROR(__xludf.DUMMYFUNCTION("""COMPUTED_VALUE"""),"B")</f>
        <v>B</v>
      </c>
      <c r="E1311" s="80" t="str">
        <f ca="1">IFERROR(__xludf.DUMMYFUNCTION("""COMPUTED_VALUE"""),"F")</f>
        <v>F</v>
      </c>
      <c r="F1311" s="80" t="str">
        <f ca="1">IFERROR(__xludf.DUMMYFUNCTION("""COMPUTED_VALUE"""),"J")</f>
        <v>J</v>
      </c>
      <c r="G1311" s="80">
        <f ca="1">IFERROR(__xludf.DUMMYFUNCTION("""COMPUTED_VALUE"""),2)</f>
        <v>2</v>
      </c>
      <c r="H1311" s="80" t="str">
        <f ca="1">IFERROR(__xludf.DUMMYFUNCTION("""COMPUTED_VALUE"""),"MHC")</f>
        <v>MHC</v>
      </c>
      <c r="I1311" s="80">
        <f ca="1">IFERROR(__xludf.DUMMYFUNCTION("""COMPUTED_VALUE"""),3)</f>
        <v>3</v>
      </c>
      <c r="J1311" s="81">
        <f ca="1">IFERROR(__xludf.DUMMYFUNCTION("""COMPUTED_VALUE"""),0)</f>
        <v>0</v>
      </c>
      <c r="K1311" s="81">
        <f ca="1">IFERROR(__xludf.DUMMYFUNCTION("""COMPUTED_VALUE"""),0)</f>
        <v>0</v>
      </c>
      <c r="L1311" s="81">
        <f ca="1">IFERROR(__xludf.DUMMYFUNCTION("""COMPUTED_VALUE"""),0)</f>
        <v>0</v>
      </c>
      <c r="M1311" s="81"/>
      <c r="N1311" s="81">
        <f ca="1">IFERROR(__xludf.DUMMYFUNCTION("""COMPUTED_VALUE"""),0)</f>
        <v>0</v>
      </c>
      <c r="O1311" s="81"/>
      <c r="P1311" s="81">
        <f ca="1">IFERROR(__xludf.DUMMYFUNCTION("""COMPUTED_VALUE"""),0)</f>
        <v>0</v>
      </c>
      <c r="Q1311" s="81"/>
      <c r="R1311" s="81">
        <f ca="1">IFERROR(__xludf.DUMMYFUNCTION("""COMPUTED_VALUE"""),0)</f>
        <v>0</v>
      </c>
      <c r="S1311" s="81"/>
      <c r="T1311" s="81"/>
      <c r="U1311" s="82"/>
      <c r="V1311" s="82"/>
      <c r="W1311" s="83"/>
      <c r="X1311" s="83"/>
      <c r="Y1311" s="83"/>
    </row>
    <row r="1312" spans="1:25" ht="13.8">
      <c r="A1312" s="78" t="str">
        <f ca="1">IFERROR(__xludf.DUMMYFUNCTION("""COMPUTED_VALUE"""),"MHC")</f>
        <v>MHC</v>
      </c>
      <c r="B1312" s="79" t="str">
        <f ca="1">IFERROR(__xludf.DUMMYFUNCTION("""COMPUTED_VALUE"""),"Ben Carrado")</f>
        <v>Ben Carrado</v>
      </c>
      <c r="C1312" s="78">
        <f ca="1">IFERROR(__xludf.DUMMYFUNCTION("""COMPUTED_VALUE"""),6)</f>
        <v>6</v>
      </c>
      <c r="D1312" s="78" t="str">
        <f ca="1">IFERROR(__xludf.DUMMYFUNCTION("""COMPUTED_VALUE"""),"B")</f>
        <v>B</v>
      </c>
      <c r="E1312" s="80" t="str">
        <f ca="1">IFERROR(__xludf.DUMMYFUNCTION("""COMPUTED_VALUE"""),"F")</f>
        <v>F</v>
      </c>
      <c r="F1312" s="80" t="str">
        <f ca="1">IFERROR(__xludf.DUMMYFUNCTION("""COMPUTED_VALUE"""),"J")</f>
        <v>J</v>
      </c>
      <c r="G1312" s="80">
        <f ca="1">IFERROR(__xludf.DUMMYFUNCTION("""COMPUTED_VALUE"""),2)</f>
        <v>2</v>
      </c>
      <c r="H1312" s="80" t="str">
        <f ca="1">IFERROR(__xludf.DUMMYFUNCTION("""COMPUTED_VALUE"""),"MHC")</f>
        <v>MHC</v>
      </c>
      <c r="I1312" s="80">
        <f ca="1">IFERROR(__xludf.DUMMYFUNCTION("""COMPUTED_VALUE"""),3)</f>
        <v>3</v>
      </c>
      <c r="J1312" s="81">
        <f ca="1">IFERROR(__xludf.DUMMYFUNCTION("""COMPUTED_VALUE"""),3)</f>
        <v>3</v>
      </c>
      <c r="K1312" s="81">
        <f ca="1">IFERROR(__xludf.DUMMYFUNCTION("""COMPUTED_VALUE"""),10)</f>
        <v>10</v>
      </c>
      <c r="L1312" s="81">
        <f ca="1">IFERROR(__xludf.DUMMYFUNCTION("""COMPUTED_VALUE"""),0)</f>
        <v>0</v>
      </c>
      <c r="M1312" s="81"/>
      <c r="N1312" s="81">
        <f ca="1">IFERROR(__xludf.DUMMYFUNCTION("""COMPUTED_VALUE"""),8.75)</f>
        <v>8.75</v>
      </c>
      <c r="O1312" s="81"/>
      <c r="P1312" s="81">
        <f ca="1">IFERROR(__xludf.DUMMYFUNCTION("""COMPUTED_VALUE"""),0)</f>
        <v>0</v>
      </c>
      <c r="Q1312" s="81"/>
      <c r="R1312" s="81">
        <f ca="1">IFERROR(__xludf.DUMMYFUNCTION("""COMPUTED_VALUE"""),10)</f>
        <v>10</v>
      </c>
      <c r="S1312" s="81"/>
      <c r="T1312" s="81"/>
      <c r="U1312" s="82"/>
      <c r="V1312" s="82"/>
      <c r="W1312" s="83"/>
      <c r="X1312" s="83"/>
      <c r="Y1312" s="83"/>
    </row>
    <row r="1313" spans="1:25" ht="13.8">
      <c r="A1313" s="78" t="str">
        <f ca="1">IFERROR(__xludf.DUMMYFUNCTION("""COMPUTED_VALUE"""),"MHC")</f>
        <v>MHC</v>
      </c>
      <c r="B1313" s="79" t="str">
        <f ca="1">IFERROR(__xludf.DUMMYFUNCTION("""COMPUTED_VALUE"""),"Sam Carrado")</f>
        <v>Sam Carrado</v>
      </c>
      <c r="C1313" s="78">
        <f ca="1">IFERROR(__xludf.DUMMYFUNCTION("""COMPUTED_VALUE"""),10)</f>
        <v>10</v>
      </c>
      <c r="D1313" s="78" t="str">
        <f ca="1">IFERROR(__xludf.DUMMYFUNCTION("""COMPUTED_VALUE"""),"B")</f>
        <v>B</v>
      </c>
      <c r="E1313" s="80" t="str">
        <f ca="1">IFERROR(__xludf.DUMMYFUNCTION("""COMPUTED_VALUE"""),"F")</f>
        <v>F</v>
      </c>
      <c r="F1313" s="80" t="str">
        <f ca="1">IFERROR(__xludf.DUMMYFUNCTION("""COMPUTED_VALUE"""),"J")</f>
        <v>J</v>
      </c>
      <c r="G1313" s="80">
        <f ca="1">IFERROR(__xludf.DUMMYFUNCTION("""COMPUTED_VALUE"""),2)</f>
        <v>2</v>
      </c>
      <c r="H1313" s="80" t="str">
        <f ca="1">IFERROR(__xludf.DUMMYFUNCTION("""COMPUTED_VALUE"""),"MHC")</f>
        <v>MHC</v>
      </c>
      <c r="I1313" s="80">
        <f ca="1">IFERROR(__xludf.DUMMYFUNCTION("""COMPUTED_VALUE"""),3)</f>
        <v>3</v>
      </c>
      <c r="J1313" s="81">
        <f ca="1">IFERROR(__xludf.DUMMYFUNCTION("""COMPUTED_VALUE"""),5)</f>
        <v>5</v>
      </c>
      <c r="K1313" s="81">
        <f ca="1">IFERROR(__xludf.DUMMYFUNCTION("""COMPUTED_VALUE"""),62.4)</f>
        <v>62.4</v>
      </c>
      <c r="L1313" s="81">
        <f ca="1">IFERROR(__xludf.DUMMYFUNCTION("""COMPUTED_VALUE"""),45.45)</f>
        <v>45.45</v>
      </c>
      <c r="M1313" s="81"/>
      <c r="N1313" s="81">
        <f ca="1">IFERROR(__xludf.DUMMYFUNCTION("""COMPUTED_VALUE"""),-60.8)</f>
        <v>-60.8</v>
      </c>
      <c r="O1313" s="81"/>
      <c r="P1313" s="81">
        <f ca="1">IFERROR(__xludf.DUMMYFUNCTION("""COMPUTED_VALUE"""),45.8)</f>
        <v>45.8</v>
      </c>
      <c r="Q1313" s="81"/>
      <c r="R1313" s="81">
        <f ca="1">IFERROR(__xludf.DUMMYFUNCTION("""COMPUTED_VALUE"""),62.4)</f>
        <v>62.4</v>
      </c>
      <c r="S1313" s="81"/>
      <c r="T1313" s="81"/>
      <c r="U1313" s="82"/>
      <c r="V1313" s="82"/>
      <c r="W1313" s="83"/>
      <c r="X1313" s="83"/>
      <c r="Y1313" s="83"/>
    </row>
    <row r="1314" spans="1:25" ht="13.8">
      <c r="A1314" s="78" t="str">
        <f ca="1">IFERROR(__xludf.DUMMYFUNCTION("""COMPUTED_VALUE"""),"MHC")</f>
        <v>MHC</v>
      </c>
      <c r="B1314" s="79" t="str">
        <f ca="1">IFERROR(__xludf.DUMMYFUNCTION("""COMPUTED_VALUE"""),"Henry Eustis")</f>
        <v>Henry Eustis</v>
      </c>
      <c r="C1314" s="78">
        <f ca="1">IFERROR(__xludf.DUMMYFUNCTION("""COMPUTED_VALUE"""),6)</f>
        <v>6</v>
      </c>
      <c r="D1314" s="78" t="str">
        <f ca="1">IFERROR(__xludf.DUMMYFUNCTION("""COMPUTED_VALUE"""),"B")</f>
        <v>B</v>
      </c>
      <c r="E1314" s="80" t="str">
        <f ca="1">IFERROR(__xludf.DUMMYFUNCTION("""COMPUTED_VALUE"""),"F")</f>
        <v>F</v>
      </c>
      <c r="F1314" s="80" t="str">
        <f ca="1">IFERROR(__xludf.DUMMYFUNCTION("""COMPUTED_VALUE"""),"J")</f>
        <v>J</v>
      </c>
      <c r="G1314" s="80">
        <f ca="1">IFERROR(__xludf.DUMMYFUNCTION("""COMPUTED_VALUE"""),2)</f>
        <v>2</v>
      </c>
      <c r="H1314" s="80" t="str">
        <f ca="1">IFERROR(__xludf.DUMMYFUNCTION("""COMPUTED_VALUE"""),"MHC")</f>
        <v>MHC</v>
      </c>
      <c r="I1314" s="80">
        <f ca="1">IFERROR(__xludf.DUMMYFUNCTION("""COMPUTED_VALUE"""),3)</f>
        <v>3</v>
      </c>
      <c r="J1314" s="81">
        <f ca="1">IFERROR(__xludf.DUMMYFUNCTION("""COMPUTED_VALUE"""),1)</f>
        <v>1</v>
      </c>
      <c r="K1314" s="81">
        <f ca="1">IFERROR(__xludf.DUMMYFUNCTION("""COMPUTED_VALUE"""),11.5)</f>
        <v>11.5</v>
      </c>
      <c r="L1314" s="81">
        <f ca="1">IFERROR(__xludf.DUMMYFUNCTION("""COMPUTED_VALUE"""),0)</f>
        <v>0</v>
      </c>
      <c r="M1314" s="81"/>
      <c r="N1314" s="81">
        <f ca="1">IFERROR(__xludf.DUMMYFUNCTION("""COMPUTED_VALUE"""),11.5)</f>
        <v>11.5</v>
      </c>
      <c r="O1314" s="81"/>
      <c r="P1314" s="81">
        <f ca="1">IFERROR(__xludf.DUMMYFUNCTION("""COMPUTED_VALUE"""),0)</f>
        <v>0</v>
      </c>
      <c r="Q1314" s="81"/>
      <c r="R1314" s="81">
        <f ca="1">IFERROR(__xludf.DUMMYFUNCTION("""COMPUTED_VALUE"""),0)</f>
        <v>0</v>
      </c>
      <c r="S1314" s="81"/>
      <c r="T1314" s="81"/>
      <c r="U1314" s="82"/>
      <c r="V1314" s="82"/>
      <c r="W1314" s="83"/>
      <c r="X1314" s="83"/>
      <c r="Y1314" s="83"/>
    </row>
    <row r="1315" spans="1:25" ht="13.8">
      <c r="A1315" s="78" t="str">
        <f ca="1">IFERROR(__xludf.DUMMYFUNCTION("""COMPUTED_VALUE"""),"MHC")</f>
        <v>MHC</v>
      </c>
      <c r="B1315" s="79" t="str">
        <f ca="1">IFERROR(__xludf.DUMMYFUNCTION("""COMPUTED_VALUE"""),"Owen Eustis")</f>
        <v>Owen Eustis</v>
      </c>
      <c r="C1315" s="78">
        <f ca="1">IFERROR(__xludf.DUMMYFUNCTION("""COMPUTED_VALUE"""),7)</f>
        <v>7</v>
      </c>
      <c r="D1315" s="78" t="str">
        <f ca="1">IFERROR(__xludf.DUMMYFUNCTION("""COMPUTED_VALUE"""),"B")</f>
        <v>B</v>
      </c>
      <c r="E1315" s="80" t="str">
        <f ca="1">IFERROR(__xludf.DUMMYFUNCTION("""COMPUTED_VALUE"""),"F")</f>
        <v>F</v>
      </c>
      <c r="F1315" s="80" t="str">
        <f ca="1">IFERROR(__xludf.DUMMYFUNCTION("""COMPUTED_VALUE"""),"J")</f>
        <v>J</v>
      </c>
      <c r="G1315" s="80">
        <f ca="1">IFERROR(__xludf.DUMMYFUNCTION("""COMPUTED_VALUE"""),2)</f>
        <v>2</v>
      </c>
      <c r="H1315" s="80" t="str">
        <f ca="1">IFERROR(__xludf.DUMMYFUNCTION("""COMPUTED_VALUE"""),"MHC")</f>
        <v>MHC</v>
      </c>
      <c r="I1315" s="80">
        <f ca="1">IFERROR(__xludf.DUMMYFUNCTION("""COMPUTED_VALUE"""),3)</f>
        <v>3</v>
      </c>
      <c r="J1315" s="81">
        <f ca="1">IFERROR(__xludf.DUMMYFUNCTION("""COMPUTED_VALUE"""),3)</f>
        <v>3</v>
      </c>
      <c r="K1315" s="81">
        <f ca="1">IFERROR(__xludf.DUMMYFUNCTION("""COMPUTED_VALUE"""),27.65)</f>
        <v>27.65</v>
      </c>
      <c r="L1315" s="81">
        <f ca="1">IFERROR(__xludf.DUMMYFUNCTION("""COMPUTED_VALUE"""),0)</f>
        <v>0</v>
      </c>
      <c r="M1315" s="81"/>
      <c r="N1315" s="81">
        <f ca="1">IFERROR(__xludf.DUMMYFUNCTION("""COMPUTED_VALUE"""),20.75)</f>
        <v>20.75</v>
      </c>
      <c r="O1315" s="81"/>
      <c r="P1315" s="81">
        <f ca="1">IFERROR(__xludf.DUMMYFUNCTION("""COMPUTED_VALUE"""),0)</f>
        <v>0</v>
      </c>
      <c r="Q1315" s="81"/>
      <c r="R1315" s="81">
        <f ca="1">IFERROR(__xludf.DUMMYFUNCTION("""COMPUTED_VALUE"""),27.65)</f>
        <v>27.65</v>
      </c>
      <c r="S1315" s="81"/>
      <c r="T1315" s="81"/>
      <c r="U1315" s="82"/>
      <c r="V1315" s="82"/>
      <c r="W1315" s="83"/>
      <c r="X1315" s="83"/>
      <c r="Y1315" s="83"/>
    </row>
    <row r="1316" spans="1:25" ht="13.8">
      <c r="A1316" s="78" t="str">
        <f ca="1">IFERROR(__xludf.DUMMYFUNCTION("""COMPUTED_VALUE"""),"MHC")</f>
        <v>MHC</v>
      </c>
      <c r="B1316" s="79" t="str">
        <f ca="1">IFERROR(__xludf.DUMMYFUNCTION("""COMPUTED_VALUE"""),"Kalvin Kramer")</f>
        <v>Kalvin Kramer</v>
      </c>
      <c r="C1316" s="78">
        <f ca="1">IFERROR(__xludf.DUMMYFUNCTION("""COMPUTED_VALUE"""),6)</f>
        <v>6</v>
      </c>
      <c r="D1316" s="78" t="str">
        <f ca="1">IFERROR(__xludf.DUMMYFUNCTION("""COMPUTED_VALUE"""),"B")</f>
        <v>B</v>
      </c>
      <c r="E1316" s="80" t="str">
        <f ca="1">IFERROR(__xludf.DUMMYFUNCTION("""COMPUTED_VALUE"""),"F")</f>
        <v>F</v>
      </c>
      <c r="F1316" s="80" t="str">
        <f ca="1">IFERROR(__xludf.DUMMYFUNCTION("""COMPUTED_VALUE"""),"J")</f>
        <v>J</v>
      </c>
      <c r="G1316" s="80">
        <f ca="1">IFERROR(__xludf.DUMMYFUNCTION("""COMPUTED_VALUE"""),2)</f>
        <v>2</v>
      </c>
      <c r="H1316" s="80" t="str">
        <f ca="1">IFERROR(__xludf.DUMMYFUNCTION("""COMPUTED_VALUE"""),"MHC")</f>
        <v>MHC</v>
      </c>
      <c r="I1316" s="80">
        <f ca="1">IFERROR(__xludf.DUMMYFUNCTION("""COMPUTED_VALUE"""),3)</f>
        <v>3</v>
      </c>
      <c r="J1316" s="81">
        <f ca="1">IFERROR(__xludf.DUMMYFUNCTION("""COMPUTED_VALUE"""),2)</f>
        <v>2</v>
      </c>
      <c r="K1316" s="81">
        <f ca="1">IFERROR(__xludf.DUMMYFUNCTION("""COMPUTED_VALUE"""),11.15)</f>
        <v>11.15</v>
      </c>
      <c r="L1316" s="81">
        <f ca="1">IFERROR(__xludf.DUMMYFUNCTION("""COMPUTED_VALUE"""),0)</f>
        <v>0</v>
      </c>
      <c r="M1316" s="81"/>
      <c r="N1316" s="81">
        <f ca="1">IFERROR(__xludf.DUMMYFUNCTION("""COMPUTED_VALUE"""),11.15)</f>
        <v>11.15</v>
      </c>
      <c r="O1316" s="81"/>
      <c r="P1316" s="81">
        <f ca="1">IFERROR(__xludf.DUMMYFUNCTION("""COMPUTED_VALUE"""),0)</f>
        <v>0</v>
      </c>
      <c r="Q1316" s="81"/>
      <c r="R1316" s="81">
        <f ca="1">IFERROR(__xludf.DUMMYFUNCTION("""COMPUTED_VALUE"""),0)</f>
        <v>0</v>
      </c>
      <c r="S1316" s="81"/>
      <c r="T1316" s="81"/>
      <c r="U1316" s="82"/>
      <c r="V1316" s="82"/>
      <c r="W1316" s="83"/>
      <c r="X1316" s="83"/>
      <c r="Y1316" s="83"/>
    </row>
    <row r="1317" spans="1:25" ht="13.8">
      <c r="A1317" s="78" t="str">
        <f ca="1">IFERROR(__xludf.DUMMYFUNCTION("""COMPUTED_VALUE"""),"MHC")</f>
        <v>MHC</v>
      </c>
      <c r="B1317" s="79" t="str">
        <f ca="1">IFERROR(__xludf.DUMMYFUNCTION("""COMPUTED_VALUE"""),"Kambron Kramer")</f>
        <v>Kambron Kramer</v>
      </c>
      <c r="C1317" s="78">
        <f ca="1">IFERROR(__xludf.DUMMYFUNCTION("""COMPUTED_VALUE"""),9)</f>
        <v>9</v>
      </c>
      <c r="D1317" s="78" t="str">
        <f ca="1">IFERROR(__xludf.DUMMYFUNCTION("""COMPUTED_VALUE"""),"B")</f>
        <v>B</v>
      </c>
      <c r="E1317" s="80" t="str">
        <f ca="1">IFERROR(__xludf.DUMMYFUNCTION("""COMPUTED_VALUE"""),"F")</f>
        <v>F</v>
      </c>
      <c r="F1317" s="80" t="str">
        <f ca="1">IFERROR(__xludf.DUMMYFUNCTION("""COMPUTED_VALUE"""),"J")</f>
        <v>J</v>
      </c>
      <c r="G1317" s="80">
        <f ca="1">IFERROR(__xludf.DUMMYFUNCTION("""COMPUTED_VALUE"""),2)</f>
        <v>2</v>
      </c>
      <c r="H1317" s="80" t="str">
        <f ca="1">IFERROR(__xludf.DUMMYFUNCTION("""COMPUTED_VALUE"""),"MHC")</f>
        <v>MHC</v>
      </c>
      <c r="I1317" s="80">
        <f ca="1">IFERROR(__xludf.DUMMYFUNCTION("""COMPUTED_VALUE"""),3)</f>
        <v>3</v>
      </c>
      <c r="J1317" s="81">
        <f ca="1">IFERROR(__xludf.DUMMYFUNCTION("""COMPUTED_VALUE"""),2)</f>
        <v>2</v>
      </c>
      <c r="K1317" s="81">
        <f ca="1">IFERROR(__xludf.DUMMYFUNCTION("""COMPUTED_VALUE"""),22.25)</f>
        <v>22.25</v>
      </c>
      <c r="L1317" s="81">
        <f ca="1">IFERROR(__xludf.DUMMYFUNCTION("""COMPUTED_VALUE"""),0)</f>
        <v>0</v>
      </c>
      <c r="M1317" s="81"/>
      <c r="N1317" s="81">
        <f ca="1">IFERROR(__xludf.DUMMYFUNCTION("""COMPUTED_VALUE"""),0)</f>
        <v>0</v>
      </c>
      <c r="O1317" s="81"/>
      <c r="P1317" s="81">
        <f ca="1">IFERROR(__xludf.DUMMYFUNCTION("""COMPUTED_VALUE"""),0)</f>
        <v>0</v>
      </c>
      <c r="Q1317" s="81"/>
      <c r="R1317" s="81">
        <f ca="1">IFERROR(__xludf.DUMMYFUNCTION("""COMPUTED_VALUE"""),22.25)</f>
        <v>22.25</v>
      </c>
      <c r="S1317" s="81"/>
      <c r="T1317" s="81"/>
      <c r="U1317" s="82"/>
      <c r="V1317" s="82"/>
      <c r="W1317" s="83"/>
      <c r="X1317" s="83"/>
      <c r="Y1317" s="83"/>
    </row>
    <row r="1318" spans="1:25" ht="13.8">
      <c r="A1318" s="78" t="str">
        <f ca="1">IFERROR(__xludf.DUMMYFUNCTION("""COMPUTED_VALUE"""),"MHC")</f>
        <v>MHC</v>
      </c>
      <c r="B1318" s="79" t="str">
        <f ca="1">IFERROR(__xludf.DUMMYFUNCTION("""COMPUTED_VALUE"""),"Keegan Kurtzhals")</f>
        <v>Keegan Kurtzhals</v>
      </c>
      <c r="C1318" s="78">
        <f ca="1">IFERROR(__xludf.DUMMYFUNCTION("""COMPUTED_VALUE"""),10)</f>
        <v>10</v>
      </c>
      <c r="D1318" s="78" t="str">
        <f ca="1">IFERROR(__xludf.DUMMYFUNCTION("""COMPUTED_VALUE"""),"B")</f>
        <v>B</v>
      </c>
      <c r="E1318" s="80" t="str">
        <f ca="1">IFERROR(__xludf.DUMMYFUNCTION("""COMPUTED_VALUE"""),"F")</f>
        <v>F</v>
      </c>
      <c r="F1318" s="80" t="str">
        <f ca="1">IFERROR(__xludf.DUMMYFUNCTION("""COMPUTED_VALUE"""),"J")</f>
        <v>J</v>
      </c>
      <c r="G1318" s="80">
        <f ca="1">IFERROR(__xludf.DUMMYFUNCTION("""COMPUTED_VALUE"""),2)</f>
        <v>2</v>
      </c>
      <c r="H1318" s="80" t="str">
        <f ca="1">IFERROR(__xludf.DUMMYFUNCTION("""COMPUTED_VALUE"""),"MHC")</f>
        <v>MHC</v>
      </c>
      <c r="I1318" s="80">
        <f ca="1">IFERROR(__xludf.DUMMYFUNCTION("""COMPUTED_VALUE"""),3)</f>
        <v>3</v>
      </c>
      <c r="J1318" s="81">
        <f ca="1">IFERROR(__xludf.DUMMYFUNCTION("""COMPUTED_VALUE"""),3)</f>
        <v>3</v>
      </c>
      <c r="K1318" s="81">
        <f ca="1">IFERROR(__xludf.DUMMYFUNCTION("""COMPUTED_VALUE"""),41.35)</f>
        <v>41.35</v>
      </c>
      <c r="L1318" s="81">
        <f ca="1">IFERROR(__xludf.DUMMYFUNCTION("""COMPUTED_VALUE"""),0)</f>
        <v>0</v>
      </c>
      <c r="M1318" s="81"/>
      <c r="N1318" s="81">
        <f ca="1">IFERROR(__xludf.DUMMYFUNCTION("""COMPUTED_VALUE"""),21)</f>
        <v>21</v>
      </c>
      <c r="O1318" s="81"/>
      <c r="P1318" s="81">
        <f ca="1">IFERROR(__xludf.DUMMYFUNCTION("""COMPUTED_VALUE"""),0)</f>
        <v>0</v>
      </c>
      <c r="Q1318" s="81"/>
      <c r="R1318" s="81">
        <f ca="1">IFERROR(__xludf.DUMMYFUNCTION("""COMPUTED_VALUE"""),41.35)</f>
        <v>41.35</v>
      </c>
      <c r="S1318" s="81"/>
      <c r="T1318" s="81"/>
      <c r="U1318" s="82"/>
      <c r="V1318" s="82"/>
      <c r="W1318" s="83"/>
      <c r="X1318" s="83"/>
      <c r="Y1318" s="83"/>
    </row>
    <row r="1319" spans="1:25" ht="13.8">
      <c r="A1319" s="78" t="str">
        <f ca="1">IFERROR(__xludf.DUMMYFUNCTION("""COMPUTED_VALUE"""),"MHC")</f>
        <v>MHC</v>
      </c>
      <c r="B1319" s="79" t="str">
        <f ca="1">IFERROR(__xludf.DUMMYFUNCTION("""COMPUTED_VALUE"""),"Kolton Kurtzhals")</f>
        <v>Kolton Kurtzhals</v>
      </c>
      <c r="C1319" s="78">
        <f ca="1">IFERROR(__xludf.DUMMYFUNCTION("""COMPUTED_VALUE"""),8)</f>
        <v>8</v>
      </c>
      <c r="D1319" s="78" t="str">
        <f ca="1">IFERROR(__xludf.DUMMYFUNCTION("""COMPUTED_VALUE"""),"B")</f>
        <v>B</v>
      </c>
      <c r="E1319" s="80" t="str">
        <f ca="1">IFERROR(__xludf.DUMMYFUNCTION("""COMPUTED_VALUE"""),"F")</f>
        <v>F</v>
      </c>
      <c r="F1319" s="80" t="str">
        <f ca="1">IFERROR(__xludf.DUMMYFUNCTION("""COMPUTED_VALUE"""),"J")</f>
        <v>J</v>
      </c>
      <c r="G1319" s="80">
        <f ca="1">IFERROR(__xludf.DUMMYFUNCTION("""COMPUTED_VALUE"""),2)</f>
        <v>2</v>
      </c>
      <c r="H1319" s="80" t="str">
        <f ca="1">IFERROR(__xludf.DUMMYFUNCTION("""COMPUTED_VALUE"""),"MHC")</f>
        <v>MHC</v>
      </c>
      <c r="I1319" s="80">
        <f ca="1">IFERROR(__xludf.DUMMYFUNCTION("""COMPUTED_VALUE"""),3)</f>
        <v>3</v>
      </c>
      <c r="J1319" s="81">
        <f ca="1">IFERROR(__xludf.DUMMYFUNCTION("""COMPUTED_VALUE"""),3)</f>
        <v>3</v>
      </c>
      <c r="K1319" s="81">
        <f ca="1">IFERROR(__xludf.DUMMYFUNCTION("""COMPUTED_VALUE"""),46.8)</f>
        <v>46.8</v>
      </c>
      <c r="L1319" s="81">
        <f ca="1">IFERROR(__xludf.DUMMYFUNCTION("""COMPUTED_VALUE"""),0)</f>
        <v>0</v>
      </c>
      <c r="M1319" s="81"/>
      <c r="N1319" s="81">
        <f ca="1">IFERROR(__xludf.DUMMYFUNCTION("""COMPUTED_VALUE"""),46.8)</f>
        <v>46.8</v>
      </c>
      <c r="O1319" s="81"/>
      <c r="P1319" s="81">
        <f ca="1">IFERROR(__xludf.DUMMYFUNCTION("""COMPUTED_VALUE"""),0)</f>
        <v>0</v>
      </c>
      <c r="Q1319" s="81"/>
      <c r="R1319" s="81">
        <f ca="1">IFERROR(__xludf.DUMMYFUNCTION("""COMPUTED_VALUE"""),44.6)</f>
        <v>44.6</v>
      </c>
      <c r="S1319" s="81"/>
      <c r="T1319" s="81"/>
      <c r="U1319" s="82"/>
      <c r="V1319" s="82"/>
      <c r="W1319" s="83"/>
      <c r="X1319" s="83"/>
      <c r="Y1319" s="83"/>
    </row>
    <row r="1320" spans="1:25" ht="13.8">
      <c r="A1320" s="78" t="str">
        <f ca="1">IFERROR(__xludf.DUMMYFUNCTION("""COMPUTED_VALUE"""),"MHC")</f>
        <v>MHC</v>
      </c>
      <c r="B1320" s="79" t="str">
        <f ca="1">IFERROR(__xludf.DUMMYFUNCTION("""COMPUTED_VALUE"""),"Austin Lant")</f>
        <v>Austin Lant</v>
      </c>
      <c r="C1320" s="78">
        <f ca="1">IFERROR(__xludf.DUMMYFUNCTION("""COMPUTED_VALUE"""),9)</f>
        <v>9</v>
      </c>
      <c r="D1320" s="78" t="str">
        <f ca="1">IFERROR(__xludf.DUMMYFUNCTION("""COMPUTED_VALUE"""),"B")</f>
        <v>B</v>
      </c>
      <c r="E1320" s="80" t="str">
        <f ca="1">IFERROR(__xludf.DUMMYFUNCTION("""COMPUTED_VALUE"""),"F")</f>
        <v>F</v>
      </c>
      <c r="F1320" s="80" t="str">
        <f ca="1">IFERROR(__xludf.DUMMYFUNCTION("""COMPUTED_VALUE"""),"J")</f>
        <v>J</v>
      </c>
      <c r="G1320" s="80">
        <f ca="1">IFERROR(__xludf.DUMMYFUNCTION("""COMPUTED_VALUE"""),2)</f>
        <v>2</v>
      </c>
      <c r="H1320" s="80" t="str">
        <f ca="1">IFERROR(__xludf.DUMMYFUNCTION("""COMPUTED_VALUE"""),"MHC")</f>
        <v>MHC</v>
      </c>
      <c r="I1320" s="80">
        <f ca="1">IFERROR(__xludf.DUMMYFUNCTION("""COMPUTED_VALUE"""),3)</f>
        <v>3</v>
      </c>
      <c r="J1320" s="81">
        <f ca="1">IFERROR(__xludf.DUMMYFUNCTION("""COMPUTED_VALUE"""),5)</f>
        <v>5</v>
      </c>
      <c r="K1320" s="81">
        <f ca="1">IFERROR(__xludf.DUMMYFUNCTION("""COMPUTED_VALUE"""),45.6)</f>
        <v>45.6</v>
      </c>
      <c r="L1320" s="81">
        <f ca="1">IFERROR(__xludf.DUMMYFUNCTION("""COMPUTED_VALUE"""),44.8)</f>
        <v>44.8</v>
      </c>
      <c r="M1320" s="81"/>
      <c r="N1320" s="81">
        <f ca="1">IFERROR(__xludf.DUMMYFUNCTION("""COMPUTED_VALUE"""),45.6)</f>
        <v>45.6</v>
      </c>
      <c r="O1320" s="81"/>
      <c r="P1320" s="81">
        <f ca="1">IFERROR(__xludf.DUMMYFUNCTION("""COMPUTED_VALUE"""),27.6)</f>
        <v>27.6</v>
      </c>
      <c r="Q1320" s="81"/>
      <c r="R1320" s="81">
        <f ca="1">IFERROR(__xludf.DUMMYFUNCTION("""COMPUTED_VALUE"""),40.4)</f>
        <v>40.4</v>
      </c>
      <c r="S1320" s="81"/>
      <c r="T1320" s="81"/>
      <c r="U1320" s="82"/>
      <c r="V1320" s="82"/>
      <c r="W1320" s="83"/>
      <c r="X1320" s="83"/>
      <c r="Y1320" s="83"/>
    </row>
    <row r="1321" spans="1:25" ht="13.8">
      <c r="A1321" s="78" t="str">
        <f ca="1">IFERROR(__xludf.DUMMYFUNCTION("""COMPUTED_VALUE"""),"MHC")</f>
        <v>MHC</v>
      </c>
      <c r="B1321" s="79" t="str">
        <f ca="1">IFERROR(__xludf.DUMMYFUNCTION("""COMPUTED_VALUE"""),"Henry Raak")</f>
        <v>Henry Raak</v>
      </c>
      <c r="C1321" s="78">
        <f ca="1">IFERROR(__xludf.DUMMYFUNCTION("""COMPUTED_VALUE"""),10)</f>
        <v>10</v>
      </c>
      <c r="D1321" s="78" t="str">
        <f ca="1">IFERROR(__xludf.DUMMYFUNCTION("""COMPUTED_VALUE"""),"B")</f>
        <v>B</v>
      </c>
      <c r="E1321" s="80" t="str">
        <f ca="1">IFERROR(__xludf.DUMMYFUNCTION("""COMPUTED_VALUE"""),"F")</f>
        <v>F</v>
      </c>
      <c r="F1321" s="80" t="str">
        <f ca="1">IFERROR(__xludf.DUMMYFUNCTION("""COMPUTED_VALUE"""),"J")</f>
        <v>J</v>
      </c>
      <c r="G1321" s="80">
        <f ca="1">IFERROR(__xludf.DUMMYFUNCTION("""COMPUTED_VALUE"""),2)</f>
        <v>2</v>
      </c>
      <c r="H1321" s="80" t="str">
        <f ca="1">IFERROR(__xludf.DUMMYFUNCTION("""COMPUTED_VALUE"""),"MHC")</f>
        <v>MHC</v>
      </c>
      <c r="I1321" s="80">
        <f ca="1">IFERROR(__xludf.DUMMYFUNCTION("""COMPUTED_VALUE"""),3)</f>
        <v>3</v>
      </c>
      <c r="J1321" s="81">
        <f ca="1">IFERROR(__xludf.DUMMYFUNCTION("""COMPUTED_VALUE"""),0)</f>
        <v>0</v>
      </c>
      <c r="K1321" s="81">
        <f ca="1">IFERROR(__xludf.DUMMYFUNCTION("""COMPUTED_VALUE"""),0)</f>
        <v>0</v>
      </c>
      <c r="L1321" s="81">
        <f ca="1">IFERROR(__xludf.DUMMYFUNCTION("""COMPUTED_VALUE"""),0)</f>
        <v>0</v>
      </c>
      <c r="M1321" s="81"/>
      <c r="N1321" s="81">
        <f ca="1">IFERROR(__xludf.DUMMYFUNCTION("""COMPUTED_VALUE"""),0)</f>
        <v>0</v>
      </c>
      <c r="O1321" s="81"/>
      <c r="P1321" s="81">
        <f ca="1">IFERROR(__xludf.DUMMYFUNCTION("""COMPUTED_VALUE"""),0)</f>
        <v>0</v>
      </c>
      <c r="Q1321" s="81"/>
      <c r="R1321" s="81">
        <f ca="1">IFERROR(__xludf.DUMMYFUNCTION("""COMPUTED_VALUE"""),0)</f>
        <v>0</v>
      </c>
      <c r="S1321" s="81"/>
      <c r="T1321" s="81"/>
      <c r="U1321" s="82"/>
      <c r="V1321" s="82"/>
      <c r="W1321" s="83"/>
      <c r="X1321" s="83"/>
      <c r="Y1321" s="83"/>
    </row>
    <row r="1322" spans="1:25" ht="13.8">
      <c r="A1322" s="78" t="str">
        <f ca="1">IFERROR(__xludf.DUMMYFUNCTION("""COMPUTED_VALUE"""),"MHC")</f>
        <v>MHC</v>
      </c>
      <c r="B1322" s="79" t="str">
        <f ca="1">IFERROR(__xludf.DUMMYFUNCTION("""COMPUTED_VALUE"""),"Caitlin Christensen")</f>
        <v>Caitlin Christensen</v>
      </c>
      <c r="C1322" s="78">
        <f ca="1">IFERROR(__xludf.DUMMYFUNCTION("""COMPUTED_VALUE"""),11)</f>
        <v>11</v>
      </c>
      <c r="D1322" s="78" t="str">
        <f ca="1">IFERROR(__xludf.DUMMYFUNCTION("""COMPUTED_VALUE"""),"G")</f>
        <v>G</v>
      </c>
      <c r="E1322" s="80" t="str">
        <f ca="1">IFERROR(__xludf.DUMMYFUNCTION("""COMPUTED_VALUE"""),"J")</f>
        <v>J</v>
      </c>
      <c r="F1322" s="80" t="str">
        <f ca="1">IFERROR(__xludf.DUMMYFUNCTION("""COMPUTED_VALUE"""),"I")</f>
        <v>I</v>
      </c>
      <c r="G1322" s="80">
        <f ca="1">IFERROR(__xludf.DUMMYFUNCTION("""COMPUTED_VALUE"""),2)</f>
        <v>2</v>
      </c>
      <c r="H1322" s="80" t="str">
        <f ca="1">IFERROR(__xludf.DUMMYFUNCTION("""COMPUTED_VALUE"""),"MHC")</f>
        <v>MHC</v>
      </c>
      <c r="I1322" s="80">
        <f ca="1">IFERROR(__xludf.DUMMYFUNCTION("""COMPUTED_VALUE"""),4)</f>
        <v>4</v>
      </c>
      <c r="J1322" s="81">
        <f ca="1">IFERROR(__xludf.DUMMYFUNCTION("""COMPUTED_VALUE"""),4)</f>
        <v>4</v>
      </c>
      <c r="K1322" s="81">
        <f ca="1">IFERROR(__xludf.DUMMYFUNCTION("""COMPUTED_VALUE"""),94.15)</f>
        <v>94.15</v>
      </c>
      <c r="L1322" s="81">
        <f ca="1">IFERROR(__xludf.DUMMYFUNCTION("""COMPUTED_VALUE"""),92.55)</f>
        <v>92.55</v>
      </c>
      <c r="M1322" s="81"/>
      <c r="N1322" s="81">
        <f ca="1">IFERROR(__xludf.DUMMYFUNCTION("""COMPUTED_VALUE"""),84.7)</f>
        <v>84.7</v>
      </c>
      <c r="O1322" s="81"/>
      <c r="P1322" s="81">
        <f ca="1">IFERROR(__xludf.DUMMYFUNCTION("""COMPUTED_VALUE"""),0)</f>
        <v>0</v>
      </c>
      <c r="Q1322" s="81"/>
      <c r="R1322" s="81">
        <f ca="1">IFERROR(__xludf.DUMMYFUNCTION("""COMPUTED_VALUE"""),94.15)</f>
        <v>94.15</v>
      </c>
      <c r="S1322" s="81"/>
      <c r="T1322" s="81"/>
      <c r="U1322" s="82"/>
      <c r="V1322" s="82"/>
      <c r="W1322" s="83"/>
      <c r="X1322" s="83"/>
      <c r="Y1322" s="83"/>
    </row>
    <row r="1323" spans="1:25" ht="13.8">
      <c r="A1323" s="78" t="str">
        <f ca="1">IFERROR(__xludf.DUMMYFUNCTION("""COMPUTED_VALUE"""),"MHC")</f>
        <v>MHC</v>
      </c>
      <c r="B1323" s="79" t="str">
        <f ca="1">IFERROR(__xludf.DUMMYFUNCTION("""COMPUTED_VALUE"""),"Allison Duffield")</f>
        <v>Allison Duffield</v>
      </c>
      <c r="C1323" s="78">
        <f ca="1">IFERROR(__xludf.DUMMYFUNCTION("""COMPUTED_VALUE"""),12)</f>
        <v>12</v>
      </c>
      <c r="D1323" s="78" t="str">
        <f ca="1">IFERROR(__xludf.DUMMYFUNCTION("""COMPUTED_VALUE"""),"G")</f>
        <v>G</v>
      </c>
      <c r="E1323" s="80" t="str">
        <f ca="1">IFERROR(__xludf.DUMMYFUNCTION("""COMPUTED_VALUE"""),"J")</f>
        <v>J</v>
      </c>
      <c r="F1323" s="80" t="str">
        <f ca="1">IFERROR(__xludf.DUMMYFUNCTION("""COMPUTED_VALUE"""),"I")</f>
        <v>I</v>
      </c>
      <c r="G1323" s="80">
        <f ca="1">IFERROR(__xludf.DUMMYFUNCTION("""COMPUTED_VALUE"""),2)</f>
        <v>2</v>
      </c>
      <c r="H1323" s="80" t="str">
        <f ca="1">IFERROR(__xludf.DUMMYFUNCTION("""COMPUTED_VALUE"""),"MHC")</f>
        <v>MHC</v>
      </c>
      <c r="I1323" s="80">
        <f ca="1">IFERROR(__xludf.DUMMYFUNCTION("""COMPUTED_VALUE"""),4)</f>
        <v>4</v>
      </c>
      <c r="J1323" s="81">
        <f ca="1">IFERROR(__xludf.DUMMYFUNCTION("""COMPUTED_VALUE"""),5)</f>
        <v>5</v>
      </c>
      <c r="K1323" s="81">
        <f ca="1">IFERROR(__xludf.DUMMYFUNCTION("""COMPUTED_VALUE"""),76.45)</f>
        <v>76.45</v>
      </c>
      <c r="L1323" s="81">
        <f ca="1">IFERROR(__xludf.DUMMYFUNCTION("""COMPUTED_VALUE"""),58.9)</f>
        <v>58.9</v>
      </c>
      <c r="M1323" s="81"/>
      <c r="N1323" s="81">
        <f ca="1">IFERROR(__xludf.DUMMYFUNCTION("""COMPUTED_VALUE"""),72.95)</f>
        <v>72.95</v>
      </c>
      <c r="O1323" s="81"/>
      <c r="P1323" s="81">
        <f ca="1">IFERROR(__xludf.DUMMYFUNCTION("""COMPUTED_VALUE"""),64.1)</f>
        <v>64.099999999999994</v>
      </c>
      <c r="Q1323" s="81"/>
      <c r="R1323" s="81">
        <f ca="1">IFERROR(__xludf.DUMMYFUNCTION("""COMPUTED_VALUE"""),76.45)</f>
        <v>76.45</v>
      </c>
      <c r="S1323" s="81"/>
      <c r="T1323" s="81"/>
      <c r="U1323" s="82"/>
      <c r="V1323" s="82"/>
      <c r="W1323" s="83"/>
      <c r="X1323" s="83"/>
      <c r="Y1323" s="83"/>
    </row>
    <row r="1324" spans="1:25" ht="13.8">
      <c r="A1324" s="78" t="str">
        <f ca="1">IFERROR(__xludf.DUMMYFUNCTION("""COMPUTED_VALUE"""),"MHC")</f>
        <v>MHC</v>
      </c>
      <c r="B1324" s="79" t="str">
        <f ca="1">IFERROR(__xludf.DUMMYFUNCTION("""COMPUTED_VALUE"""),"Tabby Fulmer")</f>
        <v>Tabby Fulmer</v>
      </c>
      <c r="C1324" s="78">
        <f ca="1">IFERROR(__xludf.DUMMYFUNCTION("""COMPUTED_VALUE"""),11)</f>
        <v>11</v>
      </c>
      <c r="D1324" s="78" t="str">
        <f ca="1">IFERROR(__xludf.DUMMYFUNCTION("""COMPUTED_VALUE"""),"G")</f>
        <v>G</v>
      </c>
      <c r="E1324" s="80" t="str">
        <f ca="1">IFERROR(__xludf.DUMMYFUNCTION("""COMPUTED_VALUE"""),"J")</f>
        <v>J</v>
      </c>
      <c r="F1324" s="80" t="str">
        <f ca="1">IFERROR(__xludf.DUMMYFUNCTION("""COMPUTED_VALUE"""),"I")</f>
        <v>I</v>
      </c>
      <c r="G1324" s="80">
        <f ca="1">IFERROR(__xludf.DUMMYFUNCTION("""COMPUTED_VALUE"""),2)</f>
        <v>2</v>
      </c>
      <c r="H1324" s="80" t="str">
        <f ca="1">IFERROR(__xludf.DUMMYFUNCTION("""COMPUTED_VALUE"""),"MHC")</f>
        <v>MHC</v>
      </c>
      <c r="I1324" s="80">
        <f ca="1">IFERROR(__xludf.DUMMYFUNCTION("""COMPUTED_VALUE"""),4)</f>
        <v>4</v>
      </c>
      <c r="J1324" s="81">
        <f ca="1">IFERROR(__xludf.DUMMYFUNCTION("""COMPUTED_VALUE"""),0)</f>
        <v>0</v>
      </c>
      <c r="K1324" s="81">
        <f ca="1">IFERROR(__xludf.DUMMYFUNCTION("""COMPUTED_VALUE"""),0)</f>
        <v>0</v>
      </c>
      <c r="L1324" s="81">
        <f ca="1">IFERROR(__xludf.DUMMYFUNCTION("""COMPUTED_VALUE"""),0)</f>
        <v>0</v>
      </c>
      <c r="M1324" s="81"/>
      <c r="N1324" s="81">
        <f ca="1">IFERROR(__xludf.DUMMYFUNCTION("""COMPUTED_VALUE"""),0)</f>
        <v>0</v>
      </c>
      <c r="O1324" s="81"/>
      <c r="P1324" s="81">
        <f ca="1">IFERROR(__xludf.DUMMYFUNCTION("""COMPUTED_VALUE"""),0)</f>
        <v>0</v>
      </c>
      <c r="Q1324" s="81"/>
      <c r="R1324" s="81">
        <f ca="1">IFERROR(__xludf.DUMMYFUNCTION("""COMPUTED_VALUE"""),0)</f>
        <v>0</v>
      </c>
      <c r="S1324" s="81"/>
      <c r="T1324" s="81"/>
      <c r="U1324" s="82"/>
      <c r="V1324" s="82"/>
      <c r="W1324" s="83"/>
      <c r="X1324" s="83"/>
      <c r="Y1324" s="83"/>
    </row>
    <row r="1325" spans="1:25" ht="13.8">
      <c r="A1325" s="78" t="str">
        <f ca="1">IFERROR(__xludf.DUMMYFUNCTION("""COMPUTED_VALUE"""),"MHC")</f>
        <v>MHC</v>
      </c>
      <c r="B1325" s="79" t="str">
        <f ca="1">IFERROR(__xludf.DUMMYFUNCTION("""COMPUTED_VALUE"""),"Remington Hall")</f>
        <v>Remington Hall</v>
      </c>
      <c r="C1325" s="78">
        <f ca="1">IFERROR(__xludf.DUMMYFUNCTION("""COMPUTED_VALUE"""),11)</f>
        <v>11</v>
      </c>
      <c r="D1325" s="78" t="str">
        <f ca="1">IFERROR(__xludf.DUMMYFUNCTION("""COMPUTED_VALUE"""),"G")</f>
        <v>G</v>
      </c>
      <c r="E1325" s="80" t="str">
        <f ca="1">IFERROR(__xludf.DUMMYFUNCTION("""COMPUTED_VALUE"""),"J")</f>
        <v>J</v>
      </c>
      <c r="F1325" s="80" t="str">
        <f ca="1">IFERROR(__xludf.DUMMYFUNCTION("""COMPUTED_VALUE"""),"I")</f>
        <v>I</v>
      </c>
      <c r="G1325" s="80">
        <f ca="1">IFERROR(__xludf.DUMMYFUNCTION("""COMPUTED_VALUE"""),2)</f>
        <v>2</v>
      </c>
      <c r="H1325" s="80" t="str">
        <f ca="1">IFERROR(__xludf.DUMMYFUNCTION("""COMPUTED_VALUE"""),"MHC")</f>
        <v>MHC</v>
      </c>
      <c r="I1325" s="80">
        <f ca="1">IFERROR(__xludf.DUMMYFUNCTION("""COMPUTED_VALUE"""),4)</f>
        <v>4</v>
      </c>
      <c r="J1325" s="81">
        <f ca="1">IFERROR(__xludf.DUMMYFUNCTION("""COMPUTED_VALUE"""),4)</f>
        <v>4</v>
      </c>
      <c r="K1325" s="81">
        <f ca="1">IFERROR(__xludf.DUMMYFUNCTION("""COMPUTED_VALUE"""),81.3)</f>
        <v>81.3</v>
      </c>
      <c r="L1325" s="81">
        <f ca="1">IFERROR(__xludf.DUMMYFUNCTION("""COMPUTED_VALUE"""),54.75)</f>
        <v>54.75</v>
      </c>
      <c r="M1325" s="81"/>
      <c r="N1325" s="81">
        <f ca="1">IFERROR(__xludf.DUMMYFUNCTION("""COMPUTED_VALUE"""),65.35)</f>
        <v>65.349999999999994</v>
      </c>
      <c r="O1325" s="81"/>
      <c r="P1325" s="81">
        <f ca="1">IFERROR(__xludf.DUMMYFUNCTION("""COMPUTED_VALUE"""),0)</f>
        <v>0</v>
      </c>
      <c r="Q1325" s="81"/>
      <c r="R1325" s="81">
        <f ca="1">IFERROR(__xludf.DUMMYFUNCTION("""COMPUTED_VALUE"""),81.3)</f>
        <v>81.3</v>
      </c>
      <c r="S1325" s="81"/>
      <c r="T1325" s="81"/>
      <c r="U1325" s="82"/>
      <c r="V1325" s="82"/>
      <c r="W1325" s="83"/>
      <c r="X1325" s="83"/>
      <c r="Y1325" s="83"/>
    </row>
    <row r="1326" spans="1:25" ht="13.8">
      <c r="A1326" s="78" t="str">
        <f ca="1">IFERROR(__xludf.DUMMYFUNCTION("""COMPUTED_VALUE"""),"MHC")</f>
        <v>MHC</v>
      </c>
      <c r="B1326" s="79" t="str">
        <f ca="1">IFERROR(__xludf.DUMMYFUNCTION("""COMPUTED_VALUE"""),"Lillian MacDonald")</f>
        <v>Lillian MacDonald</v>
      </c>
      <c r="C1326" s="78">
        <f ca="1">IFERROR(__xludf.DUMMYFUNCTION("""COMPUTED_VALUE"""),12)</f>
        <v>12</v>
      </c>
      <c r="D1326" s="78" t="str">
        <f ca="1">IFERROR(__xludf.DUMMYFUNCTION("""COMPUTED_VALUE"""),"G")</f>
        <v>G</v>
      </c>
      <c r="E1326" s="80" t="str">
        <f ca="1">IFERROR(__xludf.DUMMYFUNCTION("""COMPUTED_VALUE"""),"J")</f>
        <v>J</v>
      </c>
      <c r="F1326" s="80" t="str">
        <f ca="1">IFERROR(__xludf.DUMMYFUNCTION("""COMPUTED_VALUE"""),"I")</f>
        <v>I</v>
      </c>
      <c r="G1326" s="80">
        <f ca="1">IFERROR(__xludf.DUMMYFUNCTION("""COMPUTED_VALUE"""),2)</f>
        <v>2</v>
      </c>
      <c r="H1326" s="80" t="str">
        <f ca="1">IFERROR(__xludf.DUMMYFUNCTION("""COMPUTED_VALUE"""),"MHC")</f>
        <v>MHC</v>
      </c>
      <c r="I1326" s="80">
        <f ca="1">IFERROR(__xludf.DUMMYFUNCTION("""COMPUTED_VALUE"""),4)</f>
        <v>4</v>
      </c>
      <c r="J1326" s="81">
        <f ca="1">IFERROR(__xludf.DUMMYFUNCTION("""COMPUTED_VALUE"""),1)</f>
        <v>1</v>
      </c>
      <c r="K1326" s="81">
        <f ca="1">IFERROR(__xludf.DUMMYFUNCTION("""COMPUTED_VALUE"""),0)</f>
        <v>0</v>
      </c>
      <c r="L1326" s="81" t="str">
        <f ca="1">IFERROR(__xludf.DUMMYFUNCTION("""COMPUTED_VALUE""")," DQ")</f>
        <v xml:space="preserve"> DQ</v>
      </c>
      <c r="M1326" s="81"/>
      <c r="N1326" s="81">
        <f ca="1">IFERROR(__xludf.DUMMYFUNCTION("""COMPUTED_VALUE"""),0)</f>
        <v>0</v>
      </c>
      <c r="O1326" s="81"/>
      <c r="P1326" s="81">
        <f ca="1">IFERROR(__xludf.DUMMYFUNCTION("""COMPUTED_VALUE"""),0)</f>
        <v>0</v>
      </c>
      <c r="Q1326" s="81"/>
      <c r="R1326" s="81">
        <f ca="1">IFERROR(__xludf.DUMMYFUNCTION("""COMPUTED_VALUE"""),0)</f>
        <v>0</v>
      </c>
      <c r="S1326" s="81"/>
      <c r="T1326" s="81"/>
      <c r="U1326" s="82"/>
      <c r="V1326" s="82"/>
      <c r="W1326" s="83"/>
      <c r="X1326" s="83"/>
      <c r="Y1326" s="83"/>
    </row>
    <row r="1327" spans="1:25" ht="13.8">
      <c r="A1327" s="78" t="str">
        <f ca="1">IFERROR(__xludf.DUMMYFUNCTION("""COMPUTED_VALUE"""),"MHC")</f>
        <v>MHC</v>
      </c>
      <c r="B1327" s="79" t="str">
        <f ca="1">IFERROR(__xludf.DUMMYFUNCTION("""COMPUTED_VALUE"""),"Isabella Roca")</f>
        <v>Isabella Roca</v>
      </c>
      <c r="C1327" s="78">
        <f ca="1">IFERROR(__xludf.DUMMYFUNCTION("""COMPUTED_VALUE"""),12)</f>
        <v>12</v>
      </c>
      <c r="D1327" s="78" t="str">
        <f ca="1">IFERROR(__xludf.DUMMYFUNCTION("""COMPUTED_VALUE"""),"G")</f>
        <v>G</v>
      </c>
      <c r="E1327" s="80" t="str">
        <f ca="1">IFERROR(__xludf.DUMMYFUNCTION("""COMPUTED_VALUE"""),"J")</f>
        <v>J</v>
      </c>
      <c r="F1327" s="80" t="str">
        <f ca="1">IFERROR(__xludf.DUMMYFUNCTION("""COMPUTED_VALUE"""),"I")</f>
        <v>I</v>
      </c>
      <c r="G1327" s="80">
        <f ca="1">IFERROR(__xludf.DUMMYFUNCTION("""COMPUTED_VALUE"""),2)</f>
        <v>2</v>
      </c>
      <c r="H1327" s="80" t="str">
        <f ca="1">IFERROR(__xludf.DUMMYFUNCTION("""COMPUTED_VALUE"""),"MHC")</f>
        <v>MHC</v>
      </c>
      <c r="I1327" s="80">
        <f ca="1">IFERROR(__xludf.DUMMYFUNCTION("""COMPUTED_VALUE"""),4)</f>
        <v>4</v>
      </c>
      <c r="J1327" s="81">
        <f ca="1">IFERROR(__xludf.DUMMYFUNCTION("""COMPUTED_VALUE"""),3)</f>
        <v>3</v>
      </c>
      <c r="K1327" s="81">
        <f ca="1">IFERROR(__xludf.DUMMYFUNCTION("""COMPUTED_VALUE"""),89.1)</f>
        <v>89.1</v>
      </c>
      <c r="L1327" s="81">
        <f ca="1">IFERROR(__xludf.DUMMYFUNCTION("""COMPUTED_VALUE"""),0)</f>
        <v>0</v>
      </c>
      <c r="M1327" s="81"/>
      <c r="N1327" s="81">
        <f ca="1">IFERROR(__xludf.DUMMYFUNCTION("""COMPUTED_VALUE"""),84)</f>
        <v>84</v>
      </c>
      <c r="O1327" s="81"/>
      <c r="P1327" s="81">
        <f ca="1">IFERROR(__xludf.DUMMYFUNCTION("""COMPUTED_VALUE"""),89.1)</f>
        <v>89.1</v>
      </c>
      <c r="Q1327" s="81"/>
      <c r="R1327" s="81">
        <f ca="1">IFERROR(__xludf.DUMMYFUNCTION("""COMPUTED_VALUE"""),0)</f>
        <v>0</v>
      </c>
      <c r="S1327" s="81"/>
      <c r="T1327" s="81"/>
      <c r="U1327" s="82"/>
      <c r="V1327" s="82"/>
      <c r="W1327" s="83"/>
      <c r="X1327" s="83"/>
      <c r="Y1327" s="83"/>
    </row>
    <row r="1328" spans="1:25" ht="13.8">
      <c r="A1328" s="78" t="str">
        <f ca="1">IFERROR(__xludf.DUMMYFUNCTION("""COMPUTED_VALUE"""),"MHC")</f>
        <v>MHC</v>
      </c>
      <c r="B1328" s="79" t="str">
        <f ca="1">IFERROR(__xludf.DUMMYFUNCTION("""COMPUTED_VALUE"""),"Drake Karsadi")</f>
        <v>Drake Karsadi</v>
      </c>
      <c r="C1328" s="78">
        <f ca="1">IFERROR(__xludf.DUMMYFUNCTION("""COMPUTED_VALUE"""),11)</f>
        <v>11</v>
      </c>
      <c r="D1328" s="78" t="str">
        <f ca="1">IFERROR(__xludf.DUMMYFUNCTION("""COMPUTED_VALUE"""),"B")</f>
        <v>B</v>
      </c>
      <c r="E1328" s="80" t="str">
        <f ca="1">IFERROR(__xludf.DUMMYFUNCTION("""COMPUTED_VALUE"""),"J")</f>
        <v>J</v>
      </c>
      <c r="F1328" s="80" t="str">
        <f ca="1">IFERROR(__xludf.DUMMYFUNCTION("""COMPUTED_VALUE"""),"I")</f>
        <v>I</v>
      </c>
      <c r="G1328" s="80">
        <f ca="1">IFERROR(__xludf.DUMMYFUNCTION("""COMPUTED_VALUE"""),2)</f>
        <v>2</v>
      </c>
      <c r="H1328" s="80" t="str">
        <f ca="1">IFERROR(__xludf.DUMMYFUNCTION("""COMPUTED_VALUE"""),"MHC")</f>
        <v>MHC</v>
      </c>
      <c r="I1328" s="80">
        <f ca="1">IFERROR(__xludf.DUMMYFUNCTION("""COMPUTED_VALUE"""),5)</f>
        <v>5</v>
      </c>
      <c r="J1328" s="81">
        <f ca="1">IFERROR(__xludf.DUMMYFUNCTION("""COMPUTED_VALUE"""),5)</f>
        <v>5</v>
      </c>
      <c r="K1328" s="81">
        <f ca="1">IFERROR(__xludf.DUMMYFUNCTION("""COMPUTED_VALUE"""),59.85)</f>
        <v>59.85</v>
      </c>
      <c r="L1328" s="81">
        <f ca="1">IFERROR(__xludf.DUMMYFUNCTION("""COMPUTED_VALUE"""),41.75)</f>
        <v>41.75</v>
      </c>
      <c r="M1328" s="81"/>
      <c r="N1328" s="81">
        <f ca="1">IFERROR(__xludf.DUMMYFUNCTION("""COMPUTED_VALUE"""),42.65)</f>
        <v>42.65</v>
      </c>
      <c r="O1328" s="81"/>
      <c r="P1328" s="81">
        <f ca="1">IFERROR(__xludf.DUMMYFUNCTION("""COMPUTED_VALUE"""),40.8)</f>
        <v>40.799999999999997</v>
      </c>
      <c r="Q1328" s="81"/>
      <c r="R1328" s="81">
        <f ca="1">IFERROR(__xludf.DUMMYFUNCTION("""COMPUTED_VALUE"""),59.85)</f>
        <v>59.85</v>
      </c>
      <c r="S1328" s="81"/>
      <c r="T1328" s="81"/>
      <c r="U1328" s="82"/>
      <c r="V1328" s="82"/>
      <c r="W1328" s="83"/>
      <c r="X1328" s="83"/>
      <c r="Y1328" s="83"/>
    </row>
    <row r="1329" spans="1:25" ht="13.8">
      <c r="A1329" s="78" t="str">
        <f ca="1">IFERROR(__xludf.DUMMYFUNCTION("""COMPUTED_VALUE"""),"MHC")</f>
        <v>MHC</v>
      </c>
      <c r="B1329" s="79" t="str">
        <f ca="1">IFERROR(__xludf.DUMMYFUNCTION("""COMPUTED_VALUE"""),"Barnaby Lant")</f>
        <v>Barnaby Lant</v>
      </c>
      <c r="C1329" s="78">
        <f ca="1">IFERROR(__xludf.DUMMYFUNCTION("""COMPUTED_VALUE"""),12)</f>
        <v>12</v>
      </c>
      <c r="D1329" s="78" t="str">
        <f ca="1">IFERROR(__xludf.DUMMYFUNCTION("""COMPUTED_VALUE"""),"B")</f>
        <v>B</v>
      </c>
      <c r="E1329" s="80" t="str">
        <f ca="1">IFERROR(__xludf.DUMMYFUNCTION("""COMPUTED_VALUE"""),"J")</f>
        <v>J</v>
      </c>
      <c r="F1329" s="80" t="str">
        <f ca="1">IFERROR(__xludf.DUMMYFUNCTION("""COMPUTED_VALUE"""),"I")</f>
        <v>I</v>
      </c>
      <c r="G1329" s="80">
        <f ca="1">IFERROR(__xludf.DUMMYFUNCTION("""COMPUTED_VALUE"""),2)</f>
        <v>2</v>
      </c>
      <c r="H1329" s="80" t="str">
        <f ca="1">IFERROR(__xludf.DUMMYFUNCTION("""COMPUTED_VALUE"""),"MHC")</f>
        <v>MHC</v>
      </c>
      <c r="I1329" s="80">
        <f ca="1">IFERROR(__xludf.DUMMYFUNCTION("""COMPUTED_VALUE"""),5)</f>
        <v>5</v>
      </c>
      <c r="J1329" s="81">
        <f ca="1">IFERROR(__xludf.DUMMYFUNCTION("""COMPUTED_VALUE"""),4)</f>
        <v>4</v>
      </c>
      <c r="K1329" s="81">
        <f ca="1">IFERROR(__xludf.DUMMYFUNCTION("""COMPUTED_VALUE"""),96.45)</f>
        <v>96.45</v>
      </c>
      <c r="L1329" s="81">
        <f ca="1">IFERROR(__xludf.DUMMYFUNCTION("""COMPUTED_VALUE"""),80.45)</f>
        <v>80.45</v>
      </c>
      <c r="M1329" s="81"/>
      <c r="N1329" s="81">
        <f ca="1">IFERROR(__xludf.DUMMYFUNCTION("""COMPUTED_VALUE"""),79.7)</f>
        <v>79.7</v>
      </c>
      <c r="O1329" s="81"/>
      <c r="P1329" s="81">
        <f ca="1">IFERROR(__xludf.DUMMYFUNCTION("""COMPUTED_VALUE"""),78.4)</f>
        <v>78.400000000000006</v>
      </c>
      <c r="Q1329" s="81"/>
      <c r="R1329" s="81">
        <f ca="1">IFERROR(__xludf.DUMMYFUNCTION("""COMPUTED_VALUE"""),96.45)</f>
        <v>96.45</v>
      </c>
      <c r="S1329" s="81"/>
      <c r="T1329" s="81"/>
      <c r="U1329" s="82"/>
      <c r="V1329" s="82"/>
      <c r="W1329" s="83"/>
      <c r="X1329" s="83"/>
      <c r="Y1329" s="83"/>
    </row>
    <row r="1330" spans="1:25" ht="13.8">
      <c r="A1330" s="78" t="str">
        <f ca="1">IFERROR(__xludf.DUMMYFUNCTION("""COMPUTED_VALUE"""),"MHC")</f>
        <v>MHC</v>
      </c>
      <c r="B1330" s="79" t="str">
        <f ca="1">IFERROR(__xludf.DUMMYFUNCTION("""COMPUTED_VALUE"""),"Owen Thomas")</f>
        <v>Owen Thomas</v>
      </c>
      <c r="C1330" s="78">
        <f ca="1">IFERROR(__xludf.DUMMYFUNCTION("""COMPUTED_VALUE"""),11)</f>
        <v>11</v>
      </c>
      <c r="D1330" s="78" t="str">
        <f ca="1">IFERROR(__xludf.DUMMYFUNCTION("""COMPUTED_VALUE"""),"B")</f>
        <v>B</v>
      </c>
      <c r="E1330" s="80" t="str">
        <f ca="1">IFERROR(__xludf.DUMMYFUNCTION("""COMPUTED_VALUE"""),"J")</f>
        <v>J</v>
      </c>
      <c r="F1330" s="80" t="str">
        <f ca="1">IFERROR(__xludf.DUMMYFUNCTION("""COMPUTED_VALUE"""),"I")</f>
        <v>I</v>
      </c>
      <c r="G1330" s="80">
        <f ca="1">IFERROR(__xludf.DUMMYFUNCTION("""COMPUTED_VALUE"""),2)</f>
        <v>2</v>
      </c>
      <c r="H1330" s="80" t="str">
        <f ca="1">IFERROR(__xludf.DUMMYFUNCTION("""COMPUTED_VALUE"""),"MHC")</f>
        <v>MHC</v>
      </c>
      <c r="I1330" s="80">
        <f ca="1">IFERROR(__xludf.DUMMYFUNCTION("""COMPUTED_VALUE"""),5)</f>
        <v>5</v>
      </c>
      <c r="J1330" s="81">
        <f ca="1">IFERROR(__xludf.DUMMYFUNCTION("""COMPUTED_VALUE"""),3)</f>
        <v>3</v>
      </c>
      <c r="K1330" s="81">
        <f ca="1">IFERROR(__xludf.DUMMYFUNCTION("""COMPUTED_VALUE"""),83.55)</f>
        <v>83.55</v>
      </c>
      <c r="L1330" s="81">
        <f ca="1">IFERROR(__xludf.DUMMYFUNCTION("""COMPUTED_VALUE"""),0)</f>
        <v>0</v>
      </c>
      <c r="M1330" s="81"/>
      <c r="N1330" s="81">
        <f ca="1">IFERROR(__xludf.DUMMYFUNCTION("""COMPUTED_VALUE"""),0)</f>
        <v>0</v>
      </c>
      <c r="O1330" s="81"/>
      <c r="P1330" s="81">
        <f ca="1">IFERROR(__xludf.DUMMYFUNCTION("""COMPUTED_VALUE"""),83.55)</f>
        <v>83.55</v>
      </c>
      <c r="Q1330" s="81"/>
      <c r="R1330" s="81">
        <f ca="1">IFERROR(__xludf.DUMMYFUNCTION("""COMPUTED_VALUE"""),72.9)</f>
        <v>72.900000000000006</v>
      </c>
      <c r="S1330" s="81"/>
      <c r="T1330" s="81"/>
      <c r="U1330" s="82"/>
      <c r="V1330" s="82"/>
      <c r="W1330" s="83"/>
      <c r="X1330" s="83"/>
      <c r="Y1330" s="83"/>
    </row>
    <row r="1331" spans="1:25" ht="13.8">
      <c r="A1331" s="78" t="str">
        <f ca="1">IFERROR(__xludf.DUMMYFUNCTION("""COMPUTED_VALUE"""),"MHC")</f>
        <v>MHC</v>
      </c>
      <c r="B1331" s="79" t="str">
        <f ca="1">IFERROR(__xludf.DUMMYFUNCTION("""COMPUTED_VALUE"""),"Hillary Keane")</f>
        <v>Hillary Keane</v>
      </c>
      <c r="C1331" s="78">
        <f ca="1">IFERROR(__xludf.DUMMYFUNCTION("""COMPUTED_VALUE"""),13)</f>
        <v>13</v>
      </c>
      <c r="D1331" s="78" t="str">
        <f ca="1">IFERROR(__xludf.DUMMYFUNCTION("""COMPUTED_VALUE"""),"G")</f>
        <v>G</v>
      </c>
      <c r="E1331" s="80" t="str">
        <f ca="1">IFERROR(__xludf.DUMMYFUNCTION("""COMPUTED_VALUE"""),"I")</f>
        <v>I</v>
      </c>
      <c r="F1331" s="80" t="str">
        <f ca="1">IFERROR(__xludf.DUMMYFUNCTION("""COMPUTED_VALUE"""),"S")</f>
        <v>S</v>
      </c>
      <c r="G1331" s="80">
        <f ca="1">IFERROR(__xludf.DUMMYFUNCTION("""COMPUTED_VALUE"""),2)</f>
        <v>2</v>
      </c>
      <c r="H1331" s="80" t="str">
        <f ca="1">IFERROR(__xludf.DUMMYFUNCTION("""COMPUTED_VALUE"""),"MHC")</f>
        <v>MHC</v>
      </c>
      <c r="I1331" s="80">
        <f ca="1">IFERROR(__xludf.DUMMYFUNCTION("""COMPUTED_VALUE"""),6)</f>
        <v>6</v>
      </c>
      <c r="J1331" s="81">
        <f ca="1">IFERROR(__xludf.DUMMYFUNCTION("""COMPUTED_VALUE"""),1)</f>
        <v>1</v>
      </c>
      <c r="K1331" s="81">
        <f ca="1">IFERROR(__xludf.DUMMYFUNCTION("""COMPUTED_VALUE"""),0)</f>
        <v>0</v>
      </c>
      <c r="L1331" s="81" t="str">
        <f ca="1">IFERROR(__xludf.DUMMYFUNCTION("""COMPUTED_VALUE""")," DQ")</f>
        <v xml:space="preserve"> DQ</v>
      </c>
      <c r="M1331" s="81"/>
      <c r="N1331" s="81">
        <f ca="1">IFERROR(__xludf.DUMMYFUNCTION("""COMPUTED_VALUE"""),0)</f>
        <v>0</v>
      </c>
      <c r="O1331" s="81"/>
      <c r="P1331" s="81">
        <f ca="1">IFERROR(__xludf.DUMMYFUNCTION("""COMPUTED_VALUE"""),0)</f>
        <v>0</v>
      </c>
      <c r="Q1331" s="81"/>
      <c r="R1331" s="81">
        <f ca="1">IFERROR(__xludf.DUMMYFUNCTION("""COMPUTED_VALUE"""),0)</f>
        <v>0</v>
      </c>
      <c r="S1331" s="81"/>
      <c r="T1331" s="81"/>
      <c r="U1331" s="82"/>
      <c r="V1331" s="82"/>
      <c r="W1331" s="83"/>
      <c r="X1331" s="83"/>
      <c r="Y1331" s="83"/>
    </row>
    <row r="1332" spans="1:25" ht="13.8">
      <c r="A1332" s="78" t="str">
        <f ca="1">IFERROR(__xludf.DUMMYFUNCTION("""COMPUTED_VALUE"""),"MHC")</f>
        <v>MHC</v>
      </c>
      <c r="B1332" s="79" t="str">
        <f ca="1">IFERROR(__xludf.DUMMYFUNCTION("""COMPUTED_VALUE"""),"Lacey Lussier")</f>
        <v>Lacey Lussier</v>
      </c>
      <c r="C1332" s="78">
        <f ca="1">IFERROR(__xludf.DUMMYFUNCTION("""COMPUTED_VALUE"""),13)</f>
        <v>13</v>
      </c>
      <c r="D1332" s="78" t="str">
        <f ca="1">IFERROR(__xludf.DUMMYFUNCTION("""COMPUTED_VALUE"""),"G")</f>
        <v>G</v>
      </c>
      <c r="E1332" s="80" t="str">
        <f ca="1">IFERROR(__xludf.DUMMYFUNCTION("""COMPUTED_VALUE"""),"I")</f>
        <v>I</v>
      </c>
      <c r="F1332" s="80" t="str">
        <f ca="1">IFERROR(__xludf.DUMMYFUNCTION("""COMPUTED_VALUE"""),"S")</f>
        <v>S</v>
      </c>
      <c r="G1332" s="80">
        <f ca="1">IFERROR(__xludf.DUMMYFUNCTION("""COMPUTED_VALUE"""),2)</f>
        <v>2</v>
      </c>
      <c r="H1332" s="80" t="str">
        <f ca="1">IFERROR(__xludf.DUMMYFUNCTION("""COMPUTED_VALUE"""),"MHC")</f>
        <v>MHC</v>
      </c>
      <c r="I1332" s="80">
        <f ca="1">IFERROR(__xludf.DUMMYFUNCTION("""COMPUTED_VALUE"""),6)</f>
        <v>6</v>
      </c>
      <c r="J1332" s="81">
        <f ca="1">IFERROR(__xludf.DUMMYFUNCTION("""COMPUTED_VALUE"""),3)</f>
        <v>3</v>
      </c>
      <c r="K1332" s="81">
        <f ca="1">IFERROR(__xludf.DUMMYFUNCTION("""COMPUTED_VALUE"""),103.15)</f>
        <v>103.15</v>
      </c>
      <c r="L1332" s="81">
        <f ca="1">IFERROR(__xludf.DUMMYFUNCTION("""COMPUTED_VALUE"""),0)</f>
        <v>0</v>
      </c>
      <c r="M1332" s="81"/>
      <c r="N1332" s="81">
        <f ca="1">IFERROR(__xludf.DUMMYFUNCTION("""COMPUTED_VALUE"""),62.4)</f>
        <v>62.4</v>
      </c>
      <c r="O1332" s="81"/>
      <c r="P1332" s="81">
        <f ca="1">IFERROR(__xludf.DUMMYFUNCTION("""COMPUTED_VALUE"""),89.6)</f>
        <v>89.6</v>
      </c>
      <c r="Q1332" s="81"/>
      <c r="R1332" s="81">
        <f ca="1">IFERROR(__xludf.DUMMYFUNCTION("""COMPUTED_VALUE"""),103.15)</f>
        <v>103.15</v>
      </c>
      <c r="S1332" s="81"/>
      <c r="T1332" s="81"/>
      <c r="U1332" s="82"/>
      <c r="V1332" s="82"/>
      <c r="W1332" s="83"/>
      <c r="X1332" s="83"/>
      <c r="Y1332" s="83"/>
    </row>
    <row r="1333" spans="1:25" ht="13.8">
      <c r="A1333" s="78" t="str">
        <f ca="1">IFERROR(__xludf.DUMMYFUNCTION("""COMPUTED_VALUE"""),"MHC")</f>
        <v>MHC</v>
      </c>
      <c r="B1333" s="79" t="str">
        <f ca="1">IFERROR(__xludf.DUMMYFUNCTION("""COMPUTED_VALUE"""),"Tabitha Thomas")</f>
        <v>Tabitha Thomas</v>
      </c>
      <c r="C1333" s="78">
        <f ca="1">IFERROR(__xludf.DUMMYFUNCTION("""COMPUTED_VALUE"""),14)</f>
        <v>14</v>
      </c>
      <c r="D1333" s="78" t="str">
        <f ca="1">IFERROR(__xludf.DUMMYFUNCTION("""COMPUTED_VALUE"""),"G")</f>
        <v>G</v>
      </c>
      <c r="E1333" s="80" t="str">
        <f ca="1">IFERROR(__xludf.DUMMYFUNCTION("""COMPUTED_VALUE"""),"I")</f>
        <v>I</v>
      </c>
      <c r="F1333" s="80" t="str">
        <f ca="1">IFERROR(__xludf.DUMMYFUNCTION("""COMPUTED_VALUE"""),"S")</f>
        <v>S</v>
      </c>
      <c r="G1333" s="80">
        <f ca="1">IFERROR(__xludf.DUMMYFUNCTION("""COMPUTED_VALUE"""),2)</f>
        <v>2</v>
      </c>
      <c r="H1333" s="80" t="str">
        <f ca="1">IFERROR(__xludf.DUMMYFUNCTION("""COMPUTED_VALUE"""),"MHC")</f>
        <v>MHC</v>
      </c>
      <c r="I1333" s="80">
        <f ca="1">IFERROR(__xludf.DUMMYFUNCTION("""COMPUTED_VALUE"""),6)</f>
        <v>6</v>
      </c>
      <c r="J1333" s="81">
        <f ca="1">IFERROR(__xludf.DUMMYFUNCTION("""COMPUTED_VALUE"""),4)</f>
        <v>4</v>
      </c>
      <c r="K1333" s="81">
        <f ca="1">IFERROR(__xludf.DUMMYFUNCTION("""COMPUTED_VALUE"""),65.9)</f>
        <v>65.900000000000006</v>
      </c>
      <c r="L1333" s="81">
        <f ca="1">IFERROR(__xludf.DUMMYFUNCTION("""COMPUTED_VALUE"""),0)</f>
        <v>0</v>
      </c>
      <c r="M1333" s="81"/>
      <c r="N1333" s="81">
        <f ca="1">IFERROR(__xludf.DUMMYFUNCTION("""COMPUTED_VALUE"""),48.25)</f>
        <v>48.25</v>
      </c>
      <c r="O1333" s="81"/>
      <c r="P1333" s="81">
        <f ca="1">IFERROR(__xludf.DUMMYFUNCTION("""COMPUTED_VALUE"""),63.05)</f>
        <v>63.05</v>
      </c>
      <c r="Q1333" s="81"/>
      <c r="R1333" s="81">
        <f ca="1">IFERROR(__xludf.DUMMYFUNCTION("""COMPUTED_VALUE"""),65.9)</f>
        <v>65.900000000000006</v>
      </c>
      <c r="S1333" s="81"/>
      <c r="T1333" s="81"/>
      <c r="U1333" s="82"/>
      <c r="V1333" s="82"/>
      <c r="W1333" s="83"/>
      <c r="X1333" s="83"/>
      <c r="Y1333" s="83"/>
    </row>
    <row r="1334" spans="1:25" ht="13.8">
      <c r="A1334" s="78" t="str">
        <f ca="1">IFERROR(__xludf.DUMMYFUNCTION("""COMPUTED_VALUE"""),"MHC")</f>
        <v>MHC</v>
      </c>
      <c r="B1334" s="79" t="str">
        <f ca="1">IFERROR(__xludf.DUMMYFUNCTION("""COMPUTED_VALUE"""),"Elise Wendy")</f>
        <v>Elise Wendy</v>
      </c>
      <c r="C1334" s="78">
        <f ca="1">IFERROR(__xludf.DUMMYFUNCTION("""COMPUTED_VALUE"""),14)</f>
        <v>14</v>
      </c>
      <c r="D1334" s="78" t="str">
        <f ca="1">IFERROR(__xludf.DUMMYFUNCTION("""COMPUTED_VALUE"""),"G")</f>
        <v>G</v>
      </c>
      <c r="E1334" s="80" t="str">
        <f ca="1">IFERROR(__xludf.DUMMYFUNCTION("""COMPUTED_VALUE"""),"I")</f>
        <v>I</v>
      </c>
      <c r="F1334" s="80" t="str">
        <f ca="1">IFERROR(__xludf.DUMMYFUNCTION("""COMPUTED_VALUE"""),"S")</f>
        <v>S</v>
      </c>
      <c r="G1334" s="80">
        <f ca="1">IFERROR(__xludf.DUMMYFUNCTION("""COMPUTED_VALUE"""),2)</f>
        <v>2</v>
      </c>
      <c r="H1334" s="80" t="str">
        <f ca="1">IFERROR(__xludf.DUMMYFUNCTION("""COMPUTED_VALUE"""),"MHC")</f>
        <v>MHC</v>
      </c>
      <c r="I1334" s="80">
        <f ca="1">IFERROR(__xludf.DUMMYFUNCTION("""COMPUTED_VALUE"""),6)</f>
        <v>6</v>
      </c>
      <c r="J1334" s="81">
        <f ca="1">IFERROR(__xludf.DUMMYFUNCTION("""COMPUTED_VALUE"""),3)</f>
        <v>3</v>
      </c>
      <c r="K1334" s="81">
        <f ca="1">IFERROR(__xludf.DUMMYFUNCTION("""COMPUTED_VALUE"""),84.75)</f>
        <v>84.75</v>
      </c>
      <c r="L1334" s="81" t="str">
        <f ca="1">IFERROR(__xludf.DUMMYFUNCTION("""COMPUTED_VALUE""")," DQ")</f>
        <v xml:space="preserve"> DQ</v>
      </c>
      <c r="M1334" s="81"/>
      <c r="N1334" s="81">
        <f ca="1">IFERROR(__xludf.DUMMYFUNCTION("""COMPUTED_VALUE"""),0)</f>
        <v>0</v>
      </c>
      <c r="O1334" s="81"/>
      <c r="P1334" s="81">
        <f ca="1">IFERROR(__xludf.DUMMYFUNCTION("""COMPUTED_VALUE"""),84.75)</f>
        <v>84.75</v>
      </c>
      <c r="Q1334" s="81"/>
      <c r="R1334" s="81">
        <f ca="1">IFERROR(__xludf.DUMMYFUNCTION("""COMPUTED_VALUE"""),0)</f>
        <v>0</v>
      </c>
      <c r="S1334" s="81"/>
      <c r="T1334" s="81"/>
      <c r="U1334" s="82"/>
      <c r="V1334" s="82"/>
      <c r="W1334" s="83"/>
      <c r="X1334" s="83"/>
      <c r="Y1334" s="83"/>
    </row>
    <row r="1335" spans="1:25" ht="13.8">
      <c r="A1335" s="78" t="str">
        <f ca="1">IFERROR(__xludf.DUMMYFUNCTION("""COMPUTED_VALUE"""),"MHC")</f>
        <v>MHC</v>
      </c>
      <c r="B1335" s="79" t="str">
        <f ca="1">IFERROR(__xludf.DUMMYFUNCTION("""COMPUTED_VALUE"""),"Jem Morgan")</f>
        <v>Jem Morgan</v>
      </c>
      <c r="C1335" s="78">
        <f ca="1">IFERROR(__xludf.DUMMYFUNCTION("""COMPUTED_VALUE"""),14)</f>
        <v>14</v>
      </c>
      <c r="D1335" s="78" t="str">
        <f ca="1">IFERROR(__xludf.DUMMYFUNCTION("""COMPUTED_VALUE"""),"B")</f>
        <v>B</v>
      </c>
      <c r="E1335" s="80" t="str">
        <f ca="1">IFERROR(__xludf.DUMMYFUNCTION("""COMPUTED_VALUE"""),"I")</f>
        <v>I</v>
      </c>
      <c r="F1335" s="80" t="str">
        <f ca="1">IFERROR(__xludf.DUMMYFUNCTION("""COMPUTED_VALUE"""),"S")</f>
        <v>S</v>
      </c>
      <c r="G1335" s="80">
        <f ca="1">IFERROR(__xludf.DUMMYFUNCTION("""COMPUTED_VALUE"""),2)</f>
        <v>2</v>
      </c>
      <c r="H1335" s="80" t="str">
        <f ca="1">IFERROR(__xludf.DUMMYFUNCTION("""COMPUTED_VALUE"""),"MHC")</f>
        <v>MHC</v>
      </c>
      <c r="I1335" s="80">
        <f ca="1">IFERROR(__xludf.DUMMYFUNCTION("""COMPUTED_VALUE"""),7)</f>
        <v>7</v>
      </c>
      <c r="J1335" s="81">
        <f ca="1">IFERROR(__xludf.DUMMYFUNCTION("""COMPUTED_VALUE"""),3)</f>
        <v>3</v>
      </c>
      <c r="K1335" s="81">
        <f ca="1">IFERROR(__xludf.DUMMYFUNCTION("""COMPUTED_VALUE"""),102.45)</f>
        <v>102.45</v>
      </c>
      <c r="L1335" s="81">
        <f ca="1">IFERROR(__xludf.DUMMYFUNCTION("""COMPUTED_VALUE"""),102.45)</f>
        <v>102.45</v>
      </c>
      <c r="M1335" s="81"/>
      <c r="N1335" s="81">
        <f ca="1">IFERROR(__xludf.DUMMYFUNCTION("""COMPUTED_VALUE"""),0)</f>
        <v>0</v>
      </c>
      <c r="O1335" s="81"/>
      <c r="P1335" s="81">
        <f ca="1">IFERROR(__xludf.DUMMYFUNCTION("""COMPUTED_VALUE"""),86.15)</f>
        <v>86.15</v>
      </c>
      <c r="Q1335" s="81"/>
      <c r="R1335" s="81">
        <f ca="1">IFERROR(__xludf.DUMMYFUNCTION("""COMPUTED_VALUE"""),0)</f>
        <v>0</v>
      </c>
      <c r="S1335" s="81"/>
      <c r="T1335" s="81"/>
      <c r="U1335" s="82"/>
      <c r="V1335" s="82"/>
      <c r="W1335" s="83"/>
      <c r="X1335" s="83"/>
      <c r="Y1335" s="83"/>
    </row>
    <row r="1336" spans="1:25" ht="13.8">
      <c r="A1336" s="78" t="str">
        <f ca="1">IFERROR(__xludf.DUMMYFUNCTION("""COMPUTED_VALUE"""),"MHC")</f>
        <v>MHC</v>
      </c>
      <c r="B1336" s="79" t="str">
        <f ca="1">IFERROR(__xludf.DUMMYFUNCTION("""COMPUTED_VALUE"""),"Zoe Askins")</f>
        <v>Zoe Askins</v>
      </c>
      <c r="C1336" s="78">
        <f ca="1">IFERROR(__xludf.DUMMYFUNCTION("""COMPUTED_VALUE"""),15)</f>
        <v>15</v>
      </c>
      <c r="D1336" s="78" t="str">
        <f ca="1">IFERROR(__xludf.DUMMYFUNCTION("""COMPUTED_VALUE"""),"G")</f>
        <v>G</v>
      </c>
      <c r="E1336" s="80" t="str">
        <f ca="1">IFERROR(__xludf.DUMMYFUNCTION("""COMPUTED_VALUE"""),"S")</f>
        <v>S</v>
      </c>
      <c r="F1336" s="80" t="str">
        <f ca="1">IFERROR(__xludf.DUMMYFUNCTION("""COMPUTED_VALUE"""),"S")</f>
        <v>S</v>
      </c>
      <c r="G1336" s="80">
        <f ca="1">IFERROR(__xludf.DUMMYFUNCTION("""COMPUTED_VALUE"""),2)</f>
        <v>2</v>
      </c>
      <c r="H1336" s="80" t="str">
        <f ca="1">IFERROR(__xludf.DUMMYFUNCTION("""COMPUTED_VALUE"""),"MHC")</f>
        <v>MHC</v>
      </c>
      <c r="I1336" s="80">
        <f ca="1">IFERROR(__xludf.DUMMYFUNCTION("""COMPUTED_VALUE"""),8)</f>
        <v>8</v>
      </c>
      <c r="J1336" s="81">
        <f ca="1">IFERROR(__xludf.DUMMYFUNCTION("""COMPUTED_VALUE"""),4)</f>
        <v>4</v>
      </c>
      <c r="K1336" s="81">
        <f ca="1">IFERROR(__xludf.DUMMYFUNCTION("""COMPUTED_VALUE"""),124.9)</f>
        <v>124.9</v>
      </c>
      <c r="L1336" s="81">
        <f ca="1">IFERROR(__xludf.DUMMYFUNCTION("""COMPUTED_VALUE"""),0)</f>
        <v>0</v>
      </c>
      <c r="M1336" s="81"/>
      <c r="N1336" s="81">
        <f ca="1">IFERROR(__xludf.DUMMYFUNCTION("""COMPUTED_VALUE"""),103.25)</f>
        <v>103.25</v>
      </c>
      <c r="O1336" s="81"/>
      <c r="P1336" s="81">
        <f ca="1">IFERROR(__xludf.DUMMYFUNCTION("""COMPUTED_VALUE"""),114.2)</f>
        <v>114.2</v>
      </c>
      <c r="Q1336" s="81"/>
      <c r="R1336" s="81">
        <f ca="1">IFERROR(__xludf.DUMMYFUNCTION("""COMPUTED_VALUE"""),124.9)</f>
        <v>124.9</v>
      </c>
      <c r="S1336" s="81"/>
      <c r="T1336" s="81"/>
      <c r="U1336" s="82"/>
      <c r="V1336" s="82"/>
      <c r="W1336" s="83"/>
      <c r="X1336" s="83"/>
      <c r="Y1336" s="83"/>
    </row>
    <row r="1337" spans="1:25" ht="13.8">
      <c r="A1337" s="78" t="str">
        <f ca="1">IFERROR(__xludf.DUMMYFUNCTION("""COMPUTED_VALUE"""),"MHC")</f>
        <v>MHC</v>
      </c>
      <c r="B1337" s="79" t="str">
        <f ca="1">IFERROR(__xludf.DUMMYFUNCTION("""COMPUTED_VALUE"""),"Clara Barron")</f>
        <v>Clara Barron</v>
      </c>
      <c r="C1337" s="78">
        <f ca="1">IFERROR(__xludf.DUMMYFUNCTION("""COMPUTED_VALUE"""),16)</f>
        <v>16</v>
      </c>
      <c r="D1337" s="78" t="str">
        <f ca="1">IFERROR(__xludf.DUMMYFUNCTION("""COMPUTED_VALUE"""),"G")</f>
        <v>G</v>
      </c>
      <c r="E1337" s="80" t="str">
        <f ca="1">IFERROR(__xludf.DUMMYFUNCTION("""COMPUTED_VALUE"""),"S")</f>
        <v>S</v>
      </c>
      <c r="F1337" s="80" t="str">
        <f ca="1">IFERROR(__xludf.DUMMYFUNCTION("""COMPUTED_VALUE"""),"S")</f>
        <v>S</v>
      </c>
      <c r="G1337" s="80">
        <f ca="1">IFERROR(__xludf.DUMMYFUNCTION("""COMPUTED_VALUE"""),2)</f>
        <v>2</v>
      </c>
      <c r="H1337" s="80" t="str">
        <f ca="1">IFERROR(__xludf.DUMMYFUNCTION("""COMPUTED_VALUE"""),"MHC")</f>
        <v>MHC</v>
      </c>
      <c r="I1337" s="80">
        <f ca="1">IFERROR(__xludf.DUMMYFUNCTION("""COMPUTED_VALUE"""),8)</f>
        <v>8</v>
      </c>
      <c r="J1337" s="81">
        <f ca="1">IFERROR(__xludf.DUMMYFUNCTION("""COMPUTED_VALUE"""),3)</f>
        <v>3</v>
      </c>
      <c r="K1337" s="81">
        <f ca="1">IFERROR(__xludf.DUMMYFUNCTION("""COMPUTED_VALUE"""),150.6)</f>
        <v>150.6</v>
      </c>
      <c r="L1337" s="81">
        <f ca="1">IFERROR(__xludf.DUMMYFUNCTION("""COMPUTED_VALUE"""),0)</f>
        <v>0</v>
      </c>
      <c r="M1337" s="81"/>
      <c r="N1337" s="81">
        <f ca="1">IFERROR(__xludf.DUMMYFUNCTION("""COMPUTED_VALUE"""),119.05)</f>
        <v>119.05</v>
      </c>
      <c r="O1337" s="81"/>
      <c r="P1337" s="81">
        <f ca="1">IFERROR(__xludf.DUMMYFUNCTION("""COMPUTED_VALUE"""),0)</f>
        <v>0</v>
      </c>
      <c r="Q1337" s="81"/>
      <c r="R1337" s="81">
        <f ca="1">IFERROR(__xludf.DUMMYFUNCTION("""COMPUTED_VALUE"""),150.6)</f>
        <v>150.6</v>
      </c>
      <c r="S1337" s="81"/>
      <c r="T1337" s="81"/>
      <c r="U1337" s="82"/>
      <c r="V1337" s="82"/>
      <c r="W1337" s="83"/>
      <c r="X1337" s="83"/>
      <c r="Y1337" s="83"/>
    </row>
    <row r="1338" spans="1:25" ht="13.8">
      <c r="A1338" s="78" t="str">
        <f ca="1">IFERROR(__xludf.DUMMYFUNCTION("""COMPUTED_VALUE"""),"MHC")</f>
        <v>MHC</v>
      </c>
      <c r="B1338" s="79" t="str">
        <f ca="1">IFERROR(__xludf.DUMMYFUNCTION("""COMPUTED_VALUE"""),"Miah Fisher")</f>
        <v>Miah Fisher</v>
      </c>
      <c r="C1338" s="78">
        <f ca="1">IFERROR(__xludf.DUMMYFUNCTION("""COMPUTED_VALUE"""),18)</f>
        <v>18</v>
      </c>
      <c r="D1338" s="78" t="str">
        <f ca="1">IFERROR(__xludf.DUMMYFUNCTION("""COMPUTED_VALUE"""),"G")</f>
        <v>G</v>
      </c>
      <c r="E1338" s="80" t="str">
        <f ca="1">IFERROR(__xludf.DUMMYFUNCTION("""COMPUTED_VALUE"""),"S")</f>
        <v>S</v>
      </c>
      <c r="F1338" s="80" t="str">
        <f ca="1">IFERROR(__xludf.DUMMYFUNCTION("""COMPUTED_VALUE"""),"S")</f>
        <v>S</v>
      </c>
      <c r="G1338" s="80">
        <f ca="1">IFERROR(__xludf.DUMMYFUNCTION("""COMPUTED_VALUE"""),2)</f>
        <v>2</v>
      </c>
      <c r="H1338" s="80" t="str">
        <f ca="1">IFERROR(__xludf.DUMMYFUNCTION("""COMPUTED_VALUE"""),"MHC")</f>
        <v>MHC</v>
      </c>
      <c r="I1338" s="80">
        <f ca="1">IFERROR(__xludf.DUMMYFUNCTION("""COMPUTED_VALUE"""),8)</f>
        <v>8</v>
      </c>
      <c r="J1338" s="81">
        <f ca="1">IFERROR(__xludf.DUMMYFUNCTION("""COMPUTED_VALUE"""),5)</f>
        <v>5</v>
      </c>
      <c r="K1338" s="81">
        <f ca="1">IFERROR(__xludf.DUMMYFUNCTION("""COMPUTED_VALUE"""),219.9)</f>
        <v>219.9</v>
      </c>
      <c r="L1338" s="81">
        <f ca="1">IFERROR(__xludf.DUMMYFUNCTION("""COMPUTED_VALUE"""),214.65)</f>
        <v>214.65</v>
      </c>
      <c r="M1338" s="81"/>
      <c r="N1338" s="81">
        <f ca="1">IFERROR(__xludf.DUMMYFUNCTION("""COMPUTED_VALUE"""),196.45)</f>
        <v>196.45</v>
      </c>
      <c r="O1338" s="81"/>
      <c r="P1338" s="81">
        <f ca="1">IFERROR(__xludf.DUMMYFUNCTION("""COMPUTED_VALUE"""),219.9)</f>
        <v>219.9</v>
      </c>
      <c r="Q1338" s="81"/>
      <c r="R1338" s="81">
        <f ca="1">IFERROR(__xludf.DUMMYFUNCTION("""COMPUTED_VALUE"""),208.7)</f>
        <v>208.7</v>
      </c>
      <c r="S1338" s="81"/>
      <c r="T1338" s="81"/>
      <c r="U1338" s="82"/>
      <c r="V1338" s="82"/>
      <c r="W1338" s="83"/>
      <c r="X1338" s="83"/>
      <c r="Y1338" s="83"/>
    </row>
    <row r="1339" spans="1:25" ht="13.8">
      <c r="A1339" s="78" t="str">
        <f ca="1">IFERROR(__xludf.DUMMYFUNCTION("""COMPUTED_VALUE"""),"MHC")</f>
        <v>MHC</v>
      </c>
      <c r="B1339" s="79" t="str">
        <f ca="1">IFERROR(__xludf.DUMMYFUNCTION("""COMPUTED_VALUE"""),"Ryan Duffield")</f>
        <v>Ryan Duffield</v>
      </c>
      <c r="C1339" s="78">
        <f ca="1">IFERROR(__xludf.DUMMYFUNCTION("""COMPUTED_VALUE"""),15)</f>
        <v>15</v>
      </c>
      <c r="D1339" s="78" t="str">
        <f ca="1">IFERROR(__xludf.DUMMYFUNCTION("""COMPUTED_VALUE"""),"B")</f>
        <v>B</v>
      </c>
      <c r="E1339" s="80" t="str">
        <f ca="1">IFERROR(__xludf.DUMMYFUNCTION("""COMPUTED_VALUE"""),"S")</f>
        <v>S</v>
      </c>
      <c r="F1339" s="80" t="str">
        <f ca="1">IFERROR(__xludf.DUMMYFUNCTION("""COMPUTED_VALUE"""),"S")</f>
        <v>S</v>
      </c>
      <c r="G1339" s="80">
        <f ca="1">IFERROR(__xludf.DUMMYFUNCTION("""COMPUTED_VALUE"""),2)</f>
        <v>2</v>
      </c>
      <c r="H1339" s="80" t="str">
        <f ca="1">IFERROR(__xludf.DUMMYFUNCTION("""COMPUTED_VALUE"""),"MHC")</f>
        <v>MHC</v>
      </c>
      <c r="I1339" s="80">
        <f ca="1">IFERROR(__xludf.DUMMYFUNCTION("""COMPUTED_VALUE"""),9)</f>
        <v>9</v>
      </c>
      <c r="J1339" s="81">
        <f ca="1">IFERROR(__xludf.DUMMYFUNCTION("""COMPUTED_VALUE"""),4)</f>
        <v>4</v>
      </c>
      <c r="K1339" s="81">
        <f ca="1">IFERROR(__xludf.DUMMYFUNCTION("""COMPUTED_VALUE"""),135.85)</f>
        <v>135.85</v>
      </c>
      <c r="L1339" s="81">
        <f ca="1">IFERROR(__xludf.DUMMYFUNCTION("""COMPUTED_VALUE"""),116.85)</f>
        <v>116.85</v>
      </c>
      <c r="M1339" s="81"/>
      <c r="N1339" s="81">
        <f ca="1">IFERROR(__xludf.DUMMYFUNCTION("""COMPUTED_VALUE"""),0)</f>
        <v>0</v>
      </c>
      <c r="O1339" s="81"/>
      <c r="P1339" s="81">
        <f ca="1">IFERROR(__xludf.DUMMYFUNCTION("""COMPUTED_VALUE"""),117.7)</f>
        <v>117.7</v>
      </c>
      <c r="Q1339" s="81"/>
      <c r="R1339" s="81">
        <f ca="1">IFERROR(__xludf.DUMMYFUNCTION("""COMPUTED_VALUE"""),135.85)</f>
        <v>135.85</v>
      </c>
      <c r="S1339" s="81"/>
      <c r="T1339" s="81"/>
      <c r="U1339" s="82"/>
      <c r="V1339" s="82"/>
      <c r="W1339" s="83"/>
      <c r="X1339" s="83"/>
      <c r="Y1339" s="83"/>
    </row>
    <row r="1340" spans="1:25" ht="13.8">
      <c r="A1340" s="78" t="str">
        <f ca="1">IFERROR(__xludf.DUMMYFUNCTION("""COMPUTED_VALUE"""),"MHC")</f>
        <v>MHC</v>
      </c>
      <c r="B1340" s="79" t="str">
        <f ca="1">IFERROR(__xludf.DUMMYFUNCTION("""COMPUTED_VALUE"""),"Jacob Fisher")</f>
        <v>Jacob Fisher</v>
      </c>
      <c r="C1340" s="78">
        <f ca="1">IFERROR(__xludf.DUMMYFUNCTION("""COMPUTED_VALUE"""),16)</f>
        <v>16</v>
      </c>
      <c r="D1340" s="78" t="str">
        <f ca="1">IFERROR(__xludf.DUMMYFUNCTION("""COMPUTED_VALUE"""),"B")</f>
        <v>B</v>
      </c>
      <c r="E1340" s="80" t="str">
        <f ca="1">IFERROR(__xludf.DUMMYFUNCTION("""COMPUTED_VALUE"""),"S")</f>
        <v>S</v>
      </c>
      <c r="F1340" s="80" t="str">
        <f ca="1">IFERROR(__xludf.DUMMYFUNCTION("""COMPUTED_VALUE"""),"S")</f>
        <v>S</v>
      </c>
      <c r="G1340" s="80">
        <f ca="1">IFERROR(__xludf.DUMMYFUNCTION("""COMPUTED_VALUE"""),2)</f>
        <v>2</v>
      </c>
      <c r="H1340" s="80" t="str">
        <f ca="1">IFERROR(__xludf.DUMMYFUNCTION("""COMPUTED_VALUE"""),"MHC")</f>
        <v>MHC</v>
      </c>
      <c r="I1340" s="80">
        <f ca="1">IFERROR(__xludf.DUMMYFUNCTION("""COMPUTED_VALUE"""),9)</f>
        <v>9</v>
      </c>
      <c r="J1340" s="81">
        <f ca="1">IFERROR(__xludf.DUMMYFUNCTION("""COMPUTED_VALUE"""),4)</f>
        <v>4</v>
      </c>
      <c r="K1340" s="81">
        <f ca="1">IFERROR(__xludf.DUMMYFUNCTION("""COMPUTED_VALUE"""),276.6)</f>
        <v>276.60000000000002</v>
      </c>
      <c r="L1340" s="81">
        <f ca="1">IFERROR(__xludf.DUMMYFUNCTION("""COMPUTED_VALUE"""),237.7)</f>
        <v>237.7</v>
      </c>
      <c r="M1340" s="81"/>
      <c r="N1340" s="81">
        <f ca="1">IFERROR(__xludf.DUMMYFUNCTION("""COMPUTED_VALUE"""),0)</f>
        <v>0</v>
      </c>
      <c r="O1340" s="81"/>
      <c r="P1340" s="81">
        <f ca="1">IFERROR(__xludf.DUMMYFUNCTION("""COMPUTED_VALUE"""),258.3)</f>
        <v>258.3</v>
      </c>
      <c r="Q1340" s="81"/>
      <c r="R1340" s="81">
        <f ca="1">IFERROR(__xludf.DUMMYFUNCTION("""COMPUTED_VALUE"""),276.6)</f>
        <v>276.60000000000002</v>
      </c>
      <c r="S1340" s="81"/>
      <c r="T1340" s="81"/>
      <c r="U1340" s="82"/>
      <c r="V1340" s="82"/>
      <c r="W1340" s="83"/>
      <c r="X1340" s="83"/>
      <c r="Y1340" s="83"/>
    </row>
    <row r="1341" spans="1:25" ht="13.8">
      <c r="A1341" s="78" t="str">
        <f ca="1">IFERROR(__xludf.DUMMYFUNCTION("""COMPUTED_VALUE"""),"NS")</f>
        <v>NS</v>
      </c>
      <c r="B1341" s="79" t="str">
        <f ca="1">IFERROR(__xludf.DUMMYFUNCTION("""COMPUTED_VALUE"""),"Allie Balbuena")</f>
        <v>Allie Balbuena</v>
      </c>
      <c r="C1341" s="78">
        <f ca="1">IFERROR(__xludf.DUMMYFUNCTION("""COMPUTED_VALUE"""),8)</f>
        <v>8</v>
      </c>
      <c r="D1341" s="78" t="str">
        <f ca="1">IFERROR(__xludf.DUMMYFUNCTION("""COMPUTED_VALUE"""),"G")</f>
        <v>G</v>
      </c>
      <c r="E1341" s="80" t="str">
        <f ca="1">IFERROR(__xludf.DUMMYFUNCTION("""COMPUTED_VALUE"""),"F")</f>
        <v>F</v>
      </c>
      <c r="F1341" s="80" t="str">
        <f ca="1">IFERROR(__xludf.DUMMYFUNCTION("""COMPUTED_VALUE"""),"J")</f>
        <v>J</v>
      </c>
      <c r="G1341" s="80">
        <f ca="1">IFERROR(__xludf.DUMMYFUNCTION("""COMPUTED_VALUE"""),8)</f>
        <v>8</v>
      </c>
      <c r="H1341" s="80" t="str">
        <f ca="1">IFERROR(__xludf.DUMMYFUNCTION("""COMPUTED_VALUE"""),"NS")</f>
        <v>NS</v>
      </c>
      <c r="I1341" s="80">
        <f ca="1">IFERROR(__xludf.DUMMYFUNCTION("""COMPUTED_VALUE"""),2)</f>
        <v>2</v>
      </c>
      <c r="J1341" s="81">
        <f ca="1">IFERROR(__xludf.DUMMYFUNCTION("""COMPUTED_VALUE"""),3)</f>
        <v>3</v>
      </c>
      <c r="K1341" s="81">
        <f ca="1">IFERROR(__xludf.DUMMYFUNCTION("""COMPUTED_VALUE"""),21.25)</f>
        <v>21.25</v>
      </c>
      <c r="L1341" s="81">
        <f ca="1">IFERROR(__xludf.DUMMYFUNCTION("""COMPUTED_VALUE"""),18.6)</f>
        <v>18.600000000000001</v>
      </c>
      <c r="M1341" s="81"/>
      <c r="N1341" s="81">
        <f ca="1">IFERROR(__xludf.DUMMYFUNCTION("""COMPUTED_VALUE"""),16.65)</f>
        <v>16.649999999999999</v>
      </c>
      <c r="O1341" s="81"/>
      <c r="P1341" s="81">
        <f ca="1">IFERROR(__xludf.DUMMYFUNCTION("""COMPUTED_VALUE"""),0)</f>
        <v>0</v>
      </c>
      <c r="Q1341" s="81"/>
      <c r="R1341" s="81">
        <f ca="1">IFERROR(__xludf.DUMMYFUNCTION("""COMPUTED_VALUE"""),21.25)</f>
        <v>21.25</v>
      </c>
      <c r="S1341" s="81"/>
      <c r="T1341" s="81"/>
      <c r="U1341" s="82"/>
      <c r="V1341" s="82"/>
      <c r="W1341" s="83"/>
      <c r="X1341" s="83"/>
      <c r="Y1341" s="83"/>
    </row>
    <row r="1342" spans="1:25" ht="13.8">
      <c r="A1342" s="78" t="str">
        <f ca="1">IFERROR(__xludf.DUMMYFUNCTION("""COMPUTED_VALUE"""),"NS")</f>
        <v>NS</v>
      </c>
      <c r="B1342" s="79" t="str">
        <f ca="1">IFERROR(__xludf.DUMMYFUNCTION("""COMPUTED_VALUE"""),"Mia Brown")</f>
        <v>Mia Brown</v>
      </c>
      <c r="C1342" s="78">
        <f ca="1">IFERROR(__xludf.DUMMYFUNCTION("""COMPUTED_VALUE"""),10)</f>
        <v>10</v>
      </c>
      <c r="D1342" s="78" t="str">
        <f ca="1">IFERROR(__xludf.DUMMYFUNCTION("""COMPUTED_VALUE"""),"G")</f>
        <v>G</v>
      </c>
      <c r="E1342" s="80" t="str">
        <f ca="1">IFERROR(__xludf.DUMMYFUNCTION("""COMPUTED_VALUE"""),"F")</f>
        <v>F</v>
      </c>
      <c r="F1342" s="80" t="str">
        <f ca="1">IFERROR(__xludf.DUMMYFUNCTION("""COMPUTED_VALUE"""),"J")</f>
        <v>J</v>
      </c>
      <c r="G1342" s="80">
        <f ca="1">IFERROR(__xludf.DUMMYFUNCTION("""COMPUTED_VALUE"""),8)</f>
        <v>8</v>
      </c>
      <c r="H1342" s="80" t="str">
        <f ca="1">IFERROR(__xludf.DUMMYFUNCTION("""COMPUTED_VALUE"""),"NS")</f>
        <v>NS</v>
      </c>
      <c r="I1342" s="80">
        <f ca="1">IFERROR(__xludf.DUMMYFUNCTION("""COMPUTED_VALUE"""),2)</f>
        <v>2</v>
      </c>
      <c r="J1342" s="81">
        <f ca="1">IFERROR(__xludf.DUMMYFUNCTION("""COMPUTED_VALUE"""),0)</f>
        <v>0</v>
      </c>
      <c r="K1342" s="81">
        <f ca="1">IFERROR(__xludf.DUMMYFUNCTION("""COMPUTED_VALUE"""),0)</f>
        <v>0</v>
      </c>
      <c r="L1342" s="81">
        <f ca="1">IFERROR(__xludf.DUMMYFUNCTION("""COMPUTED_VALUE"""),0)</f>
        <v>0</v>
      </c>
      <c r="M1342" s="81"/>
      <c r="N1342" s="81">
        <f ca="1">IFERROR(__xludf.DUMMYFUNCTION("""COMPUTED_VALUE"""),0)</f>
        <v>0</v>
      </c>
      <c r="O1342" s="81"/>
      <c r="P1342" s="81">
        <f ca="1">IFERROR(__xludf.DUMMYFUNCTION("""COMPUTED_VALUE"""),0)</f>
        <v>0</v>
      </c>
      <c r="Q1342" s="81"/>
      <c r="R1342" s="81">
        <f ca="1">IFERROR(__xludf.DUMMYFUNCTION("""COMPUTED_VALUE"""),0)</f>
        <v>0</v>
      </c>
      <c r="S1342" s="81"/>
      <c r="T1342" s="81"/>
      <c r="U1342" s="82"/>
      <c r="V1342" s="82"/>
      <c r="W1342" s="83"/>
      <c r="X1342" s="83"/>
      <c r="Y1342" s="83"/>
    </row>
    <row r="1343" spans="1:25" ht="13.8">
      <c r="A1343" s="78" t="str">
        <f ca="1">IFERROR(__xludf.DUMMYFUNCTION("""COMPUTED_VALUE"""),"NS")</f>
        <v>NS</v>
      </c>
      <c r="B1343" s="79" t="str">
        <f ca="1">IFERROR(__xludf.DUMMYFUNCTION("""COMPUTED_VALUE"""),"Natalia Haley")</f>
        <v>Natalia Haley</v>
      </c>
      <c r="C1343" s="78">
        <f ca="1">IFERROR(__xludf.DUMMYFUNCTION("""COMPUTED_VALUE"""),9)</f>
        <v>9</v>
      </c>
      <c r="D1343" s="78" t="str">
        <f ca="1">IFERROR(__xludf.DUMMYFUNCTION("""COMPUTED_VALUE"""),"G")</f>
        <v>G</v>
      </c>
      <c r="E1343" s="80" t="str">
        <f ca="1">IFERROR(__xludf.DUMMYFUNCTION("""COMPUTED_VALUE"""),"F")</f>
        <v>F</v>
      </c>
      <c r="F1343" s="80" t="str">
        <f ca="1">IFERROR(__xludf.DUMMYFUNCTION("""COMPUTED_VALUE"""),"J")</f>
        <v>J</v>
      </c>
      <c r="G1343" s="80">
        <f ca="1">IFERROR(__xludf.DUMMYFUNCTION("""COMPUTED_VALUE"""),8)</f>
        <v>8</v>
      </c>
      <c r="H1343" s="80" t="str">
        <f ca="1">IFERROR(__xludf.DUMMYFUNCTION("""COMPUTED_VALUE"""),"NS")</f>
        <v>NS</v>
      </c>
      <c r="I1343" s="80">
        <f ca="1">IFERROR(__xludf.DUMMYFUNCTION("""COMPUTED_VALUE"""),2)</f>
        <v>2</v>
      </c>
      <c r="J1343" s="81">
        <f ca="1">IFERROR(__xludf.DUMMYFUNCTION("""COMPUTED_VALUE"""),5)</f>
        <v>5</v>
      </c>
      <c r="K1343" s="81">
        <f ca="1">IFERROR(__xludf.DUMMYFUNCTION("""COMPUTED_VALUE"""),57.8)</f>
        <v>57.8</v>
      </c>
      <c r="L1343" s="81">
        <f ca="1">IFERROR(__xludf.DUMMYFUNCTION("""COMPUTED_VALUE"""),34.95)</f>
        <v>34.950000000000003</v>
      </c>
      <c r="M1343" s="81"/>
      <c r="N1343" s="81">
        <f ca="1">IFERROR(__xludf.DUMMYFUNCTION("""COMPUTED_VALUE"""),45.5)</f>
        <v>45.5</v>
      </c>
      <c r="O1343" s="81"/>
      <c r="P1343" s="81">
        <f ca="1">IFERROR(__xludf.DUMMYFUNCTION("""COMPUTED_VALUE"""),56.25)</f>
        <v>56.25</v>
      </c>
      <c r="Q1343" s="81"/>
      <c r="R1343" s="81">
        <f ca="1">IFERROR(__xludf.DUMMYFUNCTION("""COMPUTED_VALUE"""),57.8)</f>
        <v>57.8</v>
      </c>
      <c r="S1343" s="81"/>
      <c r="T1343" s="81"/>
      <c r="U1343" s="82"/>
      <c r="V1343" s="82"/>
      <c r="W1343" s="83"/>
      <c r="X1343" s="83"/>
      <c r="Y1343" s="83"/>
    </row>
    <row r="1344" spans="1:25" ht="13.8">
      <c r="A1344" s="78" t="str">
        <f ca="1">IFERROR(__xludf.DUMMYFUNCTION("""COMPUTED_VALUE"""),"NS")</f>
        <v>NS</v>
      </c>
      <c r="B1344" s="79" t="str">
        <f ca="1">IFERROR(__xludf.DUMMYFUNCTION("""COMPUTED_VALUE"""),"Kat Mahoney")</f>
        <v>Kat Mahoney</v>
      </c>
      <c r="C1344" s="78">
        <f ca="1">IFERROR(__xludf.DUMMYFUNCTION("""COMPUTED_VALUE"""),9)</f>
        <v>9</v>
      </c>
      <c r="D1344" s="78" t="str">
        <f ca="1">IFERROR(__xludf.DUMMYFUNCTION("""COMPUTED_VALUE"""),"G")</f>
        <v>G</v>
      </c>
      <c r="E1344" s="80" t="str">
        <f ca="1">IFERROR(__xludf.DUMMYFUNCTION("""COMPUTED_VALUE"""),"F")</f>
        <v>F</v>
      </c>
      <c r="F1344" s="80" t="str">
        <f ca="1">IFERROR(__xludf.DUMMYFUNCTION("""COMPUTED_VALUE"""),"J")</f>
        <v>J</v>
      </c>
      <c r="G1344" s="80">
        <f ca="1">IFERROR(__xludf.DUMMYFUNCTION("""COMPUTED_VALUE"""),8)</f>
        <v>8</v>
      </c>
      <c r="H1344" s="80" t="str">
        <f ca="1">IFERROR(__xludf.DUMMYFUNCTION("""COMPUTED_VALUE"""),"NS")</f>
        <v>NS</v>
      </c>
      <c r="I1344" s="80">
        <f ca="1">IFERROR(__xludf.DUMMYFUNCTION("""COMPUTED_VALUE"""),2)</f>
        <v>2</v>
      </c>
      <c r="J1344" s="81">
        <f ca="1">IFERROR(__xludf.DUMMYFUNCTION("""COMPUTED_VALUE"""),0)</f>
        <v>0</v>
      </c>
      <c r="K1344" s="81">
        <f ca="1">IFERROR(__xludf.DUMMYFUNCTION("""COMPUTED_VALUE"""),0)</f>
        <v>0</v>
      </c>
      <c r="L1344" s="81">
        <f ca="1">IFERROR(__xludf.DUMMYFUNCTION("""COMPUTED_VALUE"""),0)</f>
        <v>0</v>
      </c>
      <c r="M1344" s="81"/>
      <c r="N1344" s="81">
        <f ca="1">IFERROR(__xludf.DUMMYFUNCTION("""COMPUTED_VALUE"""),0)</f>
        <v>0</v>
      </c>
      <c r="O1344" s="81"/>
      <c r="P1344" s="81">
        <f ca="1">IFERROR(__xludf.DUMMYFUNCTION("""COMPUTED_VALUE"""),0)</f>
        <v>0</v>
      </c>
      <c r="Q1344" s="81"/>
      <c r="R1344" s="81">
        <f ca="1">IFERROR(__xludf.DUMMYFUNCTION("""COMPUTED_VALUE"""),0)</f>
        <v>0</v>
      </c>
      <c r="S1344" s="81"/>
      <c r="T1344" s="81"/>
      <c r="U1344" s="82"/>
      <c r="V1344" s="82"/>
      <c r="W1344" s="83"/>
      <c r="X1344" s="83"/>
      <c r="Y1344" s="83"/>
    </row>
    <row r="1345" spans="1:25" ht="13.8">
      <c r="A1345" s="78" t="str">
        <f ca="1">IFERROR(__xludf.DUMMYFUNCTION("""COMPUTED_VALUE"""),"NS")</f>
        <v>NS</v>
      </c>
      <c r="B1345" s="79" t="str">
        <f ca="1">IFERROR(__xludf.DUMMYFUNCTION("""COMPUTED_VALUE"""),"Delilah Perez")</f>
        <v>Delilah Perez</v>
      </c>
      <c r="C1345" s="78">
        <f ca="1">IFERROR(__xludf.DUMMYFUNCTION("""COMPUTED_VALUE"""),9)</f>
        <v>9</v>
      </c>
      <c r="D1345" s="78" t="str">
        <f ca="1">IFERROR(__xludf.DUMMYFUNCTION("""COMPUTED_VALUE"""),"G")</f>
        <v>G</v>
      </c>
      <c r="E1345" s="80" t="str">
        <f ca="1">IFERROR(__xludf.DUMMYFUNCTION("""COMPUTED_VALUE"""),"F")</f>
        <v>F</v>
      </c>
      <c r="F1345" s="80" t="str">
        <f ca="1">IFERROR(__xludf.DUMMYFUNCTION("""COMPUTED_VALUE"""),"J")</f>
        <v>J</v>
      </c>
      <c r="G1345" s="80">
        <f ca="1">IFERROR(__xludf.DUMMYFUNCTION("""COMPUTED_VALUE"""),8)</f>
        <v>8</v>
      </c>
      <c r="H1345" s="80" t="str">
        <f ca="1">IFERROR(__xludf.DUMMYFUNCTION("""COMPUTED_VALUE"""),"NS")</f>
        <v>NS</v>
      </c>
      <c r="I1345" s="80">
        <f ca="1">IFERROR(__xludf.DUMMYFUNCTION("""COMPUTED_VALUE"""),2)</f>
        <v>2</v>
      </c>
      <c r="J1345" s="81">
        <f ca="1">IFERROR(__xludf.DUMMYFUNCTION("""COMPUTED_VALUE"""),4)</f>
        <v>4</v>
      </c>
      <c r="K1345" s="81">
        <f ca="1">IFERROR(__xludf.DUMMYFUNCTION("""COMPUTED_VALUE"""),19.95)</f>
        <v>19.95</v>
      </c>
      <c r="L1345" s="81">
        <f ca="1">IFERROR(__xludf.DUMMYFUNCTION("""COMPUTED_VALUE"""),10)</f>
        <v>10</v>
      </c>
      <c r="M1345" s="81"/>
      <c r="N1345" s="81">
        <f ca="1">IFERROR(__xludf.DUMMYFUNCTION("""COMPUTED_VALUE"""),13.5)</f>
        <v>13.5</v>
      </c>
      <c r="O1345" s="81"/>
      <c r="P1345" s="81">
        <f ca="1">IFERROR(__xludf.DUMMYFUNCTION("""COMPUTED_VALUE"""),0)</f>
        <v>0</v>
      </c>
      <c r="Q1345" s="81"/>
      <c r="R1345" s="81">
        <f ca="1">IFERROR(__xludf.DUMMYFUNCTION("""COMPUTED_VALUE"""),19.95)</f>
        <v>19.95</v>
      </c>
      <c r="S1345" s="81"/>
      <c r="T1345" s="81"/>
      <c r="U1345" s="82"/>
      <c r="V1345" s="82"/>
      <c r="W1345" s="83"/>
      <c r="X1345" s="83"/>
      <c r="Y1345" s="83"/>
    </row>
    <row r="1346" spans="1:25" ht="13.8">
      <c r="A1346" s="78" t="str">
        <f ca="1">IFERROR(__xludf.DUMMYFUNCTION("""COMPUTED_VALUE"""),"NS")</f>
        <v>NS</v>
      </c>
      <c r="B1346" s="79" t="str">
        <f ca="1">IFERROR(__xludf.DUMMYFUNCTION("""COMPUTED_VALUE"""),"Gabi Simone")</f>
        <v>Gabi Simone</v>
      </c>
      <c r="C1346" s="78">
        <f ca="1">IFERROR(__xludf.DUMMYFUNCTION("""COMPUTED_VALUE"""),9)</f>
        <v>9</v>
      </c>
      <c r="D1346" s="78" t="str">
        <f ca="1">IFERROR(__xludf.DUMMYFUNCTION("""COMPUTED_VALUE"""),"G")</f>
        <v>G</v>
      </c>
      <c r="E1346" s="80" t="str">
        <f ca="1">IFERROR(__xludf.DUMMYFUNCTION("""COMPUTED_VALUE"""),"F")</f>
        <v>F</v>
      </c>
      <c r="F1346" s="80" t="str">
        <f ca="1">IFERROR(__xludf.DUMMYFUNCTION("""COMPUTED_VALUE"""),"J")</f>
        <v>J</v>
      </c>
      <c r="G1346" s="80">
        <f ca="1">IFERROR(__xludf.DUMMYFUNCTION("""COMPUTED_VALUE"""),8)</f>
        <v>8</v>
      </c>
      <c r="H1346" s="80" t="str">
        <f ca="1">IFERROR(__xludf.DUMMYFUNCTION("""COMPUTED_VALUE"""),"NS")</f>
        <v>NS</v>
      </c>
      <c r="I1346" s="80">
        <f ca="1">IFERROR(__xludf.DUMMYFUNCTION("""COMPUTED_VALUE"""),2)</f>
        <v>2</v>
      </c>
      <c r="J1346" s="81">
        <f ca="1">IFERROR(__xludf.DUMMYFUNCTION("""COMPUTED_VALUE"""),0)</f>
        <v>0</v>
      </c>
      <c r="K1346" s="81">
        <f ca="1">IFERROR(__xludf.DUMMYFUNCTION("""COMPUTED_VALUE"""),0)</f>
        <v>0</v>
      </c>
      <c r="L1346" s="81">
        <f ca="1">IFERROR(__xludf.DUMMYFUNCTION("""COMPUTED_VALUE"""),0)</f>
        <v>0</v>
      </c>
      <c r="M1346" s="81"/>
      <c r="N1346" s="81">
        <f ca="1">IFERROR(__xludf.DUMMYFUNCTION("""COMPUTED_VALUE"""),0)</f>
        <v>0</v>
      </c>
      <c r="O1346" s="81"/>
      <c r="P1346" s="81">
        <f ca="1">IFERROR(__xludf.DUMMYFUNCTION("""COMPUTED_VALUE"""),0)</f>
        <v>0</v>
      </c>
      <c r="Q1346" s="81"/>
      <c r="R1346" s="81">
        <f ca="1">IFERROR(__xludf.DUMMYFUNCTION("""COMPUTED_VALUE"""),0)</f>
        <v>0</v>
      </c>
      <c r="S1346" s="81"/>
      <c r="T1346" s="81"/>
      <c r="U1346" s="82"/>
      <c r="V1346" s="82"/>
      <c r="W1346" s="83"/>
      <c r="X1346" s="83"/>
      <c r="Y1346" s="83"/>
    </row>
    <row r="1347" spans="1:25" ht="13.8">
      <c r="A1347" s="78" t="str">
        <f ca="1">IFERROR(__xludf.DUMMYFUNCTION("""COMPUTED_VALUE"""),"NS")</f>
        <v>NS</v>
      </c>
      <c r="B1347" s="79" t="str">
        <f ca="1">IFERROR(__xludf.DUMMYFUNCTION("""COMPUTED_VALUE"""),"Jasper Albers")</f>
        <v>Jasper Albers</v>
      </c>
      <c r="C1347" s="78">
        <f ca="1">IFERROR(__xludf.DUMMYFUNCTION("""COMPUTED_VALUE"""),5)</f>
        <v>5</v>
      </c>
      <c r="D1347" s="78" t="str">
        <f ca="1">IFERROR(__xludf.DUMMYFUNCTION("""COMPUTED_VALUE"""),"B")</f>
        <v>B</v>
      </c>
      <c r="E1347" s="80" t="str">
        <f ca="1">IFERROR(__xludf.DUMMYFUNCTION("""COMPUTED_VALUE"""),"F")</f>
        <v>F</v>
      </c>
      <c r="F1347" s="80" t="str">
        <f ca="1">IFERROR(__xludf.DUMMYFUNCTION("""COMPUTED_VALUE"""),"J")</f>
        <v>J</v>
      </c>
      <c r="G1347" s="80">
        <f ca="1">IFERROR(__xludf.DUMMYFUNCTION("""COMPUTED_VALUE"""),8)</f>
        <v>8</v>
      </c>
      <c r="H1347" s="80" t="str">
        <f ca="1">IFERROR(__xludf.DUMMYFUNCTION("""COMPUTED_VALUE"""),"NS")</f>
        <v>NS</v>
      </c>
      <c r="I1347" s="80">
        <f ca="1">IFERROR(__xludf.DUMMYFUNCTION("""COMPUTED_VALUE"""),3)</f>
        <v>3</v>
      </c>
      <c r="J1347" s="81">
        <f ca="1">IFERROR(__xludf.DUMMYFUNCTION("""COMPUTED_VALUE"""),0)</f>
        <v>0</v>
      </c>
      <c r="K1347" s="81">
        <f ca="1">IFERROR(__xludf.DUMMYFUNCTION("""COMPUTED_VALUE"""),0)</f>
        <v>0</v>
      </c>
      <c r="L1347" s="81">
        <f ca="1">IFERROR(__xludf.DUMMYFUNCTION("""COMPUTED_VALUE"""),0)</f>
        <v>0</v>
      </c>
      <c r="M1347" s="81"/>
      <c r="N1347" s="81">
        <f ca="1">IFERROR(__xludf.DUMMYFUNCTION("""COMPUTED_VALUE"""),0)</f>
        <v>0</v>
      </c>
      <c r="O1347" s="81"/>
      <c r="P1347" s="81">
        <f ca="1">IFERROR(__xludf.DUMMYFUNCTION("""COMPUTED_VALUE"""),0)</f>
        <v>0</v>
      </c>
      <c r="Q1347" s="81"/>
      <c r="R1347" s="81">
        <f ca="1">IFERROR(__xludf.DUMMYFUNCTION("""COMPUTED_VALUE"""),0)</f>
        <v>0</v>
      </c>
      <c r="S1347" s="81"/>
      <c r="T1347" s="81"/>
      <c r="U1347" s="82"/>
      <c r="V1347" s="82"/>
      <c r="W1347" s="83"/>
      <c r="X1347" s="83"/>
      <c r="Y1347" s="83"/>
    </row>
    <row r="1348" spans="1:25" ht="13.8">
      <c r="A1348" s="78" t="str">
        <f ca="1">IFERROR(__xludf.DUMMYFUNCTION("""COMPUTED_VALUE"""),"NS")</f>
        <v>NS</v>
      </c>
      <c r="B1348" s="79" t="str">
        <f ca="1">IFERROR(__xludf.DUMMYFUNCTION("""COMPUTED_VALUE"""),"Orion Albers")</f>
        <v>Orion Albers</v>
      </c>
      <c r="C1348" s="78">
        <f ca="1">IFERROR(__xludf.DUMMYFUNCTION("""COMPUTED_VALUE"""),3)</f>
        <v>3</v>
      </c>
      <c r="D1348" s="78" t="str">
        <f ca="1">IFERROR(__xludf.DUMMYFUNCTION("""COMPUTED_VALUE"""),"B")</f>
        <v>B</v>
      </c>
      <c r="E1348" s="80" t="str">
        <f ca="1">IFERROR(__xludf.DUMMYFUNCTION("""COMPUTED_VALUE"""),"F")</f>
        <v>F</v>
      </c>
      <c r="F1348" s="80" t="str">
        <f ca="1">IFERROR(__xludf.DUMMYFUNCTION("""COMPUTED_VALUE"""),"J")</f>
        <v>J</v>
      </c>
      <c r="G1348" s="80">
        <f ca="1">IFERROR(__xludf.DUMMYFUNCTION("""COMPUTED_VALUE"""),8)</f>
        <v>8</v>
      </c>
      <c r="H1348" s="80" t="str">
        <f ca="1">IFERROR(__xludf.DUMMYFUNCTION("""COMPUTED_VALUE"""),"NS")</f>
        <v>NS</v>
      </c>
      <c r="I1348" s="80">
        <f ca="1">IFERROR(__xludf.DUMMYFUNCTION("""COMPUTED_VALUE"""),3)</f>
        <v>3</v>
      </c>
      <c r="J1348" s="81">
        <f ca="1">IFERROR(__xludf.DUMMYFUNCTION("""COMPUTED_VALUE"""),0)</f>
        <v>0</v>
      </c>
      <c r="K1348" s="81">
        <f ca="1">IFERROR(__xludf.DUMMYFUNCTION("""COMPUTED_VALUE"""),0)</f>
        <v>0</v>
      </c>
      <c r="L1348" s="81">
        <f ca="1">IFERROR(__xludf.DUMMYFUNCTION("""COMPUTED_VALUE"""),0)</f>
        <v>0</v>
      </c>
      <c r="M1348" s="81"/>
      <c r="N1348" s="81">
        <f ca="1">IFERROR(__xludf.DUMMYFUNCTION("""COMPUTED_VALUE"""),0)</f>
        <v>0</v>
      </c>
      <c r="O1348" s="81"/>
      <c r="P1348" s="81">
        <f ca="1">IFERROR(__xludf.DUMMYFUNCTION("""COMPUTED_VALUE"""),0)</f>
        <v>0</v>
      </c>
      <c r="Q1348" s="81"/>
      <c r="R1348" s="81">
        <f ca="1">IFERROR(__xludf.DUMMYFUNCTION("""COMPUTED_VALUE"""),0)</f>
        <v>0</v>
      </c>
      <c r="S1348" s="81"/>
      <c r="T1348" s="81"/>
      <c r="U1348" s="82"/>
      <c r="V1348" s="82"/>
      <c r="W1348" s="83"/>
      <c r="X1348" s="83"/>
      <c r="Y1348" s="83"/>
    </row>
    <row r="1349" spans="1:25" ht="13.8">
      <c r="A1349" s="78" t="str">
        <f ca="1">IFERROR(__xludf.DUMMYFUNCTION("""COMPUTED_VALUE"""),"NS")</f>
        <v>NS</v>
      </c>
      <c r="B1349" s="79" t="str">
        <f ca="1">IFERROR(__xludf.DUMMYFUNCTION("""COMPUTED_VALUE"""),"Phill Bernard")</f>
        <v>Phill Bernard</v>
      </c>
      <c r="C1349" s="78">
        <f ca="1">IFERROR(__xludf.DUMMYFUNCTION("""COMPUTED_VALUE"""),9)</f>
        <v>9</v>
      </c>
      <c r="D1349" s="78" t="str">
        <f ca="1">IFERROR(__xludf.DUMMYFUNCTION("""COMPUTED_VALUE"""),"B")</f>
        <v>B</v>
      </c>
      <c r="E1349" s="80" t="str">
        <f ca="1">IFERROR(__xludf.DUMMYFUNCTION("""COMPUTED_VALUE"""),"F")</f>
        <v>F</v>
      </c>
      <c r="F1349" s="80" t="str">
        <f ca="1">IFERROR(__xludf.DUMMYFUNCTION("""COMPUTED_VALUE"""),"J")</f>
        <v>J</v>
      </c>
      <c r="G1349" s="80">
        <f ca="1">IFERROR(__xludf.DUMMYFUNCTION("""COMPUTED_VALUE"""),8)</f>
        <v>8</v>
      </c>
      <c r="H1349" s="80" t="str">
        <f ca="1">IFERROR(__xludf.DUMMYFUNCTION("""COMPUTED_VALUE"""),"NS")</f>
        <v>NS</v>
      </c>
      <c r="I1349" s="80">
        <f ca="1">IFERROR(__xludf.DUMMYFUNCTION("""COMPUTED_VALUE"""),3)</f>
        <v>3</v>
      </c>
      <c r="J1349" s="81">
        <f ca="1">IFERROR(__xludf.DUMMYFUNCTION("""COMPUTED_VALUE"""),5)</f>
        <v>5</v>
      </c>
      <c r="K1349" s="81">
        <f ca="1">IFERROR(__xludf.DUMMYFUNCTION("""COMPUTED_VALUE"""),60.15)</f>
        <v>60.15</v>
      </c>
      <c r="L1349" s="81">
        <f ca="1">IFERROR(__xludf.DUMMYFUNCTION("""COMPUTED_VALUE"""),49.3)</f>
        <v>49.3</v>
      </c>
      <c r="M1349" s="81"/>
      <c r="N1349" s="81">
        <f ca="1">IFERROR(__xludf.DUMMYFUNCTION("""COMPUTED_VALUE"""),60.15)</f>
        <v>60.15</v>
      </c>
      <c r="O1349" s="81"/>
      <c r="P1349" s="81">
        <f ca="1">IFERROR(__xludf.DUMMYFUNCTION("""COMPUTED_VALUE"""),-93.6)</f>
        <v>-93.6</v>
      </c>
      <c r="Q1349" s="81"/>
      <c r="R1349" s="81">
        <f ca="1">IFERROR(__xludf.DUMMYFUNCTION("""COMPUTED_VALUE"""),-80.7)</f>
        <v>-80.7</v>
      </c>
      <c r="S1349" s="81"/>
      <c r="T1349" s="81"/>
      <c r="U1349" s="82"/>
      <c r="V1349" s="82"/>
      <c r="W1349" s="83"/>
      <c r="X1349" s="83"/>
      <c r="Y1349" s="83"/>
    </row>
    <row r="1350" spans="1:25" ht="13.8">
      <c r="A1350" s="78" t="str">
        <f ca="1">IFERROR(__xludf.DUMMYFUNCTION("""COMPUTED_VALUE"""),"NS")</f>
        <v>NS</v>
      </c>
      <c r="B1350" s="79" t="str">
        <f ca="1">IFERROR(__xludf.DUMMYFUNCTION("""COMPUTED_VALUE"""),"Yousef Chawki")</f>
        <v>Yousef Chawki</v>
      </c>
      <c r="C1350" s="78">
        <f ca="1">IFERROR(__xludf.DUMMYFUNCTION("""COMPUTED_VALUE"""),9)</f>
        <v>9</v>
      </c>
      <c r="D1350" s="78" t="str">
        <f ca="1">IFERROR(__xludf.DUMMYFUNCTION("""COMPUTED_VALUE"""),"B")</f>
        <v>B</v>
      </c>
      <c r="E1350" s="80" t="str">
        <f ca="1">IFERROR(__xludf.DUMMYFUNCTION("""COMPUTED_VALUE"""),"F")</f>
        <v>F</v>
      </c>
      <c r="F1350" s="80" t="str">
        <f ca="1">IFERROR(__xludf.DUMMYFUNCTION("""COMPUTED_VALUE"""),"J")</f>
        <v>J</v>
      </c>
      <c r="G1350" s="80">
        <f ca="1">IFERROR(__xludf.DUMMYFUNCTION("""COMPUTED_VALUE"""),8)</f>
        <v>8</v>
      </c>
      <c r="H1350" s="80" t="str">
        <f ca="1">IFERROR(__xludf.DUMMYFUNCTION("""COMPUTED_VALUE"""),"NS")</f>
        <v>NS</v>
      </c>
      <c r="I1350" s="80">
        <f ca="1">IFERROR(__xludf.DUMMYFUNCTION("""COMPUTED_VALUE"""),3)</f>
        <v>3</v>
      </c>
      <c r="J1350" s="81">
        <f ca="1">IFERROR(__xludf.DUMMYFUNCTION("""COMPUTED_VALUE"""),4)</f>
        <v>4</v>
      </c>
      <c r="K1350" s="81">
        <f ca="1">IFERROR(__xludf.DUMMYFUNCTION("""COMPUTED_VALUE"""),58.8)</f>
        <v>58.8</v>
      </c>
      <c r="L1350" s="81">
        <f ca="1">IFERROR(__xludf.DUMMYFUNCTION("""COMPUTED_VALUE"""),47)</f>
        <v>47</v>
      </c>
      <c r="M1350" s="81"/>
      <c r="N1350" s="81">
        <f ca="1">IFERROR(__xludf.DUMMYFUNCTION("""COMPUTED_VALUE"""),58.8)</f>
        <v>58.8</v>
      </c>
      <c r="O1350" s="81"/>
      <c r="P1350" s="81">
        <f ca="1">IFERROR(__xludf.DUMMYFUNCTION("""COMPUTED_VALUE"""),41.05)</f>
        <v>41.05</v>
      </c>
      <c r="Q1350" s="81"/>
      <c r="R1350" s="81">
        <f ca="1">IFERROR(__xludf.DUMMYFUNCTION("""COMPUTED_VALUE"""),48.95)</f>
        <v>48.95</v>
      </c>
      <c r="S1350" s="81"/>
      <c r="T1350" s="81"/>
      <c r="U1350" s="82"/>
      <c r="V1350" s="82"/>
      <c r="W1350" s="83"/>
      <c r="X1350" s="83"/>
      <c r="Y1350" s="83"/>
    </row>
    <row r="1351" spans="1:25" ht="13.8">
      <c r="A1351" s="78" t="str">
        <f ca="1">IFERROR(__xludf.DUMMYFUNCTION("""COMPUTED_VALUE"""),"NS")</f>
        <v>NS</v>
      </c>
      <c r="B1351" s="79" t="str">
        <f ca="1">IFERROR(__xludf.DUMMYFUNCTION("""COMPUTED_VALUE"""),"Ethan Dalrymple")</f>
        <v>Ethan Dalrymple</v>
      </c>
      <c r="C1351" s="78">
        <f ca="1">IFERROR(__xludf.DUMMYFUNCTION("""COMPUTED_VALUE"""),9)</f>
        <v>9</v>
      </c>
      <c r="D1351" s="78" t="str">
        <f ca="1">IFERROR(__xludf.DUMMYFUNCTION("""COMPUTED_VALUE"""),"B")</f>
        <v>B</v>
      </c>
      <c r="E1351" s="80" t="str">
        <f ca="1">IFERROR(__xludf.DUMMYFUNCTION("""COMPUTED_VALUE"""),"F")</f>
        <v>F</v>
      </c>
      <c r="F1351" s="80" t="str">
        <f ca="1">IFERROR(__xludf.DUMMYFUNCTION("""COMPUTED_VALUE"""),"J")</f>
        <v>J</v>
      </c>
      <c r="G1351" s="80">
        <f ca="1">IFERROR(__xludf.DUMMYFUNCTION("""COMPUTED_VALUE"""),8)</f>
        <v>8</v>
      </c>
      <c r="H1351" s="80" t="str">
        <f ca="1">IFERROR(__xludf.DUMMYFUNCTION("""COMPUTED_VALUE"""),"NS")</f>
        <v>NS</v>
      </c>
      <c r="I1351" s="80">
        <f ca="1">IFERROR(__xludf.DUMMYFUNCTION("""COMPUTED_VALUE"""),3)</f>
        <v>3</v>
      </c>
      <c r="J1351" s="81">
        <f ca="1">IFERROR(__xludf.DUMMYFUNCTION("""COMPUTED_VALUE"""),3)</f>
        <v>3</v>
      </c>
      <c r="K1351" s="81">
        <f ca="1">IFERROR(__xludf.DUMMYFUNCTION("""COMPUTED_VALUE"""),65.8)</f>
        <v>65.8</v>
      </c>
      <c r="L1351" s="81">
        <f ca="1">IFERROR(__xludf.DUMMYFUNCTION("""COMPUTED_VALUE"""),0)</f>
        <v>0</v>
      </c>
      <c r="M1351" s="81"/>
      <c r="N1351" s="81">
        <f ca="1">IFERROR(__xludf.DUMMYFUNCTION("""COMPUTED_VALUE"""),0)</f>
        <v>0</v>
      </c>
      <c r="O1351" s="81"/>
      <c r="P1351" s="81">
        <f ca="1">IFERROR(__xludf.DUMMYFUNCTION("""COMPUTED_VALUE"""),65.8)</f>
        <v>65.8</v>
      </c>
      <c r="Q1351" s="81"/>
      <c r="R1351" s="81">
        <f ca="1">IFERROR(__xludf.DUMMYFUNCTION("""COMPUTED_VALUE"""),59.3)</f>
        <v>59.3</v>
      </c>
      <c r="S1351" s="81"/>
      <c r="T1351" s="81"/>
      <c r="U1351" s="82"/>
      <c r="V1351" s="82"/>
      <c r="W1351" s="83"/>
      <c r="X1351" s="83"/>
      <c r="Y1351" s="83"/>
    </row>
    <row r="1352" spans="1:25" ht="13.8">
      <c r="A1352" s="78" t="str">
        <f ca="1">IFERROR(__xludf.DUMMYFUNCTION("""COMPUTED_VALUE"""),"NS")</f>
        <v>NS</v>
      </c>
      <c r="B1352" s="79" t="str">
        <f ca="1">IFERROR(__xludf.DUMMYFUNCTION("""COMPUTED_VALUE"""),"William Gall")</f>
        <v>William Gall</v>
      </c>
      <c r="C1352" s="78">
        <f ca="1">IFERROR(__xludf.DUMMYFUNCTION("""COMPUTED_VALUE"""),9)</f>
        <v>9</v>
      </c>
      <c r="D1352" s="78" t="str">
        <f ca="1">IFERROR(__xludf.DUMMYFUNCTION("""COMPUTED_VALUE"""),"B")</f>
        <v>B</v>
      </c>
      <c r="E1352" s="80" t="str">
        <f ca="1">IFERROR(__xludf.DUMMYFUNCTION("""COMPUTED_VALUE"""),"F")</f>
        <v>F</v>
      </c>
      <c r="F1352" s="80" t="str">
        <f ca="1">IFERROR(__xludf.DUMMYFUNCTION("""COMPUTED_VALUE"""),"J")</f>
        <v>J</v>
      </c>
      <c r="G1352" s="80">
        <f ca="1">IFERROR(__xludf.DUMMYFUNCTION("""COMPUTED_VALUE"""),8)</f>
        <v>8</v>
      </c>
      <c r="H1352" s="80" t="str">
        <f ca="1">IFERROR(__xludf.DUMMYFUNCTION("""COMPUTED_VALUE"""),"NS")</f>
        <v>NS</v>
      </c>
      <c r="I1352" s="80">
        <f ca="1">IFERROR(__xludf.DUMMYFUNCTION("""COMPUTED_VALUE"""),3)</f>
        <v>3</v>
      </c>
      <c r="J1352" s="81">
        <f ca="1">IFERROR(__xludf.DUMMYFUNCTION("""COMPUTED_VALUE"""),4)</f>
        <v>4</v>
      </c>
      <c r="K1352" s="81">
        <f ca="1">IFERROR(__xludf.DUMMYFUNCTION("""COMPUTED_VALUE"""),67.25)</f>
        <v>67.25</v>
      </c>
      <c r="L1352" s="81">
        <f ca="1">IFERROR(__xludf.DUMMYFUNCTION("""COMPUTED_VALUE"""),0)</f>
        <v>0</v>
      </c>
      <c r="M1352" s="81"/>
      <c r="N1352" s="81">
        <f ca="1">IFERROR(__xludf.DUMMYFUNCTION("""COMPUTED_VALUE"""),67.25)</f>
        <v>67.25</v>
      </c>
      <c r="O1352" s="81"/>
      <c r="P1352" s="81">
        <f ca="1">IFERROR(__xludf.DUMMYFUNCTION("""COMPUTED_VALUE"""),55.8)</f>
        <v>55.8</v>
      </c>
      <c r="Q1352" s="81"/>
      <c r="R1352" s="81">
        <f ca="1">IFERROR(__xludf.DUMMYFUNCTION("""COMPUTED_VALUE"""),58.9)</f>
        <v>58.9</v>
      </c>
      <c r="S1352" s="81"/>
      <c r="T1352" s="81"/>
      <c r="U1352" s="82"/>
      <c r="V1352" s="82"/>
      <c r="W1352" s="83"/>
      <c r="X1352" s="83"/>
      <c r="Y1352" s="83"/>
    </row>
    <row r="1353" spans="1:25" ht="13.8">
      <c r="A1353" s="78" t="str">
        <f ca="1">IFERROR(__xludf.DUMMYFUNCTION("""COMPUTED_VALUE"""),"NS")</f>
        <v>NS</v>
      </c>
      <c r="B1353" s="79" t="str">
        <f ca="1">IFERROR(__xludf.DUMMYFUNCTION("""COMPUTED_VALUE"""),"Ryan Guy")</f>
        <v>Ryan Guy</v>
      </c>
      <c r="C1353" s="78">
        <f ca="1">IFERROR(__xludf.DUMMYFUNCTION("""COMPUTED_VALUE"""),9)</f>
        <v>9</v>
      </c>
      <c r="D1353" s="78" t="str">
        <f ca="1">IFERROR(__xludf.DUMMYFUNCTION("""COMPUTED_VALUE"""),"B")</f>
        <v>B</v>
      </c>
      <c r="E1353" s="80" t="str">
        <f ca="1">IFERROR(__xludf.DUMMYFUNCTION("""COMPUTED_VALUE"""),"F")</f>
        <v>F</v>
      </c>
      <c r="F1353" s="80" t="str">
        <f ca="1">IFERROR(__xludf.DUMMYFUNCTION("""COMPUTED_VALUE"""),"J")</f>
        <v>J</v>
      </c>
      <c r="G1353" s="80">
        <f ca="1">IFERROR(__xludf.DUMMYFUNCTION("""COMPUTED_VALUE"""),8)</f>
        <v>8</v>
      </c>
      <c r="H1353" s="80" t="str">
        <f ca="1">IFERROR(__xludf.DUMMYFUNCTION("""COMPUTED_VALUE"""),"NS")</f>
        <v>NS</v>
      </c>
      <c r="I1353" s="80">
        <f ca="1">IFERROR(__xludf.DUMMYFUNCTION("""COMPUTED_VALUE"""),3)</f>
        <v>3</v>
      </c>
      <c r="J1353" s="81">
        <f ca="1">IFERROR(__xludf.DUMMYFUNCTION("""COMPUTED_VALUE"""),1)</f>
        <v>1</v>
      </c>
      <c r="K1353" s="81">
        <f ca="1">IFERROR(__xludf.DUMMYFUNCTION("""COMPUTED_VALUE"""),51.25)</f>
        <v>51.25</v>
      </c>
      <c r="L1353" s="81">
        <f ca="1">IFERROR(__xludf.DUMMYFUNCTION("""COMPUTED_VALUE"""),0)</f>
        <v>0</v>
      </c>
      <c r="M1353" s="81"/>
      <c r="N1353" s="81">
        <f ca="1">IFERROR(__xludf.DUMMYFUNCTION("""COMPUTED_VALUE"""),0)</f>
        <v>0</v>
      </c>
      <c r="O1353" s="81"/>
      <c r="P1353" s="81">
        <f ca="1">IFERROR(__xludf.DUMMYFUNCTION("""COMPUTED_VALUE"""),0)</f>
        <v>0</v>
      </c>
      <c r="Q1353" s="81"/>
      <c r="R1353" s="81">
        <f ca="1">IFERROR(__xludf.DUMMYFUNCTION("""COMPUTED_VALUE"""),51.25)</f>
        <v>51.25</v>
      </c>
      <c r="S1353" s="81"/>
      <c r="T1353" s="81"/>
      <c r="U1353" s="82"/>
      <c r="V1353" s="82"/>
      <c r="W1353" s="83"/>
      <c r="X1353" s="83"/>
      <c r="Y1353" s="83"/>
    </row>
    <row r="1354" spans="1:25" ht="13.8">
      <c r="A1354" s="78" t="str">
        <f ca="1">IFERROR(__xludf.DUMMYFUNCTION("""COMPUTED_VALUE"""),"NS")</f>
        <v>NS</v>
      </c>
      <c r="B1354" s="79" t="str">
        <f ca="1">IFERROR(__xludf.DUMMYFUNCTION("""COMPUTED_VALUE"""),"Matthew Perez")</f>
        <v>Matthew Perez</v>
      </c>
      <c r="C1354" s="78">
        <f ca="1">IFERROR(__xludf.DUMMYFUNCTION("""COMPUTED_VALUE"""),7)</f>
        <v>7</v>
      </c>
      <c r="D1354" s="78" t="str">
        <f ca="1">IFERROR(__xludf.DUMMYFUNCTION("""COMPUTED_VALUE"""),"B")</f>
        <v>B</v>
      </c>
      <c r="E1354" s="80" t="str">
        <f ca="1">IFERROR(__xludf.DUMMYFUNCTION("""COMPUTED_VALUE"""),"F")</f>
        <v>F</v>
      </c>
      <c r="F1354" s="80" t="str">
        <f ca="1">IFERROR(__xludf.DUMMYFUNCTION("""COMPUTED_VALUE"""),"J")</f>
        <v>J</v>
      </c>
      <c r="G1354" s="80">
        <f ca="1">IFERROR(__xludf.DUMMYFUNCTION("""COMPUTED_VALUE"""),8)</f>
        <v>8</v>
      </c>
      <c r="H1354" s="80" t="str">
        <f ca="1">IFERROR(__xludf.DUMMYFUNCTION("""COMPUTED_VALUE"""),"NS")</f>
        <v>NS</v>
      </c>
      <c r="I1354" s="80">
        <f ca="1">IFERROR(__xludf.DUMMYFUNCTION("""COMPUTED_VALUE"""),3)</f>
        <v>3</v>
      </c>
      <c r="J1354" s="81">
        <f ca="1">IFERROR(__xludf.DUMMYFUNCTION("""COMPUTED_VALUE"""),0)</f>
        <v>0</v>
      </c>
      <c r="K1354" s="81">
        <f ca="1">IFERROR(__xludf.DUMMYFUNCTION("""COMPUTED_VALUE"""),0)</f>
        <v>0</v>
      </c>
      <c r="L1354" s="81">
        <f ca="1">IFERROR(__xludf.DUMMYFUNCTION("""COMPUTED_VALUE"""),0)</f>
        <v>0</v>
      </c>
      <c r="M1354" s="81"/>
      <c r="N1354" s="81">
        <f ca="1">IFERROR(__xludf.DUMMYFUNCTION("""COMPUTED_VALUE"""),0)</f>
        <v>0</v>
      </c>
      <c r="O1354" s="81"/>
      <c r="P1354" s="81">
        <f ca="1">IFERROR(__xludf.DUMMYFUNCTION("""COMPUTED_VALUE"""),0)</f>
        <v>0</v>
      </c>
      <c r="Q1354" s="81"/>
      <c r="R1354" s="81">
        <f ca="1">IFERROR(__xludf.DUMMYFUNCTION("""COMPUTED_VALUE"""),0)</f>
        <v>0</v>
      </c>
      <c r="S1354" s="81"/>
      <c r="T1354" s="81"/>
      <c r="U1354" s="82"/>
      <c r="V1354" s="82"/>
      <c r="W1354" s="83"/>
      <c r="X1354" s="83"/>
      <c r="Y1354" s="83"/>
    </row>
    <row r="1355" spans="1:25" ht="13.8">
      <c r="A1355" s="78" t="str">
        <f ca="1">IFERROR(__xludf.DUMMYFUNCTION("""COMPUTED_VALUE"""),"NS")</f>
        <v>NS</v>
      </c>
      <c r="B1355" s="79" t="str">
        <f ca="1">IFERROR(__xludf.DUMMYFUNCTION("""COMPUTED_VALUE"""),"Keegan Sgro")</f>
        <v>Keegan Sgro</v>
      </c>
      <c r="C1355" s="78">
        <f ca="1">IFERROR(__xludf.DUMMYFUNCTION("""COMPUTED_VALUE"""),10)</f>
        <v>10</v>
      </c>
      <c r="D1355" s="78" t="str">
        <f ca="1">IFERROR(__xludf.DUMMYFUNCTION("""COMPUTED_VALUE"""),"B")</f>
        <v>B</v>
      </c>
      <c r="E1355" s="80" t="str">
        <f ca="1">IFERROR(__xludf.DUMMYFUNCTION("""COMPUTED_VALUE"""),"F")</f>
        <v>F</v>
      </c>
      <c r="F1355" s="80" t="str">
        <f ca="1">IFERROR(__xludf.DUMMYFUNCTION("""COMPUTED_VALUE"""),"J")</f>
        <v>J</v>
      </c>
      <c r="G1355" s="80">
        <f ca="1">IFERROR(__xludf.DUMMYFUNCTION("""COMPUTED_VALUE"""),8)</f>
        <v>8</v>
      </c>
      <c r="H1355" s="80" t="str">
        <f ca="1">IFERROR(__xludf.DUMMYFUNCTION("""COMPUTED_VALUE"""),"NS")</f>
        <v>NS</v>
      </c>
      <c r="I1355" s="80">
        <f ca="1">IFERROR(__xludf.DUMMYFUNCTION("""COMPUTED_VALUE"""),3)</f>
        <v>3</v>
      </c>
      <c r="J1355" s="81">
        <f ca="1">IFERROR(__xludf.DUMMYFUNCTION("""COMPUTED_VALUE"""),2)</f>
        <v>2</v>
      </c>
      <c r="K1355" s="81">
        <f ca="1">IFERROR(__xludf.DUMMYFUNCTION("""COMPUTED_VALUE"""),45.65)</f>
        <v>45.65</v>
      </c>
      <c r="L1355" s="81">
        <f ca="1">IFERROR(__xludf.DUMMYFUNCTION("""COMPUTED_VALUE"""),35.45)</f>
        <v>35.450000000000003</v>
      </c>
      <c r="M1355" s="81"/>
      <c r="N1355" s="81">
        <f ca="1">IFERROR(__xludf.DUMMYFUNCTION("""COMPUTED_VALUE"""),45.65)</f>
        <v>45.65</v>
      </c>
      <c r="O1355" s="81"/>
      <c r="P1355" s="81">
        <f ca="1">IFERROR(__xludf.DUMMYFUNCTION("""COMPUTED_VALUE"""),0)</f>
        <v>0</v>
      </c>
      <c r="Q1355" s="81"/>
      <c r="R1355" s="81">
        <f ca="1">IFERROR(__xludf.DUMMYFUNCTION("""COMPUTED_VALUE"""),0)</f>
        <v>0</v>
      </c>
      <c r="S1355" s="81"/>
      <c r="T1355" s="81"/>
      <c r="U1355" s="82"/>
      <c r="V1355" s="82"/>
      <c r="W1355" s="83"/>
      <c r="X1355" s="83"/>
      <c r="Y1355" s="83"/>
    </row>
    <row r="1356" spans="1:25" ht="13.8">
      <c r="A1356" s="78" t="str">
        <f ca="1">IFERROR(__xludf.DUMMYFUNCTION("""COMPUTED_VALUE"""),"NS")</f>
        <v>NS</v>
      </c>
      <c r="B1356" s="79" t="str">
        <f ca="1">IFERROR(__xludf.DUMMYFUNCTION("""COMPUTED_VALUE"""),"Anna Balbuena")</f>
        <v>Anna Balbuena</v>
      </c>
      <c r="C1356" s="78">
        <f ca="1">IFERROR(__xludf.DUMMYFUNCTION("""COMPUTED_VALUE"""),11)</f>
        <v>11</v>
      </c>
      <c r="D1356" s="78" t="str">
        <f ca="1">IFERROR(__xludf.DUMMYFUNCTION("""COMPUTED_VALUE"""),"G")</f>
        <v>G</v>
      </c>
      <c r="E1356" s="80" t="str">
        <f ca="1">IFERROR(__xludf.DUMMYFUNCTION("""COMPUTED_VALUE"""),"J")</f>
        <v>J</v>
      </c>
      <c r="F1356" s="80" t="str">
        <f ca="1">IFERROR(__xludf.DUMMYFUNCTION("""COMPUTED_VALUE"""),"I")</f>
        <v>I</v>
      </c>
      <c r="G1356" s="80">
        <f ca="1">IFERROR(__xludf.DUMMYFUNCTION("""COMPUTED_VALUE"""),8)</f>
        <v>8</v>
      </c>
      <c r="H1356" s="80" t="str">
        <f ca="1">IFERROR(__xludf.DUMMYFUNCTION("""COMPUTED_VALUE"""),"NS")</f>
        <v>NS</v>
      </c>
      <c r="I1356" s="80">
        <f ca="1">IFERROR(__xludf.DUMMYFUNCTION("""COMPUTED_VALUE"""),4)</f>
        <v>4</v>
      </c>
      <c r="J1356" s="81">
        <f ca="1">IFERROR(__xludf.DUMMYFUNCTION("""COMPUTED_VALUE"""),3)</f>
        <v>3</v>
      </c>
      <c r="K1356" s="81">
        <f ca="1">IFERROR(__xludf.DUMMYFUNCTION("""COMPUTED_VALUE"""),62.35)</f>
        <v>62.35</v>
      </c>
      <c r="L1356" s="81">
        <f ca="1">IFERROR(__xludf.DUMMYFUNCTION("""COMPUTED_VALUE"""),0)</f>
        <v>0</v>
      </c>
      <c r="M1356" s="81"/>
      <c r="N1356" s="81">
        <f ca="1">IFERROR(__xludf.DUMMYFUNCTION("""COMPUTED_VALUE"""),59.05)</f>
        <v>59.05</v>
      </c>
      <c r="O1356" s="81"/>
      <c r="P1356" s="81">
        <f ca="1">IFERROR(__xludf.DUMMYFUNCTION("""COMPUTED_VALUE"""),0)</f>
        <v>0</v>
      </c>
      <c r="Q1356" s="81"/>
      <c r="R1356" s="81">
        <f ca="1">IFERROR(__xludf.DUMMYFUNCTION("""COMPUTED_VALUE"""),62.35)</f>
        <v>62.35</v>
      </c>
      <c r="S1356" s="81"/>
      <c r="T1356" s="81"/>
      <c r="U1356" s="82"/>
      <c r="V1356" s="82"/>
      <c r="W1356" s="83"/>
      <c r="X1356" s="83"/>
      <c r="Y1356" s="83"/>
    </row>
    <row r="1357" spans="1:25" ht="13.8">
      <c r="A1357" s="78" t="str">
        <f ca="1">IFERROR(__xludf.DUMMYFUNCTION("""COMPUTED_VALUE"""),"NS")</f>
        <v>NS</v>
      </c>
      <c r="B1357" s="79" t="str">
        <f ca="1">IFERROR(__xludf.DUMMYFUNCTION("""COMPUTED_VALUE"""),"Ami Bernard")</f>
        <v>Ami Bernard</v>
      </c>
      <c r="C1357" s="78">
        <f ca="1">IFERROR(__xludf.DUMMYFUNCTION("""COMPUTED_VALUE"""),12)</f>
        <v>12</v>
      </c>
      <c r="D1357" s="78" t="str">
        <f ca="1">IFERROR(__xludf.DUMMYFUNCTION("""COMPUTED_VALUE"""),"G")</f>
        <v>G</v>
      </c>
      <c r="E1357" s="80" t="str">
        <f ca="1">IFERROR(__xludf.DUMMYFUNCTION("""COMPUTED_VALUE"""),"J")</f>
        <v>J</v>
      </c>
      <c r="F1357" s="80" t="str">
        <f ca="1">IFERROR(__xludf.DUMMYFUNCTION("""COMPUTED_VALUE"""),"I")</f>
        <v>I</v>
      </c>
      <c r="G1357" s="80">
        <f ca="1">IFERROR(__xludf.DUMMYFUNCTION("""COMPUTED_VALUE"""),8)</f>
        <v>8</v>
      </c>
      <c r="H1357" s="80" t="str">
        <f ca="1">IFERROR(__xludf.DUMMYFUNCTION("""COMPUTED_VALUE"""),"NS")</f>
        <v>NS</v>
      </c>
      <c r="I1357" s="80">
        <f ca="1">IFERROR(__xludf.DUMMYFUNCTION("""COMPUTED_VALUE"""),4)</f>
        <v>4</v>
      </c>
      <c r="J1357" s="81">
        <f ca="1">IFERROR(__xludf.DUMMYFUNCTION("""COMPUTED_VALUE"""),4)</f>
        <v>4</v>
      </c>
      <c r="K1357" s="81">
        <f ca="1">IFERROR(__xludf.DUMMYFUNCTION("""COMPUTED_VALUE"""),63.55)</f>
        <v>63.55</v>
      </c>
      <c r="L1357" s="81">
        <f ca="1">IFERROR(__xludf.DUMMYFUNCTION("""COMPUTED_VALUE"""),42.05)</f>
        <v>42.05</v>
      </c>
      <c r="M1357" s="81"/>
      <c r="N1357" s="81">
        <f ca="1">IFERROR(__xludf.DUMMYFUNCTION("""COMPUTED_VALUE"""),0)</f>
        <v>0</v>
      </c>
      <c r="O1357" s="81"/>
      <c r="P1357" s="81">
        <f ca="1">IFERROR(__xludf.DUMMYFUNCTION("""COMPUTED_VALUE"""),63.55)</f>
        <v>63.55</v>
      </c>
      <c r="Q1357" s="81"/>
      <c r="R1357" s="81">
        <f ca="1">IFERROR(__xludf.DUMMYFUNCTION("""COMPUTED_VALUE"""),59.15)</f>
        <v>59.15</v>
      </c>
      <c r="S1357" s="81"/>
      <c r="T1357" s="81"/>
      <c r="U1357" s="82"/>
      <c r="V1357" s="82"/>
      <c r="W1357" s="83"/>
      <c r="X1357" s="83"/>
      <c r="Y1357" s="83"/>
    </row>
    <row r="1358" spans="1:25" ht="13.8">
      <c r="A1358" s="78" t="str">
        <f ca="1">IFERROR(__xludf.DUMMYFUNCTION("""COMPUTED_VALUE"""),"NS")</f>
        <v>NS</v>
      </c>
      <c r="B1358" s="79" t="str">
        <f ca="1">IFERROR(__xludf.DUMMYFUNCTION("""COMPUTED_VALUE"""),"Sarah Guy")</f>
        <v>Sarah Guy</v>
      </c>
      <c r="C1358" s="78">
        <f ca="1">IFERROR(__xludf.DUMMYFUNCTION("""COMPUTED_VALUE"""),12)</f>
        <v>12</v>
      </c>
      <c r="D1358" s="78" t="str">
        <f ca="1">IFERROR(__xludf.DUMMYFUNCTION("""COMPUTED_VALUE"""),"G")</f>
        <v>G</v>
      </c>
      <c r="E1358" s="80" t="str">
        <f ca="1">IFERROR(__xludf.DUMMYFUNCTION("""COMPUTED_VALUE"""),"J")</f>
        <v>J</v>
      </c>
      <c r="F1358" s="80" t="str">
        <f ca="1">IFERROR(__xludf.DUMMYFUNCTION("""COMPUTED_VALUE"""),"I")</f>
        <v>I</v>
      </c>
      <c r="G1358" s="80">
        <f ca="1">IFERROR(__xludf.DUMMYFUNCTION("""COMPUTED_VALUE"""),8)</f>
        <v>8</v>
      </c>
      <c r="H1358" s="80" t="str">
        <f ca="1">IFERROR(__xludf.DUMMYFUNCTION("""COMPUTED_VALUE"""),"NS")</f>
        <v>NS</v>
      </c>
      <c r="I1358" s="80">
        <f ca="1">IFERROR(__xludf.DUMMYFUNCTION("""COMPUTED_VALUE"""),4)</f>
        <v>4</v>
      </c>
      <c r="J1358" s="81">
        <f ca="1">IFERROR(__xludf.DUMMYFUNCTION("""COMPUTED_VALUE"""),2)</f>
        <v>2</v>
      </c>
      <c r="K1358" s="81">
        <f ca="1">IFERROR(__xludf.DUMMYFUNCTION("""COMPUTED_VALUE"""),55.1)</f>
        <v>55.1</v>
      </c>
      <c r="L1358" s="81">
        <f ca="1">IFERROR(__xludf.DUMMYFUNCTION("""COMPUTED_VALUE"""),0)</f>
        <v>0</v>
      </c>
      <c r="M1358" s="81"/>
      <c r="N1358" s="81">
        <f ca="1">IFERROR(__xludf.DUMMYFUNCTION("""COMPUTED_VALUE"""),0)</f>
        <v>0</v>
      </c>
      <c r="O1358" s="81"/>
      <c r="P1358" s="81">
        <f ca="1">IFERROR(__xludf.DUMMYFUNCTION("""COMPUTED_VALUE"""),0)</f>
        <v>0</v>
      </c>
      <c r="Q1358" s="81"/>
      <c r="R1358" s="81">
        <f ca="1">IFERROR(__xludf.DUMMYFUNCTION("""COMPUTED_VALUE"""),55.1)</f>
        <v>55.1</v>
      </c>
      <c r="S1358" s="81"/>
      <c r="T1358" s="81"/>
      <c r="U1358" s="82"/>
      <c r="V1358" s="82"/>
      <c r="W1358" s="83"/>
      <c r="X1358" s="83"/>
      <c r="Y1358" s="83"/>
    </row>
    <row r="1359" spans="1:25" ht="13.8">
      <c r="A1359" s="78" t="str">
        <f ca="1">IFERROR(__xludf.DUMMYFUNCTION("""COMPUTED_VALUE"""),"NS")</f>
        <v>NS</v>
      </c>
      <c r="B1359" s="79" t="str">
        <f ca="1">IFERROR(__xludf.DUMMYFUNCTION("""COMPUTED_VALUE"""),"Ella McKenna")</f>
        <v>Ella McKenna</v>
      </c>
      <c r="C1359" s="78">
        <f ca="1">IFERROR(__xludf.DUMMYFUNCTION("""COMPUTED_VALUE"""),11)</f>
        <v>11</v>
      </c>
      <c r="D1359" s="78" t="str">
        <f ca="1">IFERROR(__xludf.DUMMYFUNCTION("""COMPUTED_VALUE"""),"G")</f>
        <v>G</v>
      </c>
      <c r="E1359" s="80" t="str">
        <f ca="1">IFERROR(__xludf.DUMMYFUNCTION("""COMPUTED_VALUE"""),"J")</f>
        <v>J</v>
      </c>
      <c r="F1359" s="80" t="str">
        <f ca="1">IFERROR(__xludf.DUMMYFUNCTION("""COMPUTED_VALUE"""),"I")</f>
        <v>I</v>
      </c>
      <c r="G1359" s="80">
        <f ca="1">IFERROR(__xludf.DUMMYFUNCTION("""COMPUTED_VALUE"""),8)</f>
        <v>8</v>
      </c>
      <c r="H1359" s="80" t="str">
        <f ca="1">IFERROR(__xludf.DUMMYFUNCTION("""COMPUTED_VALUE"""),"NS")</f>
        <v>NS</v>
      </c>
      <c r="I1359" s="80">
        <f ca="1">IFERROR(__xludf.DUMMYFUNCTION("""COMPUTED_VALUE"""),4)</f>
        <v>4</v>
      </c>
      <c r="J1359" s="81">
        <f ca="1">IFERROR(__xludf.DUMMYFUNCTION("""COMPUTED_VALUE"""),0)</f>
        <v>0</v>
      </c>
      <c r="K1359" s="81">
        <f ca="1">IFERROR(__xludf.DUMMYFUNCTION("""COMPUTED_VALUE"""),0)</f>
        <v>0</v>
      </c>
      <c r="L1359" s="81">
        <f ca="1">IFERROR(__xludf.DUMMYFUNCTION("""COMPUTED_VALUE"""),0)</f>
        <v>0</v>
      </c>
      <c r="M1359" s="81"/>
      <c r="N1359" s="81">
        <f ca="1">IFERROR(__xludf.DUMMYFUNCTION("""COMPUTED_VALUE"""),0)</f>
        <v>0</v>
      </c>
      <c r="O1359" s="81"/>
      <c r="P1359" s="81">
        <f ca="1">IFERROR(__xludf.DUMMYFUNCTION("""COMPUTED_VALUE"""),0)</f>
        <v>0</v>
      </c>
      <c r="Q1359" s="81"/>
      <c r="R1359" s="81">
        <f ca="1">IFERROR(__xludf.DUMMYFUNCTION("""COMPUTED_VALUE"""),0)</f>
        <v>0</v>
      </c>
      <c r="S1359" s="81"/>
      <c r="T1359" s="81"/>
      <c r="U1359" s="82"/>
      <c r="V1359" s="82"/>
      <c r="W1359" s="83"/>
      <c r="X1359" s="83"/>
      <c r="Y1359" s="83"/>
    </row>
    <row r="1360" spans="1:25" ht="13.8">
      <c r="A1360" s="78" t="str">
        <f ca="1">IFERROR(__xludf.DUMMYFUNCTION("""COMPUTED_VALUE"""),"NS")</f>
        <v>NS</v>
      </c>
      <c r="B1360" s="79" t="str">
        <f ca="1">IFERROR(__xludf.DUMMYFUNCTION("""COMPUTED_VALUE"""),"Daisy Perez")</f>
        <v>Daisy Perez</v>
      </c>
      <c r="C1360" s="78">
        <f ca="1">IFERROR(__xludf.DUMMYFUNCTION("""COMPUTED_VALUE"""),11)</f>
        <v>11</v>
      </c>
      <c r="D1360" s="78" t="str">
        <f ca="1">IFERROR(__xludf.DUMMYFUNCTION("""COMPUTED_VALUE"""),"G")</f>
        <v>G</v>
      </c>
      <c r="E1360" s="80" t="str">
        <f ca="1">IFERROR(__xludf.DUMMYFUNCTION("""COMPUTED_VALUE"""),"J")</f>
        <v>J</v>
      </c>
      <c r="F1360" s="80" t="str">
        <f ca="1">IFERROR(__xludf.DUMMYFUNCTION("""COMPUTED_VALUE"""),"I")</f>
        <v>I</v>
      </c>
      <c r="G1360" s="80">
        <f ca="1">IFERROR(__xludf.DUMMYFUNCTION("""COMPUTED_VALUE"""),8)</f>
        <v>8</v>
      </c>
      <c r="H1360" s="80" t="str">
        <f ca="1">IFERROR(__xludf.DUMMYFUNCTION("""COMPUTED_VALUE"""),"NS")</f>
        <v>NS</v>
      </c>
      <c r="I1360" s="80">
        <f ca="1">IFERROR(__xludf.DUMMYFUNCTION("""COMPUTED_VALUE"""),4)</f>
        <v>4</v>
      </c>
      <c r="J1360" s="81">
        <f ca="1">IFERROR(__xludf.DUMMYFUNCTION("""COMPUTED_VALUE"""),0)</f>
        <v>0</v>
      </c>
      <c r="K1360" s="81">
        <f ca="1">IFERROR(__xludf.DUMMYFUNCTION("""COMPUTED_VALUE"""),0)</f>
        <v>0</v>
      </c>
      <c r="L1360" s="81">
        <f ca="1">IFERROR(__xludf.DUMMYFUNCTION("""COMPUTED_VALUE"""),0)</f>
        <v>0</v>
      </c>
      <c r="M1360" s="81"/>
      <c r="N1360" s="81">
        <f ca="1">IFERROR(__xludf.DUMMYFUNCTION("""COMPUTED_VALUE"""),0)</f>
        <v>0</v>
      </c>
      <c r="O1360" s="81"/>
      <c r="P1360" s="81">
        <f ca="1">IFERROR(__xludf.DUMMYFUNCTION("""COMPUTED_VALUE"""),0)</f>
        <v>0</v>
      </c>
      <c r="Q1360" s="81"/>
      <c r="R1360" s="81">
        <f ca="1">IFERROR(__xludf.DUMMYFUNCTION("""COMPUTED_VALUE"""),0)</f>
        <v>0</v>
      </c>
      <c r="S1360" s="81"/>
      <c r="T1360" s="81"/>
      <c r="U1360" s="82"/>
      <c r="V1360" s="82"/>
      <c r="W1360" s="83"/>
      <c r="X1360" s="83"/>
      <c r="Y1360" s="83"/>
    </row>
    <row r="1361" spans="1:25" ht="13.8">
      <c r="A1361" s="78" t="str">
        <f ca="1">IFERROR(__xludf.DUMMYFUNCTION("""COMPUTED_VALUE"""),"NS")</f>
        <v>NS</v>
      </c>
      <c r="B1361" s="79" t="str">
        <f ca="1">IFERROR(__xludf.DUMMYFUNCTION("""COMPUTED_VALUE"""),"Elizabeth Porter")</f>
        <v>Elizabeth Porter</v>
      </c>
      <c r="C1361" s="78">
        <f ca="1">IFERROR(__xludf.DUMMYFUNCTION("""COMPUTED_VALUE"""),12)</f>
        <v>12</v>
      </c>
      <c r="D1361" s="78" t="str">
        <f ca="1">IFERROR(__xludf.DUMMYFUNCTION("""COMPUTED_VALUE"""),"G")</f>
        <v>G</v>
      </c>
      <c r="E1361" s="80" t="str">
        <f ca="1">IFERROR(__xludf.DUMMYFUNCTION("""COMPUTED_VALUE"""),"J")</f>
        <v>J</v>
      </c>
      <c r="F1361" s="80" t="str">
        <f ca="1">IFERROR(__xludf.DUMMYFUNCTION("""COMPUTED_VALUE"""),"I")</f>
        <v>I</v>
      </c>
      <c r="G1361" s="80">
        <f ca="1">IFERROR(__xludf.DUMMYFUNCTION("""COMPUTED_VALUE"""),8)</f>
        <v>8</v>
      </c>
      <c r="H1361" s="80" t="str">
        <f ca="1">IFERROR(__xludf.DUMMYFUNCTION("""COMPUTED_VALUE"""),"NS")</f>
        <v>NS</v>
      </c>
      <c r="I1361" s="80">
        <f ca="1">IFERROR(__xludf.DUMMYFUNCTION("""COMPUTED_VALUE"""),4)</f>
        <v>4</v>
      </c>
      <c r="J1361" s="81">
        <f ca="1">IFERROR(__xludf.DUMMYFUNCTION("""COMPUTED_VALUE"""),0)</f>
        <v>0</v>
      </c>
      <c r="K1361" s="81">
        <f ca="1">IFERROR(__xludf.DUMMYFUNCTION("""COMPUTED_VALUE"""),0)</f>
        <v>0</v>
      </c>
      <c r="L1361" s="81">
        <f ca="1">IFERROR(__xludf.DUMMYFUNCTION("""COMPUTED_VALUE"""),0)</f>
        <v>0</v>
      </c>
      <c r="M1361" s="81"/>
      <c r="N1361" s="81">
        <f ca="1">IFERROR(__xludf.DUMMYFUNCTION("""COMPUTED_VALUE"""),0)</f>
        <v>0</v>
      </c>
      <c r="O1361" s="81"/>
      <c r="P1361" s="81">
        <f ca="1">IFERROR(__xludf.DUMMYFUNCTION("""COMPUTED_VALUE"""),0)</f>
        <v>0</v>
      </c>
      <c r="Q1361" s="81"/>
      <c r="R1361" s="81">
        <f ca="1">IFERROR(__xludf.DUMMYFUNCTION("""COMPUTED_VALUE"""),0)</f>
        <v>0</v>
      </c>
      <c r="S1361" s="81"/>
      <c r="T1361" s="81"/>
      <c r="U1361" s="82"/>
      <c r="V1361" s="82"/>
      <c r="W1361" s="83"/>
      <c r="X1361" s="83"/>
      <c r="Y1361" s="83"/>
    </row>
    <row r="1362" spans="1:25" ht="13.8">
      <c r="A1362" s="78" t="str">
        <f ca="1">IFERROR(__xludf.DUMMYFUNCTION("""COMPUTED_VALUE"""),"NS")</f>
        <v>NS</v>
      </c>
      <c r="B1362" s="79" t="str">
        <f ca="1">IFERROR(__xludf.DUMMYFUNCTION("""COMPUTED_VALUE"""),"Karina Simone")</f>
        <v>Karina Simone</v>
      </c>
      <c r="C1362" s="78">
        <f ca="1">IFERROR(__xludf.DUMMYFUNCTION("""COMPUTED_VALUE"""),11)</f>
        <v>11</v>
      </c>
      <c r="D1362" s="78" t="str">
        <f ca="1">IFERROR(__xludf.DUMMYFUNCTION("""COMPUTED_VALUE"""),"G")</f>
        <v>G</v>
      </c>
      <c r="E1362" s="80" t="str">
        <f ca="1">IFERROR(__xludf.DUMMYFUNCTION("""COMPUTED_VALUE"""),"J")</f>
        <v>J</v>
      </c>
      <c r="F1362" s="80" t="str">
        <f ca="1">IFERROR(__xludf.DUMMYFUNCTION("""COMPUTED_VALUE"""),"I")</f>
        <v>I</v>
      </c>
      <c r="G1362" s="80">
        <f ca="1">IFERROR(__xludf.DUMMYFUNCTION("""COMPUTED_VALUE"""),8)</f>
        <v>8</v>
      </c>
      <c r="H1362" s="80" t="str">
        <f ca="1">IFERROR(__xludf.DUMMYFUNCTION("""COMPUTED_VALUE"""),"NS")</f>
        <v>NS</v>
      </c>
      <c r="I1362" s="80">
        <f ca="1">IFERROR(__xludf.DUMMYFUNCTION("""COMPUTED_VALUE"""),4)</f>
        <v>4</v>
      </c>
      <c r="J1362" s="81">
        <f ca="1">IFERROR(__xludf.DUMMYFUNCTION("""COMPUTED_VALUE"""),0)</f>
        <v>0</v>
      </c>
      <c r="K1362" s="81">
        <f ca="1">IFERROR(__xludf.DUMMYFUNCTION("""COMPUTED_VALUE"""),0)</f>
        <v>0</v>
      </c>
      <c r="L1362" s="81">
        <f ca="1">IFERROR(__xludf.DUMMYFUNCTION("""COMPUTED_VALUE"""),0)</f>
        <v>0</v>
      </c>
      <c r="M1362" s="81"/>
      <c r="N1362" s="81">
        <f ca="1">IFERROR(__xludf.DUMMYFUNCTION("""COMPUTED_VALUE"""),0)</f>
        <v>0</v>
      </c>
      <c r="O1362" s="81"/>
      <c r="P1362" s="81">
        <f ca="1">IFERROR(__xludf.DUMMYFUNCTION("""COMPUTED_VALUE"""),0)</f>
        <v>0</v>
      </c>
      <c r="Q1362" s="81"/>
      <c r="R1362" s="81">
        <f ca="1">IFERROR(__xludf.DUMMYFUNCTION("""COMPUTED_VALUE"""),0)</f>
        <v>0</v>
      </c>
      <c r="S1362" s="81"/>
      <c r="T1362" s="81"/>
      <c r="U1362" s="82"/>
      <c r="V1362" s="82"/>
      <c r="W1362" s="83"/>
      <c r="X1362" s="83"/>
      <c r="Y1362" s="83"/>
    </row>
    <row r="1363" spans="1:25" ht="13.8">
      <c r="A1363" s="78" t="str">
        <f ca="1">IFERROR(__xludf.DUMMYFUNCTION("""COMPUTED_VALUE"""),"NS")</f>
        <v>NS</v>
      </c>
      <c r="B1363" s="79" t="str">
        <f ca="1">IFERROR(__xludf.DUMMYFUNCTION("""COMPUTED_VALUE"""),"Will Leyhe")</f>
        <v>Will Leyhe</v>
      </c>
      <c r="C1363" s="78">
        <f ca="1">IFERROR(__xludf.DUMMYFUNCTION("""COMPUTED_VALUE"""),12)</f>
        <v>12</v>
      </c>
      <c r="D1363" s="78" t="str">
        <f ca="1">IFERROR(__xludf.DUMMYFUNCTION("""COMPUTED_VALUE"""),"B")</f>
        <v>B</v>
      </c>
      <c r="E1363" s="80" t="str">
        <f ca="1">IFERROR(__xludf.DUMMYFUNCTION("""COMPUTED_VALUE"""),"J")</f>
        <v>J</v>
      </c>
      <c r="F1363" s="80" t="str">
        <f ca="1">IFERROR(__xludf.DUMMYFUNCTION("""COMPUTED_VALUE"""),"I")</f>
        <v>I</v>
      </c>
      <c r="G1363" s="80">
        <f ca="1">IFERROR(__xludf.DUMMYFUNCTION("""COMPUTED_VALUE"""),8)</f>
        <v>8</v>
      </c>
      <c r="H1363" s="80" t="str">
        <f ca="1">IFERROR(__xludf.DUMMYFUNCTION("""COMPUTED_VALUE"""),"NS")</f>
        <v>NS</v>
      </c>
      <c r="I1363" s="80">
        <f ca="1">IFERROR(__xludf.DUMMYFUNCTION("""COMPUTED_VALUE"""),5)</f>
        <v>5</v>
      </c>
      <c r="J1363" s="81">
        <f ca="1">IFERROR(__xludf.DUMMYFUNCTION("""COMPUTED_VALUE"""),4)</f>
        <v>4</v>
      </c>
      <c r="K1363" s="81">
        <f ca="1">IFERROR(__xludf.DUMMYFUNCTION("""COMPUTED_VALUE"""),0)</f>
        <v>0</v>
      </c>
      <c r="L1363" s="81">
        <f ca="1">IFERROR(__xludf.DUMMYFUNCTION("""COMPUTED_VALUE"""),-120.1)</f>
        <v>-120.1</v>
      </c>
      <c r="M1363" s="81"/>
      <c r="N1363" s="81">
        <f ca="1">IFERROR(__xludf.DUMMYFUNCTION("""COMPUTED_VALUE"""),0)</f>
        <v>0</v>
      </c>
      <c r="O1363" s="81"/>
      <c r="P1363" s="81">
        <f ca="1">IFERROR(__xludf.DUMMYFUNCTION("""COMPUTED_VALUE"""),-131)</f>
        <v>-131</v>
      </c>
      <c r="Q1363" s="81"/>
      <c r="R1363" s="81">
        <f ca="1">IFERROR(__xludf.DUMMYFUNCTION("""COMPUTED_VALUE"""),-120.8)</f>
        <v>-120.8</v>
      </c>
      <c r="S1363" s="81"/>
      <c r="T1363" s="81"/>
      <c r="U1363" s="82"/>
      <c r="V1363" s="82"/>
      <c r="W1363" s="83"/>
      <c r="X1363" s="83"/>
      <c r="Y1363" s="83"/>
    </row>
    <row r="1364" spans="1:25" ht="13.8">
      <c r="A1364" s="78" t="str">
        <f ca="1">IFERROR(__xludf.DUMMYFUNCTION("""COMPUTED_VALUE"""),"NS")</f>
        <v>NS</v>
      </c>
      <c r="B1364" s="79" t="str">
        <f ca="1">IFERROR(__xludf.DUMMYFUNCTION("""COMPUTED_VALUE"""),"Jack Mahoney")</f>
        <v>Jack Mahoney</v>
      </c>
      <c r="C1364" s="78">
        <f ca="1">IFERROR(__xludf.DUMMYFUNCTION("""COMPUTED_VALUE"""),11)</f>
        <v>11</v>
      </c>
      <c r="D1364" s="78" t="str">
        <f ca="1">IFERROR(__xludf.DUMMYFUNCTION("""COMPUTED_VALUE"""),"B")</f>
        <v>B</v>
      </c>
      <c r="E1364" s="80" t="str">
        <f ca="1">IFERROR(__xludf.DUMMYFUNCTION("""COMPUTED_VALUE"""),"J")</f>
        <v>J</v>
      </c>
      <c r="F1364" s="80" t="str">
        <f ca="1">IFERROR(__xludf.DUMMYFUNCTION("""COMPUTED_VALUE"""),"I")</f>
        <v>I</v>
      </c>
      <c r="G1364" s="80">
        <f ca="1">IFERROR(__xludf.DUMMYFUNCTION("""COMPUTED_VALUE"""),8)</f>
        <v>8</v>
      </c>
      <c r="H1364" s="80" t="str">
        <f ca="1">IFERROR(__xludf.DUMMYFUNCTION("""COMPUTED_VALUE"""),"NS")</f>
        <v>NS</v>
      </c>
      <c r="I1364" s="80">
        <f ca="1">IFERROR(__xludf.DUMMYFUNCTION("""COMPUTED_VALUE"""),5)</f>
        <v>5</v>
      </c>
      <c r="J1364" s="81">
        <f ca="1">IFERROR(__xludf.DUMMYFUNCTION("""COMPUTED_VALUE"""),0)</f>
        <v>0</v>
      </c>
      <c r="K1364" s="81">
        <f ca="1">IFERROR(__xludf.DUMMYFUNCTION("""COMPUTED_VALUE"""),0)</f>
        <v>0</v>
      </c>
      <c r="L1364" s="81">
        <f ca="1">IFERROR(__xludf.DUMMYFUNCTION("""COMPUTED_VALUE"""),0)</f>
        <v>0</v>
      </c>
      <c r="M1364" s="81"/>
      <c r="N1364" s="81">
        <f ca="1">IFERROR(__xludf.DUMMYFUNCTION("""COMPUTED_VALUE"""),0)</f>
        <v>0</v>
      </c>
      <c r="O1364" s="81"/>
      <c r="P1364" s="81">
        <f ca="1">IFERROR(__xludf.DUMMYFUNCTION("""COMPUTED_VALUE"""),0)</f>
        <v>0</v>
      </c>
      <c r="Q1364" s="81"/>
      <c r="R1364" s="81">
        <f ca="1">IFERROR(__xludf.DUMMYFUNCTION("""COMPUTED_VALUE"""),0)</f>
        <v>0</v>
      </c>
      <c r="S1364" s="81"/>
      <c r="T1364" s="81"/>
      <c r="U1364" s="82"/>
      <c r="V1364" s="82"/>
      <c r="W1364" s="83"/>
      <c r="X1364" s="83"/>
      <c r="Y1364" s="83"/>
    </row>
    <row r="1365" spans="1:25" ht="13.8">
      <c r="A1365" s="78" t="str">
        <f ca="1">IFERROR(__xludf.DUMMYFUNCTION("""COMPUTED_VALUE"""),"NS")</f>
        <v>NS</v>
      </c>
      <c r="B1365" s="79" t="str">
        <f ca="1">IFERROR(__xludf.DUMMYFUNCTION("""COMPUTED_VALUE"""),"Charlie McGinity")</f>
        <v>Charlie McGinity</v>
      </c>
      <c r="C1365" s="78">
        <f ca="1">IFERROR(__xludf.DUMMYFUNCTION("""COMPUTED_VALUE"""),12)</f>
        <v>12</v>
      </c>
      <c r="D1365" s="78" t="str">
        <f ca="1">IFERROR(__xludf.DUMMYFUNCTION("""COMPUTED_VALUE"""),"B")</f>
        <v>B</v>
      </c>
      <c r="E1365" s="80" t="str">
        <f ca="1">IFERROR(__xludf.DUMMYFUNCTION("""COMPUTED_VALUE"""),"J")</f>
        <v>J</v>
      </c>
      <c r="F1365" s="80" t="str">
        <f ca="1">IFERROR(__xludf.DUMMYFUNCTION("""COMPUTED_VALUE"""),"I")</f>
        <v>I</v>
      </c>
      <c r="G1365" s="80">
        <f ca="1">IFERROR(__xludf.DUMMYFUNCTION("""COMPUTED_VALUE"""),8)</f>
        <v>8</v>
      </c>
      <c r="H1365" s="80" t="str">
        <f ca="1">IFERROR(__xludf.DUMMYFUNCTION("""COMPUTED_VALUE"""),"NS")</f>
        <v>NS</v>
      </c>
      <c r="I1365" s="80">
        <f ca="1">IFERROR(__xludf.DUMMYFUNCTION("""COMPUTED_VALUE"""),5)</f>
        <v>5</v>
      </c>
      <c r="J1365" s="81">
        <f ca="1">IFERROR(__xludf.DUMMYFUNCTION("""COMPUTED_VALUE"""),3)</f>
        <v>3</v>
      </c>
      <c r="K1365" s="81">
        <f ca="1">IFERROR(__xludf.DUMMYFUNCTION("""COMPUTED_VALUE"""),86.4)</f>
        <v>86.4</v>
      </c>
      <c r="L1365" s="81">
        <f ca="1">IFERROR(__xludf.DUMMYFUNCTION("""COMPUTED_VALUE"""),84.35)</f>
        <v>84.35</v>
      </c>
      <c r="M1365" s="81"/>
      <c r="N1365" s="81">
        <f ca="1">IFERROR(__xludf.DUMMYFUNCTION("""COMPUTED_VALUE"""),0)</f>
        <v>0</v>
      </c>
      <c r="O1365" s="81"/>
      <c r="P1365" s="81">
        <f ca="1">IFERROR(__xludf.DUMMYFUNCTION("""COMPUTED_VALUE"""),0)</f>
        <v>0</v>
      </c>
      <c r="Q1365" s="81"/>
      <c r="R1365" s="81">
        <f ca="1">IFERROR(__xludf.DUMMYFUNCTION("""COMPUTED_VALUE"""),86.4)</f>
        <v>86.4</v>
      </c>
      <c r="S1365" s="81"/>
      <c r="T1365" s="81"/>
      <c r="U1365" s="82"/>
      <c r="V1365" s="82"/>
      <c r="W1365" s="83"/>
      <c r="X1365" s="83"/>
      <c r="Y1365" s="83"/>
    </row>
    <row r="1366" spans="1:25" ht="13.8">
      <c r="A1366" s="78" t="str">
        <f ca="1">IFERROR(__xludf.DUMMYFUNCTION("""COMPUTED_VALUE"""),"NS")</f>
        <v>NS</v>
      </c>
      <c r="B1366" s="79" t="str">
        <f ca="1">IFERROR(__xludf.DUMMYFUNCTION("""COMPUTED_VALUE"""),"Alberto Tolentino")</f>
        <v>Alberto Tolentino</v>
      </c>
      <c r="C1366" s="78">
        <f ca="1">IFERROR(__xludf.DUMMYFUNCTION("""COMPUTED_VALUE"""),11)</f>
        <v>11</v>
      </c>
      <c r="D1366" s="78" t="str">
        <f ca="1">IFERROR(__xludf.DUMMYFUNCTION("""COMPUTED_VALUE"""),"B")</f>
        <v>B</v>
      </c>
      <c r="E1366" s="80" t="str">
        <f ca="1">IFERROR(__xludf.DUMMYFUNCTION("""COMPUTED_VALUE"""),"J")</f>
        <v>J</v>
      </c>
      <c r="F1366" s="80" t="str">
        <f ca="1">IFERROR(__xludf.DUMMYFUNCTION("""COMPUTED_VALUE"""),"I")</f>
        <v>I</v>
      </c>
      <c r="G1366" s="80">
        <f ca="1">IFERROR(__xludf.DUMMYFUNCTION("""COMPUTED_VALUE"""),8)</f>
        <v>8</v>
      </c>
      <c r="H1366" s="80" t="str">
        <f ca="1">IFERROR(__xludf.DUMMYFUNCTION("""COMPUTED_VALUE"""),"NS")</f>
        <v>NS</v>
      </c>
      <c r="I1366" s="80">
        <f ca="1">IFERROR(__xludf.DUMMYFUNCTION("""COMPUTED_VALUE"""),5)</f>
        <v>5</v>
      </c>
      <c r="J1366" s="81">
        <f ca="1">IFERROR(__xludf.DUMMYFUNCTION("""COMPUTED_VALUE"""),3)</f>
        <v>3</v>
      </c>
      <c r="K1366" s="81">
        <f ca="1">IFERROR(__xludf.DUMMYFUNCTION("""COMPUTED_VALUE"""),90.75)</f>
        <v>90.75</v>
      </c>
      <c r="L1366" s="81">
        <f ca="1">IFERROR(__xludf.DUMMYFUNCTION("""COMPUTED_VALUE"""),0)</f>
        <v>0</v>
      </c>
      <c r="M1366" s="81"/>
      <c r="N1366" s="81">
        <f ca="1">IFERROR(__xludf.DUMMYFUNCTION("""COMPUTED_VALUE"""),86.05)</f>
        <v>86.05</v>
      </c>
      <c r="O1366" s="81"/>
      <c r="P1366" s="81">
        <f ca="1">IFERROR(__xludf.DUMMYFUNCTION("""COMPUTED_VALUE"""),0)</f>
        <v>0</v>
      </c>
      <c r="Q1366" s="81"/>
      <c r="R1366" s="81">
        <f ca="1">IFERROR(__xludf.DUMMYFUNCTION("""COMPUTED_VALUE"""),90.75)</f>
        <v>90.75</v>
      </c>
      <c r="S1366" s="81"/>
      <c r="T1366" s="81"/>
      <c r="U1366" s="82"/>
      <c r="V1366" s="82"/>
      <c r="W1366" s="83"/>
      <c r="X1366" s="83"/>
      <c r="Y1366" s="83"/>
    </row>
    <row r="1367" spans="1:25" ht="13.8">
      <c r="A1367" s="78" t="str">
        <f ca="1">IFERROR(__xludf.DUMMYFUNCTION("""COMPUTED_VALUE"""),"NS")</f>
        <v>NS</v>
      </c>
      <c r="B1367" s="79" t="str">
        <f ca="1">IFERROR(__xludf.DUMMYFUNCTION("""COMPUTED_VALUE"""),"Gabe Tompkins")</f>
        <v>Gabe Tompkins</v>
      </c>
      <c r="C1367" s="78">
        <f ca="1">IFERROR(__xludf.DUMMYFUNCTION("""COMPUTED_VALUE"""),11)</f>
        <v>11</v>
      </c>
      <c r="D1367" s="78" t="str">
        <f ca="1">IFERROR(__xludf.DUMMYFUNCTION("""COMPUTED_VALUE"""),"B")</f>
        <v>B</v>
      </c>
      <c r="E1367" s="80" t="str">
        <f ca="1">IFERROR(__xludf.DUMMYFUNCTION("""COMPUTED_VALUE"""),"J")</f>
        <v>J</v>
      </c>
      <c r="F1367" s="80" t="str">
        <f ca="1">IFERROR(__xludf.DUMMYFUNCTION("""COMPUTED_VALUE"""),"I")</f>
        <v>I</v>
      </c>
      <c r="G1367" s="80">
        <f ca="1">IFERROR(__xludf.DUMMYFUNCTION("""COMPUTED_VALUE"""),8)</f>
        <v>8</v>
      </c>
      <c r="H1367" s="80" t="str">
        <f ca="1">IFERROR(__xludf.DUMMYFUNCTION("""COMPUTED_VALUE"""),"NS")</f>
        <v>NS</v>
      </c>
      <c r="I1367" s="80">
        <f ca="1">IFERROR(__xludf.DUMMYFUNCTION("""COMPUTED_VALUE"""),5)</f>
        <v>5</v>
      </c>
      <c r="J1367" s="81">
        <f ca="1">IFERROR(__xludf.DUMMYFUNCTION("""COMPUTED_VALUE"""),0)</f>
        <v>0</v>
      </c>
      <c r="K1367" s="81">
        <f ca="1">IFERROR(__xludf.DUMMYFUNCTION("""COMPUTED_VALUE"""),0)</f>
        <v>0</v>
      </c>
      <c r="L1367" s="81">
        <f ca="1">IFERROR(__xludf.DUMMYFUNCTION("""COMPUTED_VALUE"""),0)</f>
        <v>0</v>
      </c>
      <c r="M1367" s="81"/>
      <c r="N1367" s="81">
        <f ca="1">IFERROR(__xludf.DUMMYFUNCTION("""COMPUTED_VALUE"""),0)</f>
        <v>0</v>
      </c>
      <c r="O1367" s="81"/>
      <c r="P1367" s="81">
        <f ca="1">IFERROR(__xludf.DUMMYFUNCTION("""COMPUTED_VALUE"""),0)</f>
        <v>0</v>
      </c>
      <c r="Q1367" s="81"/>
      <c r="R1367" s="81">
        <f ca="1">IFERROR(__xludf.DUMMYFUNCTION("""COMPUTED_VALUE"""),0)</f>
        <v>0</v>
      </c>
      <c r="S1367" s="81"/>
      <c r="T1367" s="81"/>
      <c r="U1367" s="82"/>
      <c r="V1367" s="82"/>
      <c r="W1367" s="83"/>
      <c r="X1367" s="83"/>
      <c r="Y1367" s="83"/>
    </row>
    <row r="1368" spans="1:25" ht="13.8">
      <c r="A1368" s="78" t="str">
        <f ca="1">IFERROR(__xludf.DUMMYFUNCTION("""COMPUTED_VALUE"""),"NS")</f>
        <v>NS</v>
      </c>
      <c r="B1368" s="79" t="str">
        <f ca="1">IFERROR(__xludf.DUMMYFUNCTION("""COMPUTED_VALUE"""),"Chase Waldridge")</f>
        <v>Chase Waldridge</v>
      </c>
      <c r="C1368" s="78">
        <f ca="1">IFERROR(__xludf.DUMMYFUNCTION("""COMPUTED_VALUE"""),11)</f>
        <v>11</v>
      </c>
      <c r="D1368" s="78" t="str">
        <f ca="1">IFERROR(__xludf.DUMMYFUNCTION("""COMPUTED_VALUE"""),"B")</f>
        <v>B</v>
      </c>
      <c r="E1368" s="80" t="str">
        <f ca="1">IFERROR(__xludf.DUMMYFUNCTION("""COMPUTED_VALUE"""),"J")</f>
        <v>J</v>
      </c>
      <c r="F1368" s="80" t="str">
        <f ca="1">IFERROR(__xludf.DUMMYFUNCTION("""COMPUTED_VALUE"""),"I")</f>
        <v>I</v>
      </c>
      <c r="G1368" s="80">
        <f ca="1">IFERROR(__xludf.DUMMYFUNCTION("""COMPUTED_VALUE"""),8)</f>
        <v>8</v>
      </c>
      <c r="H1368" s="80" t="str">
        <f ca="1">IFERROR(__xludf.DUMMYFUNCTION("""COMPUTED_VALUE"""),"NS")</f>
        <v>NS</v>
      </c>
      <c r="I1368" s="80">
        <f ca="1">IFERROR(__xludf.DUMMYFUNCTION("""COMPUTED_VALUE"""),5)</f>
        <v>5</v>
      </c>
      <c r="J1368" s="81">
        <f ca="1">IFERROR(__xludf.DUMMYFUNCTION("""COMPUTED_VALUE"""),0)</f>
        <v>0</v>
      </c>
      <c r="K1368" s="81">
        <f ca="1">IFERROR(__xludf.DUMMYFUNCTION("""COMPUTED_VALUE"""),0)</f>
        <v>0</v>
      </c>
      <c r="L1368" s="81">
        <f ca="1">IFERROR(__xludf.DUMMYFUNCTION("""COMPUTED_VALUE"""),0)</f>
        <v>0</v>
      </c>
      <c r="M1368" s="81"/>
      <c r="N1368" s="81">
        <f ca="1">IFERROR(__xludf.DUMMYFUNCTION("""COMPUTED_VALUE"""),0)</f>
        <v>0</v>
      </c>
      <c r="O1368" s="81"/>
      <c r="P1368" s="81">
        <f ca="1">IFERROR(__xludf.DUMMYFUNCTION("""COMPUTED_VALUE"""),0)</f>
        <v>0</v>
      </c>
      <c r="Q1368" s="81"/>
      <c r="R1368" s="81">
        <f ca="1">IFERROR(__xludf.DUMMYFUNCTION("""COMPUTED_VALUE"""),0)</f>
        <v>0</v>
      </c>
      <c r="S1368" s="81"/>
      <c r="T1368" s="81"/>
      <c r="U1368" s="82"/>
      <c r="V1368" s="82"/>
      <c r="W1368" s="83"/>
      <c r="X1368" s="83"/>
      <c r="Y1368" s="83"/>
    </row>
    <row r="1369" spans="1:25" ht="13.8">
      <c r="A1369" s="78" t="str">
        <f ca="1">IFERROR(__xludf.DUMMYFUNCTION("""COMPUTED_VALUE"""),"NS")</f>
        <v>NS</v>
      </c>
      <c r="B1369" s="79" t="str">
        <f ca="1">IFERROR(__xludf.DUMMYFUNCTION("""COMPUTED_VALUE"""),"Yasmeen Chawki")</f>
        <v>Yasmeen Chawki</v>
      </c>
      <c r="C1369" s="78">
        <f ca="1">IFERROR(__xludf.DUMMYFUNCTION("""COMPUTED_VALUE"""),13)</f>
        <v>13</v>
      </c>
      <c r="D1369" s="78" t="str">
        <f ca="1">IFERROR(__xludf.DUMMYFUNCTION("""COMPUTED_VALUE"""),"G")</f>
        <v>G</v>
      </c>
      <c r="E1369" s="80" t="str">
        <f ca="1">IFERROR(__xludf.DUMMYFUNCTION("""COMPUTED_VALUE"""),"I")</f>
        <v>I</v>
      </c>
      <c r="F1369" s="80" t="str">
        <f ca="1">IFERROR(__xludf.DUMMYFUNCTION("""COMPUTED_VALUE"""),"S")</f>
        <v>S</v>
      </c>
      <c r="G1369" s="80">
        <f ca="1">IFERROR(__xludf.DUMMYFUNCTION("""COMPUTED_VALUE"""),8)</f>
        <v>8</v>
      </c>
      <c r="H1369" s="80" t="str">
        <f ca="1">IFERROR(__xludf.DUMMYFUNCTION("""COMPUTED_VALUE"""),"NS")</f>
        <v>NS</v>
      </c>
      <c r="I1369" s="80">
        <f ca="1">IFERROR(__xludf.DUMMYFUNCTION("""COMPUTED_VALUE"""),6)</f>
        <v>6</v>
      </c>
      <c r="J1369" s="81">
        <f ca="1">IFERROR(__xludf.DUMMYFUNCTION("""COMPUTED_VALUE"""),0)</f>
        <v>0</v>
      </c>
      <c r="K1369" s="81">
        <f ca="1">IFERROR(__xludf.DUMMYFUNCTION("""COMPUTED_VALUE"""),0)</f>
        <v>0</v>
      </c>
      <c r="L1369" s="81">
        <f ca="1">IFERROR(__xludf.DUMMYFUNCTION("""COMPUTED_VALUE"""),0)</f>
        <v>0</v>
      </c>
      <c r="M1369" s="81"/>
      <c r="N1369" s="81">
        <f ca="1">IFERROR(__xludf.DUMMYFUNCTION("""COMPUTED_VALUE"""),0)</f>
        <v>0</v>
      </c>
      <c r="O1369" s="81"/>
      <c r="P1369" s="81">
        <f ca="1">IFERROR(__xludf.DUMMYFUNCTION("""COMPUTED_VALUE"""),0)</f>
        <v>0</v>
      </c>
      <c r="Q1369" s="81"/>
      <c r="R1369" s="81">
        <f ca="1">IFERROR(__xludf.DUMMYFUNCTION("""COMPUTED_VALUE"""),0)</f>
        <v>0</v>
      </c>
      <c r="S1369" s="81"/>
      <c r="T1369" s="81"/>
      <c r="U1369" s="82"/>
      <c r="V1369" s="82"/>
      <c r="W1369" s="83"/>
      <c r="X1369" s="83"/>
      <c r="Y1369" s="83"/>
    </row>
    <row r="1370" spans="1:25" ht="13.8">
      <c r="A1370" s="78" t="str">
        <f ca="1">IFERROR(__xludf.DUMMYFUNCTION("""COMPUTED_VALUE"""),"NS")</f>
        <v>NS</v>
      </c>
      <c r="B1370" s="79" t="str">
        <f ca="1">IFERROR(__xludf.DUMMYFUNCTION("""COMPUTED_VALUE"""),"Madalyn Dixon")</f>
        <v>Madalyn Dixon</v>
      </c>
      <c r="C1370" s="78">
        <f ca="1">IFERROR(__xludf.DUMMYFUNCTION("""COMPUTED_VALUE"""),14)</f>
        <v>14</v>
      </c>
      <c r="D1370" s="78" t="str">
        <f ca="1">IFERROR(__xludf.DUMMYFUNCTION("""COMPUTED_VALUE"""),"G")</f>
        <v>G</v>
      </c>
      <c r="E1370" s="80" t="str">
        <f ca="1">IFERROR(__xludf.DUMMYFUNCTION("""COMPUTED_VALUE"""),"I")</f>
        <v>I</v>
      </c>
      <c r="F1370" s="80" t="str">
        <f ca="1">IFERROR(__xludf.DUMMYFUNCTION("""COMPUTED_VALUE"""),"S")</f>
        <v>S</v>
      </c>
      <c r="G1370" s="80">
        <f ca="1">IFERROR(__xludf.DUMMYFUNCTION("""COMPUTED_VALUE"""),8)</f>
        <v>8</v>
      </c>
      <c r="H1370" s="80" t="str">
        <f ca="1">IFERROR(__xludf.DUMMYFUNCTION("""COMPUTED_VALUE"""),"NS")</f>
        <v>NS</v>
      </c>
      <c r="I1370" s="80">
        <f ca="1">IFERROR(__xludf.DUMMYFUNCTION("""COMPUTED_VALUE"""),6)</f>
        <v>6</v>
      </c>
      <c r="J1370" s="81">
        <f ca="1">IFERROR(__xludf.DUMMYFUNCTION("""COMPUTED_VALUE"""),0)</f>
        <v>0</v>
      </c>
      <c r="K1370" s="81">
        <f ca="1">IFERROR(__xludf.DUMMYFUNCTION("""COMPUTED_VALUE"""),0)</f>
        <v>0</v>
      </c>
      <c r="L1370" s="81">
        <f ca="1">IFERROR(__xludf.DUMMYFUNCTION("""COMPUTED_VALUE"""),0)</f>
        <v>0</v>
      </c>
      <c r="M1370" s="81"/>
      <c r="N1370" s="81">
        <f ca="1">IFERROR(__xludf.DUMMYFUNCTION("""COMPUTED_VALUE"""),0)</f>
        <v>0</v>
      </c>
      <c r="O1370" s="81"/>
      <c r="P1370" s="81">
        <f ca="1">IFERROR(__xludf.DUMMYFUNCTION("""COMPUTED_VALUE"""),0)</f>
        <v>0</v>
      </c>
      <c r="Q1370" s="81"/>
      <c r="R1370" s="81">
        <f ca="1">IFERROR(__xludf.DUMMYFUNCTION("""COMPUTED_VALUE"""),0)</f>
        <v>0</v>
      </c>
      <c r="S1370" s="81"/>
      <c r="T1370" s="81"/>
      <c r="U1370" s="82"/>
      <c r="V1370" s="82"/>
      <c r="W1370" s="83"/>
      <c r="X1370" s="83"/>
      <c r="Y1370" s="83"/>
    </row>
    <row r="1371" spans="1:25" ht="13.8">
      <c r="A1371" s="78" t="str">
        <f ca="1">IFERROR(__xludf.DUMMYFUNCTION("""COMPUTED_VALUE"""),"NS")</f>
        <v>NS</v>
      </c>
      <c r="B1371" s="79" t="str">
        <f ca="1">IFERROR(__xludf.DUMMYFUNCTION("""COMPUTED_VALUE"""),"Brian Bernard")</f>
        <v>Brian Bernard</v>
      </c>
      <c r="C1371" s="78">
        <f ca="1">IFERROR(__xludf.DUMMYFUNCTION("""COMPUTED_VALUE"""),14)</f>
        <v>14</v>
      </c>
      <c r="D1371" s="78" t="str">
        <f ca="1">IFERROR(__xludf.DUMMYFUNCTION("""COMPUTED_VALUE"""),"B")</f>
        <v>B</v>
      </c>
      <c r="E1371" s="80" t="str">
        <f ca="1">IFERROR(__xludf.DUMMYFUNCTION("""COMPUTED_VALUE"""),"I")</f>
        <v>I</v>
      </c>
      <c r="F1371" s="80" t="str">
        <f ca="1">IFERROR(__xludf.DUMMYFUNCTION("""COMPUTED_VALUE"""),"S")</f>
        <v>S</v>
      </c>
      <c r="G1371" s="80">
        <f ca="1">IFERROR(__xludf.DUMMYFUNCTION("""COMPUTED_VALUE"""),8)</f>
        <v>8</v>
      </c>
      <c r="H1371" s="80" t="str">
        <f ca="1">IFERROR(__xludf.DUMMYFUNCTION("""COMPUTED_VALUE"""),"NS")</f>
        <v>NS</v>
      </c>
      <c r="I1371" s="80">
        <f ca="1">IFERROR(__xludf.DUMMYFUNCTION("""COMPUTED_VALUE"""),7)</f>
        <v>7</v>
      </c>
      <c r="J1371" s="81">
        <f ca="1">IFERROR(__xludf.DUMMYFUNCTION("""COMPUTED_VALUE"""),4)</f>
        <v>4</v>
      </c>
      <c r="K1371" s="81">
        <f ca="1">IFERROR(__xludf.DUMMYFUNCTION("""COMPUTED_VALUE"""),96.2)</f>
        <v>96.2</v>
      </c>
      <c r="L1371" s="81">
        <f ca="1">IFERROR(__xludf.DUMMYFUNCTION("""COMPUTED_VALUE"""),0)</f>
        <v>0</v>
      </c>
      <c r="M1371" s="81"/>
      <c r="N1371" s="81">
        <f ca="1">IFERROR(__xludf.DUMMYFUNCTION("""COMPUTED_VALUE"""),96.2)</f>
        <v>96.2</v>
      </c>
      <c r="O1371" s="81"/>
      <c r="P1371" s="81">
        <f ca="1">IFERROR(__xludf.DUMMYFUNCTION("""COMPUTED_VALUE"""),73.65)</f>
        <v>73.650000000000006</v>
      </c>
      <c r="Q1371" s="81"/>
      <c r="R1371" s="81">
        <f ca="1">IFERROR(__xludf.DUMMYFUNCTION("""COMPUTED_VALUE"""),91.65)</f>
        <v>91.65</v>
      </c>
      <c r="S1371" s="81"/>
      <c r="T1371" s="81"/>
      <c r="U1371" s="82"/>
      <c r="V1371" s="82"/>
      <c r="W1371" s="83"/>
      <c r="X1371" s="83"/>
      <c r="Y1371" s="83"/>
    </row>
    <row r="1372" spans="1:25" ht="13.8">
      <c r="A1372" s="78" t="str">
        <f ca="1">IFERROR(__xludf.DUMMYFUNCTION("""COMPUTED_VALUE"""),"NS")</f>
        <v>NS</v>
      </c>
      <c r="B1372" s="79" t="str">
        <f ca="1">IFERROR(__xludf.DUMMYFUNCTION("""COMPUTED_VALUE"""),"Drew McKenna")</f>
        <v>Drew McKenna</v>
      </c>
      <c r="C1372" s="78">
        <f ca="1">IFERROR(__xludf.DUMMYFUNCTION("""COMPUTED_VALUE"""),14)</f>
        <v>14</v>
      </c>
      <c r="D1372" s="78" t="str">
        <f ca="1">IFERROR(__xludf.DUMMYFUNCTION("""COMPUTED_VALUE"""),"B")</f>
        <v>B</v>
      </c>
      <c r="E1372" s="80" t="str">
        <f ca="1">IFERROR(__xludf.DUMMYFUNCTION("""COMPUTED_VALUE"""),"I")</f>
        <v>I</v>
      </c>
      <c r="F1372" s="80" t="str">
        <f ca="1">IFERROR(__xludf.DUMMYFUNCTION("""COMPUTED_VALUE"""),"S")</f>
        <v>S</v>
      </c>
      <c r="G1372" s="80">
        <f ca="1">IFERROR(__xludf.DUMMYFUNCTION("""COMPUTED_VALUE"""),8)</f>
        <v>8</v>
      </c>
      <c r="H1372" s="80" t="str">
        <f ca="1">IFERROR(__xludf.DUMMYFUNCTION("""COMPUTED_VALUE"""),"NS")</f>
        <v>NS</v>
      </c>
      <c r="I1372" s="80">
        <f ca="1">IFERROR(__xludf.DUMMYFUNCTION("""COMPUTED_VALUE"""),7)</f>
        <v>7</v>
      </c>
      <c r="J1372" s="81">
        <f ca="1">IFERROR(__xludf.DUMMYFUNCTION("""COMPUTED_VALUE"""),0)</f>
        <v>0</v>
      </c>
      <c r="K1372" s="81">
        <f ca="1">IFERROR(__xludf.DUMMYFUNCTION("""COMPUTED_VALUE"""),0)</f>
        <v>0</v>
      </c>
      <c r="L1372" s="81">
        <f ca="1">IFERROR(__xludf.DUMMYFUNCTION("""COMPUTED_VALUE"""),0)</f>
        <v>0</v>
      </c>
      <c r="M1372" s="81"/>
      <c r="N1372" s="81">
        <f ca="1">IFERROR(__xludf.DUMMYFUNCTION("""COMPUTED_VALUE"""),0)</f>
        <v>0</v>
      </c>
      <c r="O1372" s="81"/>
      <c r="P1372" s="81">
        <f ca="1">IFERROR(__xludf.DUMMYFUNCTION("""COMPUTED_VALUE"""),0)</f>
        <v>0</v>
      </c>
      <c r="Q1372" s="81"/>
      <c r="R1372" s="81">
        <f ca="1">IFERROR(__xludf.DUMMYFUNCTION("""COMPUTED_VALUE"""),0)</f>
        <v>0</v>
      </c>
      <c r="S1372" s="81"/>
      <c r="T1372" s="81"/>
      <c r="U1372" s="82"/>
      <c r="V1372" s="82"/>
      <c r="W1372" s="83"/>
      <c r="X1372" s="83"/>
      <c r="Y1372" s="83"/>
    </row>
    <row r="1373" spans="1:25" ht="13.8">
      <c r="A1373" s="78" t="str">
        <f ca="1">IFERROR(__xludf.DUMMYFUNCTION("""COMPUTED_VALUE"""),"NS")</f>
        <v>NS</v>
      </c>
      <c r="B1373" s="79" t="str">
        <f ca="1">IFERROR(__xludf.DUMMYFUNCTION("""COMPUTED_VALUE"""),"Ethan Simone")</f>
        <v>Ethan Simone</v>
      </c>
      <c r="C1373" s="78">
        <f ca="1">IFERROR(__xludf.DUMMYFUNCTION("""COMPUTED_VALUE"""),13)</f>
        <v>13</v>
      </c>
      <c r="D1373" s="78" t="str">
        <f ca="1">IFERROR(__xludf.DUMMYFUNCTION("""COMPUTED_VALUE"""),"B")</f>
        <v>B</v>
      </c>
      <c r="E1373" s="80" t="str">
        <f ca="1">IFERROR(__xludf.DUMMYFUNCTION("""COMPUTED_VALUE"""),"I")</f>
        <v>I</v>
      </c>
      <c r="F1373" s="80" t="str">
        <f ca="1">IFERROR(__xludf.DUMMYFUNCTION("""COMPUTED_VALUE"""),"S")</f>
        <v>S</v>
      </c>
      <c r="G1373" s="80">
        <f ca="1">IFERROR(__xludf.DUMMYFUNCTION("""COMPUTED_VALUE"""),8)</f>
        <v>8</v>
      </c>
      <c r="H1373" s="80" t="str">
        <f ca="1">IFERROR(__xludf.DUMMYFUNCTION("""COMPUTED_VALUE"""),"NS")</f>
        <v>NS</v>
      </c>
      <c r="I1373" s="80">
        <f ca="1">IFERROR(__xludf.DUMMYFUNCTION("""COMPUTED_VALUE"""),7)</f>
        <v>7</v>
      </c>
      <c r="J1373" s="81">
        <f ca="1">IFERROR(__xludf.DUMMYFUNCTION("""COMPUTED_VALUE"""),3)</f>
        <v>3</v>
      </c>
      <c r="K1373" s="81">
        <f ca="1">IFERROR(__xludf.DUMMYFUNCTION("""COMPUTED_VALUE"""),104.7)</f>
        <v>104.7</v>
      </c>
      <c r="L1373" s="81">
        <f ca="1">IFERROR(__xludf.DUMMYFUNCTION("""COMPUTED_VALUE"""),0)</f>
        <v>0</v>
      </c>
      <c r="M1373" s="81"/>
      <c r="N1373" s="81">
        <f ca="1">IFERROR(__xludf.DUMMYFUNCTION("""COMPUTED_VALUE"""),104.7)</f>
        <v>104.7</v>
      </c>
      <c r="O1373" s="81"/>
      <c r="P1373" s="81">
        <f ca="1">IFERROR(__xludf.DUMMYFUNCTION("""COMPUTED_VALUE"""),0)</f>
        <v>0</v>
      </c>
      <c r="Q1373" s="81"/>
      <c r="R1373" s="81">
        <f ca="1">IFERROR(__xludf.DUMMYFUNCTION("""COMPUTED_VALUE"""),85.7)</f>
        <v>85.7</v>
      </c>
      <c r="S1373" s="81"/>
      <c r="T1373" s="81"/>
      <c r="U1373" s="82"/>
      <c r="V1373" s="82"/>
      <c r="W1373" s="83"/>
      <c r="X1373" s="83"/>
      <c r="Y1373" s="83"/>
    </row>
    <row r="1374" spans="1:25" ht="13.8">
      <c r="A1374" s="78" t="str">
        <f ca="1">IFERROR(__xludf.DUMMYFUNCTION("""COMPUTED_VALUE"""),"NS")</f>
        <v>NS</v>
      </c>
      <c r="B1374" s="79" t="str">
        <f ca="1">IFERROR(__xludf.DUMMYFUNCTION("""COMPUTED_VALUE"""),"Keira Dalrymple")</f>
        <v>Keira Dalrymple</v>
      </c>
      <c r="C1374" s="78">
        <f ca="1">IFERROR(__xludf.DUMMYFUNCTION("""COMPUTED_VALUE"""),15)</f>
        <v>15</v>
      </c>
      <c r="D1374" s="78" t="str">
        <f ca="1">IFERROR(__xludf.DUMMYFUNCTION("""COMPUTED_VALUE"""),"G")</f>
        <v>G</v>
      </c>
      <c r="E1374" s="80" t="str">
        <f ca="1">IFERROR(__xludf.DUMMYFUNCTION("""COMPUTED_VALUE"""),"S")</f>
        <v>S</v>
      </c>
      <c r="F1374" s="80" t="str">
        <f ca="1">IFERROR(__xludf.DUMMYFUNCTION("""COMPUTED_VALUE"""),"S")</f>
        <v>S</v>
      </c>
      <c r="G1374" s="80">
        <f ca="1">IFERROR(__xludf.DUMMYFUNCTION("""COMPUTED_VALUE"""),8)</f>
        <v>8</v>
      </c>
      <c r="H1374" s="80" t="str">
        <f ca="1">IFERROR(__xludf.DUMMYFUNCTION("""COMPUTED_VALUE"""),"NS")</f>
        <v>NS</v>
      </c>
      <c r="I1374" s="80">
        <f ca="1">IFERROR(__xludf.DUMMYFUNCTION("""COMPUTED_VALUE"""),8)</f>
        <v>8</v>
      </c>
      <c r="J1374" s="81">
        <f ca="1">IFERROR(__xludf.DUMMYFUNCTION("""COMPUTED_VALUE"""),4)</f>
        <v>4</v>
      </c>
      <c r="K1374" s="81">
        <f ca="1">IFERROR(__xludf.DUMMYFUNCTION("""COMPUTED_VALUE"""),121.2)</f>
        <v>121.2</v>
      </c>
      <c r="L1374" s="81">
        <f ca="1">IFERROR(__xludf.DUMMYFUNCTION("""COMPUTED_VALUE"""),85.8)</f>
        <v>85.8</v>
      </c>
      <c r="M1374" s="81"/>
      <c r="N1374" s="81">
        <f ca="1">IFERROR(__xludf.DUMMYFUNCTION("""COMPUTED_VALUE"""),0)</f>
        <v>0</v>
      </c>
      <c r="O1374" s="81"/>
      <c r="P1374" s="81">
        <f ca="1">IFERROR(__xludf.DUMMYFUNCTION("""COMPUTED_VALUE"""),93.6)</f>
        <v>93.6</v>
      </c>
      <c r="Q1374" s="81"/>
      <c r="R1374" s="81">
        <f ca="1">IFERROR(__xludf.DUMMYFUNCTION("""COMPUTED_VALUE"""),121.2)</f>
        <v>121.2</v>
      </c>
      <c r="S1374" s="81"/>
      <c r="T1374" s="81"/>
      <c r="U1374" s="82"/>
      <c r="V1374" s="82"/>
      <c r="W1374" s="83"/>
      <c r="X1374" s="83"/>
      <c r="Y1374" s="83"/>
    </row>
    <row r="1375" spans="1:25" ht="13.8">
      <c r="A1375" s="78" t="str">
        <f ca="1">IFERROR(__xludf.DUMMYFUNCTION("""COMPUTED_VALUE"""),"NS")</f>
        <v>NS</v>
      </c>
      <c r="B1375" s="79" t="str">
        <f ca="1">IFERROR(__xludf.DUMMYFUNCTION("""COMPUTED_VALUE"""),"Madelynn Gall")</f>
        <v>Madelynn Gall</v>
      </c>
      <c r="C1375" s="78">
        <f ca="1">IFERROR(__xludf.DUMMYFUNCTION("""COMPUTED_VALUE"""),15)</f>
        <v>15</v>
      </c>
      <c r="D1375" s="78" t="str">
        <f ca="1">IFERROR(__xludf.DUMMYFUNCTION("""COMPUTED_VALUE"""),"G")</f>
        <v>G</v>
      </c>
      <c r="E1375" s="80" t="str">
        <f ca="1">IFERROR(__xludf.DUMMYFUNCTION("""COMPUTED_VALUE"""),"S")</f>
        <v>S</v>
      </c>
      <c r="F1375" s="80" t="str">
        <f ca="1">IFERROR(__xludf.DUMMYFUNCTION("""COMPUTED_VALUE"""),"S")</f>
        <v>S</v>
      </c>
      <c r="G1375" s="80">
        <f ca="1">IFERROR(__xludf.DUMMYFUNCTION("""COMPUTED_VALUE"""),8)</f>
        <v>8</v>
      </c>
      <c r="H1375" s="80" t="str">
        <f ca="1">IFERROR(__xludf.DUMMYFUNCTION("""COMPUTED_VALUE"""),"NS")</f>
        <v>NS</v>
      </c>
      <c r="I1375" s="80">
        <f ca="1">IFERROR(__xludf.DUMMYFUNCTION("""COMPUTED_VALUE"""),8)</f>
        <v>8</v>
      </c>
      <c r="J1375" s="81">
        <f ca="1">IFERROR(__xludf.DUMMYFUNCTION("""COMPUTED_VALUE"""),0)</f>
        <v>0</v>
      </c>
      <c r="K1375" s="81">
        <f ca="1">IFERROR(__xludf.DUMMYFUNCTION("""COMPUTED_VALUE"""),0)</f>
        <v>0</v>
      </c>
      <c r="L1375" s="81">
        <f ca="1">IFERROR(__xludf.DUMMYFUNCTION("""COMPUTED_VALUE"""),0)</f>
        <v>0</v>
      </c>
      <c r="M1375" s="81"/>
      <c r="N1375" s="81">
        <f ca="1">IFERROR(__xludf.DUMMYFUNCTION("""COMPUTED_VALUE"""),0)</f>
        <v>0</v>
      </c>
      <c r="O1375" s="81"/>
      <c r="P1375" s="81">
        <f ca="1">IFERROR(__xludf.DUMMYFUNCTION("""COMPUTED_VALUE"""),0)</f>
        <v>0</v>
      </c>
      <c r="Q1375" s="81"/>
      <c r="R1375" s="81">
        <f ca="1">IFERROR(__xludf.DUMMYFUNCTION("""COMPUTED_VALUE"""),0)</f>
        <v>0</v>
      </c>
      <c r="S1375" s="81"/>
      <c r="T1375" s="81"/>
      <c r="U1375" s="82"/>
      <c r="V1375" s="82"/>
      <c r="W1375" s="83"/>
      <c r="X1375" s="83"/>
      <c r="Y1375" s="83"/>
    </row>
    <row r="1376" spans="1:25" ht="13.8">
      <c r="A1376" s="78" t="str">
        <f ca="1">IFERROR(__xludf.DUMMYFUNCTION("""COMPUTED_VALUE"""),"NS")</f>
        <v>NS</v>
      </c>
      <c r="B1376" s="79" t="str">
        <f ca="1">IFERROR(__xludf.DUMMYFUNCTION("""COMPUTED_VALUE"""),"Morgan Milman")</f>
        <v>Morgan Milman</v>
      </c>
      <c r="C1376" s="78">
        <f ca="1">IFERROR(__xludf.DUMMYFUNCTION("""COMPUTED_VALUE"""),15)</f>
        <v>15</v>
      </c>
      <c r="D1376" s="78" t="str">
        <f ca="1">IFERROR(__xludf.DUMMYFUNCTION("""COMPUTED_VALUE"""),"G")</f>
        <v>G</v>
      </c>
      <c r="E1376" s="80" t="str">
        <f ca="1">IFERROR(__xludf.DUMMYFUNCTION("""COMPUTED_VALUE"""),"S")</f>
        <v>S</v>
      </c>
      <c r="F1376" s="80" t="str">
        <f ca="1">IFERROR(__xludf.DUMMYFUNCTION("""COMPUTED_VALUE"""),"S")</f>
        <v>S</v>
      </c>
      <c r="G1376" s="80">
        <f ca="1">IFERROR(__xludf.DUMMYFUNCTION("""COMPUTED_VALUE"""),8)</f>
        <v>8</v>
      </c>
      <c r="H1376" s="80" t="str">
        <f ca="1">IFERROR(__xludf.DUMMYFUNCTION("""COMPUTED_VALUE"""),"NS")</f>
        <v>NS</v>
      </c>
      <c r="I1376" s="80">
        <f ca="1">IFERROR(__xludf.DUMMYFUNCTION("""COMPUTED_VALUE"""),8)</f>
        <v>8</v>
      </c>
      <c r="J1376" s="81">
        <f ca="1">IFERROR(__xludf.DUMMYFUNCTION("""COMPUTED_VALUE"""),5)</f>
        <v>5</v>
      </c>
      <c r="K1376" s="81">
        <f ca="1">IFERROR(__xludf.DUMMYFUNCTION("""COMPUTED_VALUE"""),175.55)</f>
        <v>175.55</v>
      </c>
      <c r="L1376" s="81">
        <f ca="1">IFERROR(__xludf.DUMMYFUNCTION("""COMPUTED_VALUE"""),146.7)</f>
        <v>146.69999999999999</v>
      </c>
      <c r="M1376" s="81"/>
      <c r="N1376" s="81">
        <f ca="1">IFERROR(__xludf.DUMMYFUNCTION("""COMPUTED_VALUE"""),167.1)</f>
        <v>167.1</v>
      </c>
      <c r="O1376" s="81"/>
      <c r="P1376" s="81">
        <f ca="1">IFERROR(__xludf.DUMMYFUNCTION("""COMPUTED_VALUE"""),170.25)</f>
        <v>170.25</v>
      </c>
      <c r="Q1376" s="81"/>
      <c r="R1376" s="81">
        <f ca="1">IFERROR(__xludf.DUMMYFUNCTION("""COMPUTED_VALUE"""),175.55)</f>
        <v>175.55</v>
      </c>
      <c r="S1376" s="81"/>
      <c r="T1376" s="81"/>
      <c r="U1376" s="82"/>
      <c r="V1376" s="82"/>
      <c r="W1376" s="83"/>
      <c r="X1376" s="83"/>
      <c r="Y1376" s="83"/>
    </row>
    <row r="1377" spans="1:25" ht="13.8">
      <c r="A1377" s="78" t="str">
        <f ca="1">IFERROR(__xludf.DUMMYFUNCTION("""COMPUTED_VALUE"""),"NS")</f>
        <v>NS</v>
      </c>
      <c r="B1377" s="79" t="str">
        <f ca="1">IFERROR(__xludf.DUMMYFUNCTION("""COMPUTED_VALUE"""),"Charlotte Moore")</f>
        <v>Charlotte Moore</v>
      </c>
      <c r="C1377" s="78">
        <f ca="1">IFERROR(__xludf.DUMMYFUNCTION("""COMPUTED_VALUE"""),15)</f>
        <v>15</v>
      </c>
      <c r="D1377" s="78" t="str">
        <f ca="1">IFERROR(__xludf.DUMMYFUNCTION("""COMPUTED_VALUE"""),"G")</f>
        <v>G</v>
      </c>
      <c r="E1377" s="80" t="str">
        <f ca="1">IFERROR(__xludf.DUMMYFUNCTION("""COMPUTED_VALUE"""),"S")</f>
        <v>S</v>
      </c>
      <c r="F1377" s="80" t="str">
        <f ca="1">IFERROR(__xludf.DUMMYFUNCTION("""COMPUTED_VALUE"""),"S")</f>
        <v>S</v>
      </c>
      <c r="G1377" s="80">
        <f ca="1">IFERROR(__xludf.DUMMYFUNCTION("""COMPUTED_VALUE"""),8)</f>
        <v>8</v>
      </c>
      <c r="H1377" s="80" t="str">
        <f ca="1">IFERROR(__xludf.DUMMYFUNCTION("""COMPUTED_VALUE"""),"NS")</f>
        <v>NS</v>
      </c>
      <c r="I1377" s="80">
        <f ca="1">IFERROR(__xludf.DUMMYFUNCTION("""COMPUTED_VALUE"""),8)</f>
        <v>8</v>
      </c>
      <c r="J1377" s="81">
        <f ca="1">IFERROR(__xludf.DUMMYFUNCTION("""COMPUTED_VALUE"""),4)</f>
        <v>4</v>
      </c>
      <c r="K1377" s="81">
        <f ca="1">IFERROR(__xludf.DUMMYFUNCTION("""COMPUTED_VALUE"""),156.1)</f>
        <v>156.1</v>
      </c>
      <c r="L1377" s="81">
        <f ca="1">IFERROR(__xludf.DUMMYFUNCTION("""COMPUTED_VALUE"""),125.4)</f>
        <v>125.4</v>
      </c>
      <c r="M1377" s="81"/>
      <c r="N1377" s="81">
        <f ca="1">IFERROR(__xludf.DUMMYFUNCTION("""COMPUTED_VALUE"""),134.55)</f>
        <v>134.55000000000001</v>
      </c>
      <c r="O1377" s="81"/>
      <c r="P1377" s="81">
        <f ca="1">IFERROR(__xludf.DUMMYFUNCTION("""COMPUTED_VALUE"""),156.1)</f>
        <v>156.1</v>
      </c>
      <c r="Q1377" s="81"/>
      <c r="R1377" s="81">
        <f ca="1">IFERROR(__xludf.DUMMYFUNCTION("""COMPUTED_VALUE"""),0)</f>
        <v>0</v>
      </c>
      <c r="S1377" s="81"/>
      <c r="T1377" s="81"/>
      <c r="U1377" s="82"/>
      <c r="V1377" s="82"/>
      <c r="W1377" s="83"/>
      <c r="X1377" s="83"/>
      <c r="Y1377" s="83"/>
    </row>
    <row r="1378" spans="1:25" ht="13.8">
      <c r="A1378" s="78" t="str">
        <f ca="1">IFERROR(__xludf.DUMMYFUNCTION("""COMPUTED_VALUE"""),"NS")</f>
        <v>NS</v>
      </c>
      <c r="B1378" s="79" t="str">
        <f ca="1">IFERROR(__xludf.DUMMYFUNCTION("""COMPUTED_VALUE"""),"Xavier Johnston")</f>
        <v>Xavier Johnston</v>
      </c>
      <c r="C1378" s="78">
        <f ca="1">IFERROR(__xludf.DUMMYFUNCTION("""COMPUTED_VALUE"""),16)</f>
        <v>16</v>
      </c>
      <c r="D1378" s="78" t="str">
        <f ca="1">IFERROR(__xludf.DUMMYFUNCTION("""COMPUTED_VALUE"""),"B")</f>
        <v>B</v>
      </c>
      <c r="E1378" s="80" t="str">
        <f ca="1">IFERROR(__xludf.DUMMYFUNCTION("""COMPUTED_VALUE"""),"S")</f>
        <v>S</v>
      </c>
      <c r="F1378" s="80" t="str">
        <f ca="1">IFERROR(__xludf.DUMMYFUNCTION("""COMPUTED_VALUE"""),"S")</f>
        <v>S</v>
      </c>
      <c r="G1378" s="80">
        <f ca="1">IFERROR(__xludf.DUMMYFUNCTION("""COMPUTED_VALUE"""),8)</f>
        <v>8</v>
      </c>
      <c r="H1378" s="80" t="str">
        <f ca="1">IFERROR(__xludf.DUMMYFUNCTION("""COMPUTED_VALUE"""),"NS")</f>
        <v>NS</v>
      </c>
      <c r="I1378" s="80">
        <f ca="1">IFERROR(__xludf.DUMMYFUNCTION("""COMPUTED_VALUE"""),9)</f>
        <v>9</v>
      </c>
      <c r="J1378" s="81">
        <f ca="1">IFERROR(__xludf.DUMMYFUNCTION("""COMPUTED_VALUE"""),5)</f>
        <v>5</v>
      </c>
      <c r="K1378" s="81">
        <f ca="1">IFERROR(__xludf.DUMMYFUNCTION("""COMPUTED_VALUE"""),168.05)</f>
        <v>168.05</v>
      </c>
      <c r="L1378" s="81">
        <f ca="1">IFERROR(__xludf.DUMMYFUNCTION("""COMPUTED_VALUE"""),141.4)</f>
        <v>141.4</v>
      </c>
      <c r="M1378" s="81"/>
      <c r="N1378" s="81">
        <f ca="1">IFERROR(__xludf.DUMMYFUNCTION("""COMPUTED_VALUE"""),168.05)</f>
        <v>168.05</v>
      </c>
      <c r="O1378" s="81"/>
      <c r="P1378" s="81">
        <f ca="1">IFERROR(__xludf.DUMMYFUNCTION("""COMPUTED_VALUE"""),154.35)</f>
        <v>154.35</v>
      </c>
      <c r="Q1378" s="81"/>
      <c r="R1378" s="81">
        <f ca="1">IFERROR(__xludf.DUMMYFUNCTION("""COMPUTED_VALUE"""),107.7)</f>
        <v>107.7</v>
      </c>
      <c r="S1378" s="81"/>
      <c r="T1378" s="81"/>
      <c r="U1378" s="82"/>
      <c r="V1378" s="82"/>
      <c r="W1378" s="83"/>
      <c r="X1378" s="83"/>
      <c r="Y1378" s="83"/>
    </row>
    <row r="1379" spans="1:25" ht="13.8">
      <c r="A1379" s="78" t="str">
        <f ca="1">IFERROR(__xludf.DUMMYFUNCTION("""COMPUTED_VALUE"""),"O")</f>
        <v>O</v>
      </c>
      <c r="B1379" s="79" t="str">
        <f ca="1">IFERROR(__xludf.DUMMYFUNCTION("""COMPUTED_VALUE"""),"Elsa Allard")</f>
        <v>Elsa Allard</v>
      </c>
      <c r="C1379" s="78">
        <f ca="1">IFERROR(__xludf.DUMMYFUNCTION("""COMPUTED_VALUE"""),6)</f>
        <v>6</v>
      </c>
      <c r="D1379" s="78" t="str">
        <f ca="1">IFERROR(__xludf.DUMMYFUNCTION("""COMPUTED_VALUE"""),"G")</f>
        <v>G</v>
      </c>
      <c r="E1379" s="80" t="str">
        <f ca="1">IFERROR(__xludf.DUMMYFUNCTION("""COMPUTED_VALUE"""),"F")</f>
        <v>F</v>
      </c>
      <c r="F1379" s="80" t="str">
        <f ca="1">IFERROR(__xludf.DUMMYFUNCTION("""COMPUTED_VALUE"""),"J")</f>
        <v>J</v>
      </c>
      <c r="G1379" s="80">
        <f ca="1">IFERROR(__xludf.DUMMYFUNCTION("""COMPUTED_VALUE"""),1)</f>
        <v>1</v>
      </c>
      <c r="H1379" s="80" t="str">
        <f ca="1">IFERROR(__xludf.DUMMYFUNCTION("""COMPUTED_VALUE"""),"O")</f>
        <v>O</v>
      </c>
      <c r="I1379" s="80">
        <f ca="1">IFERROR(__xludf.DUMMYFUNCTION("""COMPUTED_VALUE"""),2)</f>
        <v>2</v>
      </c>
      <c r="J1379" s="81">
        <f ca="1">IFERROR(__xludf.DUMMYFUNCTION("""COMPUTED_VALUE"""),0)</f>
        <v>0</v>
      </c>
      <c r="K1379" s="81">
        <f ca="1">IFERROR(__xludf.DUMMYFUNCTION("""COMPUTED_VALUE"""),0)</f>
        <v>0</v>
      </c>
      <c r="L1379" s="81">
        <f ca="1">IFERROR(__xludf.DUMMYFUNCTION("""COMPUTED_VALUE"""),0)</f>
        <v>0</v>
      </c>
      <c r="M1379" s="81"/>
      <c r="N1379" s="81">
        <f ca="1">IFERROR(__xludf.DUMMYFUNCTION("""COMPUTED_VALUE"""),0)</f>
        <v>0</v>
      </c>
      <c r="O1379" s="81"/>
      <c r="P1379" s="81">
        <f ca="1">IFERROR(__xludf.DUMMYFUNCTION("""COMPUTED_VALUE"""),0)</f>
        <v>0</v>
      </c>
      <c r="Q1379" s="81"/>
      <c r="R1379" s="81">
        <f ca="1">IFERROR(__xludf.DUMMYFUNCTION("""COMPUTED_VALUE"""),0)</f>
        <v>0</v>
      </c>
      <c r="S1379" s="81"/>
      <c r="T1379" s="81"/>
      <c r="U1379" s="82"/>
      <c r="V1379" s="82"/>
      <c r="W1379" s="83"/>
      <c r="X1379" s="83"/>
      <c r="Y1379" s="83"/>
    </row>
    <row r="1380" spans="1:25" ht="13.8">
      <c r="A1380" s="78" t="str">
        <f ca="1">IFERROR(__xludf.DUMMYFUNCTION("""COMPUTED_VALUE"""),"O")</f>
        <v>O</v>
      </c>
      <c r="B1380" s="79" t="str">
        <f ca="1">IFERROR(__xludf.DUMMYFUNCTION("""COMPUTED_VALUE"""),"Hannah Allard")</f>
        <v>Hannah Allard</v>
      </c>
      <c r="C1380" s="78">
        <f ca="1">IFERROR(__xludf.DUMMYFUNCTION("""COMPUTED_VALUE"""),10)</f>
        <v>10</v>
      </c>
      <c r="D1380" s="78" t="str">
        <f ca="1">IFERROR(__xludf.DUMMYFUNCTION("""COMPUTED_VALUE"""),"G")</f>
        <v>G</v>
      </c>
      <c r="E1380" s="80" t="str">
        <f ca="1">IFERROR(__xludf.DUMMYFUNCTION("""COMPUTED_VALUE"""),"F")</f>
        <v>F</v>
      </c>
      <c r="F1380" s="80" t="str">
        <f ca="1">IFERROR(__xludf.DUMMYFUNCTION("""COMPUTED_VALUE"""),"J")</f>
        <v>J</v>
      </c>
      <c r="G1380" s="80">
        <f ca="1">IFERROR(__xludf.DUMMYFUNCTION("""COMPUTED_VALUE"""),1)</f>
        <v>1</v>
      </c>
      <c r="H1380" s="80" t="str">
        <f ca="1">IFERROR(__xludf.DUMMYFUNCTION("""COMPUTED_VALUE"""),"O")</f>
        <v>O</v>
      </c>
      <c r="I1380" s="80">
        <f ca="1">IFERROR(__xludf.DUMMYFUNCTION("""COMPUTED_VALUE"""),2)</f>
        <v>2</v>
      </c>
      <c r="J1380" s="81">
        <f ca="1">IFERROR(__xludf.DUMMYFUNCTION("""COMPUTED_VALUE"""),0)</f>
        <v>0</v>
      </c>
      <c r="K1380" s="81">
        <f ca="1">IFERROR(__xludf.DUMMYFUNCTION("""COMPUTED_VALUE"""),0)</f>
        <v>0</v>
      </c>
      <c r="L1380" s="81">
        <f ca="1">IFERROR(__xludf.DUMMYFUNCTION("""COMPUTED_VALUE"""),0)</f>
        <v>0</v>
      </c>
      <c r="M1380" s="81"/>
      <c r="N1380" s="81">
        <f ca="1">IFERROR(__xludf.DUMMYFUNCTION("""COMPUTED_VALUE"""),0)</f>
        <v>0</v>
      </c>
      <c r="O1380" s="81"/>
      <c r="P1380" s="81">
        <f ca="1">IFERROR(__xludf.DUMMYFUNCTION("""COMPUTED_VALUE"""),0)</f>
        <v>0</v>
      </c>
      <c r="Q1380" s="81"/>
      <c r="R1380" s="81">
        <f ca="1">IFERROR(__xludf.DUMMYFUNCTION("""COMPUTED_VALUE"""),0)</f>
        <v>0</v>
      </c>
      <c r="S1380" s="81"/>
      <c r="T1380" s="81"/>
      <c r="U1380" s="82"/>
      <c r="V1380" s="82"/>
      <c r="W1380" s="83"/>
      <c r="X1380" s="83"/>
      <c r="Y1380" s="83"/>
    </row>
    <row r="1381" spans="1:25" ht="13.8">
      <c r="A1381" s="78" t="str">
        <f ca="1">IFERROR(__xludf.DUMMYFUNCTION("""COMPUTED_VALUE"""),"O")</f>
        <v>O</v>
      </c>
      <c r="B1381" s="79" t="str">
        <f ca="1">IFERROR(__xludf.DUMMYFUNCTION("""COMPUTED_VALUE"""),"Charlotte Axelrod")</f>
        <v>Charlotte Axelrod</v>
      </c>
      <c r="C1381" s="78">
        <f ca="1">IFERROR(__xludf.DUMMYFUNCTION("""COMPUTED_VALUE"""),9)</f>
        <v>9</v>
      </c>
      <c r="D1381" s="78" t="str">
        <f ca="1">IFERROR(__xludf.DUMMYFUNCTION("""COMPUTED_VALUE"""),"G")</f>
        <v>G</v>
      </c>
      <c r="E1381" s="80" t="str">
        <f ca="1">IFERROR(__xludf.DUMMYFUNCTION("""COMPUTED_VALUE"""),"F")</f>
        <v>F</v>
      </c>
      <c r="F1381" s="80" t="str">
        <f ca="1">IFERROR(__xludf.DUMMYFUNCTION("""COMPUTED_VALUE"""),"J")</f>
        <v>J</v>
      </c>
      <c r="G1381" s="80">
        <f ca="1">IFERROR(__xludf.DUMMYFUNCTION("""COMPUTED_VALUE"""),1)</f>
        <v>1</v>
      </c>
      <c r="H1381" s="80" t="str">
        <f ca="1">IFERROR(__xludf.DUMMYFUNCTION("""COMPUTED_VALUE"""),"O")</f>
        <v>O</v>
      </c>
      <c r="I1381" s="80">
        <f ca="1">IFERROR(__xludf.DUMMYFUNCTION("""COMPUTED_VALUE"""),2)</f>
        <v>2</v>
      </c>
      <c r="J1381" s="81">
        <f ca="1">IFERROR(__xludf.DUMMYFUNCTION("""COMPUTED_VALUE"""),0)</f>
        <v>0</v>
      </c>
      <c r="K1381" s="81">
        <f ca="1">IFERROR(__xludf.DUMMYFUNCTION("""COMPUTED_VALUE"""),0)</f>
        <v>0</v>
      </c>
      <c r="L1381" s="81">
        <f ca="1">IFERROR(__xludf.DUMMYFUNCTION("""COMPUTED_VALUE"""),0)</f>
        <v>0</v>
      </c>
      <c r="M1381" s="81"/>
      <c r="N1381" s="81">
        <f ca="1">IFERROR(__xludf.DUMMYFUNCTION("""COMPUTED_VALUE"""),0)</f>
        <v>0</v>
      </c>
      <c r="O1381" s="81"/>
      <c r="P1381" s="81">
        <f ca="1">IFERROR(__xludf.DUMMYFUNCTION("""COMPUTED_VALUE"""),0)</f>
        <v>0</v>
      </c>
      <c r="Q1381" s="81"/>
      <c r="R1381" s="81">
        <f ca="1">IFERROR(__xludf.DUMMYFUNCTION("""COMPUTED_VALUE"""),0)</f>
        <v>0</v>
      </c>
      <c r="S1381" s="81"/>
      <c r="T1381" s="81"/>
      <c r="U1381" s="82"/>
      <c r="V1381" s="82"/>
      <c r="W1381" s="83"/>
      <c r="X1381" s="83"/>
      <c r="Y1381" s="83"/>
    </row>
    <row r="1382" spans="1:25" ht="13.8">
      <c r="A1382" s="78" t="str">
        <f ca="1">IFERROR(__xludf.DUMMYFUNCTION("""COMPUTED_VALUE"""),"O")</f>
        <v>O</v>
      </c>
      <c r="B1382" s="79" t="str">
        <f ca="1">IFERROR(__xludf.DUMMYFUNCTION("""COMPUTED_VALUE"""),"Holly Axelrod")</f>
        <v>Holly Axelrod</v>
      </c>
      <c r="C1382" s="78">
        <f ca="1">IFERROR(__xludf.DUMMYFUNCTION("""COMPUTED_VALUE"""),7)</f>
        <v>7</v>
      </c>
      <c r="D1382" s="78" t="str">
        <f ca="1">IFERROR(__xludf.DUMMYFUNCTION("""COMPUTED_VALUE"""),"G")</f>
        <v>G</v>
      </c>
      <c r="E1382" s="80" t="str">
        <f ca="1">IFERROR(__xludf.DUMMYFUNCTION("""COMPUTED_VALUE"""),"F")</f>
        <v>F</v>
      </c>
      <c r="F1382" s="80" t="str">
        <f ca="1">IFERROR(__xludf.DUMMYFUNCTION("""COMPUTED_VALUE"""),"J")</f>
        <v>J</v>
      </c>
      <c r="G1382" s="80">
        <f ca="1">IFERROR(__xludf.DUMMYFUNCTION("""COMPUTED_VALUE"""),1)</f>
        <v>1</v>
      </c>
      <c r="H1382" s="80" t="str">
        <f ca="1">IFERROR(__xludf.DUMMYFUNCTION("""COMPUTED_VALUE"""),"O")</f>
        <v>O</v>
      </c>
      <c r="I1382" s="80">
        <f ca="1">IFERROR(__xludf.DUMMYFUNCTION("""COMPUTED_VALUE"""),2)</f>
        <v>2</v>
      </c>
      <c r="J1382" s="81">
        <f ca="1">IFERROR(__xludf.DUMMYFUNCTION("""COMPUTED_VALUE"""),0)</f>
        <v>0</v>
      </c>
      <c r="K1382" s="81">
        <f ca="1">IFERROR(__xludf.DUMMYFUNCTION("""COMPUTED_VALUE"""),0)</f>
        <v>0</v>
      </c>
      <c r="L1382" s="81">
        <f ca="1">IFERROR(__xludf.DUMMYFUNCTION("""COMPUTED_VALUE"""),0)</f>
        <v>0</v>
      </c>
      <c r="M1382" s="81"/>
      <c r="N1382" s="81">
        <f ca="1">IFERROR(__xludf.DUMMYFUNCTION("""COMPUTED_VALUE"""),0)</f>
        <v>0</v>
      </c>
      <c r="O1382" s="81"/>
      <c r="P1382" s="81">
        <f ca="1">IFERROR(__xludf.DUMMYFUNCTION("""COMPUTED_VALUE"""),0)</f>
        <v>0</v>
      </c>
      <c r="Q1382" s="81"/>
      <c r="R1382" s="81">
        <f ca="1">IFERROR(__xludf.DUMMYFUNCTION("""COMPUTED_VALUE"""),0)</f>
        <v>0</v>
      </c>
      <c r="S1382" s="81"/>
      <c r="T1382" s="81"/>
      <c r="U1382" s="82"/>
      <c r="V1382" s="82"/>
      <c r="W1382" s="83"/>
      <c r="X1382" s="83"/>
      <c r="Y1382" s="83"/>
    </row>
    <row r="1383" spans="1:25" ht="13.8">
      <c r="A1383" s="78" t="str">
        <f ca="1">IFERROR(__xludf.DUMMYFUNCTION("""COMPUTED_VALUE"""),"O")</f>
        <v>O</v>
      </c>
      <c r="B1383" s="79" t="str">
        <f ca="1">IFERROR(__xludf.DUMMYFUNCTION("""COMPUTED_VALUE"""),"Delaney Balkema")</f>
        <v>Delaney Balkema</v>
      </c>
      <c r="C1383" s="78">
        <f ca="1">IFERROR(__xludf.DUMMYFUNCTION("""COMPUTED_VALUE"""),10)</f>
        <v>10</v>
      </c>
      <c r="D1383" s="78" t="str">
        <f ca="1">IFERROR(__xludf.DUMMYFUNCTION("""COMPUTED_VALUE"""),"G")</f>
        <v>G</v>
      </c>
      <c r="E1383" s="80" t="str">
        <f ca="1">IFERROR(__xludf.DUMMYFUNCTION("""COMPUTED_VALUE"""),"F")</f>
        <v>F</v>
      </c>
      <c r="F1383" s="80" t="str">
        <f ca="1">IFERROR(__xludf.DUMMYFUNCTION("""COMPUTED_VALUE"""),"J")</f>
        <v>J</v>
      </c>
      <c r="G1383" s="80">
        <f ca="1">IFERROR(__xludf.DUMMYFUNCTION("""COMPUTED_VALUE"""),1)</f>
        <v>1</v>
      </c>
      <c r="H1383" s="80" t="str">
        <f ca="1">IFERROR(__xludf.DUMMYFUNCTION("""COMPUTED_VALUE"""),"O")</f>
        <v>O</v>
      </c>
      <c r="I1383" s="80">
        <f ca="1">IFERROR(__xludf.DUMMYFUNCTION("""COMPUTED_VALUE"""),2)</f>
        <v>2</v>
      </c>
      <c r="J1383" s="81">
        <f ca="1">IFERROR(__xludf.DUMMYFUNCTION("""COMPUTED_VALUE"""),0)</f>
        <v>0</v>
      </c>
      <c r="K1383" s="81">
        <f ca="1">IFERROR(__xludf.DUMMYFUNCTION("""COMPUTED_VALUE"""),0)</f>
        <v>0</v>
      </c>
      <c r="L1383" s="81">
        <f ca="1">IFERROR(__xludf.DUMMYFUNCTION("""COMPUTED_VALUE"""),0)</f>
        <v>0</v>
      </c>
      <c r="M1383" s="81"/>
      <c r="N1383" s="81">
        <f ca="1">IFERROR(__xludf.DUMMYFUNCTION("""COMPUTED_VALUE"""),0)</f>
        <v>0</v>
      </c>
      <c r="O1383" s="81"/>
      <c r="P1383" s="81">
        <f ca="1">IFERROR(__xludf.DUMMYFUNCTION("""COMPUTED_VALUE"""),0)</f>
        <v>0</v>
      </c>
      <c r="Q1383" s="81"/>
      <c r="R1383" s="81">
        <f ca="1">IFERROR(__xludf.DUMMYFUNCTION("""COMPUTED_VALUE"""),0)</f>
        <v>0</v>
      </c>
      <c r="S1383" s="81"/>
      <c r="T1383" s="81"/>
      <c r="U1383" s="82"/>
      <c r="V1383" s="82"/>
      <c r="W1383" s="83"/>
      <c r="X1383" s="83"/>
      <c r="Y1383" s="83"/>
    </row>
    <row r="1384" spans="1:25" ht="13.8">
      <c r="A1384" s="78" t="str">
        <f ca="1">IFERROR(__xludf.DUMMYFUNCTION("""COMPUTED_VALUE"""),"O")</f>
        <v>O</v>
      </c>
      <c r="B1384" s="79" t="str">
        <f ca="1">IFERROR(__xludf.DUMMYFUNCTION("""COMPUTED_VALUE"""),"Greta Bowser")</f>
        <v>Greta Bowser</v>
      </c>
      <c r="C1384" s="78">
        <f ca="1">IFERROR(__xludf.DUMMYFUNCTION("""COMPUTED_VALUE"""),8)</f>
        <v>8</v>
      </c>
      <c r="D1384" s="78" t="str">
        <f ca="1">IFERROR(__xludf.DUMMYFUNCTION("""COMPUTED_VALUE"""),"G")</f>
        <v>G</v>
      </c>
      <c r="E1384" s="80" t="str">
        <f ca="1">IFERROR(__xludf.DUMMYFUNCTION("""COMPUTED_VALUE"""),"F")</f>
        <v>F</v>
      </c>
      <c r="F1384" s="80" t="str">
        <f ca="1">IFERROR(__xludf.DUMMYFUNCTION("""COMPUTED_VALUE"""),"J")</f>
        <v>J</v>
      </c>
      <c r="G1384" s="80">
        <f ca="1">IFERROR(__xludf.DUMMYFUNCTION("""COMPUTED_VALUE"""),1)</f>
        <v>1</v>
      </c>
      <c r="H1384" s="80" t="str">
        <f ca="1">IFERROR(__xludf.DUMMYFUNCTION("""COMPUTED_VALUE"""),"O")</f>
        <v>O</v>
      </c>
      <c r="I1384" s="80">
        <f ca="1">IFERROR(__xludf.DUMMYFUNCTION("""COMPUTED_VALUE"""),2)</f>
        <v>2</v>
      </c>
      <c r="J1384" s="81">
        <f ca="1">IFERROR(__xludf.DUMMYFUNCTION("""COMPUTED_VALUE"""),0)</f>
        <v>0</v>
      </c>
      <c r="K1384" s="81">
        <f ca="1">IFERROR(__xludf.DUMMYFUNCTION("""COMPUTED_VALUE"""),0)</f>
        <v>0</v>
      </c>
      <c r="L1384" s="81">
        <f ca="1">IFERROR(__xludf.DUMMYFUNCTION("""COMPUTED_VALUE"""),0)</f>
        <v>0</v>
      </c>
      <c r="M1384" s="81"/>
      <c r="N1384" s="81">
        <f ca="1">IFERROR(__xludf.DUMMYFUNCTION("""COMPUTED_VALUE"""),0)</f>
        <v>0</v>
      </c>
      <c r="O1384" s="81"/>
      <c r="P1384" s="81">
        <f ca="1">IFERROR(__xludf.DUMMYFUNCTION("""COMPUTED_VALUE"""),0)</f>
        <v>0</v>
      </c>
      <c r="Q1384" s="81"/>
      <c r="R1384" s="81">
        <f ca="1">IFERROR(__xludf.DUMMYFUNCTION("""COMPUTED_VALUE"""),0)</f>
        <v>0</v>
      </c>
      <c r="S1384" s="81"/>
      <c r="T1384" s="81"/>
      <c r="U1384" s="82"/>
      <c r="V1384" s="82"/>
      <c r="W1384" s="83"/>
      <c r="X1384" s="83"/>
      <c r="Y1384" s="83"/>
    </row>
    <row r="1385" spans="1:25" ht="13.8">
      <c r="A1385" s="78" t="str">
        <f ca="1">IFERROR(__xludf.DUMMYFUNCTION("""COMPUTED_VALUE"""),"O")</f>
        <v>O</v>
      </c>
      <c r="B1385" s="79" t="str">
        <f ca="1">IFERROR(__xludf.DUMMYFUNCTION("""COMPUTED_VALUE"""),"Ellie Brown")</f>
        <v>Ellie Brown</v>
      </c>
      <c r="C1385" s="78">
        <f ca="1">IFERROR(__xludf.DUMMYFUNCTION("""COMPUTED_VALUE"""),7)</f>
        <v>7</v>
      </c>
      <c r="D1385" s="78" t="str">
        <f ca="1">IFERROR(__xludf.DUMMYFUNCTION("""COMPUTED_VALUE"""),"G")</f>
        <v>G</v>
      </c>
      <c r="E1385" s="80" t="str">
        <f ca="1">IFERROR(__xludf.DUMMYFUNCTION("""COMPUTED_VALUE"""),"F")</f>
        <v>F</v>
      </c>
      <c r="F1385" s="80" t="str">
        <f ca="1">IFERROR(__xludf.DUMMYFUNCTION("""COMPUTED_VALUE"""),"J")</f>
        <v>J</v>
      </c>
      <c r="G1385" s="80">
        <f ca="1">IFERROR(__xludf.DUMMYFUNCTION("""COMPUTED_VALUE"""),1)</f>
        <v>1</v>
      </c>
      <c r="H1385" s="80" t="str">
        <f ca="1">IFERROR(__xludf.DUMMYFUNCTION("""COMPUTED_VALUE"""),"O")</f>
        <v>O</v>
      </c>
      <c r="I1385" s="80">
        <f ca="1">IFERROR(__xludf.DUMMYFUNCTION("""COMPUTED_VALUE"""),2)</f>
        <v>2</v>
      </c>
      <c r="J1385" s="81">
        <f ca="1">IFERROR(__xludf.DUMMYFUNCTION("""COMPUTED_VALUE"""),0)</f>
        <v>0</v>
      </c>
      <c r="K1385" s="81">
        <f ca="1">IFERROR(__xludf.DUMMYFUNCTION("""COMPUTED_VALUE"""),0)</f>
        <v>0</v>
      </c>
      <c r="L1385" s="81">
        <f ca="1">IFERROR(__xludf.DUMMYFUNCTION("""COMPUTED_VALUE"""),0)</f>
        <v>0</v>
      </c>
      <c r="M1385" s="81"/>
      <c r="N1385" s="81">
        <f ca="1">IFERROR(__xludf.DUMMYFUNCTION("""COMPUTED_VALUE"""),0)</f>
        <v>0</v>
      </c>
      <c r="O1385" s="81"/>
      <c r="P1385" s="81">
        <f ca="1">IFERROR(__xludf.DUMMYFUNCTION("""COMPUTED_VALUE"""),0)</f>
        <v>0</v>
      </c>
      <c r="Q1385" s="81"/>
      <c r="R1385" s="81">
        <f ca="1">IFERROR(__xludf.DUMMYFUNCTION("""COMPUTED_VALUE"""),0)</f>
        <v>0</v>
      </c>
      <c r="S1385" s="81"/>
      <c r="T1385" s="81"/>
      <c r="U1385" s="82"/>
      <c r="V1385" s="82"/>
      <c r="W1385" s="83"/>
      <c r="X1385" s="83"/>
      <c r="Y1385" s="83"/>
    </row>
    <row r="1386" spans="1:25" ht="13.8">
      <c r="A1386" s="78" t="str">
        <f ca="1">IFERROR(__xludf.DUMMYFUNCTION("""COMPUTED_VALUE"""),"O")</f>
        <v>O</v>
      </c>
      <c r="B1386" s="79" t="str">
        <f ca="1">IFERROR(__xludf.DUMMYFUNCTION("""COMPUTED_VALUE"""),"Anabel Buczek")</f>
        <v>Anabel Buczek</v>
      </c>
      <c r="C1386" s="78">
        <f ca="1">IFERROR(__xludf.DUMMYFUNCTION("""COMPUTED_VALUE"""),10)</f>
        <v>10</v>
      </c>
      <c r="D1386" s="78" t="str">
        <f ca="1">IFERROR(__xludf.DUMMYFUNCTION("""COMPUTED_VALUE"""),"G")</f>
        <v>G</v>
      </c>
      <c r="E1386" s="80" t="str">
        <f ca="1">IFERROR(__xludf.DUMMYFUNCTION("""COMPUTED_VALUE"""),"F")</f>
        <v>F</v>
      </c>
      <c r="F1386" s="80" t="str">
        <f ca="1">IFERROR(__xludf.DUMMYFUNCTION("""COMPUTED_VALUE"""),"J")</f>
        <v>J</v>
      </c>
      <c r="G1386" s="80">
        <f ca="1">IFERROR(__xludf.DUMMYFUNCTION("""COMPUTED_VALUE"""),1)</f>
        <v>1</v>
      </c>
      <c r="H1386" s="80" t="str">
        <f ca="1">IFERROR(__xludf.DUMMYFUNCTION("""COMPUTED_VALUE"""),"O")</f>
        <v>O</v>
      </c>
      <c r="I1386" s="80">
        <f ca="1">IFERROR(__xludf.DUMMYFUNCTION("""COMPUTED_VALUE"""),2)</f>
        <v>2</v>
      </c>
      <c r="J1386" s="81">
        <f ca="1">IFERROR(__xludf.DUMMYFUNCTION("""COMPUTED_VALUE"""),5)</f>
        <v>5</v>
      </c>
      <c r="K1386" s="81">
        <f ca="1">IFERROR(__xludf.DUMMYFUNCTION("""COMPUTED_VALUE"""),64.2)</f>
        <v>64.2</v>
      </c>
      <c r="L1386" s="81">
        <f ca="1">IFERROR(__xludf.DUMMYFUNCTION("""COMPUTED_VALUE"""),64.2)</f>
        <v>64.2</v>
      </c>
      <c r="M1386" s="81"/>
      <c r="N1386" s="81">
        <f ca="1">IFERROR(__xludf.DUMMYFUNCTION("""COMPUTED_VALUE"""),63.2)</f>
        <v>63.2</v>
      </c>
      <c r="O1386" s="81"/>
      <c r="P1386" s="81">
        <f ca="1">IFERROR(__xludf.DUMMYFUNCTION("""COMPUTED_VALUE"""),59.25)</f>
        <v>59.25</v>
      </c>
      <c r="Q1386" s="81"/>
      <c r="R1386" s="81">
        <f ca="1">IFERROR(__xludf.DUMMYFUNCTION("""COMPUTED_VALUE"""),58.95)</f>
        <v>58.95</v>
      </c>
      <c r="S1386" s="81"/>
      <c r="T1386" s="81"/>
      <c r="U1386" s="82"/>
      <c r="V1386" s="82"/>
      <c r="W1386" s="83"/>
      <c r="X1386" s="83"/>
      <c r="Y1386" s="83"/>
    </row>
    <row r="1387" spans="1:25" ht="13.8">
      <c r="A1387" s="78" t="str">
        <f ca="1">IFERROR(__xludf.DUMMYFUNCTION("""COMPUTED_VALUE"""),"O")</f>
        <v>O</v>
      </c>
      <c r="B1387" s="79" t="str">
        <f ca="1">IFERROR(__xludf.DUMMYFUNCTION("""COMPUTED_VALUE"""),"Kerry Campbell")</f>
        <v>Kerry Campbell</v>
      </c>
      <c r="C1387" s="78">
        <f ca="1">IFERROR(__xludf.DUMMYFUNCTION("""COMPUTED_VALUE"""),9)</f>
        <v>9</v>
      </c>
      <c r="D1387" s="78" t="str">
        <f ca="1">IFERROR(__xludf.DUMMYFUNCTION("""COMPUTED_VALUE"""),"G")</f>
        <v>G</v>
      </c>
      <c r="E1387" s="80" t="str">
        <f ca="1">IFERROR(__xludf.DUMMYFUNCTION("""COMPUTED_VALUE"""),"F")</f>
        <v>F</v>
      </c>
      <c r="F1387" s="80" t="str">
        <f ca="1">IFERROR(__xludf.DUMMYFUNCTION("""COMPUTED_VALUE"""),"J")</f>
        <v>J</v>
      </c>
      <c r="G1387" s="80">
        <f ca="1">IFERROR(__xludf.DUMMYFUNCTION("""COMPUTED_VALUE"""),1)</f>
        <v>1</v>
      </c>
      <c r="H1387" s="80" t="str">
        <f ca="1">IFERROR(__xludf.DUMMYFUNCTION("""COMPUTED_VALUE"""),"O")</f>
        <v>O</v>
      </c>
      <c r="I1387" s="80">
        <f ca="1">IFERROR(__xludf.DUMMYFUNCTION("""COMPUTED_VALUE"""),2)</f>
        <v>2</v>
      </c>
      <c r="J1387" s="81">
        <f ca="1">IFERROR(__xludf.DUMMYFUNCTION("""COMPUTED_VALUE"""),0)</f>
        <v>0</v>
      </c>
      <c r="K1387" s="81">
        <f ca="1">IFERROR(__xludf.DUMMYFUNCTION("""COMPUTED_VALUE"""),0)</f>
        <v>0</v>
      </c>
      <c r="L1387" s="81">
        <f ca="1">IFERROR(__xludf.DUMMYFUNCTION("""COMPUTED_VALUE"""),0)</f>
        <v>0</v>
      </c>
      <c r="M1387" s="81"/>
      <c r="N1387" s="81">
        <f ca="1">IFERROR(__xludf.DUMMYFUNCTION("""COMPUTED_VALUE"""),0)</f>
        <v>0</v>
      </c>
      <c r="O1387" s="81"/>
      <c r="P1387" s="81">
        <f ca="1">IFERROR(__xludf.DUMMYFUNCTION("""COMPUTED_VALUE"""),0)</f>
        <v>0</v>
      </c>
      <c r="Q1387" s="81"/>
      <c r="R1387" s="81">
        <f ca="1">IFERROR(__xludf.DUMMYFUNCTION("""COMPUTED_VALUE"""),0)</f>
        <v>0</v>
      </c>
      <c r="S1387" s="81"/>
      <c r="T1387" s="81"/>
      <c r="U1387" s="82"/>
      <c r="V1387" s="82"/>
      <c r="W1387" s="83"/>
      <c r="X1387" s="83"/>
      <c r="Y1387" s="83"/>
    </row>
    <row r="1388" spans="1:25" ht="13.8">
      <c r="A1388" s="78" t="str">
        <f ca="1">IFERROR(__xludf.DUMMYFUNCTION("""COMPUTED_VALUE"""),"O")</f>
        <v>O</v>
      </c>
      <c r="B1388" s="79" t="str">
        <f ca="1">IFERROR(__xludf.DUMMYFUNCTION("""COMPUTED_VALUE"""),"Liliana Cappoli")</f>
        <v>Liliana Cappoli</v>
      </c>
      <c r="C1388" s="78">
        <f ca="1">IFERROR(__xludf.DUMMYFUNCTION("""COMPUTED_VALUE"""),7)</f>
        <v>7</v>
      </c>
      <c r="D1388" s="78" t="str">
        <f ca="1">IFERROR(__xludf.DUMMYFUNCTION("""COMPUTED_VALUE"""),"G")</f>
        <v>G</v>
      </c>
      <c r="E1388" s="80" t="str">
        <f ca="1">IFERROR(__xludf.DUMMYFUNCTION("""COMPUTED_VALUE"""),"F")</f>
        <v>F</v>
      </c>
      <c r="F1388" s="80" t="str">
        <f ca="1">IFERROR(__xludf.DUMMYFUNCTION("""COMPUTED_VALUE"""),"J")</f>
        <v>J</v>
      </c>
      <c r="G1388" s="80">
        <f ca="1">IFERROR(__xludf.DUMMYFUNCTION("""COMPUTED_VALUE"""),1)</f>
        <v>1</v>
      </c>
      <c r="H1388" s="80" t="str">
        <f ca="1">IFERROR(__xludf.DUMMYFUNCTION("""COMPUTED_VALUE"""),"O")</f>
        <v>O</v>
      </c>
      <c r="I1388" s="80">
        <f ca="1">IFERROR(__xludf.DUMMYFUNCTION("""COMPUTED_VALUE"""),2)</f>
        <v>2</v>
      </c>
      <c r="J1388" s="81">
        <f ca="1">IFERROR(__xludf.DUMMYFUNCTION("""COMPUTED_VALUE"""),0)</f>
        <v>0</v>
      </c>
      <c r="K1388" s="81">
        <f ca="1">IFERROR(__xludf.DUMMYFUNCTION("""COMPUTED_VALUE"""),0)</f>
        <v>0</v>
      </c>
      <c r="L1388" s="81">
        <f ca="1">IFERROR(__xludf.DUMMYFUNCTION("""COMPUTED_VALUE"""),0)</f>
        <v>0</v>
      </c>
      <c r="M1388" s="81"/>
      <c r="N1388" s="81">
        <f ca="1">IFERROR(__xludf.DUMMYFUNCTION("""COMPUTED_VALUE"""),0)</f>
        <v>0</v>
      </c>
      <c r="O1388" s="81"/>
      <c r="P1388" s="81">
        <f ca="1">IFERROR(__xludf.DUMMYFUNCTION("""COMPUTED_VALUE"""),0)</f>
        <v>0</v>
      </c>
      <c r="Q1388" s="81"/>
      <c r="R1388" s="81">
        <f ca="1">IFERROR(__xludf.DUMMYFUNCTION("""COMPUTED_VALUE"""),0)</f>
        <v>0</v>
      </c>
      <c r="S1388" s="81"/>
      <c r="T1388" s="81"/>
      <c r="U1388" s="82"/>
      <c r="V1388" s="82"/>
      <c r="W1388" s="83"/>
      <c r="X1388" s="83"/>
      <c r="Y1388" s="83"/>
    </row>
    <row r="1389" spans="1:25" ht="13.8">
      <c r="A1389" s="78" t="str">
        <f ca="1">IFERROR(__xludf.DUMMYFUNCTION("""COMPUTED_VALUE"""),"O")</f>
        <v>O</v>
      </c>
      <c r="B1389" s="79" t="str">
        <f ca="1">IFERROR(__xludf.DUMMYFUNCTION("""COMPUTED_VALUE"""),"Claire Cocker")</f>
        <v>Claire Cocker</v>
      </c>
      <c r="C1389" s="78">
        <f ca="1">IFERROR(__xludf.DUMMYFUNCTION("""COMPUTED_VALUE"""),6)</f>
        <v>6</v>
      </c>
      <c r="D1389" s="78" t="str">
        <f ca="1">IFERROR(__xludf.DUMMYFUNCTION("""COMPUTED_VALUE"""),"G")</f>
        <v>G</v>
      </c>
      <c r="E1389" s="80" t="str">
        <f ca="1">IFERROR(__xludf.DUMMYFUNCTION("""COMPUTED_VALUE"""),"F")</f>
        <v>F</v>
      </c>
      <c r="F1389" s="80" t="str">
        <f ca="1">IFERROR(__xludf.DUMMYFUNCTION("""COMPUTED_VALUE"""),"J")</f>
        <v>J</v>
      </c>
      <c r="G1389" s="80">
        <f ca="1">IFERROR(__xludf.DUMMYFUNCTION("""COMPUTED_VALUE"""),1)</f>
        <v>1</v>
      </c>
      <c r="H1389" s="80" t="str">
        <f ca="1">IFERROR(__xludf.DUMMYFUNCTION("""COMPUTED_VALUE"""),"O")</f>
        <v>O</v>
      </c>
      <c r="I1389" s="80">
        <f ca="1">IFERROR(__xludf.DUMMYFUNCTION("""COMPUTED_VALUE"""),2)</f>
        <v>2</v>
      </c>
      <c r="J1389" s="81">
        <f ca="1">IFERROR(__xludf.DUMMYFUNCTION("""COMPUTED_VALUE"""),0)</f>
        <v>0</v>
      </c>
      <c r="K1389" s="81">
        <f ca="1">IFERROR(__xludf.DUMMYFUNCTION("""COMPUTED_VALUE"""),0)</f>
        <v>0</v>
      </c>
      <c r="L1389" s="81">
        <f ca="1">IFERROR(__xludf.DUMMYFUNCTION("""COMPUTED_VALUE"""),0)</f>
        <v>0</v>
      </c>
      <c r="M1389" s="81"/>
      <c r="N1389" s="81">
        <f ca="1">IFERROR(__xludf.DUMMYFUNCTION("""COMPUTED_VALUE"""),0)</f>
        <v>0</v>
      </c>
      <c r="O1389" s="81"/>
      <c r="P1389" s="81">
        <f ca="1">IFERROR(__xludf.DUMMYFUNCTION("""COMPUTED_VALUE"""),0)</f>
        <v>0</v>
      </c>
      <c r="Q1389" s="81"/>
      <c r="R1389" s="81">
        <f ca="1">IFERROR(__xludf.DUMMYFUNCTION("""COMPUTED_VALUE"""),0)</f>
        <v>0</v>
      </c>
      <c r="S1389" s="81"/>
      <c r="T1389" s="81"/>
      <c r="U1389" s="82"/>
      <c r="V1389" s="82"/>
      <c r="W1389" s="83"/>
      <c r="X1389" s="83"/>
      <c r="Y1389" s="83"/>
    </row>
    <row r="1390" spans="1:25" ht="13.8">
      <c r="A1390" s="78" t="str">
        <f ca="1">IFERROR(__xludf.DUMMYFUNCTION("""COMPUTED_VALUE"""),"O")</f>
        <v>O</v>
      </c>
      <c r="B1390" s="79" t="str">
        <f ca="1">IFERROR(__xludf.DUMMYFUNCTION("""COMPUTED_VALUE"""),"Elizabeth Deegan")</f>
        <v>Elizabeth Deegan</v>
      </c>
      <c r="C1390" s="78">
        <f ca="1">IFERROR(__xludf.DUMMYFUNCTION("""COMPUTED_VALUE"""),9)</f>
        <v>9</v>
      </c>
      <c r="D1390" s="78" t="str">
        <f ca="1">IFERROR(__xludf.DUMMYFUNCTION("""COMPUTED_VALUE"""),"G")</f>
        <v>G</v>
      </c>
      <c r="E1390" s="80" t="str">
        <f ca="1">IFERROR(__xludf.DUMMYFUNCTION("""COMPUTED_VALUE"""),"F")</f>
        <v>F</v>
      </c>
      <c r="F1390" s="80" t="str">
        <f ca="1">IFERROR(__xludf.DUMMYFUNCTION("""COMPUTED_VALUE"""),"J")</f>
        <v>J</v>
      </c>
      <c r="G1390" s="80">
        <f ca="1">IFERROR(__xludf.DUMMYFUNCTION("""COMPUTED_VALUE"""),1)</f>
        <v>1</v>
      </c>
      <c r="H1390" s="80" t="str">
        <f ca="1">IFERROR(__xludf.DUMMYFUNCTION("""COMPUTED_VALUE"""),"O")</f>
        <v>O</v>
      </c>
      <c r="I1390" s="80">
        <f ca="1">IFERROR(__xludf.DUMMYFUNCTION("""COMPUTED_VALUE"""),2)</f>
        <v>2</v>
      </c>
      <c r="J1390" s="81">
        <f ca="1">IFERROR(__xludf.DUMMYFUNCTION("""COMPUTED_VALUE"""),4)</f>
        <v>4</v>
      </c>
      <c r="K1390" s="81">
        <f ca="1">IFERROR(__xludf.DUMMYFUNCTION("""COMPUTED_VALUE"""),74.7)</f>
        <v>74.7</v>
      </c>
      <c r="L1390" s="81">
        <f ca="1">IFERROR(__xludf.DUMMYFUNCTION("""COMPUTED_VALUE"""),0)</f>
        <v>0</v>
      </c>
      <c r="M1390" s="81"/>
      <c r="N1390" s="81">
        <f ca="1">IFERROR(__xludf.DUMMYFUNCTION("""COMPUTED_VALUE"""),74.7)</f>
        <v>74.7</v>
      </c>
      <c r="O1390" s="81"/>
      <c r="P1390" s="81">
        <f ca="1">IFERROR(__xludf.DUMMYFUNCTION("""COMPUTED_VALUE"""),64.95)</f>
        <v>64.95</v>
      </c>
      <c r="Q1390" s="81"/>
      <c r="R1390" s="81">
        <f ca="1">IFERROR(__xludf.DUMMYFUNCTION("""COMPUTED_VALUE"""),67.25)</f>
        <v>67.25</v>
      </c>
      <c r="S1390" s="81"/>
      <c r="T1390" s="81"/>
      <c r="U1390" s="82"/>
      <c r="V1390" s="82"/>
      <c r="W1390" s="83"/>
      <c r="X1390" s="83"/>
      <c r="Y1390" s="83"/>
    </row>
    <row r="1391" spans="1:25" ht="13.8">
      <c r="A1391" s="78" t="str">
        <f ca="1">IFERROR(__xludf.DUMMYFUNCTION("""COMPUTED_VALUE"""),"O")</f>
        <v>O</v>
      </c>
      <c r="B1391" s="79" t="str">
        <f ca="1">IFERROR(__xludf.DUMMYFUNCTION("""COMPUTED_VALUE"""),"Anna Dunn")</f>
        <v>Anna Dunn</v>
      </c>
      <c r="C1391" s="78">
        <f ca="1">IFERROR(__xludf.DUMMYFUNCTION("""COMPUTED_VALUE"""),8)</f>
        <v>8</v>
      </c>
      <c r="D1391" s="78" t="str">
        <f ca="1">IFERROR(__xludf.DUMMYFUNCTION("""COMPUTED_VALUE"""),"G")</f>
        <v>G</v>
      </c>
      <c r="E1391" s="80" t="str">
        <f ca="1">IFERROR(__xludf.DUMMYFUNCTION("""COMPUTED_VALUE"""),"F")</f>
        <v>F</v>
      </c>
      <c r="F1391" s="80" t="str">
        <f ca="1">IFERROR(__xludf.DUMMYFUNCTION("""COMPUTED_VALUE"""),"J")</f>
        <v>J</v>
      </c>
      <c r="G1391" s="80">
        <f ca="1">IFERROR(__xludf.DUMMYFUNCTION("""COMPUTED_VALUE"""),1)</f>
        <v>1</v>
      </c>
      <c r="H1391" s="80" t="str">
        <f ca="1">IFERROR(__xludf.DUMMYFUNCTION("""COMPUTED_VALUE"""),"O")</f>
        <v>O</v>
      </c>
      <c r="I1391" s="80">
        <f ca="1">IFERROR(__xludf.DUMMYFUNCTION("""COMPUTED_VALUE"""),2)</f>
        <v>2</v>
      </c>
      <c r="J1391" s="81">
        <f ca="1">IFERROR(__xludf.DUMMYFUNCTION("""COMPUTED_VALUE"""),0)</f>
        <v>0</v>
      </c>
      <c r="K1391" s="81">
        <f ca="1">IFERROR(__xludf.DUMMYFUNCTION("""COMPUTED_VALUE"""),0)</f>
        <v>0</v>
      </c>
      <c r="L1391" s="81">
        <f ca="1">IFERROR(__xludf.DUMMYFUNCTION("""COMPUTED_VALUE"""),0)</f>
        <v>0</v>
      </c>
      <c r="M1391" s="81"/>
      <c r="N1391" s="81">
        <f ca="1">IFERROR(__xludf.DUMMYFUNCTION("""COMPUTED_VALUE"""),0)</f>
        <v>0</v>
      </c>
      <c r="O1391" s="81"/>
      <c r="P1391" s="81">
        <f ca="1">IFERROR(__xludf.DUMMYFUNCTION("""COMPUTED_VALUE"""),0)</f>
        <v>0</v>
      </c>
      <c r="Q1391" s="81"/>
      <c r="R1391" s="81">
        <f ca="1">IFERROR(__xludf.DUMMYFUNCTION("""COMPUTED_VALUE"""),0)</f>
        <v>0</v>
      </c>
      <c r="S1391" s="81"/>
      <c r="T1391" s="81"/>
      <c r="U1391" s="82"/>
      <c r="V1391" s="82"/>
      <c r="W1391" s="83"/>
      <c r="X1391" s="83"/>
      <c r="Y1391" s="83"/>
    </row>
    <row r="1392" spans="1:25" ht="13.8">
      <c r="A1392" s="78" t="str">
        <f ca="1">IFERROR(__xludf.DUMMYFUNCTION("""COMPUTED_VALUE"""),"O")</f>
        <v>O</v>
      </c>
      <c r="B1392" s="79" t="str">
        <f ca="1">IFERROR(__xludf.DUMMYFUNCTION("""COMPUTED_VALUE"""),"Madeline Egge")</f>
        <v>Madeline Egge</v>
      </c>
      <c r="C1392" s="78">
        <f ca="1">IFERROR(__xludf.DUMMYFUNCTION("""COMPUTED_VALUE"""),10)</f>
        <v>10</v>
      </c>
      <c r="D1392" s="78" t="str">
        <f ca="1">IFERROR(__xludf.DUMMYFUNCTION("""COMPUTED_VALUE"""),"G")</f>
        <v>G</v>
      </c>
      <c r="E1392" s="80" t="str">
        <f ca="1">IFERROR(__xludf.DUMMYFUNCTION("""COMPUTED_VALUE"""),"F")</f>
        <v>F</v>
      </c>
      <c r="F1392" s="80" t="str">
        <f ca="1">IFERROR(__xludf.DUMMYFUNCTION("""COMPUTED_VALUE"""),"J")</f>
        <v>J</v>
      </c>
      <c r="G1392" s="80">
        <f ca="1">IFERROR(__xludf.DUMMYFUNCTION("""COMPUTED_VALUE"""),1)</f>
        <v>1</v>
      </c>
      <c r="H1392" s="80" t="str">
        <f ca="1">IFERROR(__xludf.DUMMYFUNCTION("""COMPUTED_VALUE"""),"O")</f>
        <v>O</v>
      </c>
      <c r="I1392" s="80">
        <f ca="1">IFERROR(__xludf.DUMMYFUNCTION("""COMPUTED_VALUE"""),2)</f>
        <v>2</v>
      </c>
      <c r="J1392" s="81">
        <f ca="1">IFERROR(__xludf.DUMMYFUNCTION("""COMPUTED_VALUE"""),0)</f>
        <v>0</v>
      </c>
      <c r="K1392" s="81">
        <f ca="1">IFERROR(__xludf.DUMMYFUNCTION("""COMPUTED_VALUE"""),0)</f>
        <v>0</v>
      </c>
      <c r="L1392" s="81">
        <f ca="1">IFERROR(__xludf.DUMMYFUNCTION("""COMPUTED_VALUE"""),0)</f>
        <v>0</v>
      </c>
      <c r="M1392" s="81"/>
      <c r="N1392" s="81">
        <f ca="1">IFERROR(__xludf.DUMMYFUNCTION("""COMPUTED_VALUE"""),0)</f>
        <v>0</v>
      </c>
      <c r="O1392" s="81"/>
      <c r="P1392" s="81">
        <f ca="1">IFERROR(__xludf.DUMMYFUNCTION("""COMPUTED_VALUE"""),0)</f>
        <v>0</v>
      </c>
      <c r="Q1392" s="81"/>
      <c r="R1392" s="81">
        <f ca="1">IFERROR(__xludf.DUMMYFUNCTION("""COMPUTED_VALUE"""),0)</f>
        <v>0</v>
      </c>
      <c r="S1392" s="81"/>
      <c r="T1392" s="81"/>
      <c r="U1392" s="82"/>
      <c r="V1392" s="82"/>
      <c r="W1392" s="83"/>
      <c r="X1392" s="83"/>
      <c r="Y1392" s="83"/>
    </row>
    <row r="1393" spans="1:25" ht="13.8">
      <c r="A1393" s="78" t="str">
        <f ca="1">IFERROR(__xludf.DUMMYFUNCTION("""COMPUTED_VALUE"""),"O")</f>
        <v>O</v>
      </c>
      <c r="B1393" s="79" t="str">
        <f ca="1">IFERROR(__xludf.DUMMYFUNCTION("""COMPUTED_VALUE"""),"Addison Gaylor")</f>
        <v>Addison Gaylor</v>
      </c>
      <c r="C1393" s="78">
        <f ca="1">IFERROR(__xludf.DUMMYFUNCTION("""COMPUTED_VALUE"""),7)</f>
        <v>7</v>
      </c>
      <c r="D1393" s="78" t="str">
        <f ca="1">IFERROR(__xludf.DUMMYFUNCTION("""COMPUTED_VALUE"""),"G")</f>
        <v>G</v>
      </c>
      <c r="E1393" s="80" t="str">
        <f ca="1">IFERROR(__xludf.DUMMYFUNCTION("""COMPUTED_VALUE"""),"F")</f>
        <v>F</v>
      </c>
      <c r="F1393" s="80" t="str">
        <f ca="1">IFERROR(__xludf.DUMMYFUNCTION("""COMPUTED_VALUE"""),"J")</f>
        <v>J</v>
      </c>
      <c r="G1393" s="80">
        <f ca="1">IFERROR(__xludf.DUMMYFUNCTION("""COMPUTED_VALUE"""),1)</f>
        <v>1</v>
      </c>
      <c r="H1393" s="80" t="str">
        <f ca="1">IFERROR(__xludf.DUMMYFUNCTION("""COMPUTED_VALUE"""),"O")</f>
        <v>O</v>
      </c>
      <c r="I1393" s="80">
        <f ca="1">IFERROR(__xludf.DUMMYFUNCTION("""COMPUTED_VALUE"""),2)</f>
        <v>2</v>
      </c>
      <c r="J1393" s="81">
        <f ca="1">IFERROR(__xludf.DUMMYFUNCTION("""COMPUTED_VALUE"""),0)</f>
        <v>0</v>
      </c>
      <c r="K1393" s="81">
        <f ca="1">IFERROR(__xludf.DUMMYFUNCTION("""COMPUTED_VALUE"""),0)</f>
        <v>0</v>
      </c>
      <c r="L1393" s="81">
        <f ca="1">IFERROR(__xludf.DUMMYFUNCTION("""COMPUTED_VALUE"""),0)</f>
        <v>0</v>
      </c>
      <c r="M1393" s="81"/>
      <c r="N1393" s="81">
        <f ca="1">IFERROR(__xludf.DUMMYFUNCTION("""COMPUTED_VALUE"""),0)</f>
        <v>0</v>
      </c>
      <c r="O1393" s="81"/>
      <c r="P1393" s="81">
        <f ca="1">IFERROR(__xludf.DUMMYFUNCTION("""COMPUTED_VALUE"""),0)</f>
        <v>0</v>
      </c>
      <c r="Q1393" s="81"/>
      <c r="R1393" s="81">
        <f ca="1">IFERROR(__xludf.DUMMYFUNCTION("""COMPUTED_VALUE"""),0)</f>
        <v>0</v>
      </c>
      <c r="S1393" s="81"/>
      <c r="T1393" s="81"/>
      <c r="U1393" s="82"/>
      <c r="V1393" s="82"/>
      <c r="W1393" s="83"/>
      <c r="X1393" s="83"/>
      <c r="Y1393" s="83"/>
    </row>
    <row r="1394" spans="1:25" ht="13.8">
      <c r="A1394" s="78" t="str">
        <f ca="1">IFERROR(__xludf.DUMMYFUNCTION("""COMPUTED_VALUE"""),"O")</f>
        <v>O</v>
      </c>
      <c r="B1394" s="79" t="str">
        <f ca="1">IFERROR(__xludf.DUMMYFUNCTION("""COMPUTED_VALUE"""),"Samantha Hobbs")</f>
        <v>Samantha Hobbs</v>
      </c>
      <c r="C1394" s="78">
        <f ca="1">IFERROR(__xludf.DUMMYFUNCTION("""COMPUTED_VALUE"""),10)</f>
        <v>10</v>
      </c>
      <c r="D1394" s="78" t="str">
        <f ca="1">IFERROR(__xludf.DUMMYFUNCTION("""COMPUTED_VALUE"""),"G")</f>
        <v>G</v>
      </c>
      <c r="E1394" s="80" t="str">
        <f ca="1">IFERROR(__xludf.DUMMYFUNCTION("""COMPUTED_VALUE"""),"F")</f>
        <v>F</v>
      </c>
      <c r="F1394" s="80" t="str">
        <f ca="1">IFERROR(__xludf.DUMMYFUNCTION("""COMPUTED_VALUE"""),"J")</f>
        <v>J</v>
      </c>
      <c r="G1394" s="80">
        <f ca="1">IFERROR(__xludf.DUMMYFUNCTION("""COMPUTED_VALUE"""),1)</f>
        <v>1</v>
      </c>
      <c r="H1394" s="80" t="str">
        <f ca="1">IFERROR(__xludf.DUMMYFUNCTION("""COMPUTED_VALUE"""),"O")</f>
        <v>O</v>
      </c>
      <c r="I1394" s="80">
        <f ca="1">IFERROR(__xludf.DUMMYFUNCTION("""COMPUTED_VALUE"""),2)</f>
        <v>2</v>
      </c>
      <c r="J1394" s="81">
        <f ca="1">IFERROR(__xludf.DUMMYFUNCTION("""COMPUTED_VALUE"""),0)</f>
        <v>0</v>
      </c>
      <c r="K1394" s="81">
        <f ca="1">IFERROR(__xludf.DUMMYFUNCTION("""COMPUTED_VALUE"""),0)</f>
        <v>0</v>
      </c>
      <c r="L1394" s="81">
        <f ca="1">IFERROR(__xludf.DUMMYFUNCTION("""COMPUTED_VALUE"""),0)</f>
        <v>0</v>
      </c>
      <c r="M1394" s="81"/>
      <c r="N1394" s="81">
        <f ca="1">IFERROR(__xludf.DUMMYFUNCTION("""COMPUTED_VALUE"""),0)</f>
        <v>0</v>
      </c>
      <c r="O1394" s="81"/>
      <c r="P1394" s="81">
        <f ca="1">IFERROR(__xludf.DUMMYFUNCTION("""COMPUTED_VALUE"""),0)</f>
        <v>0</v>
      </c>
      <c r="Q1394" s="81"/>
      <c r="R1394" s="81">
        <f ca="1">IFERROR(__xludf.DUMMYFUNCTION("""COMPUTED_VALUE"""),0)</f>
        <v>0</v>
      </c>
      <c r="S1394" s="81"/>
      <c r="T1394" s="81"/>
      <c r="U1394" s="82"/>
      <c r="V1394" s="82"/>
      <c r="W1394" s="83"/>
      <c r="X1394" s="83"/>
      <c r="Y1394" s="83"/>
    </row>
    <row r="1395" spans="1:25" ht="13.8">
      <c r="A1395" s="78" t="str">
        <f ca="1">IFERROR(__xludf.DUMMYFUNCTION("""COMPUTED_VALUE"""),"O")</f>
        <v>O</v>
      </c>
      <c r="B1395" s="79" t="str">
        <f ca="1">IFERROR(__xludf.DUMMYFUNCTION("""COMPUTED_VALUE"""),"Sydney Lee")</f>
        <v>Sydney Lee</v>
      </c>
      <c r="C1395" s="78">
        <f ca="1">IFERROR(__xludf.DUMMYFUNCTION("""COMPUTED_VALUE"""),10)</f>
        <v>10</v>
      </c>
      <c r="D1395" s="78" t="str">
        <f ca="1">IFERROR(__xludf.DUMMYFUNCTION("""COMPUTED_VALUE"""),"G")</f>
        <v>G</v>
      </c>
      <c r="E1395" s="80" t="str">
        <f ca="1">IFERROR(__xludf.DUMMYFUNCTION("""COMPUTED_VALUE"""),"F")</f>
        <v>F</v>
      </c>
      <c r="F1395" s="80" t="str">
        <f ca="1">IFERROR(__xludf.DUMMYFUNCTION("""COMPUTED_VALUE"""),"J")</f>
        <v>J</v>
      </c>
      <c r="G1395" s="80">
        <f ca="1">IFERROR(__xludf.DUMMYFUNCTION("""COMPUTED_VALUE"""),1)</f>
        <v>1</v>
      </c>
      <c r="H1395" s="80" t="str">
        <f ca="1">IFERROR(__xludf.DUMMYFUNCTION("""COMPUTED_VALUE"""),"O")</f>
        <v>O</v>
      </c>
      <c r="I1395" s="80">
        <f ca="1">IFERROR(__xludf.DUMMYFUNCTION("""COMPUTED_VALUE"""),2)</f>
        <v>2</v>
      </c>
      <c r="J1395" s="81">
        <f ca="1">IFERROR(__xludf.DUMMYFUNCTION("""COMPUTED_VALUE"""),0)</f>
        <v>0</v>
      </c>
      <c r="K1395" s="81">
        <f ca="1">IFERROR(__xludf.DUMMYFUNCTION("""COMPUTED_VALUE"""),0)</f>
        <v>0</v>
      </c>
      <c r="L1395" s="81">
        <f ca="1">IFERROR(__xludf.DUMMYFUNCTION("""COMPUTED_VALUE"""),0)</f>
        <v>0</v>
      </c>
      <c r="M1395" s="81"/>
      <c r="N1395" s="81">
        <f ca="1">IFERROR(__xludf.DUMMYFUNCTION("""COMPUTED_VALUE"""),0)</f>
        <v>0</v>
      </c>
      <c r="O1395" s="81"/>
      <c r="P1395" s="81">
        <f ca="1">IFERROR(__xludf.DUMMYFUNCTION("""COMPUTED_VALUE"""),0)</f>
        <v>0</v>
      </c>
      <c r="Q1395" s="81"/>
      <c r="R1395" s="81">
        <f ca="1">IFERROR(__xludf.DUMMYFUNCTION("""COMPUTED_VALUE"""),0)</f>
        <v>0</v>
      </c>
      <c r="S1395" s="81"/>
      <c r="T1395" s="81"/>
      <c r="U1395" s="82"/>
      <c r="V1395" s="82"/>
      <c r="W1395" s="83"/>
      <c r="X1395" s="83"/>
      <c r="Y1395" s="83"/>
    </row>
    <row r="1396" spans="1:25" ht="13.8">
      <c r="A1396" s="78" t="str">
        <f ca="1">IFERROR(__xludf.DUMMYFUNCTION("""COMPUTED_VALUE"""),"O")</f>
        <v>O</v>
      </c>
      <c r="B1396" s="79" t="str">
        <f ca="1">IFERROR(__xludf.DUMMYFUNCTION("""COMPUTED_VALUE"""),"Josephine Malko")</f>
        <v>Josephine Malko</v>
      </c>
      <c r="C1396" s="78">
        <f ca="1">IFERROR(__xludf.DUMMYFUNCTION("""COMPUTED_VALUE"""),10)</f>
        <v>10</v>
      </c>
      <c r="D1396" s="78" t="str">
        <f ca="1">IFERROR(__xludf.DUMMYFUNCTION("""COMPUTED_VALUE"""),"G")</f>
        <v>G</v>
      </c>
      <c r="E1396" s="80" t="str">
        <f ca="1">IFERROR(__xludf.DUMMYFUNCTION("""COMPUTED_VALUE"""),"F")</f>
        <v>F</v>
      </c>
      <c r="F1396" s="80" t="str">
        <f ca="1">IFERROR(__xludf.DUMMYFUNCTION("""COMPUTED_VALUE"""),"J")</f>
        <v>J</v>
      </c>
      <c r="G1396" s="80">
        <f ca="1">IFERROR(__xludf.DUMMYFUNCTION("""COMPUTED_VALUE"""),1)</f>
        <v>1</v>
      </c>
      <c r="H1396" s="80" t="str">
        <f ca="1">IFERROR(__xludf.DUMMYFUNCTION("""COMPUTED_VALUE"""),"O")</f>
        <v>O</v>
      </c>
      <c r="I1396" s="80">
        <f ca="1">IFERROR(__xludf.DUMMYFUNCTION("""COMPUTED_VALUE"""),2)</f>
        <v>2</v>
      </c>
      <c r="J1396" s="81">
        <f ca="1">IFERROR(__xludf.DUMMYFUNCTION("""COMPUTED_VALUE"""),3)</f>
        <v>3</v>
      </c>
      <c r="K1396" s="81">
        <f ca="1">IFERROR(__xludf.DUMMYFUNCTION("""COMPUTED_VALUE"""),47.6)</f>
        <v>47.6</v>
      </c>
      <c r="L1396" s="81">
        <f ca="1">IFERROR(__xludf.DUMMYFUNCTION("""COMPUTED_VALUE"""),0)</f>
        <v>0</v>
      </c>
      <c r="M1396" s="81"/>
      <c r="N1396" s="81">
        <f ca="1">IFERROR(__xludf.DUMMYFUNCTION("""COMPUTED_VALUE"""),0)</f>
        <v>0</v>
      </c>
      <c r="O1396" s="81"/>
      <c r="P1396" s="81">
        <f ca="1">IFERROR(__xludf.DUMMYFUNCTION("""COMPUTED_VALUE"""),47.6)</f>
        <v>47.6</v>
      </c>
      <c r="Q1396" s="81"/>
      <c r="R1396" s="81">
        <f ca="1">IFERROR(__xludf.DUMMYFUNCTION("""COMPUTED_VALUE"""),45.4)</f>
        <v>45.4</v>
      </c>
      <c r="S1396" s="81"/>
      <c r="T1396" s="81"/>
      <c r="U1396" s="82"/>
      <c r="V1396" s="82"/>
      <c r="W1396" s="83"/>
      <c r="X1396" s="83"/>
      <c r="Y1396" s="83"/>
    </row>
    <row r="1397" spans="1:25" ht="13.8">
      <c r="A1397" s="78" t="str">
        <f ca="1">IFERROR(__xludf.DUMMYFUNCTION("""COMPUTED_VALUE"""),"O")</f>
        <v>O</v>
      </c>
      <c r="B1397" s="79" t="str">
        <f ca="1">IFERROR(__xludf.DUMMYFUNCTION("""COMPUTED_VALUE"""),"Perrin Malko")</f>
        <v>Perrin Malko</v>
      </c>
      <c r="C1397" s="78">
        <f ca="1">IFERROR(__xludf.DUMMYFUNCTION("""COMPUTED_VALUE"""),7)</f>
        <v>7</v>
      </c>
      <c r="D1397" s="78" t="str">
        <f ca="1">IFERROR(__xludf.DUMMYFUNCTION("""COMPUTED_VALUE"""),"G")</f>
        <v>G</v>
      </c>
      <c r="E1397" s="80" t="str">
        <f ca="1">IFERROR(__xludf.DUMMYFUNCTION("""COMPUTED_VALUE"""),"F")</f>
        <v>F</v>
      </c>
      <c r="F1397" s="80" t="str">
        <f ca="1">IFERROR(__xludf.DUMMYFUNCTION("""COMPUTED_VALUE"""),"J")</f>
        <v>J</v>
      </c>
      <c r="G1397" s="80">
        <f ca="1">IFERROR(__xludf.DUMMYFUNCTION("""COMPUTED_VALUE"""),1)</f>
        <v>1</v>
      </c>
      <c r="H1397" s="80" t="str">
        <f ca="1">IFERROR(__xludf.DUMMYFUNCTION("""COMPUTED_VALUE"""),"O")</f>
        <v>O</v>
      </c>
      <c r="I1397" s="80">
        <f ca="1">IFERROR(__xludf.DUMMYFUNCTION("""COMPUTED_VALUE"""),2)</f>
        <v>2</v>
      </c>
      <c r="J1397" s="81">
        <f ca="1">IFERROR(__xludf.DUMMYFUNCTION("""COMPUTED_VALUE"""),0)</f>
        <v>0</v>
      </c>
      <c r="K1397" s="81">
        <f ca="1">IFERROR(__xludf.DUMMYFUNCTION("""COMPUTED_VALUE"""),0)</f>
        <v>0</v>
      </c>
      <c r="L1397" s="81">
        <f ca="1">IFERROR(__xludf.DUMMYFUNCTION("""COMPUTED_VALUE"""),0)</f>
        <v>0</v>
      </c>
      <c r="M1397" s="81"/>
      <c r="N1397" s="81">
        <f ca="1">IFERROR(__xludf.DUMMYFUNCTION("""COMPUTED_VALUE"""),0)</f>
        <v>0</v>
      </c>
      <c r="O1397" s="81"/>
      <c r="P1397" s="81">
        <f ca="1">IFERROR(__xludf.DUMMYFUNCTION("""COMPUTED_VALUE"""),0)</f>
        <v>0</v>
      </c>
      <c r="Q1397" s="81"/>
      <c r="R1397" s="81">
        <f ca="1">IFERROR(__xludf.DUMMYFUNCTION("""COMPUTED_VALUE"""),0)</f>
        <v>0</v>
      </c>
      <c r="S1397" s="81"/>
      <c r="T1397" s="81"/>
      <c r="U1397" s="82"/>
      <c r="V1397" s="82"/>
      <c r="W1397" s="83"/>
      <c r="X1397" s="83"/>
      <c r="Y1397" s="83"/>
    </row>
    <row r="1398" spans="1:25" ht="13.8">
      <c r="A1398" s="78" t="str">
        <f ca="1">IFERROR(__xludf.DUMMYFUNCTION("""COMPUTED_VALUE"""),"O")</f>
        <v>O</v>
      </c>
      <c r="B1398" s="79" t="str">
        <f ca="1">IFERROR(__xludf.DUMMYFUNCTION("""COMPUTED_VALUE"""),"Kenly McAllister")</f>
        <v>Kenly McAllister</v>
      </c>
      <c r="C1398" s="78">
        <f ca="1">IFERROR(__xludf.DUMMYFUNCTION("""COMPUTED_VALUE"""),9)</f>
        <v>9</v>
      </c>
      <c r="D1398" s="78" t="str">
        <f ca="1">IFERROR(__xludf.DUMMYFUNCTION("""COMPUTED_VALUE"""),"G")</f>
        <v>G</v>
      </c>
      <c r="E1398" s="80" t="str">
        <f ca="1">IFERROR(__xludf.DUMMYFUNCTION("""COMPUTED_VALUE"""),"F")</f>
        <v>F</v>
      </c>
      <c r="F1398" s="80" t="str">
        <f ca="1">IFERROR(__xludf.DUMMYFUNCTION("""COMPUTED_VALUE"""),"J")</f>
        <v>J</v>
      </c>
      <c r="G1398" s="80">
        <f ca="1">IFERROR(__xludf.DUMMYFUNCTION("""COMPUTED_VALUE"""),1)</f>
        <v>1</v>
      </c>
      <c r="H1398" s="80" t="str">
        <f ca="1">IFERROR(__xludf.DUMMYFUNCTION("""COMPUTED_VALUE"""),"O")</f>
        <v>O</v>
      </c>
      <c r="I1398" s="80">
        <f ca="1">IFERROR(__xludf.DUMMYFUNCTION("""COMPUTED_VALUE"""),2)</f>
        <v>2</v>
      </c>
      <c r="J1398" s="81">
        <f ca="1">IFERROR(__xludf.DUMMYFUNCTION("""COMPUTED_VALUE"""),3)</f>
        <v>3</v>
      </c>
      <c r="K1398" s="81">
        <f ca="1">IFERROR(__xludf.DUMMYFUNCTION("""COMPUTED_VALUE"""),51.1)</f>
        <v>51.1</v>
      </c>
      <c r="L1398" s="81">
        <f ca="1">IFERROR(__xludf.DUMMYFUNCTION("""COMPUTED_VALUE"""),0)</f>
        <v>0</v>
      </c>
      <c r="M1398" s="81"/>
      <c r="N1398" s="81">
        <f ca="1">IFERROR(__xludf.DUMMYFUNCTION("""COMPUTED_VALUE"""),0)</f>
        <v>0</v>
      </c>
      <c r="O1398" s="81"/>
      <c r="P1398" s="81">
        <f ca="1">IFERROR(__xludf.DUMMYFUNCTION("""COMPUTED_VALUE"""),43.7)</f>
        <v>43.7</v>
      </c>
      <c r="Q1398" s="81"/>
      <c r="R1398" s="81">
        <f ca="1">IFERROR(__xludf.DUMMYFUNCTION("""COMPUTED_VALUE"""),51.1)</f>
        <v>51.1</v>
      </c>
      <c r="S1398" s="81"/>
      <c r="T1398" s="81"/>
      <c r="U1398" s="82"/>
      <c r="V1398" s="82"/>
      <c r="W1398" s="83"/>
      <c r="X1398" s="83"/>
      <c r="Y1398" s="83"/>
    </row>
    <row r="1399" spans="1:25" ht="13.8">
      <c r="A1399" s="78" t="str">
        <f ca="1">IFERROR(__xludf.DUMMYFUNCTION("""COMPUTED_VALUE"""),"O")</f>
        <v>O</v>
      </c>
      <c r="B1399" s="79" t="str">
        <f ca="1">IFERROR(__xludf.DUMMYFUNCTION("""COMPUTED_VALUE"""),"Riley Mills")</f>
        <v>Riley Mills</v>
      </c>
      <c r="C1399" s="78">
        <f ca="1">IFERROR(__xludf.DUMMYFUNCTION("""COMPUTED_VALUE"""),9)</f>
        <v>9</v>
      </c>
      <c r="D1399" s="78" t="str">
        <f ca="1">IFERROR(__xludf.DUMMYFUNCTION("""COMPUTED_VALUE"""),"G")</f>
        <v>G</v>
      </c>
      <c r="E1399" s="80" t="str">
        <f ca="1">IFERROR(__xludf.DUMMYFUNCTION("""COMPUTED_VALUE"""),"F")</f>
        <v>F</v>
      </c>
      <c r="F1399" s="80" t="str">
        <f ca="1">IFERROR(__xludf.DUMMYFUNCTION("""COMPUTED_VALUE"""),"J")</f>
        <v>J</v>
      </c>
      <c r="G1399" s="80">
        <f ca="1">IFERROR(__xludf.DUMMYFUNCTION("""COMPUTED_VALUE"""),1)</f>
        <v>1</v>
      </c>
      <c r="H1399" s="80" t="str">
        <f ca="1">IFERROR(__xludf.DUMMYFUNCTION("""COMPUTED_VALUE"""),"O")</f>
        <v>O</v>
      </c>
      <c r="I1399" s="80">
        <f ca="1">IFERROR(__xludf.DUMMYFUNCTION("""COMPUTED_VALUE"""),2)</f>
        <v>2</v>
      </c>
      <c r="J1399" s="81">
        <f ca="1">IFERROR(__xludf.DUMMYFUNCTION("""COMPUTED_VALUE"""),0)</f>
        <v>0</v>
      </c>
      <c r="K1399" s="81">
        <f ca="1">IFERROR(__xludf.DUMMYFUNCTION("""COMPUTED_VALUE"""),0)</f>
        <v>0</v>
      </c>
      <c r="L1399" s="81">
        <f ca="1">IFERROR(__xludf.DUMMYFUNCTION("""COMPUTED_VALUE"""),0)</f>
        <v>0</v>
      </c>
      <c r="M1399" s="81"/>
      <c r="N1399" s="81">
        <f ca="1">IFERROR(__xludf.DUMMYFUNCTION("""COMPUTED_VALUE"""),0)</f>
        <v>0</v>
      </c>
      <c r="O1399" s="81"/>
      <c r="P1399" s="81">
        <f ca="1">IFERROR(__xludf.DUMMYFUNCTION("""COMPUTED_VALUE"""),0)</f>
        <v>0</v>
      </c>
      <c r="Q1399" s="81"/>
      <c r="R1399" s="81">
        <f ca="1">IFERROR(__xludf.DUMMYFUNCTION("""COMPUTED_VALUE"""),0)</f>
        <v>0</v>
      </c>
      <c r="S1399" s="81"/>
      <c r="T1399" s="81"/>
      <c r="U1399" s="82"/>
      <c r="V1399" s="82"/>
      <c r="W1399" s="83"/>
      <c r="X1399" s="83"/>
      <c r="Y1399" s="83"/>
    </row>
    <row r="1400" spans="1:25" ht="13.8">
      <c r="A1400" s="78" t="str">
        <f ca="1">IFERROR(__xludf.DUMMYFUNCTION("""COMPUTED_VALUE"""),"O")</f>
        <v>O</v>
      </c>
      <c r="B1400" s="79" t="str">
        <f ca="1">IFERROR(__xludf.DUMMYFUNCTION("""COMPUTED_VALUE"""),"Erin Parks")</f>
        <v>Erin Parks</v>
      </c>
      <c r="C1400" s="78">
        <f ca="1">IFERROR(__xludf.DUMMYFUNCTION("""COMPUTED_VALUE"""),8)</f>
        <v>8</v>
      </c>
      <c r="D1400" s="78" t="str">
        <f ca="1">IFERROR(__xludf.DUMMYFUNCTION("""COMPUTED_VALUE"""),"G")</f>
        <v>G</v>
      </c>
      <c r="E1400" s="80" t="str">
        <f ca="1">IFERROR(__xludf.DUMMYFUNCTION("""COMPUTED_VALUE"""),"F")</f>
        <v>F</v>
      </c>
      <c r="F1400" s="80" t="str">
        <f ca="1">IFERROR(__xludf.DUMMYFUNCTION("""COMPUTED_VALUE"""),"J")</f>
        <v>J</v>
      </c>
      <c r="G1400" s="80">
        <f ca="1">IFERROR(__xludf.DUMMYFUNCTION("""COMPUTED_VALUE"""),1)</f>
        <v>1</v>
      </c>
      <c r="H1400" s="80" t="str">
        <f ca="1">IFERROR(__xludf.DUMMYFUNCTION("""COMPUTED_VALUE"""),"O")</f>
        <v>O</v>
      </c>
      <c r="I1400" s="80">
        <f ca="1">IFERROR(__xludf.DUMMYFUNCTION("""COMPUTED_VALUE"""),2)</f>
        <v>2</v>
      </c>
      <c r="J1400" s="81">
        <f ca="1">IFERROR(__xludf.DUMMYFUNCTION("""COMPUTED_VALUE"""),0)</f>
        <v>0</v>
      </c>
      <c r="K1400" s="81">
        <f ca="1">IFERROR(__xludf.DUMMYFUNCTION("""COMPUTED_VALUE"""),0)</f>
        <v>0</v>
      </c>
      <c r="L1400" s="81">
        <f ca="1">IFERROR(__xludf.DUMMYFUNCTION("""COMPUTED_VALUE"""),0)</f>
        <v>0</v>
      </c>
      <c r="M1400" s="81"/>
      <c r="N1400" s="81">
        <f ca="1">IFERROR(__xludf.DUMMYFUNCTION("""COMPUTED_VALUE"""),0)</f>
        <v>0</v>
      </c>
      <c r="O1400" s="81"/>
      <c r="P1400" s="81">
        <f ca="1">IFERROR(__xludf.DUMMYFUNCTION("""COMPUTED_VALUE"""),0)</f>
        <v>0</v>
      </c>
      <c r="Q1400" s="81"/>
      <c r="R1400" s="81">
        <f ca="1">IFERROR(__xludf.DUMMYFUNCTION("""COMPUTED_VALUE"""),0)</f>
        <v>0</v>
      </c>
      <c r="S1400" s="81"/>
      <c r="T1400" s="81"/>
      <c r="U1400" s="82"/>
      <c r="V1400" s="82"/>
      <c r="W1400" s="83"/>
      <c r="X1400" s="83"/>
      <c r="Y1400" s="83"/>
    </row>
    <row r="1401" spans="1:25" ht="13.8">
      <c r="A1401" s="78" t="str">
        <f ca="1">IFERROR(__xludf.DUMMYFUNCTION("""COMPUTED_VALUE"""),"O")</f>
        <v>O</v>
      </c>
      <c r="B1401" s="79" t="str">
        <f ca="1">IFERROR(__xludf.DUMMYFUNCTION("""COMPUTED_VALUE"""),"Rebecca Pyser")</f>
        <v>Rebecca Pyser</v>
      </c>
      <c r="C1401" s="78">
        <f ca="1">IFERROR(__xludf.DUMMYFUNCTION("""COMPUTED_VALUE"""),8)</f>
        <v>8</v>
      </c>
      <c r="D1401" s="78" t="str">
        <f ca="1">IFERROR(__xludf.DUMMYFUNCTION("""COMPUTED_VALUE"""),"G")</f>
        <v>G</v>
      </c>
      <c r="E1401" s="80" t="str">
        <f ca="1">IFERROR(__xludf.DUMMYFUNCTION("""COMPUTED_VALUE"""),"F")</f>
        <v>F</v>
      </c>
      <c r="F1401" s="80" t="str">
        <f ca="1">IFERROR(__xludf.DUMMYFUNCTION("""COMPUTED_VALUE"""),"J")</f>
        <v>J</v>
      </c>
      <c r="G1401" s="80">
        <f ca="1">IFERROR(__xludf.DUMMYFUNCTION("""COMPUTED_VALUE"""),1)</f>
        <v>1</v>
      </c>
      <c r="H1401" s="80" t="str">
        <f ca="1">IFERROR(__xludf.DUMMYFUNCTION("""COMPUTED_VALUE"""),"O")</f>
        <v>O</v>
      </c>
      <c r="I1401" s="80">
        <f ca="1">IFERROR(__xludf.DUMMYFUNCTION("""COMPUTED_VALUE"""),2)</f>
        <v>2</v>
      </c>
      <c r="J1401" s="81">
        <f ca="1">IFERROR(__xludf.DUMMYFUNCTION("""COMPUTED_VALUE"""),0)</f>
        <v>0</v>
      </c>
      <c r="K1401" s="81">
        <f ca="1">IFERROR(__xludf.DUMMYFUNCTION("""COMPUTED_VALUE"""),0)</f>
        <v>0</v>
      </c>
      <c r="L1401" s="81">
        <f ca="1">IFERROR(__xludf.DUMMYFUNCTION("""COMPUTED_VALUE"""),0)</f>
        <v>0</v>
      </c>
      <c r="M1401" s="81"/>
      <c r="N1401" s="81">
        <f ca="1">IFERROR(__xludf.DUMMYFUNCTION("""COMPUTED_VALUE"""),0)</f>
        <v>0</v>
      </c>
      <c r="O1401" s="81"/>
      <c r="P1401" s="81">
        <f ca="1">IFERROR(__xludf.DUMMYFUNCTION("""COMPUTED_VALUE"""),0)</f>
        <v>0</v>
      </c>
      <c r="Q1401" s="81"/>
      <c r="R1401" s="81">
        <f ca="1">IFERROR(__xludf.DUMMYFUNCTION("""COMPUTED_VALUE"""),0)</f>
        <v>0</v>
      </c>
      <c r="S1401" s="81"/>
      <c r="T1401" s="81"/>
      <c r="U1401" s="82"/>
      <c r="V1401" s="82"/>
      <c r="W1401" s="83"/>
      <c r="X1401" s="83"/>
      <c r="Y1401" s="83"/>
    </row>
    <row r="1402" spans="1:25" ht="13.8">
      <c r="A1402" s="78" t="str">
        <f ca="1">IFERROR(__xludf.DUMMYFUNCTION("""COMPUTED_VALUE"""),"O")</f>
        <v>O</v>
      </c>
      <c r="B1402" s="79" t="str">
        <f ca="1">IFERROR(__xludf.DUMMYFUNCTION("""COMPUTED_VALUE"""),"Emeline Waltrup")</f>
        <v>Emeline Waltrup</v>
      </c>
      <c r="C1402" s="78">
        <f ca="1">IFERROR(__xludf.DUMMYFUNCTION("""COMPUTED_VALUE"""),8)</f>
        <v>8</v>
      </c>
      <c r="D1402" s="78" t="str">
        <f ca="1">IFERROR(__xludf.DUMMYFUNCTION("""COMPUTED_VALUE"""),"G")</f>
        <v>G</v>
      </c>
      <c r="E1402" s="80" t="str">
        <f ca="1">IFERROR(__xludf.DUMMYFUNCTION("""COMPUTED_VALUE"""),"F")</f>
        <v>F</v>
      </c>
      <c r="F1402" s="80" t="str">
        <f ca="1">IFERROR(__xludf.DUMMYFUNCTION("""COMPUTED_VALUE"""),"J")</f>
        <v>J</v>
      </c>
      <c r="G1402" s="80">
        <f ca="1">IFERROR(__xludf.DUMMYFUNCTION("""COMPUTED_VALUE"""),1)</f>
        <v>1</v>
      </c>
      <c r="H1402" s="80" t="str">
        <f ca="1">IFERROR(__xludf.DUMMYFUNCTION("""COMPUTED_VALUE"""),"O")</f>
        <v>O</v>
      </c>
      <c r="I1402" s="80">
        <f ca="1">IFERROR(__xludf.DUMMYFUNCTION("""COMPUTED_VALUE"""),2)</f>
        <v>2</v>
      </c>
      <c r="J1402" s="81">
        <f ca="1">IFERROR(__xludf.DUMMYFUNCTION("""COMPUTED_VALUE"""),0)</f>
        <v>0</v>
      </c>
      <c r="K1402" s="81">
        <f ca="1">IFERROR(__xludf.DUMMYFUNCTION("""COMPUTED_VALUE"""),0)</f>
        <v>0</v>
      </c>
      <c r="L1402" s="81">
        <f ca="1">IFERROR(__xludf.DUMMYFUNCTION("""COMPUTED_VALUE"""),0)</f>
        <v>0</v>
      </c>
      <c r="M1402" s="81"/>
      <c r="N1402" s="81">
        <f ca="1">IFERROR(__xludf.DUMMYFUNCTION("""COMPUTED_VALUE"""),0)</f>
        <v>0</v>
      </c>
      <c r="O1402" s="81"/>
      <c r="P1402" s="81">
        <f ca="1">IFERROR(__xludf.DUMMYFUNCTION("""COMPUTED_VALUE"""),0)</f>
        <v>0</v>
      </c>
      <c r="Q1402" s="81"/>
      <c r="R1402" s="81">
        <f ca="1">IFERROR(__xludf.DUMMYFUNCTION("""COMPUTED_VALUE"""),0)</f>
        <v>0</v>
      </c>
      <c r="S1402" s="81"/>
      <c r="T1402" s="81"/>
      <c r="U1402" s="82"/>
      <c r="V1402" s="82"/>
      <c r="W1402" s="83"/>
      <c r="X1402" s="83"/>
      <c r="Y1402" s="83"/>
    </row>
    <row r="1403" spans="1:25" ht="13.8">
      <c r="A1403" s="78" t="str">
        <f ca="1">IFERROR(__xludf.DUMMYFUNCTION("""COMPUTED_VALUE"""),"O")</f>
        <v>O</v>
      </c>
      <c r="B1403" s="79" t="str">
        <f ca="1">IFERROR(__xludf.DUMMYFUNCTION("""COMPUTED_VALUE"""),"Eliza Woodward")</f>
        <v>Eliza Woodward</v>
      </c>
      <c r="C1403" s="78">
        <f ca="1">IFERROR(__xludf.DUMMYFUNCTION("""COMPUTED_VALUE"""),8)</f>
        <v>8</v>
      </c>
      <c r="D1403" s="78" t="str">
        <f ca="1">IFERROR(__xludf.DUMMYFUNCTION("""COMPUTED_VALUE"""),"G")</f>
        <v>G</v>
      </c>
      <c r="E1403" s="80" t="str">
        <f ca="1">IFERROR(__xludf.DUMMYFUNCTION("""COMPUTED_VALUE"""),"F")</f>
        <v>F</v>
      </c>
      <c r="F1403" s="80" t="str">
        <f ca="1">IFERROR(__xludf.DUMMYFUNCTION("""COMPUTED_VALUE"""),"J")</f>
        <v>J</v>
      </c>
      <c r="G1403" s="80">
        <f ca="1">IFERROR(__xludf.DUMMYFUNCTION("""COMPUTED_VALUE"""),1)</f>
        <v>1</v>
      </c>
      <c r="H1403" s="80" t="str">
        <f ca="1">IFERROR(__xludf.DUMMYFUNCTION("""COMPUTED_VALUE"""),"O")</f>
        <v>O</v>
      </c>
      <c r="I1403" s="80">
        <f ca="1">IFERROR(__xludf.DUMMYFUNCTION("""COMPUTED_VALUE"""),2)</f>
        <v>2</v>
      </c>
      <c r="J1403" s="81">
        <f ca="1">IFERROR(__xludf.DUMMYFUNCTION("""COMPUTED_VALUE"""),0)</f>
        <v>0</v>
      </c>
      <c r="K1403" s="81">
        <f ca="1">IFERROR(__xludf.DUMMYFUNCTION("""COMPUTED_VALUE"""),0)</f>
        <v>0</v>
      </c>
      <c r="L1403" s="81">
        <f ca="1">IFERROR(__xludf.DUMMYFUNCTION("""COMPUTED_VALUE"""),0)</f>
        <v>0</v>
      </c>
      <c r="M1403" s="81"/>
      <c r="N1403" s="81">
        <f ca="1">IFERROR(__xludf.DUMMYFUNCTION("""COMPUTED_VALUE"""),0)</f>
        <v>0</v>
      </c>
      <c r="O1403" s="81"/>
      <c r="P1403" s="81">
        <f ca="1">IFERROR(__xludf.DUMMYFUNCTION("""COMPUTED_VALUE"""),0)</f>
        <v>0</v>
      </c>
      <c r="Q1403" s="81"/>
      <c r="R1403" s="81">
        <f ca="1">IFERROR(__xludf.DUMMYFUNCTION("""COMPUTED_VALUE"""),0)</f>
        <v>0</v>
      </c>
      <c r="S1403" s="81"/>
      <c r="T1403" s="81"/>
      <c r="U1403" s="82"/>
      <c r="V1403" s="82"/>
      <c r="W1403" s="83"/>
      <c r="X1403" s="83"/>
      <c r="Y1403" s="83"/>
    </row>
    <row r="1404" spans="1:25" ht="13.8">
      <c r="A1404" s="78" t="str">
        <f ca="1">IFERROR(__xludf.DUMMYFUNCTION("""COMPUTED_VALUE"""),"O")</f>
        <v>O</v>
      </c>
      <c r="B1404" s="79" t="str">
        <f ca="1">IFERROR(__xludf.DUMMYFUNCTION("""COMPUTED_VALUE"""),"Cecilia Yen")</f>
        <v>Cecilia Yen</v>
      </c>
      <c r="C1404" s="78">
        <f ca="1">IFERROR(__xludf.DUMMYFUNCTION("""COMPUTED_VALUE"""),10)</f>
        <v>10</v>
      </c>
      <c r="D1404" s="78" t="str">
        <f ca="1">IFERROR(__xludf.DUMMYFUNCTION("""COMPUTED_VALUE"""),"G")</f>
        <v>G</v>
      </c>
      <c r="E1404" s="80" t="str">
        <f ca="1">IFERROR(__xludf.DUMMYFUNCTION("""COMPUTED_VALUE"""),"F")</f>
        <v>F</v>
      </c>
      <c r="F1404" s="80" t="str">
        <f ca="1">IFERROR(__xludf.DUMMYFUNCTION("""COMPUTED_VALUE"""),"J")</f>
        <v>J</v>
      </c>
      <c r="G1404" s="80">
        <f ca="1">IFERROR(__xludf.DUMMYFUNCTION("""COMPUTED_VALUE"""),1)</f>
        <v>1</v>
      </c>
      <c r="H1404" s="80" t="str">
        <f ca="1">IFERROR(__xludf.DUMMYFUNCTION("""COMPUTED_VALUE"""),"O")</f>
        <v>O</v>
      </c>
      <c r="I1404" s="80">
        <f ca="1">IFERROR(__xludf.DUMMYFUNCTION("""COMPUTED_VALUE"""),2)</f>
        <v>2</v>
      </c>
      <c r="J1404" s="81">
        <f ca="1">IFERROR(__xludf.DUMMYFUNCTION("""COMPUTED_VALUE"""),4)</f>
        <v>4</v>
      </c>
      <c r="K1404" s="81">
        <f ca="1">IFERROR(__xludf.DUMMYFUNCTION("""COMPUTED_VALUE"""),91.3)</f>
        <v>91.3</v>
      </c>
      <c r="L1404" s="81">
        <f ca="1">IFERROR(__xludf.DUMMYFUNCTION("""COMPUTED_VALUE"""),91.3)</f>
        <v>91.3</v>
      </c>
      <c r="M1404" s="81"/>
      <c r="N1404" s="81">
        <f ca="1">IFERROR(__xludf.DUMMYFUNCTION("""COMPUTED_VALUE"""),0)</f>
        <v>0</v>
      </c>
      <c r="O1404" s="81"/>
      <c r="P1404" s="81">
        <f ca="1">IFERROR(__xludf.DUMMYFUNCTION("""COMPUTED_VALUE"""),77.7)</f>
        <v>77.7</v>
      </c>
      <c r="Q1404" s="81"/>
      <c r="R1404" s="81">
        <f ca="1">IFERROR(__xludf.DUMMYFUNCTION("""COMPUTED_VALUE"""),88.4)</f>
        <v>88.4</v>
      </c>
      <c r="S1404" s="81"/>
      <c r="T1404" s="81"/>
      <c r="U1404" s="82"/>
      <c r="V1404" s="82"/>
      <c r="W1404" s="83"/>
      <c r="X1404" s="83"/>
      <c r="Y1404" s="83"/>
    </row>
    <row r="1405" spans="1:25" ht="13.8">
      <c r="A1405" s="78" t="str">
        <f ca="1">IFERROR(__xludf.DUMMYFUNCTION("""COMPUTED_VALUE"""),"O")</f>
        <v>O</v>
      </c>
      <c r="B1405" s="79" t="str">
        <f ca="1">IFERROR(__xludf.DUMMYFUNCTION("""COMPUTED_VALUE"""),"John Allard")</f>
        <v>John Allard</v>
      </c>
      <c r="C1405" s="78">
        <f ca="1">IFERROR(__xludf.DUMMYFUNCTION("""COMPUTED_VALUE"""),9)</f>
        <v>9</v>
      </c>
      <c r="D1405" s="78" t="str">
        <f ca="1">IFERROR(__xludf.DUMMYFUNCTION("""COMPUTED_VALUE"""),"B")</f>
        <v>B</v>
      </c>
      <c r="E1405" s="80" t="str">
        <f ca="1">IFERROR(__xludf.DUMMYFUNCTION("""COMPUTED_VALUE"""),"F")</f>
        <v>F</v>
      </c>
      <c r="F1405" s="80" t="str">
        <f ca="1">IFERROR(__xludf.DUMMYFUNCTION("""COMPUTED_VALUE"""),"J")</f>
        <v>J</v>
      </c>
      <c r="G1405" s="80">
        <f ca="1">IFERROR(__xludf.DUMMYFUNCTION("""COMPUTED_VALUE"""),1)</f>
        <v>1</v>
      </c>
      <c r="H1405" s="80" t="str">
        <f ca="1">IFERROR(__xludf.DUMMYFUNCTION("""COMPUTED_VALUE"""),"O")</f>
        <v>O</v>
      </c>
      <c r="I1405" s="80">
        <f ca="1">IFERROR(__xludf.DUMMYFUNCTION("""COMPUTED_VALUE"""),3)</f>
        <v>3</v>
      </c>
      <c r="J1405" s="81">
        <f ca="1">IFERROR(__xludf.DUMMYFUNCTION("""COMPUTED_VALUE"""),0)</f>
        <v>0</v>
      </c>
      <c r="K1405" s="81">
        <f ca="1">IFERROR(__xludf.DUMMYFUNCTION("""COMPUTED_VALUE"""),0)</f>
        <v>0</v>
      </c>
      <c r="L1405" s="81">
        <f ca="1">IFERROR(__xludf.DUMMYFUNCTION("""COMPUTED_VALUE"""),0)</f>
        <v>0</v>
      </c>
      <c r="M1405" s="81"/>
      <c r="N1405" s="81">
        <f ca="1">IFERROR(__xludf.DUMMYFUNCTION("""COMPUTED_VALUE"""),0)</f>
        <v>0</v>
      </c>
      <c r="O1405" s="81"/>
      <c r="P1405" s="81">
        <f ca="1">IFERROR(__xludf.DUMMYFUNCTION("""COMPUTED_VALUE"""),0)</f>
        <v>0</v>
      </c>
      <c r="Q1405" s="81"/>
      <c r="R1405" s="81">
        <f ca="1">IFERROR(__xludf.DUMMYFUNCTION("""COMPUTED_VALUE"""),0)</f>
        <v>0</v>
      </c>
      <c r="S1405" s="81"/>
      <c r="T1405" s="81"/>
      <c r="U1405" s="82"/>
      <c r="V1405" s="82"/>
      <c r="W1405" s="83"/>
      <c r="X1405" s="83"/>
      <c r="Y1405" s="83"/>
    </row>
    <row r="1406" spans="1:25" ht="13.8">
      <c r="A1406" s="78" t="str">
        <f ca="1">IFERROR(__xludf.DUMMYFUNCTION("""COMPUTED_VALUE"""),"O")</f>
        <v>O</v>
      </c>
      <c r="B1406" s="79" t="str">
        <f ca="1">IFERROR(__xludf.DUMMYFUNCTION("""COMPUTED_VALUE"""),"Aiden Bristow")</f>
        <v>Aiden Bristow</v>
      </c>
      <c r="C1406" s="78">
        <f ca="1">IFERROR(__xludf.DUMMYFUNCTION("""COMPUTED_VALUE"""),8)</f>
        <v>8</v>
      </c>
      <c r="D1406" s="78" t="str">
        <f ca="1">IFERROR(__xludf.DUMMYFUNCTION("""COMPUTED_VALUE"""),"B")</f>
        <v>B</v>
      </c>
      <c r="E1406" s="80" t="str">
        <f ca="1">IFERROR(__xludf.DUMMYFUNCTION("""COMPUTED_VALUE"""),"F")</f>
        <v>F</v>
      </c>
      <c r="F1406" s="80" t="str">
        <f ca="1">IFERROR(__xludf.DUMMYFUNCTION("""COMPUTED_VALUE"""),"J")</f>
        <v>J</v>
      </c>
      <c r="G1406" s="80">
        <f ca="1">IFERROR(__xludf.DUMMYFUNCTION("""COMPUTED_VALUE"""),1)</f>
        <v>1</v>
      </c>
      <c r="H1406" s="80" t="str">
        <f ca="1">IFERROR(__xludf.DUMMYFUNCTION("""COMPUTED_VALUE"""),"O")</f>
        <v>O</v>
      </c>
      <c r="I1406" s="80">
        <f ca="1">IFERROR(__xludf.DUMMYFUNCTION("""COMPUTED_VALUE"""),3)</f>
        <v>3</v>
      </c>
      <c r="J1406" s="81">
        <f ca="1">IFERROR(__xludf.DUMMYFUNCTION("""COMPUTED_VALUE"""),0)</f>
        <v>0</v>
      </c>
      <c r="K1406" s="81">
        <f ca="1">IFERROR(__xludf.DUMMYFUNCTION("""COMPUTED_VALUE"""),0)</f>
        <v>0</v>
      </c>
      <c r="L1406" s="81">
        <f ca="1">IFERROR(__xludf.DUMMYFUNCTION("""COMPUTED_VALUE"""),0)</f>
        <v>0</v>
      </c>
      <c r="M1406" s="81"/>
      <c r="N1406" s="81">
        <f ca="1">IFERROR(__xludf.DUMMYFUNCTION("""COMPUTED_VALUE"""),0)</f>
        <v>0</v>
      </c>
      <c r="O1406" s="81"/>
      <c r="P1406" s="81">
        <f ca="1">IFERROR(__xludf.DUMMYFUNCTION("""COMPUTED_VALUE"""),0)</f>
        <v>0</v>
      </c>
      <c r="Q1406" s="81"/>
      <c r="R1406" s="81">
        <f ca="1">IFERROR(__xludf.DUMMYFUNCTION("""COMPUTED_VALUE"""),0)</f>
        <v>0</v>
      </c>
      <c r="S1406" s="81"/>
      <c r="T1406" s="81"/>
      <c r="U1406" s="82"/>
      <c r="V1406" s="82"/>
      <c r="W1406" s="83"/>
      <c r="X1406" s="83"/>
      <c r="Y1406" s="83"/>
    </row>
    <row r="1407" spans="1:25" ht="13.8">
      <c r="A1407" s="78" t="str">
        <f ca="1">IFERROR(__xludf.DUMMYFUNCTION("""COMPUTED_VALUE"""),"O")</f>
        <v>O</v>
      </c>
      <c r="B1407" s="79" t="str">
        <f ca="1">IFERROR(__xludf.DUMMYFUNCTION("""COMPUTED_VALUE"""),"Hank Buchanan")</f>
        <v>Hank Buchanan</v>
      </c>
      <c r="C1407" s="78">
        <f ca="1">IFERROR(__xludf.DUMMYFUNCTION("""COMPUTED_VALUE"""),10)</f>
        <v>10</v>
      </c>
      <c r="D1407" s="78" t="str">
        <f ca="1">IFERROR(__xludf.DUMMYFUNCTION("""COMPUTED_VALUE"""),"B")</f>
        <v>B</v>
      </c>
      <c r="E1407" s="80" t="str">
        <f ca="1">IFERROR(__xludf.DUMMYFUNCTION("""COMPUTED_VALUE"""),"F")</f>
        <v>F</v>
      </c>
      <c r="F1407" s="80" t="str">
        <f ca="1">IFERROR(__xludf.DUMMYFUNCTION("""COMPUTED_VALUE"""),"J")</f>
        <v>J</v>
      </c>
      <c r="G1407" s="80">
        <f ca="1">IFERROR(__xludf.DUMMYFUNCTION("""COMPUTED_VALUE"""),1)</f>
        <v>1</v>
      </c>
      <c r="H1407" s="80" t="str">
        <f ca="1">IFERROR(__xludf.DUMMYFUNCTION("""COMPUTED_VALUE"""),"O")</f>
        <v>O</v>
      </c>
      <c r="I1407" s="80">
        <f ca="1">IFERROR(__xludf.DUMMYFUNCTION("""COMPUTED_VALUE"""),3)</f>
        <v>3</v>
      </c>
      <c r="J1407" s="81">
        <f ca="1">IFERROR(__xludf.DUMMYFUNCTION("""COMPUTED_VALUE"""),0)</f>
        <v>0</v>
      </c>
      <c r="K1407" s="81">
        <f ca="1">IFERROR(__xludf.DUMMYFUNCTION("""COMPUTED_VALUE"""),0)</f>
        <v>0</v>
      </c>
      <c r="L1407" s="81">
        <f ca="1">IFERROR(__xludf.DUMMYFUNCTION("""COMPUTED_VALUE"""),0)</f>
        <v>0</v>
      </c>
      <c r="M1407" s="81"/>
      <c r="N1407" s="81">
        <f ca="1">IFERROR(__xludf.DUMMYFUNCTION("""COMPUTED_VALUE"""),0)</f>
        <v>0</v>
      </c>
      <c r="O1407" s="81"/>
      <c r="P1407" s="81">
        <f ca="1">IFERROR(__xludf.DUMMYFUNCTION("""COMPUTED_VALUE"""),0)</f>
        <v>0</v>
      </c>
      <c r="Q1407" s="81"/>
      <c r="R1407" s="81">
        <f ca="1">IFERROR(__xludf.DUMMYFUNCTION("""COMPUTED_VALUE"""),0)</f>
        <v>0</v>
      </c>
      <c r="S1407" s="81"/>
      <c r="T1407" s="81"/>
      <c r="U1407" s="82"/>
      <c r="V1407" s="82"/>
      <c r="W1407" s="83"/>
      <c r="X1407" s="83"/>
      <c r="Y1407" s="83"/>
    </row>
    <row r="1408" spans="1:25" ht="13.8">
      <c r="A1408" s="78" t="str">
        <f ca="1">IFERROR(__xludf.DUMMYFUNCTION("""COMPUTED_VALUE"""),"O")</f>
        <v>O</v>
      </c>
      <c r="B1408" s="79" t="str">
        <f ca="1">IFERROR(__xludf.DUMMYFUNCTION("""COMPUTED_VALUE"""),"Bruce Buczek")</f>
        <v>Bruce Buczek</v>
      </c>
      <c r="C1408" s="78">
        <f ca="1">IFERROR(__xludf.DUMMYFUNCTION("""COMPUTED_VALUE"""),7)</f>
        <v>7</v>
      </c>
      <c r="D1408" s="78" t="str">
        <f ca="1">IFERROR(__xludf.DUMMYFUNCTION("""COMPUTED_VALUE"""),"B")</f>
        <v>B</v>
      </c>
      <c r="E1408" s="80" t="str">
        <f ca="1">IFERROR(__xludf.DUMMYFUNCTION("""COMPUTED_VALUE"""),"F")</f>
        <v>F</v>
      </c>
      <c r="F1408" s="80" t="str">
        <f ca="1">IFERROR(__xludf.DUMMYFUNCTION("""COMPUTED_VALUE"""),"J")</f>
        <v>J</v>
      </c>
      <c r="G1408" s="80">
        <f ca="1">IFERROR(__xludf.DUMMYFUNCTION("""COMPUTED_VALUE"""),1)</f>
        <v>1</v>
      </c>
      <c r="H1408" s="80" t="str">
        <f ca="1">IFERROR(__xludf.DUMMYFUNCTION("""COMPUTED_VALUE"""),"O")</f>
        <v>O</v>
      </c>
      <c r="I1408" s="80">
        <f ca="1">IFERROR(__xludf.DUMMYFUNCTION("""COMPUTED_VALUE"""),3)</f>
        <v>3</v>
      </c>
      <c r="J1408" s="81">
        <f ca="1">IFERROR(__xludf.DUMMYFUNCTION("""COMPUTED_VALUE"""),0)</f>
        <v>0</v>
      </c>
      <c r="K1408" s="81">
        <f ca="1">IFERROR(__xludf.DUMMYFUNCTION("""COMPUTED_VALUE"""),0)</f>
        <v>0</v>
      </c>
      <c r="L1408" s="81">
        <f ca="1">IFERROR(__xludf.DUMMYFUNCTION("""COMPUTED_VALUE"""),0)</f>
        <v>0</v>
      </c>
      <c r="M1408" s="81"/>
      <c r="N1408" s="81">
        <f ca="1">IFERROR(__xludf.DUMMYFUNCTION("""COMPUTED_VALUE"""),0)</f>
        <v>0</v>
      </c>
      <c r="O1408" s="81"/>
      <c r="P1408" s="81">
        <f ca="1">IFERROR(__xludf.DUMMYFUNCTION("""COMPUTED_VALUE"""),0)</f>
        <v>0</v>
      </c>
      <c r="Q1408" s="81"/>
      <c r="R1408" s="81">
        <f ca="1">IFERROR(__xludf.DUMMYFUNCTION("""COMPUTED_VALUE"""),0)</f>
        <v>0</v>
      </c>
      <c r="S1408" s="81"/>
      <c r="T1408" s="81"/>
      <c r="U1408" s="82"/>
      <c r="V1408" s="82"/>
      <c r="W1408" s="83"/>
      <c r="X1408" s="83"/>
      <c r="Y1408" s="83"/>
    </row>
    <row r="1409" spans="1:25" ht="13.8">
      <c r="A1409" s="78" t="str">
        <f ca="1">IFERROR(__xludf.DUMMYFUNCTION("""COMPUTED_VALUE"""),"O")</f>
        <v>O</v>
      </c>
      <c r="B1409" s="79" t="str">
        <f ca="1">IFERROR(__xludf.DUMMYFUNCTION("""COMPUTED_VALUE"""),"Davis Fletcher")</f>
        <v>Davis Fletcher</v>
      </c>
      <c r="C1409" s="78">
        <f ca="1">IFERROR(__xludf.DUMMYFUNCTION("""COMPUTED_VALUE"""),10)</f>
        <v>10</v>
      </c>
      <c r="D1409" s="78" t="str">
        <f ca="1">IFERROR(__xludf.DUMMYFUNCTION("""COMPUTED_VALUE"""),"B")</f>
        <v>B</v>
      </c>
      <c r="E1409" s="80" t="str">
        <f ca="1">IFERROR(__xludf.DUMMYFUNCTION("""COMPUTED_VALUE"""),"F")</f>
        <v>F</v>
      </c>
      <c r="F1409" s="80" t="str">
        <f ca="1">IFERROR(__xludf.DUMMYFUNCTION("""COMPUTED_VALUE"""),"J")</f>
        <v>J</v>
      </c>
      <c r="G1409" s="80">
        <f ca="1">IFERROR(__xludf.DUMMYFUNCTION("""COMPUTED_VALUE"""),1)</f>
        <v>1</v>
      </c>
      <c r="H1409" s="80" t="str">
        <f ca="1">IFERROR(__xludf.DUMMYFUNCTION("""COMPUTED_VALUE"""),"O")</f>
        <v>O</v>
      </c>
      <c r="I1409" s="80">
        <f ca="1">IFERROR(__xludf.DUMMYFUNCTION("""COMPUTED_VALUE"""),3)</f>
        <v>3</v>
      </c>
      <c r="J1409" s="81">
        <f ca="1">IFERROR(__xludf.DUMMYFUNCTION("""COMPUTED_VALUE"""),0)</f>
        <v>0</v>
      </c>
      <c r="K1409" s="81">
        <f ca="1">IFERROR(__xludf.DUMMYFUNCTION("""COMPUTED_VALUE"""),0)</f>
        <v>0</v>
      </c>
      <c r="L1409" s="81">
        <f ca="1">IFERROR(__xludf.DUMMYFUNCTION("""COMPUTED_VALUE"""),0)</f>
        <v>0</v>
      </c>
      <c r="M1409" s="81"/>
      <c r="N1409" s="81">
        <f ca="1">IFERROR(__xludf.DUMMYFUNCTION("""COMPUTED_VALUE"""),0)</f>
        <v>0</v>
      </c>
      <c r="O1409" s="81"/>
      <c r="P1409" s="81">
        <f ca="1">IFERROR(__xludf.DUMMYFUNCTION("""COMPUTED_VALUE"""),0)</f>
        <v>0</v>
      </c>
      <c r="Q1409" s="81"/>
      <c r="R1409" s="81">
        <f ca="1">IFERROR(__xludf.DUMMYFUNCTION("""COMPUTED_VALUE"""),0)</f>
        <v>0</v>
      </c>
      <c r="S1409" s="81"/>
      <c r="T1409" s="81"/>
      <c r="U1409" s="82"/>
      <c r="V1409" s="82"/>
      <c r="W1409" s="83"/>
      <c r="X1409" s="83"/>
      <c r="Y1409" s="83"/>
    </row>
    <row r="1410" spans="1:25" ht="13.8">
      <c r="A1410" s="78" t="str">
        <f ca="1">IFERROR(__xludf.DUMMYFUNCTION("""COMPUTED_VALUE"""),"O")</f>
        <v>O</v>
      </c>
      <c r="B1410" s="79" t="str">
        <f ca="1">IFERROR(__xludf.DUMMYFUNCTION("""COMPUTED_VALUE"""),"Theodore Karlton")</f>
        <v>Theodore Karlton</v>
      </c>
      <c r="C1410" s="78">
        <f ca="1">IFERROR(__xludf.DUMMYFUNCTION("""COMPUTED_VALUE"""),9)</f>
        <v>9</v>
      </c>
      <c r="D1410" s="78" t="str">
        <f ca="1">IFERROR(__xludf.DUMMYFUNCTION("""COMPUTED_VALUE"""),"B")</f>
        <v>B</v>
      </c>
      <c r="E1410" s="80" t="str">
        <f ca="1">IFERROR(__xludf.DUMMYFUNCTION("""COMPUTED_VALUE"""),"F")</f>
        <v>F</v>
      </c>
      <c r="F1410" s="80" t="str">
        <f ca="1">IFERROR(__xludf.DUMMYFUNCTION("""COMPUTED_VALUE"""),"J")</f>
        <v>J</v>
      </c>
      <c r="G1410" s="80">
        <f ca="1">IFERROR(__xludf.DUMMYFUNCTION("""COMPUTED_VALUE"""),1)</f>
        <v>1</v>
      </c>
      <c r="H1410" s="80" t="str">
        <f ca="1">IFERROR(__xludf.DUMMYFUNCTION("""COMPUTED_VALUE"""),"O")</f>
        <v>O</v>
      </c>
      <c r="I1410" s="80">
        <f ca="1">IFERROR(__xludf.DUMMYFUNCTION("""COMPUTED_VALUE"""),3)</f>
        <v>3</v>
      </c>
      <c r="J1410" s="81">
        <f ca="1">IFERROR(__xludf.DUMMYFUNCTION("""COMPUTED_VALUE"""),2)</f>
        <v>2</v>
      </c>
      <c r="K1410" s="81">
        <f ca="1">IFERROR(__xludf.DUMMYFUNCTION("""COMPUTED_VALUE"""),42.55)</f>
        <v>42.55</v>
      </c>
      <c r="L1410" s="81">
        <f ca="1">IFERROR(__xludf.DUMMYFUNCTION("""COMPUTED_VALUE"""),0)</f>
        <v>0</v>
      </c>
      <c r="M1410" s="81"/>
      <c r="N1410" s="81">
        <f ca="1">IFERROR(__xludf.DUMMYFUNCTION("""COMPUTED_VALUE"""),0)</f>
        <v>0</v>
      </c>
      <c r="O1410" s="81"/>
      <c r="P1410" s="81">
        <f ca="1">IFERROR(__xludf.DUMMYFUNCTION("""COMPUTED_VALUE"""),42.55)</f>
        <v>42.55</v>
      </c>
      <c r="Q1410" s="81"/>
      <c r="R1410" s="81">
        <f ca="1">IFERROR(__xludf.DUMMYFUNCTION("""COMPUTED_VALUE"""),0)</f>
        <v>0</v>
      </c>
      <c r="S1410" s="81"/>
      <c r="T1410" s="81"/>
      <c r="U1410" s="82"/>
      <c r="V1410" s="82"/>
      <c r="W1410" s="83"/>
      <c r="X1410" s="83"/>
      <c r="Y1410" s="83"/>
    </row>
    <row r="1411" spans="1:25" ht="13.8">
      <c r="A1411" s="78" t="str">
        <f ca="1">IFERROR(__xludf.DUMMYFUNCTION("""COMPUTED_VALUE"""),"O")</f>
        <v>O</v>
      </c>
      <c r="B1411" s="79" t="str">
        <f ca="1">IFERROR(__xludf.DUMMYFUNCTION("""COMPUTED_VALUE"""),"Dylan Kates")</f>
        <v>Dylan Kates</v>
      </c>
      <c r="C1411" s="78">
        <f ca="1">IFERROR(__xludf.DUMMYFUNCTION("""COMPUTED_VALUE"""),7)</f>
        <v>7</v>
      </c>
      <c r="D1411" s="78" t="str">
        <f ca="1">IFERROR(__xludf.DUMMYFUNCTION("""COMPUTED_VALUE"""),"B")</f>
        <v>B</v>
      </c>
      <c r="E1411" s="80" t="str">
        <f ca="1">IFERROR(__xludf.DUMMYFUNCTION("""COMPUTED_VALUE"""),"F")</f>
        <v>F</v>
      </c>
      <c r="F1411" s="80" t="str">
        <f ca="1">IFERROR(__xludf.DUMMYFUNCTION("""COMPUTED_VALUE"""),"J")</f>
        <v>J</v>
      </c>
      <c r="G1411" s="80">
        <f ca="1">IFERROR(__xludf.DUMMYFUNCTION("""COMPUTED_VALUE"""),1)</f>
        <v>1</v>
      </c>
      <c r="H1411" s="80" t="str">
        <f ca="1">IFERROR(__xludf.DUMMYFUNCTION("""COMPUTED_VALUE"""),"O")</f>
        <v>O</v>
      </c>
      <c r="I1411" s="80">
        <f ca="1">IFERROR(__xludf.DUMMYFUNCTION("""COMPUTED_VALUE"""),3)</f>
        <v>3</v>
      </c>
      <c r="J1411" s="81">
        <f ca="1">IFERROR(__xludf.DUMMYFUNCTION("""COMPUTED_VALUE"""),0)</f>
        <v>0</v>
      </c>
      <c r="K1411" s="81">
        <f ca="1">IFERROR(__xludf.DUMMYFUNCTION("""COMPUTED_VALUE"""),0)</f>
        <v>0</v>
      </c>
      <c r="L1411" s="81">
        <f ca="1">IFERROR(__xludf.DUMMYFUNCTION("""COMPUTED_VALUE"""),0)</f>
        <v>0</v>
      </c>
      <c r="M1411" s="81"/>
      <c r="N1411" s="81">
        <f ca="1">IFERROR(__xludf.DUMMYFUNCTION("""COMPUTED_VALUE"""),0)</f>
        <v>0</v>
      </c>
      <c r="O1411" s="81"/>
      <c r="P1411" s="81">
        <f ca="1">IFERROR(__xludf.DUMMYFUNCTION("""COMPUTED_VALUE"""),0)</f>
        <v>0</v>
      </c>
      <c r="Q1411" s="81"/>
      <c r="R1411" s="81">
        <f ca="1">IFERROR(__xludf.DUMMYFUNCTION("""COMPUTED_VALUE"""),0)</f>
        <v>0</v>
      </c>
      <c r="S1411" s="81"/>
      <c r="T1411" s="81"/>
      <c r="U1411" s="82"/>
      <c r="V1411" s="82"/>
      <c r="W1411" s="83"/>
      <c r="X1411" s="83"/>
      <c r="Y1411" s="83"/>
    </row>
    <row r="1412" spans="1:25" ht="13.8">
      <c r="A1412" s="78" t="str">
        <f ca="1">IFERROR(__xludf.DUMMYFUNCTION("""COMPUTED_VALUE"""),"O")</f>
        <v>O</v>
      </c>
      <c r="B1412" s="79" t="str">
        <f ca="1">IFERROR(__xludf.DUMMYFUNCTION("""COMPUTED_VALUE"""),"Jackson Kates")</f>
        <v>Jackson Kates</v>
      </c>
      <c r="C1412" s="78">
        <f ca="1">IFERROR(__xludf.DUMMYFUNCTION("""COMPUTED_VALUE"""),10)</f>
        <v>10</v>
      </c>
      <c r="D1412" s="78" t="str">
        <f ca="1">IFERROR(__xludf.DUMMYFUNCTION("""COMPUTED_VALUE"""),"B")</f>
        <v>B</v>
      </c>
      <c r="E1412" s="80" t="str">
        <f ca="1">IFERROR(__xludf.DUMMYFUNCTION("""COMPUTED_VALUE"""),"F")</f>
        <v>F</v>
      </c>
      <c r="F1412" s="80" t="str">
        <f ca="1">IFERROR(__xludf.DUMMYFUNCTION("""COMPUTED_VALUE"""),"J")</f>
        <v>J</v>
      </c>
      <c r="G1412" s="80">
        <f ca="1">IFERROR(__xludf.DUMMYFUNCTION("""COMPUTED_VALUE"""),1)</f>
        <v>1</v>
      </c>
      <c r="H1412" s="80" t="str">
        <f ca="1">IFERROR(__xludf.DUMMYFUNCTION("""COMPUTED_VALUE"""),"O")</f>
        <v>O</v>
      </c>
      <c r="I1412" s="80">
        <f ca="1">IFERROR(__xludf.DUMMYFUNCTION("""COMPUTED_VALUE"""),3)</f>
        <v>3</v>
      </c>
      <c r="J1412" s="81">
        <f ca="1">IFERROR(__xludf.DUMMYFUNCTION("""COMPUTED_VALUE"""),0)</f>
        <v>0</v>
      </c>
      <c r="K1412" s="81">
        <f ca="1">IFERROR(__xludf.DUMMYFUNCTION("""COMPUTED_VALUE"""),0)</f>
        <v>0</v>
      </c>
      <c r="L1412" s="81">
        <f ca="1">IFERROR(__xludf.DUMMYFUNCTION("""COMPUTED_VALUE"""),0)</f>
        <v>0</v>
      </c>
      <c r="M1412" s="81"/>
      <c r="N1412" s="81">
        <f ca="1">IFERROR(__xludf.DUMMYFUNCTION("""COMPUTED_VALUE"""),0)</f>
        <v>0</v>
      </c>
      <c r="O1412" s="81"/>
      <c r="P1412" s="81">
        <f ca="1">IFERROR(__xludf.DUMMYFUNCTION("""COMPUTED_VALUE"""),0)</f>
        <v>0</v>
      </c>
      <c r="Q1412" s="81"/>
      <c r="R1412" s="81">
        <f ca="1">IFERROR(__xludf.DUMMYFUNCTION("""COMPUTED_VALUE"""),0)</f>
        <v>0</v>
      </c>
      <c r="S1412" s="81"/>
      <c r="T1412" s="81"/>
      <c r="U1412" s="82"/>
      <c r="V1412" s="82"/>
      <c r="W1412" s="83"/>
      <c r="X1412" s="83"/>
      <c r="Y1412" s="83"/>
    </row>
    <row r="1413" spans="1:25" ht="13.8">
      <c r="A1413" s="78" t="str">
        <f ca="1">IFERROR(__xludf.DUMMYFUNCTION("""COMPUTED_VALUE"""),"O")</f>
        <v>O</v>
      </c>
      <c r="B1413" s="79" t="str">
        <f ca="1">IFERROR(__xludf.DUMMYFUNCTION("""COMPUTED_VALUE"""),"Archer Kouhestani")</f>
        <v>Archer Kouhestani</v>
      </c>
      <c r="C1413" s="78">
        <f ca="1">IFERROR(__xludf.DUMMYFUNCTION("""COMPUTED_VALUE"""),9)</f>
        <v>9</v>
      </c>
      <c r="D1413" s="78" t="str">
        <f ca="1">IFERROR(__xludf.DUMMYFUNCTION("""COMPUTED_VALUE"""),"B")</f>
        <v>B</v>
      </c>
      <c r="E1413" s="80" t="str">
        <f ca="1">IFERROR(__xludf.DUMMYFUNCTION("""COMPUTED_VALUE"""),"F")</f>
        <v>F</v>
      </c>
      <c r="F1413" s="80" t="str">
        <f ca="1">IFERROR(__xludf.DUMMYFUNCTION("""COMPUTED_VALUE"""),"J")</f>
        <v>J</v>
      </c>
      <c r="G1413" s="80">
        <f ca="1">IFERROR(__xludf.DUMMYFUNCTION("""COMPUTED_VALUE"""),1)</f>
        <v>1</v>
      </c>
      <c r="H1413" s="80" t="str">
        <f ca="1">IFERROR(__xludf.DUMMYFUNCTION("""COMPUTED_VALUE"""),"O")</f>
        <v>O</v>
      </c>
      <c r="I1413" s="80">
        <f ca="1">IFERROR(__xludf.DUMMYFUNCTION("""COMPUTED_VALUE"""),3)</f>
        <v>3</v>
      </c>
      <c r="J1413" s="81">
        <f ca="1">IFERROR(__xludf.DUMMYFUNCTION("""COMPUTED_VALUE"""),5)</f>
        <v>5</v>
      </c>
      <c r="K1413" s="81">
        <f ca="1">IFERROR(__xludf.DUMMYFUNCTION("""COMPUTED_VALUE"""),84.55)</f>
        <v>84.55</v>
      </c>
      <c r="L1413" s="81">
        <f ca="1">IFERROR(__xludf.DUMMYFUNCTION("""COMPUTED_VALUE"""),74.8)</f>
        <v>74.8</v>
      </c>
      <c r="M1413" s="81"/>
      <c r="N1413" s="81">
        <f ca="1">IFERROR(__xludf.DUMMYFUNCTION("""COMPUTED_VALUE"""),84.55)</f>
        <v>84.55</v>
      </c>
      <c r="O1413" s="81"/>
      <c r="P1413" s="81">
        <f ca="1">IFERROR(__xludf.DUMMYFUNCTION("""COMPUTED_VALUE"""),50.5)</f>
        <v>50.5</v>
      </c>
      <c r="Q1413" s="81"/>
      <c r="R1413" s="81">
        <f ca="1">IFERROR(__xludf.DUMMYFUNCTION("""COMPUTED_VALUE"""),48.7)</f>
        <v>48.7</v>
      </c>
      <c r="S1413" s="81"/>
      <c r="T1413" s="81"/>
      <c r="U1413" s="82"/>
      <c r="V1413" s="82"/>
      <c r="W1413" s="83"/>
      <c r="X1413" s="83"/>
      <c r="Y1413" s="83"/>
    </row>
    <row r="1414" spans="1:25" ht="13.8">
      <c r="A1414" s="78" t="str">
        <f ca="1">IFERROR(__xludf.DUMMYFUNCTION("""COMPUTED_VALUE"""),"O")</f>
        <v>O</v>
      </c>
      <c r="B1414" s="79" t="str">
        <f ca="1">IFERROR(__xludf.DUMMYFUNCTION("""COMPUTED_VALUE"""),"Elliot Raber")</f>
        <v>Elliot Raber</v>
      </c>
      <c r="C1414" s="78">
        <f ca="1">IFERROR(__xludf.DUMMYFUNCTION("""COMPUTED_VALUE"""),8)</f>
        <v>8</v>
      </c>
      <c r="D1414" s="78" t="str">
        <f ca="1">IFERROR(__xludf.DUMMYFUNCTION("""COMPUTED_VALUE"""),"B")</f>
        <v>B</v>
      </c>
      <c r="E1414" s="80" t="str">
        <f ca="1">IFERROR(__xludf.DUMMYFUNCTION("""COMPUTED_VALUE"""),"F")</f>
        <v>F</v>
      </c>
      <c r="F1414" s="80" t="str">
        <f ca="1">IFERROR(__xludf.DUMMYFUNCTION("""COMPUTED_VALUE"""),"J")</f>
        <v>J</v>
      </c>
      <c r="G1414" s="80">
        <f ca="1">IFERROR(__xludf.DUMMYFUNCTION("""COMPUTED_VALUE"""),1)</f>
        <v>1</v>
      </c>
      <c r="H1414" s="80" t="str">
        <f ca="1">IFERROR(__xludf.DUMMYFUNCTION("""COMPUTED_VALUE"""),"O")</f>
        <v>O</v>
      </c>
      <c r="I1414" s="80">
        <f ca="1">IFERROR(__xludf.DUMMYFUNCTION("""COMPUTED_VALUE"""),3)</f>
        <v>3</v>
      </c>
      <c r="J1414" s="81">
        <f ca="1">IFERROR(__xludf.DUMMYFUNCTION("""COMPUTED_VALUE"""),0)</f>
        <v>0</v>
      </c>
      <c r="K1414" s="81">
        <f ca="1">IFERROR(__xludf.DUMMYFUNCTION("""COMPUTED_VALUE"""),0)</f>
        <v>0</v>
      </c>
      <c r="L1414" s="81">
        <f ca="1">IFERROR(__xludf.DUMMYFUNCTION("""COMPUTED_VALUE"""),0)</f>
        <v>0</v>
      </c>
      <c r="M1414" s="81"/>
      <c r="N1414" s="81">
        <f ca="1">IFERROR(__xludf.DUMMYFUNCTION("""COMPUTED_VALUE"""),0)</f>
        <v>0</v>
      </c>
      <c r="O1414" s="81"/>
      <c r="P1414" s="81">
        <f ca="1">IFERROR(__xludf.DUMMYFUNCTION("""COMPUTED_VALUE"""),0)</f>
        <v>0</v>
      </c>
      <c r="Q1414" s="81"/>
      <c r="R1414" s="81">
        <f ca="1">IFERROR(__xludf.DUMMYFUNCTION("""COMPUTED_VALUE"""),0)</f>
        <v>0</v>
      </c>
      <c r="S1414" s="81"/>
      <c r="T1414" s="81"/>
      <c r="U1414" s="82"/>
      <c r="V1414" s="82"/>
      <c r="W1414" s="83"/>
      <c r="X1414" s="83"/>
      <c r="Y1414" s="83"/>
    </row>
    <row r="1415" spans="1:25" ht="13.8">
      <c r="A1415" s="78" t="str">
        <f ca="1">IFERROR(__xludf.DUMMYFUNCTION("""COMPUTED_VALUE"""),"O")</f>
        <v>O</v>
      </c>
      <c r="B1415" s="79" t="str">
        <f ca="1">IFERROR(__xludf.DUMMYFUNCTION("""COMPUTED_VALUE"""),"Henry Thayer")</f>
        <v>Henry Thayer</v>
      </c>
      <c r="C1415" s="78">
        <f ca="1">IFERROR(__xludf.DUMMYFUNCTION("""COMPUTED_VALUE"""),8)</f>
        <v>8</v>
      </c>
      <c r="D1415" s="78" t="str">
        <f ca="1">IFERROR(__xludf.DUMMYFUNCTION("""COMPUTED_VALUE"""),"B")</f>
        <v>B</v>
      </c>
      <c r="E1415" s="80" t="str">
        <f ca="1">IFERROR(__xludf.DUMMYFUNCTION("""COMPUTED_VALUE"""),"F")</f>
        <v>F</v>
      </c>
      <c r="F1415" s="80" t="str">
        <f ca="1">IFERROR(__xludf.DUMMYFUNCTION("""COMPUTED_VALUE"""),"J")</f>
        <v>J</v>
      </c>
      <c r="G1415" s="80">
        <f ca="1">IFERROR(__xludf.DUMMYFUNCTION("""COMPUTED_VALUE"""),1)</f>
        <v>1</v>
      </c>
      <c r="H1415" s="80" t="str">
        <f ca="1">IFERROR(__xludf.DUMMYFUNCTION("""COMPUTED_VALUE"""),"O")</f>
        <v>O</v>
      </c>
      <c r="I1415" s="80">
        <f ca="1">IFERROR(__xludf.DUMMYFUNCTION("""COMPUTED_VALUE"""),3)</f>
        <v>3</v>
      </c>
      <c r="J1415" s="81">
        <f ca="1">IFERROR(__xludf.DUMMYFUNCTION("""COMPUTED_VALUE"""),0)</f>
        <v>0</v>
      </c>
      <c r="K1415" s="81">
        <f ca="1">IFERROR(__xludf.DUMMYFUNCTION("""COMPUTED_VALUE"""),0)</f>
        <v>0</v>
      </c>
      <c r="L1415" s="81">
        <f ca="1">IFERROR(__xludf.DUMMYFUNCTION("""COMPUTED_VALUE"""),0)</f>
        <v>0</v>
      </c>
      <c r="M1415" s="81"/>
      <c r="N1415" s="81">
        <f ca="1">IFERROR(__xludf.DUMMYFUNCTION("""COMPUTED_VALUE"""),0)</f>
        <v>0</v>
      </c>
      <c r="O1415" s="81"/>
      <c r="P1415" s="81">
        <f ca="1">IFERROR(__xludf.DUMMYFUNCTION("""COMPUTED_VALUE"""),0)</f>
        <v>0</v>
      </c>
      <c r="Q1415" s="81"/>
      <c r="R1415" s="81">
        <f ca="1">IFERROR(__xludf.DUMMYFUNCTION("""COMPUTED_VALUE"""),0)</f>
        <v>0</v>
      </c>
      <c r="S1415" s="81"/>
      <c r="T1415" s="81"/>
      <c r="U1415" s="82"/>
      <c r="V1415" s="82"/>
      <c r="W1415" s="83"/>
      <c r="X1415" s="83"/>
      <c r="Y1415" s="83"/>
    </row>
    <row r="1416" spans="1:25" ht="13.8">
      <c r="A1416" s="78" t="str">
        <f ca="1">IFERROR(__xludf.DUMMYFUNCTION("""COMPUTED_VALUE"""),"O")</f>
        <v>O</v>
      </c>
      <c r="B1416" s="79" t="str">
        <f ca="1">IFERROR(__xludf.DUMMYFUNCTION("""COMPUTED_VALUE"""),"James Venos")</f>
        <v>James Venos</v>
      </c>
      <c r="C1416" s="78">
        <f ca="1">IFERROR(__xludf.DUMMYFUNCTION("""COMPUTED_VALUE"""),7)</f>
        <v>7</v>
      </c>
      <c r="D1416" s="78" t="str">
        <f ca="1">IFERROR(__xludf.DUMMYFUNCTION("""COMPUTED_VALUE"""),"B")</f>
        <v>B</v>
      </c>
      <c r="E1416" s="80" t="str">
        <f ca="1">IFERROR(__xludf.DUMMYFUNCTION("""COMPUTED_VALUE"""),"F")</f>
        <v>F</v>
      </c>
      <c r="F1416" s="80" t="str">
        <f ca="1">IFERROR(__xludf.DUMMYFUNCTION("""COMPUTED_VALUE"""),"J")</f>
        <v>J</v>
      </c>
      <c r="G1416" s="80">
        <f ca="1">IFERROR(__xludf.DUMMYFUNCTION("""COMPUTED_VALUE"""),1)</f>
        <v>1</v>
      </c>
      <c r="H1416" s="80" t="str">
        <f ca="1">IFERROR(__xludf.DUMMYFUNCTION("""COMPUTED_VALUE"""),"O")</f>
        <v>O</v>
      </c>
      <c r="I1416" s="80">
        <f ca="1">IFERROR(__xludf.DUMMYFUNCTION("""COMPUTED_VALUE"""),3)</f>
        <v>3</v>
      </c>
      <c r="J1416" s="81">
        <f ca="1">IFERROR(__xludf.DUMMYFUNCTION("""COMPUTED_VALUE"""),0)</f>
        <v>0</v>
      </c>
      <c r="K1416" s="81">
        <f ca="1">IFERROR(__xludf.DUMMYFUNCTION("""COMPUTED_VALUE"""),0)</f>
        <v>0</v>
      </c>
      <c r="L1416" s="81">
        <f ca="1">IFERROR(__xludf.DUMMYFUNCTION("""COMPUTED_VALUE"""),0)</f>
        <v>0</v>
      </c>
      <c r="M1416" s="81"/>
      <c r="N1416" s="81">
        <f ca="1">IFERROR(__xludf.DUMMYFUNCTION("""COMPUTED_VALUE"""),0)</f>
        <v>0</v>
      </c>
      <c r="O1416" s="81"/>
      <c r="P1416" s="81">
        <f ca="1">IFERROR(__xludf.DUMMYFUNCTION("""COMPUTED_VALUE"""),0)</f>
        <v>0</v>
      </c>
      <c r="Q1416" s="81"/>
      <c r="R1416" s="81">
        <f ca="1">IFERROR(__xludf.DUMMYFUNCTION("""COMPUTED_VALUE"""),0)</f>
        <v>0</v>
      </c>
      <c r="S1416" s="81"/>
      <c r="T1416" s="81"/>
      <c r="U1416" s="82"/>
      <c r="V1416" s="82"/>
      <c r="W1416" s="83"/>
      <c r="X1416" s="83"/>
      <c r="Y1416" s="83"/>
    </row>
    <row r="1417" spans="1:25" ht="13.8">
      <c r="A1417" s="78" t="str">
        <f ca="1">IFERROR(__xludf.DUMMYFUNCTION("""COMPUTED_VALUE"""),"O")</f>
        <v>O</v>
      </c>
      <c r="B1417" s="79" t="str">
        <f ca="1">IFERROR(__xludf.DUMMYFUNCTION("""COMPUTED_VALUE"""),"Carter Yasin")</f>
        <v>Carter Yasin</v>
      </c>
      <c r="C1417" s="78">
        <f ca="1">IFERROR(__xludf.DUMMYFUNCTION("""COMPUTED_VALUE"""),10)</f>
        <v>10</v>
      </c>
      <c r="D1417" s="78" t="str">
        <f ca="1">IFERROR(__xludf.DUMMYFUNCTION("""COMPUTED_VALUE"""),"B")</f>
        <v>B</v>
      </c>
      <c r="E1417" s="80" t="str">
        <f ca="1">IFERROR(__xludf.DUMMYFUNCTION("""COMPUTED_VALUE"""),"F")</f>
        <v>F</v>
      </c>
      <c r="F1417" s="80" t="str">
        <f ca="1">IFERROR(__xludf.DUMMYFUNCTION("""COMPUTED_VALUE"""),"J")</f>
        <v>J</v>
      </c>
      <c r="G1417" s="80">
        <f ca="1">IFERROR(__xludf.DUMMYFUNCTION("""COMPUTED_VALUE"""),1)</f>
        <v>1</v>
      </c>
      <c r="H1417" s="80" t="str">
        <f ca="1">IFERROR(__xludf.DUMMYFUNCTION("""COMPUTED_VALUE"""),"O")</f>
        <v>O</v>
      </c>
      <c r="I1417" s="80">
        <f ca="1">IFERROR(__xludf.DUMMYFUNCTION("""COMPUTED_VALUE"""),3)</f>
        <v>3</v>
      </c>
      <c r="J1417" s="81">
        <f ca="1">IFERROR(__xludf.DUMMYFUNCTION("""COMPUTED_VALUE"""),0)</f>
        <v>0</v>
      </c>
      <c r="K1417" s="81">
        <f ca="1">IFERROR(__xludf.DUMMYFUNCTION("""COMPUTED_VALUE"""),0)</f>
        <v>0</v>
      </c>
      <c r="L1417" s="81">
        <f ca="1">IFERROR(__xludf.DUMMYFUNCTION("""COMPUTED_VALUE"""),0)</f>
        <v>0</v>
      </c>
      <c r="M1417" s="81"/>
      <c r="N1417" s="81">
        <f ca="1">IFERROR(__xludf.DUMMYFUNCTION("""COMPUTED_VALUE"""),0)</f>
        <v>0</v>
      </c>
      <c r="O1417" s="81"/>
      <c r="P1417" s="81">
        <f ca="1">IFERROR(__xludf.DUMMYFUNCTION("""COMPUTED_VALUE"""),0)</f>
        <v>0</v>
      </c>
      <c r="Q1417" s="81"/>
      <c r="R1417" s="81">
        <f ca="1">IFERROR(__xludf.DUMMYFUNCTION("""COMPUTED_VALUE"""),0)</f>
        <v>0</v>
      </c>
      <c r="S1417" s="81"/>
      <c r="T1417" s="81"/>
      <c r="U1417" s="82"/>
      <c r="V1417" s="82"/>
      <c r="W1417" s="83"/>
      <c r="X1417" s="83"/>
      <c r="Y1417" s="83"/>
    </row>
    <row r="1418" spans="1:25" ht="13.8">
      <c r="A1418" s="78" t="str">
        <f ca="1">IFERROR(__xludf.DUMMYFUNCTION("""COMPUTED_VALUE"""),"O")</f>
        <v>O</v>
      </c>
      <c r="B1418" s="79" t="str">
        <f ca="1">IFERROR(__xludf.DUMMYFUNCTION("""COMPUTED_VALUE"""),"Zachary Yen")</f>
        <v>Zachary Yen</v>
      </c>
      <c r="C1418" s="78">
        <f ca="1">IFERROR(__xludf.DUMMYFUNCTION("""COMPUTED_VALUE"""),6)</f>
        <v>6</v>
      </c>
      <c r="D1418" s="78" t="str">
        <f ca="1">IFERROR(__xludf.DUMMYFUNCTION("""COMPUTED_VALUE"""),"B")</f>
        <v>B</v>
      </c>
      <c r="E1418" s="80" t="str">
        <f ca="1">IFERROR(__xludf.DUMMYFUNCTION("""COMPUTED_VALUE"""),"F")</f>
        <v>F</v>
      </c>
      <c r="F1418" s="80" t="str">
        <f ca="1">IFERROR(__xludf.DUMMYFUNCTION("""COMPUTED_VALUE"""),"J")</f>
        <v>J</v>
      </c>
      <c r="G1418" s="80">
        <f ca="1">IFERROR(__xludf.DUMMYFUNCTION("""COMPUTED_VALUE"""),1)</f>
        <v>1</v>
      </c>
      <c r="H1418" s="80" t="str">
        <f ca="1">IFERROR(__xludf.DUMMYFUNCTION("""COMPUTED_VALUE"""),"O")</f>
        <v>O</v>
      </c>
      <c r="I1418" s="80">
        <f ca="1">IFERROR(__xludf.DUMMYFUNCTION("""COMPUTED_VALUE"""),3)</f>
        <v>3</v>
      </c>
      <c r="J1418" s="81">
        <f ca="1">IFERROR(__xludf.DUMMYFUNCTION("""COMPUTED_VALUE"""),0)</f>
        <v>0</v>
      </c>
      <c r="K1418" s="81">
        <f ca="1">IFERROR(__xludf.DUMMYFUNCTION("""COMPUTED_VALUE"""),0)</f>
        <v>0</v>
      </c>
      <c r="L1418" s="81">
        <f ca="1">IFERROR(__xludf.DUMMYFUNCTION("""COMPUTED_VALUE"""),0)</f>
        <v>0</v>
      </c>
      <c r="M1418" s="81"/>
      <c r="N1418" s="81">
        <f ca="1">IFERROR(__xludf.DUMMYFUNCTION("""COMPUTED_VALUE"""),0)</f>
        <v>0</v>
      </c>
      <c r="O1418" s="81"/>
      <c r="P1418" s="81">
        <f ca="1">IFERROR(__xludf.DUMMYFUNCTION("""COMPUTED_VALUE"""),0)</f>
        <v>0</v>
      </c>
      <c r="Q1418" s="81"/>
      <c r="R1418" s="81">
        <f ca="1">IFERROR(__xludf.DUMMYFUNCTION("""COMPUTED_VALUE"""),0)</f>
        <v>0</v>
      </c>
      <c r="S1418" s="81"/>
      <c r="T1418" s="81"/>
      <c r="U1418" s="82"/>
      <c r="V1418" s="82"/>
      <c r="W1418" s="83"/>
      <c r="X1418" s="83"/>
      <c r="Y1418" s="83"/>
    </row>
    <row r="1419" spans="1:25" ht="13.8">
      <c r="A1419" s="78" t="str">
        <f ca="1">IFERROR(__xludf.DUMMYFUNCTION("""COMPUTED_VALUE"""),"O")</f>
        <v>O</v>
      </c>
      <c r="B1419" s="79" t="str">
        <f ca="1">IFERROR(__xludf.DUMMYFUNCTION("""COMPUTED_VALUE"""),"Maren Akst")</f>
        <v>Maren Akst</v>
      </c>
      <c r="C1419" s="78">
        <f ca="1">IFERROR(__xludf.DUMMYFUNCTION("""COMPUTED_VALUE"""),12)</f>
        <v>12</v>
      </c>
      <c r="D1419" s="78" t="str">
        <f ca="1">IFERROR(__xludf.DUMMYFUNCTION("""COMPUTED_VALUE"""),"G")</f>
        <v>G</v>
      </c>
      <c r="E1419" s="80" t="str">
        <f ca="1">IFERROR(__xludf.DUMMYFUNCTION("""COMPUTED_VALUE"""),"J")</f>
        <v>J</v>
      </c>
      <c r="F1419" s="80" t="str">
        <f ca="1">IFERROR(__xludf.DUMMYFUNCTION("""COMPUTED_VALUE"""),"I")</f>
        <v>I</v>
      </c>
      <c r="G1419" s="80">
        <f ca="1">IFERROR(__xludf.DUMMYFUNCTION("""COMPUTED_VALUE"""),1)</f>
        <v>1</v>
      </c>
      <c r="H1419" s="80" t="str">
        <f ca="1">IFERROR(__xludf.DUMMYFUNCTION("""COMPUTED_VALUE"""),"O")</f>
        <v>O</v>
      </c>
      <c r="I1419" s="80">
        <f ca="1">IFERROR(__xludf.DUMMYFUNCTION("""COMPUTED_VALUE"""),4)</f>
        <v>4</v>
      </c>
      <c r="J1419" s="81">
        <f ca="1">IFERROR(__xludf.DUMMYFUNCTION("""COMPUTED_VALUE"""),3)</f>
        <v>3</v>
      </c>
      <c r="K1419" s="81">
        <f ca="1">IFERROR(__xludf.DUMMYFUNCTION("""COMPUTED_VALUE"""),83.25)</f>
        <v>83.25</v>
      </c>
      <c r="L1419" s="81">
        <f ca="1">IFERROR(__xludf.DUMMYFUNCTION("""COMPUTED_VALUE"""),77.3)</f>
        <v>77.3</v>
      </c>
      <c r="M1419" s="81"/>
      <c r="N1419" s="81">
        <f ca="1">IFERROR(__xludf.DUMMYFUNCTION("""COMPUTED_VALUE"""),0)</f>
        <v>0</v>
      </c>
      <c r="O1419" s="81"/>
      <c r="P1419" s="81">
        <f ca="1">IFERROR(__xludf.DUMMYFUNCTION("""COMPUTED_VALUE"""),66.25)</f>
        <v>66.25</v>
      </c>
      <c r="Q1419" s="81"/>
      <c r="R1419" s="81">
        <f ca="1">IFERROR(__xludf.DUMMYFUNCTION("""COMPUTED_VALUE"""),83.25)</f>
        <v>83.25</v>
      </c>
      <c r="S1419" s="81"/>
      <c r="T1419" s="81"/>
      <c r="U1419" s="82"/>
      <c r="V1419" s="82"/>
      <c r="W1419" s="83"/>
      <c r="X1419" s="83"/>
      <c r="Y1419" s="83"/>
    </row>
    <row r="1420" spans="1:25" ht="13.8">
      <c r="A1420" s="78" t="str">
        <f ca="1">IFERROR(__xludf.DUMMYFUNCTION("""COMPUTED_VALUE"""),"O")</f>
        <v>O</v>
      </c>
      <c r="B1420" s="79" t="str">
        <f ca="1">IFERROR(__xludf.DUMMYFUNCTION("""COMPUTED_VALUE"""),"Lauren Alboum")</f>
        <v>Lauren Alboum</v>
      </c>
      <c r="C1420" s="78">
        <f ca="1">IFERROR(__xludf.DUMMYFUNCTION("""COMPUTED_VALUE"""),12)</f>
        <v>12</v>
      </c>
      <c r="D1420" s="78" t="str">
        <f ca="1">IFERROR(__xludf.DUMMYFUNCTION("""COMPUTED_VALUE"""),"G")</f>
        <v>G</v>
      </c>
      <c r="E1420" s="80" t="str">
        <f ca="1">IFERROR(__xludf.DUMMYFUNCTION("""COMPUTED_VALUE"""),"J")</f>
        <v>J</v>
      </c>
      <c r="F1420" s="80" t="str">
        <f ca="1">IFERROR(__xludf.DUMMYFUNCTION("""COMPUTED_VALUE"""),"I")</f>
        <v>I</v>
      </c>
      <c r="G1420" s="80">
        <f ca="1">IFERROR(__xludf.DUMMYFUNCTION("""COMPUTED_VALUE"""),1)</f>
        <v>1</v>
      </c>
      <c r="H1420" s="80" t="str">
        <f ca="1">IFERROR(__xludf.DUMMYFUNCTION("""COMPUTED_VALUE"""),"O")</f>
        <v>O</v>
      </c>
      <c r="I1420" s="80">
        <f ca="1">IFERROR(__xludf.DUMMYFUNCTION("""COMPUTED_VALUE"""),4)</f>
        <v>4</v>
      </c>
      <c r="J1420" s="81">
        <f ca="1">IFERROR(__xludf.DUMMYFUNCTION("""COMPUTED_VALUE"""),5)</f>
        <v>5</v>
      </c>
      <c r="K1420" s="81">
        <f ca="1">IFERROR(__xludf.DUMMYFUNCTION("""COMPUTED_VALUE"""),79.85)</f>
        <v>79.849999999999994</v>
      </c>
      <c r="L1420" s="81">
        <f ca="1">IFERROR(__xludf.DUMMYFUNCTION("""COMPUTED_VALUE"""),50.4)</f>
        <v>50.4</v>
      </c>
      <c r="M1420" s="81"/>
      <c r="N1420" s="81">
        <f ca="1">IFERROR(__xludf.DUMMYFUNCTION("""COMPUTED_VALUE"""),57.35)</f>
        <v>57.35</v>
      </c>
      <c r="O1420" s="81"/>
      <c r="P1420" s="81">
        <f ca="1">IFERROR(__xludf.DUMMYFUNCTION("""COMPUTED_VALUE"""),62.75)</f>
        <v>62.75</v>
      </c>
      <c r="Q1420" s="81"/>
      <c r="R1420" s="81">
        <f ca="1">IFERROR(__xludf.DUMMYFUNCTION("""COMPUTED_VALUE"""),79.85)</f>
        <v>79.849999999999994</v>
      </c>
      <c r="S1420" s="81"/>
      <c r="T1420" s="81"/>
      <c r="U1420" s="82"/>
      <c r="V1420" s="82"/>
      <c r="W1420" s="83"/>
      <c r="X1420" s="83"/>
      <c r="Y1420" s="83"/>
    </row>
    <row r="1421" spans="1:25" ht="13.8">
      <c r="A1421" s="78" t="str">
        <f ca="1">IFERROR(__xludf.DUMMYFUNCTION("""COMPUTED_VALUE"""),"O")</f>
        <v>O</v>
      </c>
      <c r="B1421" s="79" t="str">
        <f ca="1">IFERROR(__xludf.DUMMYFUNCTION("""COMPUTED_VALUE"""),"Stella Barclay")</f>
        <v>Stella Barclay</v>
      </c>
      <c r="C1421" s="78">
        <f ca="1">IFERROR(__xludf.DUMMYFUNCTION("""COMPUTED_VALUE"""),12)</f>
        <v>12</v>
      </c>
      <c r="D1421" s="78" t="str">
        <f ca="1">IFERROR(__xludf.DUMMYFUNCTION("""COMPUTED_VALUE"""),"G")</f>
        <v>G</v>
      </c>
      <c r="E1421" s="80" t="str">
        <f ca="1">IFERROR(__xludf.DUMMYFUNCTION("""COMPUTED_VALUE"""),"J")</f>
        <v>J</v>
      </c>
      <c r="F1421" s="80" t="str">
        <f ca="1">IFERROR(__xludf.DUMMYFUNCTION("""COMPUTED_VALUE"""),"I")</f>
        <v>I</v>
      </c>
      <c r="G1421" s="80">
        <f ca="1">IFERROR(__xludf.DUMMYFUNCTION("""COMPUTED_VALUE"""),1)</f>
        <v>1</v>
      </c>
      <c r="H1421" s="80" t="str">
        <f ca="1">IFERROR(__xludf.DUMMYFUNCTION("""COMPUTED_VALUE"""),"O")</f>
        <v>O</v>
      </c>
      <c r="I1421" s="80">
        <f ca="1">IFERROR(__xludf.DUMMYFUNCTION("""COMPUTED_VALUE"""),4)</f>
        <v>4</v>
      </c>
      <c r="J1421" s="81">
        <f ca="1">IFERROR(__xludf.DUMMYFUNCTION("""COMPUTED_VALUE"""),4)</f>
        <v>4</v>
      </c>
      <c r="K1421" s="81">
        <f ca="1">IFERROR(__xludf.DUMMYFUNCTION("""COMPUTED_VALUE"""),114.35)</f>
        <v>114.35</v>
      </c>
      <c r="L1421" s="81">
        <f ca="1">IFERROR(__xludf.DUMMYFUNCTION("""COMPUTED_VALUE"""),114.35)</f>
        <v>114.35</v>
      </c>
      <c r="M1421" s="81"/>
      <c r="N1421" s="81">
        <f ca="1">IFERROR(__xludf.DUMMYFUNCTION("""COMPUTED_VALUE"""),110.75)</f>
        <v>110.75</v>
      </c>
      <c r="O1421" s="81"/>
      <c r="P1421" s="81">
        <f ca="1">IFERROR(__xludf.DUMMYFUNCTION("""COMPUTED_VALUE"""),-148.95)</f>
        <v>-148.94999999999999</v>
      </c>
      <c r="Q1421" s="81"/>
      <c r="R1421" s="81">
        <f ca="1">IFERROR(__xludf.DUMMYFUNCTION("""COMPUTED_VALUE"""),0)</f>
        <v>0</v>
      </c>
      <c r="S1421" s="81"/>
      <c r="T1421" s="81"/>
      <c r="U1421" s="82"/>
      <c r="V1421" s="82"/>
      <c r="W1421" s="83"/>
      <c r="X1421" s="83"/>
      <c r="Y1421" s="83"/>
    </row>
    <row r="1422" spans="1:25" ht="13.8">
      <c r="A1422" s="78" t="str">
        <f ca="1">IFERROR(__xludf.DUMMYFUNCTION("""COMPUTED_VALUE"""),"O")</f>
        <v>O</v>
      </c>
      <c r="B1422" s="79" t="str">
        <f ca="1">IFERROR(__xludf.DUMMYFUNCTION("""COMPUTED_VALUE"""),"Amelia Buczek")</f>
        <v>Amelia Buczek</v>
      </c>
      <c r="C1422" s="78">
        <f ca="1">IFERROR(__xludf.DUMMYFUNCTION("""COMPUTED_VALUE"""),12)</f>
        <v>12</v>
      </c>
      <c r="D1422" s="78" t="str">
        <f ca="1">IFERROR(__xludf.DUMMYFUNCTION("""COMPUTED_VALUE"""),"G")</f>
        <v>G</v>
      </c>
      <c r="E1422" s="80" t="str">
        <f ca="1">IFERROR(__xludf.DUMMYFUNCTION("""COMPUTED_VALUE"""),"J")</f>
        <v>J</v>
      </c>
      <c r="F1422" s="80" t="str">
        <f ca="1">IFERROR(__xludf.DUMMYFUNCTION("""COMPUTED_VALUE"""),"I")</f>
        <v>I</v>
      </c>
      <c r="G1422" s="80">
        <f ca="1">IFERROR(__xludf.DUMMYFUNCTION("""COMPUTED_VALUE"""),1)</f>
        <v>1</v>
      </c>
      <c r="H1422" s="80" t="str">
        <f ca="1">IFERROR(__xludf.DUMMYFUNCTION("""COMPUTED_VALUE"""),"O")</f>
        <v>O</v>
      </c>
      <c r="I1422" s="80">
        <f ca="1">IFERROR(__xludf.DUMMYFUNCTION("""COMPUTED_VALUE"""),4)</f>
        <v>4</v>
      </c>
      <c r="J1422" s="81">
        <f ca="1">IFERROR(__xludf.DUMMYFUNCTION("""COMPUTED_VALUE"""),0)</f>
        <v>0</v>
      </c>
      <c r="K1422" s="81">
        <f ca="1">IFERROR(__xludf.DUMMYFUNCTION("""COMPUTED_VALUE"""),0)</f>
        <v>0</v>
      </c>
      <c r="L1422" s="81">
        <f ca="1">IFERROR(__xludf.DUMMYFUNCTION("""COMPUTED_VALUE"""),0)</f>
        <v>0</v>
      </c>
      <c r="M1422" s="81"/>
      <c r="N1422" s="81">
        <f ca="1">IFERROR(__xludf.DUMMYFUNCTION("""COMPUTED_VALUE"""),0)</f>
        <v>0</v>
      </c>
      <c r="O1422" s="81"/>
      <c r="P1422" s="81">
        <f ca="1">IFERROR(__xludf.DUMMYFUNCTION("""COMPUTED_VALUE"""),0)</f>
        <v>0</v>
      </c>
      <c r="Q1422" s="81"/>
      <c r="R1422" s="81">
        <f ca="1">IFERROR(__xludf.DUMMYFUNCTION("""COMPUTED_VALUE"""),0)</f>
        <v>0</v>
      </c>
      <c r="S1422" s="81"/>
      <c r="T1422" s="81"/>
      <c r="U1422" s="82"/>
      <c r="V1422" s="82"/>
      <c r="W1422" s="83"/>
      <c r="X1422" s="83"/>
      <c r="Y1422" s="83"/>
    </row>
    <row r="1423" spans="1:25" ht="13.8">
      <c r="A1423" s="78" t="str">
        <f ca="1">IFERROR(__xludf.DUMMYFUNCTION("""COMPUTED_VALUE"""),"O")</f>
        <v>O</v>
      </c>
      <c r="B1423" s="79" t="str">
        <f ca="1">IFERROR(__xludf.DUMMYFUNCTION("""COMPUTED_VALUE"""),"Anna Dober")</f>
        <v>Anna Dober</v>
      </c>
      <c r="C1423" s="78">
        <f ca="1">IFERROR(__xludf.DUMMYFUNCTION("""COMPUTED_VALUE"""),11)</f>
        <v>11</v>
      </c>
      <c r="D1423" s="78" t="str">
        <f ca="1">IFERROR(__xludf.DUMMYFUNCTION("""COMPUTED_VALUE"""),"G")</f>
        <v>G</v>
      </c>
      <c r="E1423" s="80" t="str">
        <f ca="1">IFERROR(__xludf.DUMMYFUNCTION("""COMPUTED_VALUE"""),"J")</f>
        <v>J</v>
      </c>
      <c r="F1423" s="80" t="str">
        <f ca="1">IFERROR(__xludf.DUMMYFUNCTION("""COMPUTED_VALUE"""),"I")</f>
        <v>I</v>
      </c>
      <c r="G1423" s="80">
        <f ca="1">IFERROR(__xludf.DUMMYFUNCTION("""COMPUTED_VALUE"""),1)</f>
        <v>1</v>
      </c>
      <c r="H1423" s="80" t="str">
        <f ca="1">IFERROR(__xludf.DUMMYFUNCTION("""COMPUTED_VALUE"""),"O")</f>
        <v>O</v>
      </c>
      <c r="I1423" s="80">
        <f ca="1">IFERROR(__xludf.DUMMYFUNCTION("""COMPUTED_VALUE"""),4)</f>
        <v>4</v>
      </c>
      <c r="J1423" s="81">
        <f ca="1">IFERROR(__xludf.DUMMYFUNCTION("""COMPUTED_VALUE"""),5)</f>
        <v>5</v>
      </c>
      <c r="K1423" s="81">
        <f ca="1">IFERROR(__xludf.DUMMYFUNCTION("""COMPUTED_VALUE"""),88.35)</f>
        <v>88.35</v>
      </c>
      <c r="L1423" s="81">
        <f ca="1">IFERROR(__xludf.DUMMYFUNCTION("""COMPUTED_VALUE"""),88.35)</f>
        <v>88.35</v>
      </c>
      <c r="M1423" s="81"/>
      <c r="N1423" s="81">
        <f ca="1">IFERROR(__xludf.DUMMYFUNCTION("""COMPUTED_VALUE"""),81.05)</f>
        <v>81.05</v>
      </c>
      <c r="O1423" s="81"/>
      <c r="P1423" s="81">
        <f ca="1">IFERROR(__xludf.DUMMYFUNCTION("""COMPUTED_VALUE"""),57.55)</f>
        <v>57.55</v>
      </c>
      <c r="Q1423" s="81"/>
      <c r="R1423" s="81">
        <f ca="1">IFERROR(__xludf.DUMMYFUNCTION("""COMPUTED_VALUE"""),75.2)</f>
        <v>75.2</v>
      </c>
      <c r="S1423" s="81"/>
      <c r="T1423" s="81"/>
      <c r="U1423" s="82"/>
      <c r="V1423" s="82"/>
      <c r="W1423" s="83"/>
      <c r="X1423" s="83"/>
      <c r="Y1423" s="83"/>
    </row>
    <row r="1424" spans="1:25" ht="13.8">
      <c r="A1424" s="78" t="str">
        <f ca="1">IFERROR(__xludf.DUMMYFUNCTION("""COMPUTED_VALUE"""),"O")</f>
        <v>O</v>
      </c>
      <c r="B1424" s="79" t="str">
        <f ca="1">IFERROR(__xludf.DUMMYFUNCTION("""COMPUTED_VALUE"""),"Leah Dober")</f>
        <v>Leah Dober</v>
      </c>
      <c r="C1424" s="78">
        <f ca="1">IFERROR(__xludf.DUMMYFUNCTION("""COMPUTED_VALUE"""),11)</f>
        <v>11</v>
      </c>
      <c r="D1424" s="78" t="str">
        <f ca="1">IFERROR(__xludf.DUMMYFUNCTION("""COMPUTED_VALUE"""),"G")</f>
        <v>G</v>
      </c>
      <c r="E1424" s="80" t="str">
        <f ca="1">IFERROR(__xludf.DUMMYFUNCTION("""COMPUTED_VALUE"""),"J")</f>
        <v>J</v>
      </c>
      <c r="F1424" s="80" t="str">
        <f ca="1">IFERROR(__xludf.DUMMYFUNCTION("""COMPUTED_VALUE"""),"I")</f>
        <v>I</v>
      </c>
      <c r="G1424" s="80">
        <f ca="1">IFERROR(__xludf.DUMMYFUNCTION("""COMPUTED_VALUE"""),1)</f>
        <v>1</v>
      </c>
      <c r="H1424" s="80" t="str">
        <f ca="1">IFERROR(__xludf.DUMMYFUNCTION("""COMPUTED_VALUE"""),"O")</f>
        <v>O</v>
      </c>
      <c r="I1424" s="80">
        <f ca="1">IFERROR(__xludf.DUMMYFUNCTION("""COMPUTED_VALUE"""),4)</f>
        <v>4</v>
      </c>
      <c r="J1424" s="81">
        <f ca="1">IFERROR(__xludf.DUMMYFUNCTION("""COMPUTED_VALUE"""),0)</f>
        <v>0</v>
      </c>
      <c r="K1424" s="81">
        <f ca="1">IFERROR(__xludf.DUMMYFUNCTION("""COMPUTED_VALUE"""),0)</f>
        <v>0</v>
      </c>
      <c r="L1424" s="81">
        <f ca="1">IFERROR(__xludf.DUMMYFUNCTION("""COMPUTED_VALUE"""),0)</f>
        <v>0</v>
      </c>
      <c r="M1424" s="81"/>
      <c r="N1424" s="81">
        <f ca="1">IFERROR(__xludf.DUMMYFUNCTION("""COMPUTED_VALUE"""),0)</f>
        <v>0</v>
      </c>
      <c r="O1424" s="81"/>
      <c r="P1424" s="81">
        <f ca="1">IFERROR(__xludf.DUMMYFUNCTION("""COMPUTED_VALUE"""),0)</f>
        <v>0</v>
      </c>
      <c r="Q1424" s="81"/>
      <c r="R1424" s="81">
        <f ca="1">IFERROR(__xludf.DUMMYFUNCTION("""COMPUTED_VALUE"""),0)</f>
        <v>0</v>
      </c>
      <c r="S1424" s="81"/>
      <c r="T1424" s="81"/>
      <c r="U1424" s="82"/>
      <c r="V1424" s="82"/>
      <c r="W1424" s="83"/>
      <c r="X1424" s="83"/>
      <c r="Y1424" s="83"/>
    </row>
    <row r="1425" spans="1:25" ht="13.8">
      <c r="A1425" s="78" t="str">
        <f ca="1">IFERROR(__xludf.DUMMYFUNCTION("""COMPUTED_VALUE"""),"O")</f>
        <v>O</v>
      </c>
      <c r="B1425" s="79" t="str">
        <f ca="1">IFERROR(__xludf.DUMMYFUNCTION("""COMPUTED_VALUE"""),"Isabella Eisenberg")</f>
        <v>Isabella Eisenberg</v>
      </c>
      <c r="C1425" s="78">
        <f ca="1">IFERROR(__xludf.DUMMYFUNCTION("""COMPUTED_VALUE"""),12)</f>
        <v>12</v>
      </c>
      <c r="D1425" s="78" t="str">
        <f ca="1">IFERROR(__xludf.DUMMYFUNCTION("""COMPUTED_VALUE"""),"G")</f>
        <v>G</v>
      </c>
      <c r="E1425" s="80" t="str">
        <f ca="1">IFERROR(__xludf.DUMMYFUNCTION("""COMPUTED_VALUE"""),"J")</f>
        <v>J</v>
      </c>
      <c r="F1425" s="80" t="str">
        <f ca="1">IFERROR(__xludf.DUMMYFUNCTION("""COMPUTED_VALUE"""),"I")</f>
        <v>I</v>
      </c>
      <c r="G1425" s="80">
        <f ca="1">IFERROR(__xludf.DUMMYFUNCTION("""COMPUTED_VALUE"""),1)</f>
        <v>1</v>
      </c>
      <c r="H1425" s="80" t="str">
        <f ca="1">IFERROR(__xludf.DUMMYFUNCTION("""COMPUTED_VALUE"""),"O")</f>
        <v>O</v>
      </c>
      <c r="I1425" s="80">
        <f ca="1">IFERROR(__xludf.DUMMYFUNCTION("""COMPUTED_VALUE"""),4)</f>
        <v>4</v>
      </c>
      <c r="J1425" s="81">
        <f ca="1">IFERROR(__xludf.DUMMYFUNCTION("""COMPUTED_VALUE"""),2)</f>
        <v>2</v>
      </c>
      <c r="K1425" s="81">
        <f ca="1">IFERROR(__xludf.DUMMYFUNCTION("""COMPUTED_VALUE"""),114.1)</f>
        <v>114.1</v>
      </c>
      <c r="L1425" s="81">
        <f ca="1">IFERROR(__xludf.DUMMYFUNCTION("""COMPUTED_VALUE"""),114.1)</f>
        <v>114.1</v>
      </c>
      <c r="M1425" s="81"/>
      <c r="N1425" s="81">
        <f ca="1">IFERROR(__xludf.DUMMYFUNCTION("""COMPUTED_VALUE"""),95)</f>
        <v>95</v>
      </c>
      <c r="O1425" s="81"/>
      <c r="P1425" s="81">
        <f ca="1">IFERROR(__xludf.DUMMYFUNCTION("""COMPUTED_VALUE"""),0)</f>
        <v>0</v>
      </c>
      <c r="Q1425" s="81"/>
      <c r="R1425" s="81">
        <f ca="1">IFERROR(__xludf.DUMMYFUNCTION("""COMPUTED_VALUE"""),0)</f>
        <v>0</v>
      </c>
      <c r="S1425" s="81"/>
      <c r="T1425" s="81"/>
      <c r="U1425" s="82"/>
      <c r="V1425" s="82"/>
      <c r="W1425" s="83"/>
      <c r="X1425" s="83"/>
      <c r="Y1425" s="83"/>
    </row>
    <row r="1426" spans="1:25" ht="13.8">
      <c r="A1426" s="78" t="str">
        <f ca="1">IFERROR(__xludf.DUMMYFUNCTION("""COMPUTED_VALUE"""),"O")</f>
        <v>O</v>
      </c>
      <c r="B1426" s="79" t="str">
        <f ca="1">IFERROR(__xludf.DUMMYFUNCTION("""COMPUTED_VALUE"""),"Margo Eskovitz")</f>
        <v>Margo Eskovitz</v>
      </c>
      <c r="C1426" s="78">
        <f ca="1">IFERROR(__xludf.DUMMYFUNCTION("""COMPUTED_VALUE"""),11)</f>
        <v>11</v>
      </c>
      <c r="D1426" s="78" t="str">
        <f ca="1">IFERROR(__xludf.DUMMYFUNCTION("""COMPUTED_VALUE"""),"G")</f>
        <v>G</v>
      </c>
      <c r="E1426" s="80" t="str">
        <f ca="1">IFERROR(__xludf.DUMMYFUNCTION("""COMPUTED_VALUE"""),"J")</f>
        <v>J</v>
      </c>
      <c r="F1426" s="80" t="str">
        <f ca="1">IFERROR(__xludf.DUMMYFUNCTION("""COMPUTED_VALUE"""),"I")</f>
        <v>I</v>
      </c>
      <c r="G1426" s="80">
        <f ca="1">IFERROR(__xludf.DUMMYFUNCTION("""COMPUTED_VALUE"""),1)</f>
        <v>1</v>
      </c>
      <c r="H1426" s="80" t="str">
        <f ca="1">IFERROR(__xludf.DUMMYFUNCTION("""COMPUTED_VALUE"""),"O")</f>
        <v>O</v>
      </c>
      <c r="I1426" s="80">
        <f ca="1">IFERROR(__xludf.DUMMYFUNCTION("""COMPUTED_VALUE"""),4)</f>
        <v>4</v>
      </c>
      <c r="J1426" s="81">
        <f ca="1">IFERROR(__xludf.DUMMYFUNCTION("""COMPUTED_VALUE"""),3)</f>
        <v>3</v>
      </c>
      <c r="K1426" s="81">
        <f ca="1">IFERROR(__xludf.DUMMYFUNCTION("""COMPUTED_VALUE"""),65.6)</f>
        <v>65.599999999999994</v>
      </c>
      <c r="L1426" s="81">
        <f ca="1">IFERROR(__xludf.DUMMYFUNCTION("""COMPUTED_VALUE"""),0)</f>
        <v>0</v>
      </c>
      <c r="M1426" s="81"/>
      <c r="N1426" s="81">
        <f ca="1">IFERROR(__xludf.DUMMYFUNCTION("""COMPUTED_VALUE"""),65.6)</f>
        <v>65.599999999999994</v>
      </c>
      <c r="O1426" s="81"/>
      <c r="P1426" s="81">
        <f ca="1">IFERROR(__xludf.DUMMYFUNCTION("""COMPUTED_VALUE"""),45.1)</f>
        <v>45.1</v>
      </c>
      <c r="Q1426" s="81"/>
      <c r="R1426" s="81">
        <f ca="1">IFERROR(__xludf.DUMMYFUNCTION("""COMPUTED_VALUE"""),64.1)</f>
        <v>64.099999999999994</v>
      </c>
      <c r="S1426" s="81"/>
      <c r="T1426" s="81"/>
      <c r="U1426" s="82"/>
      <c r="V1426" s="82"/>
      <c r="W1426" s="83"/>
      <c r="X1426" s="83"/>
      <c r="Y1426" s="83"/>
    </row>
    <row r="1427" spans="1:25" ht="13.8">
      <c r="A1427" s="78" t="str">
        <f ca="1">IFERROR(__xludf.DUMMYFUNCTION("""COMPUTED_VALUE"""),"O")</f>
        <v>O</v>
      </c>
      <c r="B1427" s="79" t="str">
        <f ca="1">IFERROR(__xludf.DUMMYFUNCTION("""COMPUTED_VALUE"""),"Georgette Malko")</f>
        <v>Georgette Malko</v>
      </c>
      <c r="C1427" s="78">
        <f ca="1">IFERROR(__xludf.DUMMYFUNCTION("""COMPUTED_VALUE"""),12)</f>
        <v>12</v>
      </c>
      <c r="D1427" s="78" t="str">
        <f ca="1">IFERROR(__xludf.DUMMYFUNCTION("""COMPUTED_VALUE"""),"G")</f>
        <v>G</v>
      </c>
      <c r="E1427" s="80" t="str">
        <f ca="1">IFERROR(__xludf.DUMMYFUNCTION("""COMPUTED_VALUE"""),"J")</f>
        <v>J</v>
      </c>
      <c r="F1427" s="80" t="str">
        <f ca="1">IFERROR(__xludf.DUMMYFUNCTION("""COMPUTED_VALUE"""),"I")</f>
        <v>I</v>
      </c>
      <c r="G1427" s="80">
        <f ca="1">IFERROR(__xludf.DUMMYFUNCTION("""COMPUTED_VALUE"""),1)</f>
        <v>1</v>
      </c>
      <c r="H1427" s="80" t="str">
        <f ca="1">IFERROR(__xludf.DUMMYFUNCTION("""COMPUTED_VALUE"""),"O")</f>
        <v>O</v>
      </c>
      <c r="I1427" s="80">
        <f ca="1">IFERROR(__xludf.DUMMYFUNCTION("""COMPUTED_VALUE"""),4)</f>
        <v>4</v>
      </c>
      <c r="J1427" s="81">
        <f ca="1">IFERROR(__xludf.DUMMYFUNCTION("""COMPUTED_VALUE"""),4)</f>
        <v>4</v>
      </c>
      <c r="K1427" s="81">
        <f ca="1">IFERROR(__xludf.DUMMYFUNCTION("""COMPUTED_VALUE"""),88.6)</f>
        <v>88.6</v>
      </c>
      <c r="L1427" s="81">
        <f ca="1">IFERROR(__xludf.DUMMYFUNCTION("""COMPUTED_VALUE"""),0)</f>
        <v>0</v>
      </c>
      <c r="M1427" s="81"/>
      <c r="N1427" s="81">
        <f ca="1">IFERROR(__xludf.DUMMYFUNCTION("""COMPUTED_VALUE"""),88.6)</f>
        <v>88.6</v>
      </c>
      <c r="O1427" s="81"/>
      <c r="P1427" s="81">
        <f ca="1">IFERROR(__xludf.DUMMYFUNCTION("""COMPUTED_VALUE"""),81.75)</f>
        <v>81.75</v>
      </c>
      <c r="Q1427" s="81"/>
      <c r="R1427" s="81">
        <f ca="1">IFERROR(__xludf.DUMMYFUNCTION("""COMPUTED_VALUE"""),84.65)</f>
        <v>84.65</v>
      </c>
      <c r="S1427" s="81"/>
      <c r="T1427" s="81"/>
      <c r="U1427" s="82"/>
      <c r="V1427" s="82"/>
      <c r="W1427" s="83"/>
      <c r="X1427" s="83"/>
      <c r="Y1427" s="83"/>
    </row>
    <row r="1428" spans="1:25" ht="13.8">
      <c r="A1428" s="78" t="str">
        <f ca="1">IFERROR(__xludf.DUMMYFUNCTION("""COMPUTED_VALUE"""),"O")</f>
        <v>O</v>
      </c>
      <c r="B1428" s="79" t="str">
        <f ca="1">IFERROR(__xludf.DUMMYFUNCTION("""COMPUTED_VALUE"""),"Avery Mills")</f>
        <v>Avery Mills</v>
      </c>
      <c r="C1428" s="78">
        <f ca="1">IFERROR(__xludf.DUMMYFUNCTION("""COMPUTED_VALUE"""),12)</f>
        <v>12</v>
      </c>
      <c r="D1428" s="78" t="str">
        <f ca="1">IFERROR(__xludf.DUMMYFUNCTION("""COMPUTED_VALUE"""),"G")</f>
        <v>G</v>
      </c>
      <c r="E1428" s="80" t="str">
        <f ca="1">IFERROR(__xludf.DUMMYFUNCTION("""COMPUTED_VALUE"""),"J")</f>
        <v>J</v>
      </c>
      <c r="F1428" s="80" t="str">
        <f ca="1">IFERROR(__xludf.DUMMYFUNCTION("""COMPUTED_VALUE"""),"I")</f>
        <v>I</v>
      </c>
      <c r="G1428" s="80">
        <f ca="1">IFERROR(__xludf.DUMMYFUNCTION("""COMPUTED_VALUE"""),1)</f>
        <v>1</v>
      </c>
      <c r="H1428" s="80" t="str">
        <f ca="1">IFERROR(__xludf.DUMMYFUNCTION("""COMPUTED_VALUE"""),"O")</f>
        <v>O</v>
      </c>
      <c r="I1428" s="80">
        <f ca="1">IFERROR(__xludf.DUMMYFUNCTION("""COMPUTED_VALUE"""),4)</f>
        <v>4</v>
      </c>
      <c r="J1428" s="81">
        <f ca="1">IFERROR(__xludf.DUMMYFUNCTION("""COMPUTED_VALUE"""),3)</f>
        <v>3</v>
      </c>
      <c r="K1428" s="81">
        <f ca="1">IFERROR(__xludf.DUMMYFUNCTION("""COMPUTED_VALUE"""),94.2)</f>
        <v>94.2</v>
      </c>
      <c r="L1428" s="81">
        <f ca="1">IFERROR(__xludf.DUMMYFUNCTION("""COMPUTED_VALUE"""),0)</f>
        <v>0</v>
      </c>
      <c r="M1428" s="81"/>
      <c r="N1428" s="81">
        <f ca="1">IFERROR(__xludf.DUMMYFUNCTION("""COMPUTED_VALUE"""),94.2)</f>
        <v>94.2</v>
      </c>
      <c r="O1428" s="81"/>
      <c r="P1428" s="81">
        <f ca="1">IFERROR(__xludf.DUMMYFUNCTION("""COMPUTED_VALUE"""),0)</f>
        <v>0</v>
      </c>
      <c r="Q1428" s="81"/>
      <c r="R1428" s="81">
        <f ca="1">IFERROR(__xludf.DUMMYFUNCTION("""COMPUTED_VALUE"""),88.55)</f>
        <v>88.55</v>
      </c>
      <c r="S1428" s="81"/>
      <c r="T1428" s="81"/>
      <c r="U1428" s="82"/>
      <c r="V1428" s="82"/>
      <c r="W1428" s="83"/>
      <c r="X1428" s="83"/>
      <c r="Y1428" s="83"/>
    </row>
    <row r="1429" spans="1:25" ht="13.8">
      <c r="A1429" s="78" t="str">
        <f ca="1">IFERROR(__xludf.DUMMYFUNCTION("""COMPUTED_VALUE"""),"O")</f>
        <v>O</v>
      </c>
      <c r="B1429" s="79" t="str">
        <f ca="1">IFERROR(__xludf.DUMMYFUNCTION("""COMPUTED_VALUE"""),"Jubilee Schneider")</f>
        <v>Jubilee Schneider</v>
      </c>
      <c r="C1429" s="78">
        <f ca="1">IFERROR(__xludf.DUMMYFUNCTION("""COMPUTED_VALUE"""),12)</f>
        <v>12</v>
      </c>
      <c r="D1429" s="78" t="str">
        <f ca="1">IFERROR(__xludf.DUMMYFUNCTION("""COMPUTED_VALUE"""),"G")</f>
        <v>G</v>
      </c>
      <c r="E1429" s="80" t="str">
        <f ca="1">IFERROR(__xludf.DUMMYFUNCTION("""COMPUTED_VALUE"""),"J")</f>
        <v>J</v>
      </c>
      <c r="F1429" s="80" t="str">
        <f ca="1">IFERROR(__xludf.DUMMYFUNCTION("""COMPUTED_VALUE"""),"I")</f>
        <v>I</v>
      </c>
      <c r="G1429" s="80">
        <f ca="1">IFERROR(__xludf.DUMMYFUNCTION("""COMPUTED_VALUE"""),1)</f>
        <v>1</v>
      </c>
      <c r="H1429" s="80" t="str">
        <f ca="1">IFERROR(__xludf.DUMMYFUNCTION("""COMPUTED_VALUE"""),"O")</f>
        <v>O</v>
      </c>
      <c r="I1429" s="80">
        <f ca="1">IFERROR(__xludf.DUMMYFUNCTION("""COMPUTED_VALUE"""),4)</f>
        <v>4</v>
      </c>
      <c r="J1429" s="81">
        <f ca="1">IFERROR(__xludf.DUMMYFUNCTION("""COMPUTED_VALUE"""),0)</f>
        <v>0</v>
      </c>
      <c r="K1429" s="81">
        <f ca="1">IFERROR(__xludf.DUMMYFUNCTION("""COMPUTED_VALUE"""),0)</f>
        <v>0</v>
      </c>
      <c r="L1429" s="81">
        <f ca="1">IFERROR(__xludf.DUMMYFUNCTION("""COMPUTED_VALUE"""),0)</f>
        <v>0</v>
      </c>
      <c r="M1429" s="81"/>
      <c r="N1429" s="81">
        <f ca="1">IFERROR(__xludf.DUMMYFUNCTION("""COMPUTED_VALUE"""),0)</f>
        <v>0</v>
      </c>
      <c r="O1429" s="81"/>
      <c r="P1429" s="81">
        <f ca="1">IFERROR(__xludf.DUMMYFUNCTION("""COMPUTED_VALUE"""),0)</f>
        <v>0</v>
      </c>
      <c r="Q1429" s="81"/>
      <c r="R1429" s="81">
        <f ca="1">IFERROR(__xludf.DUMMYFUNCTION("""COMPUTED_VALUE"""),0)</f>
        <v>0</v>
      </c>
      <c r="S1429" s="81"/>
      <c r="T1429" s="81"/>
      <c r="U1429" s="82"/>
      <c r="V1429" s="82"/>
      <c r="W1429" s="83"/>
      <c r="X1429" s="83"/>
      <c r="Y1429" s="83"/>
    </row>
    <row r="1430" spans="1:25" ht="13.8">
      <c r="A1430" s="78" t="str">
        <f ca="1">IFERROR(__xludf.DUMMYFUNCTION("""COMPUTED_VALUE"""),"O")</f>
        <v>O</v>
      </c>
      <c r="B1430" s="79" t="str">
        <f ca="1">IFERROR(__xludf.DUMMYFUNCTION("""COMPUTED_VALUE"""),"Ashley Tucker")</f>
        <v>Ashley Tucker</v>
      </c>
      <c r="C1430" s="78">
        <f ca="1">IFERROR(__xludf.DUMMYFUNCTION("""COMPUTED_VALUE"""),11)</f>
        <v>11</v>
      </c>
      <c r="D1430" s="78" t="str">
        <f ca="1">IFERROR(__xludf.DUMMYFUNCTION("""COMPUTED_VALUE"""),"G")</f>
        <v>G</v>
      </c>
      <c r="E1430" s="80" t="str">
        <f ca="1">IFERROR(__xludf.DUMMYFUNCTION("""COMPUTED_VALUE"""),"J")</f>
        <v>J</v>
      </c>
      <c r="F1430" s="80" t="str">
        <f ca="1">IFERROR(__xludf.DUMMYFUNCTION("""COMPUTED_VALUE"""),"I")</f>
        <v>I</v>
      </c>
      <c r="G1430" s="80">
        <f ca="1">IFERROR(__xludf.DUMMYFUNCTION("""COMPUTED_VALUE"""),1)</f>
        <v>1</v>
      </c>
      <c r="H1430" s="80" t="str">
        <f ca="1">IFERROR(__xludf.DUMMYFUNCTION("""COMPUTED_VALUE"""),"O")</f>
        <v>O</v>
      </c>
      <c r="I1430" s="80">
        <f ca="1">IFERROR(__xludf.DUMMYFUNCTION("""COMPUTED_VALUE"""),4)</f>
        <v>4</v>
      </c>
      <c r="J1430" s="81">
        <f ca="1">IFERROR(__xludf.DUMMYFUNCTION("""COMPUTED_VALUE"""),0)</f>
        <v>0</v>
      </c>
      <c r="K1430" s="81">
        <f ca="1">IFERROR(__xludf.DUMMYFUNCTION("""COMPUTED_VALUE"""),0)</f>
        <v>0</v>
      </c>
      <c r="L1430" s="81">
        <f ca="1">IFERROR(__xludf.DUMMYFUNCTION("""COMPUTED_VALUE"""),0)</f>
        <v>0</v>
      </c>
      <c r="M1430" s="81"/>
      <c r="N1430" s="81">
        <f ca="1">IFERROR(__xludf.DUMMYFUNCTION("""COMPUTED_VALUE"""),0)</f>
        <v>0</v>
      </c>
      <c r="O1430" s="81"/>
      <c r="P1430" s="81">
        <f ca="1">IFERROR(__xludf.DUMMYFUNCTION("""COMPUTED_VALUE"""),0)</f>
        <v>0</v>
      </c>
      <c r="Q1430" s="81"/>
      <c r="R1430" s="81">
        <f ca="1">IFERROR(__xludf.DUMMYFUNCTION("""COMPUTED_VALUE"""),0)</f>
        <v>0</v>
      </c>
      <c r="S1430" s="81"/>
      <c r="T1430" s="81"/>
      <c r="U1430" s="82"/>
      <c r="V1430" s="82"/>
      <c r="W1430" s="83"/>
      <c r="X1430" s="83"/>
      <c r="Y1430" s="83"/>
    </row>
    <row r="1431" spans="1:25" ht="13.8">
      <c r="A1431" s="78" t="str">
        <f ca="1">IFERROR(__xludf.DUMMYFUNCTION("""COMPUTED_VALUE"""),"O")</f>
        <v>O</v>
      </c>
      <c r="B1431" s="79" t="str">
        <f ca="1">IFERROR(__xludf.DUMMYFUNCTION("""COMPUTED_VALUE"""),"Holly Tucker")</f>
        <v>Holly Tucker</v>
      </c>
      <c r="C1431" s="78">
        <f ca="1">IFERROR(__xludf.DUMMYFUNCTION("""COMPUTED_VALUE"""),11)</f>
        <v>11</v>
      </c>
      <c r="D1431" s="78" t="str">
        <f ca="1">IFERROR(__xludf.DUMMYFUNCTION("""COMPUTED_VALUE"""),"G")</f>
        <v>G</v>
      </c>
      <c r="E1431" s="80" t="str">
        <f ca="1">IFERROR(__xludf.DUMMYFUNCTION("""COMPUTED_VALUE"""),"J")</f>
        <v>J</v>
      </c>
      <c r="F1431" s="80" t="str">
        <f ca="1">IFERROR(__xludf.DUMMYFUNCTION("""COMPUTED_VALUE"""),"I")</f>
        <v>I</v>
      </c>
      <c r="G1431" s="80">
        <f ca="1">IFERROR(__xludf.DUMMYFUNCTION("""COMPUTED_VALUE"""),1)</f>
        <v>1</v>
      </c>
      <c r="H1431" s="80" t="str">
        <f ca="1">IFERROR(__xludf.DUMMYFUNCTION("""COMPUTED_VALUE"""),"O")</f>
        <v>O</v>
      </c>
      <c r="I1431" s="80">
        <f ca="1">IFERROR(__xludf.DUMMYFUNCTION("""COMPUTED_VALUE"""),4)</f>
        <v>4</v>
      </c>
      <c r="J1431" s="81">
        <f ca="1">IFERROR(__xludf.DUMMYFUNCTION("""COMPUTED_VALUE"""),0)</f>
        <v>0</v>
      </c>
      <c r="K1431" s="81">
        <f ca="1">IFERROR(__xludf.DUMMYFUNCTION("""COMPUTED_VALUE"""),0)</f>
        <v>0</v>
      </c>
      <c r="L1431" s="81">
        <f ca="1">IFERROR(__xludf.DUMMYFUNCTION("""COMPUTED_VALUE"""),0)</f>
        <v>0</v>
      </c>
      <c r="M1431" s="81"/>
      <c r="N1431" s="81">
        <f ca="1">IFERROR(__xludf.DUMMYFUNCTION("""COMPUTED_VALUE"""),0)</f>
        <v>0</v>
      </c>
      <c r="O1431" s="81"/>
      <c r="P1431" s="81">
        <f ca="1">IFERROR(__xludf.DUMMYFUNCTION("""COMPUTED_VALUE"""),0)</f>
        <v>0</v>
      </c>
      <c r="Q1431" s="81"/>
      <c r="R1431" s="81">
        <f ca="1">IFERROR(__xludf.DUMMYFUNCTION("""COMPUTED_VALUE"""),0)</f>
        <v>0</v>
      </c>
      <c r="S1431" s="81"/>
      <c r="T1431" s="81"/>
      <c r="U1431" s="82"/>
      <c r="V1431" s="82"/>
      <c r="W1431" s="83"/>
      <c r="X1431" s="83"/>
      <c r="Y1431" s="83"/>
    </row>
    <row r="1432" spans="1:25" ht="13.8">
      <c r="A1432" s="78" t="str">
        <f ca="1">IFERROR(__xludf.DUMMYFUNCTION("""COMPUTED_VALUE"""),"O")</f>
        <v>O</v>
      </c>
      <c r="B1432" s="79" t="str">
        <f ca="1">IFERROR(__xludf.DUMMYFUNCTION("""COMPUTED_VALUE"""),"Scarlett Waltrup")</f>
        <v>Scarlett Waltrup</v>
      </c>
      <c r="C1432" s="78">
        <f ca="1">IFERROR(__xludf.DUMMYFUNCTION("""COMPUTED_VALUE"""),11)</f>
        <v>11</v>
      </c>
      <c r="D1432" s="78" t="str">
        <f ca="1">IFERROR(__xludf.DUMMYFUNCTION("""COMPUTED_VALUE"""),"G")</f>
        <v>G</v>
      </c>
      <c r="E1432" s="80" t="str">
        <f ca="1">IFERROR(__xludf.DUMMYFUNCTION("""COMPUTED_VALUE"""),"J")</f>
        <v>J</v>
      </c>
      <c r="F1432" s="80" t="str">
        <f ca="1">IFERROR(__xludf.DUMMYFUNCTION("""COMPUTED_VALUE"""),"I")</f>
        <v>I</v>
      </c>
      <c r="G1432" s="80">
        <f ca="1">IFERROR(__xludf.DUMMYFUNCTION("""COMPUTED_VALUE"""),1)</f>
        <v>1</v>
      </c>
      <c r="H1432" s="80" t="str">
        <f ca="1">IFERROR(__xludf.DUMMYFUNCTION("""COMPUTED_VALUE"""),"O")</f>
        <v>O</v>
      </c>
      <c r="I1432" s="80">
        <f ca="1">IFERROR(__xludf.DUMMYFUNCTION("""COMPUTED_VALUE"""),4)</f>
        <v>4</v>
      </c>
      <c r="J1432" s="81">
        <f ca="1">IFERROR(__xludf.DUMMYFUNCTION("""COMPUTED_VALUE"""),1)</f>
        <v>1</v>
      </c>
      <c r="K1432" s="81">
        <f ca="1">IFERROR(__xludf.DUMMYFUNCTION("""COMPUTED_VALUE"""),0)</f>
        <v>0</v>
      </c>
      <c r="L1432" s="81">
        <f ca="1">IFERROR(__xludf.DUMMYFUNCTION("""COMPUTED_VALUE"""),0)</f>
        <v>0</v>
      </c>
      <c r="M1432" s="81"/>
      <c r="N1432" s="81">
        <f ca="1">IFERROR(__xludf.DUMMYFUNCTION("""COMPUTED_VALUE"""),0)</f>
        <v>0</v>
      </c>
      <c r="O1432" s="81"/>
      <c r="P1432" s="81">
        <f ca="1">IFERROR(__xludf.DUMMYFUNCTION("""COMPUTED_VALUE"""),0)</f>
        <v>0</v>
      </c>
      <c r="Q1432" s="81"/>
      <c r="R1432" s="81">
        <f ca="1">IFERROR(__xludf.DUMMYFUNCTION("""COMPUTED_VALUE"""),0)</f>
        <v>0</v>
      </c>
      <c r="S1432" s="81"/>
      <c r="T1432" s="81"/>
      <c r="U1432" s="82"/>
      <c r="V1432" s="82"/>
      <c r="W1432" s="83"/>
      <c r="X1432" s="83"/>
      <c r="Y1432" s="83"/>
    </row>
    <row r="1433" spans="1:25" ht="13.8">
      <c r="A1433" s="78" t="str">
        <f ca="1">IFERROR(__xludf.DUMMYFUNCTION("""COMPUTED_VALUE"""),"O")</f>
        <v>O</v>
      </c>
      <c r="B1433" s="79" t="str">
        <f ca="1">IFERROR(__xludf.DUMMYFUNCTION("""COMPUTED_VALUE"""),"Haynes Deegan")</f>
        <v>Haynes Deegan</v>
      </c>
      <c r="C1433" s="78">
        <f ca="1">IFERROR(__xludf.DUMMYFUNCTION("""COMPUTED_VALUE"""),11)</f>
        <v>11</v>
      </c>
      <c r="D1433" s="78" t="str">
        <f ca="1">IFERROR(__xludf.DUMMYFUNCTION("""COMPUTED_VALUE"""),"B")</f>
        <v>B</v>
      </c>
      <c r="E1433" s="80" t="str">
        <f ca="1">IFERROR(__xludf.DUMMYFUNCTION("""COMPUTED_VALUE"""),"J")</f>
        <v>J</v>
      </c>
      <c r="F1433" s="80" t="str">
        <f ca="1">IFERROR(__xludf.DUMMYFUNCTION("""COMPUTED_VALUE"""),"I")</f>
        <v>I</v>
      </c>
      <c r="G1433" s="80">
        <f ca="1">IFERROR(__xludf.DUMMYFUNCTION("""COMPUTED_VALUE"""),1)</f>
        <v>1</v>
      </c>
      <c r="H1433" s="80" t="str">
        <f ca="1">IFERROR(__xludf.DUMMYFUNCTION("""COMPUTED_VALUE"""),"O")</f>
        <v>O</v>
      </c>
      <c r="I1433" s="80">
        <f ca="1">IFERROR(__xludf.DUMMYFUNCTION("""COMPUTED_VALUE"""),5)</f>
        <v>5</v>
      </c>
      <c r="J1433" s="81">
        <f ca="1">IFERROR(__xludf.DUMMYFUNCTION("""COMPUTED_VALUE"""),5)</f>
        <v>5</v>
      </c>
      <c r="K1433" s="81">
        <f ca="1">IFERROR(__xludf.DUMMYFUNCTION("""COMPUTED_VALUE"""),83.45)</f>
        <v>83.45</v>
      </c>
      <c r="L1433" s="81">
        <f ca="1">IFERROR(__xludf.DUMMYFUNCTION("""COMPUTED_VALUE"""),83.45)</f>
        <v>83.45</v>
      </c>
      <c r="M1433" s="81"/>
      <c r="N1433" s="81">
        <f ca="1">IFERROR(__xludf.DUMMYFUNCTION("""COMPUTED_VALUE"""),74.8)</f>
        <v>74.8</v>
      </c>
      <c r="O1433" s="81"/>
      <c r="P1433" s="81">
        <f ca="1">IFERROR(__xludf.DUMMYFUNCTION("""COMPUTED_VALUE"""),76.25)</f>
        <v>76.25</v>
      </c>
      <c r="Q1433" s="81"/>
      <c r="R1433" s="81">
        <f ca="1">IFERROR(__xludf.DUMMYFUNCTION("""COMPUTED_VALUE"""),69.5)</f>
        <v>69.5</v>
      </c>
      <c r="S1433" s="81"/>
      <c r="T1433" s="81"/>
      <c r="U1433" s="82"/>
      <c r="V1433" s="82"/>
      <c r="W1433" s="83"/>
      <c r="X1433" s="83"/>
      <c r="Y1433" s="83"/>
    </row>
    <row r="1434" spans="1:25" ht="13.8">
      <c r="A1434" s="78" t="str">
        <f ca="1">IFERROR(__xludf.DUMMYFUNCTION("""COMPUTED_VALUE"""),"O")</f>
        <v>O</v>
      </c>
      <c r="B1434" s="79" t="str">
        <f ca="1">IFERROR(__xludf.DUMMYFUNCTION("""COMPUTED_VALUE"""),"Matias Grundmann")</f>
        <v>Matias Grundmann</v>
      </c>
      <c r="C1434" s="78">
        <f ca="1">IFERROR(__xludf.DUMMYFUNCTION("""COMPUTED_VALUE"""),12)</f>
        <v>12</v>
      </c>
      <c r="D1434" s="78" t="str">
        <f ca="1">IFERROR(__xludf.DUMMYFUNCTION("""COMPUTED_VALUE"""),"B")</f>
        <v>B</v>
      </c>
      <c r="E1434" s="80" t="str">
        <f ca="1">IFERROR(__xludf.DUMMYFUNCTION("""COMPUTED_VALUE"""),"J")</f>
        <v>J</v>
      </c>
      <c r="F1434" s="80" t="str">
        <f ca="1">IFERROR(__xludf.DUMMYFUNCTION("""COMPUTED_VALUE"""),"I")</f>
        <v>I</v>
      </c>
      <c r="G1434" s="80">
        <f ca="1">IFERROR(__xludf.DUMMYFUNCTION("""COMPUTED_VALUE"""),1)</f>
        <v>1</v>
      </c>
      <c r="H1434" s="80" t="str">
        <f ca="1">IFERROR(__xludf.DUMMYFUNCTION("""COMPUTED_VALUE"""),"O")</f>
        <v>O</v>
      </c>
      <c r="I1434" s="80">
        <f ca="1">IFERROR(__xludf.DUMMYFUNCTION("""COMPUTED_VALUE"""),5)</f>
        <v>5</v>
      </c>
      <c r="J1434" s="81">
        <f ca="1">IFERROR(__xludf.DUMMYFUNCTION("""COMPUTED_VALUE"""),4)</f>
        <v>4</v>
      </c>
      <c r="K1434" s="81">
        <f ca="1">IFERROR(__xludf.DUMMYFUNCTION("""COMPUTED_VALUE"""),68.65)</f>
        <v>68.650000000000006</v>
      </c>
      <c r="L1434" s="81">
        <f ca="1">IFERROR(__xludf.DUMMYFUNCTION("""COMPUTED_VALUE"""),0)</f>
        <v>0</v>
      </c>
      <c r="M1434" s="81"/>
      <c r="N1434" s="81">
        <f ca="1">IFERROR(__xludf.DUMMYFUNCTION("""COMPUTED_VALUE"""),68.65)</f>
        <v>68.650000000000006</v>
      </c>
      <c r="O1434" s="81"/>
      <c r="P1434" s="81">
        <f ca="1">IFERROR(__xludf.DUMMYFUNCTION("""COMPUTED_VALUE"""),66.8)</f>
        <v>66.8</v>
      </c>
      <c r="Q1434" s="81"/>
      <c r="R1434" s="81">
        <f ca="1">IFERROR(__xludf.DUMMYFUNCTION("""COMPUTED_VALUE"""),68.05)</f>
        <v>68.05</v>
      </c>
      <c r="S1434" s="81"/>
      <c r="T1434" s="81"/>
      <c r="U1434" s="82"/>
      <c r="V1434" s="82"/>
      <c r="W1434" s="83"/>
      <c r="X1434" s="83"/>
      <c r="Y1434" s="83"/>
    </row>
    <row r="1435" spans="1:25" ht="13.8">
      <c r="A1435" s="78" t="str">
        <f ca="1">IFERROR(__xludf.DUMMYFUNCTION("""COMPUTED_VALUE"""),"O")</f>
        <v>O</v>
      </c>
      <c r="B1435" s="79" t="str">
        <f ca="1">IFERROR(__xludf.DUMMYFUNCTION("""COMPUTED_VALUE"""),"James Karlton")</f>
        <v>James Karlton</v>
      </c>
      <c r="C1435" s="78">
        <f ca="1">IFERROR(__xludf.DUMMYFUNCTION("""COMPUTED_VALUE"""),11)</f>
        <v>11</v>
      </c>
      <c r="D1435" s="78" t="str">
        <f ca="1">IFERROR(__xludf.DUMMYFUNCTION("""COMPUTED_VALUE"""),"B")</f>
        <v>B</v>
      </c>
      <c r="E1435" s="80" t="str">
        <f ca="1">IFERROR(__xludf.DUMMYFUNCTION("""COMPUTED_VALUE"""),"J")</f>
        <v>J</v>
      </c>
      <c r="F1435" s="80" t="str">
        <f ca="1">IFERROR(__xludf.DUMMYFUNCTION("""COMPUTED_VALUE"""),"I")</f>
        <v>I</v>
      </c>
      <c r="G1435" s="80">
        <f ca="1">IFERROR(__xludf.DUMMYFUNCTION("""COMPUTED_VALUE"""),1)</f>
        <v>1</v>
      </c>
      <c r="H1435" s="80" t="str">
        <f ca="1">IFERROR(__xludf.DUMMYFUNCTION("""COMPUTED_VALUE"""),"O")</f>
        <v>O</v>
      </c>
      <c r="I1435" s="80">
        <f ca="1">IFERROR(__xludf.DUMMYFUNCTION("""COMPUTED_VALUE"""),5)</f>
        <v>5</v>
      </c>
      <c r="J1435" s="81">
        <f ca="1">IFERROR(__xludf.DUMMYFUNCTION("""COMPUTED_VALUE"""),0)</f>
        <v>0</v>
      </c>
      <c r="K1435" s="81">
        <f ca="1">IFERROR(__xludf.DUMMYFUNCTION("""COMPUTED_VALUE"""),0)</f>
        <v>0</v>
      </c>
      <c r="L1435" s="81">
        <f ca="1">IFERROR(__xludf.DUMMYFUNCTION("""COMPUTED_VALUE"""),0)</f>
        <v>0</v>
      </c>
      <c r="M1435" s="81"/>
      <c r="N1435" s="81">
        <f ca="1">IFERROR(__xludf.DUMMYFUNCTION("""COMPUTED_VALUE"""),0)</f>
        <v>0</v>
      </c>
      <c r="O1435" s="81"/>
      <c r="P1435" s="81">
        <f ca="1">IFERROR(__xludf.DUMMYFUNCTION("""COMPUTED_VALUE"""),0)</f>
        <v>0</v>
      </c>
      <c r="Q1435" s="81"/>
      <c r="R1435" s="81">
        <f ca="1">IFERROR(__xludf.DUMMYFUNCTION("""COMPUTED_VALUE"""),0)</f>
        <v>0</v>
      </c>
      <c r="S1435" s="81"/>
      <c r="T1435" s="81"/>
      <c r="U1435" s="82"/>
      <c r="V1435" s="82"/>
      <c r="W1435" s="83"/>
      <c r="X1435" s="83"/>
      <c r="Y1435" s="83"/>
    </row>
    <row r="1436" spans="1:25" ht="13.8">
      <c r="A1436" s="78" t="str">
        <f ca="1">IFERROR(__xludf.DUMMYFUNCTION("""COMPUTED_VALUE"""),"O")</f>
        <v>O</v>
      </c>
      <c r="B1436" s="79" t="str">
        <f ca="1">IFERROR(__xludf.DUMMYFUNCTION("""COMPUTED_VALUE"""),"Nicky Tressler")</f>
        <v>Nicky Tressler</v>
      </c>
      <c r="C1436" s="78">
        <f ca="1">IFERROR(__xludf.DUMMYFUNCTION("""COMPUTED_VALUE"""),12)</f>
        <v>12</v>
      </c>
      <c r="D1436" s="78" t="str">
        <f ca="1">IFERROR(__xludf.DUMMYFUNCTION("""COMPUTED_VALUE"""),"B")</f>
        <v>B</v>
      </c>
      <c r="E1436" s="80" t="str">
        <f ca="1">IFERROR(__xludf.DUMMYFUNCTION("""COMPUTED_VALUE"""),"J")</f>
        <v>J</v>
      </c>
      <c r="F1436" s="80" t="str">
        <f ca="1">IFERROR(__xludf.DUMMYFUNCTION("""COMPUTED_VALUE"""),"I")</f>
        <v>I</v>
      </c>
      <c r="G1436" s="80">
        <f ca="1">IFERROR(__xludf.DUMMYFUNCTION("""COMPUTED_VALUE"""),1)</f>
        <v>1</v>
      </c>
      <c r="H1436" s="80" t="str">
        <f ca="1">IFERROR(__xludf.DUMMYFUNCTION("""COMPUTED_VALUE"""),"O")</f>
        <v>O</v>
      </c>
      <c r="I1436" s="80">
        <f ca="1">IFERROR(__xludf.DUMMYFUNCTION("""COMPUTED_VALUE"""),5)</f>
        <v>5</v>
      </c>
      <c r="J1436" s="81">
        <f ca="1">IFERROR(__xludf.DUMMYFUNCTION("""COMPUTED_VALUE"""),4)</f>
        <v>4</v>
      </c>
      <c r="K1436" s="81">
        <f ca="1">IFERROR(__xludf.DUMMYFUNCTION("""COMPUTED_VALUE"""),81.85)</f>
        <v>81.849999999999994</v>
      </c>
      <c r="L1436" s="81">
        <f ca="1">IFERROR(__xludf.DUMMYFUNCTION("""COMPUTED_VALUE"""),75.5)</f>
        <v>75.5</v>
      </c>
      <c r="M1436" s="81"/>
      <c r="N1436" s="81">
        <f ca="1">IFERROR(__xludf.DUMMYFUNCTION("""COMPUTED_VALUE"""),81.85)</f>
        <v>81.849999999999994</v>
      </c>
      <c r="O1436" s="81"/>
      <c r="P1436" s="81">
        <f ca="1">IFERROR(__xludf.DUMMYFUNCTION("""COMPUTED_VALUE"""),0)</f>
        <v>0</v>
      </c>
      <c r="Q1436" s="81"/>
      <c r="R1436" s="81">
        <f ca="1">IFERROR(__xludf.DUMMYFUNCTION("""COMPUTED_VALUE"""),75.2)</f>
        <v>75.2</v>
      </c>
      <c r="S1436" s="81"/>
      <c r="T1436" s="81"/>
      <c r="U1436" s="82"/>
      <c r="V1436" s="82"/>
      <c r="W1436" s="83"/>
      <c r="X1436" s="83"/>
      <c r="Y1436" s="83"/>
    </row>
    <row r="1437" spans="1:25" ht="13.8">
      <c r="A1437" s="78" t="str">
        <f ca="1">IFERROR(__xludf.DUMMYFUNCTION("""COMPUTED_VALUE"""),"O")</f>
        <v>O</v>
      </c>
      <c r="B1437" s="79" t="str">
        <f ca="1">IFERROR(__xludf.DUMMYFUNCTION("""COMPUTED_VALUE"""),"Evan Woodward")</f>
        <v>Evan Woodward</v>
      </c>
      <c r="C1437" s="78">
        <f ca="1">IFERROR(__xludf.DUMMYFUNCTION("""COMPUTED_VALUE"""),11)</f>
        <v>11</v>
      </c>
      <c r="D1437" s="78" t="str">
        <f ca="1">IFERROR(__xludf.DUMMYFUNCTION("""COMPUTED_VALUE"""),"B")</f>
        <v>B</v>
      </c>
      <c r="E1437" s="80" t="str">
        <f ca="1">IFERROR(__xludf.DUMMYFUNCTION("""COMPUTED_VALUE"""),"J")</f>
        <v>J</v>
      </c>
      <c r="F1437" s="80" t="str">
        <f ca="1">IFERROR(__xludf.DUMMYFUNCTION("""COMPUTED_VALUE"""),"I")</f>
        <v>I</v>
      </c>
      <c r="G1437" s="80">
        <f ca="1">IFERROR(__xludf.DUMMYFUNCTION("""COMPUTED_VALUE"""),1)</f>
        <v>1</v>
      </c>
      <c r="H1437" s="80" t="str">
        <f ca="1">IFERROR(__xludf.DUMMYFUNCTION("""COMPUTED_VALUE"""),"O")</f>
        <v>O</v>
      </c>
      <c r="I1437" s="80">
        <f ca="1">IFERROR(__xludf.DUMMYFUNCTION("""COMPUTED_VALUE"""),5)</f>
        <v>5</v>
      </c>
      <c r="J1437" s="81">
        <f ca="1">IFERROR(__xludf.DUMMYFUNCTION("""COMPUTED_VALUE"""),0)</f>
        <v>0</v>
      </c>
      <c r="K1437" s="81">
        <f ca="1">IFERROR(__xludf.DUMMYFUNCTION("""COMPUTED_VALUE"""),0)</f>
        <v>0</v>
      </c>
      <c r="L1437" s="81">
        <f ca="1">IFERROR(__xludf.DUMMYFUNCTION("""COMPUTED_VALUE"""),0)</f>
        <v>0</v>
      </c>
      <c r="M1437" s="81"/>
      <c r="N1437" s="81">
        <f ca="1">IFERROR(__xludf.DUMMYFUNCTION("""COMPUTED_VALUE"""),0)</f>
        <v>0</v>
      </c>
      <c r="O1437" s="81"/>
      <c r="P1437" s="81">
        <f ca="1">IFERROR(__xludf.DUMMYFUNCTION("""COMPUTED_VALUE"""),0)</f>
        <v>0</v>
      </c>
      <c r="Q1437" s="81"/>
      <c r="R1437" s="81">
        <f ca="1">IFERROR(__xludf.DUMMYFUNCTION("""COMPUTED_VALUE"""),0)</f>
        <v>0</v>
      </c>
      <c r="S1437" s="81"/>
      <c r="T1437" s="81"/>
      <c r="U1437" s="82"/>
      <c r="V1437" s="82"/>
      <c r="W1437" s="83"/>
      <c r="X1437" s="83"/>
      <c r="Y1437" s="83"/>
    </row>
    <row r="1438" spans="1:25" ht="13.8">
      <c r="A1438" s="78" t="str">
        <f ca="1">IFERROR(__xludf.DUMMYFUNCTION("""COMPUTED_VALUE"""),"O")</f>
        <v>O</v>
      </c>
      <c r="B1438" s="79" t="str">
        <f ca="1">IFERROR(__xludf.DUMMYFUNCTION("""COMPUTED_VALUE"""),"Sophie Deegan")</f>
        <v>Sophie Deegan</v>
      </c>
      <c r="C1438" s="78">
        <f ca="1">IFERROR(__xludf.DUMMYFUNCTION("""COMPUTED_VALUE"""),13)</f>
        <v>13</v>
      </c>
      <c r="D1438" s="78" t="str">
        <f ca="1">IFERROR(__xludf.DUMMYFUNCTION("""COMPUTED_VALUE"""),"G")</f>
        <v>G</v>
      </c>
      <c r="E1438" s="80" t="str">
        <f ca="1">IFERROR(__xludf.DUMMYFUNCTION("""COMPUTED_VALUE"""),"I")</f>
        <v>I</v>
      </c>
      <c r="F1438" s="80" t="str">
        <f ca="1">IFERROR(__xludf.DUMMYFUNCTION("""COMPUTED_VALUE"""),"S")</f>
        <v>S</v>
      </c>
      <c r="G1438" s="80">
        <f ca="1">IFERROR(__xludf.DUMMYFUNCTION("""COMPUTED_VALUE"""),1)</f>
        <v>1</v>
      </c>
      <c r="H1438" s="80" t="str">
        <f ca="1">IFERROR(__xludf.DUMMYFUNCTION("""COMPUTED_VALUE"""),"O")</f>
        <v>O</v>
      </c>
      <c r="I1438" s="80">
        <f ca="1">IFERROR(__xludf.DUMMYFUNCTION("""COMPUTED_VALUE"""),6)</f>
        <v>6</v>
      </c>
      <c r="J1438" s="81">
        <f ca="1">IFERROR(__xludf.DUMMYFUNCTION("""COMPUTED_VALUE"""),5)</f>
        <v>5</v>
      </c>
      <c r="K1438" s="81">
        <f ca="1">IFERROR(__xludf.DUMMYFUNCTION("""COMPUTED_VALUE"""),113.45)</f>
        <v>113.45</v>
      </c>
      <c r="L1438" s="81">
        <f ca="1">IFERROR(__xludf.DUMMYFUNCTION("""COMPUTED_VALUE"""),98.5)</f>
        <v>98.5</v>
      </c>
      <c r="M1438" s="81"/>
      <c r="N1438" s="81">
        <f ca="1">IFERROR(__xludf.DUMMYFUNCTION("""COMPUTED_VALUE"""),106.3)</f>
        <v>106.3</v>
      </c>
      <c r="O1438" s="81"/>
      <c r="P1438" s="81">
        <f ca="1">IFERROR(__xludf.DUMMYFUNCTION("""COMPUTED_VALUE"""),113.45)</f>
        <v>113.45</v>
      </c>
      <c r="Q1438" s="81"/>
      <c r="R1438" s="81">
        <f ca="1">IFERROR(__xludf.DUMMYFUNCTION("""COMPUTED_VALUE"""),104.7)</f>
        <v>104.7</v>
      </c>
      <c r="S1438" s="81"/>
      <c r="T1438" s="81"/>
      <c r="U1438" s="82"/>
      <c r="V1438" s="82"/>
      <c r="W1438" s="83"/>
      <c r="X1438" s="83"/>
      <c r="Y1438" s="83"/>
    </row>
    <row r="1439" spans="1:25" ht="13.8">
      <c r="A1439" s="78" t="str">
        <f ca="1">IFERROR(__xludf.DUMMYFUNCTION("""COMPUTED_VALUE"""),"O")</f>
        <v>O</v>
      </c>
      <c r="B1439" s="79" t="str">
        <f ca="1">IFERROR(__xludf.DUMMYFUNCTION("""COMPUTED_VALUE"""),"Michayla Eisenberg")</f>
        <v>Michayla Eisenberg</v>
      </c>
      <c r="C1439" s="78">
        <f ca="1">IFERROR(__xludf.DUMMYFUNCTION("""COMPUTED_VALUE"""),14)</f>
        <v>14</v>
      </c>
      <c r="D1439" s="78" t="str">
        <f ca="1">IFERROR(__xludf.DUMMYFUNCTION("""COMPUTED_VALUE"""),"G")</f>
        <v>G</v>
      </c>
      <c r="E1439" s="80" t="str">
        <f ca="1">IFERROR(__xludf.DUMMYFUNCTION("""COMPUTED_VALUE"""),"I")</f>
        <v>I</v>
      </c>
      <c r="F1439" s="80" t="str">
        <f ca="1">IFERROR(__xludf.DUMMYFUNCTION("""COMPUTED_VALUE"""),"S")</f>
        <v>S</v>
      </c>
      <c r="G1439" s="80">
        <f ca="1">IFERROR(__xludf.DUMMYFUNCTION("""COMPUTED_VALUE"""),1)</f>
        <v>1</v>
      </c>
      <c r="H1439" s="80" t="str">
        <f ca="1">IFERROR(__xludf.DUMMYFUNCTION("""COMPUTED_VALUE"""),"O")</f>
        <v>O</v>
      </c>
      <c r="I1439" s="80">
        <f ca="1">IFERROR(__xludf.DUMMYFUNCTION("""COMPUTED_VALUE"""),6)</f>
        <v>6</v>
      </c>
      <c r="J1439" s="81">
        <f ca="1">IFERROR(__xludf.DUMMYFUNCTION("""COMPUTED_VALUE"""),4)</f>
        <v>4</v>
      </c>
      <c r="K1439" s="81">
        <f ca="1">IFERROR(__xludf.DUMMYFUNCTION("""COMPUTED_VALUE"""),203.45)</f>
        <v>203.45</v>
      </c>
      <c r="L1439" s="81">
        <f ca="1">IFERROR(__xludf.DUMMYFUNCTION("""COMPUTED_VALUE"""),-211.75)</f>
        <v>-211.75</v>
      </c>
      <c r="M1439" s="81"/>
      <c r="N1439" s="81">
        <f ca="1">IFERROR(__xludf.DUMMYFUNCTION("""COMPUTED_VALUE"""),0)</f>
        <v>0</v>
      </c>
      <c r="O1439" s="81"/>
      <c r="P1439" s="81">
        <f ca="1">IFERROR(__xludf.DUMMYFUNCTION("""COMPUTED_VALUE"""),-230.1)</f>
        <v>-230.1</v>
      </c>
      <c r="Q1439" s="81"/>
      <c r="R1439" s="81">
        <f ca="1">IFERROR(__xludf.DUMMYFUNCTION("""COMPUTED_VALUE"""),203.45)</f>
        <v>203.45</v>
      </c>
      <c r="S1439" s="81"/>
      <c r="T1439" s="81"/>
      <c r="U1439" s="82"/>
      <c r="V1439" s="82"/>
      <c r="W1439" s="83"/>
      <c r="X1439" s="83"/>
      <c r="Y1439" s="83"/>
    </row>
    <row r="1440" spans="1:25" ht="13.8">
      <c r="A1440" s="78" t="str">
        <f ca="1">IFERROR(__xludf.DUMMYFUNCTION("""COMPUTED_VALUE"""),"O")</f>
        <v>O</v>
      </c>
      <c r="B1440" s="79" t="str">
        <f ca="1">IFERROR(__xludf.DUMMYFUNCTION("""COMPUTED_VALUE"""),"Jessica Talotta")</f>
        <v>Jessica Talotta</v>
      </c>
      <c r="C1440" s="78">
        <f ca="1">IFERROR(__xludf.DUMMYFUNCTION("""COMPUTED_VALUE"""),13)</f>
        <v>13</v>
      </c>
      <c r="D1440" s="78" t="str">
        <f ca="1">IFERROR(__xludf.DUMMYFUNCTION("""COMPUTED_VALUE"""),"G")</f>
        <v>G</v>
      </c>
      <c r="E1440" s="80" t="str">
        <f ca="1">IFERROR(__xludf.DUMMYFUNCTION("""COMPUTED_VALUE"""),"I")</f>
        <v>I</v>
      </c>
      <c r="F1440" s="80" t="str">
        <f ca="1">IFERROR(__xludf.DUMMYFUNCTION("""COMPUTED_VALUE"""),"S")</f>
        <v>S</v>
      </c>
      <c r="G1440" s="80">
        <f ca="1">IFERROR(__xludf.DUMMYFUNCTION("""COMPUTED_VALUE"""),1)</f>
        <v>1</v>
      </c>
      <c r="H1440" s="80" t="str">
        <f ca="1">IFERROR(__xludf.DUMMYFUNCTION("""COMPUTED_VALUE"""),"O")</f>
        <v>O</v>
      </c>
      <c r="I1440" s="80">
        <f ca="1">IFERROR(__xludf.DUMMYFUNCTION("""COMPUTED_VALUE"""),6)</f>
        <v>6</v>
      </c>
      <c r="J1440" s="81">
        <f ca="1">IFERROR(__xludf.DUMMYFUNCTION("""COMPUTED_VALUE"""),3)</f>
        <v>3</v>
      </c>
      <c r="K1440" s="81">
        <f ca="1">IFERROR(__xludf.DUMMYFUNCTION("""COMPUTED_VALUE"""),116.35)</f>
        <v>116.35</v>
      </c>
      <c r="L1440" s="81">
        <f ca="1">IFERROR(__xludf.DUMMYFUNCTION("""COMPUTED_VALUE"""),116.35)</f>
        <v>116.35</v>
      </c>
      <c r="M1440" s="81"/>
      <c r="N1440" s="81">
        <f ca="1">IFERROR(__xludf.DUMMYFUNCTION("""COMPUTED_VALUE"""),105.4)</f>
        <v>105.4</v>
      </c>
      <c r="O1440" s="81"/>
      <c r="P1440" s="81">
        <f ca="1">IFERROR(__xludf.DUMMYFUNCTION("""COMPUTED_VALUE"""),0)</f>
        <v>0</v>
      </c>
      <c r="Q1440" s="81"/>
      <c r="R1440" s="81">
        <f ca="1">IFERROR(__xludf.DUMMYFUNCTION("""COMPUTED_VALUE"""),0)</f>
        <v>0</v>
      </c>
      <c r="S1440" s="81"/>
      <c r="T1440" s="81"/>
      <c r="U1440" s="82"/>
      <c r="V1440" s="82"/>
      <c r="W1440" s="83"/>
      <c r="X1440" s="83"/>
      <c r="Y1440" s="83"/>
    </row>
    <row r="1441" spans="1:25" ht="13.8">
      <c r="A1441" s="78" t="str">
        <f ca="1">IFERROR(__xludf.DUMMYFUNCTION("""COMPUTED_VALUE"""),"O")</f>
        <v>O</v>
      </c>
      <c r="B1441" s="79" t="str">
        <f ca="1">IFERROR(__xludf.DUMMYFUNCTION("""COMPUTED_VALUE"""),"Christopher Cobey")</f>
        <v>Christopher Cobey</v>
      </c>
      <c r="C1441" s="78">
        <f ca="1">IFERROR(__xludf.DUMMYFUNCTION("""COMPUTED_VALUE"""),14)</f>
        <v>14</v>
      </c>
      <c r="D1441" s="78" t="str">
        <f ca="1">IFERROR(__xludf.DUMMYFUNCTION("""COMPUTED_VALUE"""),"B")</f>
        <v>B</v>
      </c>
      <c r="E1441" s="80" t="str">
        <f ca="1">IFERROR(__xludf.DUMMYFUNCTION("""COMPUTED_VALUE"""),"I")</f>
        <v>I</v>
      </c>
      <c r="F1441" s="80" t="str">
        <f ca="1">IFERROR(__xludf.DUMMYFUNCTION("""COMPUTED_VALUE"""),"S")</f>
        <v>S</v>
      </c>
      <c r="G1441" s="80">
        <f ca="1">IFERROR(__xludf.DUMMYFUNCTION("""COMPUTED_VALUE"""),1)</f>
        <v>1</v>
      </c>
      <c r="H1441" s="80" t="str">
        <f ca="1">IFERROR(__xludf.DUMMYFUNCTION("""COMPUTED_VALUE"""),"O")</f>
        <v>O</v>
      </c>
      <c r="I1441" s="80">
        <f ca="1">IFERROR(__xludf.DUMMYFUNCTION("""COMPUTED_VALUE"""),7)</f>
        <v>7</v>
      </c>
      <c r="J1441" s="81">
        <f ca="1">IFERROR(__xludf.DUMMYFUNCTION("""COMPUTED_VALUE"""),4)</f>
        <v>4</v>
      </c>
      <c r="K1441" s="81">
        <f ca="1">IFERROR(__xludf.DUMMYFUNCTION("""COMPUTED_VALUE"""),154.5)</f>
        <v>154.5</v>
      </c>
      <c r="L1441" s="81">
        <f ca="1">IFERROR(__xludf.DUMMYFUNCTION("""COMPUTED_VALUE"""),154.5)</f>
        <v>154.5</v>
      </c>
      <c r="M1441" s="81"/>
      <c r="N1441" s="81">
        <f ca="1">IFERROR(__xludf.DUMMYFUNCTION("""COMPUTED_VALUE"""),0)</f>
        <v>0</v>
      </c>
      <c r="O1441" s="81"/>
      <c r="P1441" s="81">
        <f ca="1">IFERROR(__xludf.DUMMYFUNCTION("""COMPUTED_VALUE"""),-133.1)</f>
        <v>-133.1</v>
      </c>
      <c r="Q1441" s="81"/>
      <c r="R1441" s="81">
        <f ca="1">IFERROR(__xludf.DUMMYFUNCTION("""COMPUTED_VALUE"""),139.9)</f>
        <v>139.9</v>
      </c>
      <c r="S1441" s="81"/>
      <c r="T1441" s="81"/>
      <c r="U1441" s="82"/>
      <c r="V1441" s="82"/>
      <c r="W1441" s="83"/>
      <c r="X1441" s="83"/>
      <c r="Y1441" s="83"/>
    </row>
    <row r="1442" spans="1:25" ht="13.8">
      <c r="A1442" s="78" t="str">
        <f ca="1">IFERROR(__xludf.DUMMYFUNCTION("""COMPUTED_VALUE"""),"O")</f>
        <v>O</v>
      </c>
      <c r="B1442" s="79" t="str">
        <f ca="1">IFERROR(__xludf.DUMMYFUNCTION("""COMPUTED_VALUE"""),"Nathan Cohen")</f>
        <v>Nathan Cohen</v>
      </c>
      <c r="C1442" s="78">
        <f ca="1">IFERROR(__xludf.DUMMYFUNCTION("""COMPUTED_VALUE"""),14)</f>
        <v>14</v>
      </c>
      <c r="D1442" s="78" t="str">
        <f ca="1">IFERROR(__xludf.DUMMYFUNCTION("""COMPUTED_VALUE"""),"B")</f>
        <v>B</v>
      </c>
      <c r="E1442" s="80" t="str">
        <f ca="1">IFERROR(__xludf.DUMMYFUNCTION("""COMPUTED_VALUE"""),"I")</f>
        <v>I</v>
      </c>
      <c r="F1442" s="80" t="str">
        <f ca="1">IFERROR(__xludf.DUMMYFUNCTION("""COMPUTED_VALUE"""),"S")</f>
        <v>S</v>
      </c>
      <c r="G1442" s="80">
        <f ca="1">IFERROR(__xludf.DUMMYFUNCTION("""COMPUTED_VALUE"""),1)</f>
        <v>1</v>
      </c>
      <c r="H1442" s="80" t="str">
        <f ca="1">IFERROR(__xludf.DUMMYFUNCTION("""COMPUTED_VALUE"""),"O")</f>
        <v>O</v>
      </c>
      <c r="I1442" s="80">
        <f ca="1">IFERROR(__xludf.DUMMYFUNCTION("""COMPUTED_VALUE"""),7)</f>
        <v>7</v>
      </c>
      <c r="J1442" s="81">
        <f ca="1">IFERROR(__xludf.DUMMYFUNCTION("""COMPUTED_VALUE"""),5)</f>
        <v>5</v>
      </c>
      <c r="K1442" s="81">
        <f ca="1">IFERROR(__xludf.DUMMYFUNCTION("""COMPUTED_VALUE"""),148.4)</f>
        <v>148.4</v>
      </c>
      <c r="L1442" s="81">
        <f ca="1">IFERROR(__xludf.DUMMYFUNCTION("""COMPUTED_VALUE"""),105.75)</f>
        <v>105.75</v>
      </c>
      <c r="M1442" s="81"/>
      <c r="N1442" s="81">
        <f ca="1">IFERROR(__xludf.DUMMYFUNCTION("""COMPUTED_VALUE"""),148.4)</f>
        <v>148.4</v>
      </c>
      <c r="O1442" s="81"/>
      <c r="P1442" s="81">
        <f ca="1">IFERROR(__xludf.DUMMYFUNCTION("""COMPUTED_VALUE"""),103.75)</f>
        <v>103.75</v>
      </c>
      <c r="Q1442" s="81"/>
      <c r="R1442" s="81">
        <f ca="1">IFERROR(__xludf.DUMMYFUNCTION("""COMPUTED_VALUE"""),117.75)</f>
        <v>117.75</v>
      </c>
      <c r="S1442" s="81"/>
      <c r="T1442" s="81"/>
      <c r="U1442" s="82"/>
      <c r="V1442" s="82"/>
      <c r="W1442" s="83"/>
      <c r="X1442" s="83"/>
      <c r="Y1442" s="83"/>
    </row>
    <row r="1443" spans="1:25" ht="13.8">
      <c r="A1443" s="78" t="str">
        <f ca="1">IFERROR(__xludf.DUMMYFUNCTION("""COMPUTED_VALUE"""),"O")</f>
        <v>O</v>
      </c>
      <c r="B1443" s="79" t="str">
        <f ca="1">IFERROR(__xludf.DUMMYFUNCTION("""COMPUTED_VALUE"""),"Libby Moir")</f>
        <v>Libby Moir</v>
      </c>
      <c r="C1443" s="78">
        <f ca="1">IFERROR(__xludf.DUMMYFUNCTION("""COMPUTED_VALUE"""),15)</f>
        <v>15</v>
      </c>
      <c r="D1443" s="78" t="str">
        <f ca="1">IFERROR(__xludf.DUMMYFUNCTION("""COMPUTED_VALUE"""),"G")</f>
        <v>G</v>
      </c>
      <c r="E1443" s="80" t="str">
        <f ca="1">IFERROR(__xludf.DUMMYFUNCTION("""COMPUTED_VALUE"""),"S")</f>
        <v>S</v>
      </c>
      <c r="F1443" s="80" t="str">
        <f ca="1">IFERROR(__xludf.DUMMYFUNCTION("""COMPUTED_VALUE"""),"S")</f>
        <v>S</v>
      </c>
      <c r="G1443" s="80">
        <f ca="1">IFERROR(__xludf.DUMMYFUNCTION("""COMPUTED_VALUE"""),1)</f>
        <v>1</v>
      </c>
      <c r="H1443" s="80" t="str">
        <f ca="1">IFERROR(__xludf.DUMMYFUNCTION("""COMPUTED_VALUE"""),"O")</f>
        <v>O</v>
      </c>
      <c r="I1443" s="80">
        <f ca="1">IFERROR(__xludf.DUMMYFUNCTION("""COMPUTED_VALUE"""),8)</f>
        <v>8</v>
      </c>
      <c r="J1443" s="81">
        <f ca="1">IFERROR(__xludf.DUMMYFUNCTION("""COMPUTED_VALUE"""),5)</f>
        <v>5</v>
      </c>
      <c r="K1443" s="81">
        <f ca="1">IFERROR(__xludf.DUMMYFUNCTION("""COMPUTED_VALUE"""),195.9)</f>
        <v>195.9</v>
      </c>
      <c r="L1443" s="81">
        <f ca="1">IFERROR(__xludf.DUMMYFUNCTION("""COMPUTED_VALUE"""),156.1)</f>
        <v>156.1</v>
      </c>
      <c r="M1443" s="81"/>
      <c r="N1443" s="81">
        <f ca="1">IFERROR(__xludf.DUMMYFUNCTION("""COMPUTED_VALUE"""),182.95)</f>
        <v>182.95</v>
      </c>
      <c r="O1443" s="81"/>
      <c r="P1443" s="81">
        <f ca="1">IFERROR(__xludf.DUMMYFUNCTION("""COMPUTED_VALUE"""),195.9)</f>
        <v>195.9</v>
      </c>
      <c r="Q1443" s="81"/>
      <c r="R1443" s="81">
        <f ca="1">IFERROR(__xludf.DUMMYFUNCTION("""COMPUTED_VALUE"""),171.7)</f>
        <v>171.7</v>
      </c>
      <c r="S1443" s="81"/>
      <c r="T1443" s="81"/>
      <c r="U1443" s="82"/>
      <c r="V1443" s="82"/>
      <c r="W1443" s="83"/>
      <c r="X1443" s="83"/>
      <c r="Y1443" s="83"/>
    </row>
    <row r="1444" spans="1:25" ht="13.8">
      <c r="A1444" s="78" t="str">
        <f ca="1">IFERROR(__xludf.DUMMYFUNCTION("""COMPUTED_VALUE"""),"O")</f>
        <v>O</v>
      </c>
      <c r="B1444" s="79" t="str">
        <f ca="1">IFERROR(__xludf.DUMMYFUNCTION("""COMPUTED_VALUE"""),"Olivia Morgan")</f>
        <v>Olivia Morgan</v>
      </c>
      <c r="C1444" s="78">
        <f ca="1">IFERROR(__xludf.DUMMYFUNCTION("""COMPUTED_VALUE"""),16)</f>
        <v>16</v>
      </c>
      <c r="D1444" s="78" t="str">
        <f ca="1">IFERROR(__xludf.DUMMYFUNCTION("""COMPUTED_VALUE"""),"G")</f>
        <v>G</v>
      </c>
      <c r="E1444" s="80" t="str">
        <f ca="1">IFERROR(__xludf.DUMMYFUNCTION("""COMPUTED_VALUE"""),"S")</f>
        <v>S</v>
      </c>
      <c r="F1444" s="80" t="str">
        <f ca="1">IFERROR(__xludf.DUMMYFUNCTION("""COMPUTED_VALUE"""),"S")</f>
        <v>S</v>
      </c>
      <c r="G1444" s="80">
        <f ca="1">IFERROR(__xludf.DUMMYFUNCTION("""COMPUTED_VALUE"""),1)</f>
        <v>1</v>
      </c>
      <c r="H1444" s="80" t="str">
        <f ca="1">IFERROR(__xludf.DUMMYFUNCTION("""COMPUTED_VALUE"""),"O")</f>
        <v>O</v>
      </c>
      <c r="I1444" s="80">
        <f ca="1">IFERROR(__xludf.DUMMYFUNCTION("""COMPUTED_VALUE"""),8)</f>
        <v>8</v>
      </c>
      <c r="J1444" s="81">
        <f ca="1">IFERROR(__xludf.DUMMYFUNCTION("""COMPUTED_VALUE"""),0)</f>
        <v>0</v>
      </c>
      <c r="K1444" s="81">
        <f ca="1">IFERROR(__xludf.DUMMYFUNCTION("""COMPUTED_VALUE"""),0)</f>
        <v>0</v>
      </c>
      <c r="L1444" s="81">
        <f ca="1">IFERROR(__xludf.DUMMYFUNCTION("""COMPUTED_VALUE"""),0)</f>
        <v>0</v>
      </c>
      <c r="M1444" s="81"/>
      <c r="N1444" s="81">
        <f ca="1">IFERROR(__xludf.DUMMYFUNCTION("""COMPUTED_VALUE"""),0)</f>
        <v>0</v>
      </c>
      <c r="O1444" s="81"/>
      <c r="P1444" s="81">
        <f ca="1">IFERROR(__xludf.DUMMYFUNCTION("""COMPUTED_VALUE"""),0)</f>
        <v>0</v>
      </c>
      <c r="Q1444" s="81"/>
      <c r="R1444" s="81">
        <f ca="1">IFERROR(__xludf.DUMMYFUNCTION("""COMPUTED_VALUE"""),0)</f>
        <v>0</v>
      </c>
      <c r="S1444" s="81"/>
      <c r="T1444" s="81"/>
      <c r="U1444" s="82"/>
      <c r="V1444" s="82"/>
      <c r="W1444" s="83"/>
      <c r="X1444" s="83"/>
      <c r="Y1444" s="83"/>
    </row>
    <row r="1445" spans="1:25" ht="13.8">
      <c r="A1445" s="78" t="str">
        <f ca="1">IFERROR(__xludf.DUMMYFUNCTION("""COMPUTED_VALUE"""),"O")</f>
        <v>O</v>
      </c>
      <c r="B1445" s="79" t="str">
        <f ca="1">IFERROR(__xludf.DUMMYFUNCTION("""COMPUTED_VALUE"""),"Avery Stoker")</f>
        <v>Avery Stoker</v>
      </c>
      <c r="C1445" s="78">
        <f ca="1">IFERROR(__xludf.DUMMYFUNCTION("""COMPUTED_VALUE"""),15)</f>
        <v>15</v>
      </c>
      <c r="D1445" s="78" t="str">
        <f ca="1">IFERROR(__xludf.DUMMYFUNCTION("""COMPUTED_VALUE"""),"G")</f>
        <v>G</v>
      </c>
      <c r="E1445" s="80" t="str">
        <f ca="1">IFERROR(__xludf.DUMMYFUNCTION("""COMPUTED_VALUE"""),"S")</f>
        <v>S</v>
      </c>
      <c r="F1445" s="80" t="str">
        <f ca="1">IFERROR(__xludf.DUMMYFUNCTION("""COMPUTED_VALUE"""),"S")</f>
        <v>S</v>
      </c>
      <c r="G1445" s="80">
        <f ca="1">IFERROR(__xludf.DUMMYFUNCTION("""COMPUTED_VALUE"""),1)</f>
        <v>1</v>
      </c>
      <c r="H1445" s="80" t="str">
        <f ca="1">IFERROR(__xludf.DUMMYFUNCTION("""COMPUTED_VALUE"""),"O")</f>
        <v>O</v>
      </c>
      <c r="I1445" s="80">
        <f ca="1">IFERROR(__xludf.DUMMYFUNCTION("""COMPUTED_VALUE"""),8)</f>
        <v>8</v>
      </c>
      <c r="J1445" s="81">
        <f ca="1">IFERROR(__xludf.DUMMYFUNCTION("""COMPUTED_VALUE"""),0)</f>
        <v>0</v>
      </c>
      <c r="K1445" s="81">
        <f ca="1">IFERROR(__xludf.DUMMYFUNCTION("""COMPUTED_VALUE"""),0)</f>
        <v>0</v>
      </c>
      <c r="L1445" s="81">
        <f ca="1">IFERROR(__xludf.DUMMYFUNCTION("""COMPUTED_VALUE"""),0)</f>
        <v>0</v>
      </c>
      <c r="M1445" s="81"/>
      <c r="N1445" s="81">
        <f ca="1">IFERROR(__xludf.DUMMYFUNCTION("""COMPUTED_VALUE"""),0)</f>
        <v>0</v>
      </c>
      <c r="O1445" s="81"/>
      <c r="P1445" s="81">
        <f ca="1">IFERROR(__xludf.DUMMYFUNCTION("""COMPUTED_VALUE"""),0)</f>
        <v>0</v>
      </c>
      <c r="Q1445" s="81"/>
      <c r="R1445" s="81">
        <f ca="1">IFERROR(__xludf.DUMMYFUNCTION("""COMPUTED_VALUE"""),0)</f>
        <v>0</v>
      </c>
      <c r="S1445" s="81"/>
      <c r="T1445" s="81"/>
      <c r="U1445" s="82"/>
      <c r="V1445" s="82"/>
      <c r="W1445" s="83"/>
      <c r="X1445" s="83"/>
      <c r="Y1445" s="83"/>
    </row>
    <row r="1446" spans="1:25" ht="13.8">
      <c r="A1446" s="78" t="str">
        <f ca="1">IFERROR(__xludf.DUMMYFUNCTION("""COMPUTED_VALUE"""),"O")</f>
        <v>O</v>
      </c>
      <c r="B1446" s="79" t="str">
        <f ca="1">IFERROR(__xludf.DUMMYFUNCTION("""COMPUTED_VALUE"""),"Matthew Kress")</f>
        <v>Matthew Kress</v>
      </c>
      <c r="C1446" s="78">
        <f ca="1">IFERROR(__xludf.DUMMYFUNCTION("""COMPUTED_VALUE"""),17)</f>
        <v>17</v>
      </c>
      <c r="D1446" s="78" t="str">
        <f ca="1">IFERROR(__xludf.DUMMYFUNCTION("""COMPUTED_VALUE"""),"B")</f>
        <v>B</v>
      </c>
      <c r="E1446" s="80" t="str">
        <f ca="1">IFERROR(__xludf.DUMMYFUNCTION("""COMPUTED_VALUE"""),"S")</f>
        <v>S</v>
      </c>
      <c r="F1446" s="80" t="str">
        <f ca="1">IFERROR(__xludf.DUMMYFUNCTION("""COMPUTED_VALUE"""),"S")</f>
        <v>S</v>
      </c>
      <c r="G1446" s="80">
        <f ca="1">IFERROR(__xludf.DUMMYFUNCTION("""COMPUTED_VALUE"""),1)</f>
        <v>1</v>
      </c>
      <c r="H1446" s="80" t="str">
        <f ca="1">IFERROR(__xludf.DUMMYFUNCTION("""COMPUTED_VALUE"""),"O")</f>
        <v>O</v>
      </c>
      <c r="I1446" s="80">
        <f ca="1">IFERROR(__xludf.DUMMYFUNCTION("""COMPUTED_VALUE"""),9)</f>
        <v>9</v>
      </c>
      <c r="J1446" s="81">
        <f ca="1">IFERROR(__xludf.DUMMYFUNCTION("""COMPUTED_VALUE"""),0)</f>
        <v>0</v>
      </c>
      <c r="K1446" s="81">
        <f ca="1">IFERROR(__xludf.DUMMYFUNCTION("""COMPUTED_VALUE"""),0)</f>
        <v>0</v>
      </c>
      <c r="L1446" s="81">
        <f ca="1">IFERROR(__xludf.DUMMYFUNCTION("""COMPUTED_VALUE"""),0)</f>
        <v>0</v>
      </c>
      <c r="M1446" s="81"/>
      <c r="N1446" s="81">
        <f ca="1">IFERROR(__xludf.DUMMYFUNCTION("""COMPUTED_VALUE"""),0)</f>
        <v>0</v>
      </c>
      <c r="O1446" s="81"/>
      <c r="P1446" s="81">
        <f ca="1">IFERROR(__xludf.DUMMYFUNCTION("""COMPUTED_VALUE"""),0)</f>
        <v>0</v>
      </c>
      <c r="Q1446" s="81"/>
      <c r="R1446" s="81">
        <f ca="1">IFERROR(__xludf.DUMMYFUNCTION("""COMPUTED_VALUE"""),0)</f>
        <v>0</v>
      </c>
      <c r="S1446" s="81"/>
      <c r="T1446" s="81"/>
      <c r="U1446" s="82"/>
      <c r="V1446" s="82"/>
      <c r="W1446" s="83"/>
      <c r="X1446" s="83"/>
      <c r="Y1446" s="83"/>
    </row>
    <row r="1447" spans="1:25" ht="13.8">
      <c r="A1447" s="78" t="str">
        <f ca="1">IFERROR(__xludf.DUMMYFUNCTION("""COMPUTED_VALUE"""),"OAK")</f>
        <v>OAK</v>
      </c>
      <c r="B1447" s="79" t="str">
        <f ca="1">IFERROR(__xludf.DUMMYFUNCTION("""COMPUTED_VALUE"""),"Lauren Emerick")</f>
        <v>Lauren Emerick</v>
      </c>
      <c r="C1447" s="78">
        <f ca="1">IFERROR(__xludf.DUMMYFUNCTION("""COMPUTED_VALUE"""),9)</f>
        <v>9</v>
      </c>
      <c r="D1447" s="78" t="str">
        <f ca="1">IFERROR(__xludf.DUMMYFUNCTION("""COMPUTED_VALUE"""),"G")</f>
        <v>G</v>
      </c>
      <c r="E1447" s="80" t="str">
        <f ca="1">IFERROR(__xludf.DUMMYFUNCTION("""COMPUTED_VALUE"""),"F")</f>
        <v>F</v>
      </c>
      <c r="F1447" s="80" t="str">
        <f ca="1">IFERROR(__xludf.DUMMYFUNCTION("""COMPUTED_VALUE"""),"J")</f>
        <v>J</v>
      </c>
      <c r="G1447" s="80">
        <f ca="1">IFERROR(__xludf.DUMMYFUNCTION("""COMPUTED_VALUE"""),2)</f>
        <v>2</v>
      </c>
      <c r="H1447" s="80" t="str">
        <f ca="1">IFERROR(__xludf.DUMMYFUNCTION("""COMPUTED_VALUE"""),"OAK")</f>
        <v>OAK</v>
      </c>
      <c r="I1447" s="80">
        <f ca="1">IFERROR(__xludf.DUMMYFUNCTION("""COMPUTED_VALUE"""),2)</f>
        <v>2</v>
      </c>
      <c r="J1447" s="81">
        <f ca="1">IFERROR(__xludf.DUMMYFUNCTION("""COMPUTED_VALUE"""),3)</f>
        <v>3</v>
      </c>
      <c r="K1447" s="81">
        <f ca="1">IFERROR(__xludf.DUMMYFUNCTION("""COMPUTED_VALUE"""),41.1)</f>
        <v>41.1</v>
      </c>
      <c r="L1447" s="81">
        <f ca="1">IFERROR(__xludf.DUMMYFUNCTION("""COMPUTED_VALUE"""),0)</f>
        <v>0</v>
      </c>
      <c r="M1447" s="81"/>
      <c r="N1447" s="81">
        <f ca="1">IFERROR(__xludf.DUMMYFUNCTION("""COMPUTED_VALUE"""),36.15)</f>
        <v>36.15</v>
      </c>
      <c r="O1447" s="81"/>
      <c r="P1447" s="81">
        <f ca="1">IFERROR(__xludf.DUMMYFUNCTION("""COMPUTED_VALUE"""),0)</f>
        <v>0</v>
      </c>
      <c r="Q1447" s="81"/>
      <c r="R1447" s="81">
        <f ca="1">IFERROR(__xludf.DUMMYFUNCTION("""COMPUTED_VALUE"""),41.1)</f>
        <v>41.1</v>
      </c>
      <c r="S1447" s="81"/>
      <c r="T1447" s="81"/>
      <c r="U1447" s="82"/>
      <c r="V1447" s="82"/>
      <c r="W1447" s="83"/>
      <c r="X1447" s="83"/>
      <c r="Y1447" s="83"/>
    </row>
    <row r="1448" spans="1:25" ht="13.8">
      <c r="A1448" s="78" t="str">
        <f ca="1">IFERROR(__xludf.DUMMYFUNCTION("""COMPUTED_VALUE"""),"OAK")</f>
        <v>OAK</v>
      </c>
      <c r="B1448" s="79" t="str">
        <f ca="1">IFERROR(__xludf.DUMMYFUNCTION("""COMPUTED_VALUE"""),"Avery Lane")</f>
        <v>Avery Lane</v>
      </c>
      <c r="C1448" s="78">
        <f ca="1">IFERROR(__xludf.DUMMYFUNCTION("""COMPUTED_VALUE"""),9)</f>
        <v>9</v>
      </c>
      <c r="D1448" s="78" t="str">
        <f ca="1">IFERROR(__xludf.DUMMYFUNCTION("""COMPUTED_VALUE"""),"G")</f>
        <v>G</v>
      </c>
      <c r="E1448" s="80" t="str">
        <f ca="1">IFERROR(__xludf.DUMMYFUNCTION("""COMPUTED_VALUE"""),"F")</f>
        <v>F</v>
      </c>
      <c r="F1448" s="80" t="str">
        <f ca="1">IFERROR(__xludf.DUMMYFUNCTION("""COMPUTED_VALUE"""),"J")</f>
        <v>J</v>
      </c>
      <c r="G1448" s="80">
        <f ca="1">IFERROR(__xludf.DUMMYFUNCTION("""COMPUTED_VALUE"""),2)</f>
        <v>2</v>
      </c>
      <c r="H1448" s="80" t="str">
        <f ca="1">IFERROR(__xludf.DUMMYFUNCTION("""COMPUTED_VALUE"""),"OAK")</f>
        <v>OAK</v>
      </c>
      <c r="I1448" s="80">
        <f ca="1">IFERROR(__xludf.DUMMYFUNCTION("""COMPUTED_VALUE"""),2)</f>
        <v>2</v>
      </c>
      <c r="J1448" s="81">
        <f ca="1">IFERROR(__xludf.DUMMYFUNCTION("""COMPUTED_VALUE"""),3)</f>
        <v>3</v>
      </c>
      <c r="K1448" s="81">
        <f ca="1">IFERROR(__xludf.DUMMYFUNCTION("""COMPUTED_VALUE"""),34.65)</f>
        <v>34.65</v>
      </c>
      <c r="L1448" s="81">
        <f ca="1">IFERROR(__xludf.DUMMYFUNCTION("""COMPUTED_VALUE"""),34.65)</f>
        <v>34.65</v>
      </c>
      <c r="M1448" s="81"/>
      <c r="N1448" s="81">
        <f ca="1">IFERROR(__xludf.DUMMYFUNCTION("""COMPUTED_VALUE"""),0)</f>
        <v>0</v>
      </c>
      <c r="O1448" s="81"/>
      <c r="P1448" s="81">
        <f ca="1">IFERROR(__xludf.DUMMYFUNCTION("""COMPUTED_VALUE"""),0)</f>
        <v>0</v>
      </c>
      <c r="Q1448" s="81"/>
      <c r="R1448" s="81">
        <f ca="1">IFERROR(__xludf.DUMMYFUNCTION("""COMPUTED_VALUE"""),31.95)</f>
        <v>31.95</v>
      </c>
      <c r="S1448" s="81"/>
      <c r="T1448" s="81"/>
      <c r="U1448" s="82"/>
      <c r="V1448" s="82"/>
      <c r="W1448" s="83"/>
      <c r="X1448" s="83"/>
      <c r="Y1448" s="83"/>
    </row>
    <row r="1449" spans="1:25" ht="13.8">
      <c r="A1449" s="78" t="str">
        <f ca="1">IFERROR(__xludf.DUMMYFUNCTION("""COMPUTED_VALUE"""),"OAK")</f>
        <v>OAK</v>
      </c>
      <c r="B1449" s="79" t="str">
        <f ca="1">IFERROR(__xludf.DUMMYFUNCTION("""COMPUTED_VALUE"""),"Harper Lubic")</f>
        <v>Harper Lubic</v>
      </c>
      <c r="C1449" s="78">
        <f ca="1">IFERROR(__xludf.DUMMYFUNCTION("""COMPUTED_VALUE"""),9)</f>
        <v>9</v>
      </c>
      <c r="D1449" s="78" t="str">
        <f ca="1">IFERROR(__xludf.DUMMYFUNCTION("""COMPUTED_VALUE"""),"G")</f>
        <v>G</v>
      </c>
      <c r="E1449" s="80" t="str">
        <f ca="1">IFERROR(__xludf.DUMMYFUNCTION("""COMPUTED_VALUE"""),"F")</f>
        <v>F</v>
      </c>
      <c r="F1449" s="80" t="str">
        <f ca="1">IFERROR(__xludf.DUMMYFUNCTION("""COMPUTED_VALUE"""),"J")</f>
        <v>J</v>
      </c>
      <c r="G1449" s="80">
        <f ca="1">IFERROR(__xludf.DUMMYFUNCTION("""COMPUTED_VALUE"""),2)</f>
        <v>2</v>
      </c>
      <c r="H1449" s="80" t="str">
        <f ca="1">IFERROR(__xludf.DUMMYFUNCTION("""COMPUTED_VALUE"""),"OAK")</f>
        <v>OAK</v>
      </c>
      <c r="I1449" s="80">
        <f ca="1">IFERROR(__xludf.DUMMYFUNCTION("""COMPUTED_VALUE"""),2)</f>
        <v>2</v>
      </c>
      <c r="J1449" s="81">
        <f ca="1">IFERROR(__xludf.DUMMYFUNCTION("""COMPUTED_VALUE"""),2)</f>
        <v>2</v>
      </c>
      <c r="K1449" s="81">
        <f ca="1">IFERROR(__xludf.DUMMYFUNCTION("""COMPUTED_VALUE"""),20.35)</f>
        <v>20.350000000000001</v>
      </c>
      <c r="L1449" s="81">
        <f ca="1">IFERROR(__xludf.DUMMYFUNCTION("""COMPUTED_VALUE"""),20.35)</f>
        <v>20.350000000000001</v>
      </c>
      <c r="M1449" s="81"/>
      <c r="N1449" s="81">
        <f ca="1">IFERROR(__xludf.DUMMYFUNCTION("""COMPUTED_VALUE"""),15.65)</f>
        <v>15.65</v>
      </c>
      <c r="O1449" s="81"/>
      <c r="P1449" s="81">
        <f ca="1">IFERROR(__xludf.DUMMYFUNCTION("""COMPUTED_VALUE"""),0)</f>
        <v>0</v>
      </c>
      <c r="Q1449" s="81"/>
      <c r="R1449" s="81">
        <f ca="1">IFERROR(__xludf.DUMMYFUNCTION("""COMPUTED_VALUE"""),0)</f>
        <v>0</v>
      </c>
      <c r="S1449" s="81"/>
      <c r="T1449" s="81"/>
      <c r="U1449" s="82"/>
      <c r="V1449" s="82"/>
      <c r="W1449" s="83"/>
      <c r="X1449" s="83"/>
      <c r="Y1449" s="83"/>
    </row>
    <row r="1450" spans="1:25" ht="13.8">
      <c r="A1450" s="78" t="str">
        <f ca="1">IFERROR(__xludf.DUMMYFUNCTION("""COMPUTED_VALUE"""),"OAK")</f>
        <v>OAK</v>
      </c>
      <c r="B1450" s="79" t="str">
        <f ca="1">IFERROR(__xludf.DUMMYFUNCTION("""COMPUTED_VALUE"""),"Mackenzie Martin")</f>
        <v>Mackenzie Martin</v>
      </c>
      <c r="C1450" s="78">
        <f ca="1">IFERROR(__xludf.DUMMYFUNCTION("""COMPUTED_VALUE"""),9)</f>
        <v>9</v>
      </c>
      <c r="D1450" s="78" t="str">
        <f ca="1">IFERROR(__xludf.DUMMYFUNCTION("""COMPUTED_VALUE"""),"G")</f>
        <v>G</v>
      </c>
      <c r="E1450" s="80" t="str">
        <f ca="1">IFERROR(__xludf.DUMMYFUNCTION("""COMPUTED_VALUE"""),"F")</f>
        <v>F</v>
      </c>
      <c r="F1450" s="80" t="str">
        <f ca="1">IFERROR(__xludf.DUMMYFUNCTION("""COMPUTED_VALUE"""),"J")</f>
        <v>J</v>
      </c>
      <c r="G1450" s="80">
        <f ca="1">IFERROR(__xludf.DUMMYFUNCTION("""COMPUTED_VALUE"""),2)</f>
        <v>2</v>
      </c>
      <c r="H1450" s="80" t="str">
        <f ca="1">IFERROR(__xludf.DUMMYFUNCTION("""COMPUTED_VALUE"""),"OAK")</f>
        <v>OAK</v>
      </c>
      <c r="I1450" s="80">
        <f ca="1">IFERROR(__xludf.DUMMYFUNCTION("""COMPUTED_VALUE"""),2)</f>
        <v>2</v>
      </c>
      <c r="J1450" s="81">
        <f ca="1">IFERROR(__xludf.DUMMYFUNCTION("""COMPUTED_VALUE"""),5)</f>
        <v>5</v>
      </c>
      <c r="K1450" s="81">
        <f ca="1">IFERROR(__xludf.DUMMYFUNCTION("""COMPUTED_VALUE"""),57.95)</f>
        <v>57.95</v>
      </c>
      <c r="L1450" s="81">
        <f ca="1">IFERROR(__xludf.DUMMYFUNCTION("""COMPUTED_VALUE"""),35.05)</f>
        <v>35.049999999999997</v>
      </c>
      <c r="M1450" s="81"/>
      <c r="N1450" s="81">
        <f ca="1">IFERROR(__xludf.DUMMYFUNCTION("""COMPUTED_VALUE"""),49)</f>
        <v>49</v>
      </c>
      <c r="O1450" s="81"/>
      <c r="P1450" s="81">
        <f ca="1">IFERROR(__xludf.DUMMYFUNCTION("""COMPUTED_VALUE"""),45.9)</f>
        <v>45.9</v>
      </c>
      <c r="Q1450" s="81"/>
      <c r="R1450" s="81">
        <f ca="1">IFERROR(__xludf.DUMMYFUNCTION("""COMPUTED_VALUE"""),57.95)</f>
        <v>57.95</v>
      </c>
      <c r="S1450" s="81"/>
      <c r="T1450" s="81"/>
      <c r="U1450" s="82"/>
      <c r="V1450" s="82"/>
      <c r="W1450" s="83"/>
      <c r="X1450" s="83"/>
      <c r="Y1450" s="83"/>
    </row>
    <row r="1451" spans="1:25" ht="13.8">
      <c r="A1451" s="78" t="str">
        <f ca="1">IFERROR(__xludf.DUMMYFUNCTION("""COMPUTED_VALUE"""),"OAK")</f>
        <v>OAK</v>
      </c>
      <c r="B1451" s="79" t="str">
        <f ca="1">IFERROR(__xludf.DUMMYFUNCTION("""COMPUTED_VALUE"""),"Chelsea McLenahan")</f>
        <v>Chelsea McLenahan</v>
      </c>
      <c r="C1451" s="78">
        <f ca="1">IFERROR(__xludf.DUMMYFUNCTION("""COMPUTED_VALUE"""),8)</f>
        <v>8</v>
      </c>
      <c r="D1451" s="78" t="str">
        <f ca="1">IFERROR(__xludf.DUMMYFUNCTION("""COMPUTED_VALUE"""),"G")</f>
        <v>G</v>
      </c>
      <c r="E1451" s="80" t="str">
        <f ca="1">IFERROR(__xludf.DUMMYFUNCTION("""COMPUTED_VALUE"""),"F")</f>
        <v>F</v>
      </c>
      <c r="F1451" s="80" t="str">
        <f ca="1">IFERROR(__xludf.DUMMYFUNCTION("""COMPUTED_VALUE"""),"J")</f>
        <v>J</v>
      </c>
      <c r="G1451" s="80">
        <f ca="1">IFERROR(__xludf.DUMMYFUNCTION("""COMPUTED_VALUE"""),2)</f>
        <v>2</v>
      </c>
      <c r="H1451" s="80" t="str">
        <f ca="1">IFERROR(__xludf.DUMMYFUNCTION("""COMPUTED_VALUE"""),"OAK")</f>
        <v>OAK</v>
      </c>
      <c r="I1451" s="80">
        <f ca="1">IFERROR(__xludf.DUMMYFUNCTION("""COMPUTED_VALUE"""),2)</f>
        <v>2</v>
      </c>
      <c r="J1451" s="81">
        <f ca="1">IFERROR(__xludf.DUMMYFUNCTION("""COMPUTED_VALUE"""),4)</f>
        <v>4</v>
      </c>
      <c r="K1451" s="81">
        <f ca="1">IFERROR(__xludf.DUMMYFUNCTION("""COMPUTED_VALUE"""),59.2)</f>
        <v>59.2</v>
      </c>
      <c r="L1451" s="81">
        <f ca="1">IFERROR(__xludf.DUMMYFUNCTION("""COMPUTED_VALUE"""),53.45)</f>
        <v>53.45</v>
      </c>
      <c r="M1451" s="81"/>
      <c r="N1451" s="81">
        <f ca="1">IFERROR(__xludf.DUMMYFUNCTION("""COMPUTED_VALUE"""),54.1)</f>
        <v>54.1</v>
      </c>
      <c r="O1451" s="81"/>
      <c r="P1451" s="81">
        <f ca="1">IFERROR(__xludf.DUMMYFUNCTION("""COMPUTED_VALUE"""),59.2)</f>
        <v>59.2</v>
      </c>
      <c r="Q1451" s="81"/>
      <c r="R1451" s="81">
        <f ca="1">IFERROR(__xludf.DUMMYFUNCTION("""COMPUTED_VALUE"""),0)</f>
        <v>0</v>
      </c>
      <c r="S1451" s="81"/>
      <c r="T1451" s="81"/>
      <c r="U1451" s="82"/>
      <c r="V1451" s="82"/>
      <c r="W1451" s="83"/>
      <c r="X1451" s="83"/>
      <c r="Y1451" s="83"/>
    </row>
    <row r="1452" spans="1:25" ht="13.8">
      <c r="A1452" s="78" t="str">
        <f ca="1">IFERROR(__xludf.DUMMYFUNCTION("""COMPUTED_VALUE"""),"OAK")</f>
        <v>OAK</v>
      </c>
      <c r="B1452" s="79" t="str">
        <f ca="1">IFERROR(__xludf.DUMMYFUNCTION("""COMPUTED_VALUE"""),"Simone Wilson")</f>
        <v>Simone Wilson</v>
      </c>
      <c r="C1452" s="78">
        <f ca="1">IFERROR(__xludf.DUMMYFUNCTION("""COMPUTED_VALUE"""),9)</f>
        <v>9</v>
      </c>
      <c r="D1452" s="78" t="str">
        <f ca="1">IFERROR(__xludf.DUMMYFUNCTION("""COMPUTED_VALUE"""),"G")</f>
        <v>G</v>
      </c>
      <c r="E1452" s="80" t="str">
        <f ca="1">IFERROR(__xludf.DUMMYFUNCTION("""COMPUTED_VALUE"""),"F")</f>
        <v>F</v>
      </c>
      <c r="F1452" s="80" t="str">
        <f ca="1">IFERROR(__xludf.DUMMYFUNCTION("""COMPUTED_VALUE"""),"J")</f>
        <v>J</v>
      </c>
      <c r="G1452" s="80">
        <f ca="1">IFERROR(__xludf.DUMMYFUNCTION("""COMPUTED_VALUE"""),2)</f>
        <v>2</v>
      </c>
      <c r="H1452" s="80" t="str">
        <f ca="1">IFERROR(__xludf.DUMMYFUNCTION("""COMPUTED_VALUE"""),"OAK")</f>
        <v>OAK</v>
      </c>
      <c r="I1452" s="80">
        <f ca="1">IFERROR(__xludf.DUMMYFUNCTION("""COMPUTED_VALUE"""),2)</f>
        <v>2</v>
      </c>
      <c r="J1452" s="81">
        <f ca="1">IFERROR(__xludf.DUMMYFUNCTION("""COMPUTED_VALUE"""),4)</f>
        <v>4</v>
      </c>
      <c r="K1452" s="81">
        <f ca="1">IFERROR(__xludf.DUMMYFUNCTION("""COMPUTED_VALUE"""),59.75)</f>
        <v>59.75</v>
      </c>
      <c r="L1452" s="81">
        <f ca="1">IFERROR(__xludf.DUMMYFUNCTION("""COMPUTED_VALUE"""),59.05)</f>
        <v>59.05</v>
      </c>
      <c r="M1452" s="81"/>
      <c r="N1452" s="81">
        <f ca="1">IFERROR(__xludf.DUMMYFUNCTION("""COMPUTED_VALUE"""),48.6)</f>
        <v>48.6</v>
      </c>
      <c r="O1452" s="81"/>
      <c r="P1452" s="81">
        <f ca="1">IFERROR(__xludf.DUMMYFUNCTION("""COMPUTED_VALUE"""),56.35)</f>
        <v>56.35</v>
      </c>
      <c r="Q1452" s="81"/>
      <c r="R1452" s="81">
        <f ca="1">IFERROR(__xludf.DUMMYFUNCTION("""COMPUTED_VALUE"""),59.75)</f>
        <v>59.75</v>
      </c>
      <c r="S1452" s="81"/>
      <c r="T1452" s="81"/>
      <c r="U1452" s="82"/>
      <c r="V1452" s="82"/>
      <c r="W1452" s="83"/>
      <c r="X1452" s="83"/>
      <c r="Y1452" s="83"/>
    </row>
    <row r="1453" spans="1:25" ht="13.8">
      <c r="A1453" s="78" t="str">
        <f ca="1">IFERROR(__xludf.DUMMYFUNCTION("""COMPUTED_VALUE"""),"OAK")</f>
        <v>OAK</v>
      </c>
      <c r="B1453" s="79" t="str">
        <f ca="1">IFERROR(__xludf.DUMMYFUNCTION("""COMPUTED_VALUE"""),"Tyler Kroopnick")</f>
        <v>Tyler Kroopnick</v>
      </c>
      <c r="C1453" s="78">
        <f ca="1">IFERROR(__xludf.DUMMYFUNCTION("""COMPUTED_VALUE"""),7)</f>
        <v>7</v>
      </c>
      <c r="D1453" s="78" t="str">
        <f ca="1">IFERROR(__xludf.DUMMYFUNCTION("""COMPUTED_VALUE"""),"B")</f>
        <v>B</v>
      </c>
      <c r="E1453" s="80" t="str">
        <f ca="1">IFERROR(__xludf.DUMMYFUNCTION("""COMPUTED_VALUE"""),"F")</f>
        <v>F</v>
      </c>
      <c r="F1453" s="80" t="str">
        <f ca="1">IFERROR(__xludf.DUMMYFUNCTION("""COMPUTED_VALUE"""),"J")</f>
        <v>J</v>
      </c>
      <c r="G1453" s="80">
        <f ca="1">IFERROR(__xludf.DUMMYFUNCTION("""COMPUTED_VALUE"""),2)</f>
        <v>2</v>
      </c>
      <c r="H1453" s="80" t="str">
        <f ca="1">IFERROR(__xludf.DUMMYFUNCTION("""COMPUTED_VALUE"""),"OAK")</f>
        <v>OAK</v>
      </c>
      <c r="I1453" s="80">
        <f ca="1">IFERROR(__xludf.DUMMYFUNCTION("""COMPUTED_VALUE"""),3)</f>
        <v>3</v>
      </c>
      <c r="J1453" s="81">
        <f ca="1">IFERROR(__xludf.DUMMYFUNCTION("""COMPUTED_VALUE"""),2)</f>
        <v>2</v>
      </c>
      <c r="K1453" s="81">
        <f ca="1">IFERROR(__xludf.DUMMYFUNCTION("""COMPUTED_VALUE"""),31.35)</f>
        <v>31.35</v>
      </c>
      <c r="L1453" s="81">
        <f ca="1">IFERROR(__xludf.DUMMYFUNCTION("""COMPUTED_VALUE"""),0)</f>
        <v>0</v>
      </c>
      <c r="M1453" s="81"/>
      <c r="N1453" s="81">
        <f ca="1">IFERROR(__xludf.DUMMYFUNCTION("""COMPUTED_VALUE"""),31.35)</f>
        <v>31.35</v>
      </c>
      <c r="O1453" s="81"/>
      <c r="P1453" s="81">
        <f ca="1">IFERROR(__xludf.DUMMYFUNCTION("""COMPUTED_VALUE"""),0)</f>
        <v>0</v>
      </c>
      <c r="Q1453" s="81"/>
      <c r="R1453" s="81">
        <f ca="1">IFERROR(__xludf.DUMMYFUNCTION("""COMPUTED_VALUE"""),0)</f>
        <v>0</v>
      </c>
      <c r="S1453" s="81"/>
      <c r="T1453" s="81"/>
      <c r="U1453" s="82"/>
      <c r="V1453" s="82"/>
      <c r="W1453" s="83"/>
      <c r="X1453" s="83"/>
      <c r="Y1453" s="83"/>
    </row>
    <row r="1454" spans="1:25" ht="13.8">
      <c r="A1454" s="78" t="str">
        <f ca="1">IFERROR(__xludf.DUMMYFUNCTION("""COMPUTED_VALUE"""),"OAK")</f>
        <v>OAK</v>
      </c>
      <c r="B1454" s="79" t="str">
        <f ca="1">IFERROR(__xludf.DUMMYFUNCTION("""COMPUTED_VALUE"""),"Brayden Lane")</f>
        <v>Brayden Lane</v>
      </c>
      <c r="C1454" s="78">
        <f ca="1">IFERROR(__xludf.DUMMYFUNCTION("""COMPUTED_VALUE"""),6)</f>
        <v>6</v>
      </c>
      <c r="D1454" s="78" t="str">
        <f ca="1">IFERROR(__xludf.DUMMYFUNCTION("""COMPUTED_VALUE"""),"B")</f>
        <v>B</v>
      </c>
      <c r="E1454" s="80" t="str">
        <f ca="1">IFERROR(__xludf.DUMMYFUNCTION("""COMPUTED_VALUE"""),"F")</f>
        <v>F</v>
      </c>
      <c r="F1454" s="80" t="str">
        <f ca="1">IFERROR(__xludf.DUMMYFUNCTION("""COMPUTED_VALUE"""),"J")</f>
        <v>J</v>
      </c>
      <c r="G1454" s="80">
        <f ca="1">IFERROR(__xludf.DUMMYFUNCTION("""COMPUTED_VALUE"""),2)</f>
        <v>2</v>
      </c>
      <c r="H1454" s="80" t="str">
        <f ca="1">IFERROR(__xludf.DUMMYFUNCTION("""COMPUTED_VALUE"""),"OAK")</f>
        <v>OAK</v>
      </c>
      <c r="I1454" s="80">
        <f ca="1">IFERROR(__xludf.DUMMYFUNCTION("""COMPUTED_VALUE"""),3)</f>
        <v>3</v>
      </c>
      <c r="J1454" s="81">
        <f ca="1">IFERROR(__xludf.DUMMYFUNCTION("""COMPUTED_VALUE"""),0)</f>
        <v>0</v>
      </c>
      <c r="K1454" s="81">
        <f ca="1">IFERROR(__xludf.DUMMYFUNCTION("""COMPUTED_VALUE"""),0)</f>
        <v>0</v>
      </c>
      <c r="L1454" s="81">
        <f ca="1">IFERROR(__xludf.DUMMYFUNCTION("""COMPUTED_VALUE"""),0)</f>
        <v>0</v>
      </c>
      <c r="M1454" s="81"/>
      <c r="N1454" s="81">
        <f ca="1">IFERROR(__xludf.DUMMYFUNCTION("""COMPUTED_VALUE"""),0)</f>
        <v>0</v>
      </c>
      <c r="O1454" s="81"/>
      <c r="P1454" s="81">
        <f ca="1">IFERROR(__xludf.DUMMYFUNCTION("""COMPUTED_VALUE"""),0)</f>
        <v>0</v>
      </c>
      <c r="Q1454" s="81"/>
      <c r="R1454" s="81">
        <f ca="1">IFERROR(__xludf.DUMMYFUNCTION("""COMPUTED_VALUE"""),0)</f>
        <v>0</v>
      </c>
      <c r="S1454" s="81"/>
      <c r="T1454" s="81"/>
      <c r="U1454" s="82"/>
      <c r="V1454" s="82"/>
      <c r="W1454" s="83"/>
      <c r="X1454" s="83"/>
      <c r="Y1454" s="83"/>
    </row>
    <row r="1455" spans="1:25" ht="13.8">
      <c r="A1455" s="78" t="str">
        <f ca="1">IFERROR(__xludf.DUMMYFUNCTION("""COMPUTED_VALUE"""),"OAK")</f>
        <v>OAK</v>
      </c>
      <c r="B1455" s="79" t="str">
        <f ca="1">IFERROR(__xludf.DUMMYFUNCTION("""COMPUTED_VALUE"""),"Alex Lee")</f>
        <v>Alex Lee</v>
      </c>
      <c r="C1455" s="78">
        <f ca="1">IFERROR(__xludf.DUMMYFUNCTION("""COMPUTED_VALUE"""),9)</f>
        <v>9</v>
      </c>
      <c r="D1455" s="78" t="str">
        <f ca="1">IFERROR(__xludf.DUMMYFUNCTION("""COMPUTED_VALUE"""),"B")</f>
        <v>B</v>
      </c>
      <c r="E1455" s="80" t="str">
        <f ca="1">IFERROR(__xludf.DUMMYFUNCTION("""COMPUTED_VALUE"""),"F")</f>
        <v>F</v>
      </c>
      <c r="F1455" s="80" t="str">
        <f ca="1">IFERROR(__xludf.DUMMYFUNCTION("""COMPUTED_VALUE"""),"J")</f>
        <v>J</v>
      </c>
      <c r="G1455" s="80">
        <f ca="1">IFERROR(__xludf.DUMMYFUNCTION("""COMPUTED_VALUE"""),2)</f>
        <v>2</v>
      </c>
      <c r="H1455" s="80" t="str">
        <f ca="1">IFERROR(__xludf.DUMMYFUNCTION("""COMPUTED_VALUE"""),"OAK")</f>
        <v>OAK</v>
      </c>
      <c r="I1455" s="80">
        <f ca="1">IFERROR(__xludf.DUMMYFUNCTION("""COMPUTED_VALUE"""),3)</f>
        <v>3</v>
      </c>
      <c r="J1455" s="81">
        <f ca="1">IFERROR(__xludf.DUMMYFUNCTION("""COMPUTED_VALUE"""),5)</f>
        <v>5</v>
      </c>
      <c r="K1455" s="81">
        <f ca="1">IFERROR(__xludf.DUMMYFUNCTION("""COMPUTED_VALUE"""),64.65)</f>
        <v>64.650000000000006</v>
      </c>
      <c r="L1455" s="81">
        <f ca="1">IFERROR(__xludf.DUMMYFUNCTION("""COMPUTED_VALUE"""),64.65)</f>
        <v>64.650000000000006</v>
      </c>
      <c r="M1455" s="81"/>
      <c r="N1455" s="81">
        <f ca="1">IFERROR(__xludf.DUMMYFUNCTION("""COMPUTED_VALUE"""),54.9)</f>
        <v>54.9</v>
      </c>
      <c r="O1455" s="81"/>
      <c r="P1455" s="81">
        <f ca="1">IFERROR(__xludf.DUMMYFUNCTION("""COMPUTED_VALUE"""),49.25)</f>
        <v>49.25</v>
      </c>
      <c r="Q1455" s="81"/>
      <c r="R1455" s="81">
        <f ca="1">IFERROR(__xludf.DUMMYFUNCTION("""COMPUTED_VALUE"""),57.15)</f>
        <v>57.15</v>
      </c>
      <c r="S1455" s="81"/>
      <c r="T1455" s="81"/>
      <c r="U1455" s="82"/>
      <c r="V1455" s="82"/>
      <c r="W1455" s="83"/>
      <c r="X1455" s="83"/>
      <c r="Y1455" s="83"/>
    </row>
    <row r="1456" spans="1:25" ht="13.8">
      <c r="A1456" s="78" t="str">
        <f ca="1">IFERROR(__xludf.DUMMYFUNCTION("""COMPUTED_VALUE"""),"OAK")</f>
        <v>OAK</v>
      </c>
      <c r="B1456" s="79" t="str">
        <f ca="1">IFERROR(__xludf.DUMMYFUNCTION("""COMPUTED_VALUE"""),"Malcolm McLenahan")</f>
        <v>Malcolm McLenahan</v>
      </c>
      <c r="C1456" s="78">
        <f ca="1">IFERROR(__xludf.DUMMYFUNCTION("""COMPUTED_VALUE"""),10)</f>
        <v>10</v>
      </c>
      <c r="D1456" s="78" t="str">
        <f ca="1">IFERROR(__xludf.DUMMYFUNCTION("""COMPUTED_VALUE"""),"B")</f>
        <v>B</v>
      </c>
      <c r="E1456" s="80" t="str">
        <f ca="1">IFERROR(__xludf.DUMMYFUNCTION("""COMPUTED_VALUE"""),"F")</f>
        <v>F</v>
      </c>
      <c r="F1456" s="80" t="str">
        <f ca="1">IFERROR(__xludf.DUMMYFUNCTION("""COMPUTED_VALUE"""),"J")</f>
        <v>J</v>
      </c>
      <c r="G1456" s="80">
        <f ca="1">IFERROR(__xludf.DUMMYFUNCTION("""COMPUTED_VALUE"""),2)</f>
        <v>2</v>
      </c>
      <c r="H1456" s="80" t="str">
        <f ca="1">IFERROR(__xludf.DUMMYFUNCTION("""COMPUTED_VALUE"""),"OAK")</f>
        <v>OAK</v>
      </c>
      <c r="I1456" s="80">
        <f ca="1">IFERROR(__xludf.DUMMYFUNCTION("""COMPUTED_VALUE"""),3)</f>
        <v>3</v>
      </c>
      <c r="J1456" s="81">
        <f ca="1">IFERROR(__xludf.DUMMYFUNCTION("""COMPUTED_VALUE"""),5)</f>
        <v>5</v>
      </c>
      <c r="K1456" s="81">
        <f ca="1">IFERROR(__xludf.DUMMYFUNCTION("""COMPUTED_VALUE"""),58.95)</f>
        <v>58.95</v>
      </c>
      <c r="L1456" s="81">
        <f ca="1">IFERROR(__xludf.DUMMYFUNCTION("""COMPUTED_VALUE"""),58.95)</f>
        <v>58.95</v>
      </c>
      <c r="M1456" s="81"/>
      <c r="N1456" s="81">
        <f ca="1">IFERROR(__xludf.DUMMYFUNCTION("""COMPUTED_VALUE"""),50.8)</f>
        <v>50.8</v>
      </c>
      <c r="O1456" s="81"/>
      <c r="P1456" s="81">
        <f ca="1">IFERROR(__xludf.DUMMYFUNCTION("""COMPUTED_VALUE"""),54.95)</f>
        <v>54.95</v>
      </c>
      <c r="Q1456" s="81"/>
      <c r="R1456" s="81">
        <f ca="1">IFERROR(__xludf.DUMMYFUNCTION("""COMPUTED_VALUE"""),57.9)</f>
        <v>57.9</v>
      </c>
      <c r="S1456" s="81"/>
      <c r="T1456" s="81"/>
      <c r="U1456" s="82"/>
      <c r="V1456" s="82"/>
      <c r="W1456" s="83"/>
      <c r="X1456" s="83"/>
      <c r="Y1456" s="83"/>
    </row>
    <row r="1457" spans="1:25" ht="13.8">
      <c r="A1457" s="78" t="str">
        <f ca="1">IFERROR(__xludf.DUMMYFUNCTION("""COMPUTED_VALUE"""),"OAK")</f>
        <v>OAK</v>
      </c>
      <c r="B1457" s="79" t="str">
        <f ca="1">IFERROR(__xludf.DUMMYFUNCTION("""COMPUTED_VALUE"""),"Caleb McManus")</f>
        <v>Caleb McManus</v>
      </c>
      <c r="C1457" s="78">
        <f ca="1">IFERROR(__xludf.DUMMYFUNCTION("""COMPUTED_VALUE"""),10)</f>
        <v>10</v>
      </c>
      <c r="D1457" s="78" t="str">
        <f ca="1">IFERROR(__xludf.DUMMYFUNCTION("""COMPUTED_VALUE"""),"B")</f>
        <v>B</v>
      </c>
      <c r="E1457" s="80" t="str">
        <f ca="1">IFERROR(__xludf.DUMMYFUNCTION("""COMPUTED_VALUE"""),"F")</f>
        <v>F</v>
      </c>
      <c r="F1457" s="80" t="str">
        <f ca="1">IFERROR(__xludf.DUMMYFUNCTION("""COMPUTED_VALUE"""),"J")</f>
        <v>J</v>
      </c>
      <c r="G1457" s="80">
        <f ca="1">IFERROR(__xludf.DUMMYFUNCTION("""COMPUTED_VALUE"""),2)</f>
        <v>2</v>
      </c>
      <c r="H1457" s="80" t="str">
        <f ca="1">IFERROR(__xludf.DUMMYFUNCTION("""COMPUTED_VALUE"""),"OAK")</f>
        <v>OAK</v>
      </c>
      <c r="I1457" s="80">
        <f ca="1">IFERROR(__xludf.DUMMYFUNCTION("""COMPUTED_VALUE"""),3)</f>
        <v>3</v>
      </c>
      <c r="J1457" s="81">
        <f ca="1">IFERROR(__xludf.DUMMYFUNCTION("""COMPUTED_VALUE"""),5)</f>
        <v>5</v>
      </c>
      <c r="K1457" s="81">
        <f ca="1">IFERROR(__xludf.DUMMYFUNCTION("""COMPUTED_VALUE"""),79.05)</f>
        <v>79.05</v>
      </c>
      <c r="L1457" s="81">
        <f ca="1">IFERROR(__xludf.DUMMYFUNCTION("""COMPUTED_VALUE"""),65.8)</f>
        <v>65.8</v>
      </c>
      <c r="M1457" s="81"/>
      <c r="N1457" s="81">
        <f ca="1">IFERROR(__xludf.DUMMYFUNCTION("""COMPUTED_VALUE"""),56.3)</f>
        <v>56.3</v>
      </c>
      <c r="O1457" s="81"/>
      <c r="P1457" s="81">
        <f ca="1">IFERROR(__xludf.DUMMYFUNCTION("""COMPUTED_VALUE"""),65.85)</f>
        <v>65.849999999999994</v>
      </c>
      <c r="Q1457" s="81"/>
      <c r="R1457" s="81">
        <f ca="1">IFERROR(__xludf.DUMMYFUNCTION("""COMPUTED_VALUE"""),79.05)</f>
        <v>79.05</v>
      </c>
      <c r="S1457" s="81"/>
      <c r="T1457" s="81"/>
      <c r="U1457" s="82"/>
      <c r="V1457" s="82"/>
      <c r="W1457" s="83"/>
      <c r="X1457" s="83"/>
      <c r="Y1457" s="83"/>
    </row>
    <row r="1458" spans="1:25" ht="13.8">
      <c r="A1458" s="78" t="str">
        <f ca="1">IFERROR(__xludf.DUMMYFUNCTION("""COMPUTED_VALUE"""),"OAK")</f>
        <v>OAK</v>
      </c>
      <c r="B1458" s="79" t="str">
        <f ca="1">IFERROR(__xludf.DUMMYFUNCTION("""COMPUTED_VALUE"""),"Colby Reese")</f>
        <v>Colby Reese</v>
      </c>
      <c r="C1458" s="78">
        <f ca="1">IFERROR(__xludf.DUMMYFUNCTION("""COMPUTED_VALUE"""),10)</f>
        <v>10</v>
      </c>
      <c r="D1458" s="78" t="str">
        <f ca="1">IFERROR(__xludf.DUMMYFUNCTION("""COMPUTED_VALUE"""),"B")</f>
        <v>B</v>
      </c>
      <c r="E1458" s="80" t="str">
        <f ca="1">IFERROR(__xludf.DUMMYFUNCTION("""COMPUTED_VALUE"""),"F")</f>
        <v>F</v>
      </c>
      <c r="F1458" s="80" t="str">
        <f ca="1">IFERROR(__xludf.DUMMYFUNCTION("""COMPUTED_VALUE"""),"J")</f>
        <v>J</v>
      </c>
      <c r="G1458" s="80">
        <f ca="1">IFERROR(__xludf.DUMMYFUNCTION("""COMPUTED_VALUE"""),2)</f>
        <v>2</v>
      </c>
      <c r="H1458" s="80" t="str">
        <f ca="1">IFERROR(__xludf.DUMMYFUNCTION("""COMPUTED_VALUE"""),"OAK")</f>
        <v>OAK</v>
      </c>
      <c r="I1458" s="80">
        <f ca="1">IFERROR(__xludf.DUMMYFUNCTION("""COMPUTED_VALUE"""),3)</f>
        <v>3</v>
      </c>
      <c r="J1458" s="81">
        <f ca="1">IFERROR(__xludf.DUMMYFUNCTION("""COMPUTED_VALUE"""),4)</f>
        <v>4</v>
      </c>
      <c r="K1458" s="81">
        <f ca="1">IFERROR(__xludf.DUMMYFUNCTION("""COMPUTED_VALUE"""),58.3)</f>
        <v>58.3</v>
      </c>
      <c r="L1458" s="81">
        <f ca="1">IFERROR(__xludf.DUMMYFUNCTION("""COMPUTED_VALUE"""),58.3)</f>
        <v>58.3</v>
      </c>
      <c r="M1458" s="81"/>
      <c r="N1458" s="81">
        <f ca="1">IFERROR(__xludf.DUMMYFUNCTION("""COMPUTED_VALUE"""),45.95)</f>
        <v>45.95</v>
      </c>
      <c r="O1458" s="81"/>
      <c r="P1458" s="81" t="str">
        <f ca="1">IFERROR(__xludf.DUMMYFUNCTION("""COMPUTED_VALUE""")," DQ")</f>
        <v xml:space="preserve"> DQ</v>
      </c>
      <c r="Q1458" s="81"/>
      <c r="R1458" s="81">
        <f ca="1">IFERROR(__xludf.DUMMYFUNCTION("""COMPUTED_VALUE"""),52.65)</f>
        <v>52.65</v>
      </c>
      <c r="S1458" s="81"/>
      <c r="T1458" s="81"/>
      <c r="U1458" s="82"/>
      <c r="V1458" s="82"/>
      <c r="W1458" s="83"/>
      <c r="X1458" s="83"/>
      <c r="Y1458" s="83"/>
    </row>
    <row r="1459" spans="1:25" ht="13.8">
      <c r="A1459" s="78" t="str">
        <f ca="1">IFERROR(__xludf.DUMMYFUNCTION("""COMPUTED_VALUE"""),"OAK")</f>
        <v>OAK</v>
      </c>
      <c r="B1459" s="79" t="str">
        <f ca="1">IFERROR(__xludf.DUMMYFUNCTION("""COMPUTED_VALUE"""),"James Roberts")</f>
        <v>James Roberts</v>
      </c>
      <c r="C1459" s="78">
        <f ca="1">IFERROR(__xludf.DUMMYFUNCTION("""COMPUTED_VALUE"""),9)</f>
        <v>9</v>
      </c>
      <c r="D1459" s="78" t="str">
        <f ca="1">IFERROR(__xludf.DUMMYFUNCTION("""COMPUTED_VALUE"""),"B")</f>
        <v>B</v>
      </c>
      <c r="E1459" s="80" t="str">
        <f ca="1">IFERROR(__xludf.DUMMYFUNCTION("""COMPUTED_VALUE"""),"F")</f>
        <v>F</v>
      </c>
      <c r="F1459" s="80" t="str">
        <f ca="1">IFERROR(__xludf.DUMMYFUNCTION("""COMPUTED_VALUE"""),"J")</f>
        <v>J</v>
      </c>
      <c r="G1459" s="80">
        <f ca="1">IFERROR(__xludf.DUMMYFUNCTION("""COMPUTED_VALUE"""),2)</f>
        <v>2</v>
      </c>
      <c r="H1459" s="80" t="str">
        <f ca="1">IFERROR(__xludf.DUMMYFUNCTION("""COMPUTED_VALUE"""),"OAK")</f>
        <v>OAK</v>
      </c>
      <c r="I1459" s="80">
        <f ca="1">IFERROR(__xludf.DUMMYFUNCTION("""COMPUTED_VALUE"""),3)</f>
        <v>3</v>
      </c>
      <c r="J1459" s="81">
        <f ca="1">IFERROR(__xludf.DUMMYFUNCTION("""COMPUTED_VALUE"""),4)</f>
        <v>4</v>
      </c>
      <c r="K1459" s="81">
        <f ca="1">IFERROR(__xludf.DUMMYFUNCTION("""COMPUTED_VALUE"""),80.5)</f>
        <v>80.5</v>
      </c>
      <c r="L1459" s="81">
        <f ca="1">IFERROR(__xludf.DUMMYFUNCTION("""COMPUTED_VALUE"""),80.5)</f>
        <v>80.5</v>
      </c>
      <c r="M1459" s="81"/>
      <c r="N1459" s="81">
        <f ca="1">IFERROR(__xludf.DUMMYFUNCTION("""COMPUTED_VALUE"""),0)</f>
        <v>0</v>
      </c>
      <c r="O1459" s="81"/>
      <c r="P1459" s="81">
        <f ca="1">IFERROR(__xludf.DUMMYFUNCTION("""COMPUTED_VALUE"""),72.4)</f>
        <v>72.400000000000006</v>
      </c>
      <c r="Q1459" s="81"/>
      <c r="R1459" s="81">
        <f ca="1">IFERROR(__xludf.DUMMYFUNCTION("""COMPUTED_VALUE"""),73.1)</f>
        <v>73.099999999999994</v>
      </c>
      <c r="S1459" s="81"/>
      <c r="T1459" s="81"/>
      <c r="U1459" s="82"/>
      <c r="V1459" s="82"/>
      <c r="W1459" s="83"/>
      <c r="X1459" s="83"/>
      <c r="Y1459" s="83"/>
    </row>
    <row r="1460" spans="1:25" ht="13.8">
      <c r="A1460" s="78" t="str">
        <f ca="1">IFERROR(__xludf.DUMMYFUNCTION("""COMPUTED_VALUE"""),"OAK")</f>
        <v>OAK</v>
      </c>
      <c r="B1460" s="79" t="str">
        <f ca="1">IFERROR(__xludf.DUMMYFUNCTION("""COMPUTED_VALUE"""),"Connor Timm")</f>
        <v>Connor Timm</v>
      </c>
      <c r="C1460" s="78">
        <f ca="1">IFERROR(__xludf.DUMMYFUNCTION("""COMPUTED_VALUE"""),10)</f>
        <v>10</v>
      </c>
      <c r="D1460" s="78" t="str">
        <f ca="1">IFERROR(__xludf.DUMMYFUNCTION("""COMPUTED_VALUE"""),"B")</f>
        <v>B</v>
      </c>
      <c r="E1460" s="80" t="str">
        <f ca="1">IFERROR(__xludf.DUMMYFUNCTION("""COMPUTED_VALUE"""),"F")</f>
        <v>F</v>
      </c>
      <c r="F1460" s="80" t="str">
        <f ca="1">IFERROR(__xludf.DUMMYFUNCTION("""COMPUTED_VALUE"""),"J")</f>
        <v>J</v>
      </c>
      <c r="G1460" s="80">
        <f ca="1">IFERROR(__xludf.DUMMYFUNCTION("""COMPUTED_VALUE"""),2)</f>
        <v>2</v>
      </c>
      <c r="H1460" s="80" t="str">
        <f ca="1">IFERROR(__xludf.DUMMYFUNCTION("""COMPUTED_VALUE"""),"OAK")</f>
        <v>OAK</v>
      </c>
      <c r="I1460" s="80">
        <f ca="1">IFERROR(__xludf.DUMMYFUNCTION("""COMPUTED_VALUE"""),3)</f>
        <v>3</v>
      </c>
      <c r="J1460" s="81">
        <f ca="1">IFERROR(__xludf.DUMMYFUNCTION("""COMPUTED_VALUE"""),5)</f>
        <v>5</v>
      </c>
      <c r="K1460" s="81">
        <f ca="1">IFERROR(__xludf.DUMMYFUNCTION("""COMPUTED_VALUE"""),61.35)</f>
        <v>61.35</v>
      </c>
      <c r="L1460" s="81">
        <f ca="1">IFERROR(__xludf.DUMMYFUNCTION("""COMPUTED_VALUE"""),60.9)</f>
        <v>60.9</v>
      </c>
      <c r="M1460" s="81"/>
      <c r="N1460" s="81">
        <f ca="1">IFERROR(__xludf.DUMMYFUNCTION("""COMPUTED_VALUE"""),55.7)</f>
        <v>55.7</v>
      </c>
      <c r="O1460" s="81"/>
      <c r="P1460" s="81">
        <f ca="1">IFERROR(__xludf.DUMMYFUNCTION("""COMPUTED_VALUE"""),42.95)</f>
        <v>42.95</v>
      </c>
      <c r="Q1460" s="81"/>
      <c r="R1460" s="81">
        <f ca="1">IFERROR(__xludf.DUMMYFUNCTION("""COMPUTED_VALUE"""),61.35)</f>
        <v>61.35</v>
      </c>
      <c r="S1460" s="81"/>
      <c r="T1460" s="81"/>
      <c r="U1460" s="82"/>
      <c r="V1460" s="82"/>
      <c r="W1460" s="83"/>
      <c r="X1460" s="83"/>
      <c r="Y1460" s="83"/>
    </row>
    <row r="1461" spans="1:25" ht="13.8">
      <c r="A1461" s="78" t="str">
        <f ca="1">IFERROR(__xludf.DUMMYFUNCTION("""COMPUTED_VALUE"""),"OAK")</f>
        <v>OAK</v>
      </c>
      <c r="B1461" s="79" t="str">
        <f ca="1">IFERROR(__xludf.DUMMYFUNCTION("""COMPUTED_VALUE"""),"Christopher Whang")</f>
        <v>Christopher Whang</v>
      </c>
      <c r="C1461" s="78">
        <f ca="1">IFERROR(__xludf.DUMMYFUNCTION("""COMPUTED_VALUE"""),10)</f>
        <v>10</v>
      </c>
      <c r="D1461" s="78" t="str">
        <f ca="1">IFERROR(__xludf.DUMMYFUNCTION("""COMPUTED_VALUE"""),"B")</f>
        <v>B</v>
      </c>
      <c r="E1461" s="80" t="str">
        <f ca="1">IFERROR(__xludf.DUMMYFUNCTION("""COMPUTED_VALUE"""),"F")</f>
        <v>F</v>
      </c>
      <c r="F1461" s="80" t="str">
        <f ca="1">IFERROR(__xludf.DUMMYFUNCTION("""COMPUTED_VALUE"""),"J")</f>
        <v>J</v>
      </c>
      <c r="G1461" s="80">
        <f ca="1">IFERROR(__xludf.DUMMYFUNCTION("""COMPUTED_VALUE"""),2)</f>
        <v>2</v>
      </c>
      <c r="H1461" s="80" t="str">
        <f ca="1">IFERROR(__xludf.DUMMYFUNCTION("""COMPUTED_VALUE"""),"OAK")</f>
        <v>OAK</v>
      </c>
      <c r="I1461" s="80">
        <f ca="1">IFERROR(__xludf.DUMMYFUNCTION("""COMPUTED_VALUE"""),3)</f>
        <v>3</v>
      </c>
      <c r="J1461" s="81">
        <f ca="1">IFERROR(__xludf.DUMMYFUNCTION("""COMPUTED_VALUE"""),5)</f>
        <v>5</v>
      </c>
      <c r="K1461" s="81">
        <f ca="1">IFERROR(__xludf.DUMMYFUNCTION("""COMPUTED_VALUE"""),67.2)</f>
        <v>67.2</v>
      </c>
      <c r="L1461" s="81">
        <f ca="1">IFERROR(__xludf.DUMMYFUNCTION("""COMPUTED_VALUE"""),67.2)</f>
        <v>67.2</v>
      </c>
      <c r="M1461" s="81"/>
      <c r="N1461" s="81">
        <f ca="1">IFERROR(__xludf.DUMMYFUNCTION("""COMPUTED_VALUE"""),63.55)</f>
        <v>63.55</v>
      </c>
      <c r="O1461" s="81"/>
      <c r="P1461" s="81">
        <f ca="1">IFERROR(__xludf.DUMMYFUNCTION("""COMPUTED_VALUE"""),65.1)</f>
        <v>65.099999999999994</v>
      </c>
      <c r="Q1461" s="81"/>
      <c r="R1461" s="81">
        <f ca="1">IFERROR(__xludf.DUMMYFUNCTION("""COMPUTED_VALUE"""),59.2)</f>
        <v>59.2</v>
      </c>
      <c r="S1461" s="81"/>
      <c r="T1461" s="81"/>
      <c r="U1461" s="82"/>
      <c r="V1461" s="82"/>
      <c r="W1461" s="83"/>
      <c r="X1461" s="83"/>
      <c r="Y1461" s="83"/>
    </row>
    <row r="1462" spans="1:25" ht="13.8">
      <c r="A1462" s="78" t="str">
        <f ca="1">IFERROR(__xludf.DUMMYFUNCTION("""COMPUTED_VALUE"""),"OAK")</f>
        <v>OAK</v>
      </c>
      <c r="B1462" s="79" t="str">
        <f ca="1">IFERROR(__xludf.DUMMYFUNCTION("""COMPUTED_VALUE"""),"Gabriel Wilson")</f>
        <v>Gabriel Wilson</v>
      </c>
      <c r="C1462" s="78">
        <f ca="1">IFERROR(__xludf.DUMMYFUNCTION("""COMPUTED_VALUE"""),7)</f>
        <v>7</v>
      </c>
      <c r="D1462" s="78" t="str">
        <f ca="1">IFERROR(__xludf.DUMMYFUNCTION("""COMPUTED_VALUE"""),"B")</f>
        <v>B</v>
      </c>
      <c r="E1462" s="80" t="str">
        <f ca="1">IFERROR(__xludf.DUMMYFUNCTION("""COMPUTED_VALUE"""),"F")</f>
        <v>F</v>
      </c>
      <c r="F1462" s="80" t="str">
        <f ca="1">IFERROR(__xludf.DUMMYFUNCTION("""COMPUTED_VALUE"""),"J")</f>
        <v>J</v>
      </c>
      <c r="G1462" s="80">
        <f ca="1">IFERROR(__xludf.DUMMYFUNCTION("""COMPUTED_VALUE"""),2)</f>
        <v>2</v>
      </c>
      <c r="H1462" s="80" t="str">
        <f ca="1">IFERROR(__xludf.DUMMYFUNCTION("""COMPUTED_VALUE"""),"OAK")</f>
        <v>OAK</v>
      </c>
      <c r="I1462" s="80">
        <f ca="1">IFERROR(__xludf.DUMMYFUNCTION("""COMPUTED_VALUE"""),3)</f>
        <v>3</v>
      </c>
      <c r="J1462" s="81">
        <f ca="1">IFERROR(__xludf.DUMMYFUNCTION("""COMPUTED_VALUE"""),2)</f>
        <v>2</v>
      </c>
      <c r="K1462" s="81">
        <f ca="1">IFERROR(__xludf.DUMMYFUNCTION("""COMPUTED_VALUE"""),31.55)</f>
        <v>31.55</v>
      </c>
      <c r="L1462" s="81">
        <f ca="1">IFERROR(__xludf.DUMMYFUNCTION("""COMPUTED_VALUE"""),31.55)</f>
        <v>31.55</v>
      </c>
      <c r="M1462" s="81"/>
      <c r="N1462" s="81">
        <f ca="1">IFERROR(__xludf.DUMMYFUNCTION("""COMPUTED_VALUE"""),27)</f>
        <v>27</v>
      </c>
      <c r="O1462" s="81"/>
      <c r="P1462" s="81">
        <f ca="1">IFERROR(__xludf.DUMMYFUNCTION("""COMPUTED_VALUE"""),0)</f>
        <v>0</v>
      </c>
      <c r="Q1462" s="81"/>
      <c r="R1462" s="81">
        <f ca="1">IFERROR(__xludf.DUMMYFUNCTION("""COMPUTED_VALUE"""),0)</f>
        <v>0</v>
      </c>
      <c r="S1462" s="81"/>
      <c r="T1462" s="81"/>
      <c r="U1462" s="82"/>
      <c r="V1462" s="82"/>
      <c r="W1462" s="83"/>
      <c r="X1462" s="83"/>
      <c r="Y1462" s="83"/>
    </row>
    <row r="1463" spans="1:25" ht="13.8">
      <c r="A1463" s="78" t="str">
        <f ca="1">IFERROR(__xludf.DUMMYFUNCTION("""COMPUTED_VALUE"""),"OAK")</f>
        <v>OAK</v>
      </c>
      <c r="B1463" s="79" t="str">
        <f ca="1">IFERROR(__xludf.DUMMYFUNCTION("""COMPUTED_VALUE"""),"David Wright")</f>
        <v>David Wright</v>
      </c>
      <c r="C1463" s="78">
        <f ca="1">IFERROR(__xludf.DUMMYFUNCTION("""COMPUTED_VALUE"""),8)</f>
        <v>8</v>
      </c>
      <c r="D1463" s="78" t="str">
        <f ca="1">IFERROR(__xludf.DUMMYFUNCTION("""COMPUTED_VALUE"""),"B")</f>
        <v>B</v>
      </c>
      <c r="E1463" s="80" t="str">
        <f ca="1">IFERROR(__xludf.DUMMYFUNCTION("""COMPUTED_VALUE"""),"F")</f>
        <v>F</v>
      </c>
      <c r="F1463" s="80" t="str">
        <f ca="1">IFERROR(__xludf.DUMMYFUNCTION("""COMPUTED_VALUE"""),"J")</f>
        <v>J</v>
      </c>
      <c r="G1463" s="80">
        <f ca="1">IFERROR(__xludf.DUMMYFUNCTION("""COMPUTED_VALUE"""),2)</f>
        <v>2</v>
      </c>
      <c r="H1463" s="80" t="str">
        <f ca="1">IFERROR(__xludf.DUMMYFUNCTION("""COMPUTED_VALUE"""),"OAK")</f>
        <v>OAK</v>
      </c>
      <c r="I1463" s="80">
        <f ca="1">IFERROR(__xludf.DUMMYFUNCTION("""COMPUTED_VALUE"""),3)</f>
        <v>3</v>
      </c>
      <c r="J1463" s="81">
        <f ca="1">IFERROR(__xludf.DUMMYFUNCTION("""COMPUTED_VALUE"""),3)</f>
        <v>3</v>
      </c>
      <c r="K1463" s="81">
        <f ca="1">IFERROR(__xludf.DUMMYFUNCTION("""COMPUTED_VALUE"""),52.15)</f>
        <v>52.15</v>
      </c>
      <c r="L1463" s="81">
        <f ca="1">IFERROR(__xludf.DUMMYFUNCTION("""COMPUTED_VALUE"""),0)</f>
        <v>0</v>
      </c>
      <c r="M1463" s="81"/>
      <c r="N1463" s="81">
        <f ca="1">IFERROR(__xludf.DUMMYFUNCTION("""COMPUTED_VALUE"""),48.7)</f>
        <v>48.7</v>
      </c>
      <c r="O1463" s="81"/>
      <c r="P1463" s="81">
        <f ca="1">IFERROR(__xludf.DUMMYFUNCTION("""COMPUTED_VALUE"""),0)</f>
        <v>0</v>
      </c>
      <c r="Q1463" s="81"/>
      <c r="R1463" s="81">
        <f ca="1">IFERROR(__xludf.DUMMYFUNCTION("""COMPUTED_VALUE"""),52.15)</f>
        <v>52.15</v>
      </c>
      <c r="S1463" s="81"/>
      <c r="T1463" s="81"/>
      <c r="U1463" s="82"/>
      <c r="V1463" s="82"/>
      <c r="W1463" s="83"/>
      <c r="X1463" s="83"/>
      <c r="Y1463" s="83"/>
    </row>
    <row r="1464" spans="1:25" ht="13.8">
      <c r="A1464" s="78" t="str">
        <f ca="1">IFERROR(__xludf.DUMMYFUNCTION("""COMPUTED_VALUE"""),"OAK")</f>
        <v>OAK</v>
      </c>
      <c r="B1464" s="79" t="str">
        <f ca="1">IFERROR(__xludf.DUMMYFUNCTION("""COMPUTED_VALUE"""),"Charlotte Henderson")</f>
        <v>Charlotte Henderson</v>
      </c>
      <c r="C1464" s="78">
        <f ca="1">IFERROR(__xludf.DUMMYFUNCTION("""COMPUTED_VALUE"""),11)</f>
        <v>11</v>
      </c>
      <c r="D1464" s="78" t="str">
        <f ca="1">IFERROR(__xludf.DUMMYFUNCTION("""COMPUTED_VALUE"""),"G")</f>
        <v>G</v>
      </c>
      <c r="E1464" s="80" t="str">
        <f ca="1">IFERROR(__xludf.DUMMYFUNCTION("""COMPUTED_VALUE"""),"J")</f>
        <v>J</v>
      </c>
      <c r="F1464" s="80" t="str">
        <f ca="1">IFERROR(__xludf.DUMMYFUNCTION("""COMPUTED_VALUE"""),"I")</f>
        <v>I</v>
      </c>
      <c r="G1464" s="80">
        <f ca="1">IFERROR(__xludf.DUMMYFUNCTION("""COMPUTED_VALUE"""),2)</f>
        <v>2</v>
      </c>
      <c r="H1464" s="80" t="str">
        <f ca="1">IFERROR(__xludf.DUMMYFUNCTION("""COMPUTED_VALUE"""),"OAK")</f>
        <v>OAK</v>
      </c>
      <c r="I1464" s="80">
        <f ca="1">IFERROR(__xludf.DUMMYFUNCTION("""COMPUTED_VALUE"""),4)</f>
        <v>4</v>
      </c>
      <c r="J1464" s="81">
        <f ca="1">IFERROR(__xludf.DUMMYFUNCTION("""COMPUTED_VALUE"""),4)</f>
        <v>4</v>
      </c>
      <c r="K1464" s="81">
        <f ca="1">IFERROR(__xludf.DUMMYFUNCTION("""COMPUTED_VALUE"""),79.8)</f>
        <v>79.8</v>
      </c>
      <c r="L1464" s="81">
        <f ca="1">IFERROR(__xludf.DUMMYFUNCTION("""COMPUTED_VALUE"""),79.8)</f>
        <v>79.8</v>
      </c>
      <c r="M1464" s="81"/>
      <c r="N1464" s="81">
        <f ca="1">IFERROR(__xludf.DUMMYFUNCTION("""COMPUTED_VALUE"""),55.05)</f>
        <v>55.05</v>
      </c>
      <c r="O1464" s="81"/>
      <c r="P1464" s="81">
        <f ca="1">IFERROR(__xludf.DUMMYFUNCTION("""COMPUTED_VALUE"""),66.25)</f>
        <v>66.25</v>
      </c>
      <c r="Q1464" s="81"/>
      <c r="R1464" s="81">
        <f ca="1">IFERROR(__xludf.DUMMYFUNCTION("""COMPUTED_VALUE"""),0)</f>
        <v>0</v>
      </c>
      <c r="S1464" s="81"/>
      <c r="T1464" s="81"/>
      <c r="U1464" s="82"/>
      <c r="V1464" s="82"/>
      <c r="W1464" s="83"/>
      <c r="X1464" s="83"/>
      <c r="Y1464" s="83"/>
    </row>
    <row r="1465" spans="1:25" ht="13.8">
      <c r="A1465" s="78" t="str">
        <f ca="1">IFERROR(__xludf.DUMMYFUNCTION("""COMPUTED_VALUE"""),"OAK")</f>
        <v>OAK</v>
      </c>
      <c r="B1465" s="79" t="str">
        <f ca="1">IFERROR(__xludf.DUMMYFUNCTION("""COMPUTED_VALUE"""),"Ella Henderson")</f>
        <v>Ella Henderson</v>
      </c>
      <c r="C1465" s="78">
        <f ca="1">IFERROR(__xludf.DUMMYFUNCTION("""COMPUTED_VALUE"""),11)</f>
        <v>11</v>
      </c>
      <c r="D1465" s="78" t="str">
        <f ca="1">IFERROR(__xludf.DUMMYFUNCTION("""COMPUTED_VALUE"""),"G")</f>
        <v>G</v>
      </c>
      <c r="E1465" s="80" t="str">
        <f ca="1">IFERROR(__xludf.DUMMYFUNCTION("""COMPUTED_VALUE"""),"J")</f>
        <v>J</v>
      </c>
      <c r="F1465" s="80" t="str">
        <f ca="1">IFERROR(__xludf.DUMMYFUNCTION("""COMPUTED_VALUE"""),"I")</f>
        <v>I</v>
      </c>
      <c r="G1465" s="80">
        <f ca="1">IFERROR(__xludf.DUMMYFUNCTION("""COMPUTED_VALUE"""),2)</f>
        <v>2</v>
      </c>
      <c r="H1465" s="80" t="str">
        <f ca="1">IFERROR(__xludf.DUMMYFUNCTION("""COMPUTED_VALUE"""),"OAK")</f>
        <v>OAK</v>
      </c>
      <c r="I1465" s="80">
        <f ca="1">IFERROR(__xludf.DUMMYFUNCTION("""COMPUTED_VALUE"""),4)</f>
        <v>4</v>
      </c>
      <c r="J1465" s="81">
        <f ca="1">IFERROR(__xludf.DUMMYFUNCTION("""COMPUTED_VALUE"""),1)</f>
        <v>1</v>
      </c>
      <c r="K1465" s="81">
        <f ca="1">IFERROR(__xludf.DUMMYFUNCTION("""COMPUTED_VALUE"""),59.45)</f>
        <v>59.45</v>
      </c>
      <c r="L1465" s="81">
        <f ca="1">IFERROR(__xludf.DUMMYFUNCTION("""COMPUTED_VALUE"""),0)</f>
        <v>0</v>
      </c>
      <c r="M1465" s="81"/>
      <c r="N1465" s="81">
        <f ca="1">IFERROR(__xludf.DUMMYFUNCTION("""COMPUTED_VALUE"""),0)</f>
        <v>0</v>
      </c>
      <c r="O1465" s="81"/>
      <c r="P1465" s="81">
        <f ca="1">IFERROR(__xludf.DUMMYFUNCTION("""COMPUTED_VALUE"""),59.45)</f>
        <v>59.45</v>
      </c>
      <c r="Q1465" s="81"/>
      <c r="R1465" s="81">
        <f ca="1">IFERROR(__xludf.DUMMYFUNCTION("""COMPUTED_VALUE"""),0)</f>
        <v>0</v>
      </c>
      <c r="S1465" s="81"/>
      <c r="T1465" s="81"/>
      <c r="U1465" s="82"/>
      <c r="V1465" s="82"/>
      <c r="W1465" s="83"/>
      <c r="X1465" s="83"/>
      <c r="Y1465" s="83"/>
    </row>
    <row r="1466" spans="1:25" ht="13.8">
      <c r="A1466" s="78" t="str">
        <f ca="1">IFERROR(__xludf.DUMMYFUNCTION("""COMPUTED_VALUE"""),"OAK")</f>
        <v>OAK</v>
      </c>
      <c r="B1466" s="79" t="str">
        <f ca="1">IFERROR(__xludf.DUMMYFUNCTION("""COMPUTED_VALUE"""),"Lillian Kitzmiller")</f>
        <v>Lillian Kitzmiller</v>
      </c>
      <c r="C1466" s="78">
        <f ca="1">IFERROR(__xludf.DUMMYFUNCTION("""COMPUTED_VALUE"""),11)</f>
        <v>11</v>
      </c>
      <c r="D1466" s="78" t="str">
        <f ca="1">IFERROR(__xludf.DUMMYFUNCTION("""COMPUTED_VALUE"""),"G")</f>
        <v>G</v>
      </c>
      <c r="E1466" s="80" t="str">
        <f ca="1">IFERROR(__xludf.DUMMYFUNCTION("""COMPUTED_VALUE"""),"J")</f>
        <v>J</v>
      </c>
      <c r="F1466" s="80" t="str">
        <f ca="1">IFERROR(__xludf.DUMMYFUNCTION("""COMPUTED_VALUE"""),"I")</f>
        <v>I</v>
      </c>
      <c r="G1466" s="80">
        <f ca="1">IFERROR(__xludf.DUMMYFUNCTION("""COMPUTED_VALUE"""),2)</f>
        <v>2</v>
      </c>
      <c r="H1466" s="80" t="str">
        <f ca="1">IFERROR(__xludf.DUMMYFUNCTION("""COMPUTED_VALUE"""),"OAK")</f>
        <v>OAK</v>
      </c>
      <c r="I1466" s="80">
        <f ca="1">IFERROR(__xludf.DUMMYFUNCTION("""COMPUTED_VALUE"""),4)</f>
        <v>4</v>
      </c>
      <c r="J1466" s="81">
        <f ca="1">IFERROR(__xludf.DUMMYFUNCTION("""COMPUTED_VALUE"""),0)</f>
        <v>0</v>
      </c>
      <c r="K1466" s="81">
        <f ca="1">IFERROR(__xludf.DUMMYFUNCTION("""COMPUTED_VALUE"""),0)</f>
        <v>0</v>
      </c>
      <c r="L1466" s="81">
        <f ca="1">IFERROR(__xludf.DUMMYFUNCTION("""COMPUTED_VALUE"""),0)</f>
        <v>0</v>
      </c>
      <c r="M1466" s="81"/>
      <c r="N1466" s="81">
        <f ca="1">IFERROR(__xludf.DUMMYFUNCTION("""COMPUTED_VALUE"""),0)</f>
        <v>0</v>
      </c>
      <c r="O1466" s="81"/>
      <c r="P1466" s="81">
        <f ca="1">IFERROR(__xludf.DUMMYFUNCTION("""COMPUTED_VALUE"""),0)</f>
        <v>0</v>
      </c>
      <c r="Q1466" s="81"/>
      <c r="R1466" s="81">
        <f ca="1">IFERROR(__xludf.DUMMYFUNCTION("""COMPUTED_VALUE"""),0)</f>
        <v>0</v>
      </c>
      <c r="S1466" s="81"/>
      <c r="T1466" s="81"/>
      <c r="U1466" s="82"/>
      <c r="V1466" s="82"/>
      <c r="W1466" s="83"/>
      <c r="X1466" s="83"/>
      <c r="Y1466" s="83"/>
    </row>
    <row r="1467" spans="1:25" ht="13.8">
      <c r="A1467" s="78" t="str">
        <f ca="1">IFERROR(__xludf.DUMMYFUNCTION("""COMPUTED_VALUE"""),"OAK")</f>
        <v>OAK</v>
      </c>
      <c r="B1467" s="79" t="str">
        <f ca="1">IFERROR(__xludf.DUMMYFUNCTION("""COMPUTED_VALUE"""),"Sarah Payne")</f>
        <v>Sarah Payne</v>
      </c>
      <c r="C1467" s="78">
        <f ca="1">IFERROR(__xludf.DUMMYFUNCTION("""COMPUTED_VALUE"""),12)</f>
        <v>12</v>
      </c>
      <c r="D1467" s="78" t="str">
        <f ca="1">IFERROR(__xludf.DUMMYFUNCTION("""COMPUTED_VALUE"""),"G")</f>
        <v>G</v>
      </c>
      <c r="E1467" s="80" t="str">
        <f ca="1">IFERROR(__xludf.DUMMYFUNCTION("""COMPUTED_VALUE"""),"J")</f>
        <v>J</v>
      </c>
      <c r="F1467" s="80" t="str">
        <f ca="1">IFERROR(__xludf.DUMMYFUNCTION("""COMPUTED_VALUE"""),"I")</f>
        <v>I</v>
      </c>
      <c r="G1467" s="80">
        <f ca="1">IFERROR(__xludf.DUMMYFUNCTION("""COMPUTED_VALUE"""),2)</f>
        <v>2</v>
      </c>
      <c r="H1467" s="80" t="str">
        <f ca="1">IFERROR(__xludf.DUMMYFUNCTION("""COMPUTED_VALUE"""),"OAK")</f>
        <v>OAK</v>
      </c>
      <c r="I1467" s="80">
        <f ca="1">IFERROR(__xludf.DUMMYFUNCTION("""COMPUTED_VALUE"""),4)</f>
        <v>4</v>
      </c>
      <c r="J1467" s="81">
        <f ca="1">IFERROR(__xludf.DUMMYFUNCTION("""COMPUTED_VALUE"""),0)</f>
        <v>0</v>
      </c>
      <c r="K1467" s="81">
        <f ca="1">IFERROR(__xludf.DUMMYFUNCTION("""COMPUTED_VALUE"""),0)</f>
        <v>0</v>
      </c>
      <c r="L1467" s="81">
        <f ca="1">IFERROR(__xludf.DUMMYFUNCTION("""COMPUTED_VALUE"""),0)</f>
        <v>0</v>
      </c>
      <c r="M1467" s="81"/>
      <c r="N1467" s="81">
        <f ca="1">IFERROR(__xludf.DUMMYFUNCTION("""COMPUTED_VALUE"""),0)</f>
        <v>0</v>
      </c>
      <c r="O1467" s="81"/>
      <c r="P1467" s="81">
        <f ca="1">IFERROR(__xludf.DUMMYFUNCTION("""COMPUTED_VALUE"""),0)</f>
        <v>0</v>
      </c>
      <c r="Q1467" s="81"/>
      <c r="R1467" s="81">
        <f ca="1">IFERROR(__xludf.DUMMYFUNCTION("""COMPUTED_VALUE"""),0)</f>
        <v>0</v>
      </c>
      <c r="S1467" s="81"/>
      <c r="T1467" s="81"/>
      <c r="U1467" s="82"/>
      <c r="V1467" s="82"/>
      <c r="W1467" s="83"/>
      <c r="X1467" s="83"/>
      <c r="Y1467" s="83"/>
    </row>
    <row r="1468" spans="1:25" ht="13.8">
      <c r="A1468" s="78" t="str">
        <f ca="1">IFERROR(__xludf.DUMMYFUNCTION("""COMPUTED_VALUE"""),"OAK")</f>
        <v>OAK</v>
      </c>
      <c r="B1468" s="79" t="str">
        <f ca="1">IFERROR(__xludf.DUMMYFUNCTION("""COMPUTED_VALUE"""),"Isabelle Whang")</f>
        <v>Isabelle Whang</v>
      </c>
      <c r="C1468" s="78">
        <f ca="1">IFERROR(__xludf.DUMMYFUNCTION("""COMPUTED_VALUE"""),12)</f>
        <v>12</v>
      </c>
      <c r="D1468" s="78" t="str">
        <f ca="1">IFERROR(__xludf.DUMMYFUNCTION("""COMPUTED_VALUE"""),"G")</f>
        <v>G</v>
      </c>
      <c r="E1468" s="80" t="str">
        <f ca="1">IFERROR(__xludf.DUMMYFUNCTION("""COMPUTED_VALUE"""),"J")</f>
        <v>J</v>
      </c>
      <c r="F1468" s="80" t="str">
        <f ca="1">IFERROR(__xludf.DUMMYFUNCTION("""COMPUTED_VALUE"""),"I")</f>
        <v>I</v>
      </c>
      <c r="G1468" s="80">
        <f ca="1">IFERROR(__xludf.DUMMYFUNCTION("""COMPUTED_VALUE"""),2)</f>
        <v>2</v>
      </c>
      <c r="H1468" s="80" t="str">
        <f ca="1">IFERROR(__xludf.DUMMYFUNCTION("""COMPUTED_VALUE"""),"OAK")</f>
        <v>OAK</v>
      </c>
      <c r="I1468" s="80">
        <f ca="1">IFERROR(__xludf.DUMMYFUNCTION("""COMPUTED_VALUE"""),4)</f>
        <v>4</v>
      </c>
      <c r="J1468" s="81">
        <f ca="1">IFERROR(__xludf.DUMMYFUNCTION("""COMPUTED_VALUE"""),5)</f>
        <v>5</v>
      </c>
      <c r="K1468" s="81">
        <f ca="1">IFERROR(__xludf.DUMMYFUNCTION("""COMPUTED_VALUE"""),123.1)</f>
        <v>123.1</v>
      </c>
      <c r="L1468" s="81">
        <f ca="1">IFERROR(__xludf.DUMMYFUNCTION("""COMPUTED_VALUE"""),117.2)</f>
        <v>117.2</v>
      </c>
      <c r="M1468" s="81"/>
      <c r="N1468" s="81">
        <f ca="1">IFERROR(__xludf.DUMMYFUNCTION("""COMPUTED_VALUE"""),102.4)</f>
        <v>102.4</v>
      </c>
      <c r="O1468" s="81"/>
      <c r="P1468" s="81">
        <f ca="1">IFERROR(__xludf.DUMMYFUNCTION("""COMPUTED_VALUE"""),113.2)</f>
        <v>113.2</v>
      </c>
      <c r="Q1468" s="81"/>
      <c r="R1468" s="81">
        <f ca="1">IFERROR(__xludf.DUMMYFUNCTION("""COMPUTED_VALUE"""),123.1)</f>
        <v>123.1</v>
      </c>
      <c r="S1468" s="81"/>
      <c r="T1468" s="81"/>
      <c r="U1468" s="82"/>
      <c r="V1468" s="82"/>
      <c r="W1468" s="83"/>
      <c r="X1468" s="83"/>
      <c r="Y1468" s="83"/>
    </row>
    <row r="1469" spans="1:25" ht="13.8">
      <c r="A1469" s="78" t="str">
        <f ca="1">IFERROR(__xludf.DUMMYFUNCTION("""COMPUTED_VALUE"""),"OAK")</f>
        <v>OAK</v>
      </c>
      <c r="B1469" s="79" t="str">
        <f ca="1">IFERROR(__xludf.DUMMYFUNCTION("""COMPUTED_VALUE"""),"Genevieve Wilson")</f>
        <v>Genevieve Wilson</v>
      </c>
      <c r="C1469" s="78">
        <f ca="1">IFERROR(__xludf.DUMMYFUNCTION("""COMPUTED_VALUE"""),11)</f>
        <v>11</v>
      </c>
      <c r="D1469" s="78" t="str">
        <f ca="1">IFERROR(__xludf.DUMMYFUNCTION("""COMPUTED_VALUE"""),"G")</f>
        <v>G</v>
      </c>
      <c r="E1469" s="80" t="str">
        <f ca="1">IFERROR(__xludf.DUMMYFUNCTION("""COMPUTED_VALUE"""),"J")</f>
        <v>J</v>
      </c>
      <c r="F1469" s="80" t="str">
        <f ca="1">IFERROR(__xludf.DUMMYFUNCTION("""COMPUTED_VALUE"""),"I")</f>
        <v>I</v>
      </c>
      <c r="G1469" s="80">
        <f ca="1">IFERROR(__xludf.DUMMYFUNCTION("""COMPUTED_VALUE"""),2)</f>
        <v>2</v>
      </c>
      <c r="H1469" s="80" t="str">
        <f ca="1">IFERROR(__xludf.DUMMYFUNCTION("""COMPUTED_VALUE"""),"OAK")</f>
        <v>OAK</v>
      </c>
      <c r="I1469" s="80">
        <f ca="1">IFERROR(__xludf.DUMMYFUNCTION("""COMPUTED_VALUE"""),4)</f>
        <v>4</v>
      </c>
      <c r="J1469" s="81">
        <f ca="1">IFERROR(__xludf.DUMMYFUNCTION("""COMPUTED_VALUE"""),0)</f>
        <v>0</v>
      </c>
      <c r="K1469" s="81">
        <f ca="1">IFERROR(__xludf.DUMMYFUNCTION("""COMPUTED_VALUE"""),0)</f>
        <v>0</v>
      </c>
      <c r="L1469" s="81">
        <f ca="1">IFERROR(__xludf.DUMMYFUNCTION("""COMPUTED_VALUE"""),0)</f>
        <v>0</v>
      </c>
      <c r="M1469" s="81"/>
      <c r="N1469" s="81">
        <f ca="1">IFERROR(__xludf.DUMMYFUNCTION("""COMPUTED_VALUE"""),0)</f>
        <v>0</v>
      </c>
      <c r="O1469" s="81"/>
      <c r="P1469" s="81">
        <f ca="1">IFERROR(__xludf.DUMMYFUNCTION("""COMPUTED_VALUE"""),0)</f>
        <v>0</v>
      </c>
      <c r="Q1469" s="81"/>
      <c r="R1469" s="81">
        <f ca="1">IFERROR(__xludf.DUMMYFUNCTION("""COMPUTED_VALUE"""),0)</f>
        <v>0</v>
      </c>
      <c r="S1469" s="81"/>
      <c r="T1469" s="81"/>
      <c r="U1469" s="82"/>
      <c r="V1469" s="82"/>
      <c r="W1469" s="83"/>
      <c r="X1469" s="83"/>
      <c r="Y1469" s="83"/>
    </row>
    <row r="1470" spans="1:25" ht="13.8">
      <c r="A1470" s="78" t="str">
        <f ca="1">IFERROR(__xludf.DUMMYFUNCTION("""COMPUTED_VALUE"""),"OAK")</f>
        <v>OAK</v>
      </c>
      <c r="B1470" s="79" t="str">
        <f ca="1">IFERROR(__xludf.DUMMYFUNCTION("""COMPUTED_VALUE"""),"Ryan Emerick")</f>
        <v>Ryan Emerick</v>
      </c>
      <c r="C1470" s="78">
        <f ca="1">IFERROR(__xludf.DUMMYFUNCTION("""COMPUTED_VALUE"""),11)</f>
        <v>11</v>
      </c>
      <c r="D1470" s="78" t="str">
        <f ca="1">IFERROR(__xludf.DUMMYFUNCTION("""COMPUTED_VALUE"""),"B")</f>
        <v>B</v>
      </c>
      <c r="E1470" s="80" t="str">
        <f ca="1">IFERROR(__xludf.DUMMYFUNCTION("""COMPUTED_VALUE"""),"J")</f>
        <v>J</v>
      </c>
      <c r="F1470" s="80" t="str">
        <f ca="1">IFERROR(__xludf.DUMMYFUNCTION("""COMPUTED_VALUE"""),"I")</f>
        <v>I</v>
      </c>
      <c r="G1470" s="80">
        <f ca="1">IFERROR(__xludf.DUMMYFUNCTION("""COMPUTED_VALUE"""),2)</f>
        <v>2</v>
      </c>
      <c r="H1470" s="80" t="str">
        <f ca="1">IFERROR(__xludf.DUMMYFUNCTION("""COMPUTED_VALUE"""),"OAK")</f>
        <v>OAK</v>
      </c>
      <c r="I1470" s="80">
        <f ca="1">IFERROR(__xludf.DUMMYFUNCTION("""COMPUTED_VALUE"""),5)</f>
        <v>5</v>
      </c>
      <c r="J1470" s="81">
        <f ca="1">IFERROR(__xludf.DUMMYFUNCTION("""COMPUTED_VALUE"""),1)</f>
        <v>1</v>
      </c>
      <c r="K1470" s="81">
        <f ca="1">IFERROR(__xludf.DUMMYFUNCTION("""COMPUTED_VALUE"""),25.65)</f>
        <v>25.65</v>
      </c>
      <c r="L1470" s="81">
        <f ca="1">IFERROR(__xludf.DUMMYFUNCTION("""COMPUTED_VALUE"""),0)</f>
        <v>0</v>
      </c>
      <c r="M1470" s="81"/>
      <c r="N1470" s="81">
        <f ca="1">IFERROR(__xludf.DUMMYFUNCTION("""COMPUTED_VALUE"""),25.65)</f>
        <v>25.65</v>
      </c>
      <c r="O1470" s="81"/>
      <c r="P1470" s="81">
        <f ca="1">IFERROR(__xludf.DUMMYFUNCTION("""COMPUTED_VALUE"""),0)</f>
        <v>0</v>
      </c>
      <c r="Q1470" s="81"/>
      <c r="R1470" s="81">
        <f ca="1">IFERROR(__xludf.DUMMYFUNCTION("""COMPUTED_VALUE"""),0)</f>
        <v>0</v>
      </c>
      <c r="S1470" s="81"/>
      <c r="T1470" s="81"/>
      <c r="U1470" s="82"/>
      <c r="V1470" s="82"/>
      <c r="W1470" s="83"/>
      <c r="X1470" s="83"/>
      <c r="Y1470" s="83"/>
    </row>
    <row r="1471" spans="1:25" ht="13.8">
      <c r="A1471" s="78" t="str">
        <f ca="1">IFERROR(__xludf.DUMMYFUNCTION("""COMPUTED_VALUE"""),"OAK")</f>
        <v>OAK</v>
      </c>
      <c r="B1471" s="79" t="str">
        <f ca="1">IFERROR(__xludf.DUMMYFUNCTION("""COMPUTED_VALUE"""),"Leo Estes")</f>
        <v>Leo Estes</v>
      </c>
      <c r="C1471" s="78">
        <f ca="1">IFERROR(__xludf.DUMMYFUNCTION("""COMPUTED_VALUE"""),11)</f>
        <v>11</v>
      </c>
      <c r="D1471" s="78" t="str">
        <f ca="1">IFERROR(__xludf.DUMMYFUNCTION("""COMPUTED_VALUE"""),"B")</f>
        <v>B</v>
      </c>
      <c r="E1471" s="80" t="str">
        <f ca="1">IFERROR(__xludf.DUMMYFUNCTION("""COMPUTED_VALUE"""),"J")</f>
        <v>J</v>
      </c>
      <c r="F1471" s="80" t="str">
        <f ca="1">IFERROR(__xludf.DUMMYFUNCTION("""COMPUTED_VALUE"""),"I")</f>
        <v>I</v>
      </c>
      <c r="G1471" s="80">
        <f ca="1">IFERROR(__xludf.DUMMYFUNCTION("""COMPUTED_VALUE"""),2)</f>
        <v>2</v>
      </c>
      <c r="H1471" s="80" t="str">
        <f ca="1">IFERROR(__xludf.DUMMYFUNCTION("""COMPUTED_VALUE"""),"OAK")</f>
        <v>OAK</v>
      </c>
      <c r="I1471" s="80">
        <f ca="1">IFERROR(__xludf.DUMMYFUNCTION("""COMPUTED_VALUE"""),5)</f>
        <v>5</v>
      </c>
      <c r="J1471" s="81">
        <f ca="1">IFERROR(__xludf.DUMMYFUNCTION("""COMPUTED_VALUE"""),4)</f>
        <v>4</v>
      </c>
      <c r="K1471" s="81">
        <f ca="1">IFERROR(__xludf.DUMMYFUNCTION("""COMPUTED_VALUE"""),98.4)</f>
        <v>98.4</v>
      </c>
      <c r="L1471" s="81">
        <f ca="1">IFERROR(__xludf.DUMMYFUNCTION("""COMPUTED_VALUE"""),0)</f>
        <v>0</v>
      </c>
      <c r="M1471" s="81"/>
      <c r="N1471" s="81">
        <f ca="1">IFERROR(__xludf.DUMMYFUNCTION("""COMPUTED_VALUE"""),79.25)</f>
        <v>79.25</v>
      </c>
      <c r="O1471" s="81"/>
      <c r="P1471" s="81">
        <f ca="1">IFERROR(__xludf.DUMMYFUNCTION("""COMPUTED_VALUE"""),84)</f>
        <v>84</v>
      </c>
      <c r="Q1471" s="81"/>
      <c r="R1471" s="81">
        <f ca="1">IFERROR(__xludf.DUMMYFUNCTION("""COMPUTED_VALUE"""),98.4)</f>
        <v>98.4</v>
      </c>
      <c r="S1471" s="81"/>
      <c r="T1471" s="81"/>
      <c r="U1471" s="82"/>
      <c r="V1471" s="82"/>
      <c r="W1471" s="83"/>
      <c r="X1471" s="83"/>
      <c r="Y1471" s="83"/>
    </row>
    <row r="1472" spans="1:25" ht="13.8">
      <c r="A1472" s="78" t="str">
        <f ca="1">IFERROR(__xludf.DUMMYFUNCTION("""COMPUTED_VALUE"""),"OAK")</f>
        <v>OAK</v>
      </c>
      <c r="B1472" s="79" t="str">
        <f ca="1">IFERROR(__xludf.DUMMYFUNCTION("""COMPUTED_VALUE"""),"Connor Gill")</f>
        <v>Connor Gill</v>
      </c>
      <c r="C1472" s="78">
        <f ca="1">IFERROR(__xludf.DUMMYFUNCTION("""COMPUTED_VALUE"""),11)</f>
        <v>11</v>
      </c>
      <c r="D1472" s="78" t="str">
        <f ca="1">IFERROR(__xludf.DUMMYFUNCTION("""COMPUTED_VALUE"""),"B")</f>
        <v>B</v>
      </c>
      <c r="E1472" s="80" t="str">
        <f ca="1">IFERROR(__xludf.DUMMYFUNCTION("""COMPUTED_VALUE"""),"J")</f>
        <v>J</v>
      </c>
      <c r="F1472" s="80" t="str">
        <f ca="1">IFERROR(__xludf.DUMMYFUNCTION("""COMPUTED_VALUE"""),"I")</f>
        <v>I</v>
      </c>
      <c r="G1472" s="80">
        <f ca="1">IFERROR(__xludf.DUMMYFUNCTION("""COMPUTED_VALUE"""),2)</f>
        <v>2</v>
      </c>
      <c r="H1472" s="80" t="str">
        <f ca="1">IFERROR(__xludf.DUMMYFUNCTION("""COMPUTED_VALUE"""),"OAK")</f>
        <v>OAK</v>
      </c>
      <c r="I1472" s="80">
        <f ca="1">IFERROR(__xludf.DUMMYFUNCTION("""COMPUTED_VALUE"""),5)</f>
        <v>5</v>
      </c>
      <c r="J1472" s="81">
        <f ca="1">IFERROR(__xludf.DUMMYFUNCTION("""COMPUTED_VALUE"""),4)</f>
        <v>4</v>
      </c>
      <c r="K1472" s="81">
        <f ca="1">IFERROR(__xludf.DUMMYFUNCTION("""COMPUTED_VALUE"""),61.75)</f>
        <v>61.75</v>
      </c>
      <c r="L1472" s="81">
        <f ca="1">IFERROR(__xludf.DUMMYFUNCTION("""COMPUTED_VALUE"""),55.15)</f>
        <v>55.15</v>
      </c>
      <c r="M1472" s="81"/>
      <c r="N1472" s="81">
        <f ca="1">IFERROR(__xludf.DUMMYFUNCTION("""COMPUTED_VALUE"""),42.65)</f>
        <v>42.65</v>
      </c>
      <c r="O1472" s="81"/>
      <c r="P1472" s="81">
        <f ca="1">IFERROR(__xludf.DUMMYFUNCTION("""COMPUTED_VALUE"""),0)</f>
        <v>0</v>
      </c>
      <c r="Q1472" s="81"/>
      <c r="R1472" s="81">
        <f ca="1">IFERROR(__xludf.DUMMYFUNCTION("""COMPUTED_VALUE"""),61.75)</f>
        <v>61.75</v>
      </c>
      <c r="S1472" s="81"/>
      <c r="T1472" s="81"/>
      <c r="U1472" s="82"/>
      <c r="V1472" s="82"/>
      <c r="W1472" s="83"/>
      <c r="X1472" s="83"/>
      <c r="Y1472" s="83"/>
    </row>
    <row r="1473" spans="1:25" ht="13.8">
      <c r="A1473" s="78" t="str">
        <f ca="1">IFERROR(__xludf.DUMMYFUNCTION("""COMPUTED_VALUE"""),"OAK")</f>
        <v>OAK</v>
      </c>
      <c r="B1473" s="79" t="str">
        <f ca="1">IFERROR(__xludf.DUMMYFUNCTION("""COMPUTED_VALUE"""),"James Hayden")</f>
        <v>James Hayden</v>
      </c>
      <c r="C1473" s="78">
        <f ca="1">IFERROR(__xludf.DUMMYFUNCTION("""COMPUTED_VALUE"""),12)</f>
        <v>12</v>
      </c>
      <c r="D1473" s="78" t="str">
        <f ca="1">IFERROR(__xludf.DUMMYFUNCTION("""COMPUTED_VALUE"""),"B")</f>
        <v>B</v>
      </c>
      <c r="E1473" s="80" t="str">
        <f ca="1">IFERROR(__xludf.DUMMYFUNCTION("""COMPUTED_VALUE"""),"J")</f>
        <v>J</v>
      </c>
      <c r="F1473" s="80" t="str">
        <f ca="1">IFERROR(__xludf.DUMMYFUNCTION("""COMPUTED_VALUE"""),"I")</f>
        <v>I</v>
      </c>
      <c r="G1473" s="80">
        <f ca="1">IFERROR(__xludf.DUMMYFUNCTION("""COMPUTED_VALUE"""),2)</f>
        <v>2</v>
      </c>
      <c r="H1473" s="80" t="str">
        <f ca="1">IFERROR(__xludf.DUMMYFUNCTION("""COMPUTED_VALUE"""),"OAK")</f>
        <v>OAK</v>
      </c>
      <c r="I1473" s="80">
        <f ca="1">IFERROR(__xludf.DUMMYFUNCTION("""COMPUTED_VALUE"""),5)</f>
        <v>5</v>
      </c>
      <c r="J1473" s="81">
        <f ca="1">IFERROR(__xludf.DUMMYFUNCTION("""COMPUTED_VALUE"""),5)</f>
        <v>5</v>
      </c>
      <c r="K1473" s="81">
        <f ca="1">IFERROR(__xludf.DUMMYFUNCTION("""COMPUTED_VALUE"""),89.95)</f>
        <v>89.95</v>
      </c>
      <c r="L1473" s="81">
        <f ca="1">IFERROR(__xludf.DUMMYFUNCTION("""COMPUTED_VALUE"""),76)</f>
        <v>76</v>
      </c>
      <c r="M1473" s="81"/>
      <c r="N1473" s="81">
        <f ca="1">IFERROR(__xludf.DUMMYFUNCTION("""COMPUTED_VALUE"""),76.2)</f>
        <v>76.2</v>
      </c>
      <c r="O1473" s="81"/>
      <c r="P1473" s="81">
        <f ca="1">IFERROR(__xludf.DUMMYFUNCTION("""COMPUTED_VALUE"""),89.95)</f>
        <v>89.95</v>
      </c>
      <c r="Q1473" s="81"/>
      <c r="R1473" s="81">
        <f ca="1">IFERROR(__xludf.DUMMYFUNCTION("""COMPUTED_VALUE"""),75.3)</f>
        <v>75.3</v>
      </c>
      <c r="S1473" s="81"/>
      <c r="T1473" s="81"/>
      <c r="U1473" s="82"/>
      <c r="V1473" s="82"/>
      <c r="W1473" s="83"/>
      <c r="X1473" s="83"/>
      <c r="Y1473" s="83"/>
    </row>
    <row r="1474" spans="1:25" ht="13.8">
      <c r="A1474" s="78" t="str">
        <f ca="1">IFERROR(__xludf.DUMMYFUNCTION("""COMPUTED_VALUE"""),"OAK")</f>
        <v>OAK</v>
      </c>
      <c r="B1474" s="79" t="str">
        <f ca="1">IFERROR(__xludf.DUMMYFUNCTION("""COMPUTED_VALUE"""),"Collin Henriques")</f>
        <v>Collin Henriques</v>
      </c>
      <c r="C1474" s="78">
        <f ca="1">IFERROR(__xludf.DUMMYFUNCTION("""COMPUTED_VALUE"""),11)</f>
        <v>11</v>
      </c>
      <c r="D1474" s="78" t="str">
        <f ca="1">IFERROR(__xludf.DUMMYFUNCTION("""COMPUTED_VALUE"""),"B")</f>
        <v>B</v>
      </c>
      <c r="E1474" s="80" t="str">
        <f ca="1">IFERROR(__xludf.DUMMYFUNCTION("""COMPUTED_VALUE"""),"J")</f>
        <v>J</v>
      </c>
      <c r="F1474" s="80" t="str">
        <f ca="1">IFERROR(__xludf.DUMMYFUNCTION("""COMPUTED_VALUE"""),"I")</f>
        <v>I</v>
      </c>
      <c r="G1474" s="80">
        <f ca="1">IFERROR(__xludf.DUMMYFUNCTION("""COMPUTED_VALUE"""),2)</f>
        <v>2</v>
      </c>
      <c r="H1474" s="80" t="str">
        <f ca="1">IFERROR(__xludf.DUMMYFUNCTION("""COMPUTED_VALUE"""),"OAK")</f>
        <v>OAK</v>
      </c>
      <c r="I1474" s="80">
        <f ca="1">IFERROR(__xludf.DUMMYFUNCTION("""COMPUTED_VALUE"""),5)</f>
        <v>5</v>
      </c>
      <c r="J1474" s="81">
        <f ca="1">IFERROR(__xludf.DUMMYFUNCTION("""COMPUTED_VALUE"""),4)</f>
        <v>4</v>
      </c>
      <c r="K1474" s="81">
        <f ca="1">IFERROR(__xludf.DUMMYFUNCTION("""COMPUTED_VALUE"""),86.55)</f>
        <v>86.55</v>
      </c>
      <c r="L1474" s="81">
        <f ca="1">IFERROR(__xludf.DUMMYFUNCTION("""COMPUTED_VALUE"""),0)</f>
        <v>0</v>
      </c>
      <c r="M1474" s="81"/>
      <c r="N1474" s="81">
        <f ca="1">IFERROR(__xludf.DUMMYFUNCTION("""COMPUTED_VALUE"""),79.25)</f>
        <v>79.25</v>
      </c>
      <c r="O1474" s="81"/>
      <c r="P1474" s="81">
        <f ca="1">IFERROR(__xludf.DUMMYFUNCTION("""COMPUTED_VALUE"""),85.3)</f>
        <v>85.3</v>
      </c>
      <c r="Q1474" s="81"/>
      <c r="R1474" s="81">
        <f ca="1">IFERROR(__xludf.DUMMYFUNCTION("""COMPUTED_VALUE"""),86.55)</f>
        <v>86.55</v>
      </c>
      <c r="S1474" s="81"/>
      <c r="T1474" s="81"/>
      <c r="U1474" s="82"/>
      <c r="V1474" s="82"/>
      <c r="W1474" s="83"/>
      <c r="X1474" s="83"/>
      <c r="Y1474" s="83"/>
    </row>
    <row r="1475" spans="1:25" ht="13.8">
      <c r="A1475" s="78" t="str">
        <f ca="1">IFERROR(__xludf.DUMMYFUNCTION("""COMPUTED_VALUE"""),"OAK")</f>
        <v>OAK</v>
      </c>
      <c r="B1475" s="79" t="str">
        <f ca="1">IFERROR(__xludf.DUMMYFUNCTION("""COMPUTED_VALUE"""),"Thibault Lede")</f>
        <v>Thibault Lede</v>
      </c>
      <c r="C1475" s="78">
        <f ca="1">IFERROR(__xludf.DUMMYFUNCTION("""COMPUTED_VALUE"""),12)</f>
        <v>12</v>
      </c>
      <c r="D1475" s="78" t="str">
        <f ca="1">IFERROR(__xludf.DUMMYFUNCTION("""COMPUTED_VALUE"""),"B")</f>
        <v>B</v>
      </c>
      <c r="E1475" s="80" t="str">
        <f ca="1">IFERROR(__xludf.DUMMYFUNCTION("""COMPUTED_VALUE"""),"J")</f>
        <v>J</v>
      </c>
      <c r="F1475" s="80" t="str">
        <f ca="1">IFERROR(__xludf.DUMMYFUNCTION("""COMPUTED_VALUE"""),"I")</f>
        <v>I</v>
      </c>
      <c r="G1475" s="80">
        <f ca="1">IFERROR(__xludf.DUMMYFUNCTION("""COMPUTED_VALUE"""),2)</f>
        <v>2</v>
      </c>
      <c r="H1475" s="80" t="str">
        <f ca="1">IFERROR(__xludf.DUMMYFUNCTION("""COMPUTED_VALUE"""),"OAK")</f>
        <v>OAK</v>
      </c>
      <c r="I1475" s="80">
        <f ca="1">IFERROR(__xludf.DUMMYFUNCTION("""COMPUTED_VALUE"""),5)</f>
        <v>5</v>
      </c>
      <c r="J1475" s="81">
        <f ca="1">IFERROR(__xludf.DUMMYFUNCTION("""COMPUTED_VALUE"""),3)</f>
        <v>3</v>
      </c>
      <c r="K1475" s="81">
        <f ca="1">IFERROR(__xludf.DUMMYFUNCTION("""COMPUTED_VALUE"""),137.75)</f>
        <v>137.75</v>
      </c>
      <c r="L1475" s="81">
        <f ca="1">IFERROR(__xludf.DUMMYFUNCTION("""COMPUTED_VALUE"""),137.75)</f>
        <v>137.75</v>
      </c>
      <c r="M1475" s="81"/>
      <c r="N1475" s="81">
        <f ca="1">IFERROR(__xludf.DUMMYFUNCTION("""COMPUTED_VALUE"""),0)</f>
        <v>0</v>
      </c>
      <c r="O1475" s="81"/>
      <c r="P1475" s="81">
        <f ca="1">IFERROR(__xludf.DUMMYFUNCTION("""COMPUTED_VALUE"""),119.85)</f>
        <v>119.85</v>
      </c>
      <c r="Q1475" s="81"/>
      <c r="R1475" s="81">
        <f ca="1">IFERROR(__xludf.DUMMYFUNCTION("""COMPUTED_VALUE"""),129.3)</f>
        <v>129.30000000000001</v>
      </c>
      <c r="S1475" s="81"/>
      <c r="T1475" s="81"/>
      <c r="U1475" s="82"/>
      <c r="V1475" s="82"/>
      <c r="W1475" s="83"/>
      <c r="X1475" s="83"/>
      <c r="Y1475" s="83"/>
    </row>
    <row r="1476" spans="1:25" ht="13.8">
      <c r="A1476" s="78" t="str">
        <f ca="1">IFERROR(__xludf.DUMMYFUNCTION("""COMPUTED_VALUE"""),"OAK")</f>
        <v>OAK</v>
      </c>
      <c r="B1476" s="79" t="str">
        <f ca="1">IFERROR(__xludf.DUMMYFUNCTION("""COMPUTED_VALUE"""),"William Wright")</f>
        <v>William Wright</v>
      </c>
      <c r="C1476" s="78">
        <f ca="1">IFERROR(__xludf.DUMMYFUNCTION("""COMPUTED_VALUE"""),11)</f>
        <v>11</v>
      </c>
      <c r="D1476" s="78" t="str">
        <f ca="1">IFERROR(__xludf.DUMMYFUNCTION("""COMPUTED_VALUE"""),"B")</f>
        <v>B</v>
      </c>
      <c r="E1476" s="80" t="str">
        <f ca="1">IFERROR(__xludf.DUMMYFUNCTION("""COMPUTED_VALUE"""),"J")</f>
        <v>J</v>
      </c>
      <c r="F1476" s="80" t="str">
        <f ca="1">IFERROR(__xludf.DUMMYFUNCTION("""COMPUTED_VALUE"""),"I")</f>
        <v>I</v>
      </c>
      <c r="G1476" s="80">
        <f ca="1">IFERROR(__xludf.DUMMYFUNCTION("""COMPUTED_VALUE"""),2)</f>
        <v>2</v>
      </c>
      <c r="H1476" s="80" t="str">
        <f ca="1">IFERROR(__xludf.DUMMYFUNCTION("""COMPUTED_VALUE"""),"OAK")</f>
        <v>OAK</v>
      </c>
      <c r="I1476" s="80">
        <f ca="1">IFERROR(__xludf.DUMMYFUNCTION("""COMPUTED_VALUE"""),5)</f>
        <v>5</v>
      </c>
      <c r="J1476" s="81">
        <f ca="1">IFERROR(__xludf.DUMMYFUNCTION("""COMPUTED_VALUE"""),4)</f>
        <v>4</v>
      </c>
      <c r="K1476" s="81">
        <f ca="1">IFERROR(__xludf.DUMMYFUNCTION("""COMPUTED_VALUE"""),84.15)</f>
        <v>84.15</v>
      </c>
      <c r="L1476" s="81">
        <f ca="1">IFERROR(__xludf.DUMMYFUNCTION("""COMPUTED_VALUE"""),0)</f>
        <v>0</v>
      </c>
      <c r="M1476" s="81"/>
      <c r="N1476" s="81">
        <f ca="1">IFERROR(__xludf.DUMMYFUNCTION("""COMPUTED_VALUE"""),58.4)</f>
        <v>58.4</v>
      </c>
      <c r="O1476" s="81"/>
      <c r="P1476" s="81">
        <f ca="1">IFERROR(__xludf.DUMMYFUNCTION("""COMPUTED_VALUE"""),75.3)</f>
        <v>75.3</v>
      </c>
      <c r="Q1476" s="81"/>
      <c r="R1476" s="81">
        <f ca="1">IFERROR(__xludf.DUMMYFUNCTION("""COMPUTED_VALUE"""),84.15)</f>
        <v>84.15</v>
      </c>
      <c r="S1476" s="81"/>
      <c r="T1476" s="81"/>
      <c r="U1476" s="82"/>
      <c r="V1476" s="82"/>
      <c r="W1476" s="83"/>
      <c r="X1476" s="83"/>
      <c r="Y1476" s="83"/>
    </row>
    <row r="1477" spans="1:25" ht="13.8">
      <c r="A1477" s="78" t="str">
        <f ca="1">IFERROR(__xludf.DUMMYFUNCTION("""COMPUTED_VALUE"""),"OAK")</f>
        <v>OAK</v>
      </c>
      <c r="B1477" s="79" t="str">
        <f ca="1">IFERROR(__xludf.DUMMYFUNCTION("""COMPUTED_VALUE"""),"Megan Shipley")</f>
        <v>Megan Shipley</v>
      </c>
      <c r="C1477" s="78">
        <f ca="1">IFERROR(__xludf.DUMMYFUNCTION("""COMPUTED_VALUE"""),13)</f>
        <v>13</v>
      </c>
      <c r="D1477" s="78" t="str">
        <f ca="1">IFERROR(__xludf.DUMMYFUNCTION("""COMPUTED_VALUE"""),"G")</f>
        <v>G</v>
      </c>
      <c r="E1477" s="80" t="str">
        <f ca="1">IFERROR(__xludf.DUMMYFUNCTION("""COMPUTED_VALUE"""),"I")</f>
        <v>I</v>
      </c>
      <c r="F1477" s="80" t="str">
        <f ca="1">IFERROR(__xludf.DUMMYFUNCTION("""COMPUTED_VALUE"""),"S")</f>
        <v>S</v>
      </c>
      <c r="G1477" s="80">
        <f ca="1">IFERROR(__xludf.DUMMYFUNCTION("""COMPUTED_VALUE"""),2)</f>
        <v>2</v>
      </c>
      <c r="H1477" s="80" t="str">
        <f ca="1">IFERROR(__xludf.DUMMYFUNCTION("""COMPUTED_VALUE"""),"OAK")</f>
        <v>OAK</v>
      </c>
      <c r="I1477" s="80">
        <f ca="1">IFERROR(__xludf.DUMMYFUNCTION("""COMPUTED_VALUE"""),6)</f>
        <v>6</v>
      </c>
      <c r="J1477" s="81">
        <f ca="1">IFERROR(__xludf.DUMMYFUNCTION("""COMPUTED_VALUE"""),2)</f>
        <v>2</v>
      </c>
      <c r="K1477" s="81">
        <f ca="1">IFERROR(__xludf.DUMMYFUNCTION("""COMPUTED_VALUE"""),112.8)</f>
        <v>112.8</v>
      </c>
      <c r="L1477" s="81">
        <f ca="1">IFERROR(__xludf.DUMMYFUNCTION("""COMPUTED_VALUE"""),0)</f>
        <v>0</v>
      </c>
      <c r="M1477" s="81"/>
      <c r="N1477" s="81">
        <f ca="1">IFERROR(__xludf.DUMMYFUNCTION("""COMPUTED_VALUE"""),107.75)</f>
        <v>107.75</v>
      </c>
      <c r="O1477" s="81"/>
      <c r="P1477" s="81">
        <f ca="1">IFERROR(__xludf.DUMMYFUNCTION("""COMPUTED_VALUE"""),112.8)</f>
        <v>112.8</v>
      </c>
      <c r="Q1477" s="81"/>
      <c r="R1477" s="81">
        <f ca="1">IFERROR(__xludf.DUMMYFUNCTION("""COMPUTED_VALUE"""),0)</f>
        <v>0</v>
      </c>
      <c r="S1477" s="81"/>
      <c r="T1477" s="81"/>
      <c r="U1477" s="82"/>
      <c r="V1477" s="82"/>
      <c r="W1477" s="83"/>
      <c r="X1477" s="83"/>
      <c r="Y1477" s="83"/>
    </row>
    <row r="1478" spans="1:25" ht="13.8">
      <c r="A1478" s="78" t="str">
        <f ca="1">IFERROR(__xludf.DUMMYFUNCTION("""COMPUTED_VALUE"""),"OAK")</f>
        <v>OAK</v>
      </c>
      <c r="B1478" s="79" t="str">
        <f ca="1">IFERROR(__xludf.DUMMYFUNCTION("""COMPUTED_VALUE"""),"Samantha Shuster")</f>
        <v>Samantha Shuster</v>
      </c>
      <c r="C1478" s="78">
        <f ca="1">IFERROR(__xludf.DUMMYFUNCTION("""COMPUTED_VALUE"""),13)</f>
        <v>13</v>
      </c>
      <c r="D1478" s="78" t="str">
        <f ca="1">IFERROR(__xludf.DUMMYFUNCTION("""COMPUTED_VALUE"""),"G")</f>
        <v>G</v>
      </c>
      <c r="E1478" s="80" t="str">
        <f ca="1">IFERROR(__xludf.DUMMYFUNCTION("""COMPUTED_VALUE"""),"I")</f>
        <v>I</v>
      </c>
      <c r="F1478" s="80" t="str">
        <f ca="1">IFERROR(__xludf.DUMMYFUNCTION("""COMPUTED_VALUE"""),"S")</f>
        <v>S</v>
      </c>
      <c r="G1478" s="80">
        <f ca="1">IFERROR(__xludf.DUMMYFUNCTION("""COMPUTED_VALUE"""),2)</f>
        <v>2</v>
      </c>
      <c r="H1478" s="80" t="str">
        <f ca="1">IFERROR(__xludf.DUMMYFUNCTION("""COMPUTED_VALUE"""),"OAK")</f>
        <v>OAK</v>
      </c>
      <c r="I1478" s="80">
        <f ca="1">IFERROR(__xludf.DUMMYFUNCTION("""COMPUTED_VALUE"""),6)</f>
        <v>6</v>
      </c>
      <c r="J1478" s="81">
        <f ca="1">IFERROR(__xludf.DUMMYFUNCTION("""COMPUTED_VALUE"""),4)</f>
        <v>4</v>
      </c>
      <c r="K1478" s="81">
        <f ca="1">IFERROR(__xludf.DUMMYFUNCTION("""COMPUTED_VALUE"""),114.25)</f>
        <v>114.25</v>
      </c>
      <c r="L1478" s="81">
        <f ca="1">IFERROR(__xludf.DUMMYFUNCTION("""COMPUTED_VALUE"""),111.5)</f>
        <v>111.5</v>
      </c>
      <c r="M1478" s="81"/>
      <c r="N1478" s="81">
        <f ca="1">IFERROR(__xludf.DUMMYFUNCTION("""COMPUTED_VALUE"""),0)</f>
        <v>0</v>
      </c>
      <c r="O1478" s="81"/>
      <c r="P1478" s="81">
        <f ca="1">IFERROR(__xludf.DUMMYFUNCTION("""COMPUTED_VALUE"""),97.6)</f>
        <v>97.6</v>
      </c>
      <c r="Q1478" s="81"/>
      <c r="R1478" s="81">
        <f ca="1">IFERROR(__xludf.DUMMYFUNCTION("""COMPUTED_VALUE"""),114.25)</f>
        <v>114.25</v>
      </c>
      <c r="S1478" s="81"/>
      <c r="T1478" s="81"/>
      <c r="U1478" s="82"/>
      <c r="V1478" s="82"/>
      <c r="W1478" s="83"/>
      <c r="X1478" s="83"/>
      <c r="Y1478" s="83"/>
    </row>
    <row r="1479" spans="1:25" ht="13.8">
      <c r="A1479" s="78" t="str">
        <f ca="1">IFERROR(__xludf.DUMMYFUNCTION("""COMPUTED_VALUE"""),"OAK")</f>
        <v>OAK</v>
      </c>
      <c r="B1479" s="79" t="str">
        <f ca="1">IFERROR(__xludf.DUMMYFUNCTION("""COMPUTED_VALUE"""),"Brendan Doe")</f>
        <v>Brendan Doe</v>
      </c>
      <c r="C1479" s="78">
        <f ca="1">IFERROR(__xludf.DUMMYFUNCTION("""COMPUTED_VALUE"""),14)</f>
        <v>14</v>
      </c>
      <c r="D1479" s="78" t="str">
        <f ca="1">IFERROR(__xludf.DUMMYFUNCTION("""COMPUTED_VALUE"""),"B")</f>
        <v>B</v>
      </c>
      <c r="E1479" s="80" t="str">
        <f ca="1">IFERROR(__xludf.DUMMYFUNCTION("""COMPUTED_VALUE"""),"I")</f>
        <v>I</v>
      </c>
      <c r="F1479" s="80" t="str">
        <f ca="1">IFERROR(__xludf.DUMMYFUNCTION("""COMPUTED_VALUE"""),"S")</f>
        <v>S</v>
      </c>
      <c r="G1479" s="80">
        <f ca="1">IFERROR(__xludf.DUMMYFUNCTION("""COMPUTED_VALUE"""),2)</f>
        <v>2</v>
      </c>
      <c r="H1479" s="80" t="str">
        <f ca="1">IFERROR(__xludf.DUMMYFUNCTION("""COMPUTED_VALUE"""),"OAK")</f>
        <v>OAK</v>
      </c>
      <c r="I1479" s="80">
        <f ca="1">IFERROR(__xludf.DUMMYFUNCTION("""COMPUTED_VALUE"""),7)</f>
        <v>7</v>
      </c>
      <c r="J1479" s="81">
        <f ca="1">IFERROR(__xludf.DUMMYFUNCTION("""COMPUTED_VALUE"""),4)</f>
        <v>4</v>
      </c>
      <c r="K1479" s="81">
        <f ca="1">IFERROR(__xludf.DUMMYFUNCTION("""COMPUTED_VALUE"""),172.15)</f>
        <v>172.15</v>
      </c>
      <c r="L1479" s="81">
        <f ca="1">IFERROR(__xludf.DUMMYFUNCTION("""COMPUTED_VALUE"""),172.15)</f>
        <v>172.15</v>
      </c>
      <c r="M1479" s="81"/>
      <c r="N1479" s="81">
        <f ca="1">IFERROR(__xludf.DUMMYFUNCTION("""COMPUTED_VALUE"""),0)</f>
        <v>0</v>
      </c>
      <c r="O1479" s="81"/>
      <c r="P1479" s="81">
        <f ca="1">IFERROR(__xludf.DUMMYFUNCTION("""COMPUTED_VALUE"""),170.9)</f>
        <v>170.9</v>
      </c>
      <c r="Q1479" s="81"/>
      <c r="R1479" s="81">
        <f ca="1">IFERROR(__xludf.DUMMYFUNCTION("""COMPUTED_VALUE"""),159.95)</f>
        <v>159.94999999999999</v>
      </c>
      <c r="S1479" s="81"/>
      <c r="T1479" s="81"/>
      <c r="U1479" s="82"/>
      <c r="V1479" s="82"/>
      <c r="W1479" s="83"/>
      <c r="X1479" s="83"/>
      <c r="Y1479" s="83"/>
    </row>
    <row r="1480" spans="1:25" ht="13.8">
      <c r="A1480" s="78" t="str">
        <f ca="1">IFERROR(__xludf.DUMMYFUNCTION("""COMPUTED_VALUE"""),"OAK")</f>
        <v>OAK</v>
      </c>
      <c r="B1480" s="79" t="str">
        <f ca="1">IFERROR(__xludf.DUMMYFUNCTION("""COMPUTED_VALUE"""),"Jack Hansen")</f>
        <v>Jack Hansen</v>
      </c>
      <c r="C1480" s="78">
        <f ca="1">IFERROR(__xludf.DUMMYFUNCTION("""COMPUTED_VALUE"""),13)</f>
        <v>13</v>
      </c>
      <c r="D1480" s="78" t="str">
        <f ca="1">IFERROR(__xludf.DUMMYFUNCTION("""COMPUTED_VALUE"""),"B")</f>
        <v>B</v>
      </c>
      <c r="E1480" s="80" t="str">
        <f ca="1">IFERROR(__xludf.DUMMYFUNCTION("""COMPUTED_VALUE"""),"I")</f>
        <v>I</v>
      </c>
      <c r="F1480" s="80" t="str">
        <f ca="1">IFERROR(__xludf.DUMMYFUNCTION("""COMPUTED_VALUE"""),"S")</f>
        <v>S</v>
      </c>
      <c r="G1480" s="80">
        <f ca="1">IFERROR(__xludf.DUMMYFUNCTION("""COMPUTED_VALUE"""),2)</f>
        <v>2</v>
      </c>
      <c r="H1480" s="80" t="str">
        <f ca="1">IFERROR(__xludf.DUMMYFUNCTION("""COMPUTED_VALUE"""),"OAK")</f>
        <v>OAK</v>
      </c>
      <c r="I1480" s="80">
        <f ca="1">IFERROR(__xludf.DUMMYFUNCTION("""COMPUTED_VALUE"""),7)</f>
        <v>7</v>
      </c>
      <c r="J1480" s="81">
        <f ca="1">IFERROR(__xludf.DUMMYFUNCTION("""COMPUTED_VALUE"""),3)</f>
        <v>3</v>
      </c>
      <c r="K1480" s="81">
        <f ca="1">IFERROR(__xludf.DUMMYFUNCTION("""COMPUTED_VALUE"""),117)</f>
        <v>117</v>
      </c>
      <c r="L1480" s="81">
        <f ca="1">IFERROR(__xludf.DUMMYFUNCTION("""COMPUTED_VALUE"""),116.95)</f>
        <v>116.95</v>
      </c>
      <c r="M1480" s="81"/>
      <c r="N1480" s="81">
        <f ca="1">IFERROR(__xludf.DUMMYFUNCTION("""COMPUTED_VALUE"""),0)</f>
        <v>0</v>
      </c>
      <c r="O1480" s="81"/>
      <c r="P1480" s="81">
        <f ca="1">IFERROR(__xludf.DUMMYFUNCTION("""COMPUTED_VALUE"""),117)</f>
        <v>117</v>
      </c>
      <c r="Q1480" s="81"/>
      <c r="R1480" s="81">
        <f ca="1">IFERROR(__xludf.DUMMYFUNCTION("""COMPUTED_VALUE"""),0)</f>
        <v>0</v>
      </c>
      <c r="S1480" s="81"/>
      <c r="T1480" s="81"/>
      <c r="U1480" s="82"/>
      <c r="V1480" s="82"/>
      <c r="W1480" s="83"/>
      <c r="X1480" s="83"/>
      <c r="Y1480" s="83"/>
    </row>
    <row r="1481" spans="1:25" ht="13.8">
      <c r="A1481" s="78" t="str">
        <f ca="1">IFERROR(__xludf.DUMMYFUNCTION("""COMPUTED_VALUE"""),"OAK")</f>
        <v>OAK</v>
      </c>
      <c r="B1481" s="79" t="str">
        <f ca="1">IFERROR(__xludf.DUMMYFUNCTION("""COMPUTED_VALUE"""),"Zac Lee")</f>
        <v>Zac Lee</v>
      </c>
      <c r="C1481" s="78">
        <f ca="1">IFERROR(__xludf.DUMMYFUNCTION("""COMPUTED_VALUE"""),13)</f>
        <v>13</v>
      </c>
      <c r="D1481" s="78" t="str">
        <f ca="1">IFERROR(__xludf.DUMMYFUNCTION("""COMPUTED_VALUE"""),"B")</f>
        <v>B</v>
      </c>
      <c r="E1481" s="80" t="str">
        <f ca="1">IFERROR(__xludf.DUMMYFUNCTION("""COMPUTED_VALUE"""),"I")</f>
        <v>I</v>
      </c>
      <c r="F1481" s="80" t="str">
        <f ca="1">IFERROR(__xludf.DUMMYFUNCTION("""COMPUTED_VALUE"""),"S")</f>
        <v>S</v>
      </c>
      <c r="G1481" s="80">
        <f ca="1">IFERROR(__xludf.DUMMYFUNCTION("""COMPUTED_VALUE"""),2)</f>
        <v>2</v>
      </c>
      <c r="H1481" s="80" t="str">
        <f ca="1">IFERROR(__xludf.DUMMYFUNCTION("""COMPUTED_VALUE"""),"OAK")</f>
        <v>OAK</v>
      </c>
      <c r="I1481" s="80">
        <f ca="1">IFERROR(__xludf.DUMMYFUNCTION("""COMPUTED_VALUE"""),7)</f>
        <v>7</v>
      </c>
      <c r="J1481" s="81">
        <f ca="1">IFERROR(__xludf.DUMMYFUNCTION("""COMPUTED_VALUE"""),5)</f>
        <v>5</v>
      </c>
      <c r="K1481" s="81">
        <f ca="1">IFERROR(__xludf.DUMMYFUNCTION("""COMPUTED_VALUE"""),99.8)</f>
        <v>99.8</v>
      </c>
      <c r="L1481" s="81">
        <f ca="1">IFERROR(__xludf.DUMMYFUNCTION("""COMPUTED_VALUE"""),97.3)</f>
        <v>97.3</v>
      </c>
      <c r="M1481" s="81"/>
      <c r="N1481" s="81">
        <f ca="1">IFERROR(__xludf.DUMMYFUNCTION("""COMPUTED_VALUE"""),72.35)</f>
        <v>72.349999999999994</v>
      </c>
      <c r="O1481" s="81"/>
      <c r="P1481" s="81">
        <f ca="1">IFERROR(__xludf.DUMMYFUNCTION("""COMPUTED_VALUE"""),91.55)</f>
        <v>91.55</v>
      </c>
      <c r="Q1481" s="81"/>
      <c r="R1481" s="81">
        <f ca="1">IFERROR(__xludf.DUMMYFUNCTION("""COMPUTED_VALUE"""),99.8)</f>
        <v>99.8</v>
      </c>
      <c r="S1481" s="81"/>
      <c r="T1481" s="81"/>
      <c r="U1481" s="82"/>
      <c r="V1481" s="82"/>
      <c r="W1481" s="83"/>
      <c r="X1481" s="83"/>
      <c r="Y1481" s="83"/>
    </row>
    <row r="1482" spans="1:25" ht="13.8">
      <c r="A1482" s="78" t="str">
        <f ca="1">IFERROR(__xludf.DUMMYFUNCTION("""COMPUTED_VALUE"""),"OAK")</f>
        <v>OAK</v>
      </c>
      <c r="B1482" s="79" t="str">
        <f ca="1">IFERROR(__xludf.DUMMYFUNCTION("""COMPUTED_VALUE"""),"Jon Anthony Montel")</f>
        <v>Jon Anthony Montel</v>
      </c>
      <c r="C1482" s="78">
        <f ca="1">IFERROR(__xludf.DUMMYFUNCTION("""COMPUTED_VALUE"""),13)</f>
        <v>13</v>
      </c>
      <c r="D1482" s="78" t="str">
        <f ca="1">IFERROR(__xludf.DUMMYFUNCTION("""COMPUTED_VALUE"""),"B")</f>
        <v>B</v>
      </c>
      <c r="E1482" s="80" t="str">
        <f ca="1">IFERROR(__xludf.DUMMYFUNCTION("""COMPUTED_VALUE"""),"I")</f>
        <v>I</v>
      </c>
      <c r="F1482" s="80" t="str">
        <f ca="1">IFERROR(__xludf.DUMMYFUNCTION("""COMPUTED_VALUE"""),"S")</f>
        <v>S</v>
      </c>
      <c r="G1482" s="80">
        <f ca="1">IFERROR(__xludf.DUMMYFUNCTION("""COMPUTED_VALUE"""),2)</f>
        <v>2</v>
      </c>
      <c r="H1482" s="80" t="str">
        <f ca="1">IFERROR(__xludf.DUMMYFUNCTION("""COMPUTED_VALUE"""),"OAK")</f>
        <v>OAK</v>
      </c>
      <c r="I1482" s="80">
        <f ca="1">IFERROR(__xludf.DUMMYFUNCTION("""COMPUTED_VALUE"""),7)</f>
        <v>7</v>
      </c>
      <c r="J1482" s="81">
        <f ca="1">IFERROR(__xludf.DUMMYFUNCTION("""COMPUTED_VALUE"""),5)</f>
        <v>5</v>
      </c>
      <c r="K1482" s="81">
        <f ca="1">IFERROR(__xludf.DUMMYFUNCTION("""COMPUTED_VALUE"""),150.85)</f>
        <v>150.85</v>
      </c>
      <c r="L1482" s="81">
        <f ca="1">IFERROR(__xludf.DUMMYFUNCTION("""COMPUTED_VALUE"""),132.7)</f>
        <v>132.69999999999999</v>
      </c>
      <c r="M1482" s="81"/>
      <c r="N1482" s="81">
        <f ca="1">IFERROR(__xludf.DUMMYFUNCTION("""COMPUTED_VALUE"""),111.5)</f>
        <v>111.5</v>
      </c>
      <c r="O1482" s="81"/>
      <c r="P1482" s="81">
        <f ca="1">IFERROR(__xludf.DUMMYFUNCTION("""COMPUTED_VALUE"""),114)</f>
        <v>114</v>
      </c>
      <c r="Q1482" s="81"/>
      <c r="R1482" s="81">
        <f ca="1">IFERROR(__xludf.DUMMYFUNCTION("""COMPUTED_VALUE"""),150.85)</f>
        <v>150.85</v>
      </c>
      <c r="S1482" s="81"/>
      <c r="T1482" s="81"/>
      <c r="U1482" s="82"/>
      <c r="V1482" s="82"/>
      <c r="W1482" s="83"/>
      <c r="X1482" s="83"/>
      <c r="Y1482" s="83"/>
    </row>
    <row r="1483" spans="1:25" ht="13.8">
      <c r="A1483" s="78" t="str">
        <f ca="1">IFERROR(__xludf.DUMMYFUNCTION("""COMPUTED_VALUE"""),"OAK")</f>
        <v>OAK</v>
      </c>
      <c r="B1483" s="79" t="str">
        <f ca="1">IFERROR(__xludf.DUMMYFUNCTION("""COMPUTED_VALUE"""),"Dylan Reese")</f>
        <v>Dylan Reese</v>
      </c>
      <c r="C1483" s="78">
        <f ca="1">IFERROR(__xludf.DUMMYFUNCTION("""COMPUTED_VALUE"""),14)</f>
        <v>14</v>
      </c>
      <c r="D1483" s="78" t="str">
        <f ca="1">IFERROR(__xludf.DUMMYFUNCTION("""COMPUTED_VALUE"""),"B")</f>
        <v>B</v>
      </c>
      <c r="E1483" s="80" t="str">
        <f ca="1">IFERROR(__xludf.DUMMYFUNCTION("""COMPUTED_VALUE"""),"I")</f>
        <v>I</v>
      </c>
      <c r="F1483" s="80" t="str">
        <f ca="1">IFERROR(__xludf.DUMMYFUNCTION("""COMPUTED_VALUE"""),"S")</f>
        <v>S</v>
      </c>
      <c r="G1483" s="80">
        <f ca="1">IFERROR(__xludf.DUMMYFUNCTION("""COMPUTED_VALUE"""),2)</f>
        <v>2</v>
      </c>
      <c r="H1483" s="80" t="str">
        <f ca="1">IFERROR(__xludf.DUMMYFUNCTION("""COMPUTED_VALUE"""),"OAK")</f>
        <v>OAK</v>
      </c>
      <c r="I1483" s="80">
        <f ca="1">IFERROR(__xludf.DUMMYFUNCTION("""COMPUTED_VALUE"""),7)</f>
        <v>7</v>
      </c>
      <c r="J1483" s="81">
        <f ca="1">IFERROR(__xludf.DUMMYFUNCTION("""COMPUTED_VALUE"""),3)</f>
        <v>3</v>
      </c>
      <c r="K1483" s="81">
        <f ca="1">IFERROR(__xludf.DUMMYFUNCTION("""COMPUTED_VALUE"""),103.2)</f>
        <v>103.2</v>
      </c>
      <c r="L1483" s="81">
        <f ca="1">IFERROR(__xludf.DUMMYFUNCTION("""COMPUTED_VALUE"""),101.3)</f>
        <v>101.3</v>
      </c>
      <c r="M1483" s="81"/>
      <c r="N1483" s="81">
        <f ca="1">IFERROR(__xludf.DUMMYFUNCTION("""COMPUTED_VALUE"""),0)</f>
        <v>0</v>
      </c>
      <c r="O1483" s="81"/>
      <c r="P1483" s="81">
        <f ca="1">IFERROR(__xludf.DUMMYFUNCTION("""COMPUTED_VALUE"""),100.9)</f>
        <v>100.9</v>
      </c>
      <c r="Q1483" s="81"/>
      <c r="R1483" s="81">
        <f ca="1">IFERROR(__xludf.DUMMYFUNCTION("""COMPUTED_VALUE"""),103.2)</f>
        <v>103.2</v>
      </c>
      <c r="S1483" s="81"/>
      <c r="T1483" s="81"/>
      <c r="U1483" s="82"/>
      <c r="V1483" s="82"/>
      <c r="W1483" s="83"/>
      <c r="X1483" s="83"/>
      <c r="Y1483" s="83"/>
    </row>
    <row r="1484" spans="1:25" ht="13.8">
      <c r="A1484" s="78" t="str">
        <f ca="1">IFERROR(__xludf.DUMMYFUNCTION("""COMPUTED_VALUE"""),"OAK")</f>
        <v>OAK</v>
      </c>
      <c r="B1484" s="79" t="str">
        <f ca="1">IFERROR(__xludf.DUMMYFUNCTION("""COMPUTED_VALUE"""),"Danny Shipley")</f>
        <v>Danny Shipley</v>
      </c>
      <c r="C1484" s="78">
        <f ca="1">IFERROR(__xludf.DUMMYFUNCTION("""COMPUTED_VALUE"""),13)</f>
        <v>13</v>
      </c>
      <c r="D1484" s="78" t="str">
        <f ca="1">IFERROR(__xludf.DUMMYFUNCTION("""COMPUTED_VALUE"""),"B")</f>
        <v>B</v>
      </c>
      <c r="E1484" s="80" t="str">
        <f ca="1">IFERROR(__xludf.DUMMYFUNCTION("""COMPUTED_VALUE"""),"I")</f>
        <v>I</v>
      </c>
      <c r="F1484" s="80" t="str">
        <f ca="1">IFERROR(__xludf.DUMMYFUNCTION("""COMPUTED_VALUE"""),"S")</f>
        <v>S</v>
      </c>
      <c r="G1484" s="80">
        <f ca="1">IFERROR(__xludf.DUMMYFUNCTION("""COMPUTED_VALUE"""),2)</f>
        <v>2</v>
      </c>
      <c r="H1484" s="80" t="str">
        <f ca="1">IFERROR(__xludf.DUMMYFUNCTION("""COMPUTED_VALUE"""),"OAK")</f>
        <v>OAK</v>
      </c>
      <c r="I1484" s="80">
        <f ca="1">IFERROR(__xludf.DUMMYFUNCTION("""COMPUTED_VALUE"""),7)</f>
        <v>7</v>
      </c>
      <c r="J1484" s="81">
        <f ca="1">IFERROR(__xludf.DUMMYFUNCTION("""COMPUTED_VALUE"""),0)</f>
        <v>0</v>
      </c>
      <c r="K1484" s="81">
        <f ca="1">IFERROR(__xludf.DUMMYFUNCTION("""COMPUTED_VALUE"""),0)</f>
        <v>0</v>
      </c>
      <c r="L1484" s="81">
        <f ca="1">IFERROR(__xludf.DUMMYFUNCTION("""COMPUTED_VALUE"""),0)</f>
        <v>0</v>
      </c>
      <c r="M1484" s="81"/>
      <c r="N1484" s="81">
        <f ca="1">IFERROR(__xludf.DUMMYFUNCTION("""COMPUTED_VALUE"""),0)</f>
        <v>0</v>
      </c>
      <c r="O1484" s="81"/>
      <c r="P1484" s="81">
        <f ca="1">IFERROR(__xludf.DUMMYFUNCTION("""COMPUTED_VALUE"""),0)</f>
        <v>0</v>
      </c>
      <c r="Q1484" s="81"/>
      <c r="R1484" s="81">
        <f ca="1">IFERROR(__xludf.DUMMYFUNCTION("""COMPUTED_VALUE"""),0)</f>
        <v>0</v>
      </c>
      <c r="S1484" s="81"/>
      <c r="T1484" s="81"/>
      <c r="U1484" s="82"/>
      <c r="V1484" s="82"/>
      <c r="W1484" s="83"/>
      <c r="X1484" s="83"/>
      <c r="Y1484" s="83"/>
    </row>
    <row r="1485" spans="1:25" ht="13.8">
      <c r="A1485" s="78" t="str">
        <f ca="1">IFERROR(__xludf.DUMMYFUNCTION("""COMPUTED_VALUE"""),"OAK")</f>
        <v>OAK</v>
      </c>
      <c r="B1485" s="79" t="str">
        <f ca="1">IFERROR(__xludf.DUMMYFUNCTION("""COMPUTED_VALUE"""),"Ryan Shipley")</f>
        <v>Ryan Shipley</v>
      </c>
      <c r="C1485" s="78">
        <f ca="1">IFERROR(__xludf.DUMMYFUNCTION("""COMPUTED_VALUE"""),13)</f>
        <v>13</v>
      </c>
      <c r="D1485" s="78" t="str">
        <f ca="1">IFERROR(__xludf.DUMMYFUNCTION("""COMPUTED_VALUE"""),"B")</f>
        <v>B</v>
      </c>
      <c r="E1485" s="80" t="str">
        <f ca="1">IFERROR(__xludf.DUMMYFUNCTION("""COMPUTED_VALUE"""),"I")</f>
        <v>I</v>
      </c>
      <c r="F1485" s="80" t="str">
        <f ca="1">IFERROR(__xludf.DUMMYFUNCTION("""COMPUTED_VALUE"""),"S")</f>
        <v>S</v>
      </c>
      <c r="G1485" s="80">
        <f ca="1">IFERROR(__xludf.DUMMYFUNCTION("""COMPUTED_VALUE"""),2)</f>
        <v>2</v>
      </c>
      <c r="H1485" s="80" t="str">
        <f ca="1">IFERROR(__xludf.DUMMYFUNCTION("""COMPUTED_VALUE"""),"OAK")</f>
        <v>OAK</v>
      </c>
      <c r="I1485" s="80">
        <f ca="1">IFERROR(__xludf.DUMMYFUNCTION("""COMPUTED_VALUE"""),7)</f>
        <v>7</v>
      </c>
      <c r="J1485" s="81">
        <f ca="1">IFERROR(__xludf.DUMMYFUNCTION("""COMPUTED_VALUE"""),3)</f>
        <v>3</v>
      </c>
      <c r="K1485" s="81">
        <f ca="1">IFERROR(__xludf.DUMMYFUNCTION("""COMPUTED_VALUE"""),103.2)</f>
        <v>103.2</v>
      </c>
      <c r="L1485" s="81">
        <f ca="1">IFERROR(__xludf.DUMMYFUNCTION("""COMPUTED_VALUE"""),0)</f>
        <v>0</v>
      </c>
      <c r="M1485" s="81"/>
      <c r="N1485" s="81">
        <f ca="1">IFERROR(__xludf.DUMMYFUNCTION("""COMPUTED_VALUE"""),89.5)</f>
        <v>89.5</v>
      </c>
      <c r="O1485" s="81"/>
      <c r="P1485" s="81">
        <f ca="1">IFERROR(__xludf.DUMMYFUNCTION("""COMPUTED_VALUE"""),79.7)</f>
        <v>79.7</v>
      </c>
      <c r="Q1485" s="81"/>
      <c r="R1485" s="81">
        <f ca="1">IFERROR(__xludf.DUMMYFUNCTION("""COMPUTED_VALUE"""),103.2)</f>
        <v>103.2</v>
      </c>
      <c r="S1485" s="81"/>
      <c r="T1485" s="81"/>
      <c r="U1485" s="82"/>
      <c r="V1485" s="82"/>
      <c r="W1485" s="83"/>
      <c r="X1485" s="83"/>
      <c r="Y1485" s="83"/>
    </row>
    <row r="1486" spans="1:25" ht="13.8">
      <c r="A1486" s="78" t="str">
        <f ca="1">IFERROR(__xludf.DUMMYFUNCTION("""COMPUTED_VALUE"""),"OAK")</f>
        <v>OAK</v>
      </c>
      <c r="B1486" s="79" t="str">
        <f ca="1">IFERROR(__xludf.DUMMYFUNCTION("""COMPUTED_VALUE"""),"Elise Doe")</f>
        <v>Elise Doe</v>
      </c>
      <c r="C1486" s="78">
        <f ca="1">IFERROR(__xludf.DUMMYFUNCTION("""COMPUTED_VALUE"""),16)</f>
        <v>16</v>
      </c>
      <c r="D1486" s="78" t="str">
        <f ca="1">IFERROR(__xludf.DUMMYFUNCTION("""COMPUTED_VALUE"""),"G")</f>
        <v>G</v>
      </c>
      <c r="E1486" s="80" t="str">
        <f ca="1">IFERROR(__xludf.DUMMYFUNCTION("""COMPUTED_VALUE"""),"S")</f>
        <v>S</v>
      </c>
      <c r="F1486" s="80" t="str">
        <f ca="1">IFERROR(__xludf.DUMMYFUNCTION("""COMPUTED_VALUE"""),"S")</f>
        <v>S</v>
      </c>
      <c r="G1486" s="80">
        <f ca="1">IFERROR(__xludf.DUMMYFUNCTION("""COMPUTED_VALUE"""),2)</f>
        <v>2</v>
      </c>
      <c r="H1486" s="80" t="str">
        <f ca="1">IFERROR(__xludf.DUMMYFUNCTION("""COMPUTED_VALUE"""),"OAK")</f>
        <v>OAK</v>
      </c>
      <c r="I1486" s="80">
        <f ca="1">IFERROR(__xludf.DUMMYFUNCTION("""COMPUTED_VALUE"""),8)</f>
        <v>8</v>
      </c>
      <c r="J1486" s="81">
        <f ca="1">IFERROR(__xludf.DUMMYFUNCTION("""COMPUTED_VALUE"""),4)</f>
        <v>4</v>
      </c>
      <c r="K1486" s="81">
        <f ca="1">IFERROR(__xludf.DUMMYFUNCTION("""COMPUTED_VALUE"""),173.7)</f>
        <v>173.7</v>
      </c>
      <c r="L1486" s="81">
        <f ca="1">IFERROR(__xludf.DUMMYFUNCTION("""COMPUTED_VALUE"""),0)</f>
        <v>0</v>
      </c>
      <c r="M1486" s="81"/>
      <c r="N1486" s="81">
        <f ca="1">IFERROR(__xludf.DUMMYFUNCTION("""COMPUTED_VALUE"""),136.45)</f>
        <v>136.44999999999999</v>
      </c>
      <c r="O1486" s="81"/>
      <c r="P1486" s="81">
        <f ca="1">IFERROR(__xludf.DUMMYFUNCTION("""COMPUTED_VALUE"""),150.2)</f>
        <v>150.19999999999999</v>
      </c>
      <c r="Q1486" s="81"/>
      <c r="R1486" s="81">
        <f ca="1">IFERROR(__xludf.DUMMYFUNCTION("""COMPUTED_VALUE"""),173.7)</f>
        <v>173.7</v>
      </c>
      <c r="S1486" s="81"/>
      <c r="T1486" s="81"/>
      <c r="U1486" s="82"/>
      <c r="V1486" s="82"/>
      <c r="W1486" s="83"/>
      <c r="X1486" s="83"/>
      <c r="Y1486" s="83"/>
    </row>
    <row r="1487" spans="1:25" ht="13.8">
      <c r="A1487" s="78" t="str">
        <f ca="1">IFERROR(__xludf.DUMMYFUNCTION("""COMPUTED_VALUE"""),"OAK")</f>
        <v>OAK</v>
      </c>
      <c r="B1487" s="79" t="str">
        <f ca="1">IFERROR(__xludf.DUMMYFUNCTION("""COMPUTED_VALUE"""),"Molly Kenefick")</f>
        <v>Molly Kenefick</v>
      </c>
      <c r="C1487" s="78">
        <f ca="1">IFERROR(__xludf.DUMMYFUNCTION("""COMPUTED_VALUE"""),17)</f>
        <v>17</v>
      </c>
      <c r="D1487" s="78" t="str">
        <f ca="1">IFERROR(__xludf.DUMMYFUNCTION("""COMPUTED_VALUE"""),"G")</f>
        <v>G</v>
      </c>
      <c r="E1487" s="80" t="str">
        <f ca="1">IFERROR(__xludf.DUMMYFUNCTION("""COMPUTED_VALUE"""),"S")</f>
        <v>S</v>
      </c>
      <c r="F1487" s="80" t="str">
        <f ca="1">IFERROR(__xludf.DUMMYFUNCTION("""COMPUTED_VALUE"""),"S")</f>
        <v>S</v>
      </c>
      <c r="G1487" s="80">
        <f ca="1">IFERROR(__xludf.DUMMYFUNCTION("""COMPUTED_VALUE"""),2)</f>
        <v>2</v>
      </c>
      <c r="H1487" s="80" t="str">
        <f ca="1">IFERROR(__xludf.DUMMYFUNCTION("""COMPUTED_VALUE"""),"OAK")</f>
        <v>OAK</v>
      </c>
      <c r="I1487" s="80">
        <f ca="1">IFERROR(__xludf.DUMMYFUNCTION("""COMPUTED_VALUE"""),8)</f>
        <v>8</v>
      </c>
      <c r="J1487" s="81">
        <f ca="1">IFERROR(__xludf.DUMMYFUNCTION("""COMPUTED_VALUE"""),0)</f>
        <v>0</v>
      </c>
      <c r="K1487" s="81">
        <f ca="1">IFERROR(__xludf.DUMMYFUNCTION("""COMPUTED_VALUE"""),0)</f>
        <v>0</v>
      </c>
      <c r="L1487" s="81">
        <f ca="1">IFERROR(__xludf.DUMMYFUNCTION("""COMPUTED_VALUE"""),0)</f>
        <v>0</v>
      </c>
      <c r="M1487" s="81"/>
      <c r="N1487" s="81">
        <f ca="1">IFERROR(__xludf.DUMMYFUNCTION("""COMPUTED_VALUE"""),0)</f>
        <v>0</v>
      </c>
      <c r="O1487" s="81"/>
      <c r="P1487" s="81">
        <f ca="1">IFERROR(__xludf.DUMMYFUNCTION("""COMPUTED_VALUE"""),0)</f>
        <v>0</v>
      </c>
      <c r="Q1487" s="81"/>
      <c r="R1487" s="81">
        <f ca="1">IFERROR(__xludf.DUMMYFUNCTION("""COMPUTED_VALUE"""),0)</f>
        <v>0</v>
      </c>
      <c r="S1487" s="81"/>
      <c r="T1487" s="81"/>
      <c r="U1487" s="82"/>
      <c r="V1487" s="82"/>
      <c r="W1487" s="83"/>
      <c r="X1487" s="83"/>
      <c r="Y1487" s="83"/>
    </row>
    <row r="1488" spans="1:25" ht="13.8">
      <c r="A1488" s="78" t="str">
        <f ca="1">IFERROR(__xludf.DUMMYFUNCTION("""COMPUTED_VALUE"""),"OAK")</f>
        <v>OAK</v>
      </c>
      <c r="B1488" s="79" t="str">
        <f ca="1">IFERROR(__xludf.DUMMYFUNCTION("""COMPUTED_VALUE"""),"Claire Newberry")</f>
        <v>Claire Newberry</v>
      </c>
      <c r="C1488" s="78">
        <f ca="1">IFERROR(__xludf.DUMMYFUNCTION("""COMPUTED_VALUE"""),17)</f>
        <v>17</v>
      </c>
      <c r="D1488" s="78" t="str">
        <f ca="1">IFERROR(__xludf.DUMMYFUNCTION("""COMPUTED_VALUE"""),"G")</f>
        <v>G</v>
      </c>
      <c r="E1488" s="80" t="str">
        <f ca="1">IFERROR(__xludf.DUMMYFUNCTION("""COMPUTED_VALUE"""),"S")</f>
        <v>S</v>
      </c>
      <c r="F1488" s="80" t="str">
        <f ca="1">IFERROR(__xludf.DUMMYFUNCTION("""COMPUTED_VALUE"""),"S")</f>
        <v>S</v>
      </c>
      <c r="G1488" s="80">
        <f ca="1">IFERROR(__xludf.DUMMYFUNCTION("""COMPUTED_VALUE"""),2)</f>
        <v>2</v>
      </c>
      <c r="H1488" s="80" t="str">
        <f ca="1">IFERROR(__xludf.DUMMYFUNCTION("""COMPUTED_VALUE"""),"OAK")</f>
        <v>OAK</v>
      </c>
      <c r="I1488" s="80">
        <f ca="1">IFERROR(__xludf.DUMMYFUNCTION("""COMPUTED_VALUE"""),8)</f>
        <v>8</v>
      </c>
      <c r="J1488" s="81">
        <f ca="1">IFERROR(__xludf.DUMMYFUNCTION("""COMPUTED_VALUE"""),4)</f>
        <v>4</v>
      </c>
      <c r="K1488" s="81">
        <f ca="1">IFERROR(__xludf.DUMMYFUNCTION("""COMPUTED_VALUE"""),150.9)</f>
        <v>150.9</v>
      </c>
      <c r="L1488" s="81">
        <f ca="1">IFERROR(__xludf.DUMMYFUNCTION("""COMPUTED_VALUE"""),0)</f>
        <v>0</v>
      </c>
      <c r="M1488" s="81"/>
      <c r="N1488" s="81">
        <f ca="1">IFERROR(__xludf.DUMMYFUNCTION("""COMPUTED_VALUE"""),148.4)</f>
        <v>148.4</v>
      </c>
      <c r="O1488" s="81"/>
      <c r="P1488" s="81">
        <f ca="1">IFERROR(__xludf.DUMMYFUNCTION("""COMPUTED_VALUE"""),145.5)</f>
        <v>145.5</v>
      </c>
      <c r="Q1488" s="81"/>
      <c r="R1488" s="81">
        <f ca="1">IFERROR(__xludf.DUMMYFUNCTION("""COMPUTED_VALUE"""),150.9)</f>
        <v>150.9</v>
      </c>
      <c r="S1488" s="81"/>
      <c r="T1488" s="81"/>
      <c r="U1488" s="82"/>
      <c r="V1488" s="82"/>
      <c r="W1488" s="83"/>
      <c r="X1488" s="83"/>
      <c r="Y1488" s="83"/>
    </row>
    <row r="1489" spans="1:25" ht="13.8">
      <c r="A1489" s="78" t="str">
        <f ca="1">IFERROR(__xludf.DUMMYFUNCTION("""COMPUTED_VALUE"""),"OAK")</f>
        <v>OAK</v>
      </c>
      <c r="B1489" s="79" t="str">
        <f ca="1">IFERROR(__xludf.DUMMYFUNCTION("""COMPUTED_VALUE"""),"Katie Vaughan")</f>
        <v>Katie Vaughan</v>
      </c>
      <c r="C1489" s="78">
        <f ca="1">IFERROR(__xludf.DUMMYFUNCTION("""COMPUTED_VALUE"""),15)</f>
        <v>15</v>
      </c>
      <c r="D1489" s="78" t="str">
        <f ca="1">IFERROR(__xludf.DUMMYFUNCTION("""COMPUTED_VALUE"""),"G")</f>
        <v>G</v>
      </c>
      <c r="E1489" s="80" t="str">
        <f ca="1">IFERROR(__xludf.DUMMYFUNCTION("""COMPUTED_VALUE"""),"S")</f>
        <v>S</v>
      </c>
      <c r="F1489" s="80" t="str">
        <f ca="1">IFERROR(__xludf.DUMMYFUNCTION("""COMPUTED_VALUE"""),"S")</f>
        <v>S</v>
      </c>
      <c r="G1489" s="80">
        <f ca="1">IFERROR(__xludf.DUMMYFUNCTION("""COMPUTED_VALUE"""),2)</f>
        <v>2</v>
      </c>
      <c r="H1489" s="80" t="str">
        <f ca="1">IFERROR(__xludf.DUMMYFUNCTION("""COMPUTED_VALUE"""),"OAK")</f>
        <v>OAK</v>
      </c>
      <c r="I1489" s="80">
        <f ca="1">IFERROR(__xludf.DUMMYFUNCTION("""COMPUTED_VALUE"""),8)</f>
        <v>8</v>
      </c>
      <c r="J1489" s="81">
        <f ca="1">IFERROR(__xludf.DUMMYFUNCTION("""COMPUTED_VALUE"""),5)</f>
        <v>5</v>
      </c>
      <c r="K1489" s="81">
        <f ca="1">IFERROR(__xludf.DUMMYFUNCTION("""COMPUTED_VALUE"""),182.5)</f>
        <v>182.5</v>
      </c>
      <c r="L1489" s="81">
        <f ca="1">IFERROR(__xludf.DUMMYFUNCTION("""COMPUTED_VALUE"""),182.5)</f>
        <v>182.5</v>
      </c>
      <c r="M1489" s="81"/>
      <c r="N1489" s="81">
        <f ca="1">IFERROR(__xludf.DUMMYFUNCTION("""COMPUTED_VALUE"""),177.9)</f>
        <v>177.9</v>
      </c>
      <c r="O1489" s="81"/>
      <c r="P1489" s="81">
        <f ca="1">IFERROR(__xludf.DUMMYFUNCTION("""COMPUTED_VALUE"""),176.5)</f>
        <v>176.5</v>
      </c>
      <c r="Q1489" s="81"/>
      <c r="R1489" s="81">
        <f ca="1">IFERROR(__xludf.DUMMYFUNCTION("""COMPUTED_VALUE"""),180.75)</f>
        <v>180.75</v>
      </c>
      <c r="S1489" s="81"/>
      <c r="T1489" s="81"/>
      <c r="U1489" s="82"/>
      <c r="V1489" s="82"/>
      <c r="W1489" s="83"/>
      <c r="X1489" s="83"/>
      <c r="Y1489" s="83"/>
    </row>
    <row r="1490" spans="1:25" ht="13.8">
      <c r="A1490" s="78" t="str">
        <f ca="1">IFERROR(__xludf.DUMMYFUNCTION("""COMPUTED_VALUE"""),"OAK")</f>
        <v>OAK</v>
      </c>
      <c r="B1490" s="79" t="str">
        <f ca="1">IFERROR(__xludf.DUMMYFUNCTION("""COMPUTED_VALUE"""),"Sophie Whang")</f>
        <v>Sophie Whang</v>
      </c>
      <c r="C1490" s="78">
        <f ca="1">IFERROR(__xludf.DUMMYFUNCTION("""COMPUTED_VALUE"""),16)</f>
        <v>16</v>
      </c>
      <c r="D1490" s="78" t="str">
        <f ca="1">IFERROR(__xludf.DUMMYFUNCTION("""COMPUTED_VALUE"""),"G")</f>
        <v>G</v>
      </c>
      <c r="E1490" s="80" t="str">
        <f ca="1">IFERROR(__xludf.DUMMYFUNCTION("""COMPUTED_VALUE"""),"S")</f>
        <v>S</v>
      </c>
      <c r="F1490" s="80" t="str">
        <f ca="1">IFERROR(__xludf.DUMMYFUNCTION("""COMPUTED_VALUE"""),"S")</f>
        <v>S</v>
      </c>
      <c r="G1490" s="80">
        <f ca="1">IFERROR(__xludf.DUMMYFUNCTION("""COMPUTED_VALUE"""),2)</f>
        <v>2</v>
      </c>
      <c r="H1490" s="80" t="str">
        <f ca="1">IFERROR(__xludf.DUMMYFUNCTION("""COMPUTED_VALUE"""),"OAK")</f>
        <v>OAK</v>
      </c>
      <c r="I1490" s="80">
        <f ca="1">IFERROR(__xludf.DUMMYFUNCTION("""COMPUTED_VALUE"""),8)</f>
        <v>8</v>
      </c>
      <c r="J1490" s="81">
        <f ca="1">IFERROR(__xludf.DUMMYFUNCTION("""COMPUTED_VALUE"""),4)</f>
        <v>4</v>
      </c>
      <c r="K1490" s="81">
        <f ca="1">IFERROR(__xludf.DUMMYFUNCTION("""COMPUTED_VALUE"""),183.75)</f>
        <v>183.75</v>
      </c>
      <c r="L1490" s="81">
        <f ca="1">IFERROR(__xludf.DUMMYFUNCTION("""COMPUTED_VALUE"""),161.65)</f>
        <v>161.65</v>
      </c>
      <c r="M1490" s="81"/>
      <c r="N1490" s="81">
        <f ca="1">IFERROR(__xludf.DUMMYFUNCTION("""COMPUTED_VALUE"""),163.75)</f>
        <v>163.75</v>
      </c>
      <c r="O1490" s="81"/>
      <c r="P1490" s="81">
        <f ca="1">IFERROR(__xludf.DUMMYFUNCTION("""COMPUTED_VALUE"""),0)</f>
        <v>0</v>
      </c>
      <c r="Q1490" s="81"/>
      <c r="R1490" s="81">
        <f ca="1">IFERROR(__xludf.DUMMYFUNCTION("""COMPUTED_VALUE"""),183.75)</f>
        <v>183.75</v>
      </c>
      <c r="S1490" s="81"/>
      <c r="T1490" s="81"/>
      <c r="U1490" s="82"/>
      <c r="V1490" s="82"/>
      <c r="W1490" s="83"/>
      <c r="X1490" s="83"/>
      <c r="Y1490" s="83"/>
    </row>
    <row r="1491" spans="1:25" ht="13.8">
      <c r="A1491" s="78" t="str">
        <f ca="1">IFERROR(__xludf.DUMMYFUNCTION("""COMPUTED_VALUE"""),"OAK")</f>
        <v>OAK</v>
      </c>
      <c r="B1491" s="79" t="str">
        <f ca="1">IFERROR(__xludf.DUMMYFUNCTION("""COMPUTED_VALUE"""),"Spencer Dearman")</f>
        <v>Spencer Dearman</v>
      </c>
      <c r="C1491" s="78">
        <f ca="1">IFERROR(__xludf.DUMMYFUNCTION("""COMPUTED_VALUE"""),17)</f>
        <v>17</v>
      </c>
      <c r="D1491" s="78" t="str">
        <f ca="1">IFERROR(__xludf.DUMMYFUNCTION("""COMPUTED_VALUE"""),"B")</f>
        <v>B</v>
      </c>
      <c r="E1491" s="80" t="str">
        <f ca="1">IFERROR(__xludf.DUMMYFUNCTION("""COMPUTED_VALUE"""),"S")</f>
        <v>S</v>
      </c>
      <c r="F1491" s="80" t="str">
        <f ca="1">IFERROR(__xludf.DUMMYFUNCTION("""COMPUTED_VALUE"""),"S")</f>
        <v>S</v>
      </c>
      <c r="G1491" s="80">
        <f ca="1">IFERROR(__xludf.DUMMYFUNCTION("""COMPUTED_VALUE"""),2)</f>
        <v>2</v>
      </c>
      <c r="H1491" s="80" t="str">
        <f ca="1">IFERROR(__xludf.DUMMYFUNCTION("""COMPUTED_VALUE"""),"OAK")</f>
        <v>OAK</v>
      </c>
      <c r="I1491" s="80">
        <f ca="1">IFERROR(__xludf.DUMMYFUNCTION("""COMPUTED_VALUE"""),9)</f>
        <v>9</v>
      </c>
      <c r="J1491" s="81">
        <f ca="1">IFERROR(__xludf.DUMMYFUNCTION("""COMPUTED_VALUE"""),3)</f>
        <v>3</v>
      </c>
      <c r="K1491" s="81">
        <f ca="1">IFERROR(__xludf.DUMMYFUNCTION("""COMPUTED_VALUE"""),243.75)</f>
        <v>243.75</v>
      </c>
      <c r="L1491" s="81">
        <f ca="1">IFERROR(__xludf.DUMMYFUNCTION("""COMPUTED_VALUE"""),243.75)</f>
        <v>243.75</v>
      </c>
      <c r="M1491" s="81"/>
      <c r="N1491" s="81">
        <f ca="1">IFERROR(__xludf.DUMMYFUNCTION("""COMPUTED_VALUE"""),0)</f>
        <v>0</v>
      </c>
      <c r="O1491" s="81"/>
      <c r="P1491" s="81">
        <f ca="1">IFERROR(__xludf.DUMMYFUNCTION("""COMPUTED_VALUE"""),0)</f>
        <v>0</v>
      </c>
      <c r="Q1491" s="81"/>
      <c r="R1491" s="81">
        <f ca="1">IFERROR(__xludf.DUMMYFUNCTION("""COMPUTED_VALUE"""),221.25)</f>
        <v>221.25</v>
      </c>
      <c r="S1491" s="81"/>
      <c r="T1491" s="81"/>
      <c r="U1491" s="82"/>
      <c r="V1491" s="82"/>
      <c r="W1491" s="83"/>
      <c r="X1491" s="83"/>
      <c r="Y1491" s="83"/>
    </row>
    <row r="1492" spans="1:25" ht="13.8">
      <c r="A1492" s="78" t="str">
        <f ca="1">IFERROR(__xludf.DUMMYFUNCTION("""COMPUTED_VALUE"""),"OAK")</f>
        <v>OAK</v>
      </c>
      <c r="B1492" s="79" t="str">
        <f ca="1">IFERROR(__xludf.DUMMYFUNCTION("""COMPUTED_VALUE"""),"Josh Shipley")</f>
        <v>Josh Shipley</v>
      </c>
      <c r="C1492" s="78">
        <f ca="1">IFERROR(__xludf.DUMMYFUNCTION("""COMPUTED_VALUE"""),17)</f>
        <v>17</v>
      </c>
      <c r="D1492" s="78" t="str">
        <f ca="1">IFERROR(__xludf.DUMMYFUNCTION("""COMPUTED_VALUE"""),"B")</f>
        <v>B</v>
      </c>
      <c r="E1492" s="80" t="str">
        <f ca="1">IFERROR(__xludf.DUMMYFUNCTION("""COMPUTED_VALUE"""),"S")</f>
        <v>S</v>
      </c>
      <c r="F1492" s="80" t="str">
        <f ca="1">IFERROR(__xludf.DUMMYFUNCTION("""COMPUTED_VALUE"""),"S")</f>
        <v>S</v>
      </c>
      <c r="G1492" s="80">
        <f ca="1">IFERROR(__xludf.DUMMYFUNCTION("""COMPUTED_VALUE"""),2)</f>
        <v>2</v>
      </c>
      <c r="H1492" s="80" t="str">
        <f ca="1">IFERROR(__xludf.DUMMYFUNCTION("""COMPUTED_VALUE"""),"OAK")</f>
        <v>OAK</v>
      </c>
      <c r="I1492" s="80">
        <f ca="1">IFERROR(__xludf.DUMMYFUNCTION("""COMPUTED_VALUE"""),9)</f>
        <v>9</v>
      </c>
      <c r="J1492" s="81">
        <f ca="1">IFERROR(__xludf.DUMMYFUNCTION("""COMPUTED_VALUE"""),3)</f>
        <v>3</v>
      </c>
      <c r="K1492" s="81">
        <f ca="1">IFERROR(__xludf.DUMMYFUNCTION("""COMPUTED_VALUE"""),204.5)</f>
        <v>204.5</v>
      </c>
      <c r="L1492" s="81">
        <f ca="1">IFERROR(__xludf.DUMMYFUNCTION("""COMPUTED_VALUE"""),0)</f>
        <v>0</v>
      </c>
      <c r="M1492" s="81"/>
      <c r="N1492" s="81">
        <f ca="1">IFERROR(__xludf.DUMMYFUNCTION("""COMPUTED_VALUE"""),185.9)</f>
        <v>185.9</v>
      </c>
      <c r="O1492" s="81"/>
      <c r="P1492" s="81">
        <f ca="1">IFERROR(__xludf.DUMMYFUNCTION("""COMPUTED_VALUE"""),204.5)</f>
        <v>204.5</v>
      </c>
      <c r="Q1492" s="81"/>
      <c r="R1492" s="81">
        <f ca="1">IFERROR(__xludf.DUMMYFUNCTION("""COMPUTED_VALUE"""),0)</f>
        <v>0</v>
      </c>
      <c r="S1492" s="81"/>
      <c r="T1492" s="81"/>
      <c r="U1492" s="82"/>
      <c r="V1492" s="82"/>
      <c r="W1492" s="83"/>
      <c r="X1492" s="83"/>
      <c r="Y1492" s="83"/>
    </row>
    <row r="1493" spans="1:25" ht="13.8">
      <c r="A1493" s="78" t="str">
        <f ca="1">IFERROR(__xludf.DUMMYFUNCTION("""COMPUTED_VALUE"""),"OAK")</f>
        <v>OAK</v>
      </c>
      <c r="B1493" s="79" t="str">
        <f ca="1">IFERROR(__xludf.DUMMYFUNCTION("""COMPUTED_VALUE"""),"Nico Shuster")</f>
        <v>Nico Shuster</v>
      </c>
      <c r="C1493" s="78">
        <f ca="1">IFERROR(__xludf.DUMMYFUNCTION("""COMPUTED_VALUE"""),16)</f>
        <v>16</v>
      </c>
      <c r="D1493" s="78" t="str">
        <f ca="1">IFERROR(__xludf.DUMMYFUNCTION("""COMPUTED_VALUE"""),"B")</f>
        <v>B</v>
      </c>
      <c r="E1493" s="80" t="str">
        <f ca="1">IFERROR(__xludf.DUMMYFUNCTION("""COMPUTED_VALUE"""),"S")</f>
        <v>S</v>
      </c>
      <c r="F1493" s="80" t="str">
        <f ca="1">IFERROR(__xludf.DUMMYFUNCTION("""COMPUTED_VALUE"""),"S")</f>
        <v>S</v>
      </c>
      <c r="G1493" s="80">
        <f ca="1">IFERROR(__xludf.DUMMYFUNCTION("""COMPUTED_VALUE"""),2)</f>
        <v>2</v>
      </c>
      <c r="H1493" s="80" t="str">
        <f ca="1">IFERROR(__xludf.DUMMYFUNCTION("""COMPUTED_VALUE"""),"OAK")</f>
        <v>OAK</v>
      </c>
      <c r="I1493" s="80">
        <f ca="1">IFERROR(__xludf.DUMMYFUNCTION("""COMPUTED_VALUE"""),9)</f>
        <v>9</v>
      </c>
      <c r="J1493" s="81">
        <f ca="1">IFERROR(__xludf.DUMMYFUNCTION("""COMPUTED_VALUE"""),4)</f>
        <v>4</v>
      </c>
      <c r="K1493" s="81">
        <f ca="1">IFERROR(__xludf.DUMMYFUNCTION("""COMPUTED_VALUE"""),172.65)</f>
        <v>172.65</v>
      </c>
      <c r="L1493" s="81">
        <f ca="1">IFERROR(__xludf.DUMMYFUNCTION("""COMPUTED_VALUE"""),172.65)</f>
        <v>172.65</v>
      </c>
      <c r="M1493" s="81"/>
      <c r="N1493" s="81">
        <f ca="1">IFERROR(__xludf.DUMMYFUNCTION("""COMPUTED_VALUE"""),0)</f>
        <v>0</v>
      </c>
      <c r="O1493" s="81"/>
      <c r="P1493" s="81">
        <f ca="1">IFERROR(__xludf.DUMMYFUNCTION("""COMPUTED_VALUE"""),168.8)</f>
        <v>168.8</v>
      </c>
      <c r="Q1493" s="81"/>
      <c r="R1493" s="81">
        <f ca="1">IFERROR(__xludf.DUMMYFUNCTION("""COMPUTED_VALUE"""),165.35)</f>
        <v>165.35</v>
      </c>
      <c r="S1493" s="81"/>
      <c r="T1493" s="81"/>
      <c r="U1493" s="82"/>
      <c r="V1493" s="82"/>
      <c r="W1493" s="83"/>
      <c r="X1493" s="83"/>
      <c r="Y1493" s="83"/>
    </row>
    <row r="1494" spans="1:25" ht="13.8">
      <c r="A1494" s="78" t="str">
        <f ca="1">IFERROR(__xludf.DUMMYFUNCTION("""COMPUTED_VALUE"""),"OAK")</f>
        <v>OAK</v>
      </c>
      <c r="B1494" s="79" t="str">
        <f ca="1">IFERROR(__xludf.DUMMYFUNCTION("""COMPUTED_VALUE"""),"Blaise Wuest")</f>
        <v>Blaise Wuest</v>
      </c>
      <c r="C1494" s="78">
        <f ca="1">IFERROR(__xludf.DUMMYFUNCTION("""COMPUTED_VALUE"""),17)</f>
        <v>17</v>
      </c>
      <c r="D1494" s="78" t="str">
        <f ca="1">IFERROR(__xludf.DUMMYFUNCTION("""COMPUTED_VALUE"""),"B")</f>
        <v>B</v>
      </c>
      <c r="E1494" s="80" t="str">
        <f ca="1">IFERROR(__xludf.DUMMYFUNCTION("""COMPUTED_VALUE"""),"S")</f>
        <v>S</v>
      </c>
      <c r="F1494" s="80" t="str">
        <f ca="1">IFERROR(__xludf.DUMMYFUNCTION("""COMPUTED_VALUE"""),"S")</f>
        <v>S</v>
      </c>
      <c r="G1494" s="80">
        <f ca="1">IFERROR(__xludf.DUMMYFUNCTION("""COMPUTED_VALUE"""),2)</f>
        <v>2</v>
      </c>
      <c r="H1494" s="80" t="str">
        <f ca="1">IFERROR(__xludf.DUMMYFUNCTION("""COMPUTED_VALUE"""),"OAK")</f>
        <v>OAK</v>
      </c>
      <c r="I1494" s="80">
        <f ca="1">IFERROR(__xludf.DUMMYFUNCTION("""COMPUTED_VALUE"""),9)</f>
        <v>9</v>
      </c>
      <c r="J1494" s="81">
        <f ca="1">IFERROR(__xludf.DUMMYFUNCTION("""COMPUTED_VALUE"""),5)</f>
        <v>5</v>
      </c>
      <c r="K1494" s="81">
        <f ca="1">IFERROR(__xludf.DUMMYFUNCTION("""COMPUTED_VALUE"""),171.57)</f>
        <v>171.57</v>
      </c>
      <c r="L1494" s="81">
        <f ca="1">IFERROR(__xludf.DUMMYFUNCTION("""COMPUTED_VALUE"""),171.57)</f>
        <v>171.57</v>
      </c>
      <c r="M1494" s="81"/>
      <c r="N1494" s="81">
        <f ca="1">IFERROR(__xludf.DUMMYFUNCTION("""COMPUTED_VALUE"""),158.9)</f>
        <v>158.9</v>
      </c>
      <c r="O1494" s="81"/>
      <c r="P1494" s="81">
        <f ca="1">IFERROR(__xludf.DUMMYFUNCTION("""COMPUTED_VALUE"""),161.95)</f>
        <v>161.94999999999999</v>
      </c>
      <c r="Q1494" s="81"/>
      <c r="R1494" s="81">
        <f ca="1">IFERROR(__xludf.DUMMYFUNCTION("""COMPUTED_VALUE"""),160.3)</f>
        <v>160.30000000000001</v>
      </c>
      <c r="S1494" s="81"/>
      <c r="T1494" s="81"/>
      <c r="U1494" s="82"/>
      <c r="V1494" s="82"/>
      <c r="W1494" s="83"/>
      <c r="X1494" s="83"/>
      <c r="Y1494" s="83"/>
    </row>
    <row r="1495" spans="1:25" ht="13.8">
      <c r="A1495" s="78" t="str">
        <f ca="1">IFERROR(__xludf.DUMMYFUNCTION("""COMPUTED_VALUE"""),"OH")</f>
        <v>OH</v>
      </c>
      <c r="B1495" s="79" t="str">
        <f ca="1">IFERROR(__xludf.DUMMYFUNCTION("""COMPUTED_VALUE"""),"Sarcha Bain")</f>
        <v>Sarcha Bain</v>
      </c>
      <c r="C1495" s="78">
        <f ca="1">IFERROR(__xludf.DUMMYFUNCTION("""COMPUTED_VALUE"""),7)</f>
        <v>7</v>
      </c>
      <c r="D1495" s="78" t="str">
        <f ca="1">IFERROR(__xludf.DUMMYFUNCTION("""COMPUTED_VALUE"""),"G")</f>
        <v>G</v>
      </c>
      <c r="E1495" s="80" t="str">
        <f ca="1">IFERROR(__xludf.DUMMYFUNCTION("""COMPUTED_VALUE"""),"F")</f>
        <v>F</v>
      </c>
      <c r="F1495" s="80" t="str">
        <f ca="1">IFERROR(__xludf.DUMMYFUNCTION("""COMPUTED_VALUE"""),"J")</f>
        <v>J</v>
      </c>
      <c r="G1495" s="80">
        <f ca="1">IFERROR(__xludf.DUMMYFUNCTION("""COMPUTED_VALUE"""),6)</f>
        <v>6</v>
      </c>
      <c r="H1495" s="80" t="str">
        <f ca="1">IFERROR(__xludf.DUMMYFUNCTION("""COMPUTED_VALUE"""),"OH")</f>
        <v>OH</v>
      </c>
      <c r="I1495" s="80">
        <f ca="1">IFERROR(__xludf.DUMMYFUNCTION("""COMPUTED_VALUE"""),2)</f>
        <v>2</v>
      </c>
      <c r="J1495" s="81">
        <f ca="1">IFERROR(__xludf.DUMMYFUNCTION("""COMPUTED_VALUE"""),2)</f>
        <v>2</v>
      </c>
      <c r="K1495" s="81">
        <f ca="1">IFERROR(__xludf.DUMMYFUNCTION("""COMPUTED_VALUE"""),10.75)</f>
        <v>10.75</v>
      </c>
      <c r="L1495" s="81">
        <f ca="1">IFERROR(__xludf.DUMMYFUNCTION("""COMPUTED_VALUE"""),9.5)</f>
        <v>9.5</v>
      </c>
      <c r="M1495" s="81"/>
      <c r="N1495" s="81">
        <f ca="1">IFERROR(__xludf.DUMMYFUNCTION("""COMPUTED_VALUE"""),10.75)</f>
        <v>10.75</v>
      </c>
      <c r="O1495" s="81"/>
      <c r="P1495" s="81">
        <f ca="1">IFERROR(__xludf.DUMMYFUNCTION("""COMPUTED_VALUE"""),0)</f>
        <v>0</v>
      </c>
      <c r="Q1495" s="81"/>
      <c r="R1495" s="81">
        <f ca="1">IFERROR(__xludf.DUMMYFUNCTION("""COMPUTED_VALUE"""),0)</f>
        <v>0</v>
      </c>
      <c r="S1495" s="81"/>
      <c r="T1495" s="81"/>
      <c r="U1495" s="82"/>
      <c r="V1495" s="82"/>
      <c r="W1495" s="83"/>
      <c r="X1495" s="83"/>
      <c r="Y1495" s="83"/>
    </row>
    <row r="1496" spans="1:25" ht="13.8">
      <c r="A1496" s="78" t="str">
        <f ca="1">IFERROR(__xludf.DUMMYFUNCTION("""COMPUTED_VALUE"""),"OH")</f>
        <v>OH</v>
      </c>
      <c r="B1496" s="79" t="str">
        <f ca="1">IFERROR(__xludf.DUMMYFUNCTION("""COMPUTED_VALUE"""),"Samantha Berona")</f>
        <v>Samantha Berona</v>
      </c>
      <c r="C1496" s="78">
        <f ca="1">IFERROR(__xludf.DUMMYFUNCTION("""COMPUTED_VALUE"""),6)</f>
        <v>6</v>
      </c>
      <c r="D1496" s="78" t="str">
        <f ca="1">IFERROR(__xludf.DUMMYFUNCTION("""COMPUTED_VALUE"""),"G")</f>
        <v>G</v>
      </c>
      <c r="E1496" s="80" t="str">
        <f ca="1">IFERROR(__xludf.DUMMYFUNCTION("""COMPUTED_VALUE"""),"F")</f>
        <v>F</v>
      </c>
      <c r="F1496" s="80" t="str">
        <f ca="1">IFERROR(__xludf.DUMMYFUNCTION("""COMPUTED_VALUE"""),"J")</f>
        <v>J</v>
      </c>
      <c r="G1496" s="80">
        <f ca="1">IFERROR(__xludf.DUMMYFUNCTION("""COMPUTED_VALUE"""),6)</f>
        <v>6</v>
      </c>
      <c r="H1496" s="80" t="str">
        <f ca="1">IFERROR(__xludf.DUMMYFUNCTION("""COMPUTED_VALUE"""),"OH")</f>
        <v>OH</v>
      </c>
      <c r="I1496" s="80">
        <f ca="1">IFERROR(__xludf.DUMMYFUNCTION("""COMPUTED_VALUE"""),2)</f>
        <v>2</v>
      </c>
      <c r="J1496" s="81">
        <f ca="1">IFERROR(__xludf.DUMMYFUNCTION("""COMPUTED_VALUE"""),4)</f>
        <v>4</v>
      </c>
      <c r="K1496" s="81">
        <f ca="1">IFERROR(__xludf.DUMMYFUNCTION("""COMPUTED_VALUE"""),25.75)</f>
        <v>25.75</v>
      </c>
      <c r="L1496" s="81">
        <f ca="1">IFERROR(__xludf.DUMMYFUNCTION("""COMPUTED_VALUE"""),11)</f>
        <v>11</v>
      </c>
      <c r="M1496" s="81"/>
      <c r="N1496" s="81">
        <f ca="1">IFERROR(__xludf.DUMMYFUNCTION("""COMPUTED_VALUE"""),13)</f>
        <v>13</v>
      </c>
      <c r="O1496" s="81"/>
      <c r="P1496" s="81">
        <f ca="1">IFERROR(__xludf.DUMMYFUNCTION("""COMPUTED_VALUE"""),0)</f>
        <v>0</v>
      </c>
      <c r="Q1496" s="81"/>
      <c r="R1496" s="81">
        <f ca="1">IFERROR(__xludf.DUMMYFUNCTION("""COMPUTED_VALUE"""),25.75)</f>
        <v>25.75</v>
      </c>
      <c r="S1496" s="81"/>
      <c r="T1496" s="81"/>
      <c r="U1496" s="82"/>
      <c r="V1496" s="82"/>
      <c r="W1496" s="83"/>
      <c r="X1496" s="83"/>
      <c r="Y1496" s="83"/>
    </row>
    <row r="1497" spans="1:25" ht="13.8">
      <c r="A1497" s="78" t="str">
        <f ca="1">IFERROR(__xludf.DUMMYFUNCTION("""COMPUTED_VALUE"""),"OH")</f>
        <v>OH</v>
      </c>
      <c r="B1497" s="79" t="str">
        <f ca="1">IFERROR(__xludf.DUMMYFUNCTION("""COMPUTED_VALUE"""),"Kiera Carpenter")</f>
        <v>Kiera Carpenter</v>
      </c>
      <c r="C1497" s="78">
        <f ca="1">IFERROR(__xludf.DUMMYFUNCTION("""COMPUTED_VALUE"""),7)</f>
        <v>7</v>
      </c>
      <c r="D1497" s="78" t="str">
        <f ca="1">IFERROR(__xludf.DUMMYFUNCTION("""COMPUTED_VALUE"""),"G")</f>
        <v>G</v>
      </c>
      <c r="E1497" s="80" t="str">
        <f ca="1">IFERROR(__xludf.DUMMYFUNCTION("""COMPUTED_VALUE"""),"F")</f>
        <v>F</v>
      </c>
      <c r="F1497" s="80" t="str">
        <f ca="1">IFERROR(__xludf.DUMMYFUNCTION("""COMPUTED_VALUE"""),"J")</f>
        <v>J</v>
      </c>
      <c r="G1497" s="80">
        <f ca="1">IFERROR(__xludf.DUMMYFUNCTION("""COMPUTED_VALUE"""),6)</f>
        <v>6</v>
      </c>
      <c r="H1497" s="80" t="str">
        <f ca="1">IFERROR(__xludf.DUMMYFUNCTION("""COMPUTED_VALUE"""),"OH")</f>
        <v>OH</v>
      </c>
      <c r="I1497" s="80">
        <f ca="1">IFERROR(__xludf.DUMMYFUNCTION("""COMPUTED_VALUE"""),2)</f>
        <v>2</v>
      </c>
      <c r="J1497" s="81">
        <f ca="1">IFERROR(__xludf.DUMMYFUNCTION("""COMPUTED_VALUE"""),5)</f>
        <v>5</v>
      </c>
      <c r="K1497" s="81">
        <f ca="1">IFERROR(__xludf.DUMMYFUNCTION("""COMPUTED_VALUE"""),31.4)</f>
        <v>31.4</v>
      </c>
      <c r="L1497" s="81">
        <f ca="1">IFERROR(__xludf.DUMMYFUNCTION("""COMPUTED_VALUE"""),11.25)</f>
        <v>11.25</v>
      </c>
      <c r="M1497" s="81"/>
      <c r="N1497" s="81">
        <f ca="1">IFERROR(__xludf.DUMMYFUNCTION("""COMPUTED_VALUE"""),15.1)</f>
        <v>15.1</v>
      </c>
      <c r="O1497" s="81"/>
      <c r="P1497" s="81">
        <f ca="1">IFERROR(__xludf.DUMMYFUNCTION("""COMPUTED_VALUE"""),31.4)</f>
        <v>31.4</v>
      </c>
      <c r="Q1497" s="81"/>
      <c r="R1497" s="81">
        <f ca="1">IFERROR(__xludf.DUMMYFUNCTION("""COMPUTED_VALUE"""),28.4)</f>
        <v>28.4</v>
      </c>
      <c r="S1497" s="81"/>
      <c r="T1497" s="81"/>
      <c r="U1497" s="82"/>
      <c r="V1497" s="82"/>
      <c r="W1497" s="83"/>
      <c r="X1497" s="83"/>
      <c r="Y1497" s="83"/>
    </row>
    <row r="1498" spans="1:25" ht="13.8">
      <c r="A1498" s="78" t="str">
        <f ca="1">IFERROR(__xludf.DUMMYFUNCTION("""COMPUTED_VALUE"""),"OH")</f>
        <v>OH</v>
      </c>
      <c r="B1498" s="79" t="str">
        <f ca="1">IFERROR(__xludf.DUMMYFUNCTION("""COMPUTED_VALUE"""),"Kyra Drobnis")</f>
        <v>Kyra Drobnis</v>
      </c>
      <c r="C1498" s="78">
        <f ca="1">IFERROR(__xludf.DUMMYFUNCTION("""COMPUTED_VALUE"""),8)</f>
        <v>8</v>
      </c>
      <c r="D1498" s="78" t="str">
        <f ca="1">IFERROR(__xludf.DUMMYFUNCTION("""COMPUTED_VALUE"""),"G")</f>
        <v>G</v>
      </c>
      <c r="E1498" s="80" t="str">
        <f ca="1">IFERROR(__xludf.DUMMYFUNCTION("""COMPUTED_VALUE"""),"F")</f>
        <v>F</v>
      </c>
      <c r="F1498" s="80" t="str">
        <f ca="1">IFERROR(__xludf.DUMMYFUNCTION("""COMPUTED_VALUE"""),"J")</f>
        <v>J</v>
      </c>
      <c r="G1498" s="80">
        <f ca="1">IFERROR(__xludf.DUMMYFUNCTION("""COMPUTED_VALUE"""),6)</f>
        <v>6</v>
      </c>
      <c r="H1498" s="80" t="str">
        <f ca="1">IFERROR(__xludf.DUMMYFUNCTION("""COMPUTED_VALUE"""),"OH")</f>
        <v>OH</v>
      </c>
      <c r="I1498" s="80">
        <f ca="1">IFERROR(__xludf.DUMMYFUNCTION("""COMPUTED_VALUE"""),2)</f>
        <v>2</v>
      </c>
      <c r="J1498" s="81">
        <f ca="1">IFERROR(__xludf.DUMMYFUNCTION("""COMPUTED_VALUE"""),4)</f>
        <v>4</v>
      </c>
      <c r="K1498" s="81">
        <f ca="1">IFERROR(__xludf.DUMMYFUNCTION("""COMPUTED_VALUE"""),38.85)</f>
        <v>38.85</v>
      </c>
      <c r="L1498" s="81">
        <f ca="1">IFERROR(__xludf.DUMMYFUNCTION("""COMPUTED_VALUE"""),21.4)</f>
        <v>21.4</v>
      </c>
      <c r="M1498" s="81"/>
      <c r="N1498" s="81">
        <f ca="1">IFERROR(__xludf.DUMMYFUNCTION("""COMPUTED_VALUE"""),0)</f>
        <v>0</v>
      </c>
      <c r="O1498" s="81"/>
      <c r="P1498" s="81">
        <f ca="1">IFERROR(__xludf.DUMMYFUNCTION("""COMPUTED_VALUE"""),38.85)</f>
        <v>38.85</v>
      </c>
      <c r="Q1498" s="81"/>
      <c r="R1498" s="81">
        <f ca="1">IFERROR(__xludf.DUMMYFUNCTION("""COMPUTED_VALUE"""),37.8)</f>
        <v>37.799999999999997</v>
      </c>
      <c r="S1498" s="81"/>
      <c r="T1498" s="81"/>
      <c r="U1498" s="82"/>
      <c r="V1498" s="82"/>
      <c r="W1498" s="83"/>
      <c r="X1498" s="83"/>
      <c r="Y1498" s="83"/>
    </row>
    <row r="1499" spans="1:25" ht="13.8">
      <c r="A1499" s="78" t="str">
        <f ca="1">IFERROR(__xludf.DUMMYFUNCTION("""COMPUTED_VALUE"""),"OH")</f>
        <v>OH</v>
      </c>
      <c r="B1499" s="79" t="str">
        <f ca="1">IFERROR(__xludf.DUMMYFUNCTION("""COMPUTED_VALUE"""),"Roxie Griffith")</f>
        <v>Roxie Griffith</v>
      </c>
      <c r="C1499" s="78">
        <f ca="1">IFERROR(__xludf.DUMMYFUNCTION("""COMPUTED_VALUE"""),10)</f>
        <v>10</v>
      </c>
      <c r="D1499" s="78" t="str">
        <f ca="1">IFERROR(__xludf.DUMMYFUNCTION("""COMPUTED_VALUE"""),"G")</f>
        <v>G</v>
      </c>
      <c r="E1499" s="80" t="str">
        <f ca="1">IFERROR(__xludf.DUMMYFUNCTION("""COMPUTED_VALUE"""),"F")</f>
        <v>F</v>
      </c>
      <c r="F1499" s="80" t="str">
        <f ca="1">IFERROR(__xludf.DUMMYFUNCTION("""COMPUTED_VALUE"""),"J")</f>
        <v>J</v>
      </c>
      <c r="G1499" s="80">
        <f ca="1">IFERROR(__xludf.DUMMYFUNCTION("""COMPUTED_VALUE"""),6)</f>
        <v>6</v>
      </c>
      <c r="H1499" s="80" t="str">
        <f ca="1">IFERROR(__xludf.DUMMYFUNCTION("""COMPUTED_VALUE"""),"OH")</f>
        <v>OH</v>
      </c>
      <c r="I1499" s="80">
        <f ca="1">IFERROR(__xludf.DUMMYFUNCTION("""COMPUTED_VALUE"""),2)</f>
        <v>2</v>
      </c>
      <c r="J1499" s="81">
        <f ca="1">IFERROR(__xludf.DUMMYFUNCTION("""COMPUTED_VALUE"""),4)</f>
        <v>4</v>
      </c>
      <c r="K1499" s="81">
        <f ca="1">IFERROR(__xludf.DUMMYFUNCTION("""COMPUTED_VALUE"""),71.8)</f>
        <v>71.8</v>
      </c>
      <c r="L1499" s="81">
        <f ca="1">IFERROR(__xludf.DUMMYFUNCTION("""COMPUTED_VALUE"""),55.6)</f>
        <v>55.6</v>
      </c>
      <c r="M1499" s="81"/>
      <c r="N1499" s="81">
        <f ca="1">IFERROR(__xludf.DUMMYFUNCTION("""COMPUTED_VALUE"""),58.4)</f>
        <v>58.4</v>
      </c>
      <c r="O1499" s="81"/>
      <c r="P1499" s="81">
        <f ca="1">IFERROR(__xludf.DUMMYFUNCTION("""COMPUTED_VALUE"""),41.19)</f>
        <v>41.19</v>
      </c>
      <c r="Q1499" s="81"/>
      <c r="R1499" s="81">
        <f ca="1">IFERROR(__xludf.DUMMYFUNCTION("""COMPUTED_VALUE"""),71.8)</f>
        <v>71.8</v>
      </c>
      <c r="S1499" s="81"/>
      <c r="T1499" s="81"/>
      <c r="U1499" s="82"/>
      <c r="V1499" s="82"/>
      <c r="W1499" s="83"/>
      <c r="X1499" s="83"/>
      <c r="Y1499" s="83"/>
    </row>
    <row r="1500" spans="1:25" ht="13.8">
      <c r="A1500" s="78" t="str">
        <f ca="1">IFERROR(__xludf.DUMMYFUNCTION("""COMPUTED_VALUE"""),"OH")</f>
        <v>OH</v>
      </c>
      <c r="B1500" s="79" t="str">
        <f ca="1">IFERROR(__xludf.DUMMYFUNCTION("""COMPUTED_VALUE"""),"Gabby Heredia")</f>
        <v>Gabby Heredia</v>
      </c>
      <c r="C1500" s="78">
        <f ca="1">IFERROR(__xludf.DUMMYFUNCTION("""COMPUTED_VALUE"""),8)</f>
        <v>8</v>
      </c>
      <c r="D1500" s="78" t="str">
        <f ca="1">IFERROR(__xludf.DUMMYFUNCTION("""COMPUTED_VALUE"""),"G")</f>
        <v>G</v>
      </c>
      <c r="E1500" s="80" t="str">
        <f ca="1">IFERROR(__xludf.DUMMYFUNCTION("""COMPUTED_VALUE"""),"F")</f>
        <v>F</v>
      </c>
      <c r="F1500" s="80" t="str">
        <f ca="1">IFERROR(__xludf.DUMMYFUNCTION("""COMPUTED_VALUE"""),"J")</f>
        <v>J</v>
      </c>
      <c r="G1500" s="80">
        <f ca="1">IFERROR(__xludf.DUMMYFUNCTION("""COMPUTED_VALUE"""),6)</f>
        <v>6</v>
      </c>
      <c r="H1500" s="80" t="str">
        <f ca="1">IFERROR(__xludf.DUMMYFUNCTION("""COMPUTED_VALUE"""),"OH")</f>
        <v>OH</v>
      </c>
      <c r="I1500" s="80">
        <f ca="1">IFERROR(__xludf.DUMMYFUNCTION("""COMPUTED_VALUE"""),2)</f>
        <v>2</v>
      </c>
      <c r="J1500" s="81">
        <f ca="1">IFERROR(__xludf.DUMMYFUNCTION("""COMPUTED_VALUE"""),5)</f>
        <v>5</v>
      </c>
      <c r="K1500" s="81">
        <f ca="1">IFERROR(__xludf.DUMMYFUNCTION("""COMPUTED_VALUE"""),67.6)</f>
        <v>67.599999999999994</v>
      </c>
      <c r="L1500" s="81">
        <f ca="1">IFERROR(__xludf.DUMMYFUNCTION("""COMPUTED_VALUE"""),54.2)</f>
        <v>54.2</v>
      </c>
      <c r="M1500" s="81"/>
      <c r="N1500" s="81">
        <f ca="1">IFERROR(__xludf.DUMMYFUNCTION("""COMPUTED_VALUE"""),41.1)</f>
        <v>41.1</v>
      </c>
      <c r="O1500" s="81"/>
      <c r="P1500" s="81">
        <f ca="1">IFERROR(__xludf.DUMMYFUNCTION("""COMPUTED_VALUE"""),57.45)</f>
        <v>57.45</v>
      </c>
      <c r="Q1500" s="81"/>
      <c r="R1500" s="81">
        <f ca="1">IFERROR(__xludf.DUMMYFUNCTION("""COMPUTED_VALUE"""),67.6)</f>
        <v>67.599999999999994</v>
      </c>
      <c r="S1500" s="81"/>
      <c r="T1500" s="81"/>
      <c r="U1500" s="82"/>
      <c r="V1500" s="82"/>
      <c r="W1500" s="83"/>
      <c r="X1500" s="83"/>
      <c r="Y1500" s="83"/>
    </row>
    <row r="1501" spans="1:25" ht="13.8">
      <c r="A1501" s="78" t="str">
        <f ca="1">IFERROR(__xludf.DUMMYFUNCTION("""COMPUTED_VALUE"""),"OH")</f>
        <v>OH</v>
      </c>
      <c r="B1501" s="79" t="str">
        <f ca="1">IFERROR(__xludf.DUMMYFUNCTION("""COMPUTED_VALUE"""),"Eima Riekse")</f>
        <v>Eima Riekse</v>
      </c>
      <c r="C1501" s="78">
        <f ca="1">IFERROR(__xludf.DUMMYFUNCTION("""COMPUTED_VALUE"""),10)</f>
        <v>10</v>
      </c>
      <c r="D1501" s="78" t="str">
        <f ca="1">IFERROR(__xludf.DUMMYFUNCTION("""COMPUTED_VALUE"""),"G")</f>
        <v>G</v>
      </c>
      <c r="E1501" s="80" t="str">
        <f ca="1">IFERROR(__xludf.DUMMYFUNCTION("""COMPUTED_VALUE"""),"F")</f>
        <v>F</v>
      </c>
      <c r="F1501" s="80" t="str">
        <f ca="1">IFERROR(__xludf.DUMMYFUNCTION("""COMPUTED_VALUE"""),"J")</f>
        <v>J</v>
      </c>
      <c r="G1501" s="80">
        <f ca="1">IFERROR(__xludf.DUMMYFUNCTION("""COMPUTED_VALUE"""),6)</f>
        <v>6</v>
      </c>
      <c r="H1501" s="80" t="str">
        <f ca="1">IFERROR(__xludf.DUMMYFUNCTION("""COMPUTED_VALUE"""),"OH")</f>
        <v>OH</v>
      </c>
      <c r="I1501" s="80">
        <f ca="1">IFERROR(__xludf.DUMMYFUNCTION("""COMPUTED_VALUE"""),2)</f>
        <v>2</v>
      </c>
      <c r="J1501" s="81">
        <f ca="1">IFERROR(__xludf.DUMMYFUNCTION("""COMPUTED_VALUE"""),0)</f>
        <v>0</v>
      </c>
      <c r="K1501" s="81">
        <f ca="1">IFERROR(__xludf.DUMMYFUNCTION("""COMPUTED_VALUE"""),0)</f>
        <v>0</v>
      </c>
      <c r="L1501" s="81">
        <f ca="1">IFERROR(__xludf.DUMMYFUNCTION("""COMPUTED_VALUE"""),0)</f>
        <v>0</v>
      </c>
      <c r="M1501" s="81"/>
      <c r="N1501" s="81">
        <f ca="1">IFERROR(__xludf.DUMMYFUNCTION("""COMPUTED_VALUE"""),0)</f>
        <v>0</v>
      </c>
      <c r="O1501" s="81"/>
      <c r="P1501" s="81">
        <f ca="1">IFERROR(__xludf.DUMMYFUNCTION("""COMPUTED_VALUE"""),0)</f>
        <v>0</v>
      </c>
      <c r="Q1501" s="81"/>
      <c r="R1501" s="81">
        <f ca="1">IFERROR(__xludf.DUMMYFUNCTION("""COMPUTED_VALUE"""),0)</f>
        <v>0</v>
      </c>
      <c r="S1501" s="81"/>
      <c r="T1501" s="81"/>
      <c r="U1501" s="82"/>
      <c r="V1501" s="82"/>
      <c r="W1501" s="83"/>
      <c r="X1501" s="83"/>
      <c r="Y1501" s="83"/>
    </row>
    <row r="1502" spans="1:25" ht="13.8">
      <c r="A1502" s="78" t="str">
        <f ca="1">IFERROR(__xludf.DUMMYFUNCTION("""COMPUTED_VALUE"""),"OH")</f>
        <v>OH</v>
      </c>
      <c r="B1502" s="79" t="str">
        <f ca="1">IFERROR(__xludf.DUMMYFUNCTION("""COMPUTED_VALUE"""),"Tinsley Schneider")</f>
        <v>Tinsley Schneider</v>
      </c>
      <c r="C1502" s="78">
        <f ca="1">IFERROR(__xludf.DUMMYFUNCTION("""COMPUTED_VALUE"""),7)</f>
        <v>7</v>
      </c>
      <c r="D1502" s="78" t="str">
        <f ca="1">IFERROR(__xludf.DUMMYFUNCTION("""COMPUTED_VALUE"""),"G")</f>
        <v>G</v>
      </c>
      <c r="E1502" s="80" t="str">
        <f ca="1">IFERROR(__xludf.DUMMYFUNCTION("""COMPUTED_VALUE"""),"F")</f>
        <v>F</v>
      </c>
      <c r="F1502" s="80" t="str">
        <f ca="1">IFERROR(__xludf.DUMMYFUNCTION("""COMPUTED_VALUE"""),"J")</f>
        <v>J</v>
      </c>
      <c r="G1502" s="80">
        <f ca="1">IFERROR(__xludf.DUMMYFUNCTION("""COMPUTED_VALUE"""),6)</f>
        <v>6</v>
      </c>
      <c r="H1502" s="80" t="str">
        <f ca="1">IFERROR(__xludf.DUMMYFUNCTION("""COMPUTED_VALUE"""),"OH")</f>
        <v>OH</v>
      </c>
      <c r="I1502" s="80">
        <f ca="1">IFERROR(__xludf.DUMMYFUNCTION("""COMPUTED_VALUE"""),2)</f>
        <v>2</v>
      </c>
      <c r="J1502" s="81">
        <f ca="1">IFERROR(__xludf.DUMMYFUNCTION("""COMPUTED_VALUE"""),1)</f>
        <v>1</v>
      </c>
      <c r="K1502" s="81">
        <f ca="1">IFERROR(__xludf.DUMMYFUNCTION("""COMPUTED_VALUE"""),0)</f>
        <v>0</v>
      </c>
      <c r="L1502" s="81">
        <f ca="1">IFERROR(__xludf.DUMMYFUNCTION("""COMPUTED_VALUE"""),0)</f>
        <v>0</v>
      </c>
      <c r="M1502" s="81"/>
      <c r="N1502" s="81">
        <f ca="1">IFERROR(__xludf.DUMMYFUNCTION("""COMPUTED_VALUE"""),0)</f>
        <v>0</v>
      </c>
      <c r="O1502" s="81"/>
      <c r="P1502" s="81">
        <f ca="1">IFERROR(__xludf.DUMMYFUNCTION("""COMPUTED_VALUE"""),0)</f>
        <v>0</v>
      </c>
      <c r="Q1502" s="81"/>
      <c r="R1502" s="81">
        <f ca="1">IFERROR(__xludf.DUMMYFUNCTION("""COMPUTED_VALUE"""),0)</f>
        <v>0</v>
      </c>
      <c r="S1502" s="81"/>
      <c r="T1502" s="81"/>
      <c r="U1502" s="82"/>
      <c r="V1502" s="82"/>
      <c r="W1502" s="83"/>
      <c r="X1502" s="83"/>
      <c r="Y1502" s="83"/>
    </row>
    <row r="1503" spans="1:25" ht="13.8">
      <c r="A1503" s="78" t="str">
        <f ca="1">IFERROR(__xludf.DUMMYFUNCTION("""COMPUTED_VALUE"""),"OH")</f>
        <v>OH</v>
      </c>
      <c r="B1503" s="79" t="str">
        <f ca="1">IFERROR(__xludf.DUMMYFUNCTION("""COMPUTED_VALUE"""),"Andrew Barber")</f>
        <v>Andrew Barber</v>
      </c>
      <c r="C1503" s="78">
        <f ca="1">IFERROR(__xludf.DUMMYFUNCTION("""COMPUTED_VALUE"""),10)</f>
        <v>10</v>
      </c>
      <c r="D1503" s="78" t="str">
        <f ca="1">IFERROR(__xludf.DUMMYFUNCTION("""COMPUTED_VALUE"""),"B")</f>
        <v>B</v>
      </c>
      <c r="E1503" s="80" t="str">
        <f ca="1">IFERROR(__xludf.DUMMYFUNCTION("""COMPUTED_VALUE"""),"F")</f>
        <v>F</v>
      </c>
      <c r="F1503" s="80" t="str">
        <f ca="1">IFERROR(__xludf.DUMMYFUNCTION("""COMPUTED_VALUE"""),"J")</f>
        <v>J</v>
      </c>
      <c r="G1503" s="80">
        <f ca="1">IFERROR(__xludf.DUMMYFUNCTION("""COMPUTED_VALUE"""),6)</f>
        <v>6</v>
      </c>
      <c r="H1503" s="80" t="str">
        <f ca="1">IFERROR(__xludf.DUMMYFUNCTION("""COMPUTED_VALUE"""),"OH")</f>
        <v>OH</v>
      </c>
      <c r="I1503" s="80">
        <f ca="1">IFERROR(__xludf.DUMMYFUNCTION("""COMPUTED_VALUE"""),3)</f>
        <v>3</v>
      </c>
      <c r="J1503" s="81">
        <f ca="1">IFERROR(__xludf.DUMMYFUNCTION("""COMPUTED_VALUE"""),5)</f>
        <v>5</v>
      </c>
      <c r="K1503" s="81">
        <f ca="1">IFERROR(__xludf.DUMMYFUNCTION("""COMPUTED_VALUE"""),67.1)</f>
        <v>67.099999999999994</v>
      </c>
      <c r="L1503" s="81">
        <f ca="1">IFERROR(__xludf.DUMMYFUNCTION("""COMPUTED_VALUE"""),48.9)</f>
        <v>48.9</v>
      </c>
      <c r="M1503" s="81"/>
      <c r="N1503" s="81">
        <f ca="1">IFERROR(__xludf.DUMMYFUNCTION("""COMPUTED_VALUE"""),52.6)</f>
        <v>52.6</v>
      </c>
      <c r="O1503" s="81"/>
      <c r="P1503" s="81">
        <f ca="1">IFERROR(__xludf.DUMMYFUNCTION("""COMPUTED_VALUE"""),67.1)</f>
        <v>67.099999999999994</v>
      </c>
      <c r="Q1503" s="81"/>
      <c r="R1503" s="81">
        <f ca="1">IFERROR(__xludf.DUMMYFUNCTION("""COMPUTED_VALUE"""),59.6)</f>
        <v>59.6</v>
      </c>
      <c r="S1503" s="81"/>
      <c r="T1503" s="81"/>
      <c r="U1503" s="82"/>
      <c r="V1503" s="82"/>
      <c r="W1503" s="83"/>
      <c r="X1503" s="83"/>
      <c r="Y1503" s="83"/>
    </row>
    <row r="1504" spans="1:25" ht="13.8">
      <c r="A1504" s="78" t="str">
        <f ca="1">IFERROR(__xludf.DUMMYFUNCTION("""COMPUTED_VALUE"""),"OH")</f>
        <v>OH</v>
      </c>
      <c r="B1504" s="79" t="str">
        <f ca="1">IFERROR(__xludf.DUMMYFUNCTION("""COMPUTED_VALUE"""),"Ben Berona")</f>
        <v>Ben Berona</v>
      </c>
      <c r="C1504" s="78">
        <f ca="1">IFERROR(__xludf.DUMMYFUNCTION("""COMPUTED_VALUE"""),8)</f>
        <v>8</v>
      </c>
      <c r="D1504" s="78" t="str">
        <f ca="1">IFERROR(__xludf.DUMMYFUNCTION("""COMPUTED_VALUE"""),"B")</f>
        <v>B</v>
      </c>
      <c r="E1504" s="80" t="str">
        <f ca="1">IFERROR(__xludf.DUMMYFUNCTION("""COMPUTED_VALUE"""),"F")</f>
        <v>F</v>
      </c>
      <c r="F1504" s="80" t="str">
        <f ca="1">IFERROR(__xludf.DUMMYFUNCTION("""COMPUTED_VALUE"""),"J")</f>
        <v>J</v>
      </c>
      <c r="G1504" s="80">
        <f ca="1">IFERROR(__xludf.DUMMYFUNCTION("""COMPUTED_VALUE"""),6)</f>
        <v>6</v>
      </c>
      <c r="H1504" s="80" t="str">
        <f ca="1">IFERROR(__xludf.DUMMYFUNCTION("""COMPUTED_VALUE"""),"OH")</f>
        <v>OH</v>
      </c>
      <c r="I1504" s="80">
        <f ca="1">IFERROR(__xludf.DUMMYFUNCTION("""COMPUTED_VALUE"""),3)</f>
        <v>3</v>
      </c>
      <c r="J1504" s="81">
        <f ca="1">IFERROR(__xludf.DUMMYFUNCTION("""COMPUTED_VALUE"""),4)</f>
        <v>4</v>
      </c>
      <c r="K1504" s="81">
        <f ca="1">IFERROR(__xludf.DUMMYFUNCTION("""COMPUTED_VALUE"""),49.8)</f>
        <v>49.8</v>
      </c>
      <c r="L1504" s="81">
        <f ca="1">IFERROR(__xludf.DUMMYFUNCTION("""COMPUTED_VALUE"""),0)</f>
        <v>0</v>
      </c>
      <c r="M1504" s="81"/>
      <c r="N1504" s="81">
        <f ca="1">IFERROR(__xludf.DUMMYFUNCTION("""COMPUTED_VALUE"""),46.95)</f>
        <v>46.95</v>
      </c>
      <c r="O1504" s="81"/>
      <c r="P1504" s="81">
        <f ca="1">IFERROR(__xludf.DUMMYFUNCTION("""COMPUTED_VALUE"""),49.8)</f>
        <v>49.8</v>
      </c>
      <c r="Q1504" s="81"/>
      <c r="R1504" s="81">
        <f ca="1">IFERROR(__xludf.DUMMYFUNCTION("""COMPUTED_VALUE"""),48.25)</f>
        <v>48.25</v>
      </c>
      <c r="S1504" s="81"/>
      <c r="T1504" s="81"/>
      <c r="U1504" s="82"/>
      <c r="V1504" s="82"/>
      <c r="W1504" s="83"/>
      <c r="X1504" s="83"/>
      <c r="Y1504" s="83"/>
    </row>
    <row r="1505" spans="1:25" ht="13.8">
      <c r="A1505" s="78" t="str">
        <f ca="1">IFERROR(__xludf.DUMMYFUNCTION("""COMPUTED_VALUE"""),"OH")</f>
        <v>OH</v>
      </c>
      <c r="B1505" s="79" t="str">
        <f ca="1">IFERROR(__xludf.DUMMYFUNCTION("""COMPUTED_VALUE"""),"Joshua Berona")</f>
        <v>Joshua Berona</v>
      </c>
      <c r="C1505" s="78">
        <f ca="1">IFERROR(__xludf.DUMMYFUNCTION("""COMPUTED_VALUE"""),9)</f>
        <v>9</v>
      </c>
      <c r="D1505" s="78" t="str">
        <f ca="1">IFERROR(__xludf.DUMMYFUNCTION("""COMPUTED_VALUE"""),"B")</f>
        <v>B</v>
      </c>
      <c r="E1505" s="80" t="str">
        <f ca="1">IFERROR(__xludf.DUMMYFUNCTION("""COMPUTED_VALUE"""),"F")</f>
        <v>F</v>
      </c>
      <c r="F1505" s="80" t="str">
        <f ca="1">IFERROR(__xludf.DUMMYFUNCTION("""COMPUTED_VALUE"""),"J")</f>
        <v>J</v>
      </c>
      <c r="G1505" s="80">
        <f ca="1">IFERROR(__xludf.DUMMYFUNCTION("""COMPUTED_VALUE"""),6)</f>
        <v>6</v>
      </c>
      <c r="H1505" s="80" t="str">
        <f ca="1">IFERROR(__xludf.DUMMYFUNCTION("""COMPUTED_VALUE"""),"OH")</f>
        <v>OH</v>
      </c>
      <c r="I1505" s="80">
        <f ca="1">IFERROR(__xludf.DUMMYFUNCTION("""COMPUTED_VALUE"""),3)</f>
        <v>3</v>
      </c>
      <c r="J1505" s="81">
        <f ca="1">IFERROR(__xludf.DUMMYFUNCTION("""COMPUTED_VALUE"""),5)</f>
        <v>5</v>
      </c>
      <c r="K1505" s="81">
        <f ca="1">IFERROR(__xludf.DUMMYFUNCTION("""COMPUTED_VALUE"""),54.55)</f>
        <v>54.55</v>
      </c>
      <c r="L1505" s="81">
        <f ca="1">IFERROR(__xludf.DUMMYFUNCTION("""COMPUTED_VALUE"""),46.4)</f>
        <v>46.4</v>
      </c>
      <c r="M1505" s="81"/>
      <c r="N1505" s="81">
        <f ca="1">IFERROR(__xludf.DUMMYFUNCTION("""COMPUTED_VALUE"""),54.55)</f>
        <v>54.55</v>
      </c>
      <c r="O1505" s="81"/>
      <c r="P1505" s="81">
        <f ca="1">IFERROR(__xludf.DUMMYFUNCTION("""COMPUTED_VALUE"""),37.3)</f>
        <v>37.299999999999997</v>
      </c>
      <c r="Q1505" s="81"/>
      <c r="R1505" s="81">
        <f ca="1">IFERROR(__xludf.DUMMYFUNCTION("""COMPUTED_VALUE"""),43.6)</f>
        <v>43.6</v>
      </c>
      <c r="S1505" s="81"/>
      <c r="T1505" s="81"/>
      <c r="U1505" s="82"/>
      <c r="V1505" s="82"/>
      <c r="W1505" s="83"/>
      <c r="X1505" s="83"/>
      <c r="Y1505" s="83"/>
    </row>
    <row r="1506" spans="1:25" ht="13.8">
      <c r="A1506" s="78" t="str">
        <f ca="1">IFERROR(__xludf.DUMMYFUNCTION("""COMPUTED_VALUE"""),"OH")</f>
        <v>OH</v>
      </c>
      <c r="B1506" s="79" t="str">
        <f ca="1">IFERROR(__xludf.DUMMYFUNCTION("""COMPUTED_VALUE"""),"Will Dickinson")</f>
        <v>Will Dickinson</v>
      </c>
      <c r="C1506" s="78">
        <f ca="1">IFERROR(__xludf.DUMMYFUNCTION("""COMPUTED_VALUE"""),6)</f>
        <v>6</v>
      </c>
      <c r="D1506" s="78" t="str">
        <f ca="1">IFERROR(__xludf.DUMMYFUNCTION("""COMPUTED_VALUE"""),"B")</f>
        <v>B</v>
      </c>
      <c r="E1506" s="80" t="str">
        <f ca="1">IFERROR(__xludf.DUMMYFUNCTION("""COMPUTED_VALUE"""),"F")</f>
        <v>F</v>
      </c>
      <c r="F1506" s="80" t="str">
        <f ca="1">IFERROR(__xludf.DUMMYFUNCTION("""COMPUTED_VALUE"""),"J")</f>
        <v>J</v>
      </c>
      <c r="G1506" s="80">
        <f ca="1">IFERROR(__xludf.DUMMYFUNCTION("""COMPUTED_VALUE"""),6)</f>
        <v>6</v>
      </c>
      <c r="H1506" s="80" t="str">
        <f ca="1">IFERROR(__xludf.DUMMYFUNCTION("""COMPUTED_VALUE"""),"OH")</f>
        <v>OH</v>
      </c>
      <c r="I1506" s="80">
        <f ca="1">IFERROR(__xludf.DUMMYFUNCTION("""COMPUTED_VALUE"""),3)</f>
        <v>3</v>
      </c>
      <c r="J1506" s="81">
        <f ca="1">IFERROR(__xludf.DUMMYFUNCTION("""COMPUTED_VALUE"""),5)</f>
        <v>5</v>
      </c>
      <c r="K1506" s="81">
        <f ca="1">IFERROR(__xludf.DUMMYFUNCTION("""COMPUTED_VALUE"""),53.5)</f>
        <v>53.5</v>
      </c>
      <c r="L1506" s="81">
        <f ca="1">IFERROR(__xludf.DUMMYFUNCTION("""COMPUTED_VALUE"""),41.45)</f>
        <v>41.45</v>
      </c>
      <c r="M1506" s="81"/>
      <c r="N1506" s="81">
        <f ca="1">IFERROR(__xludf.DUMMYFUNCTION("""COMPUTED_VALUE"""),53.2)</f>
        <v>53.2</v>
      </c>
      <c r="O1506" s="81"/>
      <c r="P1506" s="81">
        <f ca="1">IFERROR(__xludf.DUMMYFUNCTION("""COMPUTED_VALUE"""),46.6)</f>
        <v>46.6</v>
      </c>
      <c r="Q1506" s="81"/>
      <c r="R1506" s="81">
        <f ca="1">IFERROR(__xludf.DUMMYFUNCTION("""COMPUTED_VALUE"""),53.5)</f>
        <v>53.5</v>
      </c>
      <c r="S1506" s="81"/>
      <c r="T1506" s="81"/>
      <c r="U1506" s="82"/>
      <c r="V1506" s="82"/>
      <c r="W1506" s="83"/>
      <c r="X1506" s="83"/>
      <c r="Y1506" s="83"/>
    </row>
    <row r="1507" spans="1:25" ht="13.8">
      <c r="A1507" s="78" t="str">
        <f ca="1">IFERROR(__xludf.DUMMYFUNCTION("""COMPUTED_VALUE"""),"OH")</f>
        <v>OH</v>
      </c>
      <c r="B1507" s="79" t="str">
        <f ca="1">IFERROR(__xludf.DUMMYFUNCTION("""COMPUTED_VALUE"""),"Jackson Fournier")</f>
        <v>Jackson Fournier</v>
      </c>
      <c r="C1507" s="78">
        <f ca="1">IFERROR(__xludf.DUMMYFUNCTION("""COMPUTED_VALUE"""),5)</f>
        <v>5</v>
      </c>
      <c r="D1507" s="78" t="str">
        <f ca="1">IFERROR(__xludf.DUMMYFUNCTION("""COMPUTED_VALUE"""),"B")</f>
        <v>B</v>
      </c>
      <c r="E1507" s="80" t="str">
        <f ca="1">IFERROR(__xludf.DUMMYFUNCTION("""COMPUTED_VALUE"""),"F")</f>
        <v>F</v>
      </c>
      <c r="F1507" s="80" t="str">
        <f ca="1">IFERROR(__xludf.DUMMYFUNCTION("""COMPUTED_VALUE"""),"J")</f>
        <v>J</v>
      </c>
      <c r="G1507" s="80">
        <f ca="1">IFERROR(__xludf.DUMMYFUNCTION("""COMPUTED_VALUE"""),6)</f>
        <v>6</v>
      </c>
      <c r="H1507" s="80" t="str">
        <f ca="1">IFERROR(__xludf.DUMMYFUNCTION("""COMPUTED_VALUE"""),"OH")</f>
        <v>OH</v>
      </c>
      <c r="I1507" s="80">
        <f ca="1">IFERROR(__xludf.DUMMYFUNCTION("""COMPUTED_VALUE"""),3)</f>
        <v>3</v>
      </c>
      <c r="J1507" s="81">
        <f ca="1">IFERROR(__xludf.DUMMYFUNCTION("""COMPUTED_VALUE"""),3)</f>
        <v>3</v>
      </c>
      <c r="K1507" s="81">
        <f ca="1">IFERROR(__xludf.DUMMYFUNCTION("""COMPUTED_VALUE"""),11.75)</f>
        <v>11.75</v>
      </c>
      <c r="L1507" s="81">
        <f ca="1">IFERROR(__xludf.DUMMYFUNCTION("""COMPUTED_VALUE"""),0)</f>
        <v>0</v>
      </c>
      <c r="M1507" s="81"/>
      <c r="N1507" s="81">
        <f ca="1">IFERROR(__xludf.DUMMYFUNCTION("""COMPUTED_VALUE"""),8.5)</f>
        <v>8.5</v>
      </c>
      <c r="O1507" s="81"/>
      <c r="P1507" s="81">
        <f ca="1">IFERROR(__xludf.DUMMYFUNCTION("""COMPUTED_VALUE"""),0)</f>
        <v>0</v>
      </c>
      <c r="Q1507" s="81"/>
      <c r="R1507" s="81">
        <f ca="1">IFERROR(__xludf.DUMMYFUNCTION("""COMPUTED_VALUE"""),11.75)</f>
        <v>11.75</v>
      </c>
      <c r="S1507" s="81"/>
      <c r="T1507" s="81"/>
      <c r="U1507" s="82"/>
      <c r="V1507" s="82"/>
      <c r="W1507" s="83"/>
      <c r="X1507" s="83"/>
      <c r="Y1507" s="83"/>
    </row>
    <row r="1508" spans="1:25" ht="13.8">
      <c r="A1508" s="78" t="str">
        <f ca="1">IFERROR(__xludf.DUMMYFUNCTION("""COMPUTED_VALUE"""),"OH")</f>
        <v>OH</v>
      </c>
      <c r="B1508" s="79" t="str">
        <f ca="1">IFERROR(__xludf.DUMMYFUNCTION("""COMPUTED_VALUE"""),"Ryan Fournier")</f>
        <v>Ryan Fournier</v>
      </c>
      <c r="C1508" s="78">
        <f ca="1">IFERROR(__xludf.DUMMYFUNCTION("""COMPUTED_VALUE"""),8)</f>
        <v>8</v>
      </c>
      <c r="D1508" s="78" t="str">
        <f ca="1">IFERROR(__xludf.DUMMYFUNCTION("""COMPUTED_VALUE"""),"B")</f>
        <v>B</v>
      </c>
      <c r="E1508" s="80" t="str">
        <f ca="1">IFERROR(__xludf.DUMMYFUNCTION("""COMPUTED_VALUE"""),"F")</f>
        <v>F</v>
      </c>
      <c r="F1508" s="80" t="str">
        <f ca="1">IFERROR(__xludf.DUMMYFUNCTION("""COMPUTED_VALUE"""),"J")</f>
        <v>J</v>
      </c>
      <c r="G1508" s="80">
        <f ca="1">IFERROR(__xludf.DUMMYFUNCTION("""COMPUTED_VALUE"""),6)</f>
        <v>6</v>
      </c>
      <c r="H1508" s="80" t="str">
        <f ca="1">IFERROR(__xludf.DUMMYFUNCTION("""COMPUTED_VALUE"""),"OH")</f>
        <v>OH</v>
      </c>
      <c r="I1508" s="80">
        <f ca="1">IFERROR(__xludf.DUMMYFUNCTION("""COMPUTED_VALUE"""),3)</f>
        <v>3</v>
      </c>
      <c r="J1508" s="81">
        <f ca="1">IFERROR(__xludf.DUMMYFUNCTION("""COMPUTED_VALUE"""),4)</f>
        <v>4</v>
      </c>
      <c r="K1508" s="81">
        <f ca="1">IFERROR(__xludf.DUMMYFUNCTION("""COMPUTED_VALUE"""),32.95)</f>
        <v>32.950000000000003</v>
      </c>
      <c r="L1508" s="81">
        <f ca="1">IFERROR(__xludf.DUMMYFUNCTION("""COMPUTED_VALUE"""),20.5)</f>
        <v>20.5</v>
      </c>
      <c r="M1508" s="81"/>
      <c r="N1508" s="81">
        <f ca="1">IFERROR(__xludf.DUMMYFUNCTION("""COMPUTED_VALUE"""),0)</f>
        <v>0</v>
      </c>
      <c r="O1508" s="81"/>
      <c r="P1508" s="81">
        <f ca="1">IFERROR(__xludf.DUMMYFUNCTION("""COMPUTED_VALUE"""),26.7)</f>
        <v>26.7</v>
      </c>
      <c r="Q1508" s="81"/>
      <c r="R1508" s="81">
        <f ca="1">IFERROR(__xludf.DUMMYFUNCTION("""COMPUTED_VALUE"""),32.95)</f>
        <v>32.950000000000003</v>
      </c>
      <c r="S1508" s="81"/>
      <c r="T1508" s="81"/>
      <c r="U1508" s="82"/>
      <c r="V1508" s="82"/>
      <c r="W1508" s="83"/>
      <c r="X1508" s="83"/>
      <c r="Y1508" s="83"/>
    </row>
    <row r="1509" spans="1:25" ht="13.8">
      <c r="A1509" s="78" t="str">
        <f ca="1">IFERROR(__xludf.DUMMYFUNCTION("""COMPUTED_VALUE"""),"OH")</f>
        <v>OH</v>
      </c>
      <c r="B1509" s="79" t="str">
        <f ca="1">IFERROR(__xludf.DUMMYFUNCTION("""COMPUTED_VALUE"""),"Kekoa LumHo")</f>
        <v>Kekoa LumHo</v>
      </c>
      <c r="C1509" s="78">
        <f ca="1">IFERROR(__xludf.DUMMYFUNCTION("""COMPUTED_VALUE"""),10)</f>
        <v>10</v>
      </c>
      <c r="D1509" s="78" t="str">
        <f ca="1">IFERROR(__xludf.DUMMYFUNCTION("""COMPUTED_VALUE"""),"B")</f>
        <v>B</v>
      </c>
      <c r="E1509" s="80" t="str">
        <f ca="1">IFERROR(__xludf.DUMMYFUNCTION("""COMPUTED_VALUE"""),"F")</f>
        <v>F</v>
      </c>
      <c r="F1509" s="80" t="str">
        <f ca="1">IFERROR(__xludf.DUMMYFUNCTION("""COMPUTED_VALUE"""),"J")</f>
        <v>J</v>
      </c>
      <c r="G1509" s="80">
        <f ca="1">IFERROR(__xludf.DUMMYFUNCTION("""COMPUTED_VALUE"""),6)</f>
        <v>6</v>
      </c>
      <c r="H1509" s="80" t="str">
        <f ca="1">IFERROR(__xludf.DUMMYFUNCTION("""COMPUTED_VALUE"""),"OH")</f>
        <v>OH</v>
      </c>
      <c r="I1509" s="80">
        <f ca="1">IFERROR(__xludf.DUMMYFUNCTION("""COMPUTED_VALUE"""),3)</f>
        <v>3</v>
      </c>
      <c r="J1509" s="81">
        <f ca="1">IFERROR(__xludf.DUMMYFUNCTION("""COMPUTED_VALUE"""),3)</f>
        <v>3</v>
      </c>
      <c r="K1509" s="81">
        <f ca="1">IFERROR(__xludf.DUMMYFUNCTION("""COMPUTED_VALUE"""),58.5)</f>
        <v>58.5</v>
      </c>
      <c r="L1509" s="81">
        <f ca="1">IFERROR(__xludf.DUMMYFUNCTION("""COMPUTED_VALUE"""),57.55)</f>
        <v>57.55</v>
      </c>
      <c r="M1509" s="81"/>
      <c r="N1509" s="81">
        <f ca="1">IFERROR(__xludf.DUMMYFUNCTION("""COMPUTED_VALUE"""),0)</f>
        <v>0</v>
      </c>
      <c r="O1509" s="81"/>
      <c r="P1509" s="81">
        <f ca="1">IFERROR(__xludf.DUMMYFUNCTION("""COMPUTED_VALUE"""),0)</f>
        <v>0</v>
      </c>
      <c r="Q1509" s="81"/>
      <c r="R1509" s="81">
        <f ca="1">IFERROR(__xludf.DUMMYFUNCTION("""COMPUTED_VALUE"""),58.5)</f>
        <v>58.5</v>
      </c>
      <c r="S1509" s="81"/>
      <c r="T1509" s="81"/>
      <c r="U1509" s="82"/>
      <c r="V1509" s="82"/>
      <c r="W1509" s="83"/>
      <c r="X1509" s="83"/>
      <c r="Y1509" s="83"/>
    </row>
    <row r="1510" spans="1:25" ht="13.8">
      <c r="A1510" s="78" t="str">
        <f ca="1">IFERROR(__xludf.DUMMYFUNCTION("""COMPUTED_VALUE"""),"OH")</f>
        <v>OH</v>
      </c>
      <c r="B1510" s="79" t="str">
        <f ca="1">IFERROR(__xludf.DUMMYFUNCTION("""COMPUTED_VALUE"""),"Nicholas Riekse")</f>
        <v>Nicholas Riekse</v>
      </c>
      <c r="C1510" s="78">
        <f ca="1">IFERROR(__xludf.DUMMYFUNCTION("""COMPUTED_VALUE"""),8)</f>
        <v>8</v>
      </c>
      <c r="D1510" s="78" t="str">
        <f ca="1">IFERROR(__xludf.DUMMYFUNCTION("""COMPUTED_VALUE"""),"B")</f>
        <v>B</v>
      </c>
      <c r="E1510" s="80" t="str">
        <f ca="1">IFERROR(__xludf.DUMMYFUNCTION("""COMPUTED_VALUE"""),"F")</f>
        <v>F</v>
      </c>
      <c r="F1510" s="80" t="str">
        <f ca="1">IFERROR(__xludf.DUMMYFUNCTION("""COMPUTED_VALUE"""),"J")</f>
        <v>J</v>
      </c>
      <c r="G1510" s="80">
        <f ca="1">IFERROR(__xludf.DUMMYFUNCTION("""COMPUTED_VALUE"""),6)</f>
        <v>6</v>
      </c>
      <c r="H1510" s="80" t="str">
        <f ca="1">IFERROR(__xludf.DUMMYFUNCTION("""COMPUTED_VALUE"""),"OH")</f>
        <v>OH</v>
      </c>
      <c r="I1510" s="80">
        <f ca="1">IFERROR(__xludf.DUMMYFUNCTION("""COMPUTED_VALUE"""),3)</f>
        <v>3</v>
      </c>
      <c r="J1510" s="81">
        <f ca="1">IFERROR(__xludf.DUMMYFUNCTION("""COMPUTED_VALUE"""),4)</f>
        <v>4</v>
      </c>
      <c r="K1510" s="81">
        <f ca="1">IFERROR(__xludf.DUMMYFUNCTION("""COMPUTED_VALUE"""),54.9)</f>
        <v>54.9</v>
      </c>
      <c r="L1510" s="81">
        <f ca="1">IFERROR(__xludf.DUMMYFUNCTION("""COMPUTED_VALUE"""),42.05)</f>
        <v>42.05</v>
      </c>
      <c r="M1510" s="81"/>
      <c r="N1510" s="81">
        <f ca="1">IFERROR(__xludf.DUMMYFUNCTION("""COMPUTED_VALUE"""),43.8)</f>
        <v>43.8</v>
      </c>
      <c r="O1510" s="81"/>
      <c r="P1510" s="81">
        <f ca="1">IFERROR(__xludf.DUMMYFUNCTION("""COMPUTED_VALUE"""),0)</f>
        <v>0</v>
      </c>
      <c r="Q1510" s="81"/>
      <c r="R1510" s="81">
        <f ca="1">IFERROR(__xludf.DUMMYFUNCTION("""COMPUTED_VALUE"""),54.9)</f>
        <v>54.9</v>
      </c>
      <c r="S1510" s="81"/>
      <c r="T1510" s="81"/>
      <c r="U1510" s="82"/>
      <c r="V1510" s="82"/>
      <c r="W1510" s="83"/>
      <c r="X1510" s="83"/>
      <c r="Y1510" s="83"/>
    </row>
    <row r="1511" spans="1:25" ht="13.8">
      <c r="A1511" s="78" t="str">
        <f ca="1">IFERROR(__xludf.DUMMYFUNCTION("""COMPUTED_VALUE"""),"OH")</f>
        <v>OH</v>
      </c>
      <c r="B1511" s="79" t="str">
        <f ca="1">IFERROR(__xludf.DUMMYFUNCTION("""COMPUTED_VALUE"""),"Trenton Smith")</f>
        <v>Trenton Smith</v>
      </c>
      <c r="C1511" s="78">
        <f ca="1">IFERROR(__xludf.DUMMYFUNCTION("""COMPUTED_VALUE"""),7)</f>
        <v>7</v>
      </c>
      <c r="D1511" s="78" t="str">
        <f ca="1">IFERROR(__xludf.DUMMYFUNCTION("""COMPUTED_VALUE"""),"B")</f>
        <v>B</v>
      </c>
      <c r="E1511" s="80" t="str">
        <f ca="1">IFERROR(__xludf.DUMMYFUNCTION("""COMPUTED_VALUE"""),"F")</f>
        <v>F</v>
      </c>
      <c r="F1511" s="80" t="str">
        <f ca="1">IFERROR(__xludf.DUMMYFUNCTION("""COMPUTED_VALUE"""),"J")</f>
        <v>J</v>
      </c>
      <c r="G1511" s="80">
        <f ca="1">IFERROR(__xludf.DUMMYFUNCTION("""COMPUTED_VALUE"""),6)</f>
        <v>6</v>
      </c>
      <c r="H1511" s="80" t="str">
        <f ca="1">IFERROR(__xludf.DUMMYFUNCTION("""COMPUTED_VALUE"""),"OH")</f>
        <v>OH</v>
      </c>
      <c r="I1511" s="80">
        <f ca="1">IFERROR(__xludf.DUMMYFUNCTION("""COMPUTED_VALUE"""),3)</f>
        <v>3</v>
      </c>
      <c r="J1511" s="81">
        <f ca="1">IFERROR(__xludf.DUMMYFUNCTION("""COMPUTED_VALUE"""),3)</f>
        <v>3</v>
      </c>
      <c r="K1511" s="81">
        <f ca="1">IFERROR(__xludf.DUMMYFUNCTION("""COMPUTED_VALUE"""),58.1)</f>
        <v>58.1</v>
      </c>
      <c r="L1511" s="81">
        <f ca="1">IFERROR(__xludf.DUMMYFUNCTION("""COMPUTED_VALUE"""),43.8)</f>
        <v>43.8</v>
      </c>
      <c r="M1511" s="81"/>
      <c r="N1511" s="81">
        <f ca="1">IFERROR(__xludf.DUMMYFUNCTION("""COMPUTED_VALUE"""),0)</f>
        <v>0</v>
      </c>
      <c r="O1511" s="81"/>
      <c r="P1511" s="81">
        <f ca="1">IFERROR(__xludf.DUMMYFUNCTION("""COMPUTED_VALUE"""),0)</f>
        <v>0</v>
      </c>
      <c r="Q1511" s="81"/>
      <c r="R1511" s="81">
        <f ca="1">IFERROR(__xludf.DUMMYFUNCTION("""COMPUTED_VALUE"""),58.1)</f>
        <v>58.1</v>
      </c>
      <c r="S1511" s="81"/>
      <c r="T1511" s="81"/>
      <c r="U1511" s="82"/>
      <c r="V1511" s="82"/>
      <c r="W1511" s="83"/>
      <c r="X1511" s="83"/>
      <c r="Y1511" s="83"/>
    </row>
    <row r="1512" spans="1:25" ht="13.8">
      <c r="A1512" s="78" t="str">
        <f ca="1">IFERROR(__xludf.DUMMYFUNCTION("""COMPUTED_VALUE"""),"OH")</f>
        <v>OH</v>
      </c>
      <c r="B1512" s="79" t="str">
        <f ca="1">IFERROR(__xludf.DUMMYFUNCTION("""COMPUTED_VALUE"""),"Zack Stickel")</f>
        <v>Zack Stickel</v>
      </c>
      <c r="C1512" s="78">
        <f ca="1">IFERROR(__xludf.DUMMYFUNCTION("""COMPUTED_VALUE"""),7)</f>
        <v>7</v>
      </c>
      <c r="D1512" s="78" t="str">
        <f ca="1">IFERROR(__xludf.DUMMYFUNCTION("""COMPUTED_VALUE"""),"B")</f>
        <v>B</v>
      </c>
      <c r="E1512" s="80" t="str">
        <f ca="1">IFERROR(__xludf.DUMMYFUNCTION("""COMPUTED_VALUE"""),"F")</f>
        <v>F</v>
      </c>
      <c r="F1512" s="80" t="str">
        <f ca="1">IFERROR(__xludf.DUMMYFUNCTION("""COMPUTED_VALUE"""),"J")</f>
        <v>J</v>
      </c>
      <c r="G1512" s="80">
        <f ca="1">IFERROR(__xludf.DUMMYFUNCTION("""COMPUTED_VALUE"""),6)</f>
        <v>6</v>
      </c>
      <c r="H1512" s="80" t="str">
        <f ca="1">IFERROR(__xludf.DUMMYFUNCTION("""COMPUTED_VALUE"""),"OH")</f>
        <v>OH</v>
      </c>
      <c r="I1512" s="80">
        <f ca="1">IFERROR(__xludf.DUMMYFUNCTION("""COMPUTED_VALUE"""),3)</f>
        <v>3</v>
      </c>
      <c r="J1512" s="81">
        <f ca="1">IFERROR(__xludf.DUMMYFUNCTION("""COMPUTED_VALUE"""),5)</f>
        <v>5</v>
      </c>
      <c r="K1512" s="81">
        <f ca="1">IFERROR(__xludf.DUMMYFUNCTION("""COMPUTED_VALUE"""),47.8)</f>
        <v>47.8</v>
      </c>
      <c r="L1512" s="81">
        <f ca="1">IFERROR(__xludf.DUMMYFUNCTION("""COMPUTED_VALUE"""),35)</f>
        <v>35</v>
      </c>
      <c r="M1512" s="81"/>
      <c r="N1512" s="81">
        <f ca="1">IFERROR(__xludf.DUMMYFUNCTION("""COMPUTED_VALUE"""),23.3)</f>
        <v>23.3</v>
      </c>
      <c r="O1512" s="81"/>
      <c r="P1512" s="81">
        <f ca="1">IFERROR(__xludf.DUMMYFUNCTION("""COMPUTED_VALUE"""),36.8)</f>
        <v>36.799999999999997</v>
      </c>
      <c r="Q1512" s="81"/>
      <c r="R1512" s="81">
        <f ca="1">IFERROR(__xludf.DUMMYFUNCTION("""COMPUTED_VALUE"""),47.8)</f>
        <v>47.8</v>
      </c>
      <c r="S1512" s="81"/>
      <c r="T1512" s="81"/>
      <c r="U1512" s="82"/>
      <c r="V1512" s="82"/>
      <c r="W1512" s="83"/>
      <c r="X1512" s="83"/>
      <c r="Y1512" s="83"/>
    </row>
    <row r="1513" spans="1:25" ht="13.8">
      <c r="A1513" s="78" t="str">
        <f ca="1">IFERROR(__xludf.DUMMYFUNCTION("""COMPUTED_VALUE"""),"OH")</f>
        <v>OH</v>
      </c>
      <c r="B1513" s="79" t="str">
        <f ca="1">IFERROR(__xludf.DUMMYFUNCTION("""COMPUTED_VALUE"""),"Adam Zimmer")</f>
        <v>Adam Zimmer</v>
      </c>
      <c r="C1513" s="78">
        <f ca="1">IFERROR(__xludf.DUMMYFUNCTION("""COMPUTED_VALUE"""),7)</f>
        <v>7</v>
      </c>
      <c r="D1513" s="78" t="str">
        <f ca="1">IFERROR(__xludf.DUMMYFUNCTION("""COMPUTED_VALUE"""),"B")</f>
        <v>B</v>
      </c>
      <c r="E1513" s="80" t="str">
        <f ca="1">IFERROR(__xludf.DUMMYFUNCTION("""COMPUTED_VALUE"""),"F")</f>
        <v>F</v>
      </c>
      <c r="F1513" s="80" t="str">
        <f ca="1">IFERROR(__xludf.DUMMYFUNCTION("""COMPUTED_VALUE"""),"J")</f>
        <v>J</v>
      </c>
      <c r="G1513" s="80">
        <f ca="1">IFERROR(__xludf.DUMMYFUNCTION("""COMPUTED_VALUE"""),6)</f>
        <v>6</v>
      </c>
      <c r="H1513" s="80" t="str">
        <f ca="1">IFERROR(__xludf.DUMMYFUNCTION("""COMPUTED_VALUE"""),"OH")</f>
        <v>OH</v>
      </c>
      <c r="I1513" s="80">
        <f ca="1">IFERROR(__xludf.DUMMYFUNCTION("""COMPUTED_VALUE"""),3)</f>
        <v>3</v>
      </c>
      <c r="J1513" s="81">
        <f ca="1">IFERROR(__xludf.DUMMYFUNCTION("""COMPUTED_VALUE"""),5)</f>
        <v>5</v>
      </c>
      <c r="K1513" s="81">
        <f ca="1">IFERROR(__xludf.DUMMYFUNCTION("""COMPUTED_VALUE"""),50.35)</f>
        <v>50.35</v>
      </c>
      <c r="L1513" s="81">
        <f ca="1">IFERROR(__xludf.DUMMYFUNCTION("""COMPUTED_VALUE"""),11.5)</f>
        <v>11.5</v>
      </c>
      <c r="M1513" s="81"/>
      <c r="N1513" s="81">
        <f ca="1">IFERROR(__xludf.DUMMYFUNCTION("""COMPUTED_VALUE"""),19.25)</f>
        <v>19.25</v>
      </c>
      <c r="O1513" s="81"/>
      <c r="P1513" s="81">
        <f ca="1">IFERROR(__xludf.DUMMYFUNCTION("""COMPUTED_VALUE"""),31.25)</f>
        <v>31.25</v>
      </c>
      <c r="Q1513" s="81"/>
      <c r="R1513" s="81">
        <f ca="1">IFERROR(__xludf.DUMMYFUNCTION("""COMPUTED_VALUE"""),50.35)</f>
        <v>50.35</v>
      </c>
      <c r="S1513" s="81"/>
      <c r="T1513" s="81"/>
      <c r="U1513" s="82"/>
      <c r="V1513" s="82"/>
      <c r="W1513" s="83"/>
      <c r="X1513" s="83"/>
      <c r="Y1513" s="83"/>
    </row>
    <row r="1514" spans="1:25" ht="13.8">
      <c r="A1514" s="78" t="str">
        <f ca="1">IFERROR(__xludf.DUMMYFUNCTION("""COMPUTED_VALUE"""),"OH")</f>
        <v>OH</v>
      </c>
      <c r="B1514" s="79" t="str">
        <f ca="1">IFERROR(__xludf.DUMMYFUNCTION("""COMPUTED_VALUE"""),"Lucy Barber")</f>
        <v>Lucy Barber</v>
      </c>
      <c r="C1514" s="78">
        <f ca="1">IFERROR(__xludf.DUMMYFUNCTION("""COMPUTED_VALUE"""),12)</f>
        <v>12</v>
      </c>
      <c r="D1514" s="78" t="str">
        <f ca="1">IFERROR(__xludf.DUMMYFUNCTION("""COMPUTED_VALUE"""),"G")</f>
        <v>G</v>
      </c>
      <c r="E1514" s="80" t="str">
        <f ca="1">IFERROR(__xludf.DUMMYFUNCTION("""COMPUTED_VALUE"""),"J")</f>
        <v>J</v>
      </c>
      <c r="F1514" s="80" t="str">
        <f ca="1">IFERROR(__xludf.DUMMYFUNCTION("""COMPUTED_VALUE"""),"I")</f>
        <v>I</v>
      </c>
      <c r="G1514" s="80">
        <f ca="1">IFERROR(__xludf.DUMMYFUNCTION("""COMPUTED_VALUE"""),6)</f>
        <v>6</v>
      </c>
      <c r="H1514" s="80" t="str">
        <f ca="1">IFERROR(__xludf.DUMMYFUNCTION("""COMPUTED_VALUE"""),"OH")</f>
        <v>OH</v>
      </c>
      <c r="I1514" s="80">
        <f ca="1">IFERROR(__xludf.DUMMYFUNCTION("""COMPUTED_VALUE"""),4)</f>
        <v>4</v>
      </c>
      <c r="J1514" s="81">
        <f ca="1">IFERROR(__xludf.DUMMYFUNCTION("""COMPUTED_VALUE"""),3)</f>
        <v>3</v>
      </c>
      <c r="K1514" s="81">
        <f ca="1">IFERROR(__xludf.DUMMYFUNCTION("""COMPUTED_VALUE"""),65)</f>
        <v>65</v>
      </c>
      <c r="L1514" s="81">
        <f ca="1">IFERROR(__xludf.DUMMYFUNCTION("""COMPUTED_VALUE"""),65)</f>
        <v>65</v>
      </c>
      <c r="M1514" s="81"/>
      <c r="N1514" s="81">
        <f ca="1">IFERROR(__xludf.DUMMYFUNCTION("""COMPUTED_VALUE"""),0)</f>
        <v>0</v>
      </c>
      <c r="O1514" s="81"/>
      <c r="P1514" s="81">
        <f ca="1">IFERROR(__xludf.DUMMYFUNCTION("""COMPUTED_VALUE"""),62.45)</f>
        <v>62.45</v>
      </c>
      <c r="Q1514" s="81"/>
      <c r="R1514" s="81">
        <f ca="1">IFERROR(__xludf.DUMMYFUNCTION("""COMPUTED_VALUE"""),0)</f>
        <v>0</v>
      </c>
      <c r="S1514" s="81"/>
      <c r="T1514" s="81"/>
      <c r="U1514" s="82"/>
      <c r="V1514" s="82"/>
      <c r="W1514" s="83"/>
      <c r="X1514" s="83"/>
      <c r="Y1514" s="83"/>
    </row>
    <row r="1515" spans="1:25" ht="13.8">
      <c r="A1515" s="78" t="str">
        <f ca="1">IFERROR(__xludf.DUMMYFUNCTION("""COMPUTED_VALUE"""),"OH")</f>
        <v>OH</v>
      </c>
      <c r="B1515" s="79" t="str">
        <f ca="1">IFERROR(__xludf.DUMMYFUNCTION("""COMPUTED_VALUE"""),"Rebecca Drobnis")</f>
        <v>Rebecca Drobnis</v>
      </c>
      <c r="C1515" s="78">
        <f ca="1">IFERROR(__xludf.DUMMYFUNCTION("""COMPUTED_VALUE"""),11)</f>
        <v>11</v>
      </c>
      <c r="D1515" s="78" t="str">
        <f ca="1">IFERROR(__xludf.DUMMYFUNCTION("""COMPUTED_VALUE"""),"G")</f>
        <v>G</v>
      </c>
      <c r="E1515" s="80" t="str">
        <f ca="1">IFERROR(__xludf.DUMMYFUNCTION("""COMPUTED_VALUE"""),"J")</f>
        <v>J</v>
      </c>
      <c r="F1515" s="80" t="str">
        <f ca="1">IFERROR(__xludf.DUMMYFUNCTION("""COMPUTED_VALUE"""),"I")</f>
        <v>I</v>
      </c>
      <c r="G1515" s="80">
        <f ca="1">IFERROR(__xludf.DUMMYFUNCTION("""COMPUTED_VALUE"""),6)</f>
        <v>6</v>
      </c>
      <c r="H1515" s="80" t="str">
        <f ca="1">IFERROR(__xludf.DUMMYFUNCTION("""COMPUTED_VALUE"""),"OH")</f>
        <v>OH</v>
      </c>
      <c r="I1515" s="80">
        <f ca="1">IFERROR(__xludf.DUMMYFUNCTION("""COMPUTED_VALUE"""),4)</f>
        <v>4</v>
      </c>
      <c r="J1515" s="81">
        <f ca="1">IFERROR(__xludf.DUMMYFUNCTION("""COMPUTED_VALUE"""),4)</f>
        <v>4</v>
      </c>
      <c r="K1515" s="81">
        <f ca="1">IFERROR(__xludf.DUMMYFUNCTION("""COMPUTED_VALUE"""),109.65)</f>
        <v>109.65</v>
      </c>
      <c r="L1515" s="81">
        <f ca="1">IFERROR(__xludf.DUMMYFUNCTION("""COMPUTED_VALUE"""),95.3)</f>
        <v>95.3</v>
      </c>
      <c r="M1515" s="81"/>
      <c r="N1515" s="81">
        <f ca="1">IFERROR(__xludf.DUMMYFUNCTION("""COMPUTED_VALUE"""),0)</f>
        <v>0</v>
      </c>
      <c r="O1515" s="81"/>
      <c r="P1515" s="81">
        <f ca="1">IFERROR(__xludf.DUMMYFUNCTION("""COMPUTED_VALUE"""),93.4)</f>
        <v>93.4</v>
      </c>
      <c r="Q1515" s="81"/>
      <c r="R1515" s="81">
        <f ca="1">IFERROR(__xludf.DUMMYFUNCTION("""COMPUTED_VALUE"""),109.65)</f>
        <v>109.65</v>
      </c>
      <c r="S1515" s="81"/>
      <c r="T1515" s="81"/>
      <c r="U1515" s="82"/>
      <c r="V1515" s="82"/>
      <c r="W1515" s="83"/>
      <c r="X1515" s="83"/>
      <c r="Y1515" s="83"/>
    </row>
    <row r="1516" spans="1:25" ht="13.8">
      <c r="A1516" s="78" t="str">
        <f ca="1">IFERROR(__xludf.DUMMYFUNCTION("""COMPUTED_VALUE"""),"OH")</f>
        <v>OH</v>
      </c>
      <c r="B1516" s="79" t="str">
        <f ca="1">IFERROR(__xludf.DUMMYFUNCTION("""COMPUTED_VALUE"""),"Brianna Land Riekse")</f>
        <v>Brianna Land Riekse</v>
      </c>
      <c r="C1516" s="78">
        <f ca="1">IFERROR(__xludf.DUMMYFUNCTION("""COMPUTED_VALUE"""),11)</f>
        <v>11</v>
      </c>
      <c r="D1516" s="78" t="str">
        <f ca="1">IFERROR(__xludf.DUMMYFUNCTION("""COMPUTED_VALUE"""),"G")</f>
        <v>G</v>
      </c>
      <c r="E1516" s="80" t="str">
        <f ca="1">IFERROR(__xludf.DUMMYFUNCTION("""COMPUTED_VALUE"""),"J")</f>
        <v>J</v>
      </c>
      <c r="F1516" s="80" t="str">
        <f ca="1">IFERROR(__xludf.DUMMYFUNCTION("""COMPUTED_VALUE"""),"I")</f>
        <v>I</v>
      </c>
      <c r="G1516" s="80">
        <f ca="1">IFERROR(__xludf.DUMMYFUNCTION("""COMPUTED_VALUE"""),6)</f>
        <v>6</v>
      </c>
      <c r="H1516" s="80" t="str">
        <f ca="1">IFERROR(__xludf.DUMMYFUNCTION("""COMPUTED_VALUE"""),"OH")</f>
        <v>OH</v>
      </c>
      <c r="I1516" s="80">
        <f ca="1">IFERROR(__xludf.DUMMYFUNCTION("""COMPUTED_VALUE"""),4)</f>
        <v>4</v>
      </c>
      <c r="J1516" s="81">
        <f ca="1">IFERROR(__xludf.DUMMYFUNCTION("""COMPUTED_VALUE"""),5)</f>
        <v>5</v>
      </c>
      <c r="K1516" s="81">
        <f ca="1">IFERROR(__xludf.DUMMYFUNCTION("""COMPUTED_VALUE"""),74.05)</f>
        <v>74.05</v>
      </c>
      <c r="L1516" s="81">
        <f ca="1">IFERROR(__xludf.DUMMYFUNCTION("""COMPUTED_VALUE"""),62.4)</f>
        <v>62.4</v>
      </c>
      <c r="M1516" s="81"/>
      <c r="N1516" s="81">
        <f ca="1">IFERROR(__xludf.DUMMYFUNCTION("""COMPUTED_VALUE"""),51.55)</f>
        <v>51.55</v>
      </c>
      <c r="O1516" s="81"/>
      <c r="P1516" s="81">
        <f ca="1">IFERROR(__xludf.DUMMYFUNCTION("""COMPUTED_VALUE"""),67.75)</f>
        <v>67.75</v>
      </c>
      <c r="Q1516" s="81"/>
      <c r="R1516" s="81">
        <f ca="1">IFERROR(__xludf.DUMMYFUNCTION("""COMPUTED_VALUE"""),74.05)</f>
        <v>74.05</v>
      </c>
      <c r="S1516" s="81"/>
      <c r="T1516" s="81"/>
      <c r="U1516" s="82"/>
      <c r="V1516" s="82"/>
      <c r="W1516" s="83"/>
      <c r="X1516" s="83"/>
      <c r="Y1516" s="83"/>
    </row>
    <row r="1517" spans="1:25" ht="13.8">
      <c r="A1517" s="78" t="str">
        <f ca="1">IFERROR(__xludf.DUMMYFUNCTION("""COMPUTED_VALUE"""),"OH")</f>
        <v>OH</v>
      </c>
      <c r="B1517" s="79" t="str">
        <f ca="1">IFERROR(__xludf.DUMMYFUNCTION("""COMPUTED_VALUE"""),"Bethany Telleria")</f>
        <v>Bethany Telleria</v>
      </c>
      <c r="C1517" s="78">
        <f ca="1">IFERROR(__xludf.DUMMYFUNCTION("""COMPUTED_VALUE"""),12)</f>
        <v>12</v>
      </c>
      <c r="D1517" s="78" t="str">
        <f ca="1">IFERROR(__xludf.DUMMYFUNCTION("""COMPUTED_VALUE"""),"G")</f>
        <v>G</v>
      </c>
      <c r="E1517" s="80" t="str">
        <f ca="1">IFERROR(__xludf.DUMMYFUNCTION("""COMPUTED_VALUE"""),"J")</f>
        <v>J</v>
      </c>
      <c r="F1517" s="80" t="str">
        <f ca="1">IFERROR(__xludf.DUMMYFUNCTION("""COMPUTED_VALUE"""),"I")</f>
        <v>I</v>
      </c>
      <c r="G1517" s="80">
        <f ca="1">IFERROR(__xludf.DUMMYFUNCTION("""COMPUTED_VALUE"""),6)</f>
        <v>6</v>
      </c>
      <c r="H1517" s="80" t="str">
        <f ca="1">IFERROR(__xludf.DUMMYFUNCTION("""COMPUTED_VALUE"""),"OH")</f>
        <v>OH</v>
      </c>
      <c r="I1517" s="80">
        <f ca="1">IFERROR(__xludf.DUMMYFUNCTION("""COMPUTED_VALUE"""),4)</f>
        <v>4</v>
      </c>
      <c r="J1517" s="81">
        <f ca="1">IFERROR(__xludf.DUMMYFUNCTION("""COMPUTED_VALUE"""),4)</f>
        <v>4</v>
      </c>
      <c r="K1517" s="81">
        <f ca="1">IFERROR(__xludf.DUMMYFUNCTION("""COMPUTED_VALUE"""),88.45)</f>
        <v>88.45</v>
      </c>
      <c r="L1517" s="81">
        <f ca="1">IFERROR(__xludf.DUMMYFUNCTION("""COMPUTED_VALUE"""),86.8)</f>
        <v>86.8</v>
      </c>
      <c r="M1517" s="81"/>
      <c r="N1517" s="81">
        <f ca="1">IFERROR(__xludf.DUMMYFUNCTION("""COMPUTED_VALUE"""),63.95)</f>
        <v>63.95</v>
      </c>
      <c r="O1517" s="81"/>
      <c r="P1517" s="81">
        <f ca="1">IFERROR(__xludf.DUMMYFUNCTION("""COMPUTED_VALUE"""),83.15)</f>
        <v>83.15</v>
      </c>
      <c r="Q1517" s="81"/>
      <c r="R1517" s="81">
        <f ca="1">IFERROR(__xludf.DUMMYFUNCTION("""COMPUTED_VALUE"""),88.45)</f>
        <v>88.45</v>
      </c>
      <c r="S1517" s="81"/>
      <c r="T1517" s="81"/>
      <c r="U1517" s="82"/>
      <c r="V1517" s="82"/>
      <c r="W1517" s="83"/>
      <c r="X1517" s="83"/>
      <c r="Y1517" s="83"/>
    </row>
    <row r="1518" spans="1:25" ht="13.8">
      <c r="A1518" s="78" t="str">
        <f ca="1">IFERROR(__xludf.DUMMYFUNCTION("""COMPUTED_VALUE"""),"OH")</f>
        <v>OH</v>
      </c>
      <c r="B1518" s="79" t="str">
        <f ca="1">IFERROR(__xludf.DUMMYFUNCTION("""COMPUTED_VALUE"""),"Casper Bing")</f>
        <v>Casper Bing</v>
      </c>
      <c r="C1518" s="78">
        <f ca="1">IFERROR(__xludf.DUMMYFUNCTION("""COMPUTED_VALUE"""),12)</f>
        <v>12</v>
      </c>
      <c r="D1518" s="78" t="str">
        <f ca="1">IFERROR(__xludf.DUMMYFUNCTION("""COMPUTED_VALUE"""),"B")</f>
        <v>B</v>
      </c>
      <c r="E1518" s="80" t="str">
        <f ca="1">IFERROR(__xludf.DUMMYFUNCTION("""COMPUTED_VALUE"""),"J")</f>
        <v>J</v>
      </c>
      <c r="F1518" s="80" t="str">
        <f ca="1">IFERROR(__xludf.DUMMYFUNCTION("""COMPUTED_VALUE"""),"I")</f>
        <v>I</v>
      </c>
      <c r="G1518" s="80">
        <f ca="1">IFERROR(__xludf.DUMMYFUNCTION("""COMPUTED_VALUE"""),6)</f>
        <v>6</v>
      </c>
      <c r="H1518" s="80" t="str">
        <f ca="1">IFERROR(__xludf.DUMMYFUNCTION("""COMPUTED_VALUE"""),"OH")</f>
        <v>OH</v>
      </c>
      <c r="I1518" s="80">
        <f ca="1">IFERROR(__xludf.DUMMYFUNCTION("""COMPUTED_VALUE"""),5)</f>
        <v>5</v>
      </c>
      <c r="J1518" s="81">
        <f ca="1">IFERROR(__xludf.DUMMYFUNCTION("""COMPUTED_VALUE"""),4)</f>
        <v>4</v>
      </c>
      <c r="K1518" s="81">
        <f ca="1">IFERROR(__xludf.DUMMYFUNCTION("""COMPUTED_VALUE"""),71.6)</f>
        <v>71.599999999999994</v>
      </c>
      <c r="L1518" s="81">
        <f ca="1">IFERROR(__xludf.DUMMYFUNCTION("""COMPUTED_VALUE"""),43.4)</f>
        <v>43.4</v>
      </c>
      <c r="M1518" s="81"/>
      <c r="N1518" s="81">
        <f ca="1">IFERROR(__xludf.DUMMYFUNCTION("""COMPUTED_VALUE"""),0)</f>
        <v>0</v>
      </c>
      <c r="O1518" s="81"/>
      <c r="P1518" s="81">
        <f ca="1">IFERROR(__xludf.DUMMYFUNCTION("""COMPUTED_VALUE"""),71.6)</f>
        <v>71.599999999999994</v>
      </c>
      <c r="Q1518" s="81"/>
      <c r="R1518" s="81">
        <f ca="1">IFERROR(__xludf.DUMMYFUNCTION("""COMPUTED_VALUE"""),67.95)</f>
        <v>67.95</v>
      </c>
      <c r="S1518" s="81"/>
      <c r="T1518" s="81"/>
      <c r="U1518" s="82"/>
      <c r="V1518" s="82"/>
      <c r="W1518" s="83"/>
      <c r="X1518" s="83"/>
      <c r="Y1518" s="83"/>
    </row>
    <row r="1519" spans="1:25" ht="13.8">
      <c r="A1519" s="78" t="str">
        <f ca="1">IFERROR(__xludf.DUMMYFUNCTION("""COMPUTED_VALUE"""),"OH")</f>
        <v>OH</v>
      </c>
      <c r="B1519" s="79" t="str">
        <f ca="1">IFERROR(__xludf.DUMMYFUNCTION("""COMPUTED_VALUE"""),"Michael Neville")</f>
        <v>Michael Neville</v>
      </c>
      <c r="C1519" s="78">
        <f ca="1">IFERROR(__xludf.DUMMYFUNCTION("""COMPUTED_VALUE"""),12)</f>
        <v>12</v>
      </c>
      <c r="D1519" s="78" t="str">
        <f ca="1">IFERROR(__xludf.DUMMYFUNCTION("""COMPUTED_VALUE"""),"B")</f>
        <v>B</v>
      </c>
      <c r="E1519" s="80" t="str">
        <f ca="1">IFERROR(__xludf.DUMMYFUNCTION("""COMPUTED_VALUE"""),"J")</f>
        <v>J</v>
      </c>
      <c r="F1519" s="80" t="str">
        <f ca="1">IFERROR(__xludf.DUMMYFUNCTION("""COMPUTED_VALUE"""),"I")</f>
        <v>I</v>
      </c>
      <c r="G1519" s="80">
        <f ca="1">IFERROR(__xludf.DUMMYFUNCTION("""COMPUTED_VALUE"""),6)</f>
        <v>6</v>
      </c>
      <c r="H1519" s="80" t="str">
        <f ca="1">IFERROR(__xludf.DUMMYFUNCTION("""COMPUTED_VALUE"""),"OH")</f>
        <v>OH</v>
      </c>
      <c r="I1519" s="80">
        <f ca="1">IFERROR(__xludf.DUMMYFUNCTION("""COMPUTED_VALUE"""),5)</f>
        <v>5</v>
      </c>
      <c r="J1519" s="81">
        <f ca="1">IFERROR(__xludf.DUMMYFUNCTION("""COMPUTED_VALUE"""),4)</f>
        <v>4</v>
      </c>
      <c r="K1519" s="81">
        <f ca="1">IFERROR(__xludf.DUMMYFUNCTION("""COMPUTED_VALUE"""),66.65)</f>
        <v>66.650000000000006</v>
      </c>
      <c r="L1519" s="81">
        <f ca="1">IFERROR(__xludf.DUMMYFUNCTION("""COMPUTED_VALUE"""),66.65)</f>
        <v>66.650000000000006</v>
      </c>
      <c r="M1519" s="81"/>
      <c r="N1519" s="81">
        <f ca="1">IFERROR(__xludf.DUMMYFUNCTION("""COMPUTED_VALUE"""),0)</f>
        <v>0</v>
      </c>
      <c r="O1519" s="81"/>
      <c r="P1519" s="81">
        <f ca="1">IFERROR(__xludf.DUMMYFUNCTION("""COMPUTED_VALUE"""),63.65)</f>
        <v>63.65</v>
      </c>
      <c r="Q1519" s="81"/>
      <c r="R1519" s="81">
        <f ca="1">IFERROR(__xludf.DUMMYFUNCTION("""COMPUTED_VALUE"""),65.3)</f>
        <v>65.3</v>
      </c>
      <c r="S1519" s="81"/>
      <c r="T1519" s="81"/>
      <c r="U1519" s="82"/>
      <c r="V1519" s="82"/>
      <c r="W1519" s="83"/>
      <c r="X1519" s="83"/>
      <c r="Y1519" s="83"/>
    </row>
    <row r="1520" spans="1:25" ht="13.8">
      <c r="A1520" s="78" t="str">
        <f ca="1">IFERROR(__xludf.DUMMYFUNCTION("""COMPUTED_VALUE"""),"OH")</f>
        <v>OH</v>
      </c>
      <c r="B1520" s="79" t="str">
        <f ca="1">IFERROR(__xludf.DUMMYFUNCTION("""COMPUTED_VALUE"""),"Jayden Perry")</f>
        <v>Jayden Perry</v>
      </c>
      <c r="C1520" s="78">
        <f ca="1">IFERROR(__xludf.DUMMYFUNCTION("""COMPUTED_VALUE"""),12)</f>
        <v>12</v>
      </c>
      <c r="D1520" s="78" t="str">
        <f ca="1">IFERROR(__xludf.DUMMYFUNCTION("""COMPUTED_VALUE"""),"B")</f>
        <v>B</v>
      </c>
      <c r="E1520" s="80" t="str">
        <f ca="1">IFERROR(__xludf.DUMMYFUNCTION("""COMPUTED_VALUE"""),"J")</f>
        <v>J</v>
      </c>
      <c r="F1520" s="80" t="str">
        <f ca="1">IFERROR(__xludf.DUMMYFUNCTION("""COMPUTED_VALUE"""),"I")</f>
        <v>I</v>
      </c>
      <c r="G1520" s="80">
        <f ca="1">IFERROR(__xludf.DUMMYFUNCTION("""COMPUTED_VALUE"""),6)</f>
        <v>6</v>
      </c>
      <c r="H1520" s="80" t="str">
        <f ca="1">IFERROR(__xludf.DUMMYFUNCTION("""COMPUTED_VALUE"""),"OH")</f>
        <v>OH</v>
      </c>
      <c r="I1520" s="80">
        <f ca="1">IFERROR(__xludf.DUMMYFUNCTION("""COMPUTED_VALUE"""),5)</f>
        <v>5</v>
      </c>
      <c r="J1520" s="81">
        <f ca="1">IFERROR(__xludf.DUMMYFUNCTION("""COMPUTED_VALUE"""),5)</f>
        <v>5</v>
      </c>
      <c r="K1520" s="81">
        <f ca="1">IFERROR(__xludf.DUMMYFUNCTION("""COMPUTED_VALUE"""),89.95)</f>
        <v>89.95</v>
      </c>
      <c r="L1520" s="81">
        <f ca="1">IFERROR(__xludf.DUMMYFUNCTION("""COMPUTED_VALUE"""),89.95)</f>
        <v>89.95</v>
      </c>
      <c r="M1520" s="81"/>
      <c r="N1520" s="81">
        <f ca="1">IFERROR(__xludf.DUMMYFUNCTION("""COMPUTED_VALUE"""),75.65)</f>
        <v>75.650000000000006</v>
      </c>
      <c r="O1520" s="81"/>
      <c r="P1520" s="81">
        <f ca="1">IFERROR(__xludf.DUMMYFUNCTION("""COMPUTED_VALUE"""),83)</f>
        <v>83</v>
      </c>
      <c r="Q1520" s="81"/>
      <c r="R1520" s="81">
        <f ca="1">IFERROR(__xludf.DUMMYFUNCTION("""COMPUTED_VALUE"""),72.35)</f>
        <v>72.349999999999994</v>
      </c>
      <c r="S1520" s="81"/>
      <c r="T1520" s="81"/>
      <c r="U1520" s="82"/>
      <c r="V1520" s="82"/>
      <c r="W1520" s="83"/>
      <c r="X1520" s="83"/>
      <c r="Y1520" s="83"/>
    </row>
    <row r="1521" spans="1:25" ht="13.8">
      <c r="A1521" s="78" t="str">
        <f ca="1">IFERROR(__xludf.DUMMYFUNCTION("""COMPUTED_VALUE"""),"OH")</f>
        <v>OH</v>
      </c>
      <c r="B1521" s="79" t="str">
        <f ca="1">IFERROR(__xludf.DUMMYFUNCTION("""COMPUTED_VALUE"""),"Luke Stickel")</f>
        <v>Luke Stickel</v>
      </c>
      <c r="C1521" s="78">
        <f ca="1">IFERROR(__xludf.DUMMYFUNCTION("""COMPUTED_VALUE"""),11)</f>
        <v>11</v>
      </c>
      <c r="D1521" s="78" t="str">
        <f ca="1">IFERROR(__xludf.DUMMYFUNCTION("""COMPUTED_VALUE"""),"B")</f>
        <v>B</v>
      </c>
      <c r="E1521" s="80" t="str">
        <f ca="1">IFERROR(__xludf.DUMMYFUNCTION("""COMPUTED_VALUE"""),"J")</f>
        <v>J</v>
      </c>
      <c r="F1521" s="80" t="str">
        <f ca="1">IFERROR(__xludf.DUMMYFUNCTION("""COMPUTED_VALUE"""),"I")</f>
        <v>I</v>
      </c>
      <c r="G1521" s="80">
        <f ca="1">IFERROR(__xludf.DUMMYFUNCTION("""COMPUTED_VALUE"""),6)</f>
        <v>6</v>
      </c>
      <c r="H1521" s="80" t="str">
        <f ca="1">IFERROR(__xludf.DUMMYFUNCTION("""COMPUTED_VALUE"""),"OH")</f>
        <v>OH</v>
      </c>
      <c r="I1521" s="80">
        <f ca="1">IFERROR(__xludf.DUMMYFUNCTION("""COMPUTED_VALUE"""),5)</f>
        <v>5</v>
      </c>
      <c r="J1521" s="81">
        <f ca="1">IFERROR(__xludf.DUMMYFUNCTION("""COMPUTED_VALUE"""),5)</f>
        <v>5</v>
      </c>
      <c r="K1521" s="81">
        <f ca="1">IFERROR(__xludf.DUMMYFUNCTION("""COMPUTED_VALUE"""),62.8)</f>
        <v>62.8</v>
      </c>
      <c r="L1521" s="81">
        <f ca="1">IFERROR(__xludf.DUMMYFUNCTION("""COMPUTED_VALUE"""),58.6)</f>
        <v>58.6</v>
      </c>
      <c r="M1521" s="81"/>
      <c r="N1521" s="81">
        <f ca="1">IFERROR(__xludf.DUMMYFUNCTION("""COMPUTED_VALUE"""),61.05)</f>
        <v>61.05</v>
      </c>
      <c r="O1521" s="81"/>
      <c r="P1521" s="81">
        <f ca="1">IFERROR(__xludf.DUMMYFUNCTION("""COMPUTED_VALUE"""),57.85)</f>
        <v>57.85</v>
      </c>
      <c r="Q1521" s="81"/>
      <c r="R1521" s="81">
        <f ca="1">IFERROR(__xludf.DUMMYFUNCTION("""COMPUTED_VALUE"""),62.8)</f>
        <v>62.8</v>
      </c>
      <c r="S1521" s="81"/>
      <c r="T1521" s="81"/>
      <c r="U1521" s="82"/>
      <c r="V1521" s="82"/>
      <c r="W1521" s="83"/>
      <c r="X1521" s="83"/>
      <c r="Y1521" s="83"/>
    </row>
    <row r="1522" spans="1:25" ht="13.8">
      <c r="A1522" s="78" t="str">
        <f ca="1">IFERROR(__xludf.DUMMYFUNCTION("""COMPUTED_VALUE"""),"OH")</f>
        <v>OH</v>
      </c>
      <c r="B1522" s="79" t="str">
        <f ca="1">IFERROR(__xludf.DUMMYFUNCTION("""COMPUTED_VALUE"""),"Caleb Urias")</f>
        <v>Caleb Urias</v>
      </c>
      <c r="C1522" s="78">
        <f ca="1">IFERROR(__xludf.DUMMYFUNCTION("""COMPUTED_VALUE"""),11)</f>
        <v>11</v>
      </c>
      <c r="D1522" s="78" t="str">
        <f ca="1">IFERROR(__xludf.DUMMYFUNCTION("""COMPUTED_VALUE"""),"B")</f>
        <v>B</v>
      </c>
      <c r="E1522" s="80" t="str">
        <f ca="1">IFERROR(__xludf.DUMMYFUNCTION("""COMPUTED_VALUE"""),"J")</f>
        <v>J</v>
      </c>
      <c r="F1522" s="80" t="str">
        <f ca="1">IFERROR(__xludf.DUMMYFUNCTION("""COMPUTED_VALUE"""),"I")</f>
        <v>I</v>
      </c>
      <c r="G1522" s="80">
        <f ca="1">IFERROR(__xludf.DUMMYFUNCTION("""COMPUTED_VALUE"""),6)</f>
        <v>6</v>
      </c>
      <c r="H1522" s="80" t="str">
        <f ca="1">IFERROR(__xludf.DUMMYFUNCTION("""COMPUTED_VALUE"""),"OH")</f>
        <v>OH</v>
      </c>
      <c r="I1522" s="80">
        <f ca="1">IFERROR(__xludf.DUMMYFUNCTION("""COMPUTED_VALUE"""),5)</f>
        <v>5</v>
      </c>
      <c r="J1522" s="81">
        <f ca="1">IFERROR(__xludf.DUMMYFUNCTION("""COMPUTED_VALUE"""),5)</f>
        <v>5</v>
      </c>
      <c r="K1522" s="81">
        <f ca="1">IFERROR(__xludf.DUMMYFUNCTION("""COMPUTED_VALUE"""),54.25)</f>
        <v>54.25</v>
      </c>
      <c r="L1522" s="81">
        <f ca="1">IFERROR(__xludf.DUMMYFUNCTION("""COMPUTED_VALUE"""),39.8)</f>
        <v>39.799999999999997</v>
      </c>
      <c r="M1522" s="81"/>
      <c r="N1522" s="81">
        <f ca="1">IFERROR(__xludf.DUMMYFUNCTION("""COMPUTED_VALUE"""),30.3)</f>
        <v>30.3</v>
      </c>
      <c r="O1522" s="81"/>
      <c r="P1522" s="81">
        <f ca="1">IFERROR(__xludf.DUMMYFUNCTION("""COMPUTED_VALUE"""),54.25)</f>
        <v>54.25</v>
      </c>
      <c r="Q1522" s="81"/>
      <c r="R1522" s="81">
        <f ca="1">IFERROR(__xludf.DUMMYFUNCTION("""COMPUTED_VALUE"""),39.05)</f>
        <v>39.049999999999997</v>
      </c>
      <c r="S1522" s="81"/>
      <c r="T1522" s="81"/>
      <c r="U1522" s="82"/>
      <c r="V1522" s="82"/>
      <c r="W1522" s="83"/>
      <c r="X1522" s="83"/>
      <c r="Y1522" s="83"/>
    </row>
    <row r="1523" spans="1:25" ht="13.8">
      <c r="A1523" s="78" t="str">
        <f ca="1">IFERROR(__xludf.DUMMYFUNCTION("""COMPUTED_VALUE"""),"OH")</f>
        <v>OH</v>
      </c>
      <c r="B1523" s="79" t="str">
        <f ca="1">IFERROR(__xludf.DUMMYFUNCTION("""COMPUTED_VALUE"""),"Kotryna Bujokas")</f>
        <v>Kotryna Bujokas</v>
      </c>
      <c r="C1523" s="78">
        <f ca="1">IFERROR(__xludf.DUMMYFUNCTION("""COMPUTED_VALUE"""),13)</f>
        <v>13</v>
      </c>
      <c r="D1523" s="78" t="str">
        <f ca="1">IFERROR(__xludf.DUMMYFUNCTION("""COMPUTED_VALUE"""),"G")</f>
        <v>G</v>
      </c>
      <c r="E1523" s="80" t="str">
        <f ca="1">IFERROR(__xludf.DUMMYFUNCTION("""COMPUTED_VALUE"""),"I")</f>
        <v>I</v>
      </c>
      <c r="F1523" s="80" t="str">
        <f ca="1">IFERROR(__xludf.DUMMYFUNCTION("""COMPUTED_VALUE"""),"S")</f>
        <v>S</v>
      </c>
      <c r="G1523" s="80">
        <f ca="1">IFERROR(__xludf.DUMMYFUNCTION("""COMPUTED_VALUE"""),6)</f>
        <v>6</v>
      </c>
      <c r="H1523" s="80" t="str">
        <f ca="1">IFERROR(__xludf.DUMMYFUNCTION("""COMPUTED_VALUE"""),"OH")</f>
        <v>OH</v>
      </c>
      <c r="I1523" s="80">
        <f ca="1">IFERROR(__xludf.DUMMYFUNCTION("""COMPUTED_VALUE"""),6)</f>
        <v>6</v>
      </c>
      <c r="J1523" s="81">
        <f ca="1">IFERROR(__xludf.DUMMYFUNCTION("""COMPUTED_VALUE"""),4)</f>
        <v>4</v>
      </c>
      <c r="K1523" s="81">
        <f ca="1">IFERROR(__xludf.DUMMYFUNCTION("""COMPUTED_VALUE"""),111.95)</f>
        <v>111.95</v>
      </c>
      <c r="L1523" s="81">
        <f ca="1">IFERROR(__xludf.DUMMYFUNCTION("""COMPUTED_VALUE"""),0)</f>
        <v>0</v>
      </c>
      <c r="M1523" s="81"/>
      <c r="N1523" s="81">
        <f ca="1">IFERROR(__xludf.DUMMYFUNCTION("""COMPUTED_VALUE"""),109.7)</f>
        <v>109.7</v>
      </c>
      <c r="O1523" s="81"/>
      <c r="P1523" s="81">
        <f ca="1">IFERROR(__xludf.DUMMYFUNCTION("""COMPUTED_VALUE"""),111.95)</f>
        <v>111.95</v>
      </c>
      <c r="Q1523" s="81"/>
      <c r="R1523" s="81">
        <f ca="1">IFERROR(__xludf.DUMMYFUNCTION("""COMPUTED_VALUE"""),95.1)</f>
        <v>95.1</v>
      </c>
      <c r="S1523" s="81"/>
      <c r="T1523" s="81"/>
      <c r="U1523" s="82"/>
      <c r="V1523" s="82"/>
      <c r="W1523" s="83"/>
      <c r="X1523" s="83"/>
      <c r="Y1523" s="83"/>
    </row>
    <row r="1524" spans="1:25" ht="13.8">
      <c r="A1524" s="78" t="str">
        <f ca="1">IFERROR(__xludf.DUMMYFUNCTION("""COMPUTED_VALUE"""),"OH")</f>
        <v>OH</v>
      </c>
      <c r="B1524" s="79" t="str">
        <f ca="1">IFERROR(__xludf.DUMMYFUNCTION("""COMPUTED_VALUE"""),"Zumi Riekse")</f>
        <v>Zumi Riekse</v>
      </c>
      <c r="C1524" s="78">
        <f ca="1">IFERROR(__xludf.DUMMYFUNCTION("""COMPUTED_VALUE"""),14)</f>
        <v>14</v>
      </c>
      <c r="D1524" s="78" t="str">
        <f ca="1">IFERROR(__xludf.DUMMYFUNCTION("""COMPUTED_VALUE"""),"G")</f>
        <v>G</v>
      </c>
      <c r="E1524" s="80" t="str">
        <f ca="1">IFERROR(__xludf.DUMMYFUNCTION("""COMPUTED_VALUE"""),"I")</f>
        <v>I</v>
      </c>
      <c r="F1524" s="80" t="str">
        <f ca="1">IFERROR(__xludf.DUMMYFUNCTION("""COMPUTED_VALUE"""),"S")</f>
        <v>S</v>
      </c>
      <c r="G1524" s="80">
        <f ca="1">IFERROR(__xludf.DUMMYFUNCTION("""COMPUTED_VALUE"""),6)</f>
        <v>6</v>
      </c>
      <c r="H1524" s="80" t="str">
        <f ca="1">IFERROR(__xludf.DUMMYFUNCTION("""COMPUTED_VALUE"""),"OH")</f>
        <v>OH</v>
      </c>
      <c r="I1524" s="80">
        <f ca="1">IFERROR(__xludf.DUMMYFUNCTION("""COMPUTED_VALUE"""),6)</f>
        <v>6</v>
      </c>
      <c r="J1524" s="81">
        <f ca="1">IFERROR(__xludf.DUMMYFUNCTION("""COMPUTED_VALUE"""),3)</f>
        <v>3</v>
      </c>
      <c r="K1524" s="81">
        <f ca="1">IFERROR(__xludf.DUMMYFUNCTION("""COMPUTED_VALUE"""),97.4)</f>
        <v>97.4</v>
      </c>
      <c r="L1524" s="81">
        <f ca="1">IFERROR(__xludf.DUMMYFUNCTION("""COMPUTED_VALUE"""),97.4)</f>
        <v>97.4</v>
      </c>
      <c r="M1524" s="81"/>
      <c r="N1524" s="81">
        <f ca="1">IFERROR(__xludf.DUMMYFUNCTION("""COMPUTED_VALUE"""),96.15)</f>
        <v>96.15</v>
      </c>
      <c r="O1524" s="81"/>
      <c r="P1524" s="81">
        <f ca="1">IFERROR(__xludf.DUMMYFUNCTION("""COMPUTED_VALUE"""),0)</f>
        <v>0</v>
      </c>
      <c r="Q1524" s="81"/>
      <c r="R1524" s="81">
        <f ca="1">IFERROR(__xludf.DUMMYFUNCTION("""COMPUTED_VALUE"""),0)</f>
        <v>0</v>
      </c>
      <c r="S1524" s="81"/>
      <c r="T1524" s="81"/>
      <c r="U1524" s="82"/>
      <c r="V1524" s="82"/>
      <c r="W1524" s="83"/>
      <c r="X1524" s="83"/>
      <c r="Y1524" s="83"/>
    </row>
    <row r="1525" spans="1:25" ht="13.8">
      <c r="A1525" s="78" t="str">
        <f ca="1">IFERROR(__xludf.DUMMYFUNCTION("""COMPUTED_VALUE"""),"OH")</f>
        <v>OH</v>
      </c>
      <c r="B1525" s="79" t="str">
        <f ca="1">IFERROR(__xludf.DUMMYFUNCTION("""COMPUTED_VALUE"""),"Danie Wolfe")</f>
        <v>Danie Wolfe</v>
      </c>
      <c r="C1525" s="78">
        <f ca="1">IFERROR(__xludf.DUMMYFUNCTION("""COMPUTED_VALUE"""),13)</f>
        <v>13</v>
      </c>
      <c r="D1525" s="78" t="str">
        <f ca="1">IFERROR(__xludf.DUMMYFUNCTION("""COMPUTED_VALUE"""),"G")</f>
        <v>G</v>
      </c>
      <c r="E1525" s="80" t="str">
        <f ca="1">IFERROR(__xludf.DUMMYFUNCTION("""COMPUTED_VALUE"""),"I")</f>
        <v>I</v>
      </c>
      <c r="F1525" s="80" t="str">
        <f ca="1">IFERROR(__xludf.DUMMYFUNCTION("""COMPUTED_VALUE"""),"S")</f>
        <v>S</v>
      </c>
      <c r="G1525" s="80">
        <f ca="1">IFERROR(__xludf.DUMMYFUNCTION("""COMPUTED_VALUE"""),6)</f>
        <v>6</v>
      </c>
      <c r="H1525" s="80" t="str">
        <f ca="1">IFERROR(__xludf.DUMMYFUNCTION("""COMPUTED_VALUE"""),"OH")</f>
        <v>OH</v>
      </c>
      <c r="I1525" s="80">
        <f ca="1">IFERROR(__xludf.DUMMYFUNCTION("""COMPUTED_VALUE"""),6)</f>
        <v>6</v>
      </c>
      <c r="J1525" s="81">
        <f ca="1">IFERROR(__xludf.DUMMYFUNCTION("""COMPUTED_VALUE"""),4)</f>
        <v>4</v>
      </c>
      <c r="K1525" s="81">
        <f ca="1">IFERROR(__xludf.DUMMYFUNCTION("""COMPUTED_VALUE"""),88.25)</f>
        <v>88.25</v>
      </c>
      <c r="L1525" s="81">
        <f ca="1">IFERROR(__xludf.DUMMYFUNCTION("""COMPUTED_VALUE"""),0)</f>
        <v>0</v>
      </c>
      <c r="M1525" s="81"/>
      <c r="N1525" s="81">
        <f ca="1">IFERROR(__xludf.DUMMYFUNCTION("""COMPUTED_VALUE"""),87.35)</f>
        <v>87.35</v>
      </c>
      <c r="O1525" s="81"/>
      <c r="P1525" s="81">
        <f ca="1">IFERROR(__xludf.DUMMYFUNCTION("""COMPUTED_VALUE"""),88.25)</f>
        <v>88.25</v>
      </c>
      <c r="Q1525" s="81"/>
      <c r="R1525" s="81">
        <f ca="1">IFERROR(__xludf.DUMMYFUNCTION("""COMPUTED_VALUE"""),84.3)</f>
        <v>84.3</v>
      </c>
      <c r="S1525" s="81"/>
      <c r="T1525" s="81"/>
      <c r="U1525" s="82"/>
      <c r="V1525" s="82"/>
      <c r="W1525" s="83"/>
      <c r="X1525" s="83"/>
      <c r="Y1525" s="83"/>
    </row>
    <row r="1526" spans="1:25" ht="13.8">
      <c r="A1526" s="78" t="str">
        <f ca="1">IFERROR(__xludf.DUMMYFUNCTION("""COMPUTED_VALUE"""),"OH")</f>
        <v>OH</v>
      </c>
      <c r="B1526" s="79" t="str">
        <f ca="1">IFERROR(__xludf.DUMMYFUNCTION("""COMPUTED_VALUE"""),"Grant McClure")</f>
        <v>Grant McClure</v>
      </c>
      <c r="C1526" s="78">
        <f ca="1">IFERROR(__xludf.DUMMYFUNCTION("""COMPUTED_VALUE"""),13)</f>
        <v>13</v>
      </c>
      <c r="D1526" s="78" t="str">
        <f ca="1">IFERROR(__xludf.DUMMYFUNCTION("""COMPUTED_VALUE"""),"B")</f>
        <v>B</v>
      </c>
      <c r="E1526" s="80" t="str">
        <f ca="1">IFERROR(__xludf.DUMMYFUNCTION("""COMPUTED_VALUE"""),"I")</f>
        <v>I</v>
      </c>
      <c r="F1526" s="80" t="str">
        <f ca="1">IFERROR(__xludf.DUMMYFUNCTION("""COMPUTED_VALUE"""),"S")</f>
        <v>S</v>
      </c>
      <c r="G1526" s="80">
        <f ca="1">IFERROR(__xludf.DUMMYFUNCTION("""COMPUTED_VALUE"""),6)</f>
        <v>6</v>
      </c>
      <c r="H1526" s="80" t="str">
        <f ca="1">IFERROR(__xludf.DUMMYFUNCTION("""COMPUTED_VALUE"""),"OH")</f>
        <v>OH</v>
      </c>
      <c r="I1526" s="80">
        <f ca="1">IFERROR(__xludf.DUMMYFUNCTION("""COMPUTED_VALUE"""),7)</f>
        <v>7</v>
      </c>
      <c r="J1526" s="81">
        <f ca="1">IFERROR(__xludf.DUMMYFUNCTION("""COMPUTED_VALUE"""),5)</f>
        <v>5</v>
      </c>
      <c r="K1526" s="81">
        <f ca="1">IFERROR(__xludf.DUMMYFUNCTION("""COMPUTED_VALUE"""),131.85)</f>
        <v>131.85</v>
      </c>
      <c r="L1526" s="81">
        <f ca="1">IFERROR(__xludf.DUMMYFUNCTION("""COMPUTED_VALUE"""),111.8)</f>
        <v>111.8</v>
      </c>
      <c r="M1526" s="81"/>
      <c r="N1526" s="81">
        <f ca="1">IFERROR(__xludf.DUMMYFUNCTION("""COMPUTED_VALUE"""),106.25)</f>
        <v>106.25</v>
      </c>
      <c r="O1526" s="81"/>
      <c r="P1526" s="81">
        <f ca="1">IFERROR(__xludf.DUMMYFUNCTION("""COMPUTED_VALUE"""),107.4)</f>
        <v>107.4</v>
      </c>
      <c r="Q1526" s="81"/>
      <c r="R1526" s="81">
        <f ca="1">IFERROR(__xludf.DUMMYFUNCTION("""COMPUTED_VALUE"""),131.85)</f>
        <v>131.85</v>
      </c>
      <c r="S1526" s="81"/>
      <c r="T1526" s="81"/>
      <c r="U1526" s="82"/>
      <c r="V1526" s="82"/>
      <c r="W1526" s="83"/>
      <c r="X1526" s="83"/>
      <c r="Y1526" s="83"/>
    </row>
    <row r="1527" spans="1:25" ht="13.8">
      <c r="A1527" s="78" t="str">
        <f ca="1">IFERROR(__xludf.DUMMYFUNCTION("""COMPUTED_VALUE"""),"OH")</f>
        <v>OH</v>
      </c>
      <c r="B1527" s="79" t="str">
        <f ca="1">IFERROR(__xludf.DUMMYFUNCTION("""COMPUTED_VALUE"""),"Maggie Toth")</f>
        <v>Maggie Toth</v>
      </c>
      <c r="C1527" s="78">
        <f ca="1">IFERROR(__xludf.DUMMYFUNCTION("""COMPUTED_VALUE"""),18)</f>
        <v>18</v>
      </c>
      <c r="D1527" s="78" t="str">
        <f ca="1">IFERROR(__xludf.DUMMYFUNCTION("""COMPUTED_VALUE"""),"G")</f>
        <v>G</v>
      </c>
      <c r="E1527" s="80" t="str">
        <f ca="1">IFERROR(__xludf.DUMMYFUNCTION("""COMPUTED_VALUE"""),"S")</f>
        <v>S</v>
      </c>
      <c r="F1527" s="80" t="str">
        <f ca="1">IFERROR(__xludf.DUMMYFUNCTION("""COMPUTED_VALUE"""),"S")</f>
        <v>S</v>
      </c>
      <c r="G1527" s="80">
        <f ca="1">IFERROR(__xludf.DUMMYFUNCTION("""COMPUTED_VALUE"""),6)</f>
        <v>6</v>
      </c>
      <c r="H1527" s="80" t="str">
        <f ca="1">IFERROR(__xludf.DUMMYFUNCTION("""COMPUTED_VALUE"""),"OH")</f>
        <v>OH</v>
      </c>
      <c r="I1527" s="80">
        <f ca="1">IFERROR(__xludf.DUMMYFUNCTION("""COMPUTED_VALUE"""),8)</f>
        <v>8</v>
      </c>
      <c r="J1527" s="81">
        <f ca="1">IFERROR(__xludf.DUMMYFUNCTION("""COMPUTED_VALUE"""),4)</f>
        <v>4</v>
      </c>
      <c r="K1527" s="81">
        <f ca="1">IFERROR(__xludf.DUMMYFUNCTION("""COMPUTED_VALUE"""),179)</f>
        <v>179</v>
      </c>
      <c r="L1527" s="81">
        <f ca="1">IFERROR(__xludf.DUMMYFUNCTION("""COMPUTED_VALUE"""),177.4)</f>
        <v>177.4</v>
      </c>
      <c r="M1527" s="81"/>
      <c r="N1527" s="81">
        <f ca="1">IFERROR(__xludf.DUMMYFUNCTION("""COMPUTED_VALUE"""),141.5)</f>
        <v>141.5</v>
      </c>
      <c r="O1527" s="81"/>
      <c r="P1527" s="81">
        <f ca="1">IFERROR(__xludf.DUMMYFUNCTION("""COMPUTED_VALUE"""),176.55)</f>
        <v>176.55</v>
      </c>
      <c r="Q1527" s="81"/>
      <c r="R1527" s="81">
        <f ca="1">IFERROR(__xludf.DUMMYFUNCTION("""COMPUTED_VALUE"""),179)</f>
        <v>179</v>
      </c>
      <c r="S1527" s="81"/>
      <c r="T1527" s="81"/>
      <c r="U1527" s="82"/>
      <c r="V1527" s="82"/>
      <c r="W1527" s="83"/>
      <c r="X1527" s="83"/>
      <c r="Y1527" s="83"/>
    </row>
    <row r="1528" spans="1:25" ht="13.8">
      <c r="A1528" s="78" t="str">
        <f ca="1">IFERROR(__xludf.DUMMYFUNCTION("""COMPUTED_VALUE"""),"OKM")</f>
        <v>OKM</v>
      </c>
      <c r="B1528" s="79" t="str">
        <f ca="1">IFERROR(__xludf.DUMMYFUNCTION("""COMPUTED_VALUE"""),"Juliette Baldesi")</f>
        <v>Juliette Baldesi</v>
      </c>
      <c r="C1528" s="78">
        <f ca="1">IFERROR(__xludf.DUMMYFUNCTION("""COMPUTED_VALUE"""),7)</f>
        <v>7</v>
      </c>
      <c r="D1528" s="78" t="str">
        <f ca="1">IFERROR(__xludf.DUMMYFUNCTION("""COMPUTED_VALUE"""),"G")</f>
        <v>G</v>
      </c>
      <c r="E1528" s="80" t="str">
        <f ca="1">IFERROR(__xludf.DUMMYFUNCTION("""COMPUTED_VALUE"""),"F")</f>
        <v>F</v>
      </c>
      <c r="F1528" s="80" t="str">
        <f ca="1">IFERROR(__xludf.DUMMYFUNCTION("""COMPUTED_VALUE"""),"J")</f>
        <v>J</v>
      </c>
      <c r="G1528" s="80">
        <f ca="1">IFERROR(__xludf.DUMMYFUNCTION("""COMPUTED_VALUE"""),1)</f>
        <v>1</v>
      </c>
      <c r="H1528" s="80" t="str">
        <f ca="1">IFERROR(__xludf.DUMMYFUNCTION("""COMPUTED_VALUE"""),"OKM")</f>
        <v>OKM</v>
      </c>
      <c r="I1528" s="80">
        <f ca="1">IFERROR(__xludf.DUMMYFUNCTION("""COMPUTED_VALUE"""),2)</f>
        <v>2</v>
      </c>
      <c r="J1528" s="81">
        <f ca="1">IFERROR(__xludf.DUMMYFUNCTION("""COMPUTED_VALUE"""),5)</f>
        <v>5</v>
      </c>
      <c r="K1528" s="81">
        <f ca="1">IFERROR(__xludf.DUMMYFUNCTION("""COMPUTED_VALUE"""),22.7)</f>
        <v>22.7</v>
      </c>
      <c r="L1528" s="81">
        <f ca="1">IFERROR(__xludf.DUMMYFUNCTION("""COMPUTED_VALUE"""),3.25)</f>
        <v>3.25</v>
      </c>
      <c r="M1528" s="81"/>
      <c r="N1528" s="81">
        <f ca="1">IFERROR(__xludf.DUMMYFUNCTION("""COMPUTED_VALUE"""),20.5)</f>
        <v>20.5</v>
      </c>
      <c r="O1528" s="81"/>
      <c r="P1528" s="81">
        <f ca="1">IFERROR(__xludf.DUMMYFUNCTION("""COMPUTED_VALUE"""),20.95)</f>
        <v>20.95</v>
      </c>
      <c r="Q1528" s="81"/>
      <c r="R1528" s="81">
        <f ca="1">IFERROR(__xludf.DUMMYFUNCTION("""COMPUTED_VALUE"""),22.7)</f>
        <v>22.7</v>
      </c>
      <c r="S1528" s="81"/>
      <c r="T1528" s="81"/>
      <c r="U1528" s="82"/>
      <c r="V1528" s="82"/>
      <c r="W1528" s="83"/>
      <c r="X1528" s="83"/>
      <c r="Y1528" s="83"/>
    </row>
    <row r="1529" spans="1:25" ht="13.8">
      <c r="A1529" s="78" t="str">
        <f ca="1">IFERROR(__xludf.DUMMYFUNCTION("""COMPUTED_VALUE"""),"OKM")</f>
        <v>OKM</v>
      </c>
      <c r="B1529" s="79" t="str">
        <f ca="1">IFERROR(__xludf.DUMMYFUNCTION("""COMPUTED_VALUE"""),"Ada Goehring")</f>
        <v>Ada Goehring</v>
      </c>
      <c r="C1529" s="78">
        <f ca="1">IFERROR(__xludf.DUMMYFUNCTION("""COMPUTED_VALUE"""),7)</f>
        <v>7</v>
      </c>
      <c r="D1529" s="78" t="str">
        <f ca="1">IFERROR(__xludf.DUMMYFUNCTION("""COMPUTED_VALUE"""),"G")</f>
        <v>G</v>
      </c>
      <c r="E1529" s="80" t="str">
        <f ca="1">IFERROR(__xludf.DUMMYFUNCTION("""COMPUTED_VALUE"""),"F")</f>
        <v>F</v>
      </c>
      <c r="F1529" s="80" t="str">
        <f ca="1">IFERROR(__xludf.DUMMYFUNCTION("""COMPUTED_VALUE"""),"J")</f>
        <v>J</v>
      </c>
      <c r="G1529" s="80">
        <f ca="1">IFERROR(__xludf.DUMMYFUNCTION("""COMPUTED_VALUE"""),1)</f>
        <v>1</v>
      </c>
      <c r="H1529" s="80" t="str">
        <f ca="1">IFERROR(__xludf.DUMMYFUNCTION("""COMPUTED_VALUE"""),"OKM")</f>
        <v>OKM</v>
      </c>
      <c r="I1529" s="80">
        <f ca="1">IFERROR(__xludf.DUMMYFUNCTION("""COMPUTED_VALUE"""),2)</f>
        <v>2</v>
      </c>
      <c r="J1529" s="81">
        <f ca="1">IFERROR(__xludf.DUMMYFUNCTION("""COMPUTED_VALUE"""),2)</f>
        <v>2</v>
      </c>
      <c r="K1529" s="81">
        <f ca="1">IFERROR(__xludf.DUMMYFUNCTION("""COMPUTED_VALUE"""),50.15)</f>
        <v>50.15</v>
      </c>
      <c r="L1529" s="81">
        <f ca="1">IFERROR(__xludf.DUMMYFUNCTION("""COMPUTED_VALUE"""),43)</f>
        <v>43</v>
      </c>
      <c r="M1529" s="81"/>
      <c r="N1529" s="81">
        <f ca="1">IFERROR(__xludf.DUMMYFUNCTION("""COMPUTED_VALUE"""),50.15)</f>
        <v>50.15</v>
      </c>
      <c r="O1529" s="81"/>
      <c r="P1529" s="81">
        <f ca="1">IFERROR(__xludf.DUMMYFUNCTION("""COMPUTED_VALUE"""),0)</f>
        <v>0</v>
      </c>
      <c r="Q1529" s="81"/>
      <c r="R1529" s="81">
        <f ca="1">IFERROR(__xludf.DUMMYFUNCTION("""COMPUTED_VALUE"""),0)</f>
        <v>0</v>
      </c>
      <c r="S1529" s="81"/>
      <c r="T1529" s="81"/>
      <c r="U1529" s="82"/>
      <c r="V1529" s="82"/>
      <c r="W1529" s="83"/>
      <c r="X1529" s="83"/>
      <c r="Y1529" s="83"/>
    </row>
    <row r="1530" spans="1:25" ht="13.8">
      <c r="A1530" s="78" t="str">
        <f ca="1">IFERROR(__xludf.DUMMYFUNCTION("""COMPUTED_VALUE"""),"OKM")</f>
        <v>OKM</v>
      </c>
      <c r="B1530" s="79" t="str">
        <f ca="1">IFERROR(__xludf.DUMMYFUNCTION("""COMPUTED_VALUE"""),"Grace Goehring")</f>
        <v>Grace Goehring</v>
      </c>
      <c r="C1530" s="78">
        <f ca="1">IFERROR(__xludf.DUMMYFUNCTION("""COMPUTED_VALUE"""),10)</f>
        <v>10</v>
      </c>
      <c r="D1530" s="78" t="str">
        <f ca="1">IFERROR(__xludf.DUMMYFUNCTION("""COMPUTED_VALUE"""),"G")</f>
        <v>G</v>
      </c>
      <c r="E1530" s="80" t="str">
        <f ca="1">IFERROR(__xludf.DUMMYFUNCTION("""COMPUTED_VALUE"""),"F")</f>
        <v>F</v>
      </c>
      <c r="F1530" s="80" t="str">
        <f ca="1">IFERROR(__xludf.DUMMYFUNCTION("""COMPUTED_VALUE"""),"J")</f>
        <v>J</v>
      </c>
      <c r="G1530" s="80">
        <f ca="1">IFERROR(__xludf.DUMMYFUNCTION("""COMPUTED_VALUE"""),1)</f>
        <v>1</v>
      </c>
      <c r="H1530" s="80" t="str">
        <f ca="1">IFERROR(__xludf.DUMMYFUNCTION("""COMPUTED_VALUE"""),"OKM")</f>
        <v>OKM</v>
      </c>
      <c r="I1530" s="80">
        <f ca="1">IFERROR(__xludf.DUMMYFUNCTION("""COMPUTED_VALUE"""),2)</f>
        <v>2</v>
      </c>
      <c r="J1530" s="81">
        <f ca="1">IFERROR(__xludf.DUMMYFUNCTION("""COMPUTED_VALUE"""),2)</f>
        <v>2</v>
      </c>
      <c r="K1530" s="81">
        <f ca="1">IFERROR(__xludf.DUMMYFUNCTION("""COMPUTED_VALUE"""),57.3)</f>
        <v>57.3</v>
      </c>
      <c r="L1530" s="81">
        <f ca="1">IFERROR(__xludf.DUMMYFUNCTION("""COMPUTED_VALUE"""),37.05)</f>
        <v>37.049999999999997</v>
      </c>
      <c r="M1530" s="81"/>
      <c r="N1530" s="81">
        <f ca="1">IFERROR(__xludf.DUMMYFUNCTION("""COMPUTED_VALUE"""),57.3)</f>
        <v>57.3</v>
      </c>
      <c r="O1530" s="81"/>
      <c r="P1530" s="81">
        <f ca="1">IFERROR(__xludf.DUMMYFUNCTION("""COMPUTED_VALUE"""),0)</f>
        <v>0</v>
      </c>
      <c r="Q1530" s="81"/>
      <c r="R1530" s="81">
        <f ca="1">IFERROR(__xludf.DUMMYFUNCTION("""COMPUTED_VALUE"""),0)</f>
        <v>0</v>
      </c>
      <c r="S1530" s="81"/>
      <c r="T1530" s="81"/>
      <c r="U1530" s="82"/>
      <c r="V1530" s="82"/>
      <c r="W1530" s="83"/>
      <c r="X1530" s="83"/>
      <c r="Y1530" s="83"/>
    </row>
    <row r="1531" spans="1:25" ht="13.8">
      <c r="A1531" s="78" t="str">
        <f ca="1">IFERROR(__xludf.DUMMYFUNCTION("""COMPUTED_VALUE"""),"OKM")</f>
        <v>OKM</v>
      </c>
      <c r="B1531" s="79" t="str">
        <f ca="1">IFERROR(__xludf.DUMMYFUNCTION("""COMPUTED_VALUE"""),"Samantha Kluger")</f>
        <v>Samantha Kluger</v>
      </c>
      <c r="C1531" s="78">
        <f ca="1">IFERROR(__xludf.DUMMYFUNCTION("""COMPUTED_VALUE"""),10)</f>
        <v>10</v>
      </c>
      <c r="D1531" s="78" t="str">
        <f ca="1">IFERROR(__xludf.DUMMYFUNCTION("""COMPUTED_VALUE"""),"G")</f>
        <v>G</v>
      </c>
      <c r="E1531" s="80" t="str">
        <f ca="1">IFERROR(__xludf.DUMMYFUNCTION("""COMPUTED_VALUE"""),"F")</f>
        <v>F</v>
      </c>
      <c r="F1531" s="80" t="str">
        <f ca="1">IFERROR(__xludf.DUMMYFUNCTION("""COMPUTED_VALUE"""),"J")</f>
        <v>J</v>
      </c>
      <c r="G1531" s="80">
        <f ca="1">IFERROR(__xludf.DUMMYFUNCTION("""COMPUTED_VALUE"""),1)</f>
        <v>1</v>
      </c>
      <c r="H1531" s="80" t="str">
        <f ca="1">IFERROR(__xludf.DUMMYFUNCTION("""COMPUTED_VALUE"""),"OKM")</f>
        <v>OKM</v>
      </c>
      <c r="I1531" s="80">
        <f ca="1">IFERROR(__xludf.DUMMYFUNCTION("""COMPUTED_VALUE"""),2)</f>
        <v>2</v>
      </c>
      <c r="J1531" s="81">
        <f ca="1">IFERROR(__xludf.DUMMYFUNCTION("""COMPUTED_VALUE"""),4)</f>
        <v>4</v>
      </c>
      <c r="K1531" s="81">
        <f ca="1">IFERROR(__xludf.DUMMYFUNCTION("""COMPUTED_VALUE"""),69.7)</f>
        <v>69.7</v>
      </c>
      <c r="L1531" s="81">
        <f ca="1">IFERROR(__xludf.DUMMYFUNCTION("""COMPUTED_VALUE"""),0)</f>
        <v>0</v>
      </c>
      <c r="M1531" s="81"/>
      <c r="N1531" s="81">
        <f ca="1">IFERROR(__xludf.DUMMYFUNCTION("""COMPUTED_VALUE"""),64.2)</f>
        <v>64.2</v>
      </c>
      <c r="O1531" s="81"/>
      <c r="P1531" s="81">
        <f ca="1">IFERROR(__xludf.DUMMYFUNCTION("""COMPUTED_VALUE"""),60)</f>
        <v>60</v>
      </c>
      <c r="Q1531" s="81"/>
      <c r="R1531" s="81">
        <f ca="1">IFERROR(__xludf.DUMMYFUNCTION("""COMPUTED_VALUE"""),69.7)</f>
        <v>69.7</v>
      </c>
      <c r="S1531" s="81"/>
      <c r="T1531" s="81"/>
      <c r="U1531" s="82"/>
      <c r="V1531" s="82"/>
      <c r="W1531" s="83"/>
      <c r="X1531" s="83"/>
      <c r="Y1531" s="83"/>
    </row>
    <row r="1532" spans="1:25" ht="13.8">
      <c r="A1532" s="78" t="str">
        <f ca="1">IFERROR(__xludf.DUMMYFUNCTION("""COMPUTED_VALUE"""),"OKM")</f>
        <v>OKM</v>
      </c>
      <c r="B1532" s="79" t="str">
        <f ca="1">IFERROR(__xludf.DUMMYFUNCTION("""COMPUTED_VALUE"""),"Vivian Lightfoot")</f>
        <v>Vivian Lightfoot</v>
      </c>
      <c r="C1532" s="78">
        <f ca="1">IFERROR(__xludf.DUMMYFUNCTION("""COMPUTED_VALUE"""),9)</f>
        <v>9</v>
      </c>
      <c r="D1532" s="78" t="str">
        <f ca="1">IFERROR(__xludf.DUMMYFUNCTION("""COMPUTED_VALUE"""),"G")</f>
        <v>G</v>
      </c>
      <c r="E1532" s="80" t="str">
        <f ca="1">IFERROR(__xludf.DUMMYFUNCTION("""COMPUTED_VALUE"""),"F")</f>
        <v>F</v>
      </c>
      <c r="F1532" s="80" t="str">
        <f ca="1">IFERROR(__xludf.DUMMYFUNCTION("""COMPUTED_VALUE"""),"J")</f>
        <v>J</v>
      </c>
      <c r="G1532" s="80">
        <f ca="1">IFERROR(__xludf.DUMMYFUNCTION("""COMPUTED_VALUE"""),1)</f>
        <v>1</v>
      </c>
      <c r="H1532" s="80" t="str">
        <f ca="1">IFERROR(__xludf.DUMMYFUNCTION("""COMPUTED_VALUE"""),"OKM")</f>
        <v>OKM</v>
      </c>
      <c r="I1532" s="80">
        <f ca="1">IFERROR(__xludf.DUMMYFUNCTION("""COMPUTED_VALUE"""),2)</f>
        <v>2</v>
      </c>
      <c r="J1532" s="81">
        <f ca="1">IFERROR(__xludf.DUMMYFUNCTION("""COMPUTED_VALUE"""),4)</f>
        <v>4</v>
      </c>
      <c r="K1532" s="81">
        <f ca="1">IFERROR(__xludf.DUMMYFUNCTION("""COMPUTED_VALUE"""),69.1)</f>
        <v>69.099999999999994</v>
      </c>
      <c r="L1532" s="81">
        <f ca="1">IFERROR(__xludf.DUMMYFUNCTION("""COMPUTED_VALUE"""),62.85)</f>
        <v>62.85</v>
      </c>
      <c r="M1532" s="81"/>
      <c r="N1532" s="81">
        <f ca="1">IFERROR(__xludf.DUMMYFUNCTION("""COMPUTED_VALUE"""),69.1)</f>
        <v>69.099999999999994</v>
      </c>
      <c r="O1532" s="81"/>
      <c r="P1532" s="81">
        <f ca="1">IFERROR(__xludf.DUMMYFUNCTION("""COMPUTED_VALUE"""),65.95)</f>
        <v>65.95</v>
      </c>
      <c r="Q1532" s="81"/>
      <c r="R1532" s="81">
        <f ca="1">IFERROR(__xludf.DUMMYFUNCTION("""COMPUTED_VALUE"""),0)</f>
        <v>0</v>
      </c>
      <c r="S1532" s="81"/>
      <c r="T1532" s="81"/>
      <c r="U1532" s="82"/>
      <c r="V1532" s="82"/>
      <c r="W1532" s="83"/>
      <c r="X1532" s="83"/>
      <c r="Y1532" s="83"/>
    </row>
    <row r="1533" spans="1:25" ht="13.8">
      <c r="A1533" s="78" t="str">
        <f ca="1">IFERROR(__xludf.DUMMYFUNCTION("""COMPUTED_VALUE"""),"OKM")</f>
        <v>OKM</v>
      </c>
      <c r="B1533" s="79" t="str">
        <f ca="1">IFERROR(__xludf.DUMMYFUNCTION("""COMPUTED_VALUE"""),"Emma Mallis")</f>
        <v>Emma Mallis</v>
      </c>
      <c r="C1533" s="78">
        <f ca="1">IFERROR(__xludf.DUMMYFUNCTION("""COMPUTED_VALUE"""),9)</f>
        <v>9</v>
      </c>
      <c r="D1533" s="78" t="str">
        <f ca="1">IFERROR(__xludf.DUMMYFUNCTION("""COMPUTED_VALUE"""),"G")</f>
        <v>G</v>
      </c>
      <c r="E1533" s="80" t="str">
        <f ca="1">IFERROR(__xludf.DUMMYFUNCTION("""COMPUTED_VALUE"""),"F")</f>
        <v>F</v>
      </c>
      <c r="F1533" s="80" t="str">
        <f ca="1">IFERROR(__xludf.DUMMYFUNCTION("""COMPUTED_VALUE"""),"J")</f>
        <v>J</v>
      </c>
      <c r="G1533" s="80">
        <f ca="1">IFERROR(__xludf.DUMMYFUNCTION("""COMPUTED_VALUE"""),1)</f>
        <v>1</v>
      </c>
      <c r="H1533" s="80" t="str">
        <f ca="1">IFERROR(__xludf.DUMMYFUNCTION("""COMPUTED_VALUE"""),"OKM")</f>
        <v>OKM</v>
      </c>
      <c r="I1533" s="80">
        <f ca="1">IFERROR(__xludf.DUMMYFUNCTION("""COMPUTED_VALUE"""),2)</f>
        <v>2</v>
      </c>
      <c r="J1533" s="81">
        <f ca="1">IFERROR(__xludf.DUMMYFUNCTION("""COMPUTED_VALUE"""),2)</f>
        <v>2</v>
      </c>
      <c r="K1533" s="81">
        <f ca="1">IFERROR(__xludf.DUMMYFUNCTION("""COMPUTED_VALUE"""),29.5)</f>
        <v>29.5</v>
      </c>
      <c r="L1533" s="81">
        <f ca="1">IFERROR(__xludf.DUMMYFUNCTION("""COMPUTED_VALUE"""),0)</f>
        <v>0</v>
      </c>
      <c r="M1533" s="81"/>
      <c r="N1533" s="81">
        <f ca="1">IFERROR(__xludf.DUMMYFUNCTION("""COMPUTED_VALUE"""),29.5)</f>
        <v>29.5</v>
      </c>
      <c r="O1533" s="81"/>
      <c r="P1533" s="81">
        <f ca="1">IFERROR(__xludf.DUMMYFUNCTION("""COMPUTED_VALUE"""),0)</f>
        <v>0</v>
      </c>
      <c r="Q1533" s="81"/>
      <c r="R1533" s="81">
        <f ca="1">IFERROR(__xludf.DUMMYFUNCTION("""COMPUTED_VALUE"""),0)</f>
        <v>0</v>
      </c>
      <c r="S1533" s="81"/>
      <c r="T1533" s="81"/>
      <c r="U1533" s="82"/>
      <c r="V1533" s="82"/>
      <c r="W1533" s="83"/>
      <c r="X1533" s="83"/>
      <c r="Y1533" s="83"/>
    </row>
    <row r="1534" spans="1:25" ht="13.8">
      <c r="A1534" s="78" t="str">
        <f ca="1">IFERROR(__xludf.DUMMYFUNCTION("""COMPUTED_VALUE"""),"OKM")</f>
        <v>OKM</v>
      </c>
      <c r="B1534" s="79" t="str">
        <f ca="1">IFERROR(__xludf.DUMMYFUNCTION("""COMPUTED_VALUE"""),"Hannah Neumann")</f>
        <v>Hannah Neumann</v>
      </c>
      <c r="C1534" s="78">
        <f ca="1">IFERROR(__xludf.DUMMYFUNCTION("""COMPUTED_VALUE"""),8)</f>
        <v>8</v>
      </c>
      <c r="D1534" s="78" t="str">
        <f ca="1">IFERROR(__xludf.DUMMYFUNCTION("""COMPUTED_VALUE"""),"G")</f>
        <v>G</v>
      </c>
      <c r="E1534" s="80" t="str">
        <f ca="1">IFERROR(__xludf.DUMMYFUNCTION("""COMPUTED_VALUE"""),"F")</f>
        <v>F</v>
      </c>
      <c r="F1534" s="80" t="str">
        <f ca="1">IFERROR(__xludf.DUMMYFUNCTION("""COMPUTED_VALUE"""),"J")</f>
        <v>J</v>
      </c>
      <c r="G1534" s="80">
        <f ca="1">IFERROR(__xludf.DUMMYFUNCTION("""COMPUTED_VALUE"""),1)</f>
        <v>1</v>
      </c>
      <c r="H1534" s="80" t="str">
        <f ca="1">IFERROR(__xludf.DUMMYFUNCTION("""COMPUTED_VALUE"""),"OKM")</f>
        <v>OKM</v>
      </c>
      <c r="I1534" s="80">
        <f ca="1">IFERROR(__xludf.DUMMYFUNCTION("""COMPUTED_VALUE"""),2)</f>
        <v>2</v>
      </c>
      <c r="J1534" s="81">
        <f ca="1">IFERROR(__xludf.DUMMYFUNCTION("""COMPUTED_VALUE"""),0)</f>
        <v>0</v>
      </c>
      <c r="K1534" s="81">
        <f ca="1">IFERROR(__xludf.DUMMYFUNCTION("""COMPUTED_VALUE"""),0)</f>
        <v>0</v>
      </c>
      <c r="L1534" s="81">
        <f ca="1">IFERROR(__xludf.DUMMYFUNCTION("""COMPUTED_VALUE"""),0)</f>
        <v>0</v>
      </c>
      <c r="M1534" s="81"/>
      <c r="N1534" s="81">
        <f ca="1">IFERROR(__xludf.DUMMYFUNCTION("""COMPUTED_VALUE"""),0)</f>
        <v>0</v>
      </c>
      <c r="O1534" s="81"/>
      <c r="P1534" s="81">
        <f ca="1">IFERROR(__xludf.DUMMYFUNCTION("""COMPUTED_VALUE"""),0)</f>
        <v>0</v>
      </c>
      <c r="Q1534" s="81"/>
      <c r="R1534" s="81">
        <f ca="1">IFERROR(__xludf.DUMMYFUNCTION("""COMPUTED_VALUE"""),0)</f>
        <v>0</v>
      </c>
      <c r="S1534" s="81"/>
      <c r="T1534" s="81"/>
      <c r="U1534" s="82"/>
      <c r="V1534" s="82"/>
      <c r="W1534" s="83"/>
      <c r="X1534" s="83"/>
      <c r="Y1534" s="83"/>
    </row>
    <row r="1535" spans="1:25" ht="13.8">
      <c r="A1535" s="78" t="str">
        <f ca="1">IFERROR(__xludf.DUMMYFUNCTION("""COMPUTED_VALUE"""),"OKM")</f>
        <v>OKM</v>
      </c>
      <c r="B1535" s="79" t="str">
        <f ca="1">IFERROR(__xludf.DUMMYFUNCTION("""COMPUTED_VALUE"""),"Anya Osterhout")</f>
        <v>Anya Osterhout</v>
      </c>
      <c r="C1535" s="78">
        <f ca="1">IFERROR(__xludf.DUMMYFUNCTION("""COMPUTED_VALUE"""),10)</f>
        <v>10</v>
      </c>
      <c r="D1535" s="78" t="str">
        <f ca="1">IFERROR(__xludf.DUMMYFUNCTION("""COMPUTED_VALUE"""),"G")</f>
        <v>G</v>
      </c>
      <c r="E1535" s="80" t="str">
        <f ca="1">IFERROR(__xludf.DUMMYFUNCTION("""COMPUTED_VALUE"""),"F")</f>
        <v>F</v>
      </c>
      <c r="F1535" s="80" t="str">
        <f ca="1">IFERROR(__xludf.DUMMYFUNCTION("""COMPUTED_VALUE"""),"J")</f>
        <v>J</v>
      </c>
      <c r="G1535" s="80">
        <f ca="1">IFERROR(__xludf.DUMMYFUNCTION("""COMPUTED_VALUE"""),1)</f>
        <v>1</v>
      </c>
      <c r="H1535" s="80" t="str">
        <f ca="1">IFERROR(__xludf.DUMMYFUNCTION("""COMPUTED_VALUE"""),"OKM")</f>
        <v>OKM</v>
      </c>
      <c r="I1535" s="80">
        <f ca="1">IFERROR(__xludf.DUMMYFUNCTION("""COMPUTED_VALUE"""),2)</f>
        <v>2</v>
      </c>
      <c r="J1535" s="81">
        <f ca="1">IFERROR(__xludf.DUMMYFUNCTION("""COMPUTED_VALUE"""),5)</f>
        <v>5</v>
      </c>
      <c r="K1535" s="81">
        <f ca="1">IFERROR(__xludf.DUMMYFUNCTION("""COMPUTED_VALUE"""),81.2)</f>
        <v>81.2</v>
      </c>
      <c r="L1535" s="81">
        <f ca="1">IFERROR(__xludf.DUMMYFUNCTION("""COMPUTED_VALUE"""),-94)</f>
        <v>-94</v>
      </c>
      <c r="M1535" s="81"/>
      <c r="N1535" s="81">
        <f ca="1">IFERROR(__xludf.DUMMYFUNCTION("""COMPUTED_VALUE"""),70.05)</f>
        <v>70.05</v>
      </c>
      <c r="O1535" s="81"/>
      <c r="P1535" s="81">
        <f ca="1">IFERROR(__xludf.DUMMYFUNCTION("""COMPUTED_VALUE"""),74.85)</f>
        <v>74.849999999999994</v>
      </c>
      <c r="Q1535" s="81"/>
      <c r="R1535" s="81">
        <f ca="1">IFERROR(__xludf.DUMMYFUNCTION("""COMPUTED_VALUE"""),81.2)</f>
        <v>81.2</v>
      </c>
      <c r="S1535" s="81"/>
      <c r="T1535" s="81"/>
      <c r="U1535" s="82"/>
      <c r="V1535" s="82"/>
      <c r="W1535" s="83"/>
      <c r="X1535" s="83"/>
      <c r="Y1535" s="83"/>
    </row>
    <row r="1536" spans="1:25" ht="13.8">
      <c r="A1536" s="78" t="str">
        <f ca="1">IFERROR(__xludf.DUMMYFUNCTION("""COMPUTED_VALUE"""),"OKM")</f>
        <v>OKM</v>
      </c>
      <c r="B1536" s="79" t="str">
        <f ca="1">IFERROR(__xludf.DUMMYFUNCTION("""COMPUTED_VALUE"""),"Alex Shrieves")</f>
        <v>Alex Shrieves</v>
      </c>
      <c r="C1536" s="78">
        <f ca="1">IFERROR(__xludf.DUMMYFUNCTION("""COMPUTED_VALUE"""),6)</f>
        <v>6</v>
      </c>
      <c r="D1536" s="78" t="str">
        <f ca="1">IFERROR(__xludf.DUMMYFUNCTION("""COMPUTED_VALUE"""),"G")</f>
        <v>G</v>
      </c>
      <c r="E1536" s="80" t="str">
        <f ca="1">IFERROR(__xludf.DUMMYFUNCTION("""COMPUTED_VALUE"""),"F")</f>
        <v>F</v>
      </c>
      <c r="F1536" s="80" t="str">
        <f ca="1">IFERROR(__xludf.DUMMYFUNCTION("""COMPUTED_VALUE"""),"J")</f>
        <v>J</v>
      </c>
      <c r="G1536" s="80">
        <f ca="1">IFERROR(__xludf.DUMMYFUNCTION("""COMPUTED_VALUE"""),1)</f>
        <v>1</v>
      </c>
      <c r="H1536" s="80" t="str">
        <f ca="1">IFERROR(__xludf.DUMMYFUNCTION("""COMPUTED_VALUE"""),"OKM")</f>
        <v>OKM</v>
      </c>
      <c r="I1536" s="80">
        <f ca="1">IFERROR(__xludf.DUMMYFUNCTION("""COMPUTED_VALUE"""),2)</f>
        <v>2</v>
      </c>
      <c r="J1536" s="81">
        <f ca="1">IFERROR(__xludf.DUMMYFUNCTION("""COMPUTED_VALUE"""),0)</f>
        <v>0</v>
      </c>
      <c r="K1536" s="81">
        <f ca="1">IFERROR(__xludf.DUMMYFUNCTION("""COMPUTED_VALUE"""),0)</f>
        <v>0</v>
      </c>
      <c r="L1536" s="81">
        <f ca="1">IFERROR(__xludf.DUMMYFUNCTION("""COMPUTED_VALUE"""),0)</f>
        <v>0</v>
      </c>
      <c r="M1536" s="81"/>
      <c r="N1536" s="81">
        <f ca="1">IFERROR(__xludf.DUMMYFUNCTION("""COMPUTED_VALUE"""),0)</f>
        <v>0</v>
      </c>
      <c r="O1536" s="81"/>
      <c r="P1536" s="81">
        <f ca="1">IFERROR(__xludf.DUMMYFUNCTION("""COMPUTED_VALUE"""),0)</f>
        <v>0</v>
      </c>
      <c r="Q1536" s="81"/>
      <c r="R1536" s="81">
        <f ca="1">IFERROR(__xludf.DUMMYFUNCTION("""COMPUTED_VALUE"""),0)</f>
        <v>0</v>
      </c>
      <c r="S1536" s="81"/>
      <c r="T1536" s="81"/>
      <c r="U1536" s="82"/>
      <c r="V1536" s="82"/>
      <c r="W1536" s="83"/>
      <c r="X1536" s="83"/>
      <c r="Y1536" s="83"/>
    </row>
    <row r="1537" spans="1:25" ht="13.8">
      <c r="A1537" s="78" t="str">
        <f ca="1">IFERROR(__xludf.DUMMYFUNCTION("""COMPUTED_VALUE"""),"OKM")</f>
        <v>OKM</v>
      </c>
      <c r="B1537" s="79" t="str">
        <f ca="1">IFERROR(__xludf.DUMMYFUNCTION("""COMPUTED_VALUE"""),"Maddie Speed")</f>
        <v>Maddie Speed</v>
      </c>
      <c r="C1537" s="78">
        <f ca="1">IFERROR(__xludf.DUMMYFUNCTION("""COMPUTED_VALUE"""),10)</f>
        <v>10</v>
      </c>
      <c r="D1537" s="78" t="str">
        <f ca="1">IFERROR(__xludf.DUMMYFUNCTION("""COMPUTED_VALUE"""),"G")</f>
        <v>G</v>
      </c>
      <c r="E1537" s="80" t="str">
        <f ca="1">IFERROR(__xludf.DUMMYFUNCTION("""COMPUTED_VALUE"""),"F")</f>
        <v>F</v>
      </c>
      <c r="F1537" s="80" t="str">
        <f ca="1">IFERROR(__xludf.DUMMYFUNCTION("""COMPUTED_VALUE"""),"J")</f>
        <v>J</v>
      </c>
      <c r="G1537" s="80">
        <f ca="1">IFERROR(__xludf.DUMMYFUNCTION("""COMPUTED_VALUE"""),1)</f>
        <v>1</v>
      </c>
      <c r="H1537" s="80" t="str">
        <f ca="1">IFERROR(__xludf.DUMMYFUNCTION("""COMPUTED_VALUE"""),"OKM")</f>
        <v>OKM</v>
      </c>
      <c r="I1537" s="80">
        <f ca="1">IFERROR(__xludf.DUMMYFUNCTION("""COMPUTED_VALUE"""),2)</f>
        <v>2</v>
      </c>
      <c r="J1537" s="81">
        <f ca="1">IFERROR(__xludf.DUMMYFUNCTION("""COMPUTED_VALUE"""),0)</f>
        <v>0</v>
      </c>
      <c r="K1537" s="81">
        <f ca="1">IFERROR(__xludf.DUMMYFUNCTION("""COMPUTED_VALUE"""),0)</f>
        <v>0</v>
      </c>
      <c r="L1537" s="81">
        <f ca="1">IFERROR(__xludf.DUMMYFUNCTION("""COMPUTED_VALUE"""),0)</f>
        <v>0</v>
      </c>
      <c r="M1537" s="81"/>
      <c r="N1537" s="81">
        <f ca="1">IFERROR(__xludf.DUMMYFUNCTION("""COMPUTED_VALUE"""),0)</f>
        <v>0</v>
      </c>
      <c r="O1537" s="81"/>
      <c r="P1537" s="81">
        <f ca="1">IFERROR(__xludf.DUMMYFUNCTION("""COMPUTED_VALUE"""),0)</f>
        <v>0</v>
      </c>
      <c r="Q1537" s="81"/>
      <c r="R1537" s="81">
        <f ca="1">IFERROR(__xludf.DUMMYFUNCTION("""COMPUTED_VALUE"""),0)</f>
        <v>0</v>
      </c>
      <c r="S1537" s="81"/>
      <c r="T1537" s="81"/>
      <c r="U1537" s="82"/>
      <c r="V1537" s="82"/>
      <c r="W1537" s="83"/>
      <c r="X1537" s="83"/>
      <c r="Y1537" s="83"/>
    </row>
    <row r="1538" spans="1:25" ht="13.8">
      <c r="A1538" s="78" t="str">
        <f ca="1">IFERROR(__xludf.DUMMYFUNCTION("""COMPUTED_VALUE"""),"OKM")</f>
        <v>OKM</v>
      </c>
      <c r="B1538" s="79" t="str">
        <f ca="1">IFERROR(__xludf.DUMMYFUNCTION("""COMPUTED_VALUE"""),"Shannon Stegmaier")</f>
        <v>Shannon Stegmaier</v>
      </c>
      <c r="C1538" s="78">
        <f ca="1">IFERROR(__xludf.DUMMYFUNCTION("""COMPUTED_VALUE"""),10)</f>
        <v>10</v>
      </c>
      <c r="D1538" s="78" t="str">
        <f ca="1">IFERROR(__xludf.DUMMYFUNCTION("""COMPUTED_VALUE"""),"G")</f>
        <v>G</v>
      </c>
      <c r="E1538" s="80" t="str">
        <f ca="1">IFERROR(__xludf.DUMMYFUNCTION("""COMPUTED_VALUE"""),"F")</f>
        <v>F</v>
      </c>
      <c r="F1538" s="80" t="str">
        <f ca="1">IFERROR(__xludf.DUMMYFUNCTION("""COMPUTED_VALUE"""),"J")</f>
        <v>J</v>
      </c>
      <c r="G1538" s="80">
        <f ca="1">IFERROR(__xludf.DUMMYFUNCTION("""COMPUTED_VALUE"""),1)</f>
        <v>1</v>
      </c>
      <c r="H1538" s="80" t="str">
        <f ca="1">IFERROR(__xludf.DUMMYFUNCTION("""COMPUTED_VALUE"""),"OKM")</f>
        <v>OKM</v>
      </c>
      <c r="I1538" s="80">
        <f ca="1">IFERROR(__xludf.DUMMYFUNCTION("""COMPUTED_VALUE"""),2)</f>
        <v>2</v>
      </c>
      <c r="J1538" s="81">
        <f ca="1">IFERROR(__xludf.DUMMYFUNCTION("""COMPUTED_VALUE"""),4)</f>
        <v>4</v>
      </c>
      <c r="K1538" s="81">
        <f ca="1">IFERROR(__xludf.DUMMYFUNCTION("""COMPUTED_VALUE"""),62.5)</f>
        <v>62.5</v>
      </c>
      <c r="L1538" s="81">
        <f ca="1">IFERROR(__xludf.DUMMYFUNCTION("""COMPUTED_VALUE"""),41.35)</f>
        <v>41.35</v>
      </c>
      <c r="M1538" s="81"/>
      <c r="N1538" s="81">
        <f ca="1">IFERROR(__xludf.DUMMYFUNCTION("""COMPUTED_VALUE"""),62.5)</f>
        <v>62.5</v>
      </c>
      <c r="O1538" s="81"/>
      <c r="P1538" s="81">
        <f ca="1">IFERROR(__xludf.DUMMYFUNCTION("""COMPUTED_VALUE"""),61.1)</f>
        <v>61.1</v>
      </c>
      <c r="Q1538" s="81"/>
      <c r="R1538" s="81">
        <f ca="1">IFERROR(__xludf.DUMMYFUNCTION("""COMPUTED_VALUE"""),0)</f>
        <v>0</v>
      </c>
      <c r="S1538" s="81"/>
      <c r="T1538" s="81"/>
      <c r="U1538" s="82"/>
      <c r="V1538" s="82"/>
      <c r="W1538" s="83"/>
      <c r="X1538" s="83"/>
      <c r="Y1538" s="83"/>
    </row>
    <row r="1539" spans="1:25" ht="13.8">
      <c r="A1539" s="78" t="str">
        <f ca="1">IFERROR(__xludf.DUMMYFUNCTION("""COMPUTED_VALUE"""),"OKM")</f>
        <v>OKM</v>
      </c>
      <c r="B1539" s="79" t="str">
        <f ca="1">IFERROR(__xludf.DUMMYFUNCTION("""COMPUTED_VALUE"""),"Rosie Tritten")</f>
        <v>Rosie Tritten</v>
      </c>
      <c r="C1539" s="78">
        <f ca="1">IFERROR(__xludf.DUMMYFUNCTION("""COMPUTED_VALUE"""),10)</f>
        <v>10</v>
      </c>
      <c r="D1539" s="78" t="str">
        <f ca="1">IFERROR(__xludf.DUMMYFUNCTION("""COMPUTED_VALUE"""),"G")</f>
        <v>G</v>
      </c>
      <c r="E1539" s="80" t="str">
        <f ca="1">IFERROR(__xludf.DUMMYFUNCTION("""COMPUTED_VALUE"""),"F")</f>
        <v>F</v>
      </c>
      <c r="F1539" s="80" t="str">
        <f ca="1">IFERROR(__xludf.DUMMYFUNCTION("""COMPUTED_VALUE"""),"J")</f>
        <v>J</v>
      </c>
      <c r="G1539" s="80">
        <f ca="1">IFERROR(__xludf.DUMMYFUNCTION("""COMPUTED_VALUE"""),1)</f>
        <v>1</v>
      </c>
      <c r="H1539" s="80" t="str">
        <f ca="1">IFERROR(__xludf.DUMMYFUNCTION("""COMPUTED_VALUE"""),"OKM")</f>
        <v>OKM</v>
      </c>
      <c r="I1539" s="80">
        <f ca="1">IFERROR(__xludf.DUMMYFUNCTION("""COMPUTED_VALUE"""),2)</f>
        <v>2</v>
      </c>
      <c r="J1539" s="81">
        <f ca="1">IFERROR(__xludf.DUMMYFUNCTION("""COMPUTED_VALUE"""),4)</f>
        <v>4</v>
      </c>
      <c r="K1539" s="81">
        <f ca="1">IFERROR(__xludf.DUMMYFUNCTION("""COMPUTED_VALUE"""),62.1)</f>
        <v>62.1</v>
      </c>
      <c r="L1539" s="81">
        <f ca="1">IFERROR(__xludf.DUMMYFUNCTION("""COMPUTED_VALUE"""),51.4)</f>
        <v>51.4</v>
      </c>
      <c r="M1539" s="81"/>
      <c r="N1539" s="81">
        <f ca="1">IFERROR(__xludf.DUMMYFUNCTION("""COMPUTED_VALUE"""),62.1)</f>
        <v>62.1</v>
      </c>
      <c r="O1539" s="81"/>
      <c r="P1539" s="81">
        <f ca="1">IFERROR(__xludf.DUMMYFUNCTION("""COMPUTED_VALUE"""),0)</f>
        <v>0</v>
      </c>
      <c r="Q1539" s="81"/>
      <c r="R1539" s="81">
        <f ca="1">IFERROR(__xludf.DUMMYFUNCTION("""COMPUTED_VALUE"""),61.75)</f>
        <v>61.75</v>
      </c>
      <c r="S1539" s="81"/>
      <c r="T1539" s="81"/>
      <c r="U1539" s="82"/>
      <c r="V1539" s="82"/>
      <c r="W1539" s="83"/>
      <c r="X1539" s="83"/>
      <c r="Y1539" s="83"/>
    </row>
    <row r="1540" spans="1:25" ht="13.8">
      <c r="A1540" s="78" t="str">
        <f ca="1">IFERROR(__xludf.DUMMYFUNCTION("""COMPUTED_VALUE"""),"OKM")</f>
        <v>OKM</v>
      </c>
      <c r="B1540" s="79" t="str">
        <f ca="1">IFERROR(__xludf.DUMMYFUNCTION("""COMPUTED_VALUE"""),"Jake Conquez")</f>
        <v>Jake Conquez</v>
      </c>
      <c r="C1540" s="78">
        <f ca="1">IFERROR(__xludf.DUMMYFUNCTION("""COMPUTED_VALUE"""),7)</f>
        <v>7</v>
      </c>
      <c r="D1540" s="78" t="str">
        <f ca="1">IFERROR(__xludf.DUMMYFUNCTION("""COMPUTED_VALUE"""),"B")</f>
        <v>B</v>
      </c>
      <c r="E1540" s="80" t="str">
        <f ca="1">IFERROR(__xludf.DUMMYFUNCTION("""COMPUTED_VALUE"""),"F")</f>
        <v>F</v>
      </c>
      <c r="F1540" s="80" t="str">
        <f ca="1">IFERROR(__xludf.DUMMYFUNCTION("""COMPUTED_VALUE"""),"J")</f>
        <v>J</v>
      </c>
      <c r="G1540" s="80">
        <f ca="1">IFERROR(__xludf.DUMMYFUNCTION("""COMPUTED_VALUE"""),1)</f>
        <v>1</v>
      </c>
      <c r="H1540" s="80" t="str">
        <f ca="1">IFERROR(__xludf.DUMMYFUNCTION("""COMPUTED_VALUE"""),"OKM")</f>
        <v>OKM</v>
      </c>
      <c r="I1540" s="80">
        <f ca="1">IFERROR(__xludf.DUMMYFUNCTION("""COMPUTED_VALUE"""),3)</f>
        <v>3</v>
      </c>
      <c r="J1540" s="81">
        <f ca="1">IFERROR(__xludf.DUMMYFUNCTION("""COMPUTED_VALUE"""),5)</f>
        <v>5</v>
      </c>
      <c r="K1540" s="81">
        <f ca="1">IFERROR(__xludf.DUMMYFUNCTION("""COMPUTED_VALUE"""),57.65)</f>
        <v>57.65</v>
      </c>
      <c r="L1540" s="81">
        <f ca="1">IFERROR(__xludf.DUMMYFUNCTION("""COMPUTED_VALUE"""),47.4)</f>
        <v>47.4</v>
      </c>
      <c r="M1540" s="81"/>
      <c r="N1540" s="81">
        <f ca="1">IFERROR(__xludf.DUMMYFUNCTION("""COMPUTED_VALUE"""),51.75)</f>
        <v>51.75</v>
      </c>
      <c r="O1540" s="81"/>
      <c r="P1540" s="81">
        <f ca="1">IFERROR(__xludf.DUMMYFUNCTION("""COMPUTED_VALUE"""),49.5)</f>
        <v>49.5</v>
      </c>
      <c r="Q1540" s="81"/>
      <c r="R1540" s="81">
        <f ca="1">IFERROR(__xludf.DUMMYFUNCTION("""COMPUTED_VALUE"""),57.65)</f>
        <v>57.65</v>
      </c>
      <c r="S1540" s="81"/>
      <c r="T1540" s="81"/>
      <c r="U1540" s="82"/>
      <c r="V1540" s="82"/>
      <c r="W1540" s="83"/>
      <c r="X1540" s="83"/>
      <c r="Y1540" s="83"/>
    </row>
    <row r="1541" spans="1:25" ht="13.8">
      <c r="A1541" s="78" t="str">
        <f ca="1">IFERROR(__xludf.DUMMYFUNCTION("""COMPUTED_VALUE"""),"OKM")</f>
        <v>OKM</v>
      </c>
      <c r="B1541" s="79" t="str">
        <f ca="1">IFERROR(__xludf.DUMMYFUNCTION("""COMPUTED_VALUE"""),"Treyton Green")</f>
        <v>Treyton Green</v>
      </c>
      <c r="C1541" s="78">
        <f ca="1">IFERROR(__xludf.DUMMYFUNCTION("""COMPUTED_VALUE"""),9)</f>
        <v>9</v>
      </c>
      <c r="D1541" s="78" t="str">
        <f ca="1">IFERROR(__xludf.DUMMYFUNCTION("""COMPUTED_VALUE"""),"B")</f>
        <v>B</v>
      </c>
      <c r="E1541" s="80" t="str">
        <f ca="1">IFERROR(__xludf.DUMMYFUNCTION("""COMPUTED_VALUE"""),"F")</f>
        <v>F</v>
      </c>
      <c r="F1541" s="80" t="str">
        <f ca="1">IFERROR(__xludf.DUMMYFUNCTION("""COMPUTED_VALUE"""),"J")</f>
        <v>J</v>
      </c>
      <c r="G1541" s="80">
        <f ca="1">IFERROR(__xludf.DUMMYFUNCTION("""COMPUTED_VALUE"""),1)</f>
        <v>1</v>
      </c>
      <c r="H1541" s="80" t="str">
        <f ca="1">IFERROR(__xludf.DUMMYFUNCTION("""COMPUTED_VALUE"""),"OKM")</f>
        <v>OKM</v>
      </c>
      <c r="I1541" s="80">
        <f ca="1">IFERROR(__xludf.DUMMYFUNCTION("""COMPUTED_VALUE"""),3)</f>
        <v>3</v>
      </c>
      <c r="J1541" s="81">
        <f ca="1">IFERROR(__xludf.DUMMYFUNCTION("""COMPUTED_VALUE"""),5)</f>
        <v>5</v>
      </c>
      <c r="K1541" s="81">
        <f ca="1">IFERROR(__xludf.DUMMYFUNCTION("""COMPUTED_VALUE"""),47.35)</f>
        <v>47.35</v>
      </c>
      <c r="L1541" s="81">
        <f ca="1">IFERROR(__xludf.DUMMYFUNCTION("""COMPUTED_VALUE"""),42)</f>
        <v>42</v>
      </c>
      <c r="M1541" s="81"/>
      <c r="N1541" s="81">
        <f ca="1">IFERROR(__xludf.DUMMYFUNCTION("""COMPUTED_VALUE"""),42.65)</f>
        <v>42.65</v>
      </c>
      <c r="O1541" s="81"/>
      <c r="P1541" s="81">
        <f ca="1">IFERROR(__xludf.DUMMYFUNCTION("""COMPUTED_VALUE"""),31.7)</f>
        <v>31.7</v>
      </c>
      <c r="Q1541" s="81"/>
      <c r="R1541" s="81">
        <f ca="1">IFERROR(__xludf.DUMMYFUNCTION("""COMPUTED_VALUE"""),47.35)</f>
        <v>47.35</v>
      </c>
      <c r="S1541" s="81"/>
      <c r="T1541" s="81"/>
      <c r="U1541" s="82"/>
      <c r="V1541" s="82"/>
      <c r="W1541" s="83"/>
      <c r="X1541" s="83"/>
      <c r="Y1541" s="83"/>
    </row>
    <row r="1542" spans="1:25" ht="13.8">
      <c r="A1542" s="78" t="str">
        <f ca="1">IFERROR(__xludf.DUMMYFUNCTION("""COMPUTED_VALUE"""),"OKM")</f>
        <v>OKM</v>
      </c>
      <c r="B1542" s="79" t="str">
        <f ca="1">IFERROR(__xludf.DUMMYFUNCTION("""COMPUTED_VALUE"""),"Matthew Hughes")</f>
        <v>Matthew Hughes</v>
      </c>
      <c r="C1542" s="78">
        <f ca="1">IFERROR(__xludf.DUMMYFUNCTION("""COMPUTED_VALUE"""),9)</f>
        <v>9</v>
      </c>
      <c r="D1542" s="78" t="str">
        <f ca="1">IFERROR(__xludf.DUMMYFUNCTION("""COMPUTED_VALUE"""),"B")</f>
        <v>B</v>
      </c>
      <c r="E1542" s="80" t="str">
        <f ca="1">IFERROR(__xludf.DUMMYFUNCTION("""COMPUTED_VALUE"""),"F")</f>
        <v>F</v>
      </c>
      <c r="F1542" s="80" t="str">
        <f ca="1">IFERROR(__xludf.DUMMYFUNCTION("""COMPUTED_VALUE"""),"J")</f>
        <v>J</v>
      </c>
      <c r="G1542" s="80">
        <f ca="1">IFERROR(__xludf.DUMMYFUNCTION("""COMPUTED_VALUE"""),1)</f>
        <v>1</v>
      </c>
      <c r="H1542" s="80" t="str">
        <f ca="1">IFERROR(__xludf.DUMMYFUNCTION("""COMPUTED_VALUE"""),"OKM")</f>
        <v>OKM</v>
      </c>
      <c r="I1542" s="80">
        <f ca="1">IFERROR(__xludf.DUMMYFUNCTION("""COMPUTED_VALUE"""),3)</f>
        <v>3</v>
      </c>
      <c r="J1542" s="81">
        <f ca="1">IFERROR(__xludf.DUMMYFUNCTION("""COMPUTED_VALUE"""),1)</f>
        <v>1</v>
      </c>
      <c r="K1542" s="81">
        <f ca="1">IFERROR(__xludf.DUMMYFUNCTION("""COMPUTED_VALUE"""),0)</f>
        <v>0</v>
      </c>
      <c r="L1542" s="81">
        <f ca="1">IFERROR(__xludf.DUMMYFUNCTION("""COMPUTED_VALUE"""),0)</f>
        <v>0</v>
      </c>
      <c r="M1542" s="81"/>
      <c r="N1542" s="81">
        <f ca="1">IFERROR(__xludf.DUMMYFUNCTION("""COMPUTED_VALUE"""),0)</f>
        <v>0</v>
      </c>
      <c r="O1542" s="81"/>
      <c r="P1542" s="81">
        <f ca="1">IFERROR(__xludf.DUMMYFUNCTION("""COMPUTED_VALUE"""),0)</f>
        <v>0</v>
      </c>
      <c r="Q1542" s="81"/>
      <c r="R1542" s="81">
        <f ca="1">IFERROR(__xludf.DUMMYFUNCTION("""COMPUTED_VALUE"""),0)</f>
        <v>0</v>
      </c>
      <c r="S1542" s="81"/>
      <c r="T1542" s="81"/>
      <c r="U1542" s="82"/>
      <c r="V1542" s="82"/>
      <c r="W1542" s="83"/>
      <c r="X1542" s="83"/>
      <c r="Y1542" s="83"/>
    </row>
    <row r="1543" spans="1:25" ht="13.8">
      <c r="A1543" s="78" t="str">
        <f ca="1">IFERROR(__xludf.DUMMYFUNCTION("""COMPUTED_VALUE"""),"OKM")</f>
        <v>OKM</v>
      </c>
      <c r="B1543" s="79" t="str">
        <f ca="1">IFERROR(__xludf.DUMMYFUNCTION("""COMPUTED_VALUE"""),"Luke Nobles")</f>
        <v>Luke Nobles</v>
      </c>
      <c r="C1543" s="78">
        <f ca="1">IFERROR(__xludf.DUMMYFUNCTION("""COMPUTED_VALUE"""),10)</f>
        <v>10</v>
      </c>
      <c r="D1543" s="78" t="str">
        <f ca="1">IFERROR(__xludf.DUMMYFUNCTION("""COMPUTED_VALUE"""),"B")</f>
        <v>B</v>
      </c>
      <c r="E1543" s="80" t="str">
        <f ca="1">IFERROR(__xludf.DUMMYFUNCTION("""COMPUTED_VALUE"""),"F")</f>
        <v>F</v>
      </c>
      <c r="F1543" s="80" t="str">
        <f ca="1">IFERROR(__xludf.DUMMYFUNCTION("""COMPUTED_VALUE"""),"J")</f>
        <v>J</v>
      </c>
      <c r="G1543" s="80">
        <f ca="1">IFERROR(__xludf.DUMMYFUNCTION("""COMPUTED_VALUE"""),1)</f>
        <v>1</v>
      </c>
      <c r="H1543" s="80" t="str">
        <f ca="1">IFERROR(__xludf.DUMMYFUNCTION("""COMPUTED_VALUE"""),"OKM")</f>
        <v>OKM</v>
      </c>
      <c r="I1543" s="80">
        <f ca="1">IFERROR(__xludf.DUMMYFUNCTION("""COMPUTED_VALUE"""),3)</f>
        <v>3</v>
      </c>
      <c r="J1543" s="81">
        <f ca="1">IFERROR(__xludf.DUMMYFUNCTION("""COMPUTED_VALUE"""),3)</f>
        <v>3</v>
      </c>
      <c r="K1543" s="81">
        <f ca="1">IFERROR(__xludf.DUMMYFUNCTION("""COMPUTED_VALUE"""),42.6)</f>
        <v>42.6</v>
      </c>
      <c r="L1543" s="81">
        <f ca="1">IFERROR(__xludf.DUMMYFUNCTION("""COMPUTED_VALUE"""),0)</f>
        <v>0</v>
      </c>
      <c r="M1543" s="81"/>
      <c r="N1543" s="81">
        <f ca="1">IFERROR(__xludf.DUMMYFUNCTION("""COMPUTED_VALUE"""),42.6)</f>
        <v>42.6</v>
      </c>
      <c r="O1543" s="81"/>
      <c r="P1543" s="81">
        <f ca="1">IFERROR(__xludf.DUMMYFUNCTION("""COMPUTED_VALUE"""),42.05)</f>
        <v>42.05</v>
      </c>
      <c r="Q1543" s="81"/>
      <c r="R1543" s="81">
        <f ca="1">IFERROR(__xludf.DUMMYFUNCTION("""COMPUTED_VALUE"""),0)</f>
        <v>0</v>
      </c>
      <c r="S1543" s="81"/>
      <c r="T1543" s="81"/>
      <c r="U1543" s="82"/>
      <c r="V1543" s="82"/>
      <c r="W1543" s="83"/>
      <c r="X1543" s="83"/>
      <c r="Y1543" s="83"/>
    </row>
    <row r="1544" spans="1:25" ht="13.8">
      <c r="A1544" s="78" t="str">
        <f ca="1">IFERROR(__xludf.DUMMYFUNCTION("""COMPUTED_VALUE"""),"OKM")</f>
        <v>OKM</v>
      </c>
      <c r="B1544" s="79" t="str">
        <f ca="1">IFERROR(__xludf.DUMMYFUNCTION("""COMPUTED_VALUE"""),"Charles Rubino")</f>
        <v>Charles Rubino</v>
      </c>
      <c r="C1544" s="78">
        <f ca="1">IFERROR(__xludf.DUMMYFUNCTION("""COMPUTED_VALUE"""),10)</f>
        <v>10</v>
      </c>
      <c r="D1544" s="78" t="str">
        <f ca="1">IFERROR(__xludf.DUMMYFUNCTION("""COMPUTED_VALUE"""),"B")</f>
        <v>B</v>
      </c>
      <c r="E1544" s="80" t="str">
        <f ca="1">IFERROR(__xludf.DUMMYFUNCTION("""COMPUTED_VALUE"""),"F")</f>
        <v>F</v>
      </c>
      <c r="F1544" s="80" t="str">
        <f ca="1">IFERROR(__xludf.DUMMYFUNCTION("""COMPUTED_VALUE"""),"J")</f>
        <v>J</v>
      </c>
      <c r="G1544" s="80">
        <f ca="1">IFERROR(__xludf.DUMMYFUNCTION("""COMPUTED_VALUE"""),1)</f>
        <v>1</v>
      </c>
      <c r="H1544" s="80" t="str">
        <f ca="1">IFERROR(__xludf.DUMMYFUNCTION("""COMPUTED_VALUE"""),"OKM")</f>
        <v>OKM</v>
      </c>
      <c r="I1544" s="80">
        <f ca="1">IFERROR(__xludf.DUMMYFUNCTION("""COMPUTED_VALUE"""),3)</f>
        <v>3</v>
      </c>
      <c r="J1544" s="81">
        <f ca="1">IFERROR(__xludf.DUMMYFUNCTION("""COMPUTED_VALUE"""),4)</f>
        <v>4</v>
      </c>
      <c r="K1544" s="81">
        <f ca="1">IFERROR(__xludf.DUMMYFUNCTION("""COMPUTED_VALUE"""),68.75)</f>
        <v>68.75</v>
      </c>
      <c r="L1544" s="81">
        <f ca="1">IFERROR(__xludf.DUMMYFUNCTION("""COMPUTED_VALUE"""),-54.95)</f>
        <v>-54.95</v>
      </c>
      <c r="M1544" s="81"/>
      <c r="N1544" s="81">
        <f ca="1">IFERROR(__xludf.DUMMYFUNCTION("""COMPUTED_VALUE"""),0)</f>
        <v>0</v>
      </c>
      <c r="O1544" s="81"/>
      <c r="P1544" s="81">
        <f ca="1">IFERROR(__xludf.DUMMYFUNCTION("""COMPUTED_VALUE"""),55.4)</f>
        <v>55.4</v>
      </c>
      <c r="Q1544" s="81"/>
      <c r="R1544" s="81">
        <f ca="1">IFERROR(__xludf.DUMMYFUNCTION("""COMPUTED_VALUE"""),68.75)</f>
        <v>68.75</v>
      </c>
      <c r="S1544" s="81"/>
      <c r="T1544" s="81"/>
      <c r="U1544" s="82"/>
      <c r="V1544" s="82"/>
      <c r="W1544" s="83"/>
      <c r="X1544" s="83"/>
      <c r="Y1544" s="83"/>
    </row>
    <row r="1545" spans="1:25" ht="13.8">
      <c r="A1545" s="78" t="str">
        <f ca="1">IFERROR(__xludf.DUMMYFUNCTION("""COMPUTED_VALUE"""),"OKM")</f>
        <v>OKM</v>
      </c>
      <c r="B1545" s="79" t="str">
        <f ca="1">IFERROR(__xludf.DUMMYFUNCTION("""COMPUTED_VALUE"""),"Brian Stegmaier")</f>
        <v>Brian Stegmaier</v>
      </c>
      <c r="C1545" s="78">
        <f ca="1">IFERROR(__xludf.DUMMYFUNCTION("""COMPUTED_VALUE"""),7)</f>
        <v>7</v>
      </c>
      <c r="D1545" s="78" t="str">
        <f ca="1">IFERROR(__xludf.DUMMYFUNCTION("""COMPUTED_VALUE"""),"B")</f>
        <v>B</v>
      </c>
      <c r="E1545" s="80" t="str">
        <f ca="1">IFERROR(__xludf.DUMMYFUNCTION("""COMPUTED_VALUE"""),"F")</f>
        <v>F</v>
      </c>
      <c r="F1545" s="80" t="str">
        <f ca="1">IFERROR(__xludf.DUMMYFUNCTION("""COMPUTED_VALUE"""),"J")</f>
        <v>J</v>
      </c>
      <c r="G1545" s="80">
        <f ca="1">IFERROR(__xludf.DUMMYFUNCTION("""COMPUTED_VALUE"""),1)</f>
        <v>1</v>
      </c>
      <c r="H1545" s="80" t="str">
        <f ca="1">IFERROR(__xludf.DUMMYFUNCTION("""COMPUTED_VALUE"""),"OKM")</f>
        <v>OKM</v>
      </c>
      <c r="I1545" s="80">
        <f ca="1">IFERROR(__xludf.DUMMYFUNCTION("""COMPUTED_VALUE"""),3)</f>
        <v>3</v>
      </c>
      <c r="J1545" s="81">
        <f ca="1">IFERROR(__xludf.DUMMYFUNCTION("""COMPUTED_VALUE"""),4)</f>
        <v>4</v>
      </c>
      <c r="K1545" s="81">
        <f ca="1">IFERROR(__xludf.DUMMYFUNCTION("""COMPUTED_VALUE"""),52)</f>
        <v>52</v>
      </c>
      <c r="L1545" s="81">
        <f ca="1">IFERROR(__xludf.DUMMYFUNCTION("""COMPUTED_VALUE"""),51.4)</f>
        <v>51.4</v>
      </c>
      <c r="M1545" s="81"/>
      <c r="N1545" s="81">
        <f ca="1">IFERROR(__xludf.DUMMYFUNCTION("""COMPUTED_VALUE"""),52)</f>
        <v>52</v>
      </c>
      <c r="O1545" s="81"/>
      <c r="P1545" s="81">
        <f ca="1">IFERROR(__xludf.DUMMYFUNCTION("""COMPUTED_VALUE"""),-53.25)</f>
        <v>-53.25</v>
      </c>
      <c r="Q1545" s="81"/>
      <c r="R1545" s="81">
        <f ca="1">IFERROR(__xludf.DUMMYFUNCTION("""COMPUTED_VALUE"""),0)</f>
        <v>0</v>
      </c>
      <c r="S1545" s="81"/>
      <c r="T1545" s="81"/>
      <c r="U1545" s="82"/>
      <c r="V1545" s="82"/>
      <c r="W1545" s="83"/>
      <c r="X1545" s="83"/>
      <c r="Y1545" s="83"/>
    </row>
    <row r="1546" spans="1:25" ht="13.8">
      <c r="A1546" s="78" t="str">
        <f ca="1">IFERROR(__xludf.DUMMYFUNCTION("""COMPUTED_VALUE"""),"OKM")</f>
        <v>OKM</v>
      </c>
      <c r="B1546" s="79" t="str">
        <f ca="1">IFERROR(__xludf.DUMMYFUNCTION("""COMPUTED_VALUE"""),"Caroline Copes")</f>
        <v>Caroline Copes</v>
      </c>
      <c r="C1546" s="78">
        <f ca="1">IFERROR(__xludf.DUMMYFUNCTION("""COMPUTED_VALUE"""),11)</f>
        <v>11</v>
      </c>
      <c r="D1546" s="78" t="str">
        <f ca="1">IFERROR(__xludf.DUMMYFUNCTION("""COMPUTED_VALUE"""),"G")</f>
        <v>G</v>
      </c>
      <c r="E1546" s="80" t="str">
        <f ca="1">IFERROR(__xludf.DUMMYFUNCTION("""COMPUTED_VALUE"""),"J")</f>
        <v>J</v>
      </c>
      <c r="F1546" s="80" t="str">
        <f ca="1">IFERROR(__xludf.DUMMYFUNCTION("""COMPUTED_VALUE"""),"I")</f>
        <v>I</v>
      </c>
      <c r="G1546" s="80">
        <f ca="1">IFERROR(__xludf.DUMMYFUNCTION("""COMPUTED_VALUE"""),1)</f>
        <v>1</v>
      </c>
      <c r="H1546" s="80" t="str">
        <f ca="1">IFERROR(__xludf.DUMMYFUNCTION("""COMPUTED_VALUE"""),"OKM")</f>
        <v>OKM</v>
      </c>
      <c r="I1546" s="80">
        <f ca="1">IFERROR(__xludf.DUMMYFUNCTION("""COMPUTED_VALUE"""),4)</f>
        <v>4</v>
      </c>
      <c r="J1546" s="81">
        <f ca="1">IFERROR(__xludf.DUMMYFUNCTION("""COMPUTED_VALUE"""),5)</f>
        <v>5</v>
      </c>
      <c r="K1546" s="81">
        <f ca="1">IFERROR(__xludf.DUMMYFUNCTION("""COMPUTED_VALUE"""),90.5)</f>
        <v>90.5</v>
      </c>
      <c r="L1546" s="81">
        <f ca="1">IFERROR(__xludf.DUMMYFUNCTION("""COMPUTED_VALUE"""),80.9)</f>
        <v>80.900000000000006</v>
      </c>
      <c r="M1546" s="81"/>
      <c r="N1546" s="81">
        <f ca="1">IFERROR(__xludf.DUMMYFUNCTION("""COMPUTED_VALUE"""),71)</f>
        <v>71</v>
      </c>
      <c r="O1546" s="81"/>
      <c r="P1546" s="81">
        <f ca="1">IFERROR(__xludf.DUMMYFUNCTION("""COMPUTED_VALUE"""),75.7)</f>
        <v>75.7</v>
      </c>
      <c r="Q1546" s="81"/>
      <c r="R1546" s="81">
        <f ca="1">IFERROR(__xludf.DUMMYFUNCTION("""COMPUTED_VALUE"""),90.5)</f>
        <v>90.5</v>
      </c>
      <c r="S1546" s="81"/>
      <c r="T1546" s="81"/>
      <c r="U1546" s="82"/>
      <c r="V1546" s="82"/>
      <c r="W1546" s="83"/>
      <c r="X1546" s="83"/>
      <c r="Y1546" s="83"/>
    </row>
    <row r="1547" spans="1:25" ht="13.8">
      <c r="A1547" s="78" t="str">
        <f ca="1">IFERROR(__xludf.DUMMYFUNCTION("""COMPUTED_VALUE"""),"OKM")</f>
        <v>OKM</v>
      </c>
      <c r="B1547" s="79" t="str">
        <f ca="1">IFERROR(__xludf.DUMMYFUNCTION("""COMPUTED_VALUE"""),"Paige Kiddey")</f>
        <v>Paige Kiddey</v>
      </c>
      <c r="C1547" s="78">
        <f ca="1">IFERROR(__xludf.DUMMYFUNCTION("""COMPUTED_VALUE"""),12)</f>
        <v>12</v>
      </c>
      <c r="D1547" s="78" t="str">
        <f ca="1">IFERROR(__xludf.DUMMYFUNCTION("""COMPUTED_VALUE"""),"G")</f>
        <v>G</v>
      </c>
      <c r="E1547" s="80" t="str">
        <f ca="1">IFERROR(__xludf.DUMMYFUNCTION("""COMPUTED_VALUE"""),"J")</f>
        <v>J</v>
      </c>
      <c r="F1547" s="80" t="str">
        <f ca="1">IFERROR(__xludf.DUMMYFUNCTION("""COMPUTED_VALUE"""),"I")</f>
        <v>I</v>
      </c>
      <c r="G1547" s="80">
        <f ca="1">IFERROR(__xludf.DUMMYFUNCTION("""COMPUTED_VALUE"""),1)</f>
        <v>1</v>
      </c>
      <c r="H1547" s="80" t="str">
        <f ca="1">IFERROR(__xludf.DUMMYFUNCTION("""COMPUTED_VALUE"""),"OKM")</f>
        <v>OKM</v>
      </c>
      <c r="I1547" s="80">
        <f ca="1">IFERROR(__xludf.DUMMYFUNCTION("""COMPUTED_VALUE"""),4)</f>
        <v>4</v>
      </c>
      <c r="J1547" s="81">
        <f ca="1">IFERROR(__xludf.DUMMYFUNCTION("""COMPUTED_VALUE"""),2)</f>
        <v>2</v>
      </c>
      <c r="K1547" s="81">
        <f ca="1">IFERROR(__xludf.DUMMYFUNCTION("""COMPUTED_VALUE"""),66.25)</f>
        <v>66.25</v>
      </c>
      <c r="L1547" s="81">
        <f ca="1">IFERROR(__xludf.DUMMYFUNCTION("""COMPUTED_VALUE"""),57.2)</f>
        <v>57.2</v>
      </c>
      <c r="M1547" s="81"/>
      <c r="N1547" s="81">
        <f ca="1">IFERROR(__xludf.DUMMYFUNCTION("""COMPUTED_VALUE"""),0)</f>
        <v>0</v>
      </c>
      <c r="O1547" s="81"/>
      <c r="P1547" s="81">
        <f ca="1">IFERROR(__xludf.DUMMYFUNCTION("""COMPUTED_VALUE"""),66.25)</f>
        <v>66.25</v>
      </c>
      <c r="Q1547" s="81"/>
      <c r="R1547" s="81">
        <f ca="1">IFERROR(__xludf.DUMMYFUNCTION("""COMPUTED_VALUE"""),0)</f>
        <v>0</v>
      </c>
      <c r="S1547" s="81"/>
      <c r="T1547" s="81"/>
      <c r="U1547" s="82"/>
      <c r="V1547" s="82"/>
      <c r="W1547" s="83"/>
      <c r="X1547" s="83"/>
      <c r="Y1547" s="83"/>
    </row>
    <row r="1548" spans="1:25" ht="13.8">
      <c r="A1548" s="78" t="str">
        <f ca="1">IFERROR(__xludf.DUMMYFUNCTION("""COMPUTED_VALUE"""),"OKM")</f>
        <v>OKM</v>
      </c>
      <c r="B1548" s="79" t="str">
        <f ca="1">IFERROR(__xludf.DUMMYFUNCTION("""COMPUTED_VALUE"""),"Beatrice Shirley")</f>
        <v>Beatrice Shirley</v>
      </c>
      <c r="C1548" s="78">
        <f ca="1">IFERROR(__xludf.DUMMYFUNCTION("""COMPUTED_VALUE"""),11)</f>
        <v>11</v>
      </c>
      <c r="D1548" s="78" t="str">
        <f ca="1">IFERROR(__xludf.DUMMYFUNCTION("""COMPUTED_VALUE"""),"G")</f>
        <v>G</v>
      </c>
      <c r="E1548" s="80" t="str">
        <f ca="1">IFERROR(__xludf.DUMMYFUNCTION("""COMPUTED_VALUE"""),"J")</f>
        <v>J</v>
      </c>
      <c r="F1548" s="80" t="str">
        <f ca="1">IFERROR(__xludf.DUMMYFUNCTION("""COMPUTED_VALUE"""),"I")</f>
        <v>I</v>
      </c>
      <c r="G1548" s="80">
        <f ca="1">IFERROR(__xludf.DUMMYFUNCTION("""COMPUTED_VALUE"""),1)</f>
        <v>1</v>
      </c>
      <c r="H1548" s="80" t="str">
        <f ca="1">IFERROR(__xludf.DUMMYFUNCTION("""COMPUTED_VALUE"""),"OKM")</f>
        <v>OKM</v>
      </c>
      <c r="I1548" s="80">
        <f ca="1">IFERROR(__xludf.DUMMYFUNCTION("""COMPUTED_VALUE"""),4)</f>
        <v>4</v>
      </c>
      <c r="J1548" s="81">
        <f ca="1">IFERROR(__xludf.DUMMYFUNCTION("""COMPUTED_VALUE"""),3)</f>
        <v>3</v>
      </c>
      <c r="K1548" s="81">
        <f ca="1">IFERROR(__xludf.DUMMYFUNCTION("""COMPUTED_VALUE"""),74.8)</f>
        <v>74.8</v>
      </c>
      <c r="L1548" s="81">
        <f ca="1">IFERROR(__xludf.DUMMYFUNCTION("""COMPUTED_VALUE"""),69.15)</f>
        <v>69.150000000000006</v>
      </c>
      <c r="M1548" s="81"/>
      <c r="N1548" s="81">
        <f ca="1">IFERROR(__xludf.DUMMYFUNCTION("""COMPUTED_VALUE"""),0)</f>
        <v>0</v>
      </c>
      <c r="O1548" s="81"/>
      <c r="P1548" s="81">
        <f ca="1">IFERROR(__xludf.DUMMYFUNCTION("""COMPUTED_VALUE"""),0)</f>
        <v>0</v>
      </c>
      <c r="Q1548" s="81"/>
      <c r="R1548" s="81">
        <f ca="1">IFERROR(__xludf.DUMMYFUNCTION("""COMPUTED_VALUE"""),74.8)</f>
        <v>74.8</v>
      </c>
      <c r="S1548" s="81"/>
      <c r="T1548" s="81"/>
      <c r="U1548" s="82"/>
      <c r="V1548" s="82"/>
      <c r="W1548" s="83"/>
      <c r="X1548" s="83"/>
      <c r="Y1548" s="83"/>
    </row>
    <row r="1549" spans="1:25" ht="13.8">
      <c r="A1549" s="78" t="str">
        <f ca="1">IFERROR(__xludf.DUMMYFUNCTION("""COMPUTED_VALUE"""),"OKM")</f>
        <v>OKM</v>
      </c>
      <c r="B1549" s="79" t="str">
        <f ca="1">IFERROR(__xludf.DUMMYFUNCTION("""COMPUTED_VALUE"""),"Abby Swartz")</f>
        <v>Abby Swartz</v>
      </c>
      <c r="C1549" s="78">
        <f ca="1">IFERROR(__xludf.DUMMYFUNCTION("""COMPUTED_VALUE"""),12)</f>
        <v>12</v>
      </c>
      <c r="D1549" s="78" t="str">
        <f ca="1">IFERROR(__xludf.DUMMYFUNCTION("""COMPUTED_VALUE"""),"G")</f>
        <v>G</v>
      </c>
      <c r="E1549" s="80" t="str">
        <f ca="1">IFERROR(__xludf.DUMMYFUNCTION("""COMPUTED_VALUE"""),"J")</f>
        <v>J</v>
      </c>
      <c r="F1549" s="80" t="str">
        <f ca="1">IFERROR(__xludf.DUMMYFUNCTION("""COMPUTED_VALUE"""),"I")</f>
        <v>I</v>
      </c>
      <c r="G1549" s="80">
        <f ca="1">IFERROR(__xludf.DUMMYFUNCTION("""COMPUTED_VALUE"""),1)</f>
        <v>1</v>
      </c>
      <c r="H1549" s="80" t="str">
        <f ca="1">IFERROR(__xludf.DUMMYFUNCTION("""COMPUTED_VALUE"""),"OKM")</f>
        <v>OKM</v>
      </c>
      <c r="I1549" s="80">
        <f ca="1">IFERROR(__xludf.DUMMYFUNCTION("""COMPUTED_VALUE"""),4)</f>
        <v>4</v>
      </c>
      <c r="J1549" s="81">
        <f ca="1">IFERROR(__xludf.DUMMYFUNCTION("""COMPUTED_VALUE"""),5)</f>
        <v>5</v>
      </c>
      <c r="K1549" s="81">
        <f ca="1">IFERROR(__xludf.DUMMYFUNCTION("""COMPUTED_VALUE"""),83.45)</f>
        <v>83.45</v>
      </c>
      <c r="L1549" s="81">
        <f ca="1">IFERROR(__xludf.DUMMYFUNCTION("""COMPUTED_VALUE"""),61.6)</f>
        <v>61.6</v>
      </c>
      <c r="M1549" s="81"/>
      <c r="N1549" s="81">
        <f ca="1">IFERROR(__xludf.DUMMYFUNCTION("""COMPUTED_VALUE"""),77.8)</f>
        <v>77.8</v>
      </c>
      <c r="O1549" s="81"/>
      <c r="P1549" s="81">
        <f ca="1">IFERROR(__xludf.DUMMYFUNCTION("""COMPUTED_VALUE"""),61.1)</f>
        <v>61.1</v>
      </c>
      <c r="Q1549" s="81"/>
      <c r="R1549" s="81">
        <f ca="1">IFERROR(__xludf.DUMMYFUNCTION("""COMPUTED_VALUE"""),83.45)</f>
        <v>83.45</v>
      </c>
      <c r="S1549" s="81"/>
      <c r="T1549" s="81"/>
      <c r="U1549" s="82"/>
      <c r="V1549" s="82"/>
      <c r="W1549" s="83"/>
      <c r="X1549" s="83"/>
      <c r="Y1549" s="83"/>
    </row>
    <row r="1550" spans="1:25" ht="13.8">
      <c r="A1550" s="78" t="str">
        <f ca="1">IFERROR(__xludf.DUMMYFUNCTION("""COMPUTED_VALUE"""),"OKM")</f>
        <v>OKM</v>
      </c>
      <c r="B1550" s="79" t="str">
        <f ca="1">IFERROR(__xludf.DUMMYFUNCTION("""COMPUTED_VALUE"""),"Abby West")</f>
        <v>Abby West</v>
      </c>
      <c r="C1550" s="78">
        <f ca="1">IFERROR(__xludf.DUMMYFUNCTION("""COMPUTED_VALUE"""),11)</f>
        <v>11</v>
      </c>
      <c r="D1550" s="78" t="str">
        <f ca="1">IFERROR(__xludf.DUMMYFUNCTION("""COMPUTED_VALUE"""),"G")</f>
        <v>G</v>
      </c>
      <c r="E1550" s="80" t="str">
        <f ca="1">IFERROR(__xludf.DUMMYFUNCTION("""COMPUTED_VALUE"""),"J")</f>
        <v>J</v>
      </c>
      <c r="F1550" s="80" t="str">
        <f ca="1">IFERROR(__xludf.DUMMYFUNCTION("""COMPUTED_VALUE"""),"I")</f>
        <v>I</v>
      </c>
      <c r="G1550" s="80">
        <f ca="1">IFERROR(__xludf.DUMMYFUNCTION("""COMPUTED_VALUE"""),1)</f>
        <v>1</v>
      </c>
      <c r="H1550" s="80" t="str">
        <f ca="1">IFERROR(__xludf.DUMMYFUNCTION("""COMPUTED_VALUE"""),"OKM")</f>
        <v>OKM</v>
      </c>
      <c r="I1550" s="80">
        <f ca="1">IFERROR(__xludf.DUMMYFUNCTION("""COMPUTED_VALUE"""),4)</f>
        <v>4</v>
      </c>
      <c r="J1550" s="81">
        <f ca="1">IFERROR(__xludf.DUMMYFUNCTION("""COMPUTED_VALUE"""),4)</f>
        <v>4</v>
      </c>
      <c r="K1550" s="81">
        <f ca="1">IFERROR(__xludf.DUMMYFUNCTION("""COMPUTED_VALUE"""),51.8)</f>
        <v>51.8</v>
      </c>
      <c r="L1550" s="81">
        <f ca="1">IFERROR(__xludf.DUMMYFUNCTION("""COMPUTED_VALUE"""),36.25)</f>
        <v>36.25</v>
      </c>
      <c r="M1550" s="81"/>
      <c r="N1550" s="81">
        <f ca="1">IFERROR(__xludf.DUMMYFUNCTION("""COMPUTED_VALUE"""),51.8)</f>
        <v>51.8</v>
      </c>
      <c r="O1550" s="81"/>
      <c r="P1550" s="81">
        <f ca="1">IFERROR(__xludf.DUMMYFUNCTION("""COMPUTED_VALUE"""),48.85)</f>
        <v>48.85</v>
      </c>
      <c r="Q1550" s="81"/>
      <c r="R1550" s="81">
        <f ca="1">IFERROR(__xludf.DUMMYFUNCTION("""COMPUTED_VALUE"""),0)</f>
        <v>0</v>
      </c>
      <c r="S1550" s="81"/>
      <c r="T1550" s="81"/>
      <c r="U1550" s="82"/>
      <c r="V1550" s="82"/>
      <c r="W1550" s="83"/>
      <c r="X1550" s="83"/>
      <c r="Y1550" s="83"/>
    </row>
    <row r="1551" spans="1:25" ht="13.8">
      <c r="A1551" s="78" t="str">
        <f ca="1">IFERROR(__xludf.DUMMYFUNCTION("""COMPUTED_VALUE"""),"OKM")</f>
        <v>OKM</v>
      </c>
      <c r="B1551" s="79" t="str">
        <f ca="1">IFERROR(__xludf.DUMMYFUNCTION("""COMPUTED_VALUE"""),"Ben Nichols")</f>
        <v>Ben Nichols</v>
      </c>
      <c r="C1551" s="78">
        <f ca="1">IFERROR(__xludf.DUMMYFUNCTION("""COMPUTED_VALUE"""),11)</f>
        <v>11</v>
      </c>
      <c r="D1551" s="78" t="str">
        <f ca="1">IFERROR(__xludf.DUMMYFUNCTION("""COMPUTED_VALUE"""),"B")</f>
        <v>B</v>
      </c>
      <c r="E1551" s="80" t="str">
        <f ca="1">IFERROR(__xludf.DUMMYFUNCTION("""COMPUTED_VALUE"""),"J")</f>
        <v>J</v>
      </c>
      <c r="F1551" s="80" t="str">
        <f ca="1">IFERROR(__xludf.DUMMYFUNCTION("""COMPUTED_VALUE"""),"I")</f>
        <v>I</v>
      </c>
      <c r="G1551" s="80">
        <f ca="1">IFERROR(__xludf.DUMMYFUNCTION("""COMPUTED_VALUE"""),1)</f>
        <v>1</v>
      </c>
      <c r="H1551" s="80" t="str">
        <f ca="1">IFERROR(__xludf.DUMMYFUNCTION("""COMPUTED_VALUE"""),"OKM")</f>
        <v>OKM</v>
      </c>
      <c r="I1551" s="80">
        <f ca="1">IFERROR(__xludf.DUMMYFUNCTION("""COMPUTED_VALUE"""),5)</f>
        <v>5</v>
      </c>
      <c r="J1551" s="81">
        <f ca="1">IFERROR(__xludf.DUMMYFUNCTION("""COMPUTED_VALUE"""),0)</f>
        <v>0</v>
      </c>
      <c r="K1551" s="81">
        <f ca="1">IFERROR(__xludf.DUMMYFUNCTION("""COMPUTED_VALUE"""),0)</f>
        <v>0</v>
      </c>
      <c r="L1551" s="81">
        <f ca="1">IFERROR(__xludf.DUMMYFUNCTION("""COMPUTED_VALUE"""),0)</f>
        <v>0</v>
      </c>
      <c r="M1551" s="81"/>
      <c r="N1551" s="81">
        <f ca="1">IFERROR(__xludf.DUMMYFUNCTION("""COMPUTED_VALUE"""),0)</f>
        <v>0</v>
      </c>
      <c r="O1551" s="81"/>
      <c r="P1551" s="81">
        <f ca="1">IFERROR(__xludf.DUMMYFUNCTION("""COMPUTED_VALUE"""),0)</f>
        <v>0</v>
      </c>
      <c r="Q1551" s="81"/>
      <c r="R1551" s="81">
        <f ca="1">IFERROR(__xludf.DUMMYFUNCTION("""COMPUTED_VALUE"""),0)</f>
        <v>0</v>
      </c>
      <c r="S1551" s="81"/>
      <c r="T1551" s="81"/>
      <c r="U1551" s="82"/>
      <c r="V1551" s="82"/>
      <c r="W1551" s="83"/>
      <c r="X1551" s="83"/>
      <c r="Y1551" s="83"/>
    </row>
    <row r="1552" spans="1:25" ht="13.8">
      <c r="A1552" s="78" t="str">
        <f ca="1">IFERROR(__xludf.DUMMYFUNCTION("""COMPUTED_VALUE"""),"OKM")</f>
        <v>OKM</v>
      </c>
      <c r="B1552" s="79" t="str">
        <f ca="1">IFERROR(__xludf.DUMMYFUNCTION("""COMPUTED_VALUE"""),"Miles Teague")</f>
        <v>Miles Teague</v>
      </c>
      <c r="C1552" s="78">
        <f ca="1">IFERROR(__xludf.DUMMYFUNCTION("""COMPUTED_VALUE"""),12)</f>
        <v>12</v>
      </c>
      <c r="D1552" s="78" t="str">
        <f ca="1">IFERROR(__xludf.DUMMYFUNCTION("""COMPUTED_VALUE"""),"B")</f>
        <v>B</v>
      </c>
      <c r="E1552" s="80" t="str">
        <f ca="1">IFERROR(__xludf.DUMMYFUNCTION("""COMPUTED_VALUE"""),"J")</f>
        <v>J</v>
      </c>
      <c r="F1552" s="80" t="str">
        <f ca="1">IFERROR(__xludf.DUMMYFUNCTION("""COMPUTED_VALUE"""),"I")</f>
        <v>I</v>
      </c>
      <c r="G1552" s="80">
        <f ca="1">IFERROR(__xludf.DUMMYFUNCTION("""COMPUTED_VALUE"""),1)</f>
        <v>1</v>
      </c>
      <c r="H1552" s="80" t="str">
        <f ca="1">IFERROR(__xludf.DUMMYFUNCTION("""COMPUTED_VALUE"""),"OKM")</f>
        <v>OKM</v>
      </c>
      <c r="I1552" s="80">
        <f ca="1">IFERROR(__xludf.DUMMYFUNCTION("""COMPUTED_VALUE"""),5)</f>
        <v>5</v>
      </c>
      <c r="J1552" s="81">
        <f ca="1">IFERROR(__xludf.DUMMYFUNCTION("""COMPUTED_VALUE"""),4)</f>
        <v>4</v>
      </c>
      <c r="K1552" s="81">
        <f ca="1">IFERROR(__xludf.DUMMYFUNCTION("""COMPUTED_VALUE"""),87.95)</f>
        <v>87.95</v>
      </c>
      <c r="L1552" s="81">
        <f ca="1">IFERROR(__xludf.DUMMYFUNCTION("""COMPUTED_VALUE"""),0)</f>
        <v>0</v>
      </c>
      <c r="M1552" s="81"/>
      <c r="N1552" s="81">
        <f ca="1">IFERROR(__xludf.DUMMYFUNCTION("""COMPUTED_VALUE"""),84.75)</f>
        <v>84.75</v>
      </c>
      <c r="O1552" s="81"/>
      <c r="P1552" s="81">
        <f ca="1">IFERROR(__xludf.DUMMYFUNCTION("""COMPUTED_VALUE"""),57.45)</f>
        <v>57.45</v>
      </c>
      <c r="Q1552" s="81"/>
      <c r="R1552" s="81">
        <f ca="1">IFERROR(__xludf.DUMMYFUNCTION("""COMPUTED_VALUE"""),87.95)</f>
        <v>87.95</v>
      </c>
      <c r="S1552" s="81"/>
      <c r="T1552" s="81"/>
      <c r="U1552" s="82"/>
      <c r="V1552" s="82"/>
      <c r="W1552" s="83"/>
      <c r="X1552" s="83"/>
      <c r="Y1552" s="83"/>
    </row>
    <row r="1553" spans="1:25" ht="13.8">
      <c r="A1553" s="78" t="str">
        <f ca="1">IFERROR(__xludf.DUMMYFUNCTION("""COMPUTED_VALUE"""),"OKM")</f>
        <v>OKM</v>
      </c>
      <c r="B1553" s="79" t="str">
        <f ca="1">IFERROR(__xludf.DUMMYFUNCTION("""COMPUTED_VALUE"""),"Maria Hughes")</f>
        <v>Maria Hughes</v>
      </c>
      <c r="C1553" s="78">
        <f ca="1">IFERROR(__xludf.DUMMYFUNCTION("""COMPUTED_VALUE"""),14)</f>
        <v>14</v>
      </c>
      <c r="D1553" s="78" t="str">
        <f ca="1">IFERROR(__xludf.DUMMYFUNCTION("""COMPUTED_VALUE"""),"G")</f>
        <v>G</v>
      </c>
      <c r="E1553" s="80" t="str">
        <f ca="1">IFERROR(__xludf.DUMMYFUNCTION("""COMPUTED_VALUE"""),"I")</f>
        <v>I</v>
      </c>
      <c r="F1553" s="80" t="str">
        <f ca="1">IFERROR(__xludf.DUMMYFUNCTION("""COMPUTED_VALUE"""),"S")</f>
        <v>S</v>
      </c>
      <c r="G1553" s="80">
        <f ca="1">IFERROR(__xludf.DUMMYFUNCTION("""COMPUTED_VALUE"""),1)</f>
        <v>1</v>
      </c>
      <c r="H1553" s="80" t="str">
        <f ca="1">IFERROR(__xludf.DUMMYFUNCTION("""COMPUTED_VALUE"""),"OKM")</f>
        <v>OKM</v>
      </c>
      <c r="I1553" s="80">
        <f ca="1">IFERROR(__xludf.DUMMYFUNCTION("""COMPUTED_VALUE"""),6)</f>
        <v>6</v>
      </c>
      <c r="J1553" s="81">
        <f ca="1">IFERROR(__xludf.DUMMYFUNCTION("""COMPUTED_VALUE"""),1)</f>
        <v>1</v>
      </c>
      <c r="K1553" s="81">
        <f ca="1">IFERROR(__xludf.DUMMYFUNCTION("""COMPUTED_VALUE"""),106.4)</f>
        <v>106.4</v>
      </c>
      <c r="L1553" s="81">
        <f ca="1">IFERROR(__xludf.DUMMYFUNCTION("""COMPUTED_VALUE"""),106.4)</f>
        <v>106.4</v>
      </c>
      <c r="M1553" s="81"/>
      <c r="N1553" s="81">
        <f ca="1">IFERROR(__xludf.DUMMYFUNCTION("""COMPUTED_VALUE"""),0)</f>
        <v>0</v>
      </c>
      <c r="O1553" s="81"/>
      <c r="P1553" s="81">
        <f ca="1">IFERROR(__xludf.DUMMYFUNCTION("""COMPUTED_VALUE"""),0)</f>
        <v>0</v>
      </c>
      <c r="Q1553" s="81"/>
      <c r="R1553" s="81">
        <f ca="1">IFERROR(__xludf.DUMMYFUNCTION("""COMPUTED_VALUE"""),0)</f>
        <v>0</v>
      </c>
      <c r="S1553" s="81"/>
      <c r="T1553" s="81"/>
      <c r="U1553" s="82"/>
      <c r="V1553" s="82"/>
      <c r="W1553" s="83"/>
      <c r="X1553" s="83"/>
      <c r="Y1553" s="83"/>
    </row>
    <row r="1554" spans="1:25" ht="13.8">
      <c r="A1554" s="78" t="str">
        <f ca="1">IFERROR(__xludf.DUMMYFUNCTION("""COMPUTED_VALUE"""),"OKM")</f>
        <v>OKM</v>
      </c>
      <c r="B1554" s="79" t="str">
        <f ca="1">IFERROR(__xludf.DUMMYFUNCTION("""COMPUTED_VALUE"""),"Lindsay Kawane")</f>
        <v>Lindsay Kawane</v>
      </c>
      <c r="C1554" s="78">
        <f ca="1">IFERROR(__xludf.DUMMYFUNCTION("""COMPUTED_VALUE"""),14)</f>
        <v>14</v>
      </c>
      <c r="D1554" s="78" t="str">
        <f ca="1">IFERROR(__xludf.DUMMYFUNCTION("""COMPUTED_VALUE"""),"G")</f>
        <v>G</v>
      </c>
      <c r="E1554" s="80" t="str">
        <f ca="1">IFERROR(__xludf.DUMMYFUNCTION("""COMPUTED_VALUE"""),"I")</f>
        <v>I</v>
      </c>
      <c r="F1554" s="80" t="str">
        <f ca="1">IFERROR(__xludf.DUMMYFUNCTION("""COMPUTED_VALUE"""),"S")</f>
        <v>S</v>
      </c>
      <c r="G1554" s="80">
        <f ca="1">IFERROR(__xludf.DUMMYFUNCTION("""COMPUTED_VALUE"""),1)</f>
        <v>1</v>
      </c>
      <c r="H1554" s="80" t="str">
        <f ca="1">IFERROR(__xludf.DUMMYFUNCTION("""COMPUTED_VALUE"""),"OKM")</f>
        <v>OKM</v>
      </c>
      <c r="I1554" s="80">
        <f ca="1">IFERROR(__xludf.DUMMYFUNCTION("""COMPUTED_VALUE"""),6)</f>
        <v>6</v>
      </c>
      <c r="J1554" s="81">
        <f ca="1">IFERROR(__xludf.DUMMYFUNCTION("""COMPUTED_VALUE"""),5)</f>
        <v>5</v>
      </c>
      <c r="K1554" s="81">
        <f ca="1">IFERROR(__xludf.DUMMYFUNCTION("""COMPUTED_VALUE"""),118.65)</f>
        <v>118.65</v>
      </c>
      <c r="L1554" s="81">
        <f ca="1">IFERROR(__xludf.DUMMYFUNCTION("""COMPUTED_VALUE"""),105.85)</f>
        <v>105.85</v>
      </c>
      <c r="M1554" s="81"/>
      <c r="N1554" s="81">
        <f ca="1">IFERROR(__xludf.DUMMYFUNCTION("""COMPUTED_VALUE"""),118.65)</f>
        <v>118.65</v>
      </c>
      <c r="O1554" s="81"/>
      <c r="P1554" s="81">
        <f ca="1">IFERROR(__xludf.DUMMYFUNCTION("""COMPUTED_VALUE"""),92.55)</f>
        <v>92.55</v>
      </c>
      <c r="Q1554" s="81"/>
      <c r="R1554" s="81">
        <f ca="1">IFERROR(__xludf.DUMMYFUNCTION("""COMPUTED_VALUE"""),117.45)</f>
        <v>117.45</v>
      </c>
      <c r="S1554" s="81"/>
      <c r="T1554" s="81"/>
      <c r="U1554" s="82"/>
      <c r="V1554" s="82"/>
      <c r="W1554" s="83"/>
      <c r="X1554" s="83"/>
      <c r="Y1554" s="83"/>
    </row>
    <row r="1555" spans="1:25" ht="13.8">
      <c r="A1555" s="78" t="str">
        <f ca="1">IFERROR(__xludf.DUMMYFUNCTION("""COMPUTED_VALUE"""),"OKM")</f>
        <v>OKM</v>
      </c>
      <c r="B1555" s="79" t="str">
        <f ca="1">IFERROR(__xludf.DUMMYFUNCTION("""COMPUTED_VALUE"""),"Olivia Osterhout")</f>
        <v>Olivia Osterhout</v>
      </c>
      <c r="C1555" s="78">
        <f ca="1">IFERROR(__xludf.DUMMYFUNCTION("""COMPUTED_VALUE"""),13)</f>
        <v>13</v>
      </c>
      <c r="D1555" s="78" t="str">
        <f ca="1">IFERROR(__xludf.DUMMYFUNCTION("""COMPUTED_VALUE"""),"G")</f>
        <v>G</v>
      </c>
      <c r="E1555" s="80" t="str">
        <f ca="1">IFERROR(__xludf.DUMMYFUNCTION("""COMPUTED_VALUE"""),"I")</f>
        <v>I</v>
      </c>
      <c r="F1555" s="80" t="str">
        <f ca="1">IFERROR(__xludf.DUMMYFUNCTION("""COMPUTED_VALUE"""),"S")</f>
        <v>S</v>
      </c>
      <c r="G1555" s="80">
        <f ca="1">IFERROR(__xludf.DUMMYFUNCTION("""COMPUTED_VALUE"""),1)</f>
        <v>1</v>
      </c>
      <c r="H1555" s="80" t="str">
        <f ca="1">IFERROR(__xludf.DUMMYFUNCTION("""COMPUTED_VALUE"""),"OKM")</f>
        <v>OKM</v>
      </c>
      <c r="I1555" s="80">
        <f ca="1">IFERROR(__xludf.DUMMYFUNCTION("""COMPUTED_VALUE"""),6)</f>
        <v>6</v>
      </c>
      <c r="J1555" s="81">
        <f ca="1">IFERROR(__xludf.DUMMYFUNCTION("""COMPUTED_VALUE"""),5)</f>
        <v>5</v>
      </c>
      <c r="K1555" s="81">
        <f ca="1">IFERROR(__xludf.DUMMYFUNCTION("""COMPUTED_VALUE"""),100.5)</f>
        <v>100.5</v>
      </c>
      <c r="L1555" s="81">
        <f ca="1">IFERROR(__xludf.DUMMYFUNCTION("""COMPUTED_VALUE"""),68.95)</f>
        <v>68.95</v>
      </c>
      <c r="M1555" s="81"/>
      <c r="N1555" s="81">
        <f ca="1">IFERROR(__xludf.DUMMYFUNCTION("""COMPUTED_VALUE"""),76.95)</f>
        <v>76.95</v>
      </c>
      <c r="O1555" s="81"/>
      <c r="P1555" s="81">
        <f ca="1">IFERROR(__xludf.DUMMYFUNCTION("""COMPUTED_VALUE"""),64.15)</f>
        <v>64.150000000000006</v>
      </c>
      <c r="Q1555" s="81"/>
      <c r="R1555" s="81">
        <f ca="1">IFERROR(__xludf.DUMMYFUNCTION("""COMPUTED_VALUE"""),100.5)</f>
        <v>100.5</v>
      </c>
      <c r="S1555" s="81"/>
      <c r="T1555" s="81"/>
      <c r="U1555" s="82"/>
      <c r="V1555" s="82"/>
      <c r="W1555" s="83"/>
      <c r="X1555" s="83"/>
      <c r="Y1555" s="83"/>
    </row>
    <row r="1556" spans="1:25" ht="13.8">
      <c r="A1556" s="78" t="str">
        <f ca="1">IFERROR(__xludf.DUMMYFUNCTION("""COMPUTED_VALUE"""),"OKM")</f>
        <v>OKM</v>
      </c>
      <c r="B1556" s="79" t="str">
        <f ca="1">IFERROR(__xludf.DUMMYFUNCTION("""COMPUTED_VALUE"""),"Zavier Green")</f>
        <v>Zavier Green</v>
      </c>
      <c r="C1556" s="78">
        <f ca="1">IFERROR(__xludf.DUMMYFUNCTION("""COMPUTED_VALUE"""),14)</f>
        <v>14</v>
      </c>
      <c r="D1556" s="78" t="str">
        <f ca="1">IFERROR(__xludf.DUMMYFUNCTION("""COMPUTED_VALUE"""),"B")</f>
        <v>B</v>
      </c>
      <c r="E1556" s="80" t="str">
        <f ca="1">IFERROR(__xludf.DUMMYFUNCTION("""COMPUTED_VALUE"""),"I")</f>
        <v>I</v>
      </c>
      <c r="F1556" s="80" t="str">
        <f ca="1">IFERROR(__xludf.DUMMYFUNCTION("""COMPUTED_VALUE"""),"S")</f>
        <v>S</v>
      </c>
      <c r="G1556" s="80">
        <f ca="1">IFERROR(__xludf.DUMMYFUNCTION("""COMPUTED_VALUE"""),1)</f>
        <v>1</v>
      </c>
      <c r="H1556" s="80" t="str">
        <f ca="1">IFERROR(__xludf.DUMMYFUNCTION("""COMPUTED_VALUE"""),"OKM")</f>
        <v>OKM</v>
      </c>
      <c r="I1556" s="80">
        <f ca="1">IFERROR(__xludf.DUMMYFUNCTION("""COMPUTED_VALUE"""),7)</f>
        <v>7</v>
      </c>
      <c r="J1556" s="81">
        <f ca="1">IFERROR(__xludf.DUMMYFUNCTION("""COMPUTED_VALUE"""),5)</f>
        <v>5</v>
      </c>
      <c r="K1556" s="81">
        <f ca="1">IFERROR(__xludf.DUMMYFUNCTION("""COMPUTED_VALUE"""),118.5)</f>
        <v>118.5</v>
      </c>
      <c r="L1556" s="81">
        <f ca="1">IFERROR(__xludf.DUMMYFUNCTION("""COMPUTED_VALUE"""),118.5)</f>
        <v>118.5</v>
      </c>
      <c r="M1556" s="81"/>
      <c r="N1556" s="81">
        <f ca="1">IFERROR(__xludf.DUMMYFUNCTION("""COMPUTED_VALUE"""),107.45)</f>
        <v>107.45</v>
      </c>
      <c r="O1556" s="81"/>
      <c r="P1556" s="81">
        <f ca="1">IFERROR(__xludf.DUMMYFUNCTION("""COMPUTED_VALUE"""),94.9)</f>
        <v>94.9</v>
      </c>
      <c r="Q1556" s="81"/>
      <c r="R1556" s="81">
        <f ca="1">IFERROR(__xludf.DUMMYFUNCTION("""COMPUTED_VALUE"""),102.8)</f>
        <v>102.8</v>
      </c>
      <c r="S1556" s="81"/>
      <c r="T1556" s="81"/>
      <c r="U1556" s="82"/>
      <c r="V1556" s="82"/>
      <c r="W1556" s="83"/>
      <c r="X1556" s="83"/>
      <c r="Y1556" s="83"/>
    </row>
    <row r="1557" spans="1:25" ht="13.8">
      <c r="A1557" s="78" t="str">
        <f ca="1">IFERROR(__xludf.DUMMYFUNCTION("""COMPUTED_VALUE"""),"OKM")</f>
        <v>OKM</v>
      </c>
      <c r="B1557" s="79" t="str">
        <f ca="1">IFERROR(__xludf.DUMMYFUNCTION("""COMPUTED_VALUE"""),"Cara DeJesus")</f>
        <v>Cara DeJesus</v>
      </c>
      <c r="C1557" s="78">
        <f ca="1">IFERROR(__xludf.DUMMYFUNCTION("""COMPUTED_VALUE"""),16)</f>
        <v>16</v>
      </c>
      <c r="D1557" s="78" t="str">
        <f ca="1">IFERROR(__xludf.DUMMYFUNCTION("""COMPUTED_VALUE"""),"G")</f>
        <v>G</v>
      </c>
      <c r="E1557" s="80" t="str">
        <f ca="1">IFERROR(__xludf.DUMMYFUNCTION("""COMPUTED_VALUE"""),"S")</f>
        <v>S</v>
      </c>
      <c r="F1557" s="80" t="str">
        <f ca="1">IFERROR(__xludf.DUMMYFUNCTION("""COMPUTED_VALUE"""),"S")</f>
        <v>S</v>
      </c>
      <c r="G1557" s="80">
        <f ca="1">IFERROR(__xludf.DUMMYFUNCTION("""COMPUTED_VALUE"""),1)</f>
        <v>1</v>
      </c>
      <c r="H1557" s="80" t="str">
        <f ca="1">IFERROR(__xludf.DUMMYFUNCTION("""COMPUTED_VALUE"""),"OKM")</f>
        <v>OKM</v>
      </c>
      <c r="I1557" s="80">
        <f ca="1">IFERROR(__xludf.DUMMYFUNCTION("""COMPUTED_VALUE"""),8)</f>
        <v>8</v>
      </c>
      <c r="J1557" s="81">
        <f ca="1">IFERROR(__xludf.DUMMYFUNCTION("""COMPUTED_VALUE"""),5)</f>
        <v>5</v>
      </c>
      <c r="K1557" s="81">
        <f ca="1">IFERROR(__xludf.DUMMYFUNCTION("""COMPUTED_VALUE"""),219.15)</f>
        <v>219.15</v>
      </c>
      <c r="L1557" s="81">
        <f ca="1">IFERROR(__xludf.DUMMYFUNCTION("""COMPUTED_VALUE"""),192)</f>
        <v>192</v>
      </c>
      <c r="M1557" s="81"/>
      <c r="N1557" s="81">
        <f ca="1">IFERROR(__xludf.DUMMYFUNCTION("""COMPUTED_VALUE"""),204.35)</f>
        <v>204.35</v>
      </c>
      <c r="O1557" s="81"/>
      <c r="P1557" s="81">
        <f ca="1">IFERROR(__xludf.DUMMYFUNCTION("""COMPUTED_VALUE"""),219.15)</f>
        <v>219.15</v>
      </c>
      <c r="Q1557" s="81"/>
      <c r="R1557" s="81">
        <f ca="1">IFERROR(__xludf.DUMMYFUNCTION("""COMPUTED_VALUE"""),217.7)</f>
        <v>217.7</v>
      </c>
      <c r="S1557" s="81"/>
      <c r="T1557" s="81"/>
      <c r="U1557" s="82"/>
      <c r="V1557" s="82"/>
      <c r="W1557" s="83"/>
      <c r="X1557" s="83"/>
      <c r="Y1557" s="83"/>
    </row>
    <row r="1558" spans="1:25" ht="13.8">
      <c r="A1558" s="78" t="str">
        <f ca="1">IFERROR(__xludf.DUMMYFUNCTION("""COMPUTED_VALUE"""),"OKM")</f>
        <v>OKM</v>
      </c>
      <c r="B1558" s="79" t="str">
        <f ca="1">IFERROR(__xludf.DUMMYFUNCTION("""COMPUTED_VALUE"""),"Sania Dhond")</f>
        <v>Sania Dhond</v>
      </c>
      <c r="C1558" s="78">
        <f ca="1">IFERROR(__xludf.DUMMYFUNCTION("""COMPUTED_VALUE"""),15)</f>
        <v>15</v>
      </c>
      <c r="D1558" s="78" t="str">
        <f ca="1">IFERROR(__xludf.DUMMYFUNCTION("""COMPUTED_VALUE"""),"G")</f>
        <v>G</v>
      </c>
      <c r="E1558" s="80" t="str">
        <f ca="1">IFERROR(__xludf.DUMMYFUNCTION("""COMPUTED_VALUE"""),"S")</f>
        <v>S</v>
      </c>
      <c r="F1558" s="80" t="str">
        <f ca="1">IFERROR(__xludf.DUMMYFUNCTION("""COMPUTED_VALUE"""),"S")</f>
        <v>S</v>
      </c>
      <c r="G1558" s="80">
        <f ca="1">IFERROR(__xludf.DUMMYFUNCTION("""COMPUTED_VALUE"""),1)</f>
        <v>1</v>
      </c>
      <c r="H1558" s="80" t="str">
        <f ca="1">IFERROR(__xludf.DUMMYFUNCTION("""COMPUTED_VALUE"""),"OKM")</f>
        <v>OKM</v>
      </c>
      <c r="I1558" s="80">
        <f ca="1">IFERROR(__xludf.DUMMYFUNCTION("""COMPUTED_VALUE"""),8)</f>
        <v>8</v>
      </c>
      <c r="J1558" s="81">
        <f ca="1">IFERROR(__xludf.DUMMYFUNCTION("""COMPUTED_VALUE"""),4)</f>
        <v>4</v>
      </c>
      <c r="K1558" s="81">
        <f ca="1">IFERROR(__xludf.DUMMYFUNCTION("""COMPUTED_VALUE"""),170.75)</f>
        <v>170.75</v>
      </c>
      <c r="L1558" s="81">
        <f ca="1">IFERROR(__xludf.DUMMYFUNCTION("""COMPUTED_VALUE"""),152.65)</f>
        <v>152.65</v>
      </c>
      <c r="M1558" s="81"/>
      <c r="N1558" s="81">
        <f ca="1">IFERROR(__xludf.DUMMYFUNCTION("""COMPUTED_VALUE"""),142.4)</f>
        <v>142.4</v>
      </c>
      <c r="O1558" s="81"/>
      <c r="P1558" s="81">
        <f ca="1">IFERROR(__xludf.DUMMYFUNCTION("""COMPUTED_VALUE"""),165.95)</f>
        <v>165.95</v>
      </c>
      <c r="Q1558" s="81"/>
      <c r="R1558" s="81">
        <f ca="1">IFERROR(__xludf.DUMMYFUNCTION("""COMPUTED_VALUE"""),170.75)</f>
        <v>170.75</v>
      </c>
      <c r="S1558" s="81"/>
      <c r="T1558" s="81"/>
      <c r="U1558" s="82"/>
      <c r="V1558" s="82"/>
      <c r="W1558" s="83"/>
      <c r="X1558" s="83"/>
      <c r="Y1558" s="83"/>
    </row>
    <row r="1559" spans="1:25" ht="13.8">
      <c r="A1559" s="78" t="str">
        <f ca="1">IFERROR(__xludf.DUMMYFUNCTION("""COMPUTED_VALUE"""),"OKM")</f>
        <v>OKM</v>
      </c>
      <c r="B1559" s="79" t="str">
        <f ca="1">IFERROR(__xludf.DUMMYFUNCTION("""COMPUTED_VALUE"""),"Ainsley Taylor")</f>
        <v>Ainsley Taylor</v>
      </c>
      <c r="C1559" s="78">
        <f ca="1">IFERROR(__xludf.DUMMYFUNCTION("""COMPUTED_VALUE"""),16)</f>
        <v>16</v>
      </c>
      <c r="D1559" s="78" t="str">
        <f ca="1">IFERROR(__xludf.DUMMYFUNCTION("""COMPUTED_VALUE"""),"G")</f>
        <v>G</v>
      </c>
      <c r="E1559" s="80" t="str">
        <f ca="1">IFERROR(__xludf.DUMMYFUNCTION("""COMPUTED_VALUE"""),"S")</f>
        <v>S</v>
      </c>
      <c r="F1559" s="80" t="str">
        <f ca="1">IFERROR(__xludf.DUMMYFUNCTION("""COMPUTED_VALUE"""),"S")</f>
        <v>S</v>
      </c>
      <c r="G1559" s="80">
        <f ca="1">IFERROR(__xludf.DUMMYFUNCTION("""COMPUTED_VALUE"""),1)</f>
        <v>1</v>
      </c>
      <c r="H1559" s="80" t="str">
        <f ca="1">IFERROR(__xludf.DUMMYFUNCTION("""COMPUTED_VALUE"""),"OKM")</f>
        <v>OKM</v>
      </c>
      <c r="I1559" s="80">
        <f ca="1">IFERROR(__xludf.DUMMYFUNCTION("""COMPUTED_VALUE"""),8)</f>
        <v>8</v>
      </c>
      <c r="J1559" s="81">
        <f ca="1">IFERROR(__xludf.DUMMYFUNCTION("""COMPUTED_VALUE"""),3)</f>
        <v>3</v>
      </c>
      <c r="K1559" s="81">
        <f ca="1">IFERROR(__xludf.DUMMYFUNCTION("""COMPUTED_VALUE"""),203.7)</f>
        <v>203.7</v>
      </c>
      <c r="L1559" s="81">
        <f ca="1">IFERROR(__xludf.DUMMYFUNCTION("""COMPUTED_VALUE"""),193.15)</f>
        <v>193.15</v>
      </c>
      <c r="M1559" s="81"/>
      <c r="N1559" s="81">
        <f ca="1">IFERROR(__xludf.DUMMYFUNCTION("""COMPUTED_VALUE"""),203.7)</f>
        <v>203.7</v>
      </c>
      <c r="O1559" s="81"/>
      <c r="P1559" s="81">
        <f ca="1">IFERROR(__xludf.DUMMYFUNCTION("""COMPUTED_VALUE"""),0)</f>
        <v>0</v>
      </c>
      <c r="Q1559" s="81"/>
      <c r="R1559" s="81">
        <f ca="1">IFERROR(__xludf.DUMMYFUNCTION("""COMPUTED_VALUE"""),0)</f>
        <v>0</v>
      </c>
      <c r="S1559" s="81"/>
      <c r="T1559" s="81"/>
      <c r="U1559" s="82"/>
      <c r="V1559" s="82"/>
      <c r="W1559" s="83"/>
      <c r="X1559" s="83"/>
      <c r="Y1559" s="83"/>
    </row>
    <row r="1560" spans="1:25" ht="13.8">
      <c r="A1560" s="78" t="str">
        <f ca="1">IFERROR(__xludf.DUMMYFUNCTION("""COMPUTED_VALUE"""),"OKM")</f>
        <v>OKM</v>
      </c>
      <c r="B1560" s="79" t="str">
        <f ca="1">IFERROR(__xludf.DUMMYFUNCTION("""COMPUTED_VALUE"""),"Thomas Hughes")</f>
        <v>Thomas Hughes</v>
      </c>
      <c r="C1560" s="78">
        <f ca="1">IFERROR(__xludf.DUMMYFUNCTION("""COMPUTED_VALUE"""),16)</f>
        <v>16</v>
      </c>
      <c r="D1560" s="78" t="str">
        <f ca="1">IFERROR(__xludf.DUMMYFUNCTION("""COMPUTED_VALUE"""),"B")</f>
        <v>B</v>
      </c>
      <c r="E1560" s="80" t="str">
        <f ca="1">IFERROR(__xludf.DUMMYFUNCTION("""COMPUTED_VALUE"""),"S")</f>
        <v>S</v>
      </c>
      <c r="F1560" s="80" t="str">
        <f ca="1">IFERROR(__xludf.DUMMYFUNCTION("""COMPUTED_VALUE"""),"S")</f>
        <v>S</v>
      </c>
      <c r="G1560" s="80">
        <f ca="1">IFERROR(__xludf.DUMMYFUNCTION("""COMPUTED_VALUE"""),1)</f>
        <v>1</v>
      </c>
      <c r="H1560" s="80" t="str">
        <f ca="1">IFERROR(__xludf.DUMMYFUNCTION("""COMPUTED_VALUE"""),"OKM")</f>
        <v>OKM</v>
      </c>
      <c r="I1560" s="80">
        <f ca="1">IFERROR(__xludf.DUMMYFUNCTION("""COMPUTED_VALUE"""),9)</f>
        <v>9</v>
      </c>
      <c r="J1560" s="81">
        <f ca="1">IFERROR(__xludf.DUMMYFUNCTION("""COMPUTED_VALUE"""),3)</f>
        <v>3</v>
      </c>
      <c r="K1560" s="81">
        <f ca="1">IFERROR(__xludf.DUMMYFUNCTION("""COMPUTED_VALUE"""),187)</f>
        <v>187</v>
      </c>
      <c r="L1560" s="81">
        <f ca="1">IFERROR(__xludf.DUMMYFUNCTION("""COMPUTED_VALUE"""),157)</f>
        <v>157</v>
      </c>
      <c r="M1560" s="81"/>
      <c r="N1560" s="81">
        <f ca="1">IFERROR(__xludf.DUMMYFUNCTION("""COMPUTED_VALUE"""),152)</f>
        <v>152</v>
      </c>
      <c r="O1560" s="81"/>
      <c r="P1560" s="81">
        <f ca="1">IFERROR(__xludf.DUMMYFUNCTION("""COMPUTED_VALUE"""),187)</f>
        <v>187</v>
      </c>
      <c r="Q1560" s="81"/>
      <c r="R1560" s="81">
        <f ca="1">IFERROR(__xludf.DUMMYFUNCTION("""COMPUTED_VALUE"""),0)</f>
        <v>0</v>
      </c>
      <c r="S1560" s="81"/>
      <c r="T1560" s="81"/>
      <c r="U1560" s="82"/>
      <c r="V1560" s="82"/>
      <c r="W1560" s="83"/>
      <c r="X1560" s="83"/>
      <c r="Y1560" s="83"/>
    </row>
    <row r="1561" spans="1:25" ht="13.8">
      <c r="A1561" s="78" t="str">
        <f ca="1">IFERROR(__xludf.DUMMYFUNCTION("""COMPUTED_VALUE"""),"OKM")</f>
        <v>OKM</v>
      </c>
      <c r="B1561" s="79" t="str">
        <f ca="1">IFERROR(__xludf.DUMMYFUNCTION("""COMPUTED_VALUE"""),"Liam MIller")</f>
        <v>Liam MIller</v>
      </c>
      <c r="C1561" s="78">
        <f ca="1">IFERROR(__xludf.DUMMYFUNCTION("""COMPUTED_VALUE"""),15)</f>
        <v>15</v>
      </c>
      <c r="D1561" s="78" t="str">
        <f ca="1">IFERROR(__xludf.DUMMYFUNCTION("""COMPUTED_VALUE"""),"B")</f>
        <v>B</v>
      </c>
      <c r="E1561" s="80" t="str">
        <f ca="1">IFERROR(__xludf.DUMMYFUNCTION("""COMPUTED_VALUE"""),"S")</f>
        <v>S</v>
      </c>
      <c r="F1561" s="80" t="str">
        <f ca="1">IFERROR(__xludf.DUMMYFUNCTION("""COMPUTED_VALUE"""),"S")</f>
        <v>S</v>
      </c>
      <c r="G1561" s="80">
        <f ca="1">IFERROR(__xludf.DUMMYFUNCTION("""COMPUTED_VALUE"""),1)</f>
        <v>1</v>
      </c>
      <c r="H1561" s="80" t="str">
        <f ca="1">IFERROR(__xludf.DUMMYFUNCTION("""COMPUTED_VALUE"""),"OKM")</f>
        <v>OKM</v>
      </c>
      <c r="I1561" s="80">
        <f ca="1">IFERROR(__xludf.DUMMYFUNCTION("""COMPUTED_VALUE"""),9)</f>
        <v>9</v>
      </c>
      <c r="J1561" s="81">
        <f ca="1">IFERROR(__xludf.DUMMYFUNCTION("""COMPUTED_VALUE"""),4)</f>
        <v>4</v>
      </c>
      <c r="K1561" s="81">
        <f ca="1">IFERROR(__xludf.DUMMYFUNCTION("""COMPUTED_VALUE"""),260.1)</f>
        <v>260.10000000000002</v>
      </c>
      <c r="L1561" s="81">
        <f ca="1">IFERROR(__xludf.DUMMYFUNCTION("""COMPUTED_VALUE"""),234.8)</f>
        <v>234.8</v>
      </c>
      <c r="M1561" s="81"/>
      <c r="N1561" s="81">
        <f ca="1">IFERROR(__xludf.DUMMYFUNCTION("""COMPUTED_VALUE"""),0)</f>
        <v>0</v>
      </c>
      <c r="O1561" s="81"/>
      <c r="P1561" s="81">
        <f ca="1">IFERROR(__xludf.DUMMYFUNCTION("""COMPUTED_VALUE"""),260.1)</f>
        <v>260.10000000000002</v>
      </c>
      <c r="Q1561" s="81"/>
      <c r="R1561" s="81">
        <f ca="1">IFERROR(__xludf.DUMMYFUNCTION("""COMPUTED_VALUE"""),256.9)</f>
        <v>256.89999999999998</v>
      </c>
      <c r="S1561" s="81"/>
      <c r="T1561" s="81"/>
      <c r="U1561" s="82"/>
      <c r="V1561" s="82"/>
      <c r="W1561" s="83"/>
      <c r="X1561" s="83"/>
      <c r="Y1561" s="83"/>
    </row>
    <row r="1562" spans="1:25" ht="13.8">
      <c r="A1562" s="78" t="str">
        <f ca="1">IFERROR(__xludf.DUMMYFUNCTION("""COMPUTED_VALUE"""),"OKM")</f>
        <v>OKM</v>
      </c>
      <c r="B1562" s="79" t="str">
        <f ca="1">IFERROR(__xludf.DUMMYFUNCTION("""COMPUTED_VALUE"""),"Adam Osterhout")</f>
        <v>Adam Osterhout</v>
      </c>
      <c r="C1562" s="78">
        <f ca="1">IFERROR(__xludf.DUMMYFUNCTION("""COMPUTED_VALUE"""),15)</f>
        <v>15</v>
      </c>
      <c r="D1562" s="78" t="str">
        <f ca="1">IFERROR(__xludf.DUMMYFUNCTION("""COMPUTED_VALUE"""),"B")</f>
        <v>B</v>
      </c>
      <c r="E1562" s="80" t="str">
        <f ca="1">IFERROR(__xludf.DUMMYFUNCTION("""COMPUTED_VALUE"""),"S")</f>
        <v>S</v>
      </c>
      <c r="F1562" s="80" t="str">
        <f ca="1">IFERROR(__xludf.DUMMYFUNCTION("""COMPUTED_VALUE"""),"S")</f>
        <v>S</v>
      </c>
      <c r="G1562" s="80">
        <f ca="1">IFERROR(__xludf.DUMMYFUNCTION("""COMPUTED_VALUE"""),1)</f>
        <v>1</v>
      </c>
      <c r="H1562" s="80" t="str">
        <f ca="1">IFERROR(__xludf.DUMMYFUNCTION("""COMPUTED_VALUE"""),"OKM")</f>
        <v>OKM</v>
      </c>
      <c r="I1562" s="80">
        <f ca="1">IFERROR(__xludf.DUMMYFUNCTION("""COMPUTED_VALUE"""),9)</f>
        <v>9</v>
      </c>
      <c r="J1562" s="81">
        <f ca="1">IFERROR(__xludf.DUMMYFUNCTION("""COMPUTED_VALUE"""),5)</f>
        <v>5</v>
      </c>
      <c r="K1562" s="81">
        <f ca="1">IFERROR(__xludf.DUMMYFUNCTION("""COMPUTED_VALUE"""),164.55)</f>
        <v>164.55</v>
      </c>
      <c r="L1562" s="81">
        <f ca="1">IFERROR(__xludf.DUMMYFUNCTION("""COMPUTED_VALUE"""),137.7)</f>
        <v>137.69999999999999</v>
      </c>
      <c r="M1562" s="81"/>
      <c r="N1562" s="81">
        <f ca="1">IFERROR(__xludf.DUMMYFUNCTION("""COMPUTED_VALUE"""),164.55)</f>
        <v>164.55</v>
      </c>
      <c r="O1562" s="81"/>
      <c r="P1562" s="81">
        <f ca="1">IFERROR(__xludf.DUMMYFUNCTION("""COMPUTED_VALUE"""),147.8)</f>
        <v>147.80000000000001</v>
      </c>
      <c r="Q1562" s="81"/>
      <c r="R1562" s="81">
        <f ca="1">IFERROR(__xludf.DUMMYFUNCTION("""COMPUTED_VALUE"""),155.1)</f>
        <v>155.1</v>
      </c>
      <c r="S1562" s="81"/>
      <c r="T1562" s="81"/>
      <c r="U1562" s="82"/>
      <c r="V1562" s="82"/>
      <c r="W1562" s="83"/>
      <c r="X1562" s="83"/>
      <c r="Y1562" s="83"/>
    </row>
    <row r="1563" spans="1:25" ht="13.8">
      <c r="A1563" s="78" t="str">
        <f ca="1">IFERROR(__xludf.DUMMYFUNCTION("""COMPUTED_VALUE"""),"OKM")</f>
        <v>OKM</v>
      </c>
      <c r="B1563" s="79" t="str">
        <f ca="1">IFERROR(__xludf.DUMMYFUNCTION("""COMPUTED_VALUE"""),"JP Wiluz")</f>
        <v>JP Wiluz</v>
      </c>
      <c r="C1563" s="78">
        <f ca="1">IFERROR(__xludf.DUMMYFUNCTION("""COMPUTED_VALUE"""),19)</f>
        <v>19</v>
      </c>
      <c r="D1563" s="78" t="str">
        <f ca="1">IFERROR(__xludf.DUMMYFUNCTION("""COMPUTED_VALUE"""),"B")</f>
        <v>B</v>
      </c>
      <c r="E1563" s="80" t="str">
        <f ca="1">IFERROR(__xludf.DUMMYFUNCTION("""COMPUTED_VALUE"""),"S")</f>
        <v>S</v>
      </c>
      <c r="F1563" s="80" t="str">
        <f ca="1">IFERROR(__xludf.DUMMYFUNCTION("""COMPUTED_VALUE"""),"S")</f>
        <v>S</v>
      </c>
      <c r="G1563" s="80">
        <f ca="1">IFERROR(__xludf.DUMMYFUNCTION("""COMPUTED_VALUE"""),1)</f>
        <v>1</v>
      </c>
      <c r="H1563" s="80" t="str">
        <f ca="1">IFERROR(__xludf.DUMMYFUNCTION("""COMPUTED_VALUE"""),"OKM")</f>
        <v>OKM</v>
      </c>
      <c r="I1563" s="80">
        <f ca="1">IFERROR(__xludf.DUMMYFUNCTION("""COMPUTED_VALUE"""),9)</f>
        <v>9</v>
      </c>
      <c r="J1563" s="81">
        <f ca="1">IFERROR(__xludf.DUMMYFUNCTION("""COMPUTED_VALUE"""),5)</f>
        <v>5</v>
      </c>
      <c r="K1563" s="81">
        <f ca="1">IFERROR(__xludf.DUMMYFUNCTION("""COMPUTED_VALUE"""),179.55)</f>
        <v>179.55</v>
      </c>
      <c r="L1563" s="81">
        <f ca="1">IFERROR(__xludf.DUMMYFUNCTION("""COMPUTED_VALUE"""),177.25)</f>
        <v>177.25</v>
      </c>
      <c r="M1563" s="81"/>
      <c r="N1563" s="81">
        <f ca="1">IFERROR(__xludf.DUMMYFUNCTION("""COMPUTED_VALUE"""),169.4)</f>
        <v>169.4</v>
      </c>
      <c r="O1563" s="81"/>
      <c r="P1563" s="81">
        <f ca="1">IFERROR(__xludf.DUMMYFUNCTION("""COMPUTED_VALUE"""),179.55)</f>
        <v>179.55</v>
      </c>
      <c r="Q1563" s="81"/>
      <c r="R1563" s="81">
        <f ca="1">IFERROR(__xludf.DUMMYFUNCTION("""COMPUTED_VALUE"""),173.2)</f>
        <v>173.2</v>
      </c>
      <c r="S1563" s="81"/>
      <c r="T1563" s="81"/>
      <c r="U1563" s="82"/>
      <c r="V1563" s="82"/>
      <c r="W1563" s="83"/>
      <c r="X1563" s="83"/>
      <c r="Y1563" s="83"/>
    </row>
    <row r="1564" spans="1:25" ht="13.8">
      <c r="A1564" s="78" t="str">
        <f ca="1">IFERROR(__xludf.DUMMYFUNCTION("""COMPUTED_VALUE"""),"PAR")</f>
        <v>PAR</v>
      </c>
      <c r="B1564" s="79" t="str">
        <f ca="1">IFERROR(__xludf.DUMMYFUNCTION("""COMPUTED_VALUE"""),"Aubree Burnside")</f>
        <v>Aubree Burnside</v>
      </c>
      <c r="C1564" s="78">
        <f ca="1">IFERROR(__xludf.DUMMYFUNCTION("""COMPUTED_VALUE"""),10)</f>
        <v>10</v>
      </c>
      <c r="D1564" s="78" t="str">
        <f ca="1">IFERROR(__xludf.DUMMYFUNCTION("""COMPUTED_VALUE"""),"G")</f>
        <v>G</v>
      </c>
      <c r="E1564" s="80" t="str">
        <f ca="1">IFERROR(__xludf.DUMMYFUNCTION("""COMPUTED_VALUE"""),"F")</f>
        <v>F</v>
      </c>
      <c r="F1564" s="80" t="str">
        <f ca="1">IFERROR(__xludf.DUMMYFUNCTION("""COMPUTED_VALUE"""),"J")</f>
        <v>J</v>
      </c>
      <c r="G1564" s="80">
        <f ca="1">IFERROR(__xludf.DUMMYFUNCTION("""COMPUTED_VALUE"""),6)</f>
        <v>6</v>
      </c>
      <c r="H1564" s="80" t="str">
        <f ca="1">IFERROR(__xludf.DUMMYFUNCTION("""COMPUTED_VALUE"""),"PAR")</f>
        <v>PAR</v>
      </c>
      <c r="I1564" s="80">
        <f ca="1">IFERROR(__xludf.DUMMYFUNCTION("""COMPUTED_VALUE"""),2)</f>
        <v>2</v>
      </c>
      <c r="J1564" s="81">
        <f ca="1">IFERROR(__xludf.DUMMYFUNCTION("""COMPUTED_VALUE"""),4)</f>
        <v>4</v>
      </c>
      <c r="K1564" s="81">
        <f ca="1">IFERROR(__xludf.DUMMYFUNCTION("""COMPUTED_VALUE"""),59.45)</f>
        <v>59.45</v>
      </c>
      <c r="L1564" s="81">
        <f ca="1">IFERROR(__xludf.DUMMYFUNCTION("""COMPUTED_VALUE"""),0)</f>
        <v>0</v>
      </c>
      <c r="M1564" s="81"/>
      <c r="N1564" s="81">
        <f ca="1">IFERROR(__xludf.DUMMYFUNCTION("""COMPUTED_VALUE"""),59.45)</f>
        <v>59.45</v>
      </c>
      <c r="O1564" s="81"/>
      <c r="P1564" s="81">
        <f ca="1">IFERROR(__xludf.DUMMYFUNCTION("""COMPUTED_VALUE"""),-83.55)</f>
        <v>-83.55</v>
      </c>
      <c r="Q1564" s="81"/>
      <c r="R1564" s="81">
        <f ca="1">IFERROR(__xludf.DUMMYFUNCTION("""COMPUTED_VALUE"""),-79.85)</f>
        <v>-79.849999999999994</v>
      </c>
      <c r="S1564" s="81"/>
      <c r="T1564" s="81"/>
      <c r="U1564" s="82"/>
      <c r="V1564" s="82"/>
      <c r="W1564" s="83"/>
      <c r="X1564" s="83"/>
      <c r="Y1564" s="83"/>
    </row>
    <row r="1565" spans="1:25" ht="13.8">
      <c r="A1565" s="78" t="str">
        <f ca="1">IFERROR(__xludf.DUMMYFUNCTION("""COMPUTED_VALUE"""),"PAR")</f>
        <v>PAR</v>
      </c>
      <c r="B1565" s="79" t="str">
        <f ca="1">IFERROR(__xludf.DUMMYFUNCTION("""COMPUTED_VALUE"""),"Brielle Burnside")</f>
        <v>Brielle Burnside</v>
      </c>
      <c r="C1565" s="78">
        <f ca="1">IFERROR(__xludf.DUMMYFUNCTION("""COMPUTED_VALUE"""),7)</f>
        <v>7</v>
      </c>
      <c r="D1565" s="78" t="str">
        <f ca="1">IFERROR(__xludf.DUMMYFUNCTION("""COMPUTED_VALUE"""),"G")</f>
        <v>G</v>
      </c>
      <c r="E1565" s="80" t="str">
        <f ca="1">IFERROR(__xludf.DUMMYFUNCTION("""COMPUTED_VALUE"""),"F")</f>
        <v>F</v>
      </c>
      <c r="F1565" s="80" t="str">
        <f ca="1">IFERROR(__xludf.DUMMYFUNCTION("""COMPUTED_VALUE"""),"J")</f>
        <v>J</v>
      </c>
      <c r="G1565" s="80">
        <f ca="1">IFERROR(__xludf.DUMMYFUNCTION("""COMPUTED_VALUE"""),6)</f>
        <v>6</v>
      </c>
      <c r="H1565" s="80" t="str">
        <f ca="1">IFERROR(__xludf.DUMMYFUNCTION("""COMPUTED_VALUE"""),"PAR")</f>
        <v>PAR</v>
      </c>
      <c r="I1565" s="80">
        <f ca="1">IFERROR(__xludf.DUMMYFUNCTION("""COMPUTED_VALUE"""),2)</f>
        <v>2</v>
      </c>
      <c r="J1565" s="81">
        <f ca="1">IFERROR(__xludf.DUMMYFUNCTION("""COMPUTED_VALUE"""),4)</f>
        <v>4</v>
      </c>
      <c r="K1565" s="81">
        <f ca="1">IFERROR(__xludf.DUMMYFUNCTION("""COMPUTED_VALUE"""),34.4)</f>
        <v>34.4</v>
      </c>
      <c r="L1565" s="81">
        <f ca="1">IFERROR(__xludf.DUMMYFUNCTION("""COMPUTED_VALUE"""),0)</f>
        <v>0</v>
      </c>
      <c r="M1565" s="81"/>
      <c r="N1565" s="81">
        <f ca="1">IFERROR(__xludf.DUMMYFUNCTION("""COMPUTED_VALUE"""),25.75)</f>
        <v>25.75</v>
      </c>
      <c r="O1565" s="81"/>
      <c r="P1565" s="81">
        <f ca="1">IFERROR(__xludf.DUMMYFUNCTION("""COMPUTED_VALUE"""),25)</f>
        <v>25</v>
      </c>
      <c r="Q1565" s="81"/>
      <c r="R1565" s="81">
        <f ca="1">IFERROR(__xludf.DUMMYFUNCTION("""COMPUTED_VALUE"""),34.4)</f>
        <v>34.4</v>
      </c>
      <c r="S1565" s="81"/>
      <c r="T1565" s="81"/>
      <c r="U1565" s="82"/>
      <c r="V1565" s="82"/>
      <c r="W1565" s="83"/>
      <c r="X1565" s="83"/>
      <c r="Y1565" s="83"/>
    </row>
    <row r="1566" spans="1:25" ht="13.8">
      <c r="A1566" s="78" t="str">
        <f ca="1">IFERROR(__xludf.DUMMYFUNCTION("""COMPUTED_VALUE"""),"PAR")</f>
        <v>PAR</v>
      </c>
      <c r="B1566" s="79" t="str">
        <f ca="1">IFERROR(__xludf.DUMMYFUNCTION("""COMPUTED_VALUE"""),"Bridget Caines")</f>
        <v>Bridget Caines</v>
      </c>
      <c r="C1566" s="78">
        <f ca="1">IFERROR(__xludf.DUMMYFUNCTION("""COMPUTED_VALUE"""),8)</f>
        <v>8</v>
      </c>
      <c r="D1566" s="78" t="str">
        <f ca="1">IFERROR(__xludf.DUMMYFUNCTION("""COMPUTED_VALUE"""),"G")</f>
        <v>G</v>
      </c>
      <c r="E1566" s="80" t="str">
        <f ca="1">IFERROR(__xludf.DUMMYFUNCTION("""COMPUTED_VALUE"""),"F")</f>
        <v>F</v>
      </c>
      <c r="F1566" s="80" t="str">
        <f ca="1">IFERROR(__xludf.DUMMYFUNCTION("""COMPUTED_VALUE"""),"J")</f>
        <v>J</v>
      </c>
      <c r="G1566" s="80">
        <f ca="1">IFERROR(__xludf.DUMMYFUNCTION("""COMPUTED_VALUE"""),6)</f>
        <v>6</v>
      </c>
      <c r="H1566" s="80" t="str">
        <f ca="1">IFERROR(__xludf.DUMMYFUNCTION("""COMPUTED_VALUE"""),"PAR")</f>
        <v>PAR</v>
      </c>
      <c r="I1566" s="80">
        <f ca="1">IFERROR(__xludf.DUMMYFUNCTION("""COMPUTED_VALUE"""),2)</f>
        <v>2</v>
      </c>
      <c r="J1566" s="81">
        <f ca="1">IFERROR(__xludf.DUMMYFUNCTION("""COMPUTED_VALUE"""),5)</f>
        <v>5</v>
      </c>
      <c r="K1566" s="81">
        <f ca="1">IFERROR(__xludf.DUMMYFUNCTION("""COMPUTED_VALUE"""),24.75)</f>
        <v>24.75</v>
      </c>
      <c r="L1566" s="81">
        <f ca="1">IFERROR(__xludf.DUMMYFUNCTION("""COMPUTED_VALUE"""),24.75)</f>
        <v>24.75</v>
      </c>
      <c r="M1566" s="81"/>
      <c r="N1566" s="81">
        <f ca="1">IFERROR(__xludf.DUMMYFUNCTION("""COMPUTED_VALUE"""),21.7)</f>
        <v>21.7</v>
      </c>
      <c r="O1566" s="81"/>
      <c r="P1566" s="81">
        <f ca="1">IFERROR(__xludf.DUMMYFUNCTION("""COMPUTED_VALUE"""),19)</f>
        <v>19</v>
      </c>
      <c r="Q1566" s="81"/>
      <c r="R1566" s="81">
        <f ca="1">IFERROR(__xludf.DUMMYFUNCTION("""COMPUTED_VALUE"""),21)</f>
        <v>21</v>
      </c>
      <c r="S1566" s="81"/>
      <c r="T1566" s="81"/>
      <c r="U1566" s="82"/>
      <c r="V1566" s="82"/>
      <c r="W1566" s="83"/>
      <c r="X1566" s="83"/>
      <c r="Y1566" s="83"/>
    </row>
    <row r="1567" spans="1:25" ht="13.8">
      <c r="A1567" s="78" t="str">
        <f ca="1">IFERROR(__xludf.DUMMYFUNCTION("""COMPUTED_VALUE"""),"PAR")</f>
        <v>PAR</v>
      </c>
      <c r="B1567" s="79" t="str">
        <f ca="1">IFERROR(__xludf.DUMMYFUNCTION("""COMPUTED_VALUE"""),"Lara Henry")</f>
        <v>Lara Henry</v>
      </c>
      <c r="C1567" s="78">
        <f ca="1">IFERROR(__xludf.DUMMYFUNCTION("""COMPUTED_VALUE"""),8)</f>
        <v>8</v>
      </c>
      <c r="D1567" s="78" t="str">
        <f ca="1">IFERROR(__xludf.DUMMYFUNCTION("""COMPUTED_VALUE"""),"G")</f>
        <v>G</v>
      </c>
      <c r="E1567" s="80" t="str">
        <f ca="1">IFERROR(__xludf.DUMMYFUNCTION("""COMPUTED_VALUE"""),"F")</f>
        <v>F</v>
      </c>
      <c r="F1567" s="80" t="str">
        <f ca="1">IFERROR(__xludf.DUMMYFUNCTION("""COMPUTED_VALUE"""),"J")</f>
        <v>J</v>
      </c>
      <c r="G1567" s="80">
        <f ca="1">IFERROR(__xludf.DUMMYFUNCTION("""COMPUTED_VALUE"""),6)</f>
        <v>6</v>
      </c>
      <c r="H1567" s="80" t="str">
        <f ca="1">IFERROR(__xludf.DUMMYFUNCTION("""COMPUTED_VALUE"""),"PAR")</f>
        <v>PAR</v>
      </c>
      <c r="I1567" s="80">
        <f ca="1">IFERROR(__xludf.DUMMYFUNCTION("""COMPUTED_VALUE"""),2)</f>
        <v>2</v>
      </c>
      <c r="J1567" s="81">
        <f ca="1">IFERROR(__xludf.DUMMYFUNCTION("""COMPUTED_VALUE"""),0)</f>
        <v>0</v>
      </c>
      <c r="K1567" s="81">
        <f ca="1">IFERROR(__xludf.DUMMYFUNCTION("""COMPUTED_VALUE"""),0)</f>
        <v>0</v>
      </c>
      <c r="L1567" s="81">
        <f ca="1">IFERROR(__xludf.DUMMYFUNCTION("""COMPUTED_VALUE"""),0)</f>
        <v>0</v>
      </c>
      <c r="M1567" s="81"/>
      <c r="N1567" s="81">
        <f ca="1">IFERROR(__xludf.DUMMYFUNCTION("""COMPUTED_VALUE"""),0)</f>
        <v>0</v>
      </c>
      <c r="O1567" s="81"/>
      <c r="P1567" s="81">
        <f ca="1">IFERROR(__xludf.DUMMYFUNCTION("""COMPUTED_VALUE"""),0)</f>
        <v>0</v>
      </c>
      <c r="Q1567" s="81"/>
      <c r="R1567" s="81">
        <f ca="1">IFERROR(__xludf.DUMMYFUNCTION("""COMPUTED_VALUE"""),0)</f>
        <v>0</v>
      </c>
      <c r="S1567" s="81"/>
      <c r="T1567" s="81"/>
      <c r="U1567" s="82"/>
      <c r="V1567" s="82"/>
      <c r="W1567" s="83"/>
      <c r="X1567" s="83"/>
      <c r="Y1567" s="83"/>
    </row>
    <row r="1568" spans="1:25" ht="13.8">
      <c r="A1568" s="78" t="str">
        <f ca="1">IFERROR(__xludf.DUMMYFUNCTION("""COMPUTED_VALUE"""),"PAR")</f>
        <v>PAR</v>
      </c>
      <c r="B1568" s="79" t="str">
        <f ca="1">IFERROR(__xludf.DUMMYFUNCTION("""COMPUTED_VALUE"""),"Tanisa Kanchanawanchai")</f>
        <v>Tanisa Kanchanawanchai</v>
      </c>
      <c r="C1568" s="78">
        <f ca="1">IFERROR(__xludf.DUMMYFUNCTION("""COMPUTED_VALUE"""),9)</f>
        <v>9</v>
      </c>
      <c r="D1568" s="78" t="str">
        <f ca="1">IFERROR(__xludf.DUMMYFUNCTION("""COMPUTED_VALUE"""),"G")</f>
        <v>G</v>
      </c>
      <c r="E1568" s="80" t="str">
        <f ca="1">IFERROR(__xludf.DUMMYFUNCTION("""COMPUTED_VALUE"""),"F")</f>
        <v>F</v>
      </c>
      <c r="F1568" s="80" t="str">
        <f ca="1">IFERROR(__xludf.DUMMYFUNCTION("""COMPUTED_VALUE"""),"J")</f>
        <v>J</v>
      </c>
      <c r="G1568" s="80">
        <f ca="1">IFERROR(__xludf.DUMMYFUNCTION("""COMPUTED_VALUE"""),6)</f>
        <v>6</v>
      </c>
      <c r="H1568" s="80" t="str">
        <f ca="1">IFERROR(__xludf.DUMMYFUNCTION("""COMPUTED_VALUE"""),"PAR")</f>
        <v>PAR</v>
      </c>
      <c r="I1568" s="80">
        <f ca="1">IFERROR(__xludf.DUMMYFUNCTION("""COMPUTED_VALUE"""),2)</f>
        <v>2</v>
      </c>
      <c r="J1568" s="81">
        <f ca="1">IFERROR(__xludf.DUMMYFUNCTION("""COMPUTED_VALUE"""),5)</f>
        <v>5</v>
      </c>
      <c r="K1568" s="81">
        <f ca="1">IFERROR(__xludf.DUMMYFUNCTION("""COMPUTED_VALUE"""),41.4)</f>
        <v>41.4</v>
      </c>
      <c r="L1568" s="81">
        <f ca="1">IFERROR(__xludf.DUMMYFUNCTION("""COMPUTED_VALUE"""),41.4)</f>
        <v>41.4</v>
      </c>
      <c r="M1568" s="81"/>
      <c r="N1568" s="81">
        <f ca="1">IFERROR(__xludf.DUMMYFUNCTION("""COMPUTED_VALUE"""),29.75)</f>
        <v>29.75</v>
      </c>
      <c r="O1568" s="81"/>
      <c r="P1568" s="81">
        <f ca="1">IFERROR(__xludf.DUMMYFUNCTION("""COMPUTED_VALUE"""),28.7)</f>
        <v>28.7</v>
      </c>
      <c r="Q1568" s="81"/>
      <c r="R1568" s="81">
        <f ca="1">IFERROR(__xludf.DUMMYFUNCTION("""COMPUTED_VALUE"""),31.6)</f>
        <v>31.6</v>
      </c>
      <c r="S1568" s="81"/>
      <c r="T1568" s="81"/>
      <c r="U1568" s="82"/>
      <c r="V1568" s="82"/>
      <c r="W1568" s="83"/>
      <c r="X1568" s="83"/>
      <c r="Y1568" s="83"/>
    </row>
    <row r="1569" spans="1:25" ht="13.8">
      <c r="A1569" s="78" t="str">
        <f ca="1">IFERROR(__xludf.DUMMYFUNCTION("""COMPUTED_VALUE"""),"PAR")</f>
        <v>PAR</v>
      </c>
      <c r="B1569" s="79" t="str">
        <f ca="1">IFERROR(__xludf.DUMMYFUNCTION("""COMPUTED_VALUE"""),"Hadley Miller")</f>
        <v>Hadley Miller</v>
      </c>
      <c r="C1569" s="78">
        <f ca="1">IFERROR(__xludf.DUMMYFUNCTION("""COMPUTED_VALUE"""),6)</f>
        <v>6</v>
      </c>
      <c r="D1569" s="78" t="str">
        <f ca="1">IFERROR(__xludf.DUMMYFUNCTION("""COMPUTED_VALUE"""),"G")</f>
        <v>G</v>
      </c>
      <c r="E1569" s="80" t="str">
        <f ca="1">IFERROR(__xludf.DUMMYFUNCTION("""COMPUTED_VALUE"""),"F")</f>
        <v>F</v>
      </c>
      <c r="F1569" s="80" t="str">
        <f ca="1">IFERROR(__xludf.DUMMYFUNCTION("""COMPUTED_VALUE"""),"J")</f>
        <v>J</v>
      </c>
      <c r="G1569" s="80">
        <f ca="1">IFERROR(__xludf.DUMMYFUNCTION("""COMPUTED_VALUE"""),6)</f>
        <v>6</v>
      </c>
      <c r="H1569" s="80" t="str">
        <f ca="1">IFERROR(__xludf.DUMMYFUNCTION("""COMPUTED_VALUE"""),"PAR")</f>
        <v>PAR</v>
      </c>
      <c r="I1569" s="80">
        <f ca="1">IFERROR(__xludf.DUMMYFUNCTION("""COMPUTED_VALUE"""),2)</f>
        <v>2</v>
      </c>
      <c r="J1569" s="81">
        <f ca="1">IFERROR(__xludf.DUMMYFUNCTION("""COMPUTED_VALUE"""),4)</f>
        <v>4</v>
      </c>
      <c r="K1569" s="81">
        <f ca="1">IFERROR(__xludf.DUMMYFUNCTION("""COMPUTED_VALUE"""),41.25)</f>
        <v>41.25</v>
      </c>
      <c r="L1569" s="81">
        <f ca="1">IFERROR(__xludf.DUMMYFUNCTION("""COMPUTED_VALUE"""),0)</f>
        <v>0</v>
      </c>
      <c r="M1569" s="81"/>
      <c r="N1569" s="81">
        <f ca="1">IFERROR(__xludf.DUMMYFUNCTION("""COMPUTED_VALUE"""),22.25)</f>
        <v>22.25</v>
      </c>
      <c r="O1569" s="81"/>
      <c r="P1569" s="81">
        <f ca="1">IFERROR(__xludf.DUMMYFUNCTION("""COMPUTED_VALUE"""),26.5)</f>
        <v>26.5</v>
      </c>
      <c r="Q1569" s="81"/>
      <c r="R1569" s="81">
        <f ca="1">IFERROR(__xludf.DUMMYFUNCTION("""COMPUTED_VALUE"""),41.25)</f>
        <v>41.25</v>
      </c>
      <c r="S1569" s="81"/>
      <c r="T1569" s="81"/>
      <c r="U1569" s="82"/>
      <c r="V1569" s="82"/>
      <c r="W1569" s="83"/>
      <c r="X1569" s="83"/>
      <c r="Y1569" s="83"/>
    </row>
    <row r="1570" spans="1:25" ht="13.8">
      <c r="A1570" s="78" t="str">
        <f ca="1">IFERROR(__xludf.DUMMYFUNCTION("""COMPUTED_VALUE"""),"PAR")</f>
        <v>PAR</v>
      </c>
      <c r="B1570" s="79" t="str">
        <f ca="1">IFERROR(__xludf.DUMMYFUNCTION("""COMPUTED_VALUE"""),"Charlotte Rotteveel")</f>
        <v>Charlotte Rotteveel</v>
      </c>
      <c r="C1570" s="78">
        <f ca="1">IFERROR(__xludf.DUMMYFUNCTION("""COMPUTED_VALUE"""),8)</f>
        <v>8</v>
      </c>
      <c r="D1570" s="78" t="str">
        <f ca="1">IFERROR(__xludf.DUMMYFUNCTION("""COMPUTED_VALUE"""),"G")</f>
        <v>G</v>
      </c>
      <c r="E1570" s="80" t="str">
        <f ca="1">IFERROR(__xludf.DUMMYFUNCTION("""COMPUTED_VALUE"""),"F")</f>
        <v>F</v>
      </c>
      <c r="F1570" s="80" t="str">
        <f ca="1">IFERROR(__xludf.DUMMYFUNCTION("""COMPUTED_VALUE"""),"J")</f>
        <v>J</v>
      </c>
      <c r="G1570" s="80">
        <f ca="1">IFERROR(__xludf.DUMMYFUNCTION("""COMPUTED_VALUE"""),6)</f>
        <v>6</v>
      </c>
      <c r="H1570" s="80" t="str">
        <f ca="1">IFERROR(__xludf.DUMMYFUNCTION("""COMPUTED_VALUE"""),"PAR")</f>
        <v>PAR</v>
      </c>
      <c r="I1570" s="80">
        <f ca="1">IFERROR(__xludf.DUMMYFUNCTION("""COMPUTED_VALUE"""),2)</f>
        <v>2</v>
      </c>
      <c r="J1570" s="81">
        <f ca="1">IFERROR(__xludf.DUMMYFUNCTION("""COMPUTED_VALUE"""),5)</f>
        <v>5</v>
      </c>
      <c r="K1570" s="81">
        <f ca="1">IFERROR(__xludf.DUMMYFUNCTION("""COMPUTED_VALUE"""),66.6)</f>
        <v>66.599999999999994</v>
      </c>
      <c r="L1570" s="81">
        <f ca="1">IFERROR(__xludf.DUMMYFUNCTION("""COMPUTED_VALUE"""),58.2)</f>
        <v>58.2</v>
      </c>
      <c r="M1570" s="81"/>
      <c r="N1570" s="81">
        <f ca="1">IFERROR(__xludf.DUMMYFUNCTION("""COMPUTED_VALUE"""),50.1)</f>
        <v>50.1</v>
      </c>
      <c r="O1570" s="81"/>
      <c r="P1570" s="81">
        <f ca="1">IFERROR(__xludf.DUMMYFUNCTION("""COMPUTED_VALUE"""),66.6)</f>
        <v>66.599999999999994</v>
      </c>
      <c r="Q1570" s="81"/>
      <c r="R1570" s="81">
        <f ca="1">IFERROR(__xludf.DUMMYFUNCTION("""COMPUTED_VALUE"""),55.7)</f>
        <v>55.7</v>
      </c>
      <c r="S1570" s="81"/>
      <c r="T1570" s="81"/>
      <c r="U1570" s="82"/>
      <c r="V1570" s="82"/>
      <c r="W1570" s="83"/>
      <c r="X1570" s="83"/>
      <c r="Y1570" s="83"/>
    </row>
    <row r="1571" spans="1:25" ht="13.8">
      <c r="A1571" s="78" t="str">
        <f ca="1">IFERROR(__xludf.DUMMYFUNCTION("""COMPUTED_VALUE"""),"PAR")</f>
        <v>PAR</v>
      </c>
      <c r="B1571" s="79" t="str">
        <f ca="1">IFERROR(__xludf.DUMMYFUNCTION("""COMPUTED_VALUE"""),"Gabby Smith")</f>
        <v>Gabby Smith</v>
      </c>
      <c r="C1571" s="78">
        <f ca="1">IFERROR(__xludf.DUMMYFUNCTION("""COMPUTED_VALUE"""),8)</f>
        <v>8</v>
      </c>
      <c r="D1571" s="78" t="str">
        <f ca="1">IFERROR(__xludf.DUMMYFUNCTION("""COMPUTED_VALUE"""),"G")</f>
        <v>G</v>
      </c>
      <c r="E1571" s="80" t="str">
        <f ca="1">IFERROR(__xludf.DUMMYFUNCTION("""COMPUTED_VALUE"""),"F")</f>
        <v>F</v>
      </c>
      <c r="F1571" s="80" t="str">
        <f ca="1">IFERROR(__xludf.DUMMYFUNCTION("""COMPUTED_VALUE"""),"J")</f>
        <v>J</v>
      </c>
      <c r="G1571" s="80">
        <f ca="1">IFERROR(__xludf.DUMMYFUNCTION("""COMPUTED_VALUE"""),6)</f>
        <v>6</v>
      </c>
      <c r="H1571" s="80" t="str">
        <f ca="1">IFERROR(__xludf.DUMMYFUNCTION("""COMPUTED_VALUE"""),"PAR")</f>
        <v>PAR</v>
      </c>
      <c r="I1571" s="80">
        <f ca="1">IFERROR(__xludf.DUMMYFUNCTION("""COMPUTED_VALUE"""),2)</f>
        <v>2</v>
      </c>
      <c r="J1571" s="81">
        <f ca="1">IFERROR(__xludf.DUMMYFUNCTION("""COMPUTED_VALUE"""),5)</f>
        <v>5</v>
      </c>
      <c r="K1571" s="81">
        <f ca="1">IFERROR(__xludf.DUMMYFUNCTION("""COMPUTED_VALUE"""),35.55)</f>
        <v>35.549999999999997</v>
      </c>
      <c r="L1571" s="81">
        <f ca="1">IFERROR(__xludf.DUMMYFUNCTION("""COMPUTED_VALUE"""),27)</f>
        <v>27</v>
      </c>
      <c r="M1571" s="81"/>
      <c r="N1571" s="81">
        <f ca="1">IFERROR(__xludf.DUMMYFUNCTION("""COMPUTED_VALUE"""),28.7)</f>
        <v>28.7</v>
      </c>
      <c r="O1571" s="81"/>
      <c r="P1571" s="81">
        <f ca="1">IFERROR(__xludf.DUMMYFUNCTION("""COMPUTED_VALUE"""),29.7)</f>
        <v>29.7</v>
      </c>
      <c r="Q1571" s="81"/>
      <c r="R1571" s="81">
        <f ca="1">IFERROR(__xludf.DUMMYFUNCTION("""COMPUTED_VALUE"""),35.55)</f>
        <v>35.549999999999997</v>
      </c>
      <c r="S1571" s="81"/>
      <c r="T1571" s="81"/>
      <c r="U1571" s="82"/>
      <c r="V1571" s="82"/>
      <c r="W1571" s="83"/>
      <c r="X1571" s="83"/>
      <c r="Y1571" s="83"/>
    </row>
    <row r="1572" spans="1:25" ht="13.8">
      <c r="A1572" s="78" t="str">
        <f ca="1">IFERROR(__xludf.DUMMYFUNCTION("""COMPUTED_VALUE"""),"PAR")</f>
        <v>PAR</v>
      </c>
      <c r="B1572" s="79" t="str">
        <f ca="1">IFERROR(__xludf.DUMMYFUNCTION("""COMPUTED_VALUE"""),"Gabrielle Subsavage")</f>
        <v>Gabrielle Subsavage</v>
      </c>
      <c r="C1572" s="78">
        <f ca="1">IFERROR(__xludf.DUMMYFUNCTION("""COMPUTED_VALUE"""),9)</f>
        <v>9</v>
      </c>
      <c r="D1572" s="78" t="str">
        <f ca="1">IFERROR(__xludf.DUMMYFUNCTION("""COMPUTED_VALUE"""),"G")</f>
        <v>G</v>
      </c>
      <c r="E1572" s="80" t="str">
        <f ca="1">IFERROR(__xludf.DUMMYFUNCTION("""COMPUTED_VALUE"""),"F")</f>
        <v>F</v>
      </c>
      <c r="F1572" s="80" t="str">
        <f ca="1">IFERROR(__xludf.DUMMYFUNCTION("""COMPUTED_VALUE"""),"J")</f>
        <v>J</v>
      </c>
      <c r="G1572" s="80">
        <f ca="1">IFERROR(__xludf.DUMMYFUNCTION("""COMPUTED_VALUE"""),6)</f>
        <v>6</v>
      </c>
      <c r="H1572" s="80" t="str">
        <f ca="1">IFERROR(__xludf.DUMMYFUNCTION("""COMPUTED_VALUE"""),"PAR")</f>
        <v>PAR</v>
      </c>
      <c r="I1572" s="80">
        <f ca="1">IFERROR(__xludf.DUMMYFUNCTION("""COMPUTED_VALUE"""),2)</f>
        <v>2</v>
      </c>
      <c r="J1572" s="81">
        <f ca="1">IFERROR(__xludf.DUMMYFUNCTION("""COMPUTED_VALUE"""),3)</f>
        <v>3</v>
      </c>
      <c r="K1572" s="81">
        <f ca="1">IFERROR(__xludf.DUMMYFUNCTION("""COMPUTED_VALUE"""),40.6)</f>
        <v>40.6</v>
      </c>
      <c r="L1572" s="81">
        <f ca="1">IFERROR(__xludf.DUMMYFUNCTION("""COMPUTED_VALUE"""),0)</f>
        <v>0</v>
      </c>
      <c r="M1572" s="81"/>
      <c r="N1572" s="81">
        <f ca="1">IFERROR(__xludf.DUMMYFUNCTION("""COMPUTED_VALUE"""),36.3)</f>
        <v>36.299999999999997</v>
      </c>
      <c r="O1572" s="81"/>
      <c r="P1572" s="81">
        <f ca="1">IFERROR(__xludf.DUMMYFUNCTION("""COMPUTED_VALUE"""),40.6)</f>
        <v>40.6</v>
      </c>
      <c r="Q1572" s="81"/>
      <c r="R1572" s="81">
        <f ca="1">IFERROR(__xludf.DUMMYFUNCTION("""COMPUTED_VALUE"""),0)</f>
        <v>0</v>
      </c>
      <c r="S1572" s="81"/>
      <c r="T1572" s="81"/>
      <c r="U1572" s="82"/>
      <c r="V1572" s="82"/>
      <c r="W1572" s="83"/>
      <c r="X1572" s="83"/>
      <c r="Y1572" s="83"/>
    </row>
    <row r="1573" spans="1:25" ht="13.8">
      <c r="A1573" s="78" t="str">
        <f ca="1">IFERROR(__xludf.DUMMYFUNCTION("""COMPUTED_VALUE"""),"PAR")</f>
        <v>PAR</v>
      </c>
      <c r="B1573" s="79" t="str">
        <f ca="1">IFERROR(__xludf.DUMMYFUNCTION("""COMPUTED_VALUE"""),"Drew Avila")</f>
        <v>Drew Avila</v>
      </c>
      <c r="C1573" s="78">
        <f ca="1">IFERROR(__xludf.DUMMYFUNCTION("""COMPUTED_VALUE"""),10)</f>
        <v>10</v>
      </c>
      <c r="D1573" s="78" t="str">
        <f ca="1">IFERROR(__xludf.DUMMYFUNCTION("""COMPUTED_VALUE"""),"B")</f>
        <v>B</v>
      </c>
      <c r="E1573" s="80" t="str">
        <f ca="1">IFERROR(__xludf.DUMMYFUNCTION("""COMPUTED_VALUE"""),"F")</f>
        <v>F</v>
      </c>
      <c r="F1573" s="80" t="str">
        <f ca="1">IFERROR(__xludf.DUMMYFUNCTION("""COMPUTED_VALUE"""),"J")</f>
        <v>J</v>
      </c>
      <c r="G1573" s="80">
        <f ca="1">IFERROR(__xludf.DUMMYFUNCTION("""COMPUTED_VALUE"""),6)</f>
        <v>6</v>
      </c>
      <c r="H1573" s="80" t="str">
        <f ca="1">IFERROR(__xludf.DUMMYFUNCTION("""COMPUTED_VALUE"""),"PAR")</f>
        <v>PAR</v>
      </c>
      <c r="I1573" s="80">
        <f ca="1">IFERROR(__xludf.DUMMYFUNCTION("""COMPUTED_VALUE"""),3)</f>
        <v>3</v>
      </c>
      <c r="J1573" s="81">
        <f ca="1">IFERROR(__xludf.DUMMYFUNCTION("""COMPUTED_VALUE"""),5)</f>
        <v>5</v>
      </c>
      <c r="K1573" s="81">
        <f ca="1">IFERROR(__xludf.DUMMYFUNCTION("""COMPUTED_VALUE"""),53.2)</f>
        <v>53.2</v>
      </c>
      <c r="L1573" s="81">
        <f ca="1">IFERROR(__xludf.DUMMYFUNCTION("""COMPUTED_VALUE"""),48.5)</f>
        <v>48.5</v>
      </c>
      <c r="M1573" s="81"/>
      <c r="N1573" s="81">
        <f ca="1">IFERROR(__xludf.DUMMYFUNCTION("""COMPUTED_VALUE"""),50.25)</f>
        <v>50.25</v>
      </c>
      <c r="O1573" s="81"/>
      <c r="P1573" s="81">
        <f ca="1">IFERROR(__xludf.DUMMYFUNCTION("""COMPUTED_VALUE"""),40.3)</f>
        <v>40.299999999999997</v>
      </c>
      <c r="Q1573" s="81"/>
      <c r="R1573" s="81">
        <f ca="1">IFERROR(__xludf.DUMMYFUNCTION("""COMPUTED_VALUE"""),53.2)</f>
        <v>53.2</v>
      </c>
      <c r="S1573" s="81"/>
      <c r="T1573" s="81"/>
      <c r="U1573" s="82"/>
      <c r="V1573" s="82"/>
      <c r="W1573" s="83"/>
      <c r="X1573" s="83"/>
      <c r="Y1573" s="83"/>
    </row>
    <row r="1574" spans="1:25" ht="13.8">
      <c r="A1574" s="78" t="str">
        <f ca="1">IFERROR(__xludf.DUMMYFUNCTION("""COMPUTED_VALUE"""),"PAR")</f>
        <v>PAR</v>
      </c>
      <c r="B1574" s="79" t="str">
        <f ca="1">IFERROR(__xludf.DUMMYFUNCTION("""COMPUTED_VALUE"""),"Avery Edwards")</f>
        <v>Avery Edwards</v>
      </c>
      <c r="C1574" s="78">
        <f ca="1">IFERROR(__xludf.DUMMYFUNCTION("""COMPUTED_VALUE"""),10)</f>
        <v>10</v>
      </c>
      <c r="D1574" s="78" t="str">
        <f ca="1">IFERROR(__xludf.DUMMYFUNCTION("""COMPUTED_VALUE"""),"B")</f>
        <v>B</v>
      </c>
      <c r="E1574" s="80" t="str">
        <f ca="1">IFERROR(__xludf.DUMMYFUNCTION("""COMPUTED_VALUE"""),"F")</f>
        <v>F</v>
      </c>
      <c r="F1574" s="80" t="str">
        <f ca="1">IFERROR(__xludf.DUMMYFUNCTION("""COMPUTED_VALUE"""),"J")</f>
        <v>J</v>
      </c>
      <c r="G1574" s="80">
        <f ca="1">IFERROR(__xludf.DUMMYFUNCTION("""COMPUTED_VALUE"""),6)</f>
        <v>6</v>
      </c>
      <c r="H1574" s="80" t="str">
        <f ca="1">IFERROR(__xludf.DUMMYFUNCTION("""COMPUTED_VALUE"""),"PAR")</f>
        <v>PAR</v>
      </c>
      <c r="I1574" s="80">
        <f ca="1">IFERROR(__xludf.DUMMYFUNCTION("""COMPUTED_VALUE"""),3)</f>
        <v>3</v>
      </c>
      <c r="J1574" s="81">
        <f ca="1">IFERROR(__xludf.DUMMYFUNCTION("""COMPUTED_VALUE"""),5)</f>
        <v>5</v>
      </c>
      <c r="K1574" s="81">
        <f ca="1">IFERROR(__xludf.DUMMYFUNCTION("""COMPUTED_VALUE"""),37.25)</f>
        <v>37.25</v>
      </c>
      <c r="L1574" s="81">
        <f ca="1">IFERROR(__xludf.DUMMYFUNCTION("""COMPUTED_VALUE"""),37.25)</f>
        <v>37.25</v>
      </c>
      <c r="M1574" s="81"/>
      <c r="N1574" s="81">
        <f ca="1">IFERROR(__xludf.DUMMYFUNCTION("""COMPUTED_VALUE"""),28.75)</f>
        <v>28.75</v>
      </c>
      <c r="O1574" s="81"/>
      <c r="P1574" s="81">
        <f ca="1">IFERROR(__xludf.DUMMYFUNCTION("""COMPUTED_VALUE"""),29.75)</f>
        <v>29.75</v>
      </c>
      <c r="Q1574" s="81"/>
      <c r="R1574" s="81">
        <f ca="1">IFERROR(__xludf.DUMMYFUNCTION("""COMPUTED_VALUE"""),23.2)</f>
        <v>23.2</v>
      </c>
      <c r="S1574" s="81"/>
      <c r="T1574" s="81"/>
      <c r="U1574" s="82"/>
      <c r="V1574" s="82"/>
      <c r="W1574" s="83"/>
      <c r="X1574" s="83"/>
      <c r="Y1574" s="83"/>
    </row>
    <row r="1575" spans="1:25" ht="13.8">
      <c r="A1575" s="78" t="str">
        <f ca="1">IFERROR(__xludf.DUMMYFUNCTION("""COMPUTED_VALUE"""),"PAR")</f>
        <v>PAR</v>
      </c>
      <c r="B1575" s="79" t="str">
        <f ca="1">IFERROR(__xludf.DUMMYFUNCTION("""COMPUTED_VALUE"""),"AJ Gordon")</f>
        <v>AJ Gordon</v>
      </c>
      <c r="C1575" s="78">
        <f ca="1">IFERROR(__xludf.DUMMYFUNCTION("""COMPUTED_VALUE"""),8)</f>
        <v>8</v>
      </c>
      <c r="D1575" s="78" t="str">
        <f ca="1">IFERROR(__xludf.DUMMYFUNCTION("""COMPUTED_VALUE"""),"B")</f>
        <v>B</v>
      </c>
      <c r="E1575" s="80" t="str">
        <f ca="1">IFERROR(__xludf.DUMMYFUNCTION("""COMPUTED_VALUE"""),"F")</f>
        <v>F</v>
      </c>
      <c r="F1575" s="80" t="str">
        <f ca="1">IFERROR(__xludf.DUMMYFUNCTION("""COMPUTED_VALUE"""),"J")</f>
        <v>J</v>
      </c>
      <c r="G1575" s="80">
        <f ca="1">IFERROR(__xludf.DUMMYFUNCTION("""COMPUTED_VALUE"""),6)</f>
        <v>6</v>
      </c>
      <c r="H1575" s="80" t="str">
        <f ca="1">IFERROR(__xludf.DUMMYFUNCTION("""COMPUTED_VALUE"""),"PAR")</f>
        <v>PAR</v>
      </c>
      <c r="I1575" s="80">
        <f ca="1">IFERROR(__xludf.DUMMYFUNCTION("""COMPUTED_VALUE"""),3)</f>
        <v>3</v>
      </c>
      <c r="J1575" s="81">
        <f ca="1">IFERROR(__xludf.DUMMYFUNCTION("""COMPUTED_VALUE"""),0)</f>
        <v>0</v>
      </c>
      <c r="K1575" s="81">
        <f ca="1">IFERROR(__xludf.DUMMYFUNCTION("""COMPUTED_VALUE"""),0)</f>
        <v>0</v>
      </c>
      <c r="L1575" s="81">
        <f ca="1">IFERROR(__xludf.DUMMYFUNCTION("""COMPUTED_VALUE"""),0)</f>
        <v>0</v>
      </c>
      <c r="M1575" s="81"/>
      <c r="N1575" s="81">
        <f ca="1">IFERROR(__xludf.DUMMYFUNCTION("""COMPUTED_VALUE"""),0)</f>
        <v>0</v>
      </c>
      <c r="O1575" s="81"/>
      <c r="P1575" s="81">
        <f ca="1">IFERROR(__xludf.DUMMYFUNCTION("""COMPUTED_VALUE"""),0)</f>
        <v>0</v>
      </c>
      <c r="Q1575" s="81"/>
      <c r="R1575" s="81">
        <f ca="1">IFERROR(__xludf.DUMMYFUNCTION("""COMPUTED_VALUE"""),0)</f>
        <v>0</v>
      </c>
      <c r="S1575" s="81"/>
      <c r="T1575" s="81"/>
      <c r="U1575" s="82"/>
      <c r="V1575" s="82"/>
      <c r="W1575" s="83"/>
      <c r="X1575" s="83"/>
      <c r="Y1575" s="83"/>
    </row>
    <row r="1576" spans="1:25" ht="13.8">
      <c r="A1576" s="78" t="str">
        <f ca="1">IFERROR(__xludf.DUMMYFUNCTION("""COMPUTED_VALUE"""),"PAR")</f>
        <v>PAR</v>
      </c>
      <c r="B1576" s="79" t="str">
        <f ca="1">IFERROR(__xludf.DUMMYFUNCTION("""COMPUTED_VALUE"""),"Fynn Miller")</f>
        <v>Fynn Miller</v>
      </c>
      <c r="C1576" s="78">
        <f ca="1">IFERROR(__xludf.DUMMYFUNCTION("""COMPUTED_VALUE"""),7)</f>
        <v>7</v>
      </c>
      <c r="D1576" s="78" t="str">
        <f ca="1">IFERROR(__xludf.DUMMYFUNCTION("""COMPUTED_VALUE"""),"B")</f>
        <v>B</v>
      </c>
      <c r="E1576" s="80" t="str">
        <f ca="1">IFERROR(__xludf.DUMMYFUNCTION("""COMPUTED_VALUE"""),"F")</f>
        <v>F</v>
      </c>
      <c r="F1576" s="80" t="str">
        <f ca="1">IFERROR(__xludf.DUMMYFUNCTION("""COMPUTED_VALUE"""),"J")</f>
        <v>J</v>
      </c>
      <c r="G1576" s="80">
        <f ca="1">IFERROR(__xludf.DUMMYFUNCTION("""COMPUTED_VALUE"""),6)</f>
        <v>6</v>
      </c>
      <c r="H1576" s="80" t="str">
        <f ca="1">IFERROR(__xludf.DUMMYFUNCTION("""COMPUTED_VALUE"""),"PAR")</f>
        <v>PAR</v>
      </c>
      <c r="I1576" s="80">
        <f ca="1">IFERROR(__xludf.DUMMYFUNCTION("""COMPUTED_VALUE"""),3)</f>
        <v>3</v>
      </c>
      <c r="J1576" s="81">
        <f ca="1">IFERROR(__xludf.DUMMYFUNCTION("""COMPUTED_VALUE"""),4)</f>
        <v>4</v>
      </c>
      <c r="K1576" s="81">
        <f ca="1">IFERROR(__xludf.DUMMYFUNCTION("""COMPUTED_VALUE"""),27.5)</f>
        <v>27.5</v>
      </c>
      <c r="L1576" s="81">
        <f ca="1">IFERROR(__xludf.DUMMYFUNCTION("""COMPUTED_VALUE"""),0)</f>
        <v>0</v>
      </c>
      <c r="M1576" s="81"/>
      <c r="N1576" s="81">
        <f ca="1">IFERROR(__xludf.DUMMYFUNCTION("""COMPUTED_VALUE"""),12)</f>
        <v>12</v>
      </c>
      <c r="O1576" s="81"/>
      <c r="P1576" s="81">
        <f ca="1">IFERROR(__xludf.DUMMYFUNCTION("""COMPUTED_VALUE"""),25.5)</f>
        <v>25.5</v>
      </c>
      <c r="Q1576" s="81"/>
      <c r="R1576" s="81">
        <f ca="1">IFERROR(__xludf.DUMMYFUNCTION("""COMPUTED_VALUE"""),27.5)</f>
        <v>27.5</v>
      </c>
      <c r="S1576" s="81"/>
      <c r="T1576" s="81"/>
      <c r="U1576" s="82"/>
      <c r="V1576" s="82"/>
      <c r="W1576" s="83"/>
      <c r="X1576" s="83"/>
      <c r="Y1576" s="83"/>
    </row>
    <row r="1577" spans="1:25" ht="13.8">
      <c r="A1577" s="78" t="str">
        <f ca="1">IFERROR(__xludf.DUMMYFUNCTION("""COMPUTED_VALUE"""),"PAR")</f>
        <v>PAR</v>
      </c>
      <c r="B1577" s="79" t="str">
        <f ca="1">IFERROR(__xludf.DUMMYFUNCTION("""COMPUTED_VALUE"""),"Nolan Scott")</f>
        <v>Nolan Scott</v>
      </c>
      <c r="C1577" s="78">
        <f ca="1">IFERROR(__xludf.DUMMYFUNCTION("""COMPUTED_VALUE"""),10)</f>
        <v>10</v>
      </c>
      <c r="D1577" s="78" t="str">
        <f ca="1">IFERROR(__xludf.DUMMYFUNCTION("""COMPUTED_VALUE"""),"B")</f>
        <v>B</v>
      </c>
      <c r="E1577" s="80" t="str">
        <f ca="1">IFERROR(__xludf.DUMMYFUNCTION("""COMPUTED_VALUE"""),"F")</f>
        <v>F</v>
      </c>
      <c r="F1577" s="80" t="str">
        <f ca="1">IFERROR(__xludf.DUMMYFUNCTION("""COMPUTED_VALUE"""),"J")</f>
        <v>J</v>
      </c>
      <c r="G1577" s="80">
        <f ca="1">IFERROR(__xludf.DUMMYFUNCTION("""COMPUTED_VALUE"""),6)</f>
        <v>6</v>
      </c>
      <c r="H1577" s="80" t="str">
        <f ca="1">IFERROR(__xludf.DUMMYFUNCTION("""COMPUTED_VALUE"""),"PAR")</f>
        <v>PAR</v>
      </c>
      <c r="I1577" s="80">
        <f ca="1">IFERROR(__xludf.DUMMYFUNCTION("""COMPUTED_VALUE"""),3)</f>
        <v>3</v>
      </c>
      <c r="J1577" s="81">
        <f ca="1">IFERROR(__xludf.DUMMYFUNCTION("""COMPUTED_VALUE"""),4)</f>
        <v>4</v>
      </c>
      <c r="K1577" s="81">
        <f ca="1">IFERROR(__xludf.DUMMYFUNCTION("""COMPUTED_VALUE"""),59.2)</f>
        <v>59.2</v>
      </c>
      <c r="L1577" s="81">
        <f ca="1">IFERROR(__xludf.DUMMYFUNCTION("""COMPUTED_VALUE"""),59.2)</f>
        <v>59.2</v>
      </c>
      <c r="M1577" s="81"/>
      <c r="N1577" s="81">
        <f ca="1">IFERROR(__xludf.DUMMYFUNCTION("""COMPUTED_VALUE"""),56.75)</f>
        <v>56.75</v>
      </c>
      <c r="O1577" s="81"/>
      <c r="P1577" s="81">
        <f ca="1">IFERROR(__xludf.DUMMYFUNCTION("""COMPUTED_VALUE"""),57.3)</f>
        <v>57.3</v>
      </c>
      <c r="Q1577" s="81"/>
      <c r="R1577" s="81">
        <f ca="1">IFERROR(__xludf.DUMMYFUNCTION("""COMPUTED_VALUE"""),0)</f>
        <v>0</v>
      </c>
      <c r="S1577" s="81"/>
      <c r="T1577" s="81"/>
      <c r="U1577" s="82"/>
      <c r="V1577" s="82"/>
      <c r="W1577" s="83"/>
      <c r="X1577" s="83"/>
      <c r="Y1577" s="83"/>
    </row>
    <row r="1578" spans="1:25" ht="13.8">
      <c r="A1578" s="78" t="str">
        <f ca="1">IFERROR(__xludf.DUMMYFUNCTION("""COMPUTED_VALUE"""),"PAR")</f>
        <v>PAR</v>
      </c>
      <c r="B1578" s="79" t="str">
        <f ca="1">IFERROR(__xludf.DUMMYFUNCTION("""COMPUTED_VALUE"""),"Alex Avila")</f>
        <v>Alex Avila</v>
      </c>
      <c r="C1578" s="78">
        <f ca="1">IFERROR(__xludf.DUMMYFUNCTION("""COMPUTED_VALUE"""),12)</f>
        <v>12</v>
      </c>
      <c r="D1578" s="78" t="str">
        <f ca="1">IFERROR(__xludf.DUMMYFUNCTION("""COMPUTED_VALUE"""),"B")</f>
        <v>B</v>
      </c>
      <c r="E1578" s="80" t="str">
        <f ca="1">IFERROR(__xludf.DUMMYFUNCTION("""COMPUTED_VALUE"""),"J")</f>
        <v>J</v>
      </c>
      <c r="F1578" s="80" t="str">
        <f ca="1">IFERROR(__xludf.DUMMYFUNCTION("""COMPUTED_VALUE"""),"I")</f>
        <v>I</v>
      </c>
      <c r="G1578" s="80">
        <f ca="1">IFERROR(__xludf.DUMMYFUNCTION("""COMPUTED_VALUE"""),6)</f>
        <v>6</v>
      </c>
      <c r="H1578" s="80" t="str">
        <f ca="1">IFERROR(__xludf.DUMMYFUNCTION("""COMPUTED_VALUE"""),"PAR")</f>
        <v>PAR</v>
      </c>
      <c r="I1578" s="80">
        <f ca="1">IFERROR(__xludf.DUMMYFUNCTION("""COMPUTED_VALUE"""),5)</f>
        <v>5</v>
      </c>
      <c r="J1578" s="81">
        <f ca="1">IFERROR(__xludf.DUMMYFUNCTION("""COMPUTED_VALUE"""),4)</f>
        <v>4</v>
      </c>
      <c r="K1578" s="81">
        <f ca="1">IFERROR(__xludf.DUMMYFUNCTION("""COMPUTED_VALUE"""),84.8)</f>
        <v>84.8</v>
      </c>
      <c r="L1578" s="81">
        <f ca="1">IFERROR(__xludf.DUMMYFUNCTION("""COMPUTED_VALUE"""),0)</f>
        <v>0</v>
      </c>
      <c r="M1578" s="81"/>
      <c r="N1578" s="81">
        <f ca="1">IFERROR(__xludf.DUMMYFUNCTION("""COMPUTED_VALUE"""),84.8)</f>
        <v>84.8</v>
      </c>
      <c r="O1578" s="81"/>
      <c r="P1578" s="81">
        <f ca="1">IFERROR(__xludf.DUMMYFUNCTION("""COMPUTED_VALUE"""),77.05)</f>
        <v>77.05</v>
      </c>
      <c r="Q1578" s="81"/>
      <c r="R1578" s="81">
        <f ca="1">IFERROR(__xludf.DUMMYFUNCTION("""COMPUTED_VALUE"""),82)</f>
        <v>82</v>
      </c>
      <c r="S1578" s="81"/>
      <c r="T1578" s="81"/>
      <c r="U1578" s="82"/>
      <c r="V1578" s="82"/>
      <c r="W1578" s="83"/>
      <c r="X1578" s="83"/>
      <c r="Y1578" s="83"/>
    </row>
    <row r="1579" spans="1:25" ht="13.8">
      <c r="A1579" s="78" t="str">
        <f ca="1">IFERROR(__xludf.DUMMYFUNCTION("""COMPUTED_VALUE"""),"PAR")</f>
        <v>PAR</v>
      </c>
      <c r="B1579" s="79" t="str">
        <f ca="1">IFERROR(__xludf.DUMMYFUNCTION("""COMPUTED_VALUE"""),"Jack Caines")</f>
        <v>Jack Caines</v>
      </c>
      <c r="C1579" s="78">
        <f ca="1">IFERROR(__xludf.DUMMYFUNCTION("""COMPUTED_VALUE"""),12)</f>
        <v>12</v>
      </c>
      <c r="D1579" s="78" t="str">
        <f ca="1">IFERROR(__xludf.DUMMYFUNCTION("""COMPUTED_VALUE"""),"B")</f>
        <v>B</v>
      </c>
      <c r="E1579" s="80" t="str">
        <f ca="1">IFERROR(__xludf.DUMMYFUNCTION("""COMPUTED_VALUE"""),"J")</f>
        <v>J</v>
      </c>
      <c r="F1579" s="80" t="str">
        <f ca="1">IFERROR(__xludf.DUMMYFUNCTION("""COMPUTED_VALUE"""),"I")</f>
        <v>I</v>
      </c>
      <c r="G1579" s="80">
        <f ca="1">IFERROR(__xludf.DUMMYFUNCTION("""COMPUTED_VALUE"""),6)</f>
        <v>6</v>
      </c>
      <c r="H1579" s="80" t="str">
        <f ca="1">IFERROR(__xludf.DUMMYFUNCTION("""COMPUTED_VALUE"""),"PAR")</f>
        <v>PAR</v>
      </c>
      <c r="I1579" s="80">
        <f ca="1">IFERROR(__xludf.DUMMYFUNCTION("""COMPUTED_VALUE"""),5)</f>
        <v>5</v>
      </c>
      <c r="J1579" s="81">
        <f ca="1">IFERROR(__xludf.DUMMYFUNCTION("""COMPUTED_VALUE"""),5)</f>
        <v>5</v>
      </c>
      <c r="K1579" s="81">
        <f ca="1">IFERROR(__xludf.DUMMYFUNCTION("""COMPUTED_VALUE"""),77.95)</f>
        <v>77.95</v>
      </c>
      <c r="L1579" s="81">
        <f ca="1">IFERROR(__xludf.DUMMYFUNCTION("""COMPUTED_VALUE"""),77.25)</f>
        <v>77.25</v>
      </c>
      <c r="M1579" s="81"/>
      <c r="N1579" s="81">
        <f ca="1">IFERROR(__xludf.DUMMYFUNCTION("""COMPUTED_VALUE"""),77.95)</f>
        <v>77.95</v>
      </c>
      <c r="O1579" s="81"/>
      <c r="P1579" s="81">
        <f ca="1">IFERROR(__xludf.DUMMYFUNCTION("""COMPUTED_VALUE"""),74.3)</f>
        <v>74.3</v>
      </c>
      <c r="Q1579" s="81"/>
      <c r="R1579" s="81">
        <f ca="1">IFERROR(__xludf.DUMMYFUNCTION("""COMPUTED_VALUE"""),57.85)</f>
        <v>57.85</v>
      </c>
      <c r="S1579" s="81"/>
      <c r="T1579" s="81"/>
      <c r="U1579" s="82"/>
      <c r="V1579" s="82"/>
      <c r="W1579" s="83"/>
      <c r="X1579" s="83"/>
      <c r="Y1579" s="83"/>
    </row>
    <row r="1580" spans="1:25" ht="13.8">
      <c r="A1580" s="78" t="str">
        <f ca="1">IFERROR(__xludf.DUMMYFUNCTION("""COMPUTED_VALUE"""),"PAR")</f>
        <v>PAR</v>
      </c>
      <c r="B1580" s="79" t="str">
        <f ca="1">IFERROR(__xludf.DUMMYFUNCTION("""COMPUTED_VALUE"""),"Tarin Kanchanawanchai")</f>
        <v>Tarin Kanchanawanchai</v>
      </c>
      <c r="C1580" s="78">
        <f ca="1">IFERROR(__xludf.DUMMYFUNCTION("""COMPUTED_VALUE"""),12)</f>
        <v>12</v>
      </c>
      <c r="D1580" s="78" t="str">
        <f ca="1">IFERROR(__xludf.DUMMYFUNCTION("""COMPUTED_VALUE"""),"B")</f>
        <v>B</v>
      </c>
      <c r="E1580" s="80" t="str">
        <f ca="1">IFERROR(__xludf.DUMMYFUNCTION("""COMPUTED_VALUE"""),"J")</f>
        <v>J</v>
      </c>
      <c r="F1580" s="80" t="str">
        <f ca="1">IFERROR(__xludf.DUMMYFUNCTION("""COMPUTED_VALUE"""),"I")</f>
        <v>I</v>
      </c>
      <c r="G1580" s="80">
        <f ca="1">IFERROR(__xludf.DUMMYFUNCTION("""COMPUTED_VALUE"""),6)</f>
        <v>6</v>
      </c>
      <c r="H1580" s="80" t="str">
        <f ca="1">IFERROR(__xludf.DUMMYFUNCTION("""COMPUTED_VALUE"""),"PAR")</f>
        <v>PAR</v>
      </c>
      <c r="I1580" s="80">
        <f ca="1">IFERROR(__xludf.DUMMYFUNCTION("""COMPUTED_VALUE"""),5)</f>
        <v>5</v>
      </c>
      <c r="J1580" s="81">
        <f ca="1">IFERROR(__xludf.DUMMYFUNCTION("""COMPUTED_VALUE"""),0)</f>
        <v>0</v>
      </c>
      <c r="K1580" s="81">
        <f ca="1">IFERROR(__xludf.DUMMYFUNCTION("""COMPUTED_VALUE"""),0)</f>
        <v>0</v>
      </c>
      <c r="L1580" s="81">
        <f ca="1">IFERROR(__xludf.DUMMYFUNCTION("""COMPUTED_VALUE"""),0)</f>
        <v>0</v>
      </c>
      <c r="M1580" s="81"/>
      <c r="N1580" s="81">
        <f ca="1">IFERROR(__xludf.DUMMYFUNCTION("""COMPUTED_VALUE"""),0)</f>
        <v>0</v>
      </c>
      <c r="O1580" s="81"/>
      <c r="P1580" s="81">
        <f ca="1">IFERROR(__xludf.DUMMYFUNCTION("""COMPUTED_VALUE"""),0)</f>
        <v>0</v>
      </c>
      <c r="Q1580" s="81"/>
      <c r="R1580" s="81">
        <f ca="1">IFERROR(__xludf.DUMMYFUNCTION("""COMPUTED_VALUE"""),0)</f>
        <v>0</v>
      </c>
      <c r="S1580" s="81"/>
      <c r="T1580" s="81"/>
      <c r="U1580" s="82"/>
      <c r="V1580" s="82"/>
      <c r="W1580" s="83"/>
      <c r="X1580" s="83"/>
      <c r="Y1580" s="83"/>
    </row>
    <row r="1581" spans="1:25" ht="13.8">
      <c r="A1581" s="78" t="str">
        <f ca="1">IFERROR(__xludf.DUMMYFUNCTION("""COMPUTED_VALUE"""),"PAR")</f>
        <v>PAR</v>
      </c>
      <c r="B1581" s="79" t="str">
        <f ca="1">IFERROR(__xludf.DUMMYFUNCTION("""COMPUTED_VALUE"""),"Alex Smith")</f>
        <v>Alex Smith</v>
      </c>
      <c r="C1581" s="78">
        <f ca="1">IFERROR(__xludf.DUMMYFUNCTION("""COMPUTED_VALUE"""),11)</f>
        <v>11</v>
      </c>
      <c r="D1581" s="78" t="str">
        <f ca="1">IFERROR(__xludf.DUMMYFUNCTION("""COMPUTED_VALUE"""),"B")</f>
        <v>B</v>
      </c>
      <c r="E1581" s="80" t="str">
        <f ca="1">IFERROR(__xludf.DUMMYFUNCTION("""COMPUTED_VALUE"""),"J")</f>
        <v>J</v>
      </c>
      <c r="F1581" s="80" t="str">
        <f ca="1">IFERROR(__xludf.DUMMYFUNCTION("""COMPUTED_VALUE"""),"I")</f>
        <v>I</v>
      </c>
      <c r="G1581" s="80">
        <f ca="1">IFERROR(__xludf.DUMMYFUNCTION("""COMPUTED_VALUE"""),6)</f>
        <v>6</v>
      </c>
      <c r="H1581" s="80" t="str">
        <f ca="1">IFERROR(__xludf.DUMMYFUNCTION("""COMPUTED_VALUE"""),"PAR")</f>
        <v>PAR</v>
      </c>
      <c r="I1581" s="80">
        <f ca="1">IFERROR(__xludf.DUMMYFUNCTION("""COMPUTED_VALUE"""),5)</f>
        <v>5</v>
      </c>
      <c r="J1581" s="81">
        <f ca="1">IFERROR(__xludf.DUMMYFUNCTION("""COMPUTED_VALUE"""),5)</f>
        <v>5</v>
      </c>
      <c r="K1581" s="81">
        <f ca="1">IFERROR(__xludf.DUMMYFUNCTION("""COMPUTED_VALUE"""),109.2)</f>
        <v>109.2</v>
      </c>
      <c r="L1581" s="81">
        <f ca="1">IFERROR(__xludf.DUMMYFUNCTION("""COMPUTED_VALUE"""),109.2)</f>
        <v>109.2</v>
      </c>
      <c r="M1581" s="81"/>
      <c r="N1581" s="81">
        <f ca="1">IFERROR(__xludf.DUMMYFUNCTION("""COMPUTED_VALUE"""),106.25)</f>
        <v>106.25</v>
      </c>
      <c r="O1581" s="81"/>
      <c r="P1581" s="81">
        <f ca="1">IFERROR(__xludf.DUMMYFUNCTION("""COMPUTED_VALUE"""),90.4)</f>
        <v>90.4</v>
      </c>
      <c r="Q1581" s="81"/>
      <c r="R1581" s="81">
        <f ca="1">IFERROR(__xludf.DUMMYFUNCTION("""COMPUTED_VALUE"""),88.4)</f>
        <v>88.4</v>
      </c>
      <c r="S1581" s="81"/>
      <c r="T1581" s="81"/>
      <c r="U1581" s="82"/>
      <c r="V1581" s="82"/>
      <c r="W1581" s="83"/>
      <c r="X1581" s="83"/>
      <c r="Y1581" s="83"/>
    </row>
    <row r="1582" spans="1:25" ht="13.8">
      <c r="A1582" s="78" t="str">
        <f ca="1">IFERROR(__xludf.DUMMYFUNCTION("""COMPUTED_VALUE"""),"PAR")</f>
        <v>PAR</v>
      </c>
      <c r="B1582" s="79" t="str">
        <f ca="1">IFERROR(__xludf.DUMMYFUNCTION("""COMPUTED_VALUE"""),"Meg Barrie")</f>
        <v>Meg Barrie</v>
      </c>
      <c r="C1582" s="78">
        <f ca="1">IFERROR(__xludf.DUMMYFUNCTION("""COMPUTED_VALUE"""),13)</f>
        <v>13</v>
      </c>
      <c r="D1582" s="78" t="str">
        <f ca="1">IFERROR(__xludf.DUMMYFUNCTION("""COMPUTED_VALUE"""),"G")</f>
        <v>G</v>
      </c>
      <c r="E1582" s="80" t="str">
        <f ca="1">IFERROR(__xludf.DUMMYFUNCTION("""COMPUTED_VALUE"""),"I")</f>
        <v>I</v>
      </c>
      <c r="F1582" s="80" t="str">
        <f ca="1">IFERROR(__xludf.DUMMYFUNCTION("""COMPUTED_VALUE"""),"S")</f>
        <v>S</v>
      </c>
      <c r="G1582" s="80">
        <f ca="1">IFERROR(__xludf.DUMMYFUNCTION("""COMPUTED_VALUE"""),6)</f>
        <v>6</v>
      </c>
      <c r="H1582" s="80" t="str">
        <f ca="1">IFERROR(__xludf.DUMMYFUNCTION("""COMPUTED_VALUE"""),"PAR")</f>
        <v>PAR</v>
      </c>
      <c r="I1582" s="80">
        <f ca="1">IFERROR(__xludf.DUMMYFUNCTION("""COMPUTED_VALUE"""),6)</f>
        <v>6</v>
      </c>
      <c r="J1582" s="81">
        <f ca="1">IFERROR(__xludf.DUMMYFUNCTION("""COMPUTED_VALUE"""),4)</f>
        <v>4</v>
      </c>
      <c r="K1582" s="81">
        <f ca="1">IFERROR(__xludf.DUMMYFUNCTION("""COMPUTED_VALUE"""),136.45)</f>
        <v>136.44999999999999</v>
      </c>
      <c r="L1582" s="81">
        <f ca="1">IFERROR(__xludf.DUMMYFUNCTION("""COMPUTED_VALUE"""),136.45)</f>
        <v>136.44999999999999</v>
      </c>
      <c r="M1582" s="81"/>
      <c r="N1582" s="81">
        <f ca="1">IFERROR(__xludf.DUMMYFUNCTION("""COMPUTED_VALUE"""),135.6)</f>
        <v>135.6</v>
      </c>
      <c r="O1582" s="81"/>
      <c r="P1582" s="81">
        <f ca="1">IFERROR(__xludf.DUMMYFUNCTION("""COMPUTED_VALUE"""),0)</f>
        <v>0</v>
      </c>
      <c r="Q1582" s="81"/>
      <c r="R1582" s="81">
        <f ca="1">IFERROR(__xludf.DUMMYFUNCTION("""COMPUTED_VALUE"""),117.65)</f>
        <v>117.65</v>
      </c>
      <c r="S1582" s="81"/>
      <c r="T1582" s="81"/>
      <c r="U1582" s="82"/>
      <c r="V1582" s="82"/>
      <c r="W1582" s="83"/>
      <c r="X1582" s="83"/>
      <c r="Y1582" s="83"/>
    </row>
    <row r="1583" spans="1:25" ht="13.8">
      <c r="A1583" s="78" t="str">
        <f ca="1">IFERROR(__xludf.DUMMYFUNCTION("""COMPUTED_VALUE"""),"PAR")</f>
        <v>PAR</v>
      </c>
      <c r="B1583" s="79" t="str">
        <f ca="1">IFERROR(__xludf.DUMMYFUNCTION("""COMPUTED_VALUE"""),"Isabel Smith")</f>
        <v>Isabel Smith</v>
      </c>
      <c r="C1583" s="78">
        <f ca="1">IFERROR(__xludf.DUMMYFUNCTION("""COMPUTED_VALUE"""),14)</f>
        <v>14</v>
      </c>
      <c r="D1583" s="78" t="str">
        <f ca="1">IFERROR(__xludf.DUMMYFUNCTION("""COMPUTED_VALUE"""),"G")</f>
        <v>G</v>
      </c>
      <c r="E1583" s="80" t="str">
        <f ca="1">IFERROR(__xludf.DUMMYFUNCTION("""COMPUTED_VALUE"""),"I")</f>
        <v>I</v>
      </c>
      <c r="F1583" s="80" t="str">
        <f ca="1">IFERROR(__xludf.DUMMYFUNCTION("""COMPUTED_VALUE"""),"S")</f>
        <v>S</v>
      </c>
      <c r="G1583" s="80">
        <f ca="1">IFERROR(__xludf.DUMMYFUNCTION("""COMPUTED_VALUE"""),6)</f>
        <v>6</v>
      </c>
      <c r="H1583" s="80" t="str">
        <f ca="1">IFERROR(__xludf.DUMMYFUNCTION("""COMPUTED_VALUE"""),"PAR")</f>
        <v>PAR</v>
      </c>
      <c r="I1583" s="80">
        <f ca="1">IFERROR(__xludf.DUMMYFUNCTION("""COMPUTED_VALUE"""),6)</f>
        <v>6</v>
      </c>
      <c r="J1583" s="81">
        <f ca="1">IFERROR(__xludf.DUMMYFUNCTION("""COMPUTED_VALUE"""),5)</f>
        <v>5</v>
      </c>
      <c r="K1583" s="81">
        <f ca="1">IFERROR(__xludf.DUMMYFUNCTION("""COMPUTED_VALUE"""),161.35)</f>
        <v>161.35</v>
      </c>
      <c r="L1583" s="81">
        <f ca="1">IFERROR(__xludf.DUMMYFUNCTION("""COMPUTED_VALUE"""),161.35)</f>
        <v>161.35</v>
      </c>
      <c r="M1583" s="81"/>
      <c r="N1583" s="81">
        <f ca="1">IFERROR(__xludf.DUMMYFUNCTION("""COMPUTED_VALUE"""),156.2)</f>
        <v>156.19999999999999</v>
      </c>
      <c r="O1583" s="81"/>
      <c r="P1583" s="81">
        <f ca="1">IFERROR(__xludf.DUMMYFUNCTION("""COMPUTED_VALUE"""),135.25)</f>
        <v>135.25</v>
      </c>
      <c r="Q1583" s="81"/>
      <c r="R1583" s="81">
        <f ca="1">IFERROR(__xludf.DUMMYFUNCTION("""COMPUTED_VALUE"""),128.45)</f>
        <v>128.44999999999999</v>
      </c>
      <c r="S1583" s="81"/>
      <c r="T1583" s="81"/>
      <c r="U1583" s="82"/>
      <c r="V1583" s="82"/>
      <c r="W1583" s="83"/>
      <c r="X1583" s="83"/>
      <c r="Y1583" s="83"/>
    </row>
    <row r="1584" spans="1:25" ht="13.8">
      <c r="A1584" s="78" t="str">
        <f ca="1">IFERROR(__xludf.DUMMYFUNCTION("""COMPUTED_VALUE"""),"PAR")</f>
        <v>PAR</v>
      </c>
      <c r="B1584" s="79" t="str">
        <f ca="1">IFERROR(__xludf.DUMMYFUNCTION("""COMPUTED_VALUE"""),"Daniel Belloni")</f>
        <v>Daniel Belloni</v>
      </c>
      <c r="C1584" s="78">
        <f ca="1">IFERROR(__xludf.DUMMYFUNCTION("""COMPUTED_VALUE"""),14)</f>
        <v>14</v>
      </c>
      <c r="D1584" s="78" t="str">
        <f ca="1">IFERROR(__xludf.DUMMYFUNCTION("""COMPUTED_VALUE"""),"B")</f>
        <v>B</v>
      </c>
      <c r="E1584" s="80" t="str">
        <f ca="1">IFERROR(__xludf.DUMMYFUNCTION("""COMPUTED_VALUE"""),"I")</f>
        <v>I</v>
      </c>
      <c r="F1584" s="80" t="str">
        <f ca="1">IFERROR(__xludf.DUMMYFUNCTION("""COMPUTED_VALUE"""),"S")</f>
        <v>S</v>
      </c>
      <c r="G1584" s="80">
        <f ca="1">IFERROR(__xludf.DUMMYFUNCTION("""COMPUTED_VALUE"""),6)</f>
        <v>6</v>
      </c>
      <c r="H1584" s="80" t="str">
        <f ca="1">IFERROR(__xludf.DUMMYFUNCTION("""COMPUTED_VALUE"""),"PAR")</f>
        <v>PAR</v>
      </c>
      <c r="I1584" s="80">
        <f ca="1">IFERROR(__xludf.DUMMYFUNCTION("""COMPUTED_VALUE"""),7)</f>
        <v>7</v>
      </c>
      <c r="J1584" s="81">
        <f ca="1">IFERROR(__xludf.DUMMYFUNCTION("""COMPUTED_VALUE"""),5)</f>
        <v>5</v>
      </c>
      <c r="K1584" s="81">
        <f ca="1">IFERROR(__xludf.DUMMYFUNCTION("""COMPUTED_VALUE"""),132.6)</f>
        <v>132.6</v>
      </c>
      <c r="L1584" s="81">
        <f ca="1">IFERROR(__xludf.DUMMYFUNCTION("""COMPUTED_VALUE"""),105.95)</f>
        <v>105.95</v>
      </c>
      <c r="M1584" s="81"/>
      <c r="N1584" s="81">
        <f ca="1">IFERROR(__xludf.DUMMYFUNCTION("""COMPUTED_VALUE"""),132.6)</f>
        <v>132.6</v>
      </c>
      <c r="O1584" s="81"/>
      <c r="P1584" s="81">
        <f ca="1">IFERROR(__xludf.DUMMYFUNCTION("""COMPUTED_VALUE"""),112.75)</f>
        <v>112.75</v>
      </c>
      <c r="Q1584" s="81"/>
      <c r="R1584" s="81">
        <f ca="1">IFERROR(__xludf.DUMMYFUNCTION("""COMPUTED_VALUE"""),111)</f>
        <v>111</v>
      </c>
      <c r="S1584" s="81"/>
      <c r="T1584" s="81"/>
      <c r="U1584" s="82"/>
      <c r="V1584" s="82"/>
      <c r="W1584" s="83"/>
      <c r="X1584" s="83"/>
      <c r="Y1584" s="83"/>
    </row>
    <row r="1585" spans="1:25" ht="13.8">
      <c r="A1585" s="78" t="str">
        <f ca="1">IFERROR(__xludf.DUMMYFUNCTION("""COMPUTED_VALUE"""),"PAR")</f>
        <v>PAR</v>
      </c>
      <c r="B1585" s="79" t="str">
        <f ca="1">IFERROR(__xludf.DUMMYFUNCTION("""COMPUTED_VALUE"""),"Garrett Kendall")</f>
        <v>Garrett Kendall</v>
      </c>
      <c r="C1585" s="78">
        <f ca="1">IFERROR(__xludf.DUMMYFUNCTION("""COMPUTED_VALUE"""),14)</f>
        <v>14</v>
      </c>
      <c r="D1585" s="78" t="str">
        <f ca="1">IFERROR(__xludf.DUMMYFUNCTION("""COMPUTED_VALUE"""),"B")</f>
        <v>B</v>
      </c>
      <c r="E1585" s="80" t="str">
        <f ca="1">IFERROR(__xludf.DUMMYFUNCTION("""COMPUTED_VALUE"""),"I")</f>
        <v>I</v>
      </c>
      <c r="F1585" s="80" t="str">
        <f ca="1">IFERROR(__xludf.DUMMYFUNCTION("""COMPUTED_VALUE"""),"S")</f>
        <v>S</v>
      </c>
      <c r="G1585" s="80">
        <f ca="1">IFERROR(__xludf.DUMMYFUNCTION("""COMPUTED_VALUE"""),6)</f>
        <v>6</v>
      </c>
      <c r="H1585" s="80" t="str">
        <f ca="1">IFERROR(__xludf.DUMMYFUNCTION("""COMPUTED_VALUE"""),"PAR")</f>
        <v>PAR</v>
      </c>
      <c r="I1585" s="80">
        <f ca="1">IFERROR(__xludf.DUMMYFUNCTION("""COMPUTED_VALUE"""),7)</f>
        <v>7</v>
      </c>
      <c r="J1585" s="81">
        <f ca="1">IFERROR(__xludf.DUMMYFUNCTION("""COMPUTED_VALUE"""),4)</f>
        <v>4</v>
      </c>
      <c r="K1585" s="81">
        <f ca="1">IFERROR(__xludf.DUMMYFUNCTION("""COMPUTED_VALUE"""),100.2)</f>
        <v>100.2</v>
      </c>
      <c r="L1585" s="81">
        <f ca="1">IFERROR(__xludf.DUMMYFUNCTION("""COMPUTED_VALUE"""),87.6)</f>
        <v>87.6</v>
      </c>
      <c r="M1585" s="81"/>
      <c r="N1585" s="81">
        <f ca="1">IFERROR(__xludf.DUMMYFUNCTION("""COMPUTED_VALUE"""),100.2)</f>
        <v>100.2</v>
      </c>
      <c r="O1585" s="81"/>
      <c r="P1585" s="81">
        <f ca="1">IFERROR(__xludf.DUMMYFUNCTION("""COMPUTED_VALUE"""),76.2)</f>
        <v>76.2</v>
      </c>
      <c r="Q1585" s="81"/>
      <c r="R1585" s="81">
        <f ca="1">IFERROR(__xludf.DUMMYFUNCTION("""COMPUTED_VALUE"""),83)</f>
        <v>83</v>
      </c>
      <c r="S1585" s="81"/>
      <c r="T1585" s="81"/>
      <c r="U1585" s="82"/>
      <c r="V1585" s="82"/>
      <c r="W1585" s="83"/>
      <c r="X1585" s="83"/>
      <c r="Y1585" s="83"/>
    </row>
    <row r="1586" spans="1:25" ht="13.8">
      <c r="A1586" s="78" t="str">
        <f ca="1">IFERROR(__xludf.DUMMYFUNCTION("""COMPUTED_VALUE"""),"PAR")</f>
        <v>PAR</v>
      </c>
      <c r="B1586" s="79" t="str">
        <f ca="1">IFERROR(__xludf.DUMMYFUNCTION("""COMPUTED_VALUE"""),"Evan Vink")</f>
        <v>Evan Vink</v>
      </c>
      <c r="C1586" s="78">
        <f ca="1">IFERROR(__xludf.DUMMYFUNCTION("""COMPUTED_VALUE"""),13)</f>
        <v>13</v>
      </c>
      <c r="D1586" s="78" t="str">
        <f ca="1">IFERROR(__xludf.DUMMYFUNCTION("""COMPUTED_VALUE"""),"B")</f>
        <v>B</v>
      </c>
      <c r="E1586" s="80" t="str">
        <f ca="1">IFERROR(__xludf.DUMMYFUNCTION("""COMPUTED_VALUE"""),"I")</f>
        <v>I</v>
      </c>
      <c r="F1586" s="80" t="str">
        <f ca="1">IFERROR(__xludf.DUMMYFUNCTION("""COMPUTED_VALUE"""),"S")</f>
        <v>S</v>
      </c>
      <c r="G1586" s="80">
        <f ca="1">IFERROR(__xludf.DUMMYFUNCTION("""COMPUTED_VALUE"""),6)</f>
        <v>6</v>
      </c>
      <c r="H1586" s="80" t="str">
        <f ca="1">IFERROR(__xludf.DUMMYFUNCTION("""COMPUTED_VALUE"""),"PAR")</f>
        <v>PAR</v>
      </c>
      <c r="I1586" s="80">
        <f ca="1">IFERROR(__xludf.DUMMYFUNCTION("""COMPUTED_VALUE"""),7)</f>
        <v>7</v>
      </c>
      <c r="J1586" s="81">
        <f ca="1">IFERROR(__xludf.DUMMYFUNCTION("""COMPUTED_VALUE"""),5)</f>
        <v>5</v>
      </c>
      <c r="K1586" s="81">
        <f ca="1">IFERROR(__xludf.DUMMYFUNCTION("""COMPUTED_VALUE"""),162.35)</f>
        <v>162.35</v>
      </c>
      <c r="L1586" s="81">
        <f ca="1">IFERROR(__xludf.DUMMYFUNCTION("""COMPUTED_VALUE"""),162.35)</f>
        <v>162.35</v>
      </c>
      <c r="M1586" s="81"/>
      <c r="N1586" s="81">
        <f ca="1">IFERROR(__xludf.DUMMYFUNCTION("""COMPUTED_VALUE"""),134.65)</f>
        <v>134.65</v>
      </c>
      <c r="O1586" s="81"/>
      <c r="P1586" s="81">
        <f ca="1">IFERROR(__xludf.DUMMYFUNCTION("""COMPUTED_VALUE"""),110.45)</f>
        <v>110.45</v>
      </c>
      <c r="Q1586" s="81"/>
      <c r="R1586" s="81">
        <f ca="1">IFERROR(__xludf.DUMMYFUNCTION("""COMPUTED_VALUE"""),126.05)</f>
        <v>126.05</v>
      </c>
      <c r="S1586" s="81"/>
      <c r="T1586" s="81"/>
      <c r="U1586" s="82"/>
      <c r="V1586" s="82"/>
      <c r="W1586" s="83"/>
      <c r="X1586" s="83"/>
      <c r="Y1586" s="83"/>
    </row>
    <row r="1587" spans="1:25" ht="13.8">
      <c r="A1587" s="78" t="str">
        <f ca="1">IFERROR(__xludf.DUMMYFUNCTION("""COMPUTED_VALUE"""),"PAR")</f>
        <v>PAR</v>
      </c>
      <c r="B1587" s="79" t="str">
        <f ca="1">IFERROR(__xludf.DUMMYFUNCTION("""COMPUTED_VALUE"""),"Kate Barrie")</f>
        <v>Kate Barrie</v>
      </c>
      <c r="C1587" s="78">
        <f ca="1">IFERROR(__xludf.DUMMYFUNCTION("""COMPUTED_VALUE"""),16)</f>
        <v>16</v>
      </c>
      <c r="D1587" s="78" t="str">
        <f ca="1">IFERROR(__xludf.DUMMYFUNCTION("""COMPUTED_VALUE"""),"G")</f>
        <v>G</v>
      </c>
      <c r="E1587" s="80" t="str">
        <f ca="1">IFERROR(__xludf.DUMMYFUNCTION("""COMPUTED_VALUE"""),"S")</f>
        <v>S</v>
      </c>
      <c r="F1587" s="80" t="str">
        <f ca="1">IFERROR(__xludf.DUMMYFUNCTION("""COMPUTED_VALUE"""),"S")</f>
        <v>S</v>
      </c>
      <c r="G1587" s="80">
        <f ca="1">IFERROR(__xludf.DUMMYFUNCTION("""COMPUTED_VALUE"""),6)</f>
        <v>6</v>
      </c>
      <c r="H1587" s="80" t="str">
        <f ca="1">IFERROR(__xludf.DUMMYFUNCTION("""COMPUTED_VALUE"""),"PAR")</f>
        <v>PAR</v>
      </c>
      <c r="I1587" s="80">
        <f ca="1">IFERROR(__xludf.DUMMYFUNCTION("""COMPUTED_VALUE"""),8)</f>
        <v>8</v>
      </c>
      <c r="J1587" s="81">
        <f ca="1">IFERROR(__xludf.DUMMYFUNCTION("""COMPUTED_VALUE"""),4)</f>
        <v>4</v>
      </c>
      <c r="K1587" s="81">
        <f ca="1">IFERROR(__xludf.DUMMYFUNCTION("""COMPUTED_VALUE"""),209.15)</f>
        <v>209.15</v>
      </c>
      <c r="L1587" s="81">
        <f ca="1">IFERROR(__xludf.DUMMYFUNCTION("""COMPUTED_VALUE"""),209.15)</f>
        <v>209.15</v>
      </c>
      <c r="M1587" s="81"/>
      <c r="N1587" s="81">
        <f ca="1">IFERROR(__xludf.DUMMYFUNCTION("""COMPUTED_VALUE"""),183.05)</f>
        <v>183.05</v>
      </c>
      <c r="O1587" s="81"/>
      <c r="P1587" s="81">
        <f ca="1">IFERROR(__xludf.DUMMYFUNCTION("""COMPUTED_VALUE"""),0)</f>
        <v>0</v>
      </c>
      <c r="Q1587" s="81"/>
      <c r="R1587" s="81">
        <f ca="1">IFERROR(__xludf.DUMMYFUNCTION("""COMPUTED_VALUE"""),184.45)</f>
        <v>184.45</v>
      </c>
      <c r="S1587" s="81"/>
      <c r="T1587" s="81"/>
      <c r="U1587" s="82"/>
      <c r="V1587" s="82"/>
      <c r="W1587" s="83"/>
      <c r="X1587" s="83"/>
      <c r="Y1587" s="83"/>
    </row>
    <row r="1588" spans="1:25" ht="13.8">
      <c r="A1588" s="78" t="str">
        <f ca="1">IFERROR(__xludf.DUMMYFUNCTION("""COMPUTED_VALUE"""),"PAR")</f>
        <v>PAR</v>
      </c>
      <c r="B1588" s="79" t="str">
        <f ca="1">IFERROR(__xludf.DUMMYFUNCTION("""COMPUTED_VALUE"""),"Laura Cook")</f>
        <v>Laura Cook</v>
      </c>
      <c r="C1588" s="78">
        <f ca="1">IFERROR(__xludf.DUMMYFUNCTION("""COMPUTED_VALUE"""),15)</f>
        <v>15</v>
      </c>
      <c r="D1588" s="78" t="str">
        <f ca="1">IFERROR(__xludf.DUMMYFUNCTION("""COMPUTED_VALUE"""),"G")</f>
        <v>G</v>
      </c>
      <c r="E1588" s="80" t="str">
        <f ca="1">IFERROR(__xludf.DUMMYFUNCTION("""COMPUTED_VALUE"""),"S")</f>
        <v>S</v>
      </c>
      <c r="F1588" s="80" t="str">
        <f ca="1">IFERROR(__xludf.DUMMYFUNCTION("""COMPUTED_VALUE"""),"S")</f>
        <v>S</v>
      </c>
      <c r="G1588" s="80">
        <f ca="1">IFERROR(__xludf.DUMMYFUNCTION("""COMPUTED_VALUE"""),6)</f>
        <v>6</v>
      </c>
      <c r="H1588" s="80" t="str">
        <f ca="1">IFERROR(__xludf.DUMMYFUNCTION("""COMPUTED_VALUE"""),"PAR")</f>
        <v>PAR</v>
      </c>
      <c r="I1588" s="80">
        <f ca="1">IFERROR(__xludf.DUMMYFUNCTION("""COMPUTED_VALUE"""),8)</f>
        <v>8</v>
      </c>
      <c r="J1588" s="81">
        <f ca="1">IFERROR(__xludf.DUMMYFUNCTION("""COMPUTED_VALUE"""),0)</f>
        <v>0</v>
      </c>
      <c r="K1588" s="81">
        <f ca="1">IFERROR(__xludf.DUMMYFUNCTION("""COMPUTED_VALUE"""),0)</f>
        <v>0</v>
      </c>
      <c r="L1588" s="81">
        <f ca="1">IFERROR(__xludf.DUMMYFUNCTION("""COMPUTED_VALUE"""),0)</f>
        <v>0</v>
      </c>
      <c r="M1588" s="81"/>
      <c r="N1588" s="81">
        <f ca="1">IFERROR(__xludf.DUMMYFUNCTION("""COMPUTED_VALUE"""),0)</f>
        <v>0</v>
      </c>
      <c r="O1588" s="81"/>
      <c r="P1588" s="81">
        <f ca="1">IFERROR(__xludf.DUMMYFUNCTION("""COMPUTED_VALUE"""),0)</f>
        <v>0</v>
      </c>
      <c r="Q1588" s="81"/>
      <c r="R1588" s="81">
        <f ca="1">IFERROR(__xludf.DUMMYFUNCTION("""COMPUTED_VALUE"""),0)</f>
        <v>0</v>
      </c>
      <c r="S1588" s="81"/>
      <c r="T1588" s="81"/>
      <c r="U1588" s="82"/>
      <c r="V1588" s="82"/>
      <c r="W1588" s="83"/>
      <c r="X1588" s="83"/>
      <c r="Y1588" s="83"/>
    </row>
    <row r="1589" spans="1:25" ht="13.8">
      <c r="A1589" s="78" t="str">
        <f ca="1">IFERROR(__xludf.DUMMYFUNCTION("""COMPUTED_VALUE"""),"PAR")</f>
        <v>PAR</v>
      </c>
      <c r="B1589" s="79" t="str">
        <f ca="1">IFERROR(__xludf.DUMMYFUNCTION("""COMPUTED_VALUE"""),"David Avila")</f>
        <v>David Avila</v>
      </c>
      <c r="C1589" s="78">
        <f ca="1">IFERROR(__xludf.DUMMYFUNCTION("""COMPUTED_VALUE"""),16)</f>
        <v>16</v>
      </c>
      <c r="D1589" s="78" t="str">
        <f ca="1">IFERROR(__xludf.DUMMYFUNCTION("""COMPUTED_VALUE"""),"B")</f>
        <v>B</v>
      </c>
      <c r="E1589" s="80" t="str">
        <f ca="1">IFERROR(__xludf.DUMMYFUNCTION("""COMPUTED_VALUE"""),"S")</f>
        <v>S</v>
      </c>
      <c r="F1589" s="80" t="str">
        <f ca="1">IFERROR(__xludf.DUMMYFUNCTION("""COMPUTED_VALUE"""),"S")</f>
        <v>S</v>
      </c>
      <c r="G1589" s="80">
        <f ca="1">IFERROR(__xludf.DUMMYFUNCTION("""COMPUTED_VALUE"""),6)</f>
        <v>6</v>
      </c>
      <c r="H1589" s="80" t="str">
        <f ca="1">IFERROR(__xludf.DUMMYFUNCTION("""COMPUTED_VALUE"""),"PAR")</f>
        <v>PAR</v>
      </c>
      <c r="I1589" s="80">
        <f ca="1">IFERROR(__xludf.DUMMYFUNCTION("""COMPUTED_VALUE"""),9)</f>
        <v>9</v>
      </c>
      <c r="J1589" s="81">
        <f ca="1">IFERROR(__xludf.DUMMYFUNCTION("""COMPUTED_VALUE"""),5)</f>
        <v>5</v>
      </c>
      <c r="K1589" s="81">
        <f ca="1">IFERROR(__xludf.DUMMYFUNCTION("""COMPUTED_VALUE"""),171.4)</f>
        <v>171.4</v>
      </c>
      <c r="L1589" s="81">
        <f ca="1">IFERROR(__xludf.DUMMYFUNCTION("""COMPUTED_VALUE"""),171.4)</f>
        <v>171.4</v>
      </c>
      <c r="M1589" s="81"/>
      <c r="N1589" s="81">
        <f ca="1">IFERROR(__xludf.DUMMYFUNCTION("""COMPUTED_VALUE"""),146.3)</f>
        <v>146.30000000000001</v>
      </c>
      <c r="O1589" s="81"/>
      <c r="P1589" s="81">
        <f ca="1">IFERROR(__xludf.DUMMYFUNCTION("""COMPUTED_VALUE"""),146.15)</f>
        <v>146.15</v>
      </c>
      <c r="Q1589" s="81"/>
      <c r="R1589" s="81">
        <f ca="1">IFERROR(__xludf.DUMMYFUNCTION("""COMPUTED_VALUE"""),138.95)</f>
        <v>138.94999999999999</v>
      </c>
      <c r="S1589" s="81"/>
      <c r="T1589" s="81"/>
      <c r="U1589" s="82"/>
      <c r="V1589" s="82"/>
      <c r="W1589" s="83"/>
      <c r="X1589" s="83"/>
      <c r="Y1589" s="83"/>
    </row>
    <row r="1590" spans="1:25" ht="13.8">
      <c r="A1590" s="78" t="str">
        <f ca="1">IFERROR(__xludf.DUMMYFUNCTION("""COMPUTED_VALUE"""),"PAR")</f>
        <v>PAR</v>
      </c>
      <c r="B1590" s="79" t="str">
        <f ca="1">IFERROR(__xludf.DUMMYFUNCTION("""COMPUTED_VALUE"""),"Caeden Beavers")</f>
        <v>Caeden Beavers</v>
      </c>
      <c r="C1590" s="78">
        <f ca="1">IFERROR(__xludf.DUMMYFUNCTION("""COMPUTED_VALUE"""),17)</f>
        <v>17</v>
      </c>
      <c r="D1590" s="78" t="str">
        <f ca="1">IFERROR(__xludf.DUMMYFUNCTION("""COMPUTED_VALUE"""),"B")</f>
        <v>B</v>
      </c>
      <c r="E1590" s="80" t="str">
        <f ca="1">IFERROR(__xludf.DUMMYFUNCTION("""COMPUTED_VALUE"""),"S")</f>
        <v>S</v>
      </c>
      <c r="F1590" s="80" t="str">
        <f ca="1">IFERROR(__xludf.DUMMYFUNCTION("""COMPUTED_VALUE"""),"S")</f>
        <v>S</v>
      </c>
      <c r="G1590" s="80">
        <f ca="1">IFERROR(__xludf.DUMMYFUNCTION("""COMPUTED_VALUE"""),6)</f>
        <v>6</v>
      </c>
      <c r="H1590" s="80" t="str">
        <f ca="1">IFERROR(__xludf.DUMMYFUNCTION("""COMPUTED_VALUE"""),"PAR")</f>
        <v>PAR</v>
      </c>
      <c r="I1590" s="80">
        <f ca="1">IFERROR(__xludf.DUMMYFUNCTION("""COMPUTED_VALUE"""),9)</f>
        <v>9</v>
      </c>
      <c r="J1590" s="81">
        <f ca="1">IFERROR(__xludf.DUMMYFUNCTION("""COMPUTED_VALUE"""),4)</f>
        <v>4</v>
      </c>
      <c r="K1590" s="81">
        <f ca="1">IFERROR(__xludf.DUMMYFUNCTION("""COMPUTED_VALUE"""),191.85)</f>
        <v>191.85</v>
      </c>
      <c r="L1590" s="81">
        <f ca="1">IFERROR(__xludf.DUMMYFUNCTION("""COMPUTED_VALUE"""),191.85)</f>
        <v>191.85</v>
      </c>
      <c r="M1590" s="81"/>
      <c r="N1590" s="81">
        <f ca="1">IFERROR(__xludf.DUMMYFUNCTION("""COMPUTED_VALUE"""),174.75)</f>
        <v>174.75</v>
      </c>
      <c r="O1590" s="81"/>
      <c r="P1590" s="81">
        <f ca="1">IFERROR(__xludf.DUMMYFUNCTION("""COMPUTED_VALUE"""),175.95)</f>
        <v>175.95</v>
      </c>
      <c r="Q1590" s="81"/>
      <c r="R1590" s="81">
        <f ca="1">IFERROR(__xludf.DUMMYFUNCTION("""COMPUTED_VALUE"""),0)</f>
        <v>0</v>
      </c>
      <c r="S1590" s="81"/>
      <c r="T1590" s="81"/>
      <c r="U1590" s="82"/>
      <c r="V1590" s="82"/>
      <c r="W1590" s="83"/>
      <c r="X1590" s="83"/>
      <c r="Y1590" s="83"/>
    </row>
    <row r="1591" spans="1:25" ht="13.8">
      <c r="A1591" s="78" t="str">
        <f ca="1">IFERROR(__xludf.DUMMYFUNCTION("""COMPUTED_VALUE"""),"PAR")</f>
        <v>PAR</v>
      </c>
      <c r="B1591" s="79" t="str">
        <f ca="1">IFERROR(__xludf.DUMMYFUNCTION("""COMPUTED_VALUE"""),"Daniel Cate")</f>
        <v>Daniel Cate</v>
      </c>
      <c r="C1591" s="78">
        <f ca="1">IFERROR(__xludf.DUMMYFUNCTION("""COMPUTED_VALUE"""),15)</f>
        <v>15</v>
      </c>
      <c r="D1591" s="78" t="str">
        <f ca="1">IFERROR(__xludf.DUMMYFUNCTION("""COMPUTED_VALUE"""),"B")</f>
        <v>B</v>
      </c>
      <c r="E1591" s="80" t="str">
        <f ca="1">IFERROR(__xludf.DUMMYFUNCTION("""COMPUTED_VALUE"""),"S")</f>
        <v>S</v>
      </c>
      <c r="F1591" s="80" t="str">
        <f ca="1">IFERROR(__xludf.DUMMYFUNCTION("""COMPUTED_VALUE"""),"S")</f>
        <v>S</v>
      </c>
      <c r="G1591" s="80">
        <f ca="1">IFERROR(__xludf.DUMMYFUNCTION("""COMPUTED_VALUE"""),6)</f>
        <v>6</v>
      </c>
      <c r="H1591" s="80" t="str">
        <f ca="1">IFERROR(__xludf.DUMMYFUNCTION("""COMPUTED_VALUE"""),"PAR")</f>
        <v>PAR</v>
      </c>
      <c r="I1591" s="80">
        <f ca="1">IFERROR(__xludf.DUMMYFUNCTION("""COMPUTED_VALUE"""),9)</f>
        <v>9</v>
      </c>
      <c r="J1591" s="81">
        <f ca="1">IFERROR(__xludf.DUMMYFUNCTION("""COMPUTED_VALUE"""),5)</f>
        <v>5</v>
      </c>
      <c r="K1591" s="81">
        <f ca="1">IFERROR(__xludf.DUMMYFUNCTION("""COMPUTED_VALUE"""),155.7)</f>
        <v>155.69999999999999</v>
      </c>
      <c r="L1591" s="81">
        <f ca="1">IFERROR(__xludf.DUMMYFUNCTION("""COMPUTED_VALUE"""),137.8)</f>
        <v>137.80000000000001</v>
      </c>
      <c r="M1591" s="81"/>
      <c r="N1591" s="81">
        <f ca="1">IFERROR(__xludf.DUMMYFUNCTION("""COMPUTED_VALUE"""),136.3)</f>
        <v>136.30000000000001</v>
      </c>
      <c r="O1591" s="81"/>
      <c r="P1591" s="81">
        <f ca="1">IFERROR(__xludf.DUMMYFUNCTION("""COMPUTED_VALUE"""),155.7)</f>
        <v>155.69999999999999</v>
      </c>
      <c r="Q1591" s="81"/>
      <c r="R1591" s="81">
        <f ca="1">IFERROR(__xludf.DUMMYFUNCTION("""COMPUTED_VALUE"""),154.35)</f>
        <v>154.35</v>
      </c>
      <c r="S1591" s="81"/>
      <c r="T1591" s="81"/>
      <c r="U1591" s="82"/>
      <c r="V1591" s="82"/>
      <c r="W1591" s="83"/>
      <c r="X1591" s="83"/>
      <c r="Y1591" s="83"/>
    </row>
    <row r="1592" spans="1:25" ht="13.8">
      <c r="A1592" s="78" t="str">
        <f ca="1">IFERROR(__xludf.DUMMYFUNCTION("""COMPUTED_VALUE"""),"PC")</f>
        <v>PC</v>
      </c>
      <c r="B1592" s="79" t="str">
        <f ca="1">IFERROR(__xludf.DUMMYFUNCTION("""COMPUTED_VALUE"""),"Caris Allen")</f>
        <v>Caris Allen</v>
      </c>
      <c r="C1592" s="78">
        <f ca="1">IFERROR(__xludf.DUMMYFUNCTION("""COMPUTED_VALUE"""),8)</f>
        <v>8</v>
      </c>
      <c r="D1592" s="78" t="str">
        <f ca="1">IFERROR(__xludf.DUMMYFUNCTION("""COMPUTED_VALUE"""),"G")</f>
        <v>G</v>
      </c>
      <c r="E1592" s="80" t="str">
        <f ca="1">IFERROR(__xludf.DUMMYFUNCTION("""COMPUTED_VALUE"""),"F")</f>
        <v>F</v>
      </c>
      <c r="F1592" s="80" t="str">
        <f ca="1">IFERROR(__xludf.DUMMYFUNCTION("""COMPUTED_VALUE"""),"J")</f>
        <v>J</v>
      </c>
      <c r="G1592" s="80">
        <f ca="1">IFERROR(__xludf.DUMMYFUNCTION("""COMPUTED_VALUE"""),3)</f>
        <v>3</v>
      </c>
      <c r="H1592" s="80" t="str">
        <f ca="1">IFERROR(__xludf.DUMMYFUNCTION("""COMPUTED_VALUE"""),"PC")</f>
        <v>PC</v>
      </c>
      <c r="I1592" s="80">
        <f ca="1">IFERROR(__xludf.DUMMYFUNCTION("""COMPUTED_VALUE"""),2)</f>
        <v>2</v>
      </c>
      <c r="J1592" s="81">
        <f ca="1">IFERROR(__xludf.DUMMYFUNCTION("""COMPUTED_VALUE"""),4)</f>
        <v>4</v>
      </c>
      <c r="K1592" s="81">
        <f ca="1">IFERROR(__xludf.DUMMYFUNCTION("""COMPUTED_VALUE"""),37.3)</f>
        <v>37.299999999999997</v>
      </c>
      <c r="L1592" s="81">
        <f ca="1">IFERROR(__xludf.DUMMYFUNCTION("""COMPUTED_VALUE"""),37.3)</f>
        <v>37.299999999999997</v>
      </c>
      <c r="M1592" s="81"/>
      <c r="N1592" s="81">
        <f ca="1">IFERROR(__xludf.DUMMYFUNCTION("""COMPUTED_VALUE"""),0)</f>
        <v>0</v>
      </c>
      <c r="O1592" s="81"/>
      <c r="P1592" s="81">
        <f ca="1">IFERROR(__xludf.DUMMYFUNCTION("""COMPUTED_VALUE"""),34.35)</f>
        <v>34.35</v>
      </c>
      <c r="Q1592" s="81"/>
      <c r="R1592" s="81">
        <f ca="1">IFERROR(__xludf.DUMMYFUNCTION("""COMPUTED_VALUE"""),37.1)</f>
        <v>37.1</v>
      </c>
      <c r="S1592" s="81"/>
      <c r="T1592" s="81"/>
      <c r="U1592" s="82"/>
      <c r="V1592" s="82"/>
      <c r="W1592" s="83"/>
      <c r="X1592" s="83"/>
      <c r="Y1592" s="83"/>
    </row>
    <row r="1593" spans="1:25" ht="13.8">
      <c r="A1593" s="78" t="str">
        <f ca="1">IFERROR(__xludf.DUMMYFUNCTION("""COMPUTED_VALUE"""),"PC")</f>
        <v>PC</v>
      </c>
      <c r="B1593" s="79" t="str">
        <f ca="1">IFERROR(__xludf.DUMMYFUNCTION("""COMPUTED_VALUE"""),"Leandra Barger")</f>
        <v>Leandra Barger</v>
      </c>
      <c r="C1593" s="78">
        <f ca="1">IFERROR(__xludf.DUMMYFUNCTION("""COMPUTED_VALUE"""),10)</f>
        <v>10</v>
      </c>
      <c r="D1593" s="78" t="str">
        <f ca="1">IFERROR(__xludf.DUMMYFUNCTION("""COMPUTED_VALUE"""),"G")</f>
        <v>G</v>
      </c>
      <c r="E1593" s="80" t="str">
        <f ca="1">IFERROR(__xludf.DUMMYFUNCTION("""COMPUTED_VALUE"""),"F")</f>
        <v>F</v>
      </c>
      <c r="F1593" s="80" t="str">
        <f ca="1">IFERROR(__xludf.DUMMYFUNCTION("""COMPUTED_VALUE"""),"J")</f>
        <v>J</v>
      </c>
      <c r="G1593" s="80">
        <f ca="1">IFERROR(__xludf.DUMMYFUNCTION("""COMPUTED_VALUE"""),3)</f>
        <v>3</v>
      </c>
      <c r="H1593" s="80" t="str">
        <f ca="1">IFERROR(__xludf.DUMMYFUNCTION("""COMPUTED_VALUE"""),"PC")</f>
        <v>PC</v>
      </c>
      <c r="I1593" s="80">
        <f ca="1">IFERROR(__xludf.DUMMYFUNCTION("""COMPUTED_VALUE"""),2)</f>
        <v>2</v>
      </c>
      <c r="J1593" s="81">
        <f ca="1">IFERROR(__xludf.DUMMYFUNCTION("""COMPUTED_VALUE"""),5)</f>
        <v>5</v>
      </c>
      <c r="K1593" s="81">
        <f ca="1">IFERROR(__xludf.DUMMYFUNCTION("""COMPUTED_VALUE"""),74.75)</f>
        <v>74.75</v>
      </c>
      <c r="L1593" s="81">
        <f ca="1">IFERROR(__xludf.DUMMYFUNCTION("""COMPUTED_VALUE"""),62.15)</f>
        <v>62.15</v>
      </c>
      <c r="M1593" s="81"/>
      <c r="N1593" s="81">
        <f ca="1">IFERROR(__xludf.DUMMYFUNCTION("""COMPUTED_VALUE"""),74.75)</f>
        <v>74.75</v>
      </c>
      <c r="O1593" s="81"/>
      <c r="P1593" s="81">
        <f ca="1">IFERROR(__xludf.DUMMYFUNCTION("""COMPUTED_VALUE"""),62.25)</f>
        <v>62.25</v>
      </c>
      <c r="Q1593" s="81"/>
      <c r="R1593" s="81">
        <f ca="1">IFERROR(__xludf.DUMMYFUNCTION("""COMPUTED_VALUE"""),72.35)</f>
        <v>72.349999999999994</v>
      </c>
      <c r="S1593" s="81"/>
      <c r="T1593" s="81"/>
      <c r="U1593" s="82"/>
      <c r="V1593" s="82"/>
      <c r="W1593" s="83"/>
      <c r="X1593" s="83"/>
      <c r="Y1593" s="83"/>
    </row>
    <row r="1594" spans="1:25" ht="13.8">
      <c r="A1594" s="78" t="str">
        <f ca="1">IFERROR(__xludf.DUMMYFUNCTION("""COMPUTED_VALUE"""),"PC")</f>
        <v>PC</v>
      </c>
      <c r="B1594" s="79" t="str">
        <f ca="1">IFERROR(__xludf.DUMMYFUNCTION("""COMPUTED_VALUE"""),"Libby Costello")</f>
        <v>Libby Costello</v>
      </c>
      <c r="C1594" s="78">
        <f ca="1">IFERROR(__xludf.DUMMYFUNCTION("""COMPUTED_VALUE"""),8)</f>
        <v>8</v>
      </c>
      <c r="D1594" s="78" t="str">
        <f ca="1">IFERROR(__xludf.DUMMYFUNCTION("""COMPUTED_VALUE"""),"G")</f>
        <v>G</v>
      </c>
      <c r="E1594" s="80" t="str">
        <f ca="1">IFERROR(__xludf.DUMMYFUNCTION("""COMPUTED_VALUE"""),"F")</f>
        <v>F</v>
      </c>
      <c r="F1594" s="80" t="str">
        <f ca="1">IFERROR(__xludf.DUMMYFUNCTION("""COMPUTED_VALUE"""),"J")</f>
        <v>J</v>
      </c>
      <c r="G1594" s="80">
        <f ca="1">IFERROR(__xludf.DUMMYFUNCTION("""COMPUTED_VALUE"""),3)</f>
        <v>3</v>
      </c>
      <c r="H1594" s="80" t="str">
        <f ca="1">IFERROR(__xludf.DUMMYFUNCTION("""COMPUTED_VALUE"""),"PC")</f>
        <v>PC</v>
      </c>
      <c r="I1594" s="80">
        <f ca="1">IFERROR(__xludf.DUMMYFUNCTION("""COMPUTED_VALUE"""),2)</f>
        <v>2</v>
      </c>
      <c r="J1594" s="81">
        <f ca="1">IFERROR(__xludf.DUMMYFUNCTION("""COMPUTED_VALUE"""),3)</f>
        <v>3</v>
      </c>
      <c r="K1594" s="81">
        <f ca="1">IFERROR(__xludf.DUMMYFUNCTION("""COMPUTED_VALUE"""),57.85)</f>
        <v>57.85</v>
      </c>
      <c r="L1594" s="81">
        <f ca="1">IFERROR(__xludf.DUMMYFUNCTION("""COMPUTED_VALUE"""),57.85)</f>
        <v>57.85</v>
      </c>
      <c r="M1594" s="81"/>
      <c r="N1594" s="81">
        <f ca="1">IFERROR(__xludf.DUMMYFUNCTION("""COMPUTED_VALUE"""),0)</f>
        <v>0</v>
      </c>
      <c r="O1594" s="81"/>
      <c r="P1594" s="81">
        <f ca="1">IFERROR(__xludf.DUMMYFUNCTION("""COMPUTED_VALUE"""),54.45)</f>
        <v>54.45</v>
      </c>
      <c r="Q1594" s="81"/>
      <c r="R1594" s="81">
        <f ca="1">IFERROR(__xludf.DUMMYFUNCTION("""COMPUTED_VALUE"""),44.55)</f>
        <v>44.55</v>
      </c>
      <c r="S1594" s="81"/>
      <c r="T1594" s="81"/>
      <c r="U1594" s="82"/>
      <c r="V1594" s="82"/>
      <c r="W1594" s="83"/>
      <c r="X1594" s="83"/>
      <c r="Y1594" s="83"/>
    </row>
    <row r="1595" spans="1:25" ht="13.8">
      <c r="A1595" s="78" t="str">
        <f ca="1">IFERROR(__xludf.DUMMYFUNCTION("""COMPUTED_VALUE"""),"PC")</f>
        <v>PC</v>
      </c>
      <c r="B1595" s="79" t="str">
        <f ca="1">IFERROR(__xludf.DUMMYFUNCTION("""COMPUTED_VALUE"""),"Annie Dunlavy")</f>
        <v>Annie Dunlavy</v>
      </c>
      <c r="C1595" s="78">
        <f ca="1">IFERROR(__xludf.DUMMYFUNCTION("""COMPUTED_VALUE"""),7)</f>
        <v>7</v>
      </c>
      <c r="D1595" s="78" t="str">
        <f ca="1">IFERROR(__xludf.DUMMYFUNCTION("""COMPUTED_VALUE"""),"G")</f>
        <v>G</v>
      </c>
      <c r="E1595" s="80" t="str">
        <f ca="1">IFERROR(__xludf.DUMMYFUNCTION("""COMPUTED_VALUE"""),"F")</f>
        <v>F</v>
      </c>
      <c r="F1595" s="80" t="str">
        <f ca="1">IFERROR(__xludf.DUMMYFUNCTION("""COMPUTED_VALUE"""),"J")</f>
        <v>J</v>
      </c>
      <c r="G1595" s="80">
        <f ca="1">IFERROR(__xludf.DUMMYFUNCTION("""COMPUTED_VALUE"""),3)</f>
        <v>3</v>
      </c>
      <c r="H1595" s="80" t="str">
        <f ca="1">IFERROR(__xludf.DUMMYFUNCTION("""COMPUTED_VALUE"""),"PC")</f>
        <v>PC</v>
      </c>
      <c r="I1595" s="80">
        <f ca="1">IFERROR(__xludf.DUMMYFUNCTION("""COMPUTED_VALUE"""),2)</f>
        <v>2</v>
      </c>
      <c r="J1595" s="81">
        <f ca="1">IFERROR(__xludf.DUMMYFUNCTION("""COMPUTED_VALUE"""),2)</f>
        <v>2</v>
      </c>
      <c r="K1595" s="81">
        <f ca="1">IFERROR(__xludf.DUMMYFUNCTION("""COMPUTED_VALUE"""),70.75)</f>
        <v>70.75</v>
      </c>
      <c r="L1595" s="81">
        <f ca="1">IFERROR(__xludf.DUMMYFUNCTION("""COMPUTED_VALUE"""),0)</f>
        <v>0</v>
      </c>
      <c r="M1595" s="81"/>
      <c r="N1595" s="81">
        <f ca="1">IFERROR(__xludf.DUMMYFUNCTION("""COMPUTED_VALUE"""),70.75)</f>
        <v>70.75</v>
      </c>
      <c r="O1595" s="81"/>
      <c r="P1595" s="81">
        <f ca="1">IFERROR(__xludf.DUMMYFUNCTION("""COMPUTED_VALUE"""),63.95)</f>
        <v>63.95</v>
      </c>
      <c r="Q1595" s="81"/>
      <c r="R1595" s="81">
        <f ca="1">IFERROR(__xludf.DUMMYFUNCTION("""COMPUTED_VALUE"""),0)</f>
        <v>0</v>
      </c>
      <c r="S1595" s="81"/>
      <c r="T1595" s="81"/>
      <c r="U1595" s="82"/>
      <c r="V1595" s="82"/>
      <c r="W1595" s="83"/>
      <c r="X1595" s="83"/>
      <c r="Y1595" s="83"/>
    </row>
    <row r="1596" spans="1:25" ht="13.8">
      <c r="A1596" s="78" t="str">
        <f ca="1">IFERROR(__xludf.DUMMYFUNCTION("""COMPUTED_VALUE"""),"PC")</f>
        <v>PC</v>
      </c>
      <c r="B1596" s="79" t="str">
        <f ca="1">IFERROR(__xludf.DUMMYFUNCTION("""COMPUTED_VALUE"""),"Ella Dunlavy")</f>
        <v>Ella Dunlavy</v>
      </c>
      <c r="C1596" s="78">
        <f ca="1">IFERROR(__xludf.DUMMYFUNCTION("""COMPUTED_VALUE"""),10)</f>
        <v>10</v>
      </c>
      <c r="D1596" s="78" t="str">
        <f ca="1">IFERROR(__xludf.DUMMYFUNCTION("""COMPUTED_VALUE"""),"G")</f>
        <v>G</v>
      </c>
      <c r="E1596" s="80" t="str">
        <f ca="1">IFERROR(__xludf.DUMMYFUNCTION("""COMPUTED_VALUE"""),"F")</f>
        <v>F</v>
      </c>
      <c r="F1596" s="80" t="str">
        <f ca="1">IFERROR(__xludf.DUMMYFUNCTION("""COMPUTED_VALUE"""),"J")</f>
        <v>J</v>
      </c>
      <c r="G1596" s="80">
        <f ca="1">IFERROR(__xludf.DUMMYFUNCTION("""COMPUTED_VALUE"""),3)</f>
        <v>3</v>
      </c>
      <c r="H1596" s="80" t="str">
        <f ca="1">IFERROR(__xludf.DUMMYFUNCTION("""COMPUTED_VALUE"""),"PC")</f>
        <v>PC</v>
      </c>
      <c r="I1596" s="80">
        <f ca="1">IFERROR(__xludf.DUMMYFUNCTION("""COMPUTED_VALUE"""),2)</f>
        <v>2</v>
      </c>
      <c r="J1596" s="81">
        <f ca="1">IFERROR(__xludf.DUMMYFUNCTION("""COMPUTED_VALUE"""),2)</f>
        <v>2</v>
      </c>
      <c r="K1596" s="81">
        <f ca="1">IFERROR(__xludf.DUMMYFUNCTION("""COMPUTED_VALUE"""),76.25)</f>
        <v>76.25</v>
      </c>
      <c r="L1596" s="81">
        <f ca="1">IFERROR(__xludf.DUMMYFUNCTION("""COMPUTED_VALUE"""),0)</f>
        <v>0</v>
      </c>
      <c r="M1596" s="81"/>
      <c r="N1596" s="81">
        <f ca="1">IFERROR(__xludf.DUMMYFUNCTION("""COMPUTED_VALUE"""),76.25)</f>
        <v>76.25</v>
      </c>
      <c r="O1596" s="81"/>
      <c r="P1596" s="81">
        <f ca="1">IFERROR(__xludf.DUMMYFUNCTION("""COMPUTED_VALUE"""),68.75)</f>
        <v>68.75</v>
      </c>
      <c r="Q1596" s="81"/>
      <c r="R1596" s="81">
        <f ca="1">IFERROR(__xludf.DUMMYFUNCTION("""COMPUTED_VALUE"""),0)</f>
        <v>0</v>
      </c>
      <c r="S1596" s="81"/>
      <c r="T1596" s="81"/>
      <c r="U1596" s="82"/>
      <c r="V1596" s="82"/>
      <c r="W1596" s="83"/>
      <c r="X1596" s="83"/>
      <c r="Y1596" s="83"/>
    </row>
    <row r="1597" spans="1:25" ht="13.8">
      <c r="A1597" s="78" t="str">
        <f ca="1">IFERROR(__xludf.DUMMYFUNCTION("""COMPUTED_VALUE"""),"PC")</f>
        <v>PC</v>
      </c>
      <c r="B1597" s="79" t="str">
        <f ca="1">IFERROR(__xludf.DUMMYFUNCTION("""COMPUTED_VALUE"""),"Chloe Kennedy")</f>
        <v>Chloe Kennedy</v>
      </c>
      <c r="C1597" s="78">
        <f ca="1">IFERROR(__xludf.DUMMYFUNCTION("""COMPUTED_VALUE"""),7)</f>
        <v>7</v>
      </c>
      <c r="D1597" s="78" t="str">
        <f ca="1">IFERROR(__xludf.DUMMYFUNCTION("""COMPUTED_VALUE"""),"G")</f>
        <v>G</v>
      </c>
      <c r="E1597" s="80" t="str">
        <f ca="1">IFERROR(__xludf.DUMMYFUNCTION("""COMPUTED_VALUE"""),"F")</f>
        <v>F</v>
      </c>
      <c r="F1597" s="80" t="str">
        <f ca="1">IFERROR(__xludf.DUMMYFUNCTION("""COMPUTED_VALUE"""),"J")</f>
        <v>J</v>
      </c>
      <c r="G1597" s="80">
        <f ca="1">IFERROR(__xludf.DUMMYFUNCTION("""COMPUTED_VALUE"""),3)</f>
        <v>3</v>
      </c>
      <c r="H1597" s="80" t="str">
        <f ca="1">IFERROR(__xludf.DUMMYFUNCTION("""COMPUTED_VALUE"""),"PC")</f>
        <v>PC</v>
      </c>
      <c r="I1597" s="80">
        <f ca="1">IFERROR(__xludf.DUMMYFUNCTION("""COMPUTED_VALUE"""),2)</f>
        <v>2</v>
      </c>
      <c r="J1597" s="81">
        <f ca="1">IFERROR(__xludf.DUMMYFUNCTION("""COMPUTED_VALUE"""),3)</f>
        <v>3</v>
      </c>
      <c r="K1597" s="81">
        <f ca="1">IFERROR(__xludf.DUMMYFUNCTION("""COMPUTED_VALUE"""),43.7)</f>
        <v>43.7</v>
      </c>
      <c r="L1597" s="81">
        <f ca="1">IFERROR(__xludf.DUMMYFUNCTION("""COMPUTED_VALUE"""),0)</f>
        <v>0</v>
      </c>
      <c r="M1597" s="81"/>
      <c r="N1597" s="81">
        <f ca="1">IFERROR(__xludf.DUMMYFUNCTION("""COMPUTED_VALUE"""),41.2)</f>
        <v>41.2</v>
      </c>
      <c r="O1597" s="81"/>
      <c r="P1597" s="81">
        <f ca="1">IFERROR(__xludf.DUMMYFUNCTION("""COMPUTED_VALUE"""),33.8)</f>
        <v>33.799999999999997</v>
      </c>
      <c r="Q1597" s="81"/>
      <c r="R1597" s="81">
        <f ca="1">IFERROR(__xludf.DUMMYFUNCTION("""COMPUTED_VALUE"""),43.7)</f>
        <v>43.7</v>
      </c>
      <c r="S1597" s="81"/>
      <c r="T1597" s="81"/>
      <c r="U1597" s="82"/>
      <c r="V1597" s="82"/>
      <c r="W1597" s="83"/>
      <c r="X1597" s="83"/>
      <c r="Y1597" s="83"/>
    </row>
    <row r="1598" spans="1:25" ht="13.8">
      <c r="A1598" s="78" t="str">
        <f ca="1">IFERROR(__xludf.DUMMYFUNCTION("""COMPUTED_VALUE"""),"PC")</f>
        <v>PC</v>
      </c>
      <c r="B1598" s="79" t="str">
        <f ca="1">IFERROR(__xludf.DUMMYFUNCTION("""COMPUTED_VALUE"""),"Julia Kennedy")</f>
        <v>Julia Kennedy</v>
      </c>
      <c r="C1598" s="78">
        <f ca="1">IFERROR(__xludf.DUMMYFUNCTION("""COMPUTED_VALUE"""),9)</f>
        <v>9</v>
      </c>
      <c r="D1598" s="78" t="str">
        <f ca="1">IFERROR(__xludf.DUMMYFUNCTION("""COMPUTED_VALUE"""),"G")</f>
        <v>G</v>
      </c>
      <c r="E1598" s="80" t="str">
        <f ca="1">IFERROR(__xludf.DUMMYFUNCTION("""COMPUTED_VALUE"""),"F")</f>
        <v>F</v>
      </c>
      <c r="F1598" s="80" t="str">
        <f ca="1">IFERROR(__xludf.DUMMYFUNCTION("""COMPUTED_VALUE"""),"J")</f>
        <v>J</v>
      </c>
      <c r="G1598" s="80">
        <f ca="1">IFERROR(__xludf.DUMMYFUNCTION("""COMPUTED_VALUE"""),3)</f>
        <v>3</v>
      </c>
      <c r="H1598" s="80" t="str">
        <f ca="1">IFERROR(__xludf.DUMMYFUNCTION("""COMPUTED_VALUE"""),"PC")</f>
        <v>PC</v>
      </c>
      <c r="I1598" s="80">
        <f ca="1">IFERROR(__xludf.DUMMYFUNCTION("""COMPUTED_VALUE"""),2)</f>
        <v>2</v>
      </c>
      <c r="J1598" s="81">
        <f ca="1">IFERROR(__xludf.DUMMYFUNCTION("""COMPUTED_VALUE"""),4)</f>
        <v>4</v>
      </c>
      <c r="K1598" s="81">
        <f ca="1">IFERROR(__xludf.DUMMYFUNCTION("""COMPUTED_VALUE"""),74.45)</f>
        <v>74.45</v>
      </c>
      <c r="L1598" s="81">
        <f ca="1">IFERROR(__xludf.DUMMYFUNCTION("""COMPUTED_VALUE"""),74.45)</f>
        <v>74.45</v>
      </c>
      <c r="M1598" s="81"/>
      <c r="N1598" s="81">
        <f ca="1">IFERROR(__xludf.DUMMYFUNCTION("""COMPUTED_VALUE"""),63.1)</f>
        <v>63.1</v>
      </c>
      <c r="O1598" s="81"/>
      <c r="P1598" s="81">
        <f ca="1">IFERROR(__xludf.DUMMYFUNCTION("""COMPUTED_VALUE"""),56.5)</f>
        <v>56.5</v>
      </c>
      <c r="Q1598" s="81"/>
      <c r="R1598" s="81">
        <f ca="1">IFERROR(__xludf.DUMMYFUNCTION("""COMPUTED_VALUE"""),52.95)</f>
        <v>52.95</v>
      </c>
      <c r="S1598" s="81"/>
      <c r="T1598" s="81"/>
      <c r="U1598" s="82"/>
      <c r="V1598" s="82"/>
      <c r="W1598" s="83"/>
      <c r="X1598" s="83"/>
      <c r="Y1598" s="83"/>
    </row>
    <row r="1599" spans="1:25" ht="13.8">
      <c r="A1599" s="78" t="str">
        <f ca="1">IFERROR(__xludf.DUMMYFUNCTION("""COMPUTED_VALUE"""),"PC")</f>
        <v>PC</v>
      </c>
      <c r="B1599" s="79" t="str">
        <f ca="1">IFERROR(__xludf.DUMMYFUNCTION("""COMPUTED_VALUE"""),"Maddie Yappel")</f>
        <v>Maddie Yappel</v>
      </c>
      <c r="C1599" s="78">
        <f ca="1">IFERROR(__xludf.DUMMYFUNCTION("""COMPUTED_VALUE"""),8)</f>
        <v>8</v>
      </c>
      <c r="D1599" s="78" t="str">
        <f ca="1">IFERROR(__xludf.DUMMYFUNCTION("""COMPUTED_VALUE"""),"G")</f>
        <v>G</v>
      </c>
      <c r="E1599" s="80" t="str">
        <f ca="1">IFERROR(__xludf.DUMMYFUNCTION("""COMPUTED_VALUE"""),"F")</f>
        <v>F</v>
      </c>
      <c r="F1599" s="80" t="str">
        <f ca="1">IFERROR(__xludf.DUMMYFUNCTION("""COMPUTED_VALUE"""),"J")</f>
        <v>J</v>
      </c>
      <c r="G1599" s="80">
        <f ca="1">IFERROR(__xludf.DUMMYFUNCTION("""COMPUTED_VALUE"""),3)</f>
        <v>3</v>
      </c>
      <c r="H1599" s="80" t="str">
        <f ca="1">IFERROR(__xludf.DUMMYFUNCTION("""COMPUTED_VALUE"""),"PC")</f>
        <v>PC</v>
      </c>
      <c r="I1599" s="80">
        <f ca="1">IFERROR(__xludf.DUMMYFUNCTION("""COMPUTED_VALUE"""),2)</f>
        <v>2</v>
      </c>
      <c r="J1599" s="81">
        <f ca="1">IFERROR(__xludf.DUMMYFUNCTION("""COMPUTED_VALUE"""),4)</f>
        <v>4</v>
      </c>
      <c r="K1599" s="81">
        <f ca="1">IFERROR(__xludf.DUMMYFUNCTION("""COMPUTED_VALUE"""),55.45)</f>
        <v>55.45</v>
      </c>
      <c r="L1599" s="81">
        <f ca="1">IFERROR(__xludf.DUMMYFUNCTION("""COMPUTED_VALUE"""),43.8)</f>
        <v>43.8</v>
      </c>
      <c r="M1599" s="81"/>
      <c r="N1599" s="81">
        <f ca="1">IFERROR(__xludf.DUMMYFUNCTION("""COMPUTED_VALUE"""),55.45)</f>
        <v>55.45</v>
      </c>
      <c r="O1599" s="81"/>
      <c r="P1599" s="81">
        <f ca="1">IFERROR(__xludf.DUMMYFUNCTION("""COMPUTED_VALUE"""),48.9)</f>
        <v>48.9</v>
      </c>
      <c r="Q1599" s="81"/>
      <c r="R1599" s="81">
        <f ca="1">IFERROR(__xludf.DUMMYFUNCTION("""COMPUTED_VALUE"""),0)</f>
        <v>0</v>
      </c>
      <c r="S1599" s="81"/>
      <c r="T1599" s="81"/>
      <c r="U1599" s="82"/>
      <c r="V1599" s="82"/>
      <c r="W1599" s="83"/>
      <c r="X1599" s="83"/>
      <c r="Y1599" s="83"/>
    </row>
    <row r="1600" spans="1:25" ht="13.8">
      <c r="A1600" s="78" t="str">
        <f ca="1">IFERROR(__xludf.DUMMYFUNCTION("""COMPUTED_VALUE"""),"PC")</f>
        <v>PC</v>
      </c>
      <c r="B1600" s="79" t="str">
        <f ca="1">IFERROR(__xludf.DUMMYFUNCTION("""COMPUTED_VALUE"""),"Kayla Zheng")</f>
        <v>Kayla Zheng</v>
      </c>
      <c r="C1600" s="78">
        <f ca="1">IFERROR(__xludf.DUMMYFUNCTION("""COMPUTED_VALUE"""),10)</f>
        <v>10</v>
      </c>
      <c r="D1600" s="78" t="str">
        <f ca="1">IFERROR(__xludf.DUMMYFUNCTION("""COMPUTED_VALUE"""),"G")</f>
        <v>G</v>
      </c>
      <c r="E1600" s="80" t="str">
        <f ca="1">IFERROR(__xludf.DUMMYFUNCTION("""COMPUTED_VALUE"""),"F")</f>
        <v>F</v>
      </c>
      <c r="F1600" s="80" t="str">
        <f ca="1">IFERROR(__xludf.DUMMYFUNCTION("""COMPUTED_VALUE"""),"J")</f>
        <v>J</v>
      </c>
      <c r="G1600" s="80">
        <f ca="1">IFERROR(__xludf.DUMMYFUNCTION("""COMPUTED_VALUE"""),3)</f>
        <v>3</v>
      </c>
      <c r="H1600" s="80" t="str">
        <f ca="1">IFERROR(__xludf.DUMMYFUNCTION("""COMPUTED_VALUE"""),"PC")</f>
        <v>PC</v>
      </c>
      <c r="I1600" s="80">
        <f ca="1">IFERROR(__xludf.DUMMYFUNCTION("""COMPUTED_VALUE"""),2)</f>
        <v>2</v>
      </c>
      <c r="J1600" s="81">
        <f ca="1">IFERROR(__xludf.DUMMYFUNCTION("""COMPUTED_VALUE"""),2)</f>
        <v>2</v>
      </c>
      <c r="K1600" s="81">
        <f ca="1">IFERROR(__xludf.DUMMYFUNCTION("""COMPUTED_VALUE"""),59.75)</f>
        <v>59.75</v>
      </c>
      <c r="L1600" s="81">
        <f ca="1">IFERROR(__xludf.DUMMYFUNCTION("""COMPUTED_VALUE"""),59.75)</f>
        <v>59.75</v>
      </c>
      <c r="M1600" s="81"/>
      <c r="N1600" s="81">
        <f ca="1">IFERROR(__xludf.DUMMYFUNCTION("""COMPUTED_VALUE"""),0)</f>
        <v>0</v>
      </c>
      <c r="O1600" s="81"/>
      <c r="P1600" s="81">
        <f ca="1">IFERROR(__xludf.DUMMYFUNCTION("""COMPUTED_VALUE"""),0)</f>
        <v>0</v>
      </c>
      <c r="Q1600" s="81"/>
      <c r="R1600" s="81">
        <f ca="1">IFERROR(__xludf.DUMMYFUNCTION("""COMPUTED_VALUE"""),50.2)</f>
        <v>50.2</v>
      </c>
      <c r="S1600" s="81"/>
      <c r="T1600" s="81"/>
      <c r="U1600" s="82"/>
      <c r="V1600" s="82"/>
      <c r="W1600" s="83"/>
      <c r="X1600" s="83"/>
      <c r="Y1600" s="83"/>
    </row>
    <row r="1601" spans="1:25" ht="13.8">
      <c r="A1601" s="78" t="str">
        <f ca="1">IFERROR(__xludf.DUMMYFUNCTION("""COMPUTED_VALUE"""),"PC")</f>
        <v>PC</v>
      </c>
      <c r="B1601" s="79" t="str">
        <f ca="1">IFERROR(__xludf.DUMMYFUNCTION("""COMPUTED_VALUE"""),"Aaron Barger")</f>
        <v>Aaron Barger</v>
      </c>
      <c r="C1601" s="78">
        <f ca="1">IFERROR(__xludf.DUMMYFUNCTION("""COMPUTED_VALUE"""),8)</f>
        <v>8</v>
      </c>
      <c r="D1601" s="78" t="str">
        <f ca="1">IFERROR(__xludf.DUMMYFUNCTION("""COMPUTED_VALUE"""),"B")</f>
        <v>B</v>
      </c>
      <c r="E1601" s="80" t="str">
        <f ca="1">IFERROR(__xludf.DUMMYFUNCTION("""COMPUTED_VALUE"""),"F")</f>
        <v>F</v>
      </c>
      <c r="F1601" s="80" t="str">
        <f ca="1">IFERROR(__xludf.DUMMYFUNCTION("""COMPUTED_VALUE"""),"J")</f>
        <v>J</v>
      </c>
      <c r="G1601" s="80">
        <f ca="1">IFERROR(__xludf.DUMMYFUNCTION("""COMPUTED_VALUE"""),3)</f>
        <v>3</v>
      </c>
      <c r="H1601" s="80" t="str">
        <f ca="1">IFERROR(__xludf.DUMMYFUNCTION("""COMPUTED_VALUE"""),"PC")</f>
        <v>PC</v>
      </c>
      <c r="I1601" s="80">
        <f ca="1">IFERROR(__xludf.DUMMYFUNCTION("""COMPUTED_VALUE"""),3)</f>
        <v>3</v>
      </c>
      <c r="J1601" s="81">
        <f ca="1">IFERROR(__xludf.DUMMYFUNCTION("""COMPUTED_VALUE"""),5)</f>
        <v>5</v>
      </c>
      <c r="K1601" s="81">
        <f ca="1">IFERROR(__xludf.DUMMYFUNCTION("""COMPUTED_VALUE"""),54.7)</f>
        <v>54.7</v>
      </c>
      <c r="L1601" s="81">
        <f ca="1">IFERROR(__xludf.DUMMYFUNCTION("""COMPUTED_VALUE"""),32.9)</f>
        <v>32.9</v>
      </c>
      <c r="M1601" s="81"/>
      <c r="N1601" s="81">
        <f ca="1">IFERROR(__xludf.DUMMYFUNCTION("""COMPUTED_VALUE"""),42.9)</f>
        <v>42.9</v>
      </c>
      <c r="O1601" s="81"/>
      <c r="P1601" s="81">
        <f ca="1">IFERROR(__xludf.DUMMYFUNCTION("""COMPUTED_VALUE"""),48.6)</f>
        <v>48.6</v>
      </c>
      <c r="Q1601" s="81"/>
      <c r="R1601" s="81">
        <f ca="1">IFERROR(__xludf.DUMMYFUNCTION("""COMPUTED_VALUE"""),54.7)</f>
        <v>54.7</v>
      </c>
      <c r="S1601" s="81"/>
      <c r="T1601" s="81"/>
      <c r="U1601" s="82"/>
      <c r="V1601" s="82"/>
      <c r="W1601" s="83"/>
      <c r="X1601" s="83"/>
      <c r="Y1601" s="83"/>
    </row>
    <row r="1602" spans="1:25" ht="13.8">
      <c r="A1602" s="78" t="str">
        <f ca="1">IFERROR(__xludf.DUMMYFUNCTION("""COMPUTED_VALUE"""),"PC")</f>
        <v>PC</v>
      </c>
      <c r="B1602" s="79" t="str">
        <f ca="1">IFERROR(__xludf.DUMMYFUNCTION("""COMPUTED_VALUE"""),"Timothy Barger")</f>
        <v>Timothy Barger</v>
      </c>
      <c r="C1602" s="78">
        <f ca="1">IFERROR(__xludf.DUMMYFUNCTION("""COMPUTED_VALUE"""),7)</f>
        <v>7</v>
      </c>
      <c r="D1602" s="78" t="str">
        <f ca="1">IFERROR(__xludf.DUMMYFUNCTION("""COMPUTED_VALUE"""),"B")</f>
        <v>B</v>
      </c>
      <c r="E1602" s="80" t="str">
        <f ca="1">IFERROR(__xludf.DUMMYFUNCTION("""COMPUTED_VALUE"""),"F")</f>
        <v>F</v>
      </c>
      <c r="F1602" s="80" t="str">
        <f ca="1">IFERROR(__xludf.DUMMYFUNCTION("""COMPUTED_VALUE"""),"J")</f>
        <v>J</v>
      </c>
      <c r="G1602" s="80">
        <f ca="1">IFERROR(__xludf.DUMMYFUNCTION("""COMPUTED_VALUE"""),3)</f>
        <v>3</v>
      </c>
      <c r="H1602" s="80" t="str">
        <f ca="1">IFERROR(__xludf.DUMMYFUNCTION("""COMPUTED_VALUE"""),"PC")</f>
        <v>PC</v>
      </c>
      <c r="I1602" s="80">
        <f ca="1">IFERROR(__xludf.DUMMYFUNCTION("""COMPUTED_VALUE"""),3)</f>
        <v>3</v>
      </c>
      <c r="J1602" s="81">
        <f ca="1">IFERROR(__xludf.DUMMYFUNCTION("""COMPUTED_VALUE"""),5)</f>
        <v>5</v>
      </c>
      <c r="K1602" s="81">
        <f ca="1">IFERROR(__xludf.DUMMYFUNCTION("""COMPUTED_VALUE"""),41.45)</f>
        <v>41.45</v>
      </c>
      <c r="L1602" s="81">
        <f ca="1">IFERROR(__xludf.DUMMYFUNCTION("""COMPUTED_VALUE"""),28.6)</f>
        <v>28.6</v>
      </c>
      <c r="M1602" s="81"/>
      <c r="N1602" s="81">
        <f ca="1">IFERROR(__xludf.DUMMYFUNCTION("""COMPUTED_VALUE"""),41.45)</f>
        <v>41.45</v>
      </c>
      <c r="O1602" s="81"/>
      <c r="P1602" s="81">
        <f ca="1">IFERROR(__xludf.DUMMYFUNCTION("""COMPUTED_VALUE"""),29.95)</f>
        <v>29.95</v>
      </c>
      <c r="Q1602" s="81"/>
      <c r="R1602" s="81">
        <f ca="1">IFERROR(__xludf.DUMMYFUNCTION("""COMPUTED_VALUE"""),41)</f>
        <v>41</v>
      </c>
      <c r="S1602" s="81"/>
      <c r="T1602" s="81"/>
      <c r="U1602" s="82"/>
      <c r="V1602" s="82"/>
      <c r="W1602" s="83"/>
      <c r="X1602" s="83"/>
      <c r="Y1602" s="83"/>
    </row>
    <row r="1603" spans="1:25" ht="13.8">
      <c r="A1603" s="78" t="str">
        <f ca="1">IFERROR(__xludf.DUMMYFUNCTION("""COMPUTED_VALUE"""),"PC")</f>
        <v>PC</v>
      </c>
      <c r="B1603" s="79" t="str">
        <f ca="1">IFERROR(__xludf.DUMMYFUNCTION("""COMPUTED_VALUE"""),"Ian Douglass")</f>
        <v>Ian Douglass</v>
      </c>
      <c r="C1603" s="78">
        <f ca="1">IFERROR(__xludf.DUMMYFUNCTION("""COMPUTED_VALUE"""),8)</f>
        <v>8</v>
      </c>
      <c r="D1603" s="78" t="str">
        <f ca="1">IFERROR(__xludf.DUMMYFUNCTION("""COMPUTED_VALUE"""),"B")</f>
        <v>B</v>
      </c>
      <c r="E1603" s="80" t="str">
        <f ca="1">IFERROR(__xludf.DUMMYFUNCTION("""COMPUTED_VALUE"""),"F")</f>
        <v>F</v>
      </c>
      <c r="F1603" s="80" t="str">
        <f ca="1">IFERROR(__xludf.DUMMYFUNCTION("""COMPUTED_VALUE"""),"J")</f>
        <v>J</v>
      </c>
      <c r="G1603" s="80">
        <f ca="1">IFERROR(__xludf.DUMMYFUNCTION("""COMPUTED_VALUE"""),3)</f>
        <v>3</v>
      </c>
      <c r="H1603" s="80" t="str">
        <f ca="1">IFERROR(__xludf.DUMMYFUNCTION("""COMPUTED_VALUE"""),"PC")</f>
        <v>PC</v>
      </c>
      <c r="I1603" s="80">
        <f ca="1">IFERROR(__xludf.DUMMYFUNCTION("""COMPUTED_VALUE"""),3)</f>
        <v>3</v>
      </c>
      <c r="J1603" s="81">
        <f ca="1">IFERROR(__xludf.DUMMYFUNCTION("""COMPUTED_VALUE"""),0)</f>
        <v>0</v>
      </c>
      <c r="K1603" s="81">
        <f ca="1">IFERROR(__xludf.DUMMYFUNCTION("""COMPUTED_VALUE"""),0)</f>
        <v>0</v>
      </c>
      <c r="L1603" s="81">
        <f ca="1">IFERROR(__xludf.DUMMYFUNCTION("""COMPUTED_VALUE"""),0)</f>
        <v>0</v>
      </c>
      <c r="M1603" s="81"/>
      <c r="N1603" s="81">
        <f ca="1">IFERROR(__xludf.DUMMYFUNCTION("""COMPUTED_VALUE"""),0)</f>
        <v>0</v>
      </c>
      <c r="O1603" s="81"/>
      <c r="P1603" s="81">
        <f ca="1">IFERROR(__xludf.DUMMYFUNCTION("""COMPUTED_VALUE"""),0)</f>
        <v>0</v>
      </c>
      <c r="Q1603" s="81"/>
      <c r="R1603" s="81">
        <f ca="1">IFERROR(__xludf.DUMMYFUNCTION("""COMPUTED_VALUE"""),0)</f>
        <v>0</v>
      </c>
      <c r="S1603" s="81"/>
      <c r="T1603" s="81"/>
      <c r="U1603" s="82"/>
      <c r="V1603" s="82"/>
      <c r="W1603" s="83"/>
      <c r="X1603" s="83"/>
      <c r="Y1603" s="83"/>
    </row>
    <row r="1604" spans="1:25" ht="13.8">
      <c r="A1604" s="78" t="str">
        <f ca="1">IFERROR(__xludf.DUMMYFUNCTION("""COMPUTED_VALUE"""),"PC")</f>
        <v>PC</v>
      </c>
      <c r="B1604" s="79" t="str">
        <f ca="1">IFERROR(__xludf.DUMMYFUNCTION("""COMPUTED_VALUE"""),"Nicholas Ivey")</f>
        <v>Nicholas Ivey</v>
      </c>
      <c r="C1604" s="78">
        <f ca="1">IFERROR(__xludf.DUMMYFUNCTION("""COMPUTED_VALUE"""),9)</f>
        <v>9</v>
      </c>
      <c r="D1604" s="78" t="str">
        <f ca="1">IFERROR(__xludf.DUMMYFUNCTION("""COMPUTED_VALUE"""),"B")</f>
        <v>B</v>
      </c>
      <c r="E1604" s="80" t="str">
        <f ca="1">IFERROR(__xludf.DUMMYFUNCTION("""COMPUTED_VALUE"""),"F")</f>
        <v>F</v>
      </c>
      <c r="F1604" s="80" t="str">
        <f ca="1">IFERROR(__xludf.DUMMYFUNCTION("""COMPUTED_VALUE"""),"J")</f>
        <v>J</v>
      </c>
      <c r="G1604" s="80">
        <f ca="1">IFERROR(__xludf.DUMMYFUNCTION("""COMPUTED_VALUE"""),3)</f>
        <v>3</v>
      </c>
      <c r="H1604" s="80" t="str">
        <f ca="1">IFERROR(__xludf.DUMMYFUNCTION("""COMPUTED_VALUE"""),"PC")</f>
        <v>PC</v>
      </c>
      <c r="I1604" s="80">
        <f ca="1">IFERROR(__xludf.DUMMYFUNCTION("""COMPUTED_VALUE"""),3)</f>
        <v>3</v>
      </c>
      <c r="J1604" s="81">
        <f ca="1">IFERROR(__xludf.DUMMYFUNCTION("""COMPUTED_VALUE"""),0)</f>
        <v>0</v>
      </c>
      <c r="K1604" s="81">
        <f ca="1">IFERROR(__xludf.DUMMYFUNCTION("""COMPUTED_VALUE"""),0)</f>
        <v>0</v>
      </c>
      <c r="L1604" s="81">
        <f ca="1">IFERROR(__xludf.DUMMYFUNCTION("""COMPUTED_VALUE"""),0)</f>
        <v>0</v>
      </c>
      <c r="M1604" s="81"/>
      <c r="N1604" s="81">
        <f ca="1">IFERROR(__xludf.DUMMYFUNCTION("""COMPUTED_VALUE"""),0)</f>
        <v>0</v>
      </c>
      <c r="O1604" s="81"/>
      <c r="P1604" s="81">
        <f ca="1">IFERROR(__xludf.DUMMYFUNCTION("""COMPUTED_VALUE"""),0)</f>
        <v>0</v>
      </c>
      <c r="Q1604" s="81"/>
      <c r="R1604" s="81">
        <f ca="1">IFERROR(__xludf.DUMMYFUNCTION("""COMPUTED_VALUE"""),0)</f>
        <v>0</v>
      </c>
      <c r="S1604" s="81"/>
      <c r="T1604" s="81"/>
      <c r="U1604" s="82"/>
      <c r="V1604" s="82"/>
      <c r="W1604" s="83"/>
      <c r="X1604" s="83"/>
      <c r="Y1604" s="83"/>
    </row>
    <row r="1605" spans="1:25" ht="13.8">
      <c r="A1605" s="78" t="str">
        <f ca="1">IFERROR(__xludf.DUMMYFUNCTION("""COMPUTED_VALUE"""),"PC")</f>
        <v>PC</v>
      </c>
      <c r="B1605" s="79" t="str">
        <f ca="1">IFERROR(__xludf.DUMMYFUNCTION("""COMPUTED_VALUE"""),"John Paul Ryan")</f>
        <v>John Paul Ryan</v>
      </c>
      <c r="C1605" s="78">
        <f ca="1">IFERROR(__xludf.DUMMYFUNCTION("""COMPUTED_VALUE"""),9)</f>
        <v>9</v>
      </c>
      <c r="D1605" s="78" t="str">
        <f ca="1">IFERROR(__xludf.DUMMYFUNCTION("""COMPUTED_VALUE"""),"B")</f>
        <v>B</v>
      </c>
      <c r="E1605" s="80" t="str">
        <f ca="1">IFERROR(__xludf.DUMMYFUNCTION("""COMPUTED_VALUE"""),"F")</f>
        <v>F</v>
      </c>
      <c r="F1605" s="80" t="str">
        <f ca="1">IFERROR(__xludf.DUMMYFUNCTION("""COMPUTED_VALUE"""),"J")</f>
        <v>J</v>
      </c>
      <c r="G1605" s="80">
        <f ca="1">IFERROR(__xludf.DUMMYFUNCTION("""COMPUTED_VALUE"""),3)</f>
        <v>3</v>
      </c>
      <c r="H1605" s="80" t="str">
        <f ca="1">IFERROR(__xludf.DUMMYFUNCTION("""COMPUTED_VALUE"""),"PC")</f>
        <v>PC</v>
      </c>
      <c r="I1605" s="80">
        <f ca="1">IFERROR(__xludf.DUMMYFUNCTION("""COMPUTED_VALUE"""),3)</f>
        <v>3</v>
      </c>
      <c r="J1605" s="81">
        <f ca="1">IFERROR(__xludf.DUMMYFUNCTION("""COMPUTED_VALUE"""),4)</f>
        <v>4</v>
      </c>
      <c r="K1605" s="81">
        <f ca="1">IFERROR(__xludf.DUMMYFUNCTION("""COMPUTED_VALUE"""),68.75)</f>
        <v>68.75</v>
      </c>
      <c r="L1605" s="81">
        <f ca="1">IFERROR(__xludf.DUMMYFUNCTION("""COMPUTED_VALUE"""),68.75)</f>
        <v>68.75</v>
      </c>
      <c r="M1605" s="81"/>
      <c r="N1605" s="81">
        <f ca="1">IFERROR(__xludf.DUMMYFUNCTION("""COMPUTED_VALUE"""),63.35)</f>
        <v>63.35</v>
      </c>
      <c r="O1605" s="81"/>
      <c r="P1605" s="81">
        <f ca="1">IFERROR(__xludf.DUMMYFUNCTION("""COMPUTED_VALUE"""),0)</f>
        <v>0</v>
      </c>
      <c r="Q1605" s="81"/>
      <c r="R1605" s="81">
        <f ca="1">IFERROR(__xludf.DUMMYFUNCTION("""COMPUTED_VALUE"""),59.1)</f>
        <v>59.1</v>
      </c>
      <c r="S1605" s="81"/>
      <c r="T1605" s="81"/>
      <c r="U1605" s="82"/>
      <c r="V1605" s="82"/>
      <c r="W1605" s="83"/>
      <c r="X1605" s="83"/>
      <c r="Y1605" s="83"/>
    </row>
    <row r="1606" spans="1:25" ht="13.8">
      <c r="A1606" s="78" t="str">
        <f ca="1">IFERROR(__xludf.DUMMYFUNCTION("""COMPUTED_VALUE"""),"PC")</f>
        <v>PC</v>
      </c>
      <c r="B1606" s="79" t="str">
        <f ca="1">IFERROR(__xludf.DUMMYFUNCTION("""COMPUTED_VALUE"""),"Daniela Cardona")</f>
        <v>Daniela Cardona</v>
      </c>
      <c r="C1606" s="78">
        <f ca="1">IFERROR(__xludf.DUMMYFUNCTION("""COMPUTED_VALUE"""),12)</f>
        <v>12</v>
      </c>
      <c r="D1606" s="78" t="str">
        <f ca="1">IFERROR(__xludf.DUMMYFUNCTION("""COMPUTED_VALUE"""),"G")</f>
        <v>G</v>
      </c>
      <c r="E1606" s="80" t="str">
        <f ca="1">IFERROR(__xludf.DUMMYFUNCTION("""COMPUTED_VALUE"""),"J")</f>
        <v>J</v>
      </c>
      <c r="F1606" s="80" t="str">
        <f ca="1">IFERROR(__xludf.DUMMYFUNCTION("""COMPUTED_VALUE"""),"I")</f>
        <v>I</v>
      </c>
      <c r="G1606" s="80">
        <f ca="1">IFERROR(__xludf.DUMMYFUNCTION("""COMPUTED_VALUE"""),3)</f>
        <v>3</v>
      </c>
      <c r="H1606" s="80" t="str">
        <f ca="1">IFERROR(__xludf.DUMMYFUNCTION("""COMPUTED_VALUE"""),"PC")</f>
        <v>PC</v>
      </c>
      <c r="I1606" s="80">
        <f ca="1">IFERROR(__xludf.DUMMYFUNCTION("""COMPUTED_VALUE"""),4)</f>
        <v>4</v>
      </c>
      <c r="J1606" s="81">
        <f ca="1">IFERROR(__xludf.DUMMYFUNCTION("""COMPUTED_VALUE"""),3)</f>
        <v>3</v>
      </c>
      <c r="K1606" s="81">
        <f ca="1">IFERROR(__xludf.DUMMYFUNCTION("""COMPUTED_VALUE"""),93.05)</f>
        <v>93.05</v>
      </c>
      <c r="L1606" s="81">
        <f ca="1">IFERROR(__xludf.DUMMYFUNCTION("""COMPUTED_VALUE"""),93.05)</f>
        <v>93.05</v>
      </c>
      <c r="M1606" s="81"/>
      <c r="N1606" s="81">
        <f ca="1">IFERROR(__xludf.DUMMYFUNCTION("""COMPUTED_VALUE"""),90.8)</f>
        <v>90.8</v>
      </c>
      <c r="O1606" s="81"/>
      <c r="P1606" s="81">
        <f ca="1">IFERROR(__xludf.DUMMYFUNCTION("""COMPUTED_VALUE"""),0)</f>
        <v>0</v>
      </c>
      <c r="Q1606" s="81"/>
      <c r="R1606" s="81">
        <f ca="1">IFERROR(__xludf.DUMMYFUNCTION("""COMPUTED_VALUE"""),0)</f>
        <v>0</v>
      </c>
      <c r="S1606" s="81"/>
      <c r="T1606" s="81"/>
      <c r="U1606" s="82"/>
      <c r="V1606" s="82"/>
      <c r="W1606" s="83"/>
      <c r="X1606" s="83"/>
      <c r="Y1606" s="83"/>
    </row>
    <row r="1607" spans="1:25" ht="13.8">
      <c r="A1607" s="78" t="str">
        <f ca="1">IFERROR(__xludf.DUMMYFUNCTION("""COMPUTED_VALUE"""),"PC")</f>
        <v>PC</v>
      </c>
      <c r="B1607" s="79" t="str">
        <f ca="1">IFERROR(__xludf.DUMMYFUNCTION("""COMPUTED_VALUE"""),"Isla Eckhardt")</f>
        <v>Isla Eckhardt</v>
      </c>
      <c r="C1607" s="78">
        <f ca="1">IFERROR(__xludf.DUMMYFUNCTION("""COMPUTED_VALUE"""),11)</f>
        <v>11</v>
      </c>
      <c r="D1607" s="78" t="str">
        <f ca="1">IFERROR(__xludf.DUMMYFUNCTION("""COMPUTED_VALUE"""),"G")</f>
        <v>G</v>
      </c>
      <c r="E1607" s="80" t="str">
        <f ca="1">IFERROR(__xludf.DUMMYFUNCTION("""COMPUTED_VALUE"""),"J")</f>
        <v>J</v>
      </c>
      <c r="F1607" s="80" t="str">
        <f ca="1">IFERROR(__xludf.DUMMYFUNCTION("""COMPUTED_VALUE"""),"I")</f>
        <v>I</v>
      </c>
      <c r="G1607" s="80">
        <f ca="1">IFERROR(__xludf.DUMMYFUNCTION("""COMPUTED_VALUE"""),3)</f>
        <v>3</v>
      </c>
      <c r="H1607" s="80" t="str">
        <f ca="1">IFERROR(__xludf.DUMMYFUNCTION("""COMPUTED_VALUE"""),"PC")</f>
        <v>PC</v>
      </c>
      <c r="I1607" s="80">
        <f ca="1">IFERROR(__xludf.DUMMYFUNCTION("""COMPUTED_VALUE"""),4)</f>
        <v>4</v>
      </c>
      <c r="J1607" s="81">
        <f ca="1">IFERROR(__xludf.DUMMYFUNCTION("""COMPUTED_VALUE"""),5)</f>
        <v>5</v>
      </c>
      <c r="K1607" s="81">
        <f ca="1">IFERROR(__xludf.DUMMYFUNCTION("""COMPUTED_VALUE"""),99.65)</f>
        <v>99.65</v>
      </c>
      <c r="L1607" s="81">
        <f ca="1">IFERROR(__xludf.DUMMYFUNCTION("""COMPUTED_VALUE"""),86.65)</f>
        <v>86.65</v>
      </c>
      <c r="M1607" s="81"/>
      <c r="N1607" s="81">
        <f ca="1">IFERROR(__xludf.DUMMYFUNCTION("""COMPUTED_VALUE"""),99.65)</f>
        <v>99.65</v>
      </c>
      <c r="O1607" s="81"/>
      <c r="P1607" s="81">
        <f ca="1">IFERROR(__xludf.DUMMYFUNCTION("""COMPUTED_VALUE"""),79.95)</f>
        <v>79.95</v>
      </c>
      <c r="Q1607" s="81"/>
      <c r="R1607" s="81">
        <f ca="1">IFERROR(__xludf.DUMMYFUNCTION("""COMPUTED_VALUE"""),84.65)</f>
        <v>84.65</v>
      </c>
      <c r="S1607" s="81"/>
      <c r="T1607" s="81"/>
      <c r="U1607" s="82"/>
      <c r="V1607" s="82"/>
      <c r="W1607" s="83"/>
      <c r="X1607" s="83"/>
      <c r="Y1607" s="83"/>
    </row>
    <row r="1608" spans="1:25" ht="13.8">
      <c r="A1608" s="78" t="str">
        <f ca="1">IFERROR(__xludf.DUMMYFUNCTION("""COMPUTED_VALUE"""),"PC")</f>
        <v>PC</v>
      </c>
      <c r="B1608" s="79" t="str">
        <f ca="1">IFERROR(__xludf.DUMMYFUNCTION("""COMPUTED_VALUE"""),"Penny Go")</f>
        <v>Penny Go</v>
      </c>
      <c r="C1608" s="78">
        <f ca="1">IFERROR(__xludf.DUMMYFUNCTION("""COMPUTED_VALUE"""),12)</f>
        <v>12</v>
      </c>
      <c r="D1608" s="78" t="str">
        <f ca="1">IFERROR(__xludf.DUMMYFUNCTION("""COMPUTED_VALUE"""),"G")</f>
        <v>G</v>
      </c>
      <c r="E1608" s="80" t="str">
        <f ca="1">IFERROR(__xludf.DUMMYFUNCTION("""COMPUTED_VALUE"""),"J")</f>
        <v>J</v>
      </c>
      <c r="F1608" s="80" t="str">
        <f ca="1">IFERROR(__xludf.DUMMYFUNCTION("""COMPUTED_VALUE"""),"I")</f>
        <v>I</v>
      </c>
      <c r="G1608" s="80">
        <f ca="1">IFERROR(__xludf.DUMMYFUNCTION("""COMPUTED_VALUE"""),3)</f>
        <v>3</v>
      </c>
      <c r="H1608" s="80" t="str">
        <f ca="1">IFERROR(__xludf.DUMMYFUNCTION("""COMPUTED_VALUE"""),"PC")</f>
        <v>PC</v>
      </c>
      <c r="I1608" s="80">
        <f ca="1">IFERROR(__xludf.DUMMYFUNCTION("""COMPUTED_VALUE"""),4)</f>
        <v>4</v>
      </c>
      <c r="J1608" s="81">
        <f ca="1">IFERROR(__xludf.DUMMYFUNCTION("""COMPUTED_VALUE"""),2)</f>
        <v>2</v>
      </c>
      <c r="K1608" s="81">
        <f ca="1">IFERROR(__xludf.DUMMYFUNCTION("""COMPUTED_VALUE"""),63.1)</f>
        <v>63.1</v>
      </c>
      <c r="L1608" s="81">
        <f ca="1">IFERROR(__xludf.DUMMYFUNCTION("""COMPUTED_VALUE"""),58.35)</f>
        <v>58.35</v>
      </c>
      <c r="M1608" s="81"/>
      <c r="N1608" s="81">
        <f ca="1">IFERROR(__xludf.DUMMYFUNCTION("""COMPUTED_VALUE"""),63.1)</f>
        <v>63.1</v>
      </c>
      <c r="O1608" s="81"/>
      <c r="P1608" s="81">
        <f ca="1">IFERROR(__xludf.DUMMYFUNCTION("""COMPUTED_VALUE"""),0)</f>
        <v>0</v>
      </c>
      <c r="Q1608" s="81"/>
      <c r="R1608" s="81">
        <f ca="1">IFERROR(__xludf.DUMMYFUNCTION("""COMPUTED_VALUE"""),0)</f>
        <v>0</v>
      </c>
      <c r="S1608" s="81"/>
      <c r="T1608" s="81"/>
      <c r="U1608" s="82"/>
      <c r="V1608" s="82"/>
      <c r="W1608" s="83"/>
      <c r="X1608" s="83"/>
      <c r="Y1608" s="83"/>
    </row>
    <row r="1609" spans="1:25" ht="13.8">
      <c r="A1609" s="78" t="str">
        <f ca="1">IFERROR(__xludf.DUMMYFUNCTION("""COMPUTED_VALUE"""),"PC")</f>
        <v>PC</v>
      </c>
      <c r="B1609" s="79" t="str">
        <f ca="1">IFERROR(__xludf.DUMMYFUNCTION("""COMPUTED_VALUE"""),"Caroline Ivey")</f>
        <v>Caroline Ivey</v>
      </c>
      <c r="C1609" s="78">
        <f ca="1">IFERROR(__xludf.DUMMYFUNCTION("""COMPUTED_VALUE"""),11)</f>
        <v>11</v>
      </c>
      <c r="D1609" s="78" t="str">
        <f ca="1">IFERROR(__xludf.DUMMYFUNCTION("""COMPUTED_VALUE"""),"G")</f>
        <v>G</v>
      </c>
      <c r="E1609" s="80" t="str">
        <f ca="1">IFERROR(__xludf.DUMMYFUNCTION("""COMPUTED_VALUE"""),"J")</f>
        <v>J</v>
      </c>
      <c r="F1609" s="80" t="str">
        <f ca="1">IFERROR(__xludf.DUMMYFUNCTION("""COMPUTED_VALUE"""),"I")</f>
        <v>I</v>
      </c>
      <c r="G1609" s="80">
        <f ca="1">IFERROR(__xludf.DUMMYFUNCTION("""COMPUTED_VALUE"""),3)</f>
        <v>3</v>
      </c>
      <c r="H1609" s="80" t="str">
        <f ca="1">IFERROR(__xludf.DUMMYFUNCTION("""COMPUTED_VALUE"""),"PC")</f>
        <v>PC</v>
      </c>
      <c r="I1609" s="80">
        <f ca="1">IFERROR(__xludf.DUMMYFUNCTION("""COMPUTED_VALUE"""),4)</f>
        <v>4</v>
      </c>
      <c r="J1609" s="81">
        <f ca="1">IFERROR(__xludf.DUMMYFUNCTION("""COMPUTED_VALUE"""),1)</f>
        <v>1</v>
      </c>
      <c r="K1609" s="81">
        <f ca="1">IFERROR(__xludf.DUMMYFUNCTION("""COMPUTED_VALUE"""),53.2)</f>
        <v>53.2</v>
      </c>
      <c r="L1609" s="81">
        <f ca="1">IFERROR(__xludf.DUMMYFUNCTION("""COMPUTED_VALUE"""),0)</f>
        <v>0</v>
      </c>
      <c r="M1609" s="81"/>
      <c r="N1609" s="81">
        <f ca="1">IFERROR(__xludf.DUMMYFUNCTION("""COMPUTED_VALUE"""),0)</f>
        <v>0</v>
      </c>
      <c r="O1609" s="81"/>
      <c r="P1609" s="81">
        <f ca="1">IFERROR(__xludf.DUMMYFUNCTION("""COMPUTED_VALUE"""),53.2)</f>
        <v>53.2</v>
      </c>
      <c r="Q1609" s="81"/>
      <c r="R1609" s="81">
        <f ca="1">IFERROR(__xludf.DUMMYFUNCTION("""COMPUTED_VALUE"""),0)</f>
        <v>0</v>
      </c>
      <c r="S1609" s="81"/>
      <c r="T1609" s="81"/>
      <c r="U1609" s="82"/>
      <c r="V1609" s="82"/>
      <c r="W1609" s="83"/>
      <c r="X1609" s="83"/>
      <c r="Y1609" s="83"/>
    </row>
    <row r="1610" spans="1:25" ht="13.8">
      <c r="A1610" s="78" t="str">
        <f ca="1">IFERROR(__xludf.DUMMYFUNCTION("""COMPUTED_VALUE"""),"PC")</f>
        <v>PC</v>
      </c>
      <c r="B1610" s="79" t="str">
        <f ca="1">IFERROR(__xludf.DUMMYFUNCTION("""COMPUTED_VALUE"""),"Lauren Ivey")</f>
        <v>Lauren Ivey</v>
      </c>
      <c r="C1610" s="78">
        <f ca="1">IFERROR(__xludf.DUMMYFUNCTION("""COMPUTED_VALUE"""),12)</f>
        <v>12</v>
      </c>
      <c r="D1610" s="78" t="str">
        <f ca="1">IFERROR(__xludf.DUMMYFUNCTION("""COMPUTED_VALUE"""),"G")</f>
        <v>G</v>
      </c>
      <c r="E1610" s="80" t="str">
        <f ca="1">IFERROR(__xludf.DUMMYFUNCTION("""COMPUTED_VALUE"""),"J")</f>
        <v>J</v>
      </c>
      <c r="F1610" s="80" t="str">
        <f ca="1">IFERROR(__xludf.DUMMYFUNCTION("""COMPUTED_VALUE"""),"I")</f>
        <v>I</v>
      </c>
      <c r="G1610" s="80">
        <f ca="1">IFERROR(__xludf.DUMMYFUNCTION("""COMPUTED_VALUE"""),3)</f>
        <v>3</v>
      </c>
      <c r="H1610" s="80" t="str">
        <f ca="1">IFERROR(__xludf.DUMMYFUNCTION("""COMPUTED_VALUE"""),"PC")</f>
        <v>PC</v>
      </c>
      <c r="I1610" s="80">
        <f ca="1">IFERROR(__xludf.DUMMYFUNCTION("""COMPUTED_VALUE"""),4)</f>
        <v>4</v>
      </c>
      <c r="J1610" s="81">
        <f ca="1">IFERROR(__xludf.DUMMYFUNCTION("""COMPUTED_VALUE"""),3)</f>
        <v>3</v>
      </c>
      <c r="K1610" s="81">
        <f ca="1">IFERROR(__xludf.DUMMYFUNCTION("""COMPUTED_VALUE"""),91.85)</f>
        <v>91.85</v>
      </c>
      <c r="L1610" s="81">
        <f ca="1">IFERROR(__xludf.DUMMYFUNCTION("""COMPUTED_VALUE"""),91.85)</f>
        <v>91.85</v>
      </c>
      <c r="M1610" s="81"/>
      <c r="N1610" s="81">
        <f ca="1">IFERROR(__xludf.DUMMYFUNCTION("""COMPUTED_VALUE"""),0)</f>
        <v>0</v>
      </c>
      <c r="O1610" s="81"/>
      <c r="P1610" s="81">
        <f ca="1">IFERROR(__xludf.DUMMYFUNCTION("""COMPUTED_VALUE"""),69.2)</f>
        <v>69.2</v>
      </c>
      <c r="Q1610" s="81"/>
      <c r="R1610" s="81">
        <f ca="1">IFERROR(__xludf.DUMMYFUNCTION("""COMPUTED_VALUE"""),0)</f>
        <v>0</v>
      </c>
      <c r="S1610" s="81"/>
      <c r="T1610" s="81"/>
      <c r="U1610" s="82"/>
      <c r="V1610" s="82"/>
      <c r="W1610" s="83"/>
      <c r="X1610" s="83"/>
      <c r="Y1610" s="83"/>
    </row>
    <row r="1611" spans="1:25" ht="13.8">
      <c r="A1611" s="78" t="str">
        <f ca="1">IFERROR(__xludf.DUMMYFUNCTION("""COMPUTED_VALUE"""),"PC")</f>
        <v>PC</v>
      </c>
      <c r="B1611" s="79" t="str">
        <f ca="1">IFERROR(__xludf.DUMMYFUNCTION("""COMPUTED_VALUE"""),"Megan Kennedy")</f>
        <v>Megan Kennedy</v>
      </c>
      <c r="C1611" s="78">
        <f ca="1">IFERROR(__xludf.DUMMYFUNCTION("""COMPUTED_VALUE"""),12)</f>
        <v>12</v>
      </c>
      <c r="D1611" s="78" t="str">
        <f ca="1">IFERROR(__xludf.DUMMYFUNCTION("""COMPUTED_VALUE"""),"G")</f>
        <v>G</v>
      </c>
      <c r="E1611" s="80" t="str">
        <f ca="1">IFERROR(__xludf.DUMMYFUNCTION("""COMPUTED_VALUE"""),"J")</f>
        <v>J</v>
      </c>
      <c r="F1611" s="80" t="str">
        <f ca="1">IFERROR(__xludf.DUMMYFUNCTION("""COMPUTED_VALUE"""),"I")</f>
        <v>I</v>
      </c>
      <c r="G1611" s="80">
        <f ca="1">IFERROR(__xludf.DUMMYFUNCTION("""COMPUTED_VALUE"""),3)</f>
        <v>3</v>
      </c>
      <c r="H1611" s="80" t="str">
        <f ca="1">IFERROR(__xludf.DUMMYFUNCTION("""COMPUTED_VALUE"""),"PC")</f>
        <v>PC</v>
      </c>
      <c r="I1611" s="80">
        <f ca="1">IFERROR(__xludf.DUMMYFUNCTION("""COMPUTED_VALUE"""),4)</f>
        <v>4</v>
      </c>
      <c r="J1611" s="81">
        <f ca="1">IFERROR(__xludf.DUMMYFUNCTION("""COMPUTED_VALUE"""),0)</f>
        <v>0</v>
      </c>
      <c r="K1611" s="81">
        <f ca="1">IFERROR(__xludf.DUMMYFUNCTION("""COMPUTED_VALUE"""),0)</f>
        <v>0</v>
      </c>
      <c r="L1611" s="81">
        <f ca="1">IFERROR(__xludf.DUMMYFUNCTION("""COMPUTED_VALUE"""),0)</f>
        <v>0</v>
      </c>
      <c r="M1611" s="81"/>
      <c r="N1611" s="81">
        <f ca="1">IFERROR(__xludf.DUMMYFUNCTION("""COMPUTED_VALUE"""),0)</f>
        <v>0</v>
      </c>
      <c r="O1611" s="81"/>
      <c r="P1611" s="81">
        <f ca="1">IFERROR(__xludf.DUMMYFUNCTION("""COMPUTED_VALUE"""),0)</f>
        <v>0</v>
      </c>
      <c r="Q1611" s="81"/>
      <c r="R1611" s="81">
        <f ca="1">IFERROR(__xludf.DUMMYFUNCTION("""COMPUTED_VALUE"""),0)</f>
        <v>0</v>
      </c>
      <c r="S1611" s="81"/>
      <c r="T1611" s="81"/>
      <c r="U1611" s="82"/>
      <c r="V1611" s="82"/>
      <c r="W1611" s="83"/>
      <c r="X1611" s="83"/>
      <c r="Y1611" s="83"/>
    </row>
    <row r="1612" spans="1:25" ht="13.8">
      <c r="A1612" s="78" t="str">
        <f ca="1">IFERROR(__xludf.DUMMYFUNCTION("""COMPUTED_VALUE"""),"PC")</f>
        <v>PC</v>
      </c>
      <c r="B1612" s="79" t="str">
        <f ca="1">IFERROR(__xludf.DUMMYFUNCTION("""COMPUTED_VALUE"""),"Milly Navarro")</f>
        <v>Milly Navarro</v>
      </c>
      <c r="C1612" s="78">
        <f ca="1">IFERROR(__xludf.DUMMYFUNCTION("""COMPUTED_VALUE"""),12)</f>
        <v>12</v>
      </c>
      <c r="D1612" s="78" t="str">
        <f ca="1">IFERROR(__xludf.DUMMYFUNCTION("""COMPUTED_VALUE"""),"G")</f>
        <v>G</v>
      </c>
      <c r="E1612" s="80" t="str">
        <f ca="1">IFERROR(__xludf.DUMMYFUNCTION("""COMPUTED_VALUE"""),"J")</f>
        <v>J</v>
      </c>
      <c r="F1612" s="80" t="str">
        <f ca="1">IFERROR(__xludf.DUMMYFUNCTION("""COMPUTED_VALUE"""),"I")</f>
        <v>I</v>
      </c>
      <c r="G1612" s="80">
        <f ca="1">IFERROR(__xludf.DUMMYFUNCTION("""COMPUTED_VALUE"""),3)</f>
        <v>3</v>
      </c>
      <c r="H1612" s="80" t="str">
        <f ca="1">IFERROR(__xludf.DUMMYFUNCTION("""COMPUTED_VALUE"""),"PC")</f>
        <v>PC</v>
      </c>
      <c r="I1612" s="80">
        <f ca="1">IFERROR(__xludf.DUMMYFUNCTION("""COMPUTED_VALUE"""),4)</f>
        <v>4</v>
      </c>
      <c r="J1612" s="81">
        <f ca="1">IFERROR(__xludf.DUMMYFUNCTION("""COMPUTED_VALUE"""),3)</f>
        <v>3</v>
      </c>
      <c r="K1612" s="81">
        <f ca="1">IFERROR(__xludf.DUMMYFUNCTION("""COMPUTED_VALUE"""),90.25)</f>
        <v>90.25</v>
      </c>
      <c r="L1612" s="81">
        <f ca="1">IFERROR(__xludf.DUMMYFUNCTION("""COMPUTED_VALUE"""),66.75)</f>
        <v>66.75</v>
      </c>
      <c r="M1612" s="81"/>
      <c r="N1612" s="81">
        <f ca="1">IFERROR(__xludf.DUMMYFUNCTION("""COMPUTED_VALUE"""),90.25)</f>
        <v>90.25</v>
      </c>
      <c r="O1612" s="81"/>
      <c r="P1612" s="81">
        <f ca="1">IFERROR(__xludf.DUMMYFUNCTION("""COMPUTED_VALUE"""),0)</f>
        <v>0</v>
      </c>
      <c r="Q1612" s="81"/>
      <c r="R1612" s="81">
        <f ca="1">IFERROR(__xludf.DUMMYFUNCTION("""COMPUTED_VALUE"""),0)</f>
        <v>0</v>
      </c>
      <c r="S1612" s="81"/>
      <c r="T1612" s="81"/>
      <c r="U1612" s="82"/>
      <c r="V1612" s="82"/>
      <c r="W1612" s="83"/>
      <c r="X1612" s="83"/>
      <c r="Y1612" s="83"/>
    </row>
    <row r="1613" spans="1:25" ht="13.8">
      <c r="A1613" s="78" t="str">
        <f ca="1">IFERROR(__xludf.DUMMYFUNCTION("""COMPUTED_VALUE"""),"PC")</f>
        <v>PC</v>
      </c>
      <c r="B1613" s="79" t="str">
        <f ca="1">IFERROR(__xludf.DUMMYFUNCTION("""COMPUTED_VALUE"""),"Natalie Rutland")</f>
        <v>Natalie Rutland</v>
      </c>
      <c r="C1613" s="78">
        <f ca="1">IFERROR(__xludf.DUMMYFUNCTION("""COMPUTED_VALUE"""),12)</f>
        <v>12</v>
      </c>
      <c r="D1613" s="78" t="str">
        <f ca="1">IFERROR(__xludf.DUMMYFUNCTION("""COMPUTED_VALUE"""),"G")</f>
        <v>G</v>
      </c>
      <c r="E1613" s="80" t="str">
        <f ca="1">IFERROR(__xludf.DUMMYFUNCTION("""COMPUTED_VALUE"""),"J")</f>
        <v>J</v>
      </c>
      <c r="F1613" s="80" t="str">
        <f ca="1">IFERROR(__xludf.DUMMYFUNCTION("""COMPUTED_VALUE"""),"I")</f>
        <v>I</v>
      </c>
      <c r="G1613" s="80">
        <f ca="1">IFERROR(__xludf.DUMMYFUNCTION("""COMPUTED_VALUE"""),3)</f>
        <v>3</v>
      </c>
      <c r="H1613" s="80" t="str">
        <f ca="1">IFERROR(__xludf.DUMMYFUNCTION("""COMPUTED_VALUE"""),"PC")</f>
        <v>PC</v>
      </c>
      <c r="I1613" s="80">
        <f ca="1">IFERROR(__xludf.DUMMYFUNCTION("""COMPUTED_VALUE"""),4)</f>
        <v>4</v>
      </c>
      <c r="J1613" s="81">
        <f ca="1">IFERROR(__xludf.DUMMYFUNCTION("""COMPUTED_VALUE"""),5)</f>
        <v>5</v>
      </c>
      <c r="K1613" s="81">
        <f ca="1">IFERROR(__xludf.DUMMYFUNCTION("""COMPUTED_VALUE"""),98.35)</f>
        <v>98.35</v>
      </c>
      <c r="L1613" s="81">
        <f ca="1">IFERROR(__xludf.DUMMYFUNCTION("""COMPUTED_VALUE"""),98.35)</f>
        <v>98.35</v>
      </c>
      <c r="M1613" s="81"/>
      <c r="N1613" s="81">
        <f ca="1">IFERROR(__xludf.DUMMYFUNCTION("""COMPUTED_VALUE"""),70.95)</f>
        <v>70.95</v>
      </c>
      <c r="O1613" s="81"/>
      <c r="P1613" s="81">
        <f ca="1">IFERROR(__xludf.DUMMYFUNCTION("""COMPUTED_VALUE"""),81.05)</f>
        <v>81.05</v>
      </c>
      <c r="Q1613" s="81"/>
      <c r="R1613" s="81">
        <f ca="1">IFERROR(__xludf.DUMMYFUNCTION("""COMPUTED_VALUE"""),97.65)</f>
        <v>97.65</v>
      </c>
      <c r="S1613" s="81"/>
      <c r="T1613" s="81"/>
      <c r="U1613" s="82"/>
      <c r="V1613" s="82"/>
      <c r="W1613" s="83"/>
      <c r="X1613" s="83"/>
      <c r="Y1613" s="83"/>
    </row>
    <row r="1614" spans="1:25" ht="13.8">
      <c r="A1614" s="78" t="str">
        <f ca="1">IFERROR(__xludf.DUMMYFUNCTION("""COMPUTED_VALUE"""),"PC")</f>
        <v>PC</v>
      </c>
      <c r="B1614" s="79" t="str">
        <f ca="1">IFERROR(__xludf.DUMMYFUNCTION("""COMPUTED_VALUE"""),"Gia Yappel")</f>
        <v>Gia Yappel</v>
      </c>
      <c r="C1614" s="78">
        <f ca="1">IFERROR(__xludf.DUMMYFUNCTION("""COMPUTED_VALUE"""),11)</f>
        <v>11</v>
      </c>
      <c r="D1614" s="78" t="str">
        <f ca="1">IFERROR(__xludf.DUMMYFUNCTION("""COMPUTED_VALUE"""),"G")</f>
        <v>G</v>
      </c>
      <c r="E1614" s="80" t="str">
        <f ca="1">IFERROR(__xludf.DUMMYFUNCTION("""COMPUTED_VALUE"""),"J")</f>
        <v>J</v>
      </c>
      <c r="F1614" s="80" t="str">
        <f ca="1">IFERROR(__xludf.DUMMYFUNCTION("""COMPUTED_VALUE"""),"I")</f>
        <v>I</v>
      </c>
      <c r="G1614" s="80">
        <f ca="1">IFERROR(__xludf.DUMMYFUNCTION("""COMPUTED_VALUE"""),3)</f>
        <v>3</v>
      </c>
      <c r="H1614" s="80" t="str">
        <f ca="1">IFERROR(__xludf.DUMMYFUNCTION("""COMPUTED_VALUE"""),"PC")</f>
        <v>PC</v>
      </c>
      <c r="I1614" s="80">
        <f ca="1">IFERROR(__xludf.DUMMYFUNCTION("""COMPUTED_VALUE"""),4)</f>
        <v>4</v>
      </c>
      <c r="J1614" s="81">
        <f ca="1">IFERROR(__xludf.DUMMYFUNCTION("""COMPUTED_VALUE"""),4)</f>
        <v>4</v>
      </c>
      <c r="K1614" s="81">
        <f ca="1">IFERROR(__xludf.DUMMYFUNCTION("""COMPUTED_VALUE"""),102.5)</f>
        <v>102.5</v>
      </c>
      <c r="L1614" s="81">
        <f ca="1">IFERROR(__xludf.DUMMYFUNCTION("""COMPUTED_VALUE"""),102.5)</f>
        <v>102.5</v>
      </c>
      <c r="M1614" s="81"/>
      <c r="N1614" s="81">
        <f ca="1">IFERROR(__xludf.DUMMYFUNCTION("""COMPUTED_VALUE"""),99.5)</f>
        <v>99.5</v>
      </c>
      <c r="O1614" s="81"/>
      <c r="P1614" s="81">
        <f ca="1">IFERROR(__xludf.DUMMYFUNCTION("""COMPUTED_VALUE"""),82.95)</f>
        <v>82.95</v>
      </c>
      <c r="Q1614" s="81"/>
      <c r="R1614" s="81">
        <f ca="1">IFERROR(__xludf.DUMMYFUNCTION("""COMPUTED_VALUE"""),0)</f>
        <v>0</v>
      </c>
      <c r="S1614" s="81"/>
      <c r="T1614" s="81"/>
      <c r="U1614" s="82"/>
      <c r="V1614" s="82"/>
      <c r="W1614" s="83"/>
      <c r="X1614" s="83"/>
      <c r="Y1614" s="83"/>
    </row>
    <row r="1615" spans="1:25" ht="13.8">
      <c r="A1615" s="78" t="str">
        <f ca="1">IFERROR(__xludf.DUMMYFUNCTION("""COMPUTED_VALUE"""),"PC")</f>
        <v>PC</v>
      </c>
      <c r="B1615" s="79" t="str">
        <f ca="1">IFERROR(__xludf.DUMMYFUNCTION("""COMPUTED_VALUE"""),"Akash Kaji")</f>
        <v>Akash Kaji</v>
      </c>
      <c r="C1615" s="78">
        <f ca="1">IFERROR(__xludf.DUMMYFUNCTION("""COMPUTED_VALUE"""),12)</f>
        <v>12</v>
      </c>
      <c r="D1615" s="78" t="str">
        <f ca="1">IFERROR(__xludf.DUMMYFUNCTION("""COMPUTED_VALUE"""),"B")</f>
        <v>B</v>
      </c>
      <c r="E1615" s="80" t="str">
        <f ca="1">IFERROR(__xludf.DUMMYFUNCTION("""COMPUTED_VALUE"""),"J")</f>
        <v>J</v>
      </c>
      <c r="F1615" s="80" t="str">
        <f ca="1">IFERROR(__xludf.DUMMYFUNCTION("""COMPUTED_VALUE"""),"I")</f>
        <v>I</v>
      </c>
      <c r="G1615" s="80">
        <f ca="1">IFERROR(__xludf.DUMMYFUNCTION("""COMPUTED_VALUE"""),3)</f>
        <v>3</v>
      </c>
      <c r="H1615" s="80" t="str">
        <f ca="1">IFERROR(__xludf.DUMMYFUNCTION("""COMPUTED_VALUE"""),"PC")</f>
        <v>PC</v>
      </c>
      <c r="I1615" s="80">
        <f ca="1">IFERROR(__xludf.DUMMYFUNCTION("""COMPUTED_VALUE"""),5)</f>
        <v>5</v>
      </c>
      <c r="J1615" s="81">
        <f ca="1">IFERROR(__xludf.DUMMYFUNCTION("""COMPUTED_VALUE"""),4)</f>
        <v>4</v>
      </c>
      <c r="K1615" s="81">
        <f ca="1">IFERROR(__xludf.DUMMYFUNCTION("""COMPUTED_VALUE"""),117.75)</f>
        <v>117.75</v>
      </c>
      <c r="L1615" s="81">
        <f ca="1">IFERROR(__xludf.DUMMYFUNCTION("""COMPUTED_VALUE"""),117.75)</f>
        <v>117.75</v>
      </c>
      <c r="M1615" s="81"/>
      <c r="N1615" s="81">
        <f ca="1">IFERROR(__xludf.DUMMYFUNCTION("""COMPUTED_VALUE"""),105.85)</f>
        <v>105.85</v>
      </c>
      <c r="O1615" s="81"/>
      <c r="P1615" s="81">
        <f ca="1">IFERROR(__xludf.DUMMYFUNCTION("""COMPUTED_VALUE"""),79.2)</f>
        <v>79.2</v>
      </c>
      <c r="Q1615" s="81"/>
      <c r="R1615" s="81">
        <f ca="1">IFERROR(__xludf.DUMMYFUNCTION("""COMPUTED_VALUE"""),110.45)</f>
        <v>110.45</v>
      </c>
      <c r="S1615" s="81"/>
      <c r="T1615" s="81"/>
      <c r="U1615" s="82"/>
      <c r="V1615" s="82"/>
      <c r="W1615" s="83"/>
      <c r="X1615" s="83"/>
      <c r="Y1615" s="83"/>
    </row>
    <row r="1616" spans="1:25" ht="13.8">
      <c r="A1616" s="78" t="str">
        <f ca="1">IFERROR(__xludf.DUMMYFUNCTION("""COMPUTED_VALUE"""),"PC")</f>
        <v>PC</v>
      </c>
      <c r="B1616" s="79" t="str">
        <f ca="1">IFERROR(__xludf.DUMMYFUNCTION("""COMPUTED_VALUE"""),"Connor Ryan")</f>
        <v>Connor Ryan</v>
      </c>
      <c r="C1616" s="78">
        <f ca="1">IFERROR(__xludf.DUMMYFUNCTION("""COMPUTED_VALUE"""),11)</f>
        <v>11</v>
      </c>
      <c r="D1616" s="78" t="str">
        <f ca="1">IFERROR(__xludf.DUMMYFUNCTION("""COMPUTED_VALUE"""),"B")</f>
        <v>B</v>
      </c>
      <c r="E1616" s="80" t="str">
        <f ca="1">IFERROR(__xludf.DUMMYFUNCTION("""COMPUTED_VALUE"""),"J")</f>
        <v>J</v>
      </c>
      <c r="F1616" s="80" t="str">
        <f ca="1">IFERROR(__xludf.DUMMYFUNCTION("""COMPUTED_VALUE"""),"I")</f>
        <v>I</v>
      </c>
      <c r="G1616" s="80">
        <f ca="1">IFERROR(__xludf.DUMMYFUNCTION("""COMPUTED_VALUE"""),3)</f>
        <v>3</v>
      </c>
      <c r="H1616" s="80" t="str">
        <f ca="1">IFERROR(__xludf.DUMMYFUNCTION("""COMPUTED_VALUE"""),"PC")</f>
        <v>PC</v>
      </c>
      <c r="I1616" s="80">
        <f ca="1">IFERROR(__xludf.DUMMYFUNCTION("""COMPUTED_VALUE"""),5)</f>
        <v>5</v>
      </c>
      <c r="J1616" s="81">
        <f ca="1">IFERROR(__xludf.DUMMYFUNCTION("""COMPUTED_VALUE"""),5)</f>
        <v>5</v>
      </c>
      <c r="K1616" s="81">
        <f ca="1">IFERROR(__xludf.DUMMYFUNCTION("""COMPUTED_VALUE"""),83.1)</f>
        <v>83.1</v>
      </c>
      <c r="L1616" s="81">
        <f ca="1">IFERROR(__xludf.DUMMYFUNCTION("""COMPUTED_VALUE"""),81.6)</f>
        <v>81.599999999999994</v>
      </c>
      <c r="M1616" s="81"/>
      <c r="N1616" s="81">
        <f ca="1">IFERROR(__xludf.DUMMYFUNCTION("""COMPUTED_VALUE"""),82.35)</f>
        <v>82.35</v>
      </c>
      <c r="O1616" s="81"/>
      <c r="P1616" s="81">
        <f ca="1">IFERROR(__xludf.DUMMYFUNCTION("""COMPUTED_VALUE"""),79.4)</f>
        <v>79.400000000000006</v>
      </c>
      <c r="Q1616" s="81"/>
      <c r="R1616" s="81">
        <f ca="1">IFERROR(__xludf.DUMMYFUNCTION("""COMPUTED_VALUE"""),83.1)</f>
        <v>83.1</v>
      </c>
      <c r="S1616" s="81"/>
      <c r="T1616" s="81"/>
      <c r="U1616" s="82"/>
      <c r="V1616" s="82"/>
      <c r="W1616" s="83"/>
      <c r="X1616" s="83"/>
      <c r="Y1616" s="83"/>
    </row>
    <row r="1617" spans="1:25" ht="13.8">
      <c r="A1617" s="78" t="str">
        <f ca="1">IFERROR(__xludf.DUMMYFUNCTION("""COMPUTED_VALUE"""),"PC")</f>
        <v>PC</v>
      </c>
      <c r="B1617" s="79" t="str">
        <f ca="1">IFERROR(__xludf.DUMMYFUNCTION("""COMPUTED_VALUE"""),"Hannah Burstein")</f>
        <v>Hannah Burstein</v>
      </c>
      <c r="C1617" s="78">
        <f ca="1">IFERROR(__xludf.DUMMYFUNCTION("""COMPUTED_VALUE"""),13)</f>
        <v>13</v>
      </c>
      <c r="D1617" s="78" t="str">
        <f ca="1">IFERROR(__xludf.DUMMYFUNCTION("""COMPUTED_VALUE"""),"G")</f>
        <v>G</v>
      </c>
      <c r="E1617" s="80" t="str">
        <f ca="1">IFERROR(__xludf.DUMMYFUNCTION("""COMPUTED_VALUE"""),"I")</f>
        <v>I</v>
      </c>
      <c r="F1617" s="80" t="str">
        <f ca="1">IFERROR(__xludf.DUMMYFUNCTION("""COMPUTED_VALUE"""),"S")</f>
        <v>S</v>
      </c>
      <c r="G1617" s="80">
        <f ca="1">IFERROR(__xludf.DUMMYFUNCTION("""COMPUTED_VALUE"""),3)</f>
        <v>3</v>
      </c>
      <c r="H1617" s="80" t="str">
        <f ca="1">IFERROR(__xludf.DUMMYFUNCTION("""COMPUTED_VALUE"""),"PC")</f>
        <v>PC</v>
      </c>
      <c r="I1617" s="80">
        <f ca="1">IFERROR(__xludf.DUMMYFUNCTION("""COMPUTED_VALUE"""),6)</f>
        <v>6</v>
      </c>
      <c r="J1617" s="81">
        <f ca="1">IFERROR(__xludf.DUMMYFUNCTION("""COMPUTED_VALUE"""),0)</f>
        <v>0</v>
      </c>
      <c r="K1617" s="81">
        <f ca="1">IFERROR(__xludf.DUMMYFUNCTION("""COMPUTED_VALUE"""),0)</f>
        <v>0</v>
      </c>
      <c r="L1617" s="81">
        <f ca="1">IFERROR(__xludf.DUMMYFUNCTION("""COMPUTED_VALUE"""),0)</f>
        <v>0</v>
      </c>
      <c r="M1617" s="81"/>
      <c r="N1617" s="81">
        <f ca="1">IFERROR(__xludf.DUMMYFUNCTION("""COMPUTED_VALUE"""),0)</f>
        <v>0</v>
      </c>
      <c r="O1617" s="81"/>
      <c r="P1617" s="81">
        <f ca="1">IFERROR(__xludf.DUMMYFUNCTION("""COMPUTED_VALUE"""),0)</f>
        <v>0</v>
      </c>
      <c r="Q1617" s="81"/>
      <c r="R1617" s="81">
        <f ca="1">IFERROR(__xludf.DUMMYFUNCTION("""COMPUTED_VALUE"""),0)</f>
        <v>0</v>
      </c>
      <c r="S1617" s="81"/>
      <c r="T1617" s="81"/>
      <c r="U1617" s="82"/>
      <c r="V1617" s="82"/>
      <c r="W1617" s="83"/>
      <c r="X1617" s="83"/>
      <c r="Y1617" s="83"/>
    </row>
    <row r="1618" spans="1:25" ht="13.8">
      <c r="A1618" s="78" t="str">
        <f ca="1">IFERROR(__xludf.DUMMYFUNCTION("""COMPUTED_VALUE"""),"PC")</f>
        <v>PC</v>
      </c>
      <c r="B1618" s="79" t="str">
        <f ca="1">IFERROR(__xludf.DUMMYFUNCTION("""COMPUTED_VALUE"""),"Isabella Cardona")</f>
        <v>Isabella Cardona</v>
      </c>
      <c r="C1618" s="78">
        <f ca="1">IFERROR(__xludf.DUMMYFUNCTION("""COMPUTED_VALUE"""),14)</f>
        <v>14</v>
      </c>
      <c r="D1618" s="78" t="str">
        <f ca="1">IFERROR(__xludf.DUMMYFUNCTION("""COMPUTED_VALUE"""),"G")</f>
        <v>G</v>
      </c>
      <c r="E1618" s="80" t="str">
        <f ca="1">IFERROR(__xludf.DUMMYFUNCTION("""COMPUTED_VALUE"""),"I")</f>
        <v>I</v>
      </c>
      <c r="F1618" s="80" t="str">
        <f ca="1">IFERROR(__xludf.DUMMYFUNCTION("""COMPUTED_VALUE"""),"S")</f>
        <v>S</v>
      </c>
      <c r="G1618" s="80">
        <f ca="1">IFERROR(__xludf.DUMMYFUNCTION("""COMPUTED_VALUE"""),3)</f>
        <v>3</v>
      </c>
      <c r="H1618" s="80" t="str">
        <f ca="1">IFERROR(__xludf.DUMMYFUNCTION("""COMPUTED_VALUE"""),"PC")</f>
        <v>PC</v>
      </c>
      <c r="I1618" s="80">
        <f ca="1">IFERROR(__xludf.DUMMYFUNCTION("""COMPUTED_VALUE"""),6)</f>
        <v>6</v>
      </c>
      <c r="J1618" s="81">
        <f ca="1">IFERROR(__xludf.DUMMYFUNCTION("""COMPUTED_VALUE"""),2)</f>
        <v>2</v>
      </c>
      <c r="K1618" s="81">
        <f ca="1">IFERROR(__xludf.DUMMYFUNCTION("""COMPUTED_VALUE"""),94.1)</f>
        <v>94.1</v>
      </c>
      <c r="L1618" s="81">
        <f ca="1">IFERROR(__xludf.DUMMYFUNCTION("""COMPUTED_VALUE"""),0)</f>
        <v>0</v>
      </c>
      <c r="M1618" s="81"/>
      <c r="N1618" s="81">
        <f ca="1">IFERROR(__xludf.DUMMYFUNCTION("""COMPUTED_VALUE"""),94.1)</f>
        <v>94.1</v>
      </c>
      <c r="O1618" s="81"/>
      <c r="P1618" s="81">
        <f ca="1">IFERROR(__xludf.DUMMYFUNCTION("""COMPUTED_VALUE"""),0)</f>
        <v>0</v>
      </c>
      <c r="Q1618" s="81"/>
      <c r="R1618" s="81">
        <f ca="1">IFERROR(__xludf.DUMMYFUNCTION("""COMPUTED_VALUE"""),0)</f>
        <v>0</v>
      </c>
      <c r="S1618" s="81"/>
      <c r="T1618" s="81"/>
      <c r="U1618" s="82"/>
      <c r="V1618" s="82"/>
      <c r="W1618" s="83"/>
      <c r="X1618" s="83"/>
      <c r="Y1618" s="83"/>
    </row>
    <row r="1619" spans="1:25" ht="13.8">
      <c r="A1619" s="78" t="str">
        <f ca="1">IFERROR(__xludf.DUMMYFUNCTION("""COMPUTED_VALUE"""),"PC")</f>
        <v>PC</v>
      </c>
      <c r="B1619" s="79" t="str">
        <f ca="1">IFERROR(__xludf.DUMMYFUNCTION("""COMPUTED_VALUE"""),"Lauren Guggenmos")</f>
        <v>Lauren Guggenmos</v>
      </c>
      <c r="C1619" s="78">
        <f ca="1">IFERROR(__xludf.DUMMYFUNCTION("""COMPUTED_VALUE"""),13)</f>
        <v>13</v>
      </c>
      <c r="D1619" s="78" t="str">
        <f ca="1">IFERROR(__xludf.DUMMYFUNCTION("""COMPUTED_VALUE"""),"G")</f>
        <v>G</v>
      </c>
      <c r="E1619" s="80" t="str">
        <f ca="1">IFERROR(__xludf.DUMMYFUNCTION("""COMPUTED_VALUE"""),"I")</f>
        <v>I</v>
      </c>
      <c r="F1619" s="80" t="str">
        <f ca="1">IFERROR(__xludf.DUMMYFUNCTION("""COMPUTED_VALUE"""),"S")</f>
        <v>S</v>
      </c>
      <c r="G1619" s="80">
        <f ca="1">IFERROR(__xludf.DUMMYFUNCTION("""COMPUTED_VALUE"""),3)</f>
        <v>3</v>
      </c>
      <c r="H1619" s="80" t="str">
        <f ca="1">IFERROR(__xludf.DUMMYFUNCTION("""COMPUTED_VALUE"""),"PC")</f>
        <v>PC</v>
      </c>
      <c r="I1619" s="80">
        <f ca="1">IFERROR(__xludf.DUMMYFUNCTION("""COMPUTED_VALUE"""),6)</f>
        <v>6</v>
      </c>
      <c r="J1619" s="81">
        <f ca="1">IFERROR(__xludf.DUMMYFUNCTION("""COMPUTED_VALUE"""),0)</f>
        <v>0</v>
      </c>
      <c r="K1619" s="81">
        <f ca="1">IFERROR(__xludf.DUMMYFUNCTION("""COMPUTED_VALUE"""),0)</f>
        <v>0</v>
      </c>
      <c r="L1619" s="81">
        <f ca="1">IFERROR(__xludf.DUMMYFUNCTION("""COMPUTED_VALUE"""),0)</f>
        <v>0</v>
      </c>
      <c r="M1619" s="81"/>
      <c r="N1619" s="81">
        <f ca="1">IFERROR(__xludf.DUMMYFUNCTION("""COMPUTED_VALUE"""),0)</f>
        <v>0</v>
      </c>
      <c r="O1619" s="81"/>
      <c r="P1619" s="81">
        <f ca="1">IFERROR(__xludf.DUMMYFUNCTION("""COMPUTED_VALUE"""),0)</f>
        <v>0</v>
      </c>
      <c r="Q1619" s="81"/>
      <c r="R1619" s="81">
        <f ca="1">IFERROR(__xludf.DUMMYFUNCTION("""COMPUTED_VALUE"""),0)</f>
        <v>0</v>
      </c>
      <c r="S1619" s="81"/>
      <c r="T1619" s="81"/>
      <c r="U1619" s="82"/>
      <c r="V1619" s="82"/>
      <c r="W1619" s="83"/>
      <c r="X1619" s="83"/>
      <c r="Y1619" s="83"/>
    </row>
    <row r="1620" spans="1:25" ht="13.8">
      <c r="A1620" s="78" t="str">
        <f ca="1">IFERROR(__xludf.DUMMYFUNCTION("""COMPUTED_VALUE"""),"PC")</f>
        <v>PC</v>
      </c>
      <c r="B1620" s="79" t="str">
        <f ca="1">IFERROR(__xludf.DUMMYFUNCTION("""COMPUTED_VALUE"""),"Graci Vlattas")</f>
        <v>Graci Vlattas</v>
      </c>
      <c r="C1620" s="78">
        <f ca="1">IFERROR(__xludf.DUMMYFUNCTION("""COMPUTED_VALUE"""),13)</f>
        <v>13</v>
      </c>
      <c r="D1620" s="78" t="str">
        <f ca="1">IFERROR(__xludf.DUMMYFUNCTION("""COMPUTED_VALUE"""),"G")</f>
        <v>G</v>
      </c>
      <c r="E1620" s="80" t="str">
        <f ca="1">IFERROR(__xludf.DUMMYFUNCTION("""COMPUTED_VALUE"""),"I")</f>
        <v>I</v>
      </c>
      <c r="F1620" s="80" t="str">
        <f ca="1">IFERROR(__xludf.DUMMYFUNCTION("""COMPUTED_VALUE"""),"S")</f>
        <v>S</v>
      </c>
      <c r="G1620" s="80">
        <f ca="1">IFERROR(__xludf.DUMMYFUNCTION("""COMPUTED_VALUE"""),3)</f>
        <v>3</v>
      </c>
      <c r="H1620" s="80" t="str">
        <f ca="1">IFERROR(__xludf.DUMMYFUNCTION("""COMPUTED_VALUE"""),"PC")</f>
        <v>PC</v>
      </c>
      <c r="I1620" s="80">
        <f ca="1">IFERROR(__xludf.DUMMYFUNCTION("""COMPUTED_VALUE"""),6)</f>
        <v>6</v>
      </c>
      <c r="J1620" s="81">
        <f ca="1">IFERROR(__xludf.DUMMYFUNCTION("""COMPUTED_VALUE"""),5)</f>
        <v>5</v>
      </c>
      <c r="K1620" s="81">
        <f ca="1">IFERROR(__xludf.DUMMYFUNCTION("""COMPUTED_VALUE"""),117.65)</f>
        <v>117.65</v>
      </c>
      <c r="L1620" s="81">
        <f ca="1">IFERROR(__xludf.DUMMYFUNCTION("""COMPUTED_VALUE"""),111.1)</f>
        <v>111.1</v>
      </c>
      <c r="M1620" s="81"/>
      <c r="N1620" s="81">
        <f ca="1">IFERROR(__xludf.DUMMYFUNCTION("""COMPUTED_VALUE"""),111.1)</f>
        <v>111.1</v>
      </c>
      <c r="O1620" s="81"/>
      <c r="P1620" s="81">
        <f ca="1">IFERROR(__xludf.DUMMYFUNCTION("""COMPUTED_VALUE"""),103.9)</f>
        <v>103.9</v>
      </c>
      <c r="Q1620" s="81"/>
      <c r="R1620" s="81">
        <f ca="1">IFERROR(__xludf.DUMMYFUNCTION("""COMPUTED_VALUE"""),117.65)</f>
        <v>117.65</v>
      </c>
      <c r="S1620" s="81"/>
      <c r="T1620" s="81"/>
      <c r="U1620" s="82"/>
      <c r="V1620" s="82"/>
      <c r="W1620" s="83"/>
      <c r="X1620" s="83"/>
      <c r="Y1620" s="83"/>
    </row>
    <row r="1621" spans="1:25" ht="13.8">
      <c r="A1621" s="78" t="str">
        <f ca="1">IFERROR(__xludf.DUMMYFUNCTION("""COMPUTED_VALUE"""),"PC")</f>
        <v>PC</v>
      </c>
      <c r="B1621" s="79" t="str">
        <f ca="1">IFERROR(__xludf.DUMMYFUNCTION("""COMPUTED_VALUE"""),"Colin Guggenmos")</f>
        <v>Colin Guggenmos</v>
      </c>
      <c r="C1621" s="78">
        <f ca="1">IFERROR(__xludf.DUMMYFUNCTION("""COMPUTED_VALUE"""),14)</f>
        <v>14</v>
      </c>
      <c r="D1621" s="78" t="str">
        <f ca="1">IFERROR(__xludf.DUMMYFUNCTION("""COMPUTED_VALUE"""),"B")</f>
        <v>B</v>
      </c>
      <c r="E1621" s="80" t="str">
        <f ca="1">IFERROR(__xludf.DUMMYFUNCTION("""COMPUTED_VALUE"""),"I")</f>
        <v>I</v>
      </c>
      <c r="F1621" s="80" t="str">
        <f ca="1">IFERROR(__xludf.DUMMYFUNCTION("""COMPUTED_VALUE"""),"S")</f>
        <v>S</v>
      </c>
      <c r="G1621" s="80">
        <f ca="1">IFERROR(__xludf.DUMMYFUNCTION("""COMPUTED_VALUE"""),3)</f>
        <v>3</v>
      </c>
      <c r="H1621" s="80" t="str">
        <f ca="1">IFERROR(__xludf.DUMMYFUNCTION("""COMPUTED_VALUE"""),"PC")</f>
        <v>PC</v>
      </c>
      <c r="I1621" s="80">
        <f ca="1">IFERROR(__xludf.DUMMYFUNCTION("""COMPUTED_VALUE"""),7)</f>
        <v>7</v>
      </c>
      <c r="J1621" s="81">
        <f ca="1">IFERROR(__xludf.DUMMYFUNCTION("""COMPUTED_VALUE"""),0)</f>
        <v>0</v>
      </c>
      <c r="K1621" s="81">
        <f ca="1">IFERROR(__xludf.DUMMYFUNCTION("""COMPUTED_VALUE"""),0)</f>
        <v>0</v>
      </c>
      <c r="L1621" s="81">
        <f ca="1">IFERROR(__xludf.DUMMYFUNCTION("""COMPUTED_VALUE"""),0)</f>
        <v>0</v>
      </c>
      <c r="M1621" s="81"/>
      <c r="N1621" s="81">
        <f ca="1">IFERROR(__xludf.DUMMYFUNCTION("""COMPUTED_VALUE"""),0)</f>
        <v>0</v>
      </c>
      <c r="O1621" s="81"/>
      <c r="P1621" s="81">
        <f ca="1">IFERROR(__xludf.DUMMYFUNCTION("""COMPUTED_VALUE"""),0)</f>
        <v>0</v>
      </c>
      <c r="Q1621" s="81"/>
      <c r="R1621" s="81">
        <f ca="1">IFERROR(__xludf.DUMMYFUNCTION("""COMPUTED_VALUE"""),0)</f>
        <v>0</v>
      </c>
      <c r="S1621" s="81"/>
      <c r="T1621" s="81"/>
      <c r="U1621" s="82"/>
      <c r="V1621" s="82"/>
      <c r="W1621" s="83"/>
      <c r="X1621" s="83"/>
      <c r="Y1621" s="83"/>
    </row>
    <row r="1622" spans="1:25" ht="13.8">
      <c r="A1622" s="78" t="str">
        <f ca="1">IFERROR(__xludf.DUMMYFUNCTION("""COMPUTED_VALUE"""),"PC")</f>
        <v>PC</v>
      </c>
      <c r="B1622" s="79" t="str">
        <f ca="1">IFERROR(__xludf.DUMMYFUNCTION("""COMPUTED_VALUE"""),"Jackson Ward")</f>
        <v>Jackson Ward</v>
      </c>
      <c r="C1622" s="78">
        <f ca="1">IFERROR(__xludf.DUMMYFUNCTION("""COMPUTED_VALUE"""),14)</f>
        <v>14</v>
      </c>
      <c r="D1622" s="78" t="str">
        <f ca="1">IFERROR(__xludf.DUMMYFUNCTION("""COMPUTED_VALUE"""),"B")</f>
        <v>B</v>
      </c>
      <c r="E1622" s="80" t="str">
        <f ca="1">IFERROR(__xludf.DUMMYFUNCTION("""COMPUTED_VALUE"""),"I")</f>
        <v>I</v>
      </c>
      <c r="F1622" s="80" t="str">
        <f ca="1">IFERROR(__xludf.DUMMYFUNCTION("""COMPUTED_VALUE"""),"S")</f>
        <v>S</v>
      </c>
      <c r="G1622" s="80">
        <f ca="1">IFERROR(__xludf.DUMMYFUNCTION("""COMPUTED_VALUE"""),3)</f>
        <v>3</v>
      </c>
      <c r="H1622" s="80" t="str">
        <f ca="1">IFERROR(__xludf.DUMMYFUNCTION("""COMPUTED_VALUE"""),"PC")</f>
        <v>PC</v>
      </c>
      <c r="I1622" s="80">
        <f ca="1">IFERROR(__xludf.DUMMYFUNCTION("""COMPUTED_VALUE"""),7)</f>
        <v>7</v>
      </c>
      <c r="J1622" s="81">
        <f ca="1">IFERROR(__xludf.DUMMYFUNCTION("""COMPUTED_VALUE"""),4)</f>
        <v>4</v>
      </c>
      <c r="K1622" s="81">
        <f ca="1">IFERROR(__xludf.DUMMYFUNCTION("""COMPUTED_VALUE"""),152.67)</f>
        <v>152.66999999999999</v>
      </c>
      <c r="L1622" s="81">
        <f ca="1">IFERROR(__xludf.DUMMYFUNCTION("""COMPUTED_VALUE"""),152.67)</f>
        <v>152.66999999999999</v>
      </c>
      <c r="M1622" s="81"/>
      <c r="N1622" s="81">
        <f ca="1">IFERROR(__xludf.DUMMYFUNCTION("""COMPUTED_VALUE"""),135.05)</f>
        <v>135.05000000000001</v>
      </c>
      <c r="O1622" s="81"/>
      <c r="P1622" s="81">
        <f ca="1">IFERROR(__xludf.DUMMYFUNCTION("""COMPUTED_VALUE"""),124)</f>
        <v>124</v>
      </c>
      <c r="Q1622" s="81"/>
      <c r="R1622" s="81">
        <f ca="1">IFERROR(__xludf.DUMMYFUNCTION("""COMPUTED_VALUE"""),0)</f>
        <v>0</v>
      </c>
      <c r="S1622" s="81"/>
      <c r="T1622" s="81"/>
      <c r="U1622" s="82"/>
      <c r="V1622" s="82"/>
      <c r="W1622" s="83"/>
      <c r="X1622" s="83"/>
      <c r="Y1622" s="83"/>
    </row>
    <row r="1623" spans="1:25" ht="13.8">
      <c r="A1623" s="78" t="str">
        <f ca="1">IFERROR(__xludf.DUMMYFUNCTION("""COMPUTED_VALUE"""),"PC")</f>
        <v>PC</v>
      </c>
      <c r="B1623" s="79" t="str">
        <f ca="1">IFERROR(__xludf.DUMMYFUNCTION("""COMPUTED_VALUE"""),"Ken White")</f>
        <v>Ken White</v>
      </c>
      <c r="C1623" s="78">
        <f ca="1">IFERROR(__xludf.DUMMYFUNCTION("""COMPUTED_VALUE"""),13)</f>
        <v>13</v>
      </c>
      <c r="D1623" s="78" t="str">
        <f ca="1">IFERROR(__xludf.DUMMYFUNCTION("""COMPUTED_VALUE"""),"B")</f>
        <v>B</v>
      </c>
      <c r="E1623" s="80" t="str">
        <f ca="1">IFERROR(__xludf.DUMMYFUNCTION("""COMPUTED_VALUE"""),"I")</f>
        <v>I</v>
      </c>
      <c r="F1623" s="80" t="str">
        <f ca="1">IFERROR(__xludf.DUMMYFUNCTION("""COMPUTED_VALUE"""),"S")</f>
        <v>S</v>
      </c>
      <c r="G1623" s="80">
        <f ca="1">IFERROR(__xludf.DUMMYFUNCTION("""COMPUTED_VALUE"""),3)</f>
        <v>3</v>
      </c>
      <c r="H1623" s="80" t="str">
        <f ca="1">IFERROR(__xludf.DUMMYFUNCTION("""COMPUTED_VALUE"""),"PC")</f>
        <v>PC</v>
      </c>
      <c r="I1623" s="80">
        <f ca="1">IFERROR(__xludf.DUMMYFUNCTION("""COMPUTED_VALUE"""),7)</f>
        <v>7</v>
      </c>
      <c r="J1623" s="81">
        <f ca="1">IFERROR(__xludf.DUMMYFUNCTION("""COMPUTED_VALUE"""),4)</f>
        <v>4</v>
      </c>
      <c r="K1623" s="81">
        <f ca="1">IFERROR(__xludf.DUMMYFUNCTION("""COMPUTED_VALUE"""),149.5)</f>
        <v>149.5</v>
      </c>
      <c r="L1623" s="81">
        <f ca="1">IFERROR(__xludf.DUMMYFUNCTION("""COMPUTED_VALUE"""),149.5)</f>
        <v>149.5</v>
      </c>
      <c r="M1623" s="81"/>
      <c r="N1623" s="81">
        <f ca="1">IFERROR(__xludf.DUMMYFUNCTION("""COMPUTED_VALUE"""),144.3)</f>
        <v>144.30000000000001</v>
      </c>
      <c r="O1623" s="81"/>
      <c r="P1623" s="81">
        <f ca="1">IFERROR(__xludf.DUMMYFUNCTION("""COMPUTED_VALUE"""),0)</f>
        <v>0</v>
      </c>
      <c r="Q1623" s="81"/>
      <c r="R1623" s="81">
        <f ca="1">IFERROR(__xludf.DUMMYFUNCTION("""COMPUTED_VALUE"""),136.55)</f>
        <v>136.55000000000001</v>
      </c>
      <c r="S1623" s="81"/>
      <c r="T1623" s="81"/>
      <c r="U1623" s="82"/>
      <c r="V1623" s="82"/>
      <c r="W1623" s="83"/>
      <c r="X1623" s="83"/>
      <c r="Y1623" s="83"/>
    </row>
    <row r="1624" spans="1:25" ht="13.8">
      <c r="A1624" s="78" t="str">
        <f ca="1">IFERROR(__xludf.DUMMYFUNCTION("""COMPUTED_VALUE"""),"PC")</f>
        <v>PC</v>
      </c>
      <c r="B1624" s="79" t="str">
        <f ca="1">IFERROR(__xludf.DUMMYFUNCTION("""COMPUTED_VALUE"""),"Abby Anderson")</f>
        <v>Abby Anderson</v>
      </c>
      <c r="C1624" s="78">
        <f ca="1">IFERROR(__xludf.DUMMYFUNCTION("""COMPUTED_VALUE"""),15)</f>
        <v>15</v>
      </c>
      <c r="D1624" s="78" t="str">
        <f ca="1">IFERROR(__xludf.DUMMYFUNCTION("""COMPUTED_VALUE"""),"G")</f>
        <v>G</v>
      </c>
      <c r="E1624" s="80" t="str">
        <f ca="1">IFERROR(__xludf.DUMMYFUNCTION("""COMPUTED_VALUE"""),"S")</f>
        <v>S</v>
      </c>
      <c r="F1624" s="80" t="str">
        <f ca="1">IFERROR(__xludf.DUMMYFUNCTION("""COMPUTED_VALUE"""),"S")</f>
        <v>S</v>
      </c>
      <c r="G1624" s="80">
        <f ca="1">IFERROR(__xludf.DUMMYFUNCTION("""COMPUTED_VALUE"""),3)</f>
        <v>3</v>
      </c>
      <c r="H1624" s="80" t="str">
        <f ca="1">IFERROR(__xludf.DUMMYFUNCTION("""COMPUTED_VALUE"""),"PC")</f>
        <v>PC</v>
      </c>
      <c r="I1624" s="80">
        <f ca="1">IFERROR(__xludf.DUMMYFUNCTION("""COMPUTED_VALUE"""),8)</f>
        <v>8</v>
      </c>
      <c r="J1624" s="81">
        <f ca="1">IFERROR(__xludf.DUMMYFUNCTION("""COMPUTED_VALUE"""),4)</f>
        <v>4</v>
      </c>
      <c r="K1624" s="81">
        <f ca="1">IFERROR(__xludf.DUMMYFUNCTION("""COMPUTED_VALUE"""),188.25)</f>
        <v>188.25</v>
      </c>
      <c r="L1624" s="81">
        <f ca="1">IFERROR(__xludf.DUMMYFUNCTION("""COMPUTED_VALUE"""),0)</f>
        <v>0</v>
      </c>
      <c r="M1624" s="81"/>
      <c r="N1624" s="81">
        <f ca="1">IFERROR(__xludf.DUMMYFUNCTION("""COMPUTED_VALUE"""),188.25)</f>
        <v>188.25</v>
      </c>
      <c r="O1624" s="81"/>
      <c r="P1624" s="81">
        <f ca="1">IFERROR(__xludf.DUMMYFUNCTION("""COMPUTED_VALUE"""),181.85)</f>
        <v>181.85</v>
      </c>
      <c r="Q1624" s="81"/>
      <c r="R1624" s="81">
        <f ca="1">IFERROR(__xludf.DUMMYFUNCTION("""COMPUTED_VALUE"""),181.85)</f>
        <v>181.85</v>
      </c>
      <c r="S1624" s="81"/>
      <c r="T1624" s="81"/>
      <c r="U1624" s="82"/>
      <c r="V1624" s="82"/>
      <c r="W1624" s="83"/>
      <c r="X1624" s="83"/>
      <c r="Y1624" s="83"/>
    </row>
    <row r="1625" spans="1:25" ht="13.8">
      <c r="A1625" s="78" t="str">
        <f ca="1">IFERROR(__xludf.DUMMYFUNCTION("""COMPUTED_VALUE"""),"PC")</f>
        <v>PC</v>
      </c>
      <c r="B1625" s="79" t="str">
        <f ca="1">IFERROR(__xludf.DUMMYFUNCTION("""COMPUTED_VALUE"""),"Kenzie Conner")</f>
        <v>Kenzie Conner</v>
      </c>
      <c r="C1625" s="78">
        <f ca="1">IFERROR(__xludf.DUMMYFUNCTION("""COMPUTED_VALUE"""),16)</f>
        <v>16</v>
      </c>
      <c r="D1625" s="78" t="str">
        <f ca="1">IFERROR(__xludf.DUMMYFUNCTION("""COMPUTED_VALUE"""),"G")</f>
        <v>G</v>
      </c>
      <c r="E1625" s="80" t="str">
        <f ca="1">IFERROR(__xludf.DUMMYFUNCTION("""COMPUTED_VALUE"""),"S")</f>
        <v>S</v>
      </c>
      <c r="F1625" s="80" t="str">
        <f ca="1">IFERROR(__xludf.DUMMYFUNCTION("""COMPUTED_VALUE"""),"S")</f>
        <v>S</v>
      </c>
      <c r="G1625" s="80">
        <f ca="1">IFERROR(__xludf.DUMMYFUNCTION("""COMPUTED_VALUE"""),3)</f>
        <v>3</v>
      </c>
      <c r="H1625" s="80" t="str">
        <f ca="1">IFERROR(__xludf.DUMMYFUNCTION("""COMPUTED_VALUE"""),"PC")</f>
        <v>PC</v>
      </c>
      <c r="I1625" s="80">
        <f ca="1">IFERROR(__xludf.DUMMYFUNCTION("""COMPUTED_VALUE"""),8)</f>
        <v>8</v>
      </c>
      <c r="J1625" s="81">
        <f ca="1">IFERROR(__xludf.DUMMYFUNCTION("""COMPUTED_VALUE"""),5)</f>
        <v>5</v>
      </c>
      <c r="K1625" s="81">
        <f ca="1">IFERROR(__xludf.DUMMYFUNCTION("""COMPUTED_VALUE"""),207.4)</f>
        <v>207.4</v>
      </c>
      <c r="L1625" s="81">
        <f ca="1">IFERROR(__xludf.DUMMYFUNCTION("""COMPUTED_VALUE"""),207.4)</f>
        <v>207.4</v>
      </c>
      <c r="M1625" s="81"/>
      <c r="N1625" s="81">
        <f ca="1">IFERROR(__xludf.DUMMYFUNCTION("""COMPUTED_VALUE"""),200.7)</f>
        <v>200.7</v>
      </c>
      <c r="O1625" s="81"/>
      <c r="P1625" s="81">
        <f ca="1">IFERROR(__xludf.DUMMYFUNCTION("""COMPUTED_VALUE"""),179.35)</f>
        <v>179.35</v>
      </c>
      <c r="Q1625" s="81"/>
      <c r="R1625" s="81">
        <f ca="1">IFERROR(__xludf.DUMMYFUNCTION("""COMPUTED_VALUE"""),187.55)</f>
        <v>187.55</v>
      </c>
      <c r="S1625" s="81"/>
      <c r="T1625" s="81"/>
      <c r="U1625" s="82"/>
      <c r="V1625" s="82"/>
      <c r="W1625" s="83"/>
      <c r="X1625" s="83"/>
      <c r="Y1625" s="83"/>
    </row>
    <row r="1626" spans="1:25" ht="13.8">
      <c r="A1626" s="78" t="str">
        <f ca="1">IFERROR(__xludf.DUMMYFUNCTION("""COMPUTED_VALUE"""),"PC")</f>
        <v>PC</v>
      </c>
      <c r="B1626" s="79" t="str">
        <f ca="1">IFERROR(__xludf.DUMMYFUNCTION("""COMPUTED_VALUE"""),"Cole Casey")</f>
        <v>Cole Casey</v>
      </c>
      <c r="C1626" s="78">
        <f ca="1">IFERROR(__xludf.DUMMYFUNCTION("""COMPUTED_VALUE"""),15)</f>
        <v>15</v>
      </c>
      <c r="D1626" s="78" t="str">
        <f ca="1">IFERROR(__xludf.DUMMYFUNCTION("""COMPUTED_VALUE"""),"B")</f>
        <v>B</v>
      </c>
      <c r="E1626" s="80" t="str">
        <f ca="1">IFERROR(__xludf.DUMMYFUNCTION("""COMPUTED_VALUE"""),"S")</f>
        <v>S</v>
      </c>
      <c r="F1626" s="80" t="str">
        <f ca="1">IFERROR(__xludf.DUMMYFUNCTION("""COMPUTED_VALUE"""),"S")</f>
        <v>S</v>
      </c>
      <c r="G1626" s="80">
        <f ca="1">IFERROR(__xludf.DUMMYFUNCTION("""COMPUTED_VALUE"""),3)</f>
        <v>3</v>
      </c>
      <c r="H1626" s="80" t="str">
        <f ca="1">IFERROR(__xludf.DUMMYFUNCTION("""COMPUTED_VALUE"""),"PC")</f>
        <v>PC</v>
      </c>
      <c r="I1626" s="80">
        <f ca="1">IFERROR(__xludf.DUMMYFUNCTION("""COMPUTED_VALUE"""),9)</f>
        <v>9</v>
      </c>
      <c r="J1626" s="81">
        <f ca="1">IFERROR(__xludf.DUMMYFUNCTION("""COMPUTED_VALUE"""),0)</f>
        <v>0</v>
      </c>
      <c r="K1626" s="81">
        <f ca="1">IFERROR(__xludf.DUMMYFUNCTION("""COMPUTED_VALUE"""),0)</f>
        <v>0</v>
      </c>
      <c r="L1626" s="81">
        <f ca="1">IFERROR(__xludf.DUMMYFUNCTION("""COMPUTED_VALUE"""),0)</f>
        <v>0</v>
      </c>
      <c r="M1626" s="81"/>
      <c r="N1626" s="81">
        <f ca="1">IFERROR(__xludf.DUMMYFUNCTION("""COMPUTED_VALUE"""),0)</f>
        <v>0</v>
      </c>
      <c r="O1626" s="81"/>
      <c r="P1626" s="81">
        <f ca="1">IFERROR(__xludf.DUMMYFUNCTION("""COMPUTED_VALUE"""),0)</f>
        <v>0</v>
      </c>
      <c r="Q1626" s="81"/>
      <c r="R1626" s="81">
        <f ca="1">IFERROR(__xludf.DUMMYFUNCTION("""COMPUTED_VALUE"""),0)</f>
        <v>0</v>
      </c>
      <c r="S1626" s="81"/>
      <c r="T1626" s="81"/>
      <c r="U1626" s="82"/>
      <c r="V1626" s="82"/>
      <c r="W1626" s="83"/>
      <c r="X1626" s="83"/>
      <c r="Y1626" s="83"/>
    </row>
    <row r="1627" spans="1:25" ht="13.8">
      <c r="A1627" s="78" t="str">
        <f ca="1">IFERROR(__xludf.DUMMYFUNCTION("""COMPUTED_VALUE"""),"PC")</f>
        <v>PC</v>
      </c>
      <c r="B1627" s="79" t="str">
        <f ca="1">IFERROR(__xludf.DUMMYFUNCTION("""COMPUTED_VALUE"""),"Vangeli Hadjimichael")</f>
        <v>Vangeli Hadjimichael</v>
      </c>
      <c r="C1627" s="78">
        <f ca="1">IFERROR(__xludf.DUMMYFUNCTION("""COMPUTED_VALUE"""),17)</f>
        <v>17</v>
      </c>
      <c r="D1627" s="78" t="str">
        <f ca="1">IFERROR(__xludf.DUMMYFUNCTION("""COMPUTED_VALUE"""),"B")</f>
        <v>B</v>
      </c>
      <c r="E1627" s="80" t="str">
        <f ca="1">IFERROR(__xludf.DUMMYFUNCTION("""COMPUTED_VALUE"""),"S")</f>
        <v>S</v>
      </c>
      <c r="F1627" s="80" t="str">
        <f ca="1">IFERROR(__xludf.DUMMYFUNCTION("""COMPUTED_VALUE"""),"S")</f>
        <v>S</v>
      </c>
      <c r="G1627" s="80">
        <f ca="1">IFERROR(__xludf.DUMMYFUNCTION("""COMPUTED_VALUE"""),3)</f>
        <v>3</v>
      </c>
      <c r="H1627" s="80" t="str">
        <f ca="1">IFERROR(__xludf.DUMMYFUNCTION("""COMPUTED_VALUE"""),"PC")</f>
        <v>PC</v>
      </c>
      <c r="I1627" s="80">
        <f ca="1">IFERROR(__xludf.DUMMYFUNCTION("""COMPUTED_VALUE"""),9)</f>
        <v>9</v>
      </c>
      <c r="J1627" s="81">
        <f ca="1">IFERROR(__xludf.DUMMYFUNCTION("""COMPUTED_VALUE"""),3)</f>
        <v>3</v>
      </c>
      <c r="K1627" s="81">
        <f ca="1">IFERROR(__xludf.DUMMYFUNCTION("""COMPUTED_VALUE"""),202.25)</f>
        <v>202.25</v>
      </c>
      <c r="L1627" s="81">
        <f ca="1">IFERROR(__xludf.DUMMYFUNCTION("""COMPUTED_VALUE"""),199.65)</f>
        <v>199.65</v>
      </c>
      <c r="M1627" s="81"/>
      <c r="N1627" s="81">
        <f ca="1">IFERROR(__xludf.DUMMYFUNCTION("""COMPUTED_VALUE"""),202.25)</f>
        <v>202.25</v>
      </c>
      <c r="O1627" s="81"/>
      <c r="P1627" s="81">
        <f ca="1">IFERROR(__xludf.DUMMYFUNCTION("""COMPUTED_VALUE"""),167.5)</f>
        <v>167.5</v>
      </c>
      <c r="Q1627" s="81"/>
      <c r="R1627" s="81">
        <f ca="1">IFERROR(__xludf.DUMMYFUNCTION("""COMPUTED_VALUE"""),0)</f>
        <v>0</v>
      </c>
      <c r="S1627" s="81"/>
      <c r="T1627" s="81"/>
      <c r="U1627" s="82"/>
      <c r="V1627" s="82"/>
      <c r="W1627" s="83"/>
      <c r="X1627" s="83"/>
      <c r="Y1627" s="83"/>
    </row>
    <row r="1628" spans="1:25" ht="13.8">
      <c r="A1628" s="78" t="str">
        <f ca="1">IFERROR(__xludf.DUMMYFUNCTION("""COMPUTED_VALUE"""),"PL")</f>
        <v>PL</v>
      </c>
      <c r="B1628" s="79" t="str">
        <f ca="1">IFERROR(__xludf.DUMMYFUNCTION("""COMPUTED_VALUE"""),"Ella Aberra")</f>
        <v>Ella Aberra</v>
      </c>
      <c r="C1628" s="78">
        <f ca="1">IFERROR(__xludf.DUMMYFUNCTION("""COMPUTED_VALUE"""),9)</f>
        <v>9</v>
      </c>
      <c r="D1628" s="78" t="str">
        <f ca="1">IFERROR(__xludf.DUMMYFUNCTION("""COMPUTED_VALUE"""),"G")</f>
        <v>G</v>
      </c>
      <c r="E1628" s="80" t="str">
        <f ca="1">IFERROR(__xludf.DUMMYFUNCTION("""COMPUTED_VALUE"""),"F")</f>
        <v>F</v>
      </c>
      <c r="F1628" s="80" t="str">
        <f ca="1">IFERROR(__xludf.DUMMYFUNCTION("""COMPUTED_VALUE"""),"J")</f>
        <v>J</v>
      </c>
      <c r="G1628" s="80">
        <f ca="1">IFERROR(__xludf.DUMMYFUNCTION("""COMPUTED_VALUE"""),8)</f>
        <v>8</v>
      </c>
      <c r="H1628" s="80" t="str">
        <f ca="1">IFERROR(__xludf.DUMMYFUNCTION("""COMPUTED_VALUE"""),"PL")</f>
        <v>PL</v>
      </c>
      <c r="I1628" s="80">
        <f ca="1">IFERROR(__xludf.DUMMYFUNCTION("""COMPUTED_VALUE"""),2)</f>
        <v>2</v>
      </c>
      <c r="J1628" s="81">
        <f ca="1">IFERROR(__xludf.DUMMYFUNCTION("""COMPUTED_VALUE"""),2)</f>
        <v>2</v>
      </c>
      <c r="K1628" s="81">
        <f ca="1">IFERROR(__xludf.DUMMYFUNCTION("""COMPUTED_VALUE"""),34.05)</f>
        <v>34.049999999999997</v>
      </c>
      <c r="L1628" s="81">
        <f ca="1">IFERROR(__xludf.DUMMYFUNCTION("""COMPUTED_VALUE"""),0)</f>
        <v>0</v>
      </c>
      <c r="M1628" s="81"/>
      <c r="N1628" s="81">
        <f ca="1">IFERROR(__xludf.DUMMYFUNCTION("""COMPUTED_VALUE"""),0)</f>
        <v>0</v>
      </c>
      <c r="O1628" s="81"/>
      <c r="P1628" s="81">
        <f ca="1">IFERROR(__xludf.DUMMYFUNCTION("""COMPUTED_VALUE"""),34.05)</f>
        <v>34.049999999999997</v>
      </c>
      <c r="Q1628" s="81"/>
      <c r="R1628" s="81">
        <f ca="1">IFERROR(__xludf.DUMMYFUNCTION("""COMPUTED_VALUE"""),0)</f>
        <v>0</v>
      </c>
      <c r="S1628" s="81"/>
      <c r="T1628" s="81"/>
      <c r="U1628" s="82"/>
      <c r="V1628" s="82"/>
      <c r="W1628" s="83"/>
      <c r="X1628" s="83"/>
      <c r="Y1628" s="83"/>
    </row>
    <row r="1629" spans="1:25" ht="13.8">
      <c r="A1629" s="78" t="str">
        <f ca="1">IFERROR(__xludf.DUMMYFUNCTION("""COMPUTED_VALUE"""),"PL")</f>
        <v>PL</v>
      </c>
      <c r="B1629" s="79" t="str">
        <f ca="1">IFERROR(__xludf.DUMMYFUNCTION("""COMPUTED_VALUE"""),"Jessica Buitrago")</f>
        <v>Jessica Buitrago</v>
      </c>
      <c r="C1629" s="78">
        <f ca="1">IFERROR(__xludf.DUMMYFUNCTION("""COMPUTED_VALUE"""),10)</f>
        <v>10</v>
      </c>
      <c r="D1629" s="78" t="str">
        <f ca="1">IFERROR(__xludf.DUMMYFUNCTION("""COMPUTED_VALUE"""),"G")</f>
        <v>G</v>
      </c>
      <c r="E1629" s="80" t="str">
        <f ca="1">IFERROR(__xludf.DUMMYFUNCTION("""COMPUTED_VALUE"""),"F")</f>
        <v>F</v>
      </c>
      <c r="F1629" s="80" t="str">
        <f ca="1">IFERROR(__xludf.DUMMYFUNCTION("""COMPUTED_VALUE"""),"J")</f>
        <v>J</v>
      </c>
      <c r="G1629" s="80">
        <f ca="1">IFERROR(__xludf.DUMMYFUNCTION("""COMPUTED_VALUE"""),8)</f>
        <v>8</v>
      </c>
      <c r="H1629" s="80" t="str">
        <f ca="1">IFERROR(__xludf.DUMMYFUNCTION("""COMPUTED_VALUE"""),"PL")</f>
        <v>PL</v>
      </c>
      <c r="I1629" s="80">
        <f ca="1">IFERROR(__xludf.DUMMYFUNCTION("""COMPUTED_VALUE"""),2)</f>
        <v>2</v>
      </c>
      <c r="J1629" s="81">
        <f ca="1">IFERROR(__xludf.DUMMYFUNCTION("""COMPUTED_VALUE"""),4)</f>
        <v>4</v>
      </c>
      <c r="K1629" s="81">
        <f ca="1">IFERROR(__xludf.DUMMYFUNCTION("""COMPUTED_VALUE"""),69.95)</f>
        <v>69.95</v>
      </c>
      <c r="L1629" s="81">
        <f ca="1">IFERROR(__xludf.DUMMYFUNCTION("""COMPUTED_VALUE"""),38.8)</f>
        <v>38.799999999999997</v>
      </c>
      <c r="M1629" s="81"/>
      <c r="N1629" s="81">
        <f ca="1">IFERROR(__xludf.DUMMYFUNCTION("""COMPUTED_VALUE"""),60.7)</f>
        <v>60.7</v>
      </c>
      <c r="O1629" s="81"/>
      <c r="P1629" s="81">
        <f ca="1">IFERROR(__xludf.DUMMYFUNCTION("""COMPUTED_VALUE"""),0)</f>
        <v>0</v>
      </c>
      <c r="Q1629" s="81"/>
      <c r="R1629" s="81">
        <f ca="1">IFERROR(__xludf.DUMMYFUNCTION("""COMPUTED_VALUE"""),69.95)</f>
        <v>69.95</v>
      </c>
      <c r="S1629" s="81"/>
      <c r="T1629" s="81"/>
      <c r="U1629" s="82"/>
      <c r="V1629" s="82"/>
      <c r="W1629" s="83"/>
      <c r="X1629" s="83"/>
      <c r="Y1629" s="83"/>
    </row>
    <row r="1630" spans="1:25" ht="13.8">
      <c r="A1630" s="78" t="str">
        <f ca="1">IFERROR(__xludf.DUMMYFUNCTION("""COMPUTED_VALUE"""),"PL")</f>
        <v>PL</v>
      </c>
      <c r="B1630" s="79" t="str">
        <f ca="1">IFERROR(__xludf.DUMMYFUNCTION("""COMPUTED_VALUE"""),"Charlotte Hill")</f>
        <v>Charlotte Hill</v>
      </c>
      <c r="C1630" s="78">
        <f ca="1">IFERROR(__xludf.DUMMYFUNCTION("""COMPUTED_VALUE"""),9)</f>
        <v>9</v>
      </c>
      <c r="D1630" s="78" t="str">
        <f ca="1">IFERROR(__xludf.DUMMYFUNCTION("""COMPUTED_VALUE"""),"G")</f>
        <v>G</v>
      </c>
      <c r="E1630" s="80" t="str">
        <f ca="1">IFERROR(__xludf.DUMMYFUNCTION("""COMPUTED_VALUE"""),"F")</f>
        <v>F</v>
      </c>
      <c r="F1630" s="80" t="str">
        <f ca="1">IFERROR(__xludf.DUMMYFUNCTION("""COMPUTED_VALUE"""),"J")</f>
        <v>J</v>
      </c>
      <c r="G1630" s="80">
        <f ca="1">IFERROR(__xludf.DUMMYFUNCTION("""COMPUTED_VALUE"""),8)</f>
        <v>8</v>
      </c>
      <c r="H1630" s="80" t="str">
        <f ca="1">IFERROR(__xludf.DUMMYFUNCTION("""COMPUTED_VALUE"""),"PL")</f>
        <v>PL</v>
      </c>
      <c r="I1630" s="80">
        <f ca="1">IFERROR(__xludf.DUMMYFUNCTION("""COMPUTED_VALUE"""),2)</f>
        <v>2</v>
      </c>
      <c r="J1630" s="81">
        <f ca="1">IFERROR(__xludf.DUMMYFUNCTION("""COMPUTED_VALUE"""),4)</f>
        <v>4</v>
      </c>
      <c r="K1630" s="81">
        <f ca="1">IFERROR(__xludf.DUMMYFUNCTION("""COMPUTED_VALUE"""),79.3)</f>
        <v>79.3</v>
      </c>
      <c r="L1630" s="81">
        <f ca="1">IFERROR(__xludf.DUMMYFUNCTION("""COMPUTED_VALUE"""),0)</f>
        <v>0</v>
      </c>
      <c r="M1630" s="81"/>
      <c r="N1630" s="81">
        <f ca="1">IFERROR(__xludf.DUMMYFUNCTION("""COMPUTED_VALUE"""),79.3)</f>
        <v>79.3</v>
      </c>
      <c r="O1630" s="81"/>
      <c r="P1630" s="81">
        <f ca="1">IFERROR(__xludf.DUMMYFUNCTION("""COMPUTED_VALUE"""),78.9)</f>
        <v>78.900000000000006</v>
      </c>
      <c r="Q1630" s="81"/>
      <c r="R1630" s="81">
        <f ca="1">IFERROR(__xludf.DUMMYFUNCTION("""COMPUTED_VALUE"""),-114.2)</f>
        <v>-114.2</v>
      </c>
      <c r="S1630" s="81"/>
      <c r="T1630" s="81"/>
      <c r="U1630" s="82"/>
      <c r="V1630" s="82"/>
      <c r="W1630" s="83"/>
      <c r="X1630" s="83"/>
      <c r="Y1630" s="83"/>
    </row>
    <row r="1631" spans="1:25" ht="13.8">
      <c r="A1631" s="78" t="str">
        <f ca="1">IFERROR(__xludf.DUMMYFUNCTION("""COMPUTED_VALUE"""),"PL")</f>
        <v>PL</v>
      </c>
      <c r="B1631" s="79" t="str">
        <f ca="1">IFERROR(__xludf.DUMMYFUNCTION("""COMPUTED_VALUE"""),"Alexandra Lee")</f>
        <v>Alexandra Lee</v>
      </c>
      <c r="C1631" s="78">
        <f ca="1">IFERROR(__xludf.DUMMYFUNCTION("""COMPUTED_VALUE"""),10)</f>
        <v>10</v>
      </c>
      <c r="D1631" s="78" t="str">
        <f ca="1">IFERROR(__xludf.DUMMYFUNCTION("""COMPUTED_VALUE"""),"G")</f>
        <v>G</v>
      </c>
      <c r="E1631" s="80" t="str">
        <f ca="1">IFERROR(__xludf.DUMMYFUNCTION("""COMPUTED_VALUE"""),"F")</f>
        <v>F</v>
      </c>
      <c r="F1631" s="80" t="str">
        <f ca="1">IFERROR(__xludf.DUMMYFUNCTION("""COMPUTED_VALUE"""),"J")</f>
        <v>J</v>
      </c>
      <c r="G1631" s="80">
        <f ca="1">IFERROR(__xludf.DUMMYFUNCTION("""COMPUTED_VALUE"""),8)</f>
        <v>8</v>
      </c>
      <c r="H1631" s="80" t="str">
        <f ca="1">IFERROR(__xludf.DUMMYFUNCTION("""COMPUTED_VALUE"""),"PL")</f>
        <v>PL</v>
      </c>
      <c r="I1631" s="80">
        <f ca="1">IFERROR(__xludf.DUMMYFUNCTION("""COMPUTED_VALUE"""),2)</f>
        <v>2</v>
      </c>
      <c r="J1631" s="81">
        <f ca="1">IFERROR(__xludf.DUMMYFUNCTION("""COMPUTED_VALUE"""),4)</f>
        <v>4</v>
      </c>
      <c r="K1631" s="81">
        <f ca="1">IFERROR(__xludf.DUMMYFUNCTION("""COMPUTED_VALUE"""),78.15)</f>
        <v>78.150000000000006</v>
      </c>
      <c r="L1631" s="81">
        <f ca="1">IFERROR(__xludf.DUMMYFUNCTION("""COMPUTED_VALUE"""),73.7)</f>
        <v>73.7</v>
      </c>
      <c r="M1631" s="81"/>
      <c r="N1631" s="81">
        <f ca="1">IFERROR(__xludf.DUMMYFUNCTION("""COMPUTED_VALUE"""),76.9)</f>
        <v>76.900000000000006</v>
      </c>
      <c r="O1631" s="81"/>
      <c r="P1631" s="81">
        <f ca="1">IFERROR(__xludf.DUMMYFUNCTION("""COMPUTED_VALUE"""),0)</f>
        <v>0</v>
      </c>
      <c r="Q1631" s="81"/>
      <c r="R1631" s="81">
        <f ca="1">IFERROR(__xludf.DUMMYFUNCTION("""COMPUTED_VALUE"""),78.15)</f>
        <v>78.150000000000006</v>
      </c>
      <c r="S1631" s="81"/>
      <c r="T1631" s="81"/>
      <c r="U1631" s="82"/>
      <c r="V1631" s="82"/>
      <c r="W1631" s="83"/>
      <c r="X1631" s="83"/>
      <c r="Y1631" s="83"/>
    </row>
    <row r="1632" spans="1:25" ht="13.8">
      <c r="A1632" s="78" t="str">
        <f ca="1">IFERROR(__xludf.DUMMYFUNCTION("""COMPUTED_VALUE"""),"PL")</f>
        <v>PL</v>
      </c>
      <c r="B1632" s="79" t="str">
        <f ca="1">IFERROR(__xludf.DUMMYFUNCTION("""COMPUTED_VALUE"""),"Lucy Oliphant")</f>
        <v>Lucy Oliphant</v>
      </c>
      <c r="C1632" s="78">
        <f ca="1">IFERROR(__xludf.DUMMYFUNCTION("""COMPUTED_VALUE"""),10)</f>
        <v>10</v>
      </c>
      <c r="D1632" s="78" t="str">
        <f ca="1">IFERROR(__xludf.DUMMYFUNCTION("""COMPUTED_VALUE"""),"G")</f>
        <v>G</v>
      </c>
      <c r="E1632" s="80" t="str">
        <f ca="1">IFERROR(__xludf.DUMMYFUNCTION("""COMPUTED_VALUE"""),"F")</f>
        <v>F</v>
      </c>
      <c r="F1632" s="80" t="str">
        <f ca="1">IFERROR(__xludf.DUMMYFUNCTION("""COMPUTED_VALUE"""),"J")</f>
        <v>J</v>
      </c>
      <c r="G1632" s="80">
        <f ca="1">IFERROR(__xludf.DUMMYFUNCTION("""COMPUTED_VALUE"""),8)</f>
        <v>8</v>
      </c>
      <c r="H1632" s="80" t="str">
        <f ca="1">IFERROR(__xludf.DUMMYFUNCTION("""COMPUTED_VALUE"""),"PL")</f>
        <v>PL</v>
      </c>
      <c r="I1632" s="80">
        <f ca="1">IFERROR(__xludf.DUMMYFUNCTION("""COMPUTED_VALUE"""),2)</f>
        <v>2</v>
      </c>
      <c r="J1632" s="81">
        <f ca="1">IFERROR(__xludf.DUMMYFUNCTION("""COMPUTED_VALUE"""),4)</f>
        <v>4</v>
      </c>
      <c r="K1632" s="81">
        <f ca="1">IFERROR(__xludf.DUMMYFUNCTION("""COMPUTED_VALUE"""),71.75)</f>
        <v>71.75</v>
      </c>
      <c r="L1632" s="81">
        <f ca="1">IFERROR(__xludf.DUMMYFUNCTION("""COMPUTED_VALUE"""),33.2)</f>
        <v>33.200000000000003</v>
      </c>
      <c r="M1632" s="81"/>
      <c r="N1632" s="81">
        <f ca="1">IFERROR(__xludf.DUMMYFUNCTION("""COMPUTED_VALUE"""),42.5)</f>
        <v>42.5</v>
      </c>
      <c r="O1632" s="81"/>
      <c r="P1632" s="81">
        <f ca="1">IFERROR(__xludf.DUMMYFUNCTION("""COMPUTED_VALUE"""),0)</f>
        <v>0</v>
      </c>
      <c r="Q1632" s="81"/>
      <c r="R1632" s="81">
        <f ca="1">IFERROR(__xludf.DUMMYFUNCTION("""COMPUTED_VALUE"""),71.75)</f>
        <v>71.75</v>
      </c>
      <c r="S1632" s="81"/>
      <c r="T1632" s="81"/>
      <c r="U1632" s="82"/>
      <c r="V1632" s="82"/>
      <c r="W1632" s="83"/>
      <c r="X1632" s="83"/>
      <c r="Y1632" s="83"/>
    </row>
    <row r="1633" spans="1:25" ht="13.8">
      <c r="A1633" s="78" t="str">
        <f ca="1">IFERROR(__xludf.DUMMYFUNCTION("""COMPUTED_VALUE"""),"PL")</f>
        <v>PL</v>
      </c>
      <c r="B1633" s="79" t="str">
        <f ca="1">IFERROR(__xludf.DUMMYFUNCTION("""COMPUTED_VALUE"""),"Greta Ploetz")</f>
        <v>Greta Ploetz</v>
      </c>
      <c r="C1633" s="78">
        <f ca="1">IFERROR(__xludf.DUMMYFUNCTION("""COMPUTED_VALUE"""),10)</f>
        <v>10</v>
      </c>
      <c r="D1633" s="78" t="str">
        <f ca="1">IFERROR(__xludf.DUMMYFUNCTION("""COMPUTED_VALUE"""),"G")</f>
        <v>G</v>
      </c>
      <c r="E1633" s="80" t="str">
        <f ca="1">IFERROR(__xludf.DUMMYFUNCTION("""COMPUTED_VALUE"""),"F")</f>
        <v>F</v>
      </c>
      <c r="F1633" s="80" t="str">
        <f ca="1">IFERROR(__xludf.DUMMYFUNCTION("""COMPUTED_VALUE"""),"J")</f>
        <v>J</v>
      </c>
      <c r="G1633" s="80">
        <f ca="1">IFERROR(__xludf.DUMMYFUNCTION("""COMPUTED_VALUE"""),8)</f>
        <v>8</v>
      </c>
      <c r="H1633" s="80" t="str">
        <f ca="1">IFERROR(__xludf.DUMMYFUNCTION("""COMPUTED_VALUE"""),"PL")</f>
        <v>PL</v>
      </c>
      <c r="I1633" s="80">
        <f ca="1">IFERROR(__xludf.DUMMYFUNCTION("""COMPUTED_VALUE"""),2)</f>
        <v>2</v>
      </c>
      <c r="J1633" s="81">
        <f ca="1">IFERROR(__xludf.DUMMYFUNCTION("""COMPUTED_VALUE"""),0)</f>
        <v>0</v>
      </c>
      <c r="K1633" s="81">
        <f ca="1">IFERROR(__xludf.DUMMYFUNCTION("""COMPUTED_VALUE"""),0)</f>
        <v>0</v>
      </c>
      <c r="L1633" s="81">
        <f ca="1">IFERROR(__xludf.DUMMYFUNCTION("""COMPUTED_VALUE"""),0)</f>
        <v>0</v>
      </c>
      <c r="M1633" s="81"/>
      <c r="N1633" s="81">
        <f ca="1">IFERROR(__xludf.DUMMYFUNCTION("""COMPUTED_VALUE"""),0)</f>
        <v>0</v>
      </c>
      <c r="O1633" s="81"/>
      <c r="P1633" s="81">
        <f ca="1">IFERROR(__xludf.DUMMYFUNCTION("""COMPUTED_VALUE"""),0)</f>
        <v>0</v>
      </c>
      <c r="Q1633" s="81"/>
      <c r="R1633" s="81">
        <f ca="1">IFERROR(__xludf.DUMMYFUNCTION("""COMPUTED_VALUE"""),0)</f>
        <v>0</v>
      </c>
      <c r="S1633" s="81"/>
      <c r="T1633" s="81"/>
      <c r="U1633" s="82"/>
      <c r="V1633" s="82"/>
      <c r="W1633" s="83"/>
      <c r="X1633" s="83"/>
      <c r="Y1633" s="83"/>
    </row>
    <row r="1634" spans="1:25" ht="13.8">
      <c r="A1634" s="78" t="str">
        <f ca="1">IFERROR(__xludf.DUMMYFUNCTION("""COMPUTED_VALUE"""),"PL")</f>
        <v>PL</v>
      </c>
      <c r="B1634" s="79" t="str">
        <f ca="1">IFERROR(__xludf.DUMMYFUNCTION("""COMPUTED_VALUE"""),"Mei Mei Roth")</f>
        <v>Mei Mei Roth</v>
      </c>
      <c r="C1634" s="78">
        <f ca="1">IFERROR(__xludf.DUMMYFUNCTION("""COMPUTED_VALUE"""),9)</f>
        <v>9</v>
      </c>
      <c r="D1634" s="78" t="str">
        <f ca="1">IFERROR(__xludf.DUMMYFUNCTION("""COMPUTED_VALUE"""),"G")</f>
        <v>G</v>
      </c>
      <c r="E1634" s="80" t="str">
        <f ca="1">IFERROR(__xludf.DUMMYFUNCTION("""COMPUTED_VALUE"""),"F")</f>
        <v>F</v>
      </c>
      <c r="F1634" s="80" t="str">
        <f ca="1">IFERROR(__xludf.DUMMYFUNCTION("""COMPUTED_VALUE"""),"J")</f>
        <v>J</v>
      </c>
      <c r="G1634" s="80">
        <f ca="1">IFERROR(__xludf.DUMMYFUNCTION("""COMPUTED_VALUE"""),8)</f>
        <v>8</v>
      </c>
      <c r="H1634" s="80" t="str">
        <f ca="1">IFERROR(__xludf.DUMMYFUNCTION("""COMPUTED_VALUE"""),"PL")</f>
        <v>PL</v>
      </c>
      <c r="I1634" s="80">
        <f ca="1">IFERROR(__xludf.DUMMYFUNCTION("""COMPUTED_VALUE"""),2)</f>
        <v>2</v>
      </c>
      <c r="J1634" s="81">
        <f ca="1">IFERROR(__xludf.DUMMYFUNCTION("""COMPUTED_VALUE"""),5)</f>
        <v>5</v>
      </c>
      <c r="K1634" s="81">
        <f ca="1">IFERROR(__xludf.DUMMYFUNCTION("""COMPUTED_VALUE"""),82.75)</f>
        <v>82.75</v>
      </c>
      <c r="L1634" s="81">
        <f ca="1">IFERROR(__xludf.DUMMYFUNCTION("""COMPUTED_VALUE"""),53.2)</f>
        <v>53.2</v>
      </c>
      <c r="M1634" s="81"/>
      <c r="N1634" s="81">
        <f ca="1">IFERROR(__xludf.DUMMYFUNCTION("""COMPUTED_VALUE"""),59.6)</f>
        <v>59.6</v>
      </c>
      <c r="O1634" s="81"/>
      <c r="P1634" s="81">
        <f ca="1">IFERROR(__xludf.DUMMYFUNCTION("""COMPUTED_VALUE"""),74.4)</f>
        <v>74.400000000000006</v>
      </c>
      <c r="Q1634" s="81"/>
      <c r="R1634" s="81">
        <f ca="1">IFERROR(__xludf.DUMMYFUNCTION("""COMPUTED_VALUE"""),82.75)</f>
        <v>82.75</v>
      </c>
      <c r="S1634" s="81"/>
      <c r="T1634" s="81"/>
      <c r="U1634" s="82"/>
      <c r="V1634" s="82"/>
      <c r="W1634" s="83"/>
      <c r="X1634" s="83"/>
      <c r="Y1634" s="83"/>
    </row>
    <row r="1635" spans="1:25" ht="13.8">
      <c r="A1635" s="78" t="str">
        <f ca="1">IFERROR(__xludf.DUMMYFUNCTION("""COMPUTED_VALUE"""),"PL")</f>
        <v>PL</v>
      </c>
      <c r="B1635" s="79" t="str">
        <f ca="1">IFERROR(__xludf.DUMMYFUNCTION("""COMPUTED_VALUE"""),"Kaleo Contreni-Moore")</f>
        <v>Kaleo Contreni-Moore</v>
      </c>
      <c r="C1635" s="78">
        <f ca="1">IFERROR(__xludf.DUMMYFUNCTION("""COMPUTED_VALUE"""),10)</f>
        <v>10</v>
      </c>
      <c r="D1635" s="78" t="str">
        <f ca="1">IFERROR(__xludf.DUMMYFUNCTION("""COMPUTED_VALUE"""),"B")</f>
        <v>B</v>
      </c>
      <c r="E1635" s="80" t="str">
        <f ca="1">IFERROR(__xludf.DUMMYFUNCTION("""COMPUTED_VALUE"""),"F")</f>
        <v>F</v>
      </c>
      <c r="F1635" s="80" t="str">
        <f ca="1">IFERROR(__xludf.DUMMYFUNCTION("""COMPUTED_VALUE"""),"J")</f>
        <v>J</v>
      </c>
      <c r="G1635" s="80">
        <f ca="1">IFERROR(__xludf.DUMMYFUNCTION("""COMPUTED_VALUE"""),8)</f>
        <v>8</v>
      </c>
      <c r="H1635" s="80" t="str">
        <f ca="1">IFERROR(__xludf.DUMMYFUNCTION("""COMPUTED_VALUE"""),"PL")</f>
        <v>PL</v>
      </c>
      <c r="I1635" s="80">
        <f ca="1">IFERROR(__xludf.DUMMYFUNCTION("""COMPUTED_VALUE"""),3)</f>
        <v>3</v>
      </c>
      <c r="J1635" s="81">
        <f ca="1">IFERROR(__xludf.DUMMYFUNCTION("""COMPUTED_VALUE"""),4)</f>
        <v>4</v>
      </c>
      <c r="K1635" s="81">
        <f ca="1">IFERROR(__xludf.DUMMYFUNCTION("""COMPUTED_VALUE"""),52.35)</f>
        <v>52.35</v>
      </c>
      <c r="L1635" s="81">
        <f ca="1">IFERROR(__xludf.DUMMYFUNCTION("""COMPUTED_VALUE"""),25.25)</f>
        <v>25.25</v>
      </c>
      <c r="M1635" s="81"/>
      <c r="N1635" s="81">
        <f ca="1">IFERROR(__xludf.DUMMYFUNCTION("""COMPUTED_VALUE"""),0)</f>
        <v>0</v>
      </c>
      <c r="O1635" s="81"/>
      <c r="P1635" s="81">
        <f ca="1">IFERROR(__xludf.DUMMYFUNCTION("""COMPUTED_VALUE"""),34.2)</f>
        <v>34.200000000000003</v>
      </c>
      <c r="Q1635" s="81"/>
      <c r="R1635" s="81">
        <f ca="1">IFERROR(__xludf.DUMMYFUNCTION("""COMPUTED_VALUE"""),52.35)</f>
        <v>52.35</v>
      </c>
      <c r="S1635" s="81"/>
      <c r="T1635" s="81"/>
      <c r="U1635" s="82"/>
      <c r="V1635" s="82"/>
      <c r="W1635" s="83"/>
      <c r="X1635" s="83"/>
      <c r="Y1635" s="83"/>
    </row>
    <row r="1636" spans="1:25" ht="13.8">
      <c r="A1636" s="78" t="str">
        <f ca="1">IFERROR(__xludf.DUMMYFUNCTION("""COMPUTED_VALUE"""),"PL")</f>
        <v>PL</v>
      </c>
      <c r="B1636" s="79" t="str">
        <f ca="1">IFERROR(__xludf.DUMMYFUNCTION("""COMPUTED_VALUE"""),"Keaton Gutierrez")</f>
        <v>Keaton Gutierrez</v>
      </c>
      <c r="C1636" s="78">
        <f ca="1">IFERROR(__xludf.DUMMYFUNCTION("""COMPUTED_VALUE"""),8)</f>
        <v>8</v>
      </c>
      <c r="D1636" s="78" t="str">
        <f ca="1">IFERROR(__xludf.DUMMYFUNCTION("""COMPUTED_VALUE"""),"B")</f>
        <v>B</v>
      </c>
      <c r="E1636" s="80" t="str">
        <f ca="1">IFERROR(__xludf.DUMMYFUNCTION("""COMPUTED_VALUE"""),"F")</f>
        <v>F</v>
      </c>
      <c r="F1636" s="80" t="str">
        <f ca="1">IFERROR(__xludf.DUMMYFUNCTION("""COMPUTED_VALUE"""),"J")</f>
        <v>J</v>
      </c>
      <c r="G1636" s="80">
        <f ca="1">IFERROR(__xludf.DUMMYFUNCTION("""COMPUTED_VALUE"""),8)</f>
        <v>8</v>
      </c>
      <c r="H1636" s="80" t="str">
        <f ca="1">IFERROR(__xludf.DUMMYFUNCTION("""COMPUTED_VALUE"""),"PL")</f>
        <v>PL</v>
      </c>
      <c r="I1636" s="80">
        <f ca="1">IFERROR(__xludf.DUMMYFUNCTION("""COMPUTED_VALUE"""),3)</f>
        <v>3</v>
      </c>
      <c r="J1636" s="81">
        <f ca="1">IFERROR(__xludf.DUMMYFUNCTION("""COMPUTED_VALUE"""),4)</f>
        <v>4</v>
      </c>
      <c r="K1636" s="81">
        <f ca="1">IFERROR(__xludf.DUMMYFUNCTION("""COMPUTED_VALUE"""),41.65)</f>
        <v>41.65</v>
      </c>
      <c r="L1636" s="81">
        <f ca="1">IFERROR(__xludf.DUMMYFUNCTION("""COMPUTED_VALUE"""),34.4)</f>
        <v>34.4</v>
      </c>
      <c r="M1636" s="81"/>
      <c r="N1636" s="81">
        <f ca="1">IFERROR(__xludf.DUMMYFUNCTION("""COMPUTED_VALUE"""),35.5)</f>
        <v>35.5</v>
      </c>
      <c r="O1636" s="81"/>
      <c r="P1636" s="81">
        <f ca="1">IFERROR(__xludf.DUMMYFUNCTION("""COMPUTED_VALUE"""),32.95)</f>
        <v>32.950000000000003</v>
      </c>
      <c r="Q1636" s="81"/>
      <c r="R1636" s="81">
        <f ca="1">IFERROR(__xludf.DUMMYFUNCTION("""COMPUTED_VALUE"""),41.65)</f>
        <v>41.65</v>
      </c>
      <c r="S1636" s="81"/>
      <c r="T1636" s="81"/>
      <c r="U1636" s="82"/>
      <c r="V1636" s="82"/>
      <c r="W1636" s="83"/>
      <c r="X1636" s="83"/>
      <c r="Y1636" s="83"/>
    </row>
    <row r="1637" spans="1:25" ht="13.8">
      <c r="A1637" s="78" t="str">
        <f ca="1">IFERROR(__xludf.DUMMYFUNCTION("""COMPUTED_VALUE"""),"PL")</f>
        <v>PL</v>
      </c>
      <c r="B1637" s="79" t="str">
        <f ca="1">IFERROR(__xludf.DUMMYFUNCTION("""COMPUTED_VALUE"""),"Cormac Henderson")</f>
        <v>Cormac Henderson</v>
      </c>
      <c r="C1637" s="78">
        <f ca="1">IFERROR(__xludf.DUMMYFUNCTION("""COMPUTED_VALUE"""),8)</f>
        <v>8</v>
      </c>
      <c r="D1637" s="78" t="str">
        <f ca="1">IFERROR(__xludf.DUMMYFUNCTION("""COMPUTED_VALUE"""),"B")</f>
        <v>B</v>
      </c>
      <c r="E1637" s="80" t="str">
        <f ca="1">IFERROR(__xludf.DUMMYFUNCTION("""COMPUTED_VALUE"""),"F")</f>
        <v>F</v>
      </c>
      <c r="F1637" s="80" t="str">
        <f ca="1">IFERROR(__xludf.DUMMYFUNCTION("""COMPUTED_VALUE"""),"J")</f>
        <v>J</v>
      </c>
      <c r="G1637" s="80">
        <f ca="1">IFERROR(__xludf.DUMMYFUNCTION("""COMPUTED_VALUE"""),8)</f>
        <v>8</v>
      </c>
      <c r="H1637" s="80" t="str">
        <f ca="1">IFERROR(__xludf.DUMMYFUNCTION("""COMPUTED_VALUE"""),"PL")</f>
        <v>PL</v>
      </c>
      <c r="I1637" s="80">
        <f ca="1">IFERROR(__xludf.DUMMYFUNCTION("""COMPUTED_VALUE"""),3)</f>
        <v>3</v>
      </c>
      <c r="J1637" s="81">
        <f ca="1">IFERROR(__xludf.DUMMYFUNCTION("""COMPUTED_VALUE"""),4)</f>
        <v>4</v>
      </c>
      <c r="K1637" s="81">
        <f ca="1">IFERROR(__xludf.DUMMYFUNCTION("""COMPUTED_VALUE"""),73.1)</f>
        <v>73.099999999999994</v>
      </c>
      <c r="L1637" s="81">
        <f ca="1">IFERROR(__xludf.DUMMYFUNCTION("""COMPUTED_VALUE"""),0)</f>
        <v>0</v>
      </c>
      <c r="M1637" s="81"/>
      <c r="N1637" s="81">
        <f ca="1">IFERROR(__xludf.DUMMYFUNCTION("""COMPUTED_VALUE"""),46.8)</f>
        <v>46.8</v>
      </c>
      <c r="O1637" s="81"/>
      <c r="P1637" s="81">
        <f ca="1">IFERROR(__xludf.DUMMYFUNCTION("""COMPUTED_VALUE"""),57.05)</f>
        <v>57.05</v>
      </c>
      <c r="Q1637" s="81"/>
      <c r="R1637" s="81">
        <f ca="1">IFERROR(__xludf.DUMMYFUNCTION("""COMPUTED_VALUE"""),73.1)</f>
        <v>73.099999999999994</v>
      </c>
      <c r="S1637" s="81"/>
      <c r="T1637" s="81"/>
      <c r="U1637" s="82"/>
      <c r="V1637" s="82"/>
      <c r="W1637" s="83"/>
      <c r="X1637" s="83"/>
      <c r="Y1637" s="83"/>
    </row>
    <row r="1638" spans="1:25" ht="13.8">
      <c r="A1638" s="78" t="str">
        <f ca="1">IFERROR(__xludf.DUMMYFUNCTION("""COMPUTED_VALUE"""),"PL")</f>
        <v>PL</v>
      </c>
      <c r="B1638" s="79" t="str">
        <f ca="1">IFERROR(__xludf.DUMMYFUNCTION("""COMPUTED_VALUE"""),"Everett Iams")</f>
        <v>Everett Iams</v>
      </c>
      <c r="C1638" s="78">
        <f ca="1">IFERROR(__xludf.DUMMYFUNCTION("""COMPUTED_VALUE"""),7)</f>
        <v>7</v>
      </c>
      <c r="D1638" s="78" t="str">
        <f ca="1">IFERROR(__xludf.DUMMYFUNCTION("""COMPUTED_VALUE"""),"B")</f>
        <v>B</v>
      </c>
      <c r="E1638" s="80" t="str">
        <f ca="1">IFERROR(__xludf.DUMMYFUNCTION("""COMPUTED_VALUE"""),"F")</f>
        <v>F</v>
      </c>
      <c r="F1638" s="80" t="str">
        <f ca="1">IFERROR(__xludf.DUMMYFUNCTION("""COMPUTED_VALUE"""),"J")</f>
        <v>J</v>
      </c>
      <c r="G1638" s="80">
        <f ca="1">IFERROR(__xludf.DUMMYFUNCTION("""COMPUTED_VALUE"""),8)</f>
        <v>8</v>
      </c>
      <c r="H1638" s="80" t="str">
        <f ca="1">IFERROR(__xludf.DUMMYFUNCTION("""COMPUTED_VALUE"""),"PL")</f>
        <v>PL</v>
      </c>
      <c r="I1638" s="80">
        <f ca="1">IFERROR(__xludf.DUMMYFUNCTION("""COMPUTED_VALUE"""),3)</f>
        <v>3</v>
      </c>
      <c r="J1638" s="81">
        <f ca="1">IFERROR(__xludf.DUMMYFUNCTION("""COMPUTED_VALUE"""),1)</f>
        <v>1</v>
      </c>
      <c r="K1638" s="81">
        <f ca="1">IFERROR(__xludf.DUMMYFUNCTION("""COMPUTED_VALUE"""),40.55)</f>
        <v>40.549999999999997</v>
      </c>
      <c r="L1638" s="81">
        <f ca="1">IFERROR(__xludf.DUMMYFUNCTION("""COMPUTED_VALUE"""),0)</f>
        <v>0</v>
      </c>
      <c r="M1638" s="81"/>
      <c r="N1638" s="81">
        <f ca="1">IFERROR(__xludf.DUMMYFUNCTION("""COMPUTED_VALUE"""),0)</f>
        <v>0</v>
      </c>
      <c r="O1638" s="81"/>
      <c r="P1638" s="81">
        <f ca="1">IFERROR(__xludf.DUMMYFUNCTION("""COMPUTED_VALUE"""),0)</f>
        <v>0</v>
      </c>
      <c r="Q1638" s="81"/>
      <c r="R1638" s="81">
        <f ca="1">IFERROR(__xludf.DUMMYFUNCTION("""COMPUTED_VALUE"""),40.55)</f>
        <v>40.549999999999997</v>
      </c>
      <c r="S1638" s="81"/>
      <c r="T1638" s="81"/>
      <c r="U1638" s="82"/>
      <c r="V1638" s="82"/>
      <c r="W1638" s="83"/>
      <c r="X1638" s="83"/>
      <c r="Y1638" s="83"/>
    </row>
    <row r="1639" spans="1:25" ht="13.8">
      <c r="A1639" s="78" t="str">
        <f ca="1">IFERROR(__xludf.DUMMYFUNCTION("""COMPUTED_VALUE"""),"PL")</f>
        <v>PL</v>
      </c>
      <c r="B1639" s="79" t="str">
        <f ca="1">IFERROR(__xludf.DUMMYFUNCTION("""COMPUTED_VALUE"""),"Mason Iams")</f>
        <v>Mason Iams</v>
      </c>
      <c r="C1639" s="78">
        <f ca="1">IFERROR(__xludf.DUMMYFUNCTION("""COMPUTED_VALUE"""),9)</f>
        <v>9</v>
      </c>
      <c r="D1639" s="78" t="str">
        <f ca="1">IFERROR(__xludf.DUMMYFUNCTION("""COMPUTED_VALUE"""),"B")</f>
        <v>B</v>
      </c>
      <c r="E1639" s="80" t="str">
        <f ca="1">IFERROR(__xludf.DUMMYFUNCTION("""COMPUTED_VALUE"""),"F")</f>
        <v>F</v>
      </c>
      <c r="F1639" s="80" t="str">
        <f ca="1">IFERROR(__xludf.DUMMYFUNCTION("""COMPUTED_VALUE"""),"J")</f>
        <v>J</v>
      </c>
      <c r="G1639" s="80">
        <f ca="1">IFERROR(__xludf.DUMMYFUNCTION("""COMPUTED_VALUE"""),8)</f>
        <v>8</v>
      </c>
      <c r="H1639" s="80" t="str">
        <f ca="1">IFERROR(__xludf.DUMMYFUNCTION("""COMPUTED_VALUE"""),"PL")</f>
        <v>PL</v>
      </c>
      <c r="I1639" s="80">
        <f ca="1">IFERROR(__xludf.DUMMYFUNCTION("""COMPUTED_VALUE"""),3)</f>
        <v>3</v>
      </c>
      <c r="J1639" s="81">
        <f ca="1">IFERROR(__xludf.DUMMYFUNCTION("""COMPUTED_VALUE"""),3)</f>
        <v>3</v>
      </c>
      <c r="K1639" s="81">
        <f ca="1">IFERROR(__xludf.DUMMYFUNCTION("""COMPUTED_VALUE"""),39.9)</f>
        <v>39.9</v>
      </c>
      <c r="L1639" s="81">
        <f ca="1">IFERROR(__xludf.DUMMYFUNCTION("""COMPUTED_VALUE"""),0)</f>
        <v>0</v>
      </c>
      <c r="M1639" s="81"/>
      <c r="N1639" s="81">
        <f ca="1">IFERROR(__xludf.DUMMYFUNCTION("""COMPUTED_VALUE"""),36.7)</f>
        <v>36.700000000000003</v>
      </c>
      <c r="O1639" s="81"/>
      <c r="P1639" s="81">
        <f ca="1">IFERROR(__xludf.DUMMYFUNCTION("""COMPUTED_VALUE"""),35.8)</f>
        <v>35.799999999999997</v>
      </c>
      <c r="Q1639" s="81"/>
      <c r="R1639" s="81">
        <f ca="1">IFERROR(__xludf.DUMMYFUNCTION("""COMPUTED_VALUE"""),39.9)</f>
        <v>39.9</v>
      </c>
      <c r="S1639" s="81"/>
      <c r="T1639" s="81"/>
      <c r="U1639" s="82"/>
      <c r="V1639" s="82"/>
      <c r="W1639" s="83"/>
      <c r="X1639" s="83"/>
      <c r="Y1639" s="83"/>
    </row>
    <row r="1640" spans="1:25" ht="13.8">
      <c r="A1640" s="78" t="str">
        <f ca="1">IFERROR(__xludf.DUMMYFUNCTION("""COMPUTED_VALUE"""),"PL")</f>
        <v>PL</v>
      </c>
      <c r="B1640" s="79" t="str">
        <f ca="1">IFERROR(__xludf.DUMMYFUNCTION("""COMPUTED_VALUE"""),"Angus Johnston")</f>
        <v>Angus Johnston</v>
      </c>
      <c r="C1640" s="78">
        <f ca="1">IFERROR(__xludf.DUMMYFUNCTION("""COMPUTED_VALUE"""),9)</f>
        <v>9</v>
      </c>
      <c r="D1640" s="78" t="str">
        <f ca="1">IFERROR(__xludf.DUMMYFUNCTION("""COMPUTED_VALUE"""),"B")</f>
        <v>B</v>
      </c>
      <c r="E1640" s="80" t="str">
        <f ca="1">IFERROR(__xludf.DUMMYFUNCTION("""COMPUTED_VALUE"""),"F")</f>
        <v>F</v>
      </c>
      <c r="F1640" s="80" t="str">
        <f ca="1">IFERROR(__xludf.DUMMYFUNCTION("""COMPUTED_VALUE"""),"J")</f>
        <v>J</v>
      </c>
      <c r="G1640" s="80">
        <f ca="1">IFERROR(__xludf.DUMMYFUNCTION("""COMPUTED_VALUE"""),8)</f>
        <v>8</v>
      </c>
      <c r="H1640" s="80" t="str">
        <f ca="1">IFERROR(__xludf.DUMMYFUNCTION("""COMPUTED_VALUE"""),"PL")</f>
        <v>PL</v>
      </c>
      <c r="I1640" s="80">
        <f ca="1">IFERROR(__xludf.DUMMYFUNCTION("""COMPUTED_VALUE"""),3)</f>
        <v>3</v>
      </c>
      <c r="J1640" s="81">
        <f ca="1">IFERROR(__xludf.DUMMYFUNCTION("""COMPUTED_VALUE"""),0)</f>
        <v>0</v>
      </c>
      <c r="K1640" s="81">
        <f ca="1">IFERROR(__xludf.DUMMYFUNCTION("""COMPUTED_VALUE"""),0)</f>
        <v>0</v>
      </c>
      <c r="L1640" s="81">
        <f ca="1">IFERROR(__xludf.DUMMYFUNCTION("""COMPUTED_VALUE"""),0)</f>
        <v>0</v>
      </c>
      <c r="M1640" s="81"/>
      <c r="N1640" s="81">
        <f ca="1">IFERROR(__xludf.DUMMYFUNCTION("""COMPUTED_VALUE"""),0)</f>
        <v>0</v>
      </c>
      <c r="O1640" s="81"/>
      <c r="P1640" s="81">
        <f ca="1">IFERROR(__xludf.DUMMYFUNCTION("""COMPUTED_VALUE"""),0)</f>
        <v>0</v>
      </c>
      <c r="Q1640" s="81"/>
      <c r="R1640" s="81">
        <f ca="1">IFERROR(__xludf.DUMMYFUNCTION("""COMPUTED_VALUE"""),0)</f>
        <v>0</v>
      </c>
      <c r="S1640" s="81"/>
      <c r="T1640" s="81"/>
      <c r="U1640" s="82"/>
      <c r="V1640" s="82"/>
      <c r="W1640" s="83"/>
      <c r="X1640" s="83"/>
      <c r="Y1640" s="83"/>
    </row>
    <row r="1641" spans="1:25" ht="13.8">
      <c r="A1641" s="78" t="str">
        <f ca="1">IFERROR(__xludf.DUMMYFUNCTION("""COMPUTED_VALUE"""),"PL")</f>
        <v>PL</v>
      </c>
      <c r="B1641" s="79" t="str">
        <f ca="1">IFERROR(__xludf.DUMMYFUNCTION("""COMPUTED_VALUE"""),"Miles Marvin")</f>
        <v>Miles Marvin</v>
      </c>
      <c r="C1641" s="78">
        <f ca="1">IFERROR(__xludf.DUMMYFUNCTION("""COMPUTED_VALUE"""),8)</f>
        <v>8</v>
      </c>
      <c r="D1641" s="78" t="str">
        <f ca="1">IFERROR(__xludf.DUMMYFUNCTION("""COMPUTED_VALUE"""),"B")</f>
        <v>B</v>
      </c>
      <c r="E1641" s="80" t="str">
        <f ca="1">IFERROR(__xludf.DUMMYFUNCTION("""COMPUTED_VALUE"""),"F")</f>
        <v>F</v>
      </c>
      <c r="F1641" s="80" t="str">
        <f ca="1">IFERROR(__xludf.DUMMYFUNCTION("""COMPUTED_VALUE"""),"J")</f>
        <v>J</v>
      </c>
      <c r="G1641" s="80">
        <f ca="1">IFERROR(__xludf.DUMMYFUNCTION("""COMPUTED_VALUE"""),8)</f>
        <v>8</v>
      </c>
      <c r="H1641" s="80" t="str">
        <f ca="1">IFERROR(__xludf.DUMMYFUNCTION("""COMPUTED_VALUE"""),"PL")</f>
        <v>PL</v>
      </c>
      <c r="I1641" s="80">
        <f ca="1">IFERROR(__xludf.DUMMYFUNCTION("""COMPUTED_VALUE"""),3)</f>
        <v>3</v>
      </c>
      <c r="J1641" s="81">
        <f ca="1">IFERROR(__xludf.DUMMYFUNCTION("""COMPUTED_VALUE"""),3)</f>
        <v>3</v>
      </c>
      <c r="K1641" s="81">
        <f ca="1">IFERROR(__xludf.DUMMYFUNCTION("""COMPUTED_VALUE"""),34.9)</f>
        <v>34.9</v>
      </c>
      <c r="L1641" s="81">
        <f ca="1">IFERROR(__xludf.DUMMYFUNCTION("""COMPUTED_VALUE"""),0)</f>
        <v>0</v>
      </c>
      <c r="M1641" s="81"/>
      <c r="N1641" s="81">
        <f ca="1">IFERROR(__xludf.DUMMYFUNCTION("""COMPUTED_VALUE"""),0)</f>
        <v>0</v>
      </c>
      <c r="O1641" s="81"/>
      <c r="P1641" s="81">
        <f ca="1">IFERROR(__xludf.DUMMYFUNCTION("""COMPUTED_VALUE"""),33.1)</f>
        <v>33.1</v>
      </c>
      <c r="Q1641" s="81"/>
      <c r="R1641" s="81">
        <f ca="1">IFERROR(__xludf.DUMMYFUNCTION("""COMPUTED_VALUE"""),34.9)</f>
        <v>34.9</v>
      </c>
      <c r="S1641" s="81"/>
      <c r="T1641" s="81"/>
      <c r="U1641" s="82"/>
      <c r="V1641" s="82"/>
      <c r="W1641" s="83"/>
      <c r="X1641" s="83"/>
      <c r="Y1641" s="83"/>
    </row>
    <row r="1642" spans="1:25" ht="13.8">
      <c r="A1642" s="78" t="str">
        <f ca="1">IFERROR(__xludf.DUMMYFUNCTION("""COMPUTED_VALUE"""),"PL")</f>
        <v>PL</v>
      </c>
      <c r="B1642" s="79" t="str">
        <f ca="1">IFERROR(__xludf.DUMMYFUNCTION("""COMPUTED_VALUE"""),"Gabriel Mesmer")</f>
        <v>Gabriel Mesmer</v>
      </c>
      <c r="C1642" s="78">
        <f ca="1">IFERROR(__xludf.DUMMYFUNCTION("""COMPUTED_VALUE"""),9)</f>
        <v>9</v>
      </c>
      <c r="D1642" s="78" t="str">
        <f ca="1">IFERROR(__xludf.DUMMYFUNCTION("""COMPUTED_VALUE"""),"B")</f>
        <v>B</v>
      </c>
      <c r="E1642" s="80" t="str">
        <f ca="1">IFERROR(__xludf.DUMMYFUNCTION("""COMPUTED_VALUE"""),"F")</f>
        <v>F</v>
      </c>
      <c r="F1642" s="80" t="str">
        <f ca="1">IFERROR(__xludf.DUMMYFUNCTION("""COMPUTED_VALUE"""),"J")</f>
        <v>J</v>
      </c>
      <c r="G1642" s="80">
        <f ca="1">IFERROR(__xludf.DUMMYFUNCTION("""COMPUTED_VALUE"""),8)</f>
        <v>8</v>
      </c>
      <c r="H1642" s="80" t="str">
        <f ca="1">IFERROR(__xludf.DUMMYFUNCTION("""COMPUTED_VALUE"""),"PL")</f>
        <v>PL</v>
      </c>
      <c r="I1642" s="80">
        <f ca="1">IFERROR(__xludf.DUMMYFUNCTION("""COMPUTED_VALUE"""),3)</f>
        <v>3</v>
      </c>
      <c r="J1642" s="81">
        <f ca="1">IFERROR(__xludf.DUMMYFUNCTION("""COMPUTED_VALUE"""),4)</f>
        <v>4</v>
      </c>
      <c r="K1642" s="81">
        <f ca="1">IFERROR(__xludf.DUMMYFUNCTION("""COMPUTED_VALUE"""),45.15)</f>
        <v>45.15</v>
      </c>
      <c r="L1642" s="81">
        <f ca="1">IFERROR(__xludf.DUMMYFUNCTION("""COMPUTED_VALUE"""),0)</f>
        <v>0</v>
      </c>
      <c r="M1642" s="81"/>
      <c r="N1642" s="81">
        <f ca="1">IFERROR(__xludf.DUMMYFUNCTION("""COMPUTED_VALUE"""),28.55)</f>
        <v>28.55</v>
      </c>
      <c r="O1642" s="81"/>
      <c r="P1642" s="81">
        <f ca="1">IFERROR(__xludf.DUMMYFUNCTION("""COMPUTED_VALUE"""),21.9)</f>
        <v>21.9</v>
      </c>
      <c r="Q1642" s="81"/>
      <c r="R1642" s="81">
        <f ca="1">IFERROR(__xludf.DUMMYFUNCTION("""COMPUTED_VALUE"""),45.15)</f>
        <v>45.15</v>
      </c>
      <c r="S1642" s="81"/>
      <c r="T1642" s="81"/>
      <c r="U1642" s="82"/>
      <c r="V1642" s="82"/>
      <c r="W1642" s="83"/>
      <c r="X1642" s="83"/>
      <c r="Y1642" s="83"/>
    </row>
    <row r="1643" spans="1:25" ht="13.8">
      <c r="A1643" s="78" t="str">
        <f ca="1">IFERROR(__xludf.DUMMYFUNCTION("""COMPUTED_VALUE"""),"PL")</f>
        <v>PL</v>
      </c>
      <c r="B1643" s="79" t="str">
        <f ca="1">IFERROR(__xludf.DUMMYFUNCTION("""COMPUTED_VALUE"""),"Raphael Mesmer")</f>
        <v>Raphael Mesmer</v>
      </c>
      <c r="C1643" s="78">
        <f ca="1">IFERROR(__xludf.DUMMYFUNCTION("""COMPUTED_VALUE"""),9)</f>
        <v>9</v>
      </c>
      <c r="D1643" s="78" t="str">
        <f ca="1">IFERROR(__xludf.DUMMYFUNCTION("""COMPUTED_VALUE"""),"B")</f>
        <v>B</v>
      </c>
      <c r="E1643" s="80" t="str">
        <f ca="1">IFERROR(__xludf.DUMMYFUNCTION("""COMPUTED_VALUE"""),"F")</f>
        <v>F</v>
      </c>
      <c r="F1643" s="80" t="str">
        <f ca="1">IFERROR(__xludf.DUMMYFUNCTION("""COMPUTED_VALUE"""),"J")</f>
        <v>J</v>
      </c>
      <c r="G1643" s="80">
        <f ca="1">IFERROR(__xludf.DUMMYFUNCTION("""COMPUTED_VALUE"""),8)</f>
        <v>8</v>
      </c>
      <c r="H1643" s="80" t="str">
        <f ca="1">IFERROR(__xludf.DUMMYFUNCTION("""COMPUTED_VALUE"""),"PL")</f>
        <v>PL</v>
      </c>
      <c r="I1643" s="80">
        <f ca="1">IFERROR(__xludf.DUMMYFUNCTION("""COMPUTED_VALUE"""),3)</f>
        <v>3</v>
      </c>
      <c r="J1643" s="81">
        <f ca="1">IFERROR(__xludf.DUMMYFUNCTION("""COMPUTED_VALUE"""),5)</f>
        <v>5</v>
      </c>
      <c r="K1643" s="81">
        <f ca="1">IFERROR(__xludf.DUMMYFUNCTION("""COMPUTED_VALUE"""),39.5)</f>
        <v>39.5</v>
      </c>
      <c r="L1643" s="81">
        <f ca="1">IFERROR(__xludf.DUMMYFUNCTION("""COMPUTED_VALUE"""),34.6)</f>
        <v>34.6</v>
      </c>
      <c r="M1643" s="81"/>
      <c r="N1643" s="81">
        <f ca="1">IFERROR(__xludf.DUMMYFUNCTION("""COMPUTED_VALUE"""),34.6)</f>
        <v>34.6</v>
      </c>
      <c r="O1643" s="81"/>
      <c r="P1643" s="81">
        <f ca="1">IFERROR(__xludf.DUMMYFUNCTION("""COMPUTED_VALUE"""),39.5)</f>
        <v>39.5</v>
      </c>
      <c r="Q1643" s="81"/>
      <c r="R1643" s="81">
        <f ca="1">IFERROR(__xludf.DUMMYFUNCTION("""COMPUTED_VALUE"""),39.5)</f>
        <v>39.5</v>
      </c>
      <c r="S1643" s="81"/>
      <c r="T1643" s="81"/>
      <c r="U1643" s="82"/>
      <c r="V1643" s="82"/>
      <c r="W1643" s="83"/>
      <c r="X1643" s="83"/>
      <c r="Y1643" s="83"/>
    </row>
    <row r="1644" spans="1:25" ht="13.8">
      <c r="A1644" s="78" t="str">
        <f ca="1">IFERROR(__xludf.DUMMYFUNCTION("""COMPUTED_VALUE"""),"PL")</f>
        <v>PL</v>
      </c>
      <c r="B1644" s="79" t="str">
        <f ca="1">IFERROR(__xludf.DUMMYFUNCTION("""COMPUTED_VALUE"""),"Alexander Murphy")</f>
        <v>Alexander Murphy</v>
      </c>
      <c r="C1644" s="78">
        <f ca="1">IFERROR(__xludf.DUMMYFUNCTION("""COMPUTED_VALUE"""),9)</f>
        <v>9</v>
      </c>
      <c r="D1644" s="78" t="str">
        <f ca="1">IFERROR(__xludf.DUMMYFUNCTION("""COMPUTED_VALUE"""),"B")</f>
        <v>B</v>
      </c>
      <c r="E1644" s="80" t="str">
        <f ca="1">IFERROR(__xludf.DUMMYFUNCTION("""COMPUTED_VALUE"""),"F")</f>
        <v>F</v>
      </c>
      <c r="F1644" s="80" t="str">
        <f ca="1">IFERROR(__xludf.DUMMYFUNCTION("""COMPUTED_VALUE"""),"J")</f>
        <v>J</v>
      </c>
      <c r="G1644" s="80">
        <f ca="1">IFERROR(__xludf.DUMMYFUNCTION("""COMPUTED_VALUE"""),8)</f>
        <v>8</v>
      </c>
      <c r="H1644" s="80" t="str">
        <f ca="1">IFERROR(__xludf.DUMMYFUNCTION("""COMPUTED_VALUE"""),"PL")</f>
        <v>PL</v>
      </c>
      <c r="I1644" s="80">
        <f ca="1">IFERROR(__xludf.DUMMYFUNCTION("""COMPUTED_VALUE"""),3)</f>
        <v>3</v>
      </c>
      <c r="J1644" s="81">
        <f ca="1">IFERROR(__xludf.DUMMYFUNCTION("""COMPUTED_VALUE"""),0)</f>
        <v>0</v>
      </c>
      <c r="K1644" s="81">
        <f ca="1">IFERROR(__xludf.DUMMYFUNCTION("""COMPUTED_VALUE"""),0)</f>
        <v>0</v>
      </c>
      <c r="L1644" s="81">
        <f ca="1">IFERROR(__xludf.DUMMYFUNCTION("""COMPUTED_VALUE"""),0)</f>
        <v>0</v>
      </c>
      <c r="M1644" s="81"/>
      <c r="N1644" s="81">
        <f ca="1">IFERROR(__xludf.DUMMYFUNCTION("""COMPUTED_VALUE"""),0)</f>
        <v>0</v>
      </c>
      <c r="O1644" s="81"/>
      <c r="P1644" s="81">
        <f ca="1">IFERROR(__xludf.DUMMYFUNCTION("""COMPUTED_VALUE"""),0)</f>
        <v>0</v>
      </c>
      <c r="Q1644" s="81"/>
      <c r="R1644" s="81">
        <f ca="1">IFERROR(__xludf.DUMMYFUNCTION("""COMPUTED_VALUE"""),0)</f>
        <v>0</v>
      </c>
      <c r="S1644" s="81"/>
      <c r="T1644" s="81"/>
      <c r="U1644" s="82"/>
      <c r="V1644" s="82"/>
      <c r="W1644" s="83"/>
      <c r="X1644" s="83"/>
      <c r="Y1644" s="83"/>
    </row>
    <row r="1645" spans="1:25" ht="13.8">
      <c r="A1645" s="78" t="str">
        <f ca="1">IFERROR(__xludf.DUMMYFUNCTION("""COMPUTED_VALUE"""),"PL")</f>
        <v>PL</v>
      </c>
      <c r="B1645" s="79" t="str">
        <f ca="1">IFERROR(__xludf.DUMMYFUNCTION("""COMPUTED_VALUE"""),"Maxwell Pedrick")</f>
        <v>Maxwell Pedrick</v>
      </c>
      <c r="C1645" s="78">
        <f ca="1">IFERROR(__xludf.DUMMYFUNCTION("""COMPUTED_VALUE"""),9)</f>
        <v>9</v>
      </c>
      <c r="D1645" s="78" t="str">
        <f ca="1">IFERROR(__xludf.DUMMYFUNCTION("""COMPUTED_VALUE"""),"B")</f>
        <v>B</v>
      </c>
      <c r="E1645" s="80" t="str">
        <f ca="1">IFERROR(__xludf.DUMMYFUNCTION("""COMPUTED_VALUE"""),"F")</f>
        <v>F</v>
      </c>
      <c r="F1645" s="80" t="str">
        <f ca="1">IFERROR(__xludf.DUMMYFUNCTION("""COMPUTED_VALUE"""),"J")</f>
        <v>J</v>
      </c>
      <c r="G1645" s="80">
        <f ca="1">IFERROR(__xludf.DUMMYFUNCTION("""COMPUTED_VALUE"""),8)</f>
        <v>8</v>
      </c>
      <c r="H1645" s="80" t="str">
        <f ca="1">IFERROR(__xludf.DUMMYFUNCTION("""COMPUTED_VALUE"""),"PL")</f>
        <v>PL</v>
      </c>
      <c r="I1645" s="80">
        <f ca="1">IFERROR(__xludf.DUMMYFUNCTION("""COMPUTED_VALUE"""),3)</f>
        <v>3</v>
      </c>
      <c r="J1645" s="81">
        <f ca="1">IFERROR(__xludf.DUMMYFUNCTION("""COMPUTED_VALUE"""),1)</f>
        <v>1</v>
      </c>
      <c r="K1645" s="81">
        <f ca="1">IFERROR(__xludf.DUMMYFUNCTION("""COMPUTED_VALUE"""),0)</f>
        <v>0</v>
      </c>
      <c r="L1645" s="81">
        <f ca="1">IFERROR(__xludf.DUMMYFUNCTION("""COMPUTED_VALUE"""),0)</f>
        <v>0</v>
      </c>
      <c r="M1645" s="81"/>
      <c r="N1645" s="81">
        <f ca="1">IFERROR(__xludf.DUMMYFUNCTION("""COMPUTED_VALUE"""),0)</f>
        <v>0</v>
      </c>
      <c r="O1645" s="81"/>
      <c r="P1645" s="81">
        <f ca="1">IFERROR(__xludf.DUMMYFUNCTION("""COMPUTED_VALUE"""),0)</f>
        <v>0</v>
      </c>
      <c r="Q1645" s="81"/>
      <c r="R1645" s="81">
        <f ca="1">IFERROR(__xludf.DUMMYFUNCTION("""COMPUTED_VALUE"""),0)</f>
        <v>0</v>
      </c>
      <c r="S1645" s="81"/>
      <c r="T1645" s="81"/>
      <c r="U1645" s="82"/>
      <c r="V1645" s="82"/>
      <c r="W1645" s="83"/>
      <c r="X1645" s="83"/>
      <c r="Y1645" s="83"/>
    </row>
    <row r="1646" spans="1:25" ht="13.8">
      <c r="A1646" s="78" t="str">
        <f ca="1">IFERROR(__xludf.DUMMYFUNCTION("""COMPUTED_VALUE"""),"PL")</f>
        <v>PL</v>
      </c>
      <c r="B1646" s="79" t="str">
        <f ca="1">IFERROR(__xludf.DUMMYFUNCTION("""COMPUTED_VALUE"""),"Matthew Sahda")</f>
        <v>Matthew Sahda</v>
      </c>
      <c r="C1646" s="78">
        <f ca="1">IFERROR(__xludf.DUMMYFUNCTION("""COMPUTED_VALUE"""),8)</f>
        <v>8</v>
      </c>
      <c r="D1646" s="78" t="str">
        <f ca="1">IFERROR(__xludf.DUMMYFUNCTION("""COMPUTED_VALUE"""),"B")</f>
        <v>B</v>
      </c>
      <c r="E1646" s="80" t="str">
        <f ca="1">IFERROR(__xludf.DUMMYFUNCTION("""COMPUTED_VALUE"""),"F")</f>
        <v>F</v>
      </c>
      <c r="F1646" s="80" t="str">
        <f ca="1">IFERROR(__xludf.DUMMYFUNCTION("""COMPUTED_VALUE"""),"J")</f>
        <v>J</v>
      </c>
      <c r="G1646" s="80">
        <f ca="1">IFERROR(__xludf.DUMMYFUNCTION("""COMPUTED_VALUE"""),8)</f>
        <v>8</v>
      </c>
      <c r="H1646" s="80" t="str">
        <f ca="1">IFERROR(__xludf.DUMMYFUNCTION("""COMPUTED_VALUE"""),"PL")</f>
        <v>PL</v>
      </c>
      <c r="I1646" s="80">
        <f ca="1">IFERROR(__xludf.DUMMYFUNCTION("""COMPUTED_VALUE"""),3)</f>
        <v>3</v>
      </c>
      <c r="J1646" s="81">
        <f ca="1">IFERROR(__xludf.DUMMYFUNCTION("""COMPUTED_VALUE"""),0)</f>
        <v>0</v>
      </c>
      <c r="K1646" s="81">
        <f ca="1">IFERROR(__xludf.DUMMYFUNCTION("""COMPUTED_VALUE"""),0)</f>
        <v>0</v>
      </c>
      <c r="L1646" s="81">
        <f ca="1">IFERROR(__xludf.DUMMYFUNCTION("""COMPUTED_VALUE"""),0)</f>
        <v>0</v>
      </c>
      <c r="M1646" s="81"/>
      <c r="N1646" s="81">
        <f ca="1">IFERROR(__xludf.DUMMYFUNCTION("""COMPUTED_VALUE"""),0)</f>
        <v>0</v>
      </c>
      <c r="O1646" s="81"/>
      <c r="P1646" s="81">
        <f ca="1">IFERROR(__xludf.DUMMYFUNCTION("""COMPUTED_VALUE"""),0)</f>
        <v>0</v>
      </c>
      <c r="Q1646" s="81"/>
      <c r="R1646" s="81">
        <f ca="1">IFERROR(__xludf.DUMMYFUNCTION("""COMPUTED_VALUE"""),0)</f>
        <v>0</v>
      </c>
      <c r="S1646" s="81"/>
      <c r="T1646" s="81"/>
      <c r="U1646" s="82"/>
      <c r="V1646" s="82"/>
      <c r="W1646" s="83"/>
      <c r="X1646" s="83"/>
      <c r="Y1646" s="83"/>
    </row>
    <row r="1647" spans="1:25" ht="13.8">
      <c r="A1647" s="78" t="str">
        <f ca="1">IFERROR(__xludf.DUMMYFUNCTION("""COMPUTED_VALUE"""),"PL")</f>
        <v>PL</v>
      </c>
      <c r="B1647" s="79" t="str">
        <f ca="1">IFERROR(__xludf.DUMMYFUNCTION("""COMPUTED_VALUE"""),"Miller Supple")</f>
        <v>Miller Supple</v>
      </c>
      <c r="C1647" s="78">
        <f ca="1">IFERROR(__xludf.DUMMYFUNCTION("""COMPUTED_VALUE"""),8)</f>
        <v>8</v>
      </c>
      <c r="D1647" s="78" t="str">
        <f ca="1">IFERROR(__xludf.DUMMYFUNCTION("""COMPUTED_VALUE"""),"B")</f>
        <v>B</v>
      </c>
      <c r="E1647" s="80" t="str">
        <f ca="1">IFERROR(__xludf.DUMMYFUNCTION("""COMPUTED_VALUE"""),"F")</f>
        <v>F</v>
      </c>
      <c r="F1647" s="80" t="str">
        <f ca="1">IFERROR(__xludf.DUMMYFUNCTION("""COMPUTED_VALUE"""),"J")</f>
        <v>J</v>
      </c>
      <c r="G1647" s="80">
        <f ca="1">IFERROR(__xludf.DUMMYFUNCTION("""COMPUTED_VALUE"""),8)</f>
        <v>8</v>
      </c>
      <c r="H1647" s="80" t="str">
        <f ca="1">IFERROR(__xludf.DUMMYFUNCTION("""COMPUTED_VALUE"""),"PL")</f>
        <v>PL</v>
      </c>
      <c r="I1647" s="80">
        <f ca="1">IFERROR(__xludf.DUMMYFUNCTION("""COMPUTED_VALUE"""),3)</f>
        <v>3</v>
      </c>
      <c r="J1647" s="81">
        <f ca="1">IFERROR(__xludf.DUMMYFUNCTION("""COMPUTED_VALUE"""),5)</f>
        <v>5</v>
      </c>
      <c r="K1647" s="81">
        <f ca="1">IFERROR(__xludf.DUMMYFUNCTION("""COMPUTED_VALUE"""),55.3)</f>
        <v>55.3</v>
      </c>
      <c r="L1647" s="81">
        <f ca="1">IFERROR(__xludf.DUMMYFUNCTION("""COMPUTED_VALUE"""),51.5)</f>
        <v>51.5</v>
      </c>
      <c r="M1647" s="81"/>
      <c r="N1647" s="81">
        <f ca="1">IFERROR(__xludf.DUMMYFUNCTION("""COMPUTED_VALUE"""),46.35)</f>
        <v>46.35</v>
      </c>
      <c r="O1647" s="81"/>
      <c r="P1647" s="81">
        <f ca="1">IFERROR(__xludf.DUMMYFUNCTION("""COMPUTED_VALUE"""),55.3)</f>
        <v>55.3</v>
      </c>
      <c r="Q1647" s="81"/>
      <c r="R1647" s="81">
        <f ca="1">IFERROR(__xludf.DUMMYFUNCTION("""COMPUTED_VALUE"""),-90.6)</f>
        <v>-90.6</v>
      </c>
      <c r="S1647" s="81"/>
      <c r="T1647" s="81"/>
      <c r="U1647" s="82"/>
      <c r="V1647" s="82"/>
      <c r="W1647" s="83"/>
      <c r="X1647" s="83"/>
      <c r="Y1647" s="83"/>
    </row>
    <row r="1648" spans="1:25" ht="13.8">
      <c r="A1648" s="78" t="str">
        <f ca="1">IFERROR(__xludf.DUMMYFUNCTION("""COMPUTED_VALUE"""),"PL")</f>
        <v>PL</v>
      </c>
      <c r="B1648" s="79" t="str">
        <f ca="1">IFERROR(__xludf.DUMMYFUNCTION("""COMPUTED_VALUE"""),"Kamila Baldiviezo")</f>
        <v>Kamila Baldiviezo</v>
      </c>
      <c r="C1648" s="78">
        <f ca="1">IFERROR(__xludf.DUMMYFUNCTION("""COMPUTED_VALUE"""),11)</f>
        <v>11</v>
      </c>
      <c r="D1648" s="78" t="str">
        <f ca="1">IFERROR(__xludf.DUMMYFUNCTION("""COMPUTED_VALUE"""),"G")</f>
        <v>G</v>
      </c>
      <c r="E1648" s="80" t="str">
        <f ca="1">IFERROR(__xludf.DUMMYFUNCTION("""COMPUTED_VALUE"""),"J")</f>
        <v>J</v>
      </c>
      <c r="F1648" s="80" t="str">
        <f ca="1">IFERROR(__xludf.DUMMYFUNCTION("""COMPUTED_VALUE"""),"I")</f>
        <v>I</v>
      </c>
      <c r="G1648" s="80">
        <f ca="1">IFERROR(__xludf.DUMMYFUNCTION("""COMPUTED_VALUE"""),8)</f>
        <v>8</v>
      </c>
      <c r="H1648" s="80" t="str">
        <f ca="1">IFERROR(__xludf.DUMMYFUNCTION("""COMPUTED_VALUE"""),"PL")</f>
        <v>PL</v>
      </c>
      <c r="I1648" s="80">
        <f ca="1">IFERROR(__xludf.DUMMYFUNCTION("""COMPUTED_VALUE"""),4)</f>
        <v>4</v>
      </c>
      <c r="J1648" s="81">
        <f ca="1">IFERROR(__xludf.DUMMYFUNCTION("""COMPUTED_VALUE"""),0)</f>
        <v>0</v>
      </c>
      <c r="K1648" s="81">
        <f ca="1">IFERROR(__xludf.DUMMYFUNCTION("""COMPUTED_VALUE"""),0)</f>
        <v>0</v>
      </c>
      <c r="L1648" s="81">
        <f ca="1">IFERROR(__xludf.DUMMYFUNCTION("""COMPUTED_VALUE"""),0)</f>
        <v>0</v>
      </c>
      <c r="M1648" s="81"/>
      <c r="N1648" s="81">
        <f ca="1">IFERROR(__xludf.DUMMYFUNCTION("""COMPUTED_VALUE"""),0)</f>
        <v>0</v>
      </c>
      <c r="O1648" s="81"/>
      <c r="P1648" s="81">
        <f ca="1">IFERROR(__xludf.DUMMYFUNCTION("""COMPUTED_VALUE"""),0)</f>
        <v>0</v>
      </c>
      <c r="Q1648" s="81"/>
      <c r="R1648" s="81">
        <f ca="1">IFERROR(__xludf.DUMMYFUNCTION("""COMPUTED_VALUE"""),0)</f>
        <v>0</v>
      </c>
      <c r="S1648" s="81"/>
      <c r="T1648" s="81"/>
      <c r="U1648" s="82"/>
      <c r="V1648" s="82"/>
      <c r="W1648" s="83"/>
      <c r="X1648" s="83"/>
      <c r="Y1648" s="83"/>
    </row>
    <row r="1649" spans="1:25" ht="13.8">
      <c r="A1649" s="78" t="str">
        <f ca="1">IFERROR(__xludf.DUMMYFUNCTION("""COMPUTED_VALUE"""),"PL")</f>
        <v>PL</v>
      </c>
      <c r="B1649" s="79" t="str">
        <f ca="1">IFERROR(__xludf.DUMMYFUNCTION("""COMPUTED_VALUE"""),"Elizabeth Beck")</f>
        <v>Elizabeth Beck</v>
      </c>
      <c r="C1649" s="78">
        <f ca="1">IFERROR(__xludf.DUMMYFUNCTION("""COMPUTED_VALUE"""),11)</f>
        <v>11</v>
      </c>
      <c r="D1649" s="78" t="str">
        <f ca="1">IFERROR(__xludf.DUMMYFUNCTION("""COMPUTED_VALUE"""),"G")</f>
        <v>G</v>
      </c>
      <c r="E1649" s="80" t="str">
        <f ca="1">IFERROR(__xludf.DUMMYFUNCTION("""COMPUTED_VALUE"""),"J")</f>
        <v>J</v>
      </c>
      <c r="F1649" s="80" t="str">
        <f ca="1">IFERROR(__xludf.DUMMYFUNCTION("""COMPUTED_VALUE"""),"I")</f>
        <v>I</v>
      </c>
      <c r="G1649" s="80">
        <f ca="1">IFERROR(__xludf.DUMMYFUNCTION("""COMPUTED_VALUE"""),8)</f>
        <v>8</v>
      </c>
      <c r="H1649" s="80" t="str">
        <f ca="1">IFERROR(__xludf.DUMMYFUNCTION("""COMPUTED_VALUE"""),"PL")</f>
        <v>PL</v>
      </c>
      <c r="I1649" s="80">
        <f ca="1">IFERROR(__xludf.DUMMYFUNCTION("""COMPUTED_VALUE"""),4)</f>
        <v>4</v>
      </c>
      <c r="J1649" s="81">
        <f ca="1">IFERROR(__xludf.DUMMYFUNCTION("""COMPUTED_VALUE"""),0)</f>
        <v>0</v>
      </c>
      <c r="K1649" s="81">
        <f ca="1">IFERROR(__xludf.DUMMYFUNCTION("""COMPUTED_VALUE"""),0)</f>
        <v>0</v>
      </c>
      <c r="L1649" s="81">
        <f ca="1">IFERROR(__xludf.DUMMYFUNCTION("""COMPUTED_VALUE"""),0)</f>
        <v>0</v>
      </c>
      <c r="M1649" s="81"/>
      <c r="N1649" s="81">
        <f ca="1">IFERROR(__xludf.DUMMYFUNCTION("""COMPUTED_VALUE"""),0)</f>
        <v>0</v>
      </c>
      <c r="O1649" s="81"/>
      <c r="P1649" s="81">
        <f ca="1">IFERROR(__xludf.DUMMYFUNCTION("""COMPUTED_VALUE"""),0)</f>
        <v>0</v>
      </c>
      <c r="Q1649" s="81"/>
      <c r="R1649" s="81">
        <f ca="1">IFERROR(__xludf.DUMMYFUNCTION("""COMPUTED_VALUE"""),0)</f>
        <v>0</v>
      </c>
      <c r="S1649" s="81"/>
      <c r="T1649" s="81"/>
      <c r="U1649" s="82"/>
      <c r="V1649" s="82"/>
      <c r="W1649" s="83"/>
      <c r="X1649" s="83"/>
      <c r="Y1649" s="83"/>
    </row>
    <row r="1650" spans="1:25" ht="13.8">
      <c r="A1650" s="78" t="str">
        <f ca="1">IFERROR(__xludf.DUMMYFUNCTION("""COMPUTED_VALUE"""),"PL")</f>
        <v>PL</v>
      </c>
      <c r="B1650" s="79" t="str">
        <f ca="1">IFERROR(__xludf.DUMMYFUNCTION("""COMPUTED_VALUE"""),"Brooke Hunnicutt")</f>
        <v>Brooke Hunnicutt</v>
      </c>
      <c r="C1650" s="78">
        <f ca="1">IFERROR(__xludf.DUMMYFUNCTION("""COMPUTED_VALUE"""),12)</f>
        <v>12</v>
      </c>
      <c r="D1650" s="78" t="str">
        <f ca="1">IFERROR(__xludf.DUMMYFUNCTION("""COMPUTED_VALUE"""),"G")</f>
        <v>G</v>
      </c>
      <c r="E1650" s="80" t="str">
        <f ca="1">IFERROR(__xludf.DUMMYFUNCTION("""COMPUTED_VALUE"""),"J")</f>
        <v>J</v>
      </c>
      <c r="F1650" s="80" t="str">
        <f ca="1">IFERROR(__xludf.DUMMYFUNCTION("""COMPUTED_VALUE"""),"I")</f>
        <v>I</v>
      </c>
      <c r="G1650" s="80">
        <f ca="1">IFERROR(__xludf.DUMMYFUNCTION("""COMPUTED_VALUE"""),8)</f>
        <v>8</v>
      </c>
      <c r="H1650" s="80" t="str">
        <f ca="1">IFERROR(__xludf.DUMMYFUNCTION("""COMPUTED_VALUE"""),"PL")</f>
        <v>PL</v>
      </c>
      <c r="I1650" s="80">
        <f ca="1">IFERROR(__xludf.DUMMYFUNCTION("""COMPUTED_VALUE"""),4)</f>
        <v>4</v>
      </c>
      <c r="J1650" s="81">
        <f ca="1">IFERROR(__xludf.DUMMYFUNCTION("""COMPUTED_VALUE"""),1)</f>
        <v>1</v>
      </c>
      <c r="K1650" s="81">
        <f ca="1">IFERROR(__xludf.DUMMYFUNCTION("""COMPUTED_VALUE"""),86.15)</f>
        <v>86.15</v>
      </c>
      <c r="L1650" s="81">
        <f ca="1">IFERROR(__xludf.DUMMYFUNCTION("""COMPUTED_VALUE"""),0)</f>
        <v>0</v>
      </c>
      <c r="M1650" s="81"/>
      <c r="N1650" s="81">
        <f ca="1">IFERROR(__xludf.DUMMYFUNCTION("""COMPUTED_VALUE"""),0)</f>
        <v>0</v>
      </c>
      <c r="O1650" s="81"/>
      <c r="P1650" s="81">
        <f ca="1">IFERROR(__xludf.DUMMYFUNCTION("""COMPUTED_VALUE"""),86.15)</f>
        <v>86.15</v>
      </c>
      <c r="Q1650" s="81"/>
      <c r="R1650" s="81">
        <f ca="1">IFERROR(__xludf.DUMMYFUNCTION("""COMPUTED_VALUE"""),0)</f>
        <v>0</v>
      </c>
      <c r="S1650" s="81"/>
      <c r="T1650" s="81"/>
      <c r="U1650" s="82"/>
      <c r="V1650" s="82"/>
      <c r="W1650" s="83"/>
      <c r="X1650" s="83"/>
      <c r="Y1650" s="83"/>
    </row>
    <row r="1651" spans="1:25" ht="13.8">
      <c r="A1651" s="78" t="str">
        <f ca="1">IFERROR(__xludf.DUMMYFUNCTION("""COMPUTED_VALUE"""),"PL")</f>
        <v>PL</v>
      </c>
      <c r="B1651" s="79" t="str">
        <f ca="1">IFERROR(__xludf.DUMMYFUNCTION("""COMPUTED_VALUE"""),"Rayna Johnson")</f>
        <v>Rayna Johnson</v>
      </c>
      <c r="C1651" s="78">
        <f ca="1">IFERROR(__xludf.DUMMYFUNCTION("""COMPUTED_VALUE"""),11)</f>
        <v>11</v>
      </c>
      <c r="D1651" s="78" t="str">
        <f ca="1">IFERROR(__xludf.DUMMYFUNCTION("""COMPUTED_VALUE"""),"G")</f>
        <v>G</v>
      </c>
      <c r="E1651" s="80" t="str">
        <f ca="1">IFERROR(__xludf.DUMMYFUNCTION("""COMPUTED_VALUE"""),"J")</f>
        <v>J</v>
      </c>
      <c r="F1651" s="80" t="str">
        <f ca="1">IFERROR(__xludf.DUMMYFUNCTION("""COMPUTED_VALUE"""),"I")</f>
        <v>I</v>
      </c>
      <c r="G1651" s="80">
        <f ca="1">IFERROR(__xludf.DUMMYFUNCTION("""COMPUTED_VALUE"""),8)</f>
        <v>8</v>
      </c>
      <c r="H1651" s="80" t="str">
        <f ca="1">IFERROR(__xludf.DUMMYFUNCTION("""COMPUTED_VALUE"""),"PL")</f>
        <v>PL</v>
      </c>
      <c r="I1651" s="80">
        <f ca="1">IFERROR(__xludf.DUMMYFUNCTION("""COMPUTED_VALUE"""),4)</f>
        <v>4</v>
      </c>
      <c r="J1651" s="81">
        <f ca="1">IFERROR(__xludf.DUMMYFUNCTION("""COMPUTED_VALUE"""),3)</f>
        <v>3</v>
      </c>
      <c r="K1651" s="81">
        <f ca="1">IFERROR(__xludf.DUMMYFUNCTION("""COMPUTED_VALUE"""),70.9)</f>
        <v>70.900000000000006</v>
      </c>
      <c r="L1651" s="81">
        <f ca="1">IFERROR(__xludf.DUMMYFUNCTION("""COMPUTED_VALUE"""),0)</f>
        <v>0</v>
      </c>
      <c r="M1651" s="81"/>
      <c r="N1651" s="81">
        <f ca="1">IFERROR(__xludf.DUMMYFUNCTION("""COMPUTED_VALUE"""),0)</f>
        <v>0</v>
      </c>
      <c r="O1651" s="81"/>
      <c r="P1651" s="81">
        <f ca="1">IFERROR(__xludf.DUMMYFUNCTION("""COMPUTED_VALUE"""),62.9)</f>
        <v>62.9</v>
      </c>
      <c r="Q1651" s="81"/>
      <c r="R1651" s="81">
        <f ca="1">IFERROR(__xludf.DUMMYFUNCTION("""COMPUTED_VALUE"""),70.9)</f>
        <v>70.900000000000006</v>
      </c>
      <c r="S1651" s="81"/>
      <c r="T1651" s="81"/>
      <c r="U1651" s="82"/>
      <c r="V1651" s="82"/>
      <c r="W1651" s="83"/>
      <c r="X1651" s="83"/>
      <c r="Y1651" s="83"/>
    </row>
    <row r="1652" spans="1:25" ht="13.8">
      <c r="A1652" s="78" t="str">
        <f ca="1">IFERROR(__xludf.DUMMYFUNCTION("""COMPUTED_VALUE"""),"PL")</f>
        <v>PL</v>
      </c>
      <c r="B1652" s="79" t="str">
        <f ca="1">IFERROR(__xludf.DUMMYFUNCTION("""COMPUTED_VALUE"""),"CW Johnston")</f>
        <v>CW Johnston</v>
      </c>
      <c r="C1652" s="78">
        <f ca="1">IFERROR(__xludf.DUMMYFUNCTION("""COMPUTED_VALUE"""),12)</f>
        <v>12</v>
      </c>
      <c r="D1652" s="78" t="str">
        <f ca="1">IFERROR(__xludf.DUMMYFUNCTION("""COMPUTED_VALUE"""),"G")</f>
        <v>G</v>
      </c>
      <c r="E1652" s="80" t="str">
        <f ca="1">IFERROR(__xludf.DUMMYFUNCTION("""COMPUTED_VALUE"""),"J")</f>
        <v>J</v>
      </c>
      <c r="F1652" s="80" t="str">
        <f ca="1">IFERROR(__xludf.DUMMYFUNCTION("""COMPUTED_VALUE"""),"I")</f>
        <v>I</v>
      </c>
      <c r="G1652" s="80">
        <f ca="1">IFERROR(__xludf.DUMMYFUNCTION("""COMPUTED_VALUE"""),8)</f>
        <v>8</v>
      </c>
      <c r="H1652" s="80" t="str">
        <f ca="1">IFERROR(__xludf.DUMMYFUNCTION("""COMPUTED_VALUE"""),"PL")</f>
        <v>PL</v>
      </c>
      <c r="I1652" s="80">
        <f ca="1">IFERROR(__xludf.DUMMYFUNCTION("""COMPUTED_VALUE"""),4)</f>
        <v>4</v>
      </c>
      <c r="J1652" s="81">
        <f ca="1">IFERROR(__xludf.DUMMYFUNCTION("""COMPUTED_VALUE"""),0)</f>
        <v>0</v>
      </c>
      <c r="K1652" s="81">
        <f ca="1">IFERROR(__xludf.DUMMYFUNCTION("""COMPUTED_VALUE"""),0)</f>
        <v>0</v>
      </c>
      <c r="L1652" s="81">
        <f ca="1">IFERROR(__xludf.DUMMYFUNCTION("""COMPUTED_VALUE"""),0)</f>
        <v>0</v>
      </c>
      <c r="M1652" s="81"/>
      <c r="N1652" s="81">
        <f ca="1">IFERROR(__xludf.DUMMYFUNCTION("""COMPUTED_VALUE"""),0)</f>
        <v>0</v>
      </c>
      <c r="O1652" s="81"/>
      <c r="P1652" s="81">
        <f ca="1">IFERROR(__xludf.DUMMYFUNCTION("""COMPUTED_VALUE"""),0)</f>
        <v>0</v>
      </c>
      <c r="Q1652" s="81"/>
      <c r="R1652" s="81">
        <f ca="1">IFERROR(__xludf.DUMMYFUNCTION("""COMPUTED_VALUE"""),0)</f>
        <v>0</v>
      </c>
      <c r="S1652" s="81"/>
      <c r="T1652" s="81"/>
      <c r="U1652" s="82"/>
      <c r="V1652" s="82"/>
      <c r="W1652" s="83"/>
      <c r="X1652" s="83"/>
      <c r="Y1652" s="83"/>
    </row>
    <row r="1653" spans="1:25" ht="13.8">
      <c r="A1653" s="78" t="str">
        <f ca="1">IFERROR(__xludf.DUMMYFUNCTION("""COMPUTED_VALUE"""),"PL")</f>
        <v>PL</v>
      </c>
      <c r="B1653" s="79" t="str">
        <f ca="1">IFERROR(__xludf.DUMMYFUNCTION("""COMPUTED_VALUE"""),"Lucia Pedrick")</f>
        <v>Lucia Pedrick</v>
      </c>
      <c r="C1653" s="78">
        <f ca="1">IFERROR(__xludf.DUMMYFUNCTION("""COMPUTED_VALUE"""),11)</f>
        <v>11</v>
      </c>
      <c r="D1653" s="78" t="str">
        <f ca="1">IFERROR(__xludf.DUMMYFUNCTION("""COMPUTED_VALUE"""),"G")</f>
        <v>G</v>
      </c>
      <c r="E1653" s="80" t="str">
        <f ca="1">IFERROR(__xludf.DUMMYFUNCTION("""COMPUTED_VALUE"""),"J")</f>
        <v>J</v>
      </c>
      <c r="F1653" s="80" t="str">
        <f ca="1">IFERROR(__xludf.DUMMYFUNCTION("""COMPUTED_VALUE"""),"I")</f>
        <v>I</v>
      </c>
      <c r="G1653" s="80">
        <f ca="1">IFERROR(__xludf.DUMMYFUNCTION("""COMPUTED_VALUE"""),8)</f>
        <v>8</v>
      </c>
      <c r="H1653" s="80" t="str">
        <f ca="1">IFERROR(__xludf.DUMMYFUNCTION("""COMPUTED_VALUE"""),"PL")</f>
        <v>PL</v>
      </c>
      <c r="I1653" s="80">
        <f ca="1">IFERROR(__xludf.DUMMYFUNCTION("""COMPUTED_VALUE"""),4)</f>
        <v>4</v>
      </c>
      <c r="J1653" s="81">
        <f ca="1">IFERROR(__xludf.DUMMYFUNCTION("""COMPUTED_VALUE"""),0)</f>
        <v>0</v>
      </c>
      <c r="K1653" s="81">
        <f ca="1">IFERROR(__xludf.DUMMYFUNCTION("""COMPUTED_VALUE"""),0)</f>
        <v>0</v>
      </c>
      <c r="L1653" s="81">
        <f ca="1">IFERROR(__xludf.DUMMYFUNCTION("""COMPUTED_VALUE"""),0)</f>
        <v>0</v>
      </c>
      <c r="M1653" s="81"/>
      <c r="N1653" s="81">
        <f ca="1">IFERROR(__xludf.DUMMYFUNCTION("""COMPUTED_VALUE"""),0)</f>
        <v>0</v>
      </c>
      <c r="O1653" s="81"/>
      <c r="P1653" s="81">
        <f ca="1">IFERROR(__xludf.DUMMYFUNCTION("""COMPUTED_VALUE"""),0)</f>
        <v>0</v>
      </c>
      <c r="Q1653" s="81"/>
      <c r="R1653" s="81">
        <f ca="1">IFERROR(__xludf.DUMMYFUNCTION("""COMPUTED_VALUE"""),0)</f>
        <v>0</v>
      </c>
      <c r="S1653" s="81"/>
      <c r="T1653" s="81"/>
      <c r="U1653" s="82"/>
      <c r="V1653" s="82"/>
      <c r="W1653" s="83"/>
      <c r="X1653" s="83"/>
      <c r="Y1653" s="83"/>
    </row>
    <row r="1654" spans="1:25" ht="13.8">
      <c r="A1654" s="78" t="str">
        <f ca="1">IFERROR(__xludf.DUMMYFUNCTION("""COMPUTED_VALUE"""),"PL")</f>
        <v>PL</v>
      </c>
      <c r="B1654" s="79" t="str">
        <f ca="1">IFERROR(__xludf.DUMMYFUNCTION("""COMPUTED_VALUE"""),"Josiah Aberra")</f>
        <v>Josiah Aberra</v>
      </c>
      <c r="C1654" s="78">
        <f ca="1">IFERROR(__xludf.DUMMYFUNCTION("""COMPUTED_VALUE"""),12)</f>
        <v>12</v>
      </c>
      <c r="D1654" s="78" t="str">
        <f ca="1">IFERROR(__xludf.DUMMYFUNCTION("""COMPUTED_VALUE"""),"B")</f>
        <v>B</v>
      </c>
      <c r="E1654" s="80" t="str">
        <f ca="1">IFERROR(__xludf.DUMMYFUNCTION("""COMPUTED_VALUE"""),"J")</f>
        <v>J</v>
      </c>
      <c r="F1654" s="80" t="str">
        <f ca="1">IFERROR(__xludf.DUMMYFUNCTION("""COMPUTED_VALUE"""),"I")</f>
        <v>I</v>
      </c>
      <c r="G1654" s="80">
        <f ca="1">IFERROR(__xludf.DUMMYFUNCTION("""COMPUTED_VALUE"""),8)</f>
        <v>8</v>
      </c>
      <c r="H1654" s="80" t="str">
        <f ca="1">IFERROR(__xludf.DUMMYFUNCTION("""COMPUTED_VALUE"""),"PL")</f>
        <v>PL</v>
      </c>
      <c r="I1654" s="80">
        <f ca="1">IFERROR(__xludf.DUMMYFUNCTION("""COMPUTED_VALUE"""),5)</f>
        <v>5</v>
      </c>
      <c r="J1654" s="81">
        <f ca="1">IFERROR(__xludf.DUMMYFUNCTION("""COMPUTED_VALUE"""),1)</f>
        <v>1</v>
      </c>
      <c r="K1654" s="81">
        <f ca="1">IFERROR(__xludf.DUMMYFUNCTION("""COMPUTED_VALUE"""),0)</f>
        <v>0</v>
      </c>
      <c r="L1654" s="81">
        <f ca="1">IFERROR(__xludf.DUMMYFUNCTION("""COMPUTED_VALUE"""),0)</f>
        <v>0</v>
      </c>
      <c r="M1654" s="81"/>
      <c r="N1654" s="81">
        <f ca="1">IFERROR(__xludf.DUMMYFUNCTION("""COMPUTED_VALUE"""),0)</f>
        <v>0</v>
      </c>
      <c r="O1654" s="81"/>
      <c r="P1654" s="81">
        <f ca="1">IFERROR(__xludf.DUMMYFUNCTION("""COMPUTED_VALUE"""),0)</f>
        <v>0</v>
      </c>
      <c r="Q1654" s="81"/>
      <c r="R1654" s="81">
        <f ca="1">IFERROR(__xludf.DUMMYFUNCTION("""COMPUTED_VALUE"""),0)</f>
        <v>0</v>
      </c>
      <c r="S1654" s="81"/>
      <c r="T1654" s="81"/>
      <c r="U1654" s="82"/>
      <c r="V1654" s="82"/>
      <c r="W1654" s="83"/>
      <c r="X1654" s="83"/>
      <c r="Y1654" s="83"/>
    </row>
    <row r="1655" spans="1:25" ht="13.8">
      <c r="A1655" s="78" t="str">
        <f ca="1">IFERROR(__xludf.DUMMYFUNCTION("""COMPUTED_VALUE"""),"PL")</f>
        <v>PL</v>
      </c>
      <c r="B1655" s="79" t="str">
        <f ca="1">IFERROR(__xludf.DUMMYFUNCTION("""COMPUTED_VALUE"""),"Mia Andonegui")</f>
        <v>Mia Andonegui</v>
      </c>
      <c r="C1655" s="78">
        <f ca="1">IFERROR(__xludf.DUMMYFUNCTION("""COMPUTED_VALUE"""),14)</f>
        <v>14</v>
      </c>
      <c r="D1655" s="78" t="str">
        <f ca="1">IFERROR(__xludf.DUMMYFUNCTION("""COMPUTED_VALUE"""),"G")</f>
        <v>G</v>
      </c>
      <c r="E1655" s="80" t="str">
        <f ca="1">IFERROR(__xludf.DUMMYFUNCTION("""COMPUTED_VALUE"""),"I")</f>
        <v>I</v>
      </c>
      <c r="F1655" s="80" t="str">
        <f ca="1">IFERROR(__xludf.DUMMYFUNCTION("""COMPUTED_VALUE"""),"S")</f>
        <v>S</v>
      </c>
      <c r="G1655" s="80">
        <f ca="1">IFERROR(__xludf.DUMMYFUNCTION("""COMPUTED_VALUE"""),8)</f>
        <v>8</v>
      </c>
      <c r="H1655" s="80" t="str">
        <f ca="1">IFERROR(__xludf.DUMMYFUNCTION("""COMPUTED_VALUE"""),"PL")</f>
        <v>PL</v>
      </c>
      <c r="I1655" s="80">
        <f ca="1">IFERROR(__xludf.DUMMYFUNCTION("""COMPUTED_VALUE"""),6)</f>
        <v>6</v>
      </c>
      <c r="J1655" s="81">
        <f ca="1">IFERROR(__xludf.DUMMYFUNCTION("""COMPUTED_VALUE"""),0)</f>
        <v>0</v>
      </c>
      <c r="K1655" s="81">
        <f ca="1">IFERROR(__xludf.DUMMYFUNCTION("""COMPUTED_VALUE"""),0)</f>
        <v>0</v>
      </c>
      <c r="L1655" s="81">
        <f ca="1">IFERROR(__xludf.DUMMYFUNCTION("""COMPUTED_VALUE"""),0)</f>
        <v>0</v>
      </c>
      <c r="M1655" s="81"/>
      <c r="N1655" s="81">
        <f ca="1">IFERROR(__xludf.DUMMYFUNCTION("""COMPUTED_VALUE"""),0)</f>
        <v>0</v>
      </c>
      <c r="O1655" s="81"/>
      <c r="P1655" s="81">
        <f ca="1">IFERROR(__xludf.DUMMYFUNCTION("""COMPUTED_VALUE"""),0)</f>
        <v>0</v>
      </c>
      <c r="Q1655" s="81"/>
      <c r="R1655" s="81">
        <f ca="1">IFERROR(__xludf.DUMMYFUNCTION("""COMPUTED_VALUE"""),0)</f>
        <v>0</v>
      </c>
      <c r="S1655" s="81"/>
      <c r="T1655" s="81"/>
      <c r="U1655" s="82"/>
      <c r="V1655" s="82"/>
      <c r="W1655" s="83"/>
      <c r="X1655" s="83"/>
      <c r="Y1655" s="83"/>
    </row>
    <row r="1656" spans="1:25" ht="13.8">
      <c r="A1656" s="78" t="str">
        <f ca="1">IFERROR(__xludf.DUMMYFUNCTION("""COMPUTED_VALUE"""),"PL")</f>
        <v>PL</v>
      </c>
      <c r="B1656" s="79" t="str">
        <f ca="1">IFERROR(__xludf.DUMMYFUNCTION("""COMPUTED_VALUE"""),"Hanna Balcha")</f>
        <v>Hanna Balcha</v>
      </c>
      <c r="C1656" s="78">
        <f ca="1">IFERROR(__xludf.DUMMYFUNCTION("""COMPUTED_VALUE"""),13)</f>
        <v>13</v>
      </c>
      <c r="D1656" s="78" t="str">
        <f ca="1">IFERROR(__xludf.DUMMYFUNCTION("""COMPUTED_VALUE"""),"G")</f>
        <v>G</v>
      </c>
      <c r="E1656" s="80" t="str">
        <f ca="1">IFERROR(__xludf.DUMMYFUNCTION("""COMPUTED_VALUE"""),"I")</f>
        <v>I</v>
      </c>
      <c r="F1656" s="80" t="str">
        <f ca="1">IFERROR(__xludf.DUMMYFUNCTION("""COMPUTED_VALUE"""),"S")</f>
        <v>S</v>
      </c>
      <c r="G1656" s="80">
        <f ca="1">IFERROR(__xludf.DUMMYFUNCTION("""COMPUTED_VALUE"""),8)</f>
        <v>8</v>
      </c>
      <c r="H1656" s="80" t="str">
        <f ca="1">IFERROR(__xludf.DUMMYFUNCTION("""COMPUTED_VALUE"""),"PL")</f>
        <v>PL</v>
      </c>
      <c r="I1656" s="80">
        <f ca="1">IFERROR(__xludf.DUMMYFUNCTION("""COMPUTED_VALUE"""),6)</f>
        <v>6</v>
      </c>
      <c r="J1656" s="81">
        <f ca="1">IFERROR(__xludf.DUMMYFUNCTION("""COMPUTED_VALUE"""),0)</f>
        <v>0</v>
      </c>
      <c r="K1656" s="81">
        <f ca="1">IFERROR(__xludf.DUMMYFUNCTION("""COMPUTED_VALUE"""),0)</f>
        <v>0</v>
      </c>
      <c r="L1656" s="81">
        <f ca="1">IFERROR(__xludf.DUMMYFUNCTION("""COMPUTED_VALUE"""),0)</f>
        <v>0</v>
      </c>
      <c r="M1656" s="81"/>
      <c r="N1656" s="81">
        <f ca="1">IFERROR(__xludf.DUMMYFUNCTION("""COMPUTED_VALUE"""),0)</f>
        <v>0</v>
      </c>
      <c r="O1656" s="81"/>
      <c r="P1656" s="81">
        <f ca="1">IFERROR(__xludf.DUMMYFUNCTION("""COMPUTED_VALUE"""),0)</f>
        <v>0</v>
      </c>
      <c r="Q1656" s="81"/>
      <c r="R1656" s="81">
        <f ca="1">IFERROR(__xludf.DUMMYFUNCTION("""COMPUTED_VALUE"""),0)</f>
        <v>0</v>
      </c>
      <c r="S1656" s="81"/>
      <c r="T1656" s="81"/>
      <c r="U1656" s="82"/>
      <c r="V1656" s="82"/>
      <c r="W1656" s="83"/>
      <c r="X1656" s="83"/>
      <c r="Y1656" s="83"/>
    </row>
    <row r="1657" spans="1:25" ht="13.8">
      <c r="A1657" s="78" t="str">
        <f ca="1">IFERROR(__xludf.DUMMYFUNCTION("""COMPUTED_VALUE"""),"PL")</f>
        <v>PL</v>
      </c>
      <c r="B1657" s="79" t="str">
        <f ca="1">IFERROR(__xludf.DUMMYFUNCTION("""COMPUTED_VALUE"""),"Alexa Bayer")</f>
        <v>Alexa Bayer</v>
      </c>
      <c r="C1657" s="78">
        <f ca="1">IFERROR(__xludf.DUMMYFUNCTION("""COMPUTED_VALUE"""),13)</f>
        <v>13</v>
      </c>
      <c r="D1657" s="78" t="str">
        <f ca="1">IFERROR(__xludf.DUMMYFUNCTION("""COMPUTED_VALUE"""),"G")</f>
        <v>G</v>
      </c>
      <c r="E1657" s="80" t="str">
        <f ca="1">IFERROR(__xludf.DUMMYFUNCTION("""COMPUTED_VALUE"""),"I")</f>
        <v>I</v>
      </c>
      <c r="F1657" s="80" t="str">
        <f ca="1">IFERROR(__xludf.DUMMYFUNCTION("""COMPUTED_VALUE"""),"S")</f>
        <v>S</v>
      </c>
      <c r="G1657" s="80">
        <f ca="1">IFERROR(__xludf.DUMMYFUNCTION("""COMPUTED_VALUE"""),8)</f>
        <v>8</v>
      </c>
      <c r="H1657" s="80" t="str">
        <f ca="1">IFERROR(__xludf.DUMMYFUNCTION("""COMPUTED_VALUE"""),"PL")</f>
        <v>PL</v>
      </c>
      <c r="I1657" s="80">
        <f ca="1">IFERROR(__xludf.DUMMYFUNCTION("""COMPUTED_VALUE"""),6)</f>
        <v>6</v>
      </c>
      <c r="J1657" s="81">
        <f ca="1">IFERROR(__xludf.DUMMYFUNCTION("""COMPUTED_VALUE"""),0)</f>
        <v>0</v>
      </c>
      <c r="K1657" s="81">
        <f ca="1">IFERROR(__xludf.DUMMYFUNCTION("""COMPUTED_VALUE"""),0)</f>
        <v>0</v>
      </c>
      <c r="L1657" s="81">
        <f ca="1">IFERROR(__xludf.DUMMYFUNCTION("""COMPUTED_VALUE"""),0)</f>
        <v>0</v>
      </c>
      <c r="M1657" s="81"/>
      <c r="N1657" s="81">
        <f ca="1">IFERROR(__xludf.DUMMYFUNCTION("""COMPUTED_VALUE"""),0)</f>
        <v>0</v>
      </c>
      <c r="O1657" s="81"/>
      <c r="P1657" s="81">
        <f ca="1">IFERROR(__xludf.DUMMYFUNCTION("""COMPUTED_VALUE"""),0)</f>
        <v>0</v>
      </c>
      <c r="Q1657" s="81"/>
      <c r="R1657" s="81">
        <f ca="1">IFERROR(__xludf.DUMMYFUNCTION("""COMPUTED_VALUE"""),0)</f>
        <v>0</v>
      </c>
      <c r="S1657" s="81"/>
      <c r="T1657" s="81"/>
      <c r="U1657" s="82"/>
      <c r="V1657" s="82"/>
      <c r="W1657" s="83"/>
      <c r="X1657" s="83"/>
      <c r="Y1657" s="83"/>
    </row>
    <row r="1658" spans="1:25" ht="13.8">
      <c r="A1658" s="78" t="str">
        <f ca="1">IFERROR(__xludf.DUMMYFUNCTION("""COMPUTED_VALUE"""),"PL")</f>
        <v>PL</v>
      </c>
      <c r="B1658" s="79" t="str">
        <f ca="1">IFERROR(__xludf.DUMMYFUNCTION("""COMPUTED_VALUE"""),"Daysi Cruz")</f>
        <v>Daysi Cruz</v>
      </c>
      <c r="C1658" s="78">
        <f ca="1">IFERROR(__xludf.DUMMYFUNCTION("""COMPUTED_VALUE"""),13)</f>
        <v>13</v>
      </c>
      <c r="D1658" s="78" t="str">
        <f ca="1">IFERROR(__xludf.DUMMYFUNCTION("""COMPUTED_VALUE"""),"G")</f>
        <v>G</v>
      </c>
      <c r="E1658" s="80" t="str">
        <f ca="1">IFERROR(__xludf.DUMMYFUNCTION("""COMPUTED_VALUE"""),"I")</f>
        <v>I</v>
      </c>
      <c r="F1658" s="80" t="str">
        <f ca="1">IFERROR(__xludf.DUMMYFUNCTION("""COMPUTED_VALUE"""),"S")</f>
        <v>S</v>
      </c>
      <c r="G1658" s="80">
        <f ca="1">IFERROR(__xludf.DUMMYFUNCTION("""COMPUTED_VALUE"""),8)</f>
        <v>8</v>
      </c>
      <c r="H1658" s="80" t="str">
        <f ca="1">IFERROR(__xludf.DUMMYFUNCTION("""COMPUTED_VALUE"""),"PL")</f>
        <v>PL</v>
      </c>
      <c r="I1658" s="80">
        <f ca="1">IFERROR(__xludf.DUMMYFUNCTION("""COMPUTED_VALUE"""),6)</f>
        <v>6</v>
      </c>
      <c r="J1658" s="81">
        <f ca="1">IFERROR(__xludf.DUMMYFUNCTION("""COMPUTED_VALUE"""),3)</f>
        <v>3</v>
      </c>
      <c r="K1658" s="81">
        <f ca="1">IFERROR(__xludf.DUMMYFUNCTION("""COMPUTED_VALUE"""),99.9)</f>
        <v>99.9</v>
      </c>
      <c r="L1658" s="81">
        <f ca="1">IFERROR(__xludf.DUMMYFUNCTION("""COMPUTED_VALUE"""),0)</f>
        <v>0</v>
      </c>
      <c r="M1658" s="81"/>
      <c r="N1658" s="81">
        <f ca="1">IFERROR(__xludf.DUMMYFUNCTION("""COMPUTED_VALUE"""),78)</f>
        <v>78</v>
      </c>
      <c r="O1658" s="81"/>
      <c r="P1658" s="81">
        <f ca="1">IFERROR(__xludf.DUMMYFUNCTION("""COMPUTED_VALUE"""),99.9)</f>
        <v>99.9</v>
      </c>
      <c r="Q1658" s="81"/>
      <c r="R1658" s="81">
        <f ca="1">IFERROR(__xludf.DUMMYFUNCTION("""COMPUTED_VALUE"""),99.2)</f>
        <v>99.2</v>
      </c>
      <c r="S1658" s="81"/>
      <c r="T1658" s="81"/>
      <c r="U1658" s="82"/>
      <c r="V1658" s="82"/>
      <c r="W1658" s="83"/>
      <c r="X1658" s="83"/>
      <c r="Y1658" s="83"/>
    </row>
    <row r="1659" spans="1:25" ht="13.8">
      <c r="A1659" s="78" t="str">
        <f ca="1">IFERROR(__xludf.DUMMYFUNCTION("""COMPUTED_VALUE"""),"PL")</f>
        <v>PL</v>
      </c>
      <c r="B1659" s="79" t="str">
        <f ca="1">IFERROR(__xludf.DUMMYFUNCTION("""COMPUTED_VALUE"""),"Ella Galway")</f>
        <v>Ella Galway</v>
      </c>
      <c r="C1659" s="78">
        <f ca="1">IFERROR(__xludf.DUMMYFUNCTION("""COMPUTED_VALUE"""),14)</f>
        <v>14</v>
      </c>
      <c r="D1659" s="78" t="str">
        <f ca="1">IFERROR(__xludf.DUMMYFUNCTION("""COMPUTED_VALUE"""),"G")</f>
        <v>G</v>
      </c>
      <c r="E1659" s="80" t="str">
        <f ca="1">IFERROR(__xludf.DUMMYFUNCTION("""COMPUTED_VALUE"""),"I")</f>
        <v>I</v>
      </c>
      <c r="F1659" s="80" t="str">
        <f ca="1">IFERROR(__xludf.DUMMYFUNCTION("""COMPUTED_VALUE"""),"S")</f>
        <v>S</v>
      </c>
      <c r="G1659" s="80">
        <f ca="1">IFERROR(__xludf.DUMMYFUNCTION("""COMPUTED_VALUE"""),8)</f>
        <v>8</v>
      </c>
      <c r="H1659" s="80" t="str">
        <f ca="1">IFERROR(__xludf.DUMMYFUNCTION("""COMPUTED_VALUE"""),"PL")</f>
        <v>PL</v>
      </c>
      <c r="I1659" s="80">
        <f ca="1">IFERROR(__xludf.DUMMYFUNCTION("""COMPUTED_VALUE"""),6)</f>
        <v>6</v>
      </c>
      <c r="J1659" s="81">
        <f ca="1">IFERROR(__xludf.DUMMYFUNCTION("""COMPUTED_VALUE"""),0)</f>
        <v>0</v>
      </c>
      <c r="K1659" s="81">
        <f ca="1">IFERROR(__xludf.DUMMYFUNCTION("""COMPUTED_VALUE"""),0)</f>
        <v>0</v>
      </c>
      <c r="L1659" s="81">
        <f ca="1">IFERROR(__xludf.DUMMYFUNCTION("""COMPUTED_VALUE"""),0)</f>
        <v>0</v>
      </c>
      <c r="M1659" s="81"/>
      <c r="N1659" s="81">
        <f ca="1">IFERROR(__xludf.DUMMYFUNCTION("""COMPUTED_VALUE"""),0)</f>
        <v>0</v>
      </c>
      <c r="O1659" s="81"/>
      <c r="P1659" s="81">
        <f ca="1">IFERROR(__xludf.DUMMYFUNCTION("""COMPUTED_VALUE"""),0)</f>
        <v>0</v>
      </c>
      <c r="Q1659" s="81"/>
      <c r="R1659" s="81">
        <f ca="1">IFERROR(__xludf.DUMMYFUNCTION("""COMPUTED_VALUE"""),0)</f>
        <v>0</v>
      </c>
      <c r="S1659" s="81"/>
      <c r="T1659" s="81"/>
      <c r="U1659" s="82"/>
      <c r="V1659" s="82"/>
      <c r="W1659" s="83"/>
      <c r="X1659" s="83"/>
      <c r="Y1659" s="83"/>
    </row>
    <row r="1660" spans="1:25" ht="13.8">
      <c r="A1660" s="78" t="str">
        <f ca="1">IFERROR(__xludf.DUMMYFUNCTION("""COMPUTED_VALUE"""),"PL")</f>
        <v>PL</v>
      </c>
      <c r="B1660" s="79" t="str">
        <f ca="1">IFERROR(__xludf.DUMMYFUNCTION("""COMPUTED_VALUE"""),"Tess Galway")</f>
        <v>Tess Galway</v>
      </c>
      <c r="C1660" s="78">
        <f ca="1">IFERROR(__xludf.DUMMYFUNCTION("""COMPUTED_VALUE"""),14)</f>
        <v>14</v>
      </c>
      <c r="D1660" s="78" t="str">
        <f ca="1">IFERROR(__xludf.DUMMYFUNCTION("""COMPUTED_VALUE"""),"G")</f>
        <v>G</v>
      </c>
      <c r="E1660" s="80" t="str">
        <f ca="1">IFERROR(__xludf.DUMMYFUNCTION("""COMPUTED_VALUE"""),"I")</f>
        <v>I</v>
      </c>
      <c r="F1660" s="80" t="str">
        <f ca="1">IFERROR(__xludf.DUMMYFUNCTION("""COMPUTED_VALUE"""),"S")</f>
        <v>S</v>
      </c>
      <c r="G1660" s="80">
        <f ca="1">IFERROR(__xludf.DUMMYFUNCTION("""COMPUTED_VALUE"""),8)</f>
        <v>8</v>
      </c>
      <c r="H1660" s="80" t="str">
        <f ca="1">IFERROR(__xludf.DUMMYFUNCTION("""COMPUTED_VALUE"""),"PL")</f>
        <v>PL</v>
      </c>
      <c r="I1660" s="80">
        <f ca="1">IFERROR(__xludf.DUMMYFUNCTION("""COMPUTED_VALUE"""),6)</f>
        <v>6</v>
      </c>
      <c r="J1660" s="81">
        <f ca="1">IFERROR(__xludf.DUMMYFUNCTION("""COMPUTED_VALUE"""),5)</f>
        <v>5</v>
      </c>
      <c r="K1660" s="81">
        <f ca="1">IFERROR(__xludf.DUMMYFUNCTION("""COMPUTED_VALUE"""),162.75)</f>
        <v>162.75</v>
      </c>
      <c r="L1660" s="81">
        <f ca="1">IFERROR(__xludf.DUMMYFUNCTION("""COMPUTED_VALUE"""),142.85)</f>
        <v>142.85</v>
      </c>
      <c r="M1660" s="81"/>
      <c r="N1660" s="81">
        <f ca="1">IFERROR(__xludf.DUMMYFUNCTION("""COMPUTED_VALUE"""),148.05)</f>
        <v>148.05000000000001</v>
      </c>
      <c r="O1660" s="81"/>
      <c r="P1660" s="81">
        <f ca="1">IFERROR(__xludf.DUMMYFUNCTION("""COMPUTED_VALUE"""),147.35)</f>
        <v>147.35</v>
      </c>
      <c r="Q1660" s="81"/>
      <c r="R1660" s="81">
        <f ca="1">IFERROR(__xludf.DUMMYFUNCTION("""COMPUTED_VALUE"""),162.75)</f>
        <v>162.75</v>
      </c>
      <c r="S1660" s="81"/>
      <c r="T1660" s="81"/>
      <c r="U1660" s="82"/>
      <c r="V1660" s="82"/>
      <c r="W1660" s="83"/>
      <c r="X1660" s="83"/>
      <c r="Y1660" s="83"/>
    </row>
    <row r="1661" spans="1:25" ht="13.8">
      <c r="A1661" s="78" t="str">
        <f ca="1">IFERROR(__xludf.DUMMYFUNCTION("""COMPUTED_VALUE"""),"PL")</f>
        <v>PL</v>
      </c>
      <c r="B1661" s="79" t="str">
        <f ca="1">IFERROR(__xludf.DUMMYFUNCTION("""COMPUTED_VALUE"""),"Emma Hill")</f>
        <v>Emma Hill</v>
      </c>
      <c r="C1661" s="78">
        <f ca="1">IFERROR(__xludf.DUMMYFUNCTION("""COMPUTED_VALUE"""),13)</f>
        <v>13</v>
      </c>
      <c r="D1661" s="78" t="str">
        <f ca="1">IFERROR(__xludf.DUMMYFUNCTION("""COMPUTED_VALUE"""),"G")</f>
        <v>G</v>
      </c>
      <c r="E1661" s="80" t="str">
        <f ca="1">IFERROR(__xludf.DUMMYFUNCTION("""COMPUTED_VALUE"""),"I")</f>
        <v>I</v>
      </c>
      <c r="F1661" s="80" t="str">
        <f ca="1">IFERROR(__xludf.DUMMYFUNCTION("""COMPUTED_VALUE"""),"S")</f>
        <v>S</v>
      </c>
      <c r="G1661" s="80">
        <f ca="1">IFERROR(__xludf.DUMMYFUNCTION("""COMPUTED_VALUE"""),8)</f>
        <v>8</v>
      </c>
      <c r="H1661" s="80" t="str">
        <f ca="1">IFERROR(__xludf.DUMMYFUNCTION("""COMPUTED_VALUE"""),"PL")</f>
        <v>PL</v>
      </c>
      <c r="I1661" s="80">
        <f ca="1">IFERROR(__xludf.DUMMYFUNCTION("""COMPUTED_VALUE"""),6)</f>
        <v>6</v>
      </c>
      <c r="J1661" s="81">
        <f ca="1">IFERROR(__xludf.DUMMYFUNCTION("""COMPUTED_VALUE"""),3)</f>
        <v>3</v>
      </c>
      <c r="K1661" s="81">
        <f ca="1">IFERROR(__xludf.DUMMYFUNCTION("""COMPUTED_VALUE"""),93.8)</f>
        <v>93.8</v>
      </c>
      <c r="L1661" s="81">
        <f ca="1">IFERROR(__xludf.DUMMYFUNCTION("""COMPUTED_VALUE"""),93.8)</f>
        <v>93.8</v>
      </c>
      <c r="M1661" s="81"/>
      <c r="N1661" s="81">
        <f ca="1">IFERROR(__xludf.DUMMYFUNCTION("""COMPUTED_VALUE"""),0)</f>
        <v>0</v>
      </c>
      <c r="O1661" s="81"/>
      <c r="P1661" s="81">
        <f ca="1">IFERROR(__xludf.DUMMYFUNCTION("""COMPUTED_VALUE"""),89.85)</f>
        <v>89.85</v>
      </c>
      <c r="Q1661" s="81"/>
      <c r="R1661" s="81">
        <f ca="1">IFERROR(__xludf.DUMMYFUNCTION("""COMPUTED_VALUE"""),0)</f>
        <v>0</v>
      </c>
      <c r="S1661" s="81"/>
      <c r="T1661" s="81"/>
      <c r="U1661" s="82"/>
      <c r="V1661" s="82"/>
      <c r="W1661" s="83"/>
      <c r="X1661" s="83"/>
      <c r="Y1661" s="83"/>
    </row>
    <row r="1662" spans="1:25" ht="13.8">
      <c r="A1662" s="78" t="str">
        <f ca="1">IFERROR(__xludf.DUMMYFUNCTION("""COMPUTED_VALUE"""),"PL")</f>
        <v>PL</v>
      </c>
      <c r="B1662" s="79" t="str">
        <f ca="1">IFERROR(__xludf.DUMMYFUNCTION("""COMPUTED_VALUE"""),"Sophia Johnson")</f>
        <v>Sophia Johnson</v>
      </c>
      <c r="C1662" s="78">
        <f ca="1">IFERROR(__xludf.DUMMYFUNCTION("""COMPUTED_VALUE"""),14)</f>
        <v>14</v>
      </c>
      <c r="D1662" s="78" t="str">
        <f ca="1">IFERROR(__xludf.DUMMYFUNCTION("""COMPUTED_VALUE"""),"G")</f>
        <v>G</v>
      </c>
      <c r="E1662" s="80" t="str">
        <f ca="1">IFERROR(__xludf.DUMMYFUNCTION("""COMPUTED_VALUE"""),"I")</f>
        <v>I</v>
      </c>
      <c r="F1662" s="80" t="str">
        <f ca="1">IFERROR(__xludf.DUMMYFUNCTION("""COMPUTED_VALUE"""),"S")</f>
        <v>S</v>
      </c>
      <c r="G1662" s="80">
        <f ca="1">IFERROR(__xludf.DUMMYFUNCTION("""COMPUTED_VALUE"""),8)</f>
        <v>8</v>
      </c>
      <c r="H1662" s="80" t="str">
        <f ca="1">IFERROR(__xludf.DUMMYFUNCTION("""COMPUTED_VALUE"""),"PL")</f>
        <v>PL</v>
      </c>
      <c r="I1662" s="80">
        <f ca="1">IFERROR(__xludf.DUMMYFUNCTION("""COMPUTED_VALUE"""),6)</f>
        <v>6</v>
      </c>
      <c r="J1662" s="81">
        <f ca="1">IFERROR(__xludf.DUMMYFUNCTION("""COMPUTED_VALUE"""),0)</f>
        <v>0</v>
      </c>
      <c r="K1662" s="81">
        <f ca="1">IFERROR(__xludf.DUMMYFUNCTION("""COMPUTED_VALUE"""),0)</f>
        <v>0</v>
      </c>
      <c r="L1662" s="81">
        <f ca="1">IFERROR(__xludf.DUMMYFUNCTION("""COMPUTED_VALUE"""),0)</f>
        <v>0</v>
      </c>
      <c r="M1662" s="81"/>
      <c r="N1662" s="81">
        <f ca="1">IFERROR(__xludf.DUMMYFUNCTION("""COMPUTED_VALUE"""),0)</f>
        <v>0</v>
      </c>
      <c r="O1662" s="81"/>
      <c r="P1662" s="81">
        <f ca="1">IFERROR(__xludf.DUMMYFUNCTION("""COMPUTED_VALUE"""),0)</f>
        <v>0</v>
      </c>
      <c r="Q1662" s="81"/>
      <c r="R1662" s="81">
        <f ca="1">IFERROR(__xludf.DUMMYFUNCTION("""COMPUTED_VALUE"""),0)</f>
        <v>0</v>
      </c>
      <c r="S1662" s="81"/>
      <c r="T1662" s="81"/>
      <c r="U1662" s="82"/>
      <c r="V1662" s="82"/>
      <c r="W1662" s="83"/>
      <c r="X1662" s="83"/>
      <c r="Y1662" s="83"/>
    </row>
    <row r="1663" spans="1:25" ht="13.8">
      <c r="A1663" s="78" t="str">
        <f ca="1">IFERROR(__xludf.DUMMYFUNCTION("""COMPUTED_VALUE"""),"PL")</f>
        <v>PL</v>
      </c>
      <c r="B1663" s="79" t="str">
        <f ca="1">IFERROR(__xludf.DUMMYFUNCTION("""COMPUTED_VALUE"""),"Julia Kaldahl")</f>
        <v>Julia Kaldahl</v>
      </c>
      <c r="C1663" s="78">
        <f ca="1">IFERROR(__xludf.DUMMYFUNCTION("""COMPUTED_VALUE"""),13)</f>
        <v>13</v>
      </c>
      <c r="D1663" s="78" t="str">
        <f ca="1">IFERROR(__xludf.DUMMYFUNCTION("""COMPUTED_VALUE"""),"G")</f>
        <v>G</v>
      </c>
      <c r="E1663" s="80" t="str">
        <f ca="1">IFERROR(__xludf.DUMMYFUNCTION("""COMPUTED_VALUE"""),"I")</f>
        <v>I</v>
      </c>
      <c r="F1663" s="80" t="str">
        <f ca="1">IFERROR(__xludf.DUMMYFUNCTION("""COMPUTED_VALUE"""),"S")</f>
        <v>S</v>
      </c>
      <c r="G1663" s="80">
        <f ca="1">IFERROR(__xludf.DUMMYFUNCTION("""COMPUTED_VALUE"""),8)</f>
        <v>8</v>
      </c>
      <c r="H1663" s="80" t="str">
        <f ca="1">IFERROR(__xludf.DUMMYFUNCTION("""COMPUTED_VALUE"""),"PL")</f>
        <v>PL</v>
      </c>
      <c r="I1663" s="80">
        <f ca="1">IFERROR(__xludf.DUMMYFUNCTION("""COMPUTED_VALUE"""),6)</f>
        <v>6</v>
      </c>
      <c r="J1663" s="81">
        <f ca="1">IFERROR(__xludf.DUMMYFUNCTION("""COMPUTED_VALUE"""),2)</f>
        <v>2</v>
      </c>
      <c r="K1663" s="81">
        <f ca="1">IFERROR(__xludf.DUMMYFUNCTION("""COMPUTED_VALUE"""),91.65)</f>
        <v>91.65</v>
      </c>
      <c r="L1663" s="81">
        <f ca="1">IFERROR(__xludf.DUMMYFUNCTION("""COMPUTED_VALUE"""),0)</f>
        <v>0</v>
      </c>
      <c r="M1663" s="81"/>
      <c r="N1663" s="81">
        <f ca="1">IFERROR(__xludf.DUMMYFUNCTION("""COMPUTED_VALUE"""),0)</f>
        <v>0</v>
      </c>
      <c r="O1663" s="81"/>
      <c r="P1663" s="81">
        <f ca="1">IFERROR(__xludf.DUMMYFUNCTION("""COMPUTED_VALUE"""),91.65)</f>
        <v>91.65</v>
      </c>
      <c r="Q1663" s="81"/>
      <c r="R1663" s="81">
        <f ca="1">IFERROR(__xludf.DUMMYFUNCTION("""COMPUTED_VALUE"""),0)</f>
        <v>0</v>
      </c>
      <c r="S1663" s="81"/>
      <c r="T1663" s="81"/>
      <c r="U1663" s="82"/>
      <c r="V1663" s="82"/>
      <c r="W1663" s="83"/>
      <c r="X1663" s="83"/>
      <c r="Y1663" s="83"/>
    </row>
    <row r="1664" spans="1:25" ht="13.8">
      <c r="A1664" s="78" t="str">
        <f ca="1">IFERROR(__xludf.DUMMYFUNCTION("""COMPUTED_VALUE"""),"PL")</f>
        <v>PL</v>
      </c>
      <c r="B1664" s="79" t="str">
        <f ca="1">IFERROR(__xludf.DUMMYFUNCTION("""COMPUTED_VALUE"""),"Camila Perez")</f>
        <v>Camila Perez</v>
      </c>
      <c r="C1664" s="78">
        <f ca="1">IFERROR(__xludf.DUMMYFUNCTION("""COMPUTED_VALUE"""),13)</f>
        <v>13</v>
      </c>
      <c r="D1664" s="78" t="str">
        <f ca="1">IFERROR(__xludf.DUMMYFUNCTION("""COMPUTED_VALUE"""),"G")</f>
        <v>G</v>
      </c>
      <c r="E1664" s="80" t="str">
        <f ca="1">IFERROR(__xludf.DUMMYFUNCTION("""COMPUTED_VALUE"""),"I")</f>
        <v>I</v>
      </c>
      <c r="F1664" s="80" t="str">
        <f ca="1">IFERROR(__xludf.DUMMYFUNCTION("""COMPUTED_VALUE"""),"S")</f>
        <v>S</v>
      </c>
      <c r="G1664" s="80">
        <f ca="1">IFERROR(__xludf.DUMMYFUNCTION("""COMPUTED_VALUE"""),8)</f>
        <v>8</v>
      </c>
      <c r="H1664" s="80" t="str">
        <f ca="1">IFERROR(__xludf.DUMMYFUNCTION("""COMPUTED_VALUE"""),"PL")</f>
        <v>PL</v>
      </c>
      <c r="I1664" s="80">
        <f ca="1">IFERROR(__xludf.DUMMYFUNCTION("""COMPUTED_VALUE"""),6)</f>
        <v>6</v>
      </c>
      <c r="J1664" s="81">
        <f ca="1">IFERROR(__xludf.DUMMYFUNCTION("""COMPUTED_VALUE"""),0)</f>
        <v>0</v>
      </c>
      <c r="K1664" s="81">
        <f ca="1">IFERROR(__xludf.DUMMYFUNCTION("""COMPUTED_VALUE"""),0)</f>
        <v>0</v>
      </c>
      <c r="L1664" s="81">
        <f ca="1">IFERROR(__xludf.DUMMYFUNCTION("""COMPUTED_VALUE"""),0)</f>
        <v>0</v>
      </c>
      <c r="M1664" s="81"/>
      <c r="N1664" s="81">
        <f ca="1">IFERROR(__xludf.DUMMYFUNCTION("""COMPUTED_VALUE"""),0)</f>
        <v>0</v>
      </c>
      <c r="O1664" s="81"/>
      <c r="P1664" s="81">
        <f ca="1">IFERROR(__xludf.DUMMYFUNCTION("""COMPUTED_VALUE"""),0)</f>
        <v>0</v>
      </c>
      <c r="Q1664" s="81"/>
      <c r="R1664" s="81">
        <f ca="1">IFERROR(__xludf.DUMMYFUNCTION("""COMPUTED_VALUE"""),0)</f>
        <v>0</v>
      </c>
      <c r="S1664" s="81"/>
      <c r="T1664" s="81"/>
      <c r="U1664" s="82"/>
      <c r="V1664" s="82"/>
      <c r="W1664" s="83"/>
      <c r="X1664" s="83"/>
      <c r="Y1664" s="83"/>
    </row>
    <row r="1665" spans="1:25" ht="13.8">
      <c r="A1665" s="78" t="str">
        <f ca="1">IFERROR(__xludf.DUMMYFUNCTION("""COMPUTED_VALUE"""),"PL")</f>
        <v>PL</v>
      </c>
      <c r="B1665" s="79" t="str">
        <f ca="1">IFERROR(__xludf.DUMMYFUNCTION("""COMPUTED_VALUE"""),"Nathanael Aberra")</f>
        <v>Nathanael Aberra</v>
      </c>
      <c r="C1665" s="78">
        <f ca="1">IFERROR(__xludf.DUMMYFUNCTION("""COMPUTED_VALUE"""),14)</f>
        <v>14</v>
      </c>
      <c r="D1665" s="78" t="str">
        <f ca="1">IFERROR(__xludf.DUMMYFUNCTION("""COMPUTED_VALUE"""),"B")</f>
        <v>B</v>
      </c>
      <c r="E1665" s="80" t="str">
        <f ca="1">IFERROR(__xludf.DUMMYFUNCTION("""COMPUTED_VALUE"""),"I")</f>
        <v>I</v>
      </c>
      <c r="F1665" s="80" t="str">
        <f ca="1">IFERROR(__xludf.DUMMYFUNCTION("""COMPUTED_VALUE"""),"S")</f>
        <v>S</v>
      </c>
      <c r="G1665" s="80">
        <f ca="1">IFERROR(__xludf.DUMMYFUNCTION("""COMPUTED_VALUE"""),8)</f>
        <v>8</v>
      </c>
      <c r="H1665" s="80" t="str">
        <f ca="1">IFERROR(__xludf.DUMMYFUNCTION("""COMPUTED_VALUE"""),"PL")</f>
        <v>PL</v>
      </c>
      <c r="I1665" s="80">
        <f ca="1">IFERROR(__xludf.DUMMYFUNCTION("""COMPUTED_VALUE"""),7)</f>
        <v>7</v>
      </c>
      <c r="J1665" s="81">
        <f ca="1">IFERROR(__xludf.DUMMYFUNCTION("""COMPUTED_VALUE"""),0)</f>
        <v>0</v>
      </c>
      <c r="K1665" s="81">
        <f ca="1">IFERROR(__xludf.DUMMYFUNCTION("""COMPUTED_VALUE"""),0)</f>
        <v>0</v>
      </c>
      <c r="L1665" s="81">
        <f ca="1">IFERROR(__xludf.DUMMYFUNCTION("""COMPUTED_VALUE"""),0)</f>
        <v>0</v>
      </c>
      <c r="M1665" s="81"/>
      <c r="N1665" s="81">
        <f ca="1">IFERROR(__xludf.DUMMYFUNCTION("""COMPUTED_VALUE"""),0)</f>
        <v>0</v>
      </c>
      <c r="O1665" s="81"/>
      <c r="P1665" s="81">
        <f ca="1">IFERROR(__xludf.DUMMYFUNCTION("""COMPUTED_VALUE"""),0)</f>
        <v>0</v>
      </c>
      <c r="Q1665" s="81"/>
      <c r="R1665" s="81">
        <f ca="1">IFERROR(__xludf.DUMMYFUNCTION("""COMPUTED_VALUE"""),0)</f>
        <v>0</v>
      </c>
      <c r="S1665" s="81"/>
      <c r="T1665" s="81"/>
      <c r="U1665" s="82"/>
      <c r="V1665" s="82"/>
      <c r="W1665" s="83"/>
      <c r="X1665" s="83"/>
      <c r="Y1665" s="83"/>
    </row>
    <row r="1666" spans="1:25" ht="13.8">
      <c r="A1666" s="78" t="str">
        <f ca="1">IFERROR(__xludf.DUMMYFUNCTION("""COMPUTED_VALUE"""),"PL")</f>
        <v>PL</v>
      </c>
      <c r="B1666" s="79" t="str">
        <f ca="1">IFERROR(__xludf.DUMMYFUNCTION("""COMPUTED_VALUE"""),"Will Henderson")</f>
        <v>Will Henderson</v>
      </c>
      <c r="C1666" s="78">
        <f ca="1">IFERROR(__xludf.DUMMYFUNCTION("""COMPUTED_VALUE"""),13)</f>
        <v>13</v>
      </c>
      <c r="D1666" s="78" t="str">
        <f ca="1">IFERROR(__xludf.DUMMYFUNCTION("""COMPUTED_VALUE"""),"B")</f>
        <v>B</v>
      </c>
      <c r="E1666" s="80" t="str">
        <f ca="1">IFERROR(__xludf.DUMMYFUNCTION("""COMPUTED_VALUE"""),"I")</f>
        <v>I</v>
      </c>
      <c r="F1666" s="80" t="str">
        <f ca="1">IFERROR(__xludf.DUMMYFUNCTION("""COMPUTED_VALUE"""),"S")</f>
        <v>S</v>
      </c>
      <c r="G1666" s="80">
        <f ca="1">IFERROR(__xludf.DUMMYFUNCTION("""COMPUTED_VALUE"""),8)</f>
        <v>8</v>
      </c>
      <c r="H1666" s="80" t="str">
        <f ca="1">IFERROR(__xludf.DUMMYFUNCTION("""COMPUTED_VALUE"""),"PL")</f>
        <v>PL</v>
      </c>
      <c r="I1666" s="80">
        <f ca="1">IFERROR(__xludf.DUMMYFUNCTION("""COMPUTED_VALUE"""),7)</f>
        <v>7</v>
      </c>
      <c r="J1666" s="81">
        <f ca="1">IFERROR(__xludf.DUMMYFUNCTION("""COMPUTED_VALUE"""),1)</f>
        <v>1</v>
      </c>
      <c r="K1666" s="81">
        <f ca="1">IFERROR(__xludf.DUMMYFUNCTION("""COMPUTED_VALUE"""),0)</f>
        <v>0</v>
      </c>
      <c r="L1666" s="81">
        <f ca="1">IFERROR(__xludf.DUMMYFUNCTION("""COMPUTED_VALUE"""),0)</f>
        <v>0</v>
      </c>
      <c r="M1666" s="81"/>
      <c r="N1666" s="81">
        <f ca="1">IFERROR(__xludf.DUMMYFUNCTION("""COMPUTED_VALUE"""),0)</f>
        <v>0</v>
      </c>
      <c r="O1666" s="81"/>
      <c r="P1666" s="81">
        <f ca="1">IFERROR(__xludf.DUMMYFUNCTION("""COMPUTED_VALUE"""),0)</f>
        <v>0</v>
      </c>
      <c r="Q1666" s="81"/>
      <c r="R1666" s="81">
        <f ca="1">IFERROR(__xludf.DUMMYFUNCTION("""COMPUTED_VALUE"""),0)</f>
        <v>0</v>
      </c>
      <c r="S1666" s="81"/>
      <c r="T1666" s="81"/>
      <c r="U1666" s="82"/>
      <c r="V1666" s="82"/>
      <c r="W1666" s="83"/>
      <c r="X1666" s="83"/>
      <c r="Y1666" s="83"/>
    </row>
    <row r="1667" spans="1:25" ht="13.8">
      <c r="A1667" s="78" t="str">
        <f ca="1">IFERROR(__xludf.DUMMYFUNCTION("""COMPUTED_VALUE"""),"PL")</f>
        <v>PL</v>
      </c>
      <c r="B1667" s="79" t="str">
        <f ca="1">IFERROR(__xludf.DUMMYFUNCTION("""COMPUTED_VALUE"""),"Joe Liller")</f>
        <v>Joe Liller</v>
      </c>
      <c r="C1667" s="78">
        <f ca="1">IFERROR(__xludf.DUMMYFUNCTION("""COMPUTED_VALUE"""),14)</f>
        <v>14</v>
      </c>
      <c r="D1667" s="78" t="str">
        <f ca="1">IFERROR(__xludf.DUMMYFUNCTION("""COMPUTED_VALUE"""),"B")</f>
        <v>B</v>
      </c>
      <c r="E1667" s="80" t="str">
        <f ca="1">IFERROR(__xludf.DUMMYFUNCTION("""COMPUTED_VALUE"""),"I")</f>
        <v>I</v>
      </c>
      <c r="F1667" s="80" t="str">
        <f ca="1">IFERROR(__xludf.DUMMYFUNCTION("""COMPUTED_VALUE"""),"S")</f>
        <v>S</v>
      </c>
      <c r="G1667" s="80">
        <f ca="1">IFERROR(__xludf.DUMMYFUNCTION("""COMPUTED_VALUE"""),8)</f>
        <v>8</v>
      </c>
      <c r="H1667" s="80" t="str">
        <f ca="1">IFERROR(__xludf.DUMMYFUNCTION("""COMPUTED_VALUE"""),"PL")</f>
        <v>PL</v>
      </c>
      <c r="I1667" s="80">
        <f ca="1">IFERROR(__xludf.DUMMYFUNCTION("""COMPUTED_VALUE"""),7)</f>
        <v>7</v>
      </c>
      <c r="J1667" s="81">
        <f ca="1">IFERROR(__xludf.DUMMYFUNCTION("""COMPUTED_VALUE"""),3)</f>
        <v>3</v>
      </c>
      <c r="K1667" s="81">
        <f ca="1">IFERROR(__xludf.DUMMYFUNCTION("""COMPUTED_VALUE"""),132.35)</f>
        <v>132.35</v>
      </c>
      <c r="L1667" s="81">
        <f ca="1">IFERROR(__xludf.DUMMYFUNCTION("""COMPUTED_VALUE"""),0)</f>
        <v>0</v>
      </c>
      <c r="M1667" s="81"/>
      <c r="N1667" s="81">
        <f ca="1">IFERROR(__xludf.DUMMYFUNCTION("""COMPUTED_VALUE"""),0)</f>
        <v>0</v>
      </c>
      <c r="O1667" s="81"/>
      <c r="P1667" s="81">
        <f ca="1">IFERROR(__xludf.DUMMYFUNCTION("""COMPUTED_VALUE"""),91.9)</f>
        <v>91.9</v>
      </c>
      <c r="Q1667" s="81"/>
      <c r="R1667" s="81">
        <f ca="1">IFERROR(__xludf.DUMMYFUNCTION("""COMPUTED_VALUE"""),132.35)</f>
        <v>132.35</v>
      </c>
      <c r="S1667" s="81"/>
      <c r="T1667" s="81"/>
      <c r="U1667" s="82"/>
      <c r="V1667" s="82"/>
      <c r="W1667" s="83"/>
      <c r="X1667" s="83"/>
      <c r="Y1667" s="83"/>
    </row>
    <row r="1668" spans="1:25" ht="13.8">
      <c r="A1668" s="78" t="str">
        <f ca="1">IFERROR(__xludf.DUMMYFUNCTION("""COMPUTED_VALUE"""),"PL")</f>
        <v>PL</v>
      </c>
      <c r="B1668" s="79" t="str">
        <f ca="1">IFERROR(__xludf.DUMMYFUNCTION("""COMPUTED_VALUE"""),"David Stayanoff")</f>
        <v>David Stayanoff</v>
      </c>
      <c r="C1668" s="78">
        <f ca="1">IFERROR(__xludf.DUMMYFUNCTION("""COMPUTED_VALUE"""),13)</f>
        <v>13</v>
      </c>
      <c r="D1668" s="78" t="str">
        <f ca="1">IFERROR(__xludf.DUMMYFUNCTION("""COMPUTED_VALUE"""),"B")</f>
        <v>B</v>
      </c>
      <c r="E1668" s="80" t="str">
        <f ca="1">IFERROR(__xludf.DUMMYFUNCTION("""COMPUTED_VALUE"""),"I")</f>
        <v>I</v>
      </c>
      <c r="F1668" s="80" t="str">
        <f ca="1">IFERROR(__xludf.DUMMYFUNCTION("""COMPUTED_VALUE"""),"S")</f>
        <v>S</v>
      </c>
      <c r="G1668" s="80">
        <f ca="1">IFERROR(__xludf.DUMMYFUNCTION("""COMPUTED_VALUE"""),8)</f>
        <v>8</v>
      </c>
      <c r="H1668" s="80" t="str">
        <f ca="1">IFERROR(__xludf.DUMMYFUNCTION("""COMPUTED_VALUE"""),"PL")</f>
        <v>PL</v>
      </c>
      <c r="I1668" s="80">
        <f ca="1">IFERROR(__xludf.DUMMYFUNCTION("""COMPUTED_VALUE"""),7)</f>
        <v>7</v>
      </c>
      <c r="J1668" s="81">
        <f ca="1">IFERROR(__xludf.DUMMYFUNCTION("""COMPUTED_VALUE"""),0)</f>
        <v>0</v>
      </c>
      <c r="K1668" s="81">
        <f ca="1">IFERROR(__xludf.DUMMYFUNCTION("""COMPUTED_VALUE"""),0)</f>
        <v>0</v>
      </c>
      <c r="L1668" s="81">
        <f ca="1">IFERROR(__xludf.DUMMYFUNCTION("""COMPUTED_VALUE"""),0)</f>
        <v>0</v>
      </c>
      <c r="M1668" s="81"/>
      <c r="N1668" s="81">
        <f ca="1">IFERROR(__xludf.DUMMYFUNCTION("""COMPUTED_VALUE"""),0)</f>
        <v>0</v>
      </c>
      <c r="O1668" s="81"/>
      <c r="P1668" s="81">
        <f ca="1">IFERROR(__xludf.DUMMYFUNCTION("""COMPUTED_VALUE"""),0)</f>
        <v>0</v>
      </c>
      <c r="Q1668" s="81"/>
      <c r="R1668" s="81">
        <f ca="1">IFERROR(__xludf.DUMMYFUNCTION("""COMPUTED_VALUE"""),0)</f>
        <v>0</v>
      </c>
      <c r="S1668" s="81"/>
      <c r="T1668" s="81"/>
      <c r="U1668" s="82"/>
      <c r="V1668" s="82"/>
      <c r="W1668" s="83"/>
      <c r="X1668" s="83"/>
      <c r="Y1668" s="83"/>
    </row>
    <row r="1669" spans="1:25" ht="13.8">
      <c r="A1669" s="78" t="str">
        <f ca="1">IFERROR(__xludf.DUMMYFUNCTION("""COMPUTED_VALUE"""),"PL")</f>
        <v>PL</v>
      </c>
      <c r="B1669" s="79" t="str">
        <f ca="1">IFERROR(__xludf.DUMMYFUNCTION("""COMPUTED_VALUE"""),"Emma Liston")</f>
        <v>Emma Liston</v>
      </c>
      <c r="C1669" s="78">
        <f ca="1">IFERROR(__xludf.DUMMYFUNCTION("""COMPUTED_VALUE"""),18)</f>
        <v>18</v>
      </c>
      <c r="D1669" s="78" t="str">
        <f ca="1">IFERROR(__xludf.DUMMYFUNCTION("""COMPUTED_VALUE"""),"G")</f>
        <v>G</v>
      </c>
      <c r="E1669" s="80" t="str">
        <f ca="1">IFERROR(__xludf.DUMMYFUNCTION("""COMPUTED_VALUE"""),"S")</f>
        <v>S</v>
      </c>
      <c r="F1669" s="80" t="str">
        <f ca="1">IFERROR(__xludf.DUMMYFUNCTION("""COMPUTED_VALUE"""),"S")</f>
        <v>S</v>
      </c>
      <c r="G1669" s="80">
        <f ca="1">IFERROR(__xludf.DUMMYFUNCTION("""COMPUTED_VALUE"""),8)</f>
        <v>8</v>
      </c>
      <c r="H1669" s="80" t="str">
        <f ca="1">IFERROR(__xludf.DUMMYFUNCTION("""COMPUTED_VALUE"""),"PL")</f>
        <v>PL</v>
      </c>
      <c r="I1669" s="80">
        <f ca="1">IFERROR(__xludf.DUMMYFUNCTION("""COMPUTED_VALUE"""),8)</f>
        <v>8</v>
      </c>
      <c r="J1669" s="81">
        <f ca="1">IFERROR(__xludf.DUMMYFUNCTION("""COMPUTED_VALUE"""),4)</f>
        <v>4</v>
      </c>
      <c r="K1669" s="81">
        <f ca="1">IFERROR(__xludf.DUMMYFUNCTION("""COMPUTED_VALUE"""),192.9)</f>
        <v>192.9</v>
      </c>
      <c r="L1669" s="81">
        <f ca="1">IFERROR(__xludf.DUMMYFUNCTION("""COMPUTED_VALUE"""),167.95)</f>
        <v>167.95</v>
      </c>
      <c r="M1669" s="81"/>
      <c r="N1669" s="81">
        <f ca="1">IFERROR(__xludf.DUMMYFUNCTION("""COMPUTED_VALUE"""),0)</f>
        <v>0</v>
      </c>
      <c r="O1669" s="81"/>
      <c r="P1669" s="81">
        <f ca="1">IFERROR(__xludf.DUMMYFUNCTION("""COMPUTED_VALUE"""),143.1)</f>
        <v>143.1</v>
      </c>
      <c r="Q1669" s="81"/>
      <c r="R1669" s="81">
        <f ca="1">IFERROR(__xludf.DUMMYFUNCTION("""COMPUTED_VALUE"""),192.9)</f>
        <v>192.9</v>
      </c>
      <c r="S1669" s="81"/>
      <c r="T1669" s="81"/>
      <c r="U1669" s="82"/>
      <c r="V1669" s="82"/>
      <c r="W1669" s="83"/>
      <c r="X1669" s="83"/>
      <c r="Y1669" s="83"/>
    </row>
    <row r="1670" spans="1:25" ht="13.8">
      <c r="A1670" s="78" t="str">
        <f ca="1">IFERROR(__xludf.DUMMYFUNCTION("""COMPUTED_VALUE"""),"PL")</f>
        <v>PL</v>
      </c>
      <c r="B1670" s="79" t="str">
        <f ca="1">IFERROR(__xludf.DUMMYFUNCTION("""COMPUTED_VALUE"""),"Owen Henderson")</f>
        <v>Owen Henderson</v>
      </c>
      <c r="C1670" s="78">
        <f ca="1">IFERROR(__xludf.DUMMYFUNCTION("""COMPUTED_VALUE"""),15)</f>
        <v>15</v>
      </c>
      <c r="D1670" s="78" t="str">
        <f ca="1">IFERROR(__xludf.DUMMYFUNCTION("""COMPUTED_VALUE"""),"B")</f>
        <v>B</v>
      </c>
      <c r="E1670" s="80" t="str">
        <f ca="1">IFERROR(__xludf.DUMMYFUNCTION("""COMPUTED_VALUE"""),"S")</f>
        <v>S</v>
      </c>
      <c r="F1670" s="80" t="str">
        <f ca="1">IFERROR(__xludf.DUMMYFUNCTION("""COMPUTED_VALUE"""),"S")</f>
        <v>S</v>
      </c>
      <c r="G1670" s="80">
        <f ca="1">IFERROR(__xludf.DUMMYFUNCTION("""COMPUTED_VALUE"""),8)</f>
        <v>8</v>
      </c>
      <c r="H1670" s="80" t="str">
        <f ca="1">IFERROR(__xludf.DUMMYFUNCTION("""COMPUTED_VALUE"""),"PL")</f>
        <v>PL</v>
      </c>
      <c r="I1670" s="80">
        <f ca="1">IFERROR(__xludf.DUMMYFUNCTION("""COMPUTED_VALUE"""),9)</f>
        <v>9</v>
      </c>
      <c r="J1670" s="81">
        <f ca="1">IFERROR(__xludf.DUMMYFUNCTION("""COMPUTED_VALUE"""),5)</f>
        <v>5</v>
      </c>
      <c r="K1670" s="81">
        <f ca="1">IFERROR(__xludf.DUMMYFUNCTION("""COMPUTED_VALUE"""),172.1)</f>
        <v>172.1</v>
      </c>
      <c r="L1670" s="81">
        <f ca="1">IFERROR(__xludf.DUMMYFUNCTION("""COMPUTED_VALUE"""),130.5)</f>
        <v>130.5</v>
      </c>
      <c r="M1670" s="81"/>
      <c r="N1670" s="81">
        <f ca="1">IFERROR(__xludf.DUMMYFUNCTION("""COMPUTED_VALUE"""),137.45)</f>
        <v>137.44999999999999</v>
      </c>
      <c r="O1670" s="81"/>
      <c r="P1670" s="81">
        <f ca="1">IFERROR(__xludf.DUMMYFUNCTION("""COMPUTED_VALUE"""),125)</f>
        <v>125</v>
      </c>
      <c r="Q1670" s="81"/>
      <c r="R1670" s="81">
        <f ca="1">IFERROR(__xludf.DUMMYFUNCTION("""COMPUTED_VALUE"""),172.1)</f>
        <v>172.1</v>
      </c>
      <c r="S1670" s="81"/>
      <c r="T1670" s="81"/>
      <c r="U1670" s="82"/>
      <c r="V1670" s="82"/>
      <c r="W1670" s="83"/>
      <c r="X1670" s="83"/>
      <c r="Y1670" s="83"/>
    </row>
    <row r="1671" spans="1:25" ht="13.8">
      <c r="A1671" s="78" t="str">
        <f ca="1">IFERROR(__xludf.DUMMYFUNCTION("""COMPUTED_VALUE"""),"PL")</f>
        <v>PL</v>
      </c>
      <c r="B1671" s="79" t="str">
        <f ca="1">IFERROR(__xludf.DUMMYFUNCTION("""COMPUTED_VALUE"""),"Louis Molife")</f>
        <v>Louis Molife</v>
      </c>
      <c r="C1671" s="78">
        <f ca="1">IFERROR(__xludf.DUMMYFUNCTION("""COMPUTED_VALUE"""),15)</f>
        <v>15</v>
      </c>
      <c r="D1671" s="78" t="str">
        <f ca="1">IFERROR(__xludf.DUMMYFUNCTION("""COMPUTED_VALUE"""),"B")</f>
        <v>B</v>
      </c>
      <c r="E1671" s="80" t="str">
        <f ca="1">IFERROR(__xludf.DUMMYFUNCTION("""COMPUTED_VALUE"""),"S")</f>
        <v>S</v>
      </c>
      <c r="F1671" s="80" t="str">
        <f ca="1">IFERROR(__xludf.DUMMYFUNCTION("""COMPUTED_VALUE"""),"S")</f>
        <v>S</v>
      </c>
      <c r="G1671" s="80">
        <f ca="1">IFERROR(__xludf.DUMMYFUNCTION("""COMPUTED_VALUE"""),8)</f>
        <v>8</v>
      </c>
      <c r="H1671" s="80" t="str">
        <f ca="1">IFERROR(__xludf.DUMMYFUNCTION("""COMPUTED_VALUE"""),"PL")</f>
        <v>PL</v>
      </c>
      <c r="I1671" s="80">
        <f ca="1">IFERROR(__xludf.DUMMYFUNCTION("""COMPUTED_VALUE"""),9)</f>
        <v>9</v>
      </c>
      <c r="J1671" s="81">
        <f ca="1">IFERROR(__xludf.DUMMYFUNCTION("""COMPUTED_VALUE"""),1)</f>
        <v>1</v>
      </c>
      <c r="K1671" s="81">
        <f ca="1">IFERROR(__xludf.DUMMYFUNCTION("""COMPUTED_VALUE"""),0)</f>
        <v>0</v>
      </c>
      <c r="L1671" s="81">
        <f ca="1">IFERROR(__xludf.DUMMYFUNCTION("""COMPUTED_VALUE"""),0)</f>
        <v>0</v>
      </c>
      <c r="M1671" s="81"/>
      <c r="N1671" s="81">
        <f ca="1">IFERROR(__xludf.DUMMYFUNCTION("""COMPUTED_VALUE"""),0)</f>
        <v>0</v>
      </c>
      <c r="O1671" s="81"/>
      <c r="P1671" s="81">
        <f ca="1">IFERROR(__xludf.DUMMYFUNCTION("""COMPUTED_VALUE"""),0)</f>
        <v>0</v>
      </c>
      <c r="Q1671" s="81"/>
      <c r="R1671" s="81">
        <f ca="1">IFERROR(__xludf.DUMMYFUNCTION("""COMPUTED_VALUE"""),0)</f>
        <v>0</v>
      </c>
      <c r="S1671" s="81"/>
      <c r="T1671" s="81"/>
      <c r="U1671" s="82"/>
      <c r="V1671" s="82"/>
      <c r="W1671" s="83"/>
      <c r="X1671" s="83"/>
      <c r="Y1671" s="83"/>
    </row>
    <row r="1672" spans="1:25" ht="13.8">
      <c r="A1672" s="78" t="str">
        <f ca="1">IFERROR(__xludf.DUMMYFUNCTION("""COMPUTED_VALUE"""),"PL")</f>
        <v>PL</v>
      </c>
      <c r="B1672" s="79" t="str">
        <f ca="1">IFERROR(__xludf.DUMMYFUNCTION("""COMPUTED_VALUE"""),"Cade Stinson")</f>
        <v>Cade Stinson</v>
      </c>
      <c r="C1672" s="78">
        <f ca="1">IFERROR(__xludf.DUMMYFUNCTION("""COMPUTED_VALUE"""),17)</f>
        <v>17</v>
      </c>
      <c r="D1672" s="78" t="str">
        <f ca="1">IFERROR(__xludf.DUMMYFUNCTION("""COMPUTED_VALUE"""),"B")</f>
        <v>B</v>
      </c>
      <c r="E1672" s="80" t="str">
        <f ca="1">IFERROR(__xludf.DUMMYFUNCTION("""COMPUTED_VALUE"""),"S")</f>
        <v>S</v>
      </c>
      <c r="F1672" s="80" t="str">
        <f ca="1">IFERROR(__xludf.DUMMYFUNCTION("""COMPUTED_VALUE"""),"S")</f>
        <v>S</v>
      </c>
      <c r="G1672" s="80">
        <f ca="1">IFERROR(__xludf.DUMMYFUNCTION("""COMPUTED_VALUE"""),8)</f>
        <v>8</v>
      </c>
      <c r="H1672" s="80" t="str">
        <f ca="1">IFERROR(__xludf.DUMMYFUNCTION("""COMPUTED_VALUE"""),"PL")</f>
        <v>PL</v>
      </c>
      <c r="I1672" s="80">
        <f ca="1">IFERROR(__xludf.DUMMYFUNCTION("""COMPUTED_VALUE"""),9)</f>
        <v>9</v>
      </c>
      <c r="J1672" s="81">
        <f ca="1">IFERROR(__xludf.DUMMYFUNCTION("""COMPUTED_VALUE"""),5)</f>
        <v>5</v>
      </c>
      <c r="K1672" s="81">
        <f ca="1">IFERROR(__xludf.DUMMYFUNCTION("""COMPUTED_VALUE"""),188.2)</f>
        <v>188.2</v>
      </c>
      <c r="L1672" s="81">
        <f ca="1">IFERROR(__xludf.DUMMYFUNCTION("""COMPUTED_VALUE"""),181)</f>
        <v>181</v>
      </c>
      <c r="M1672" s="81"/>
      <c r="N1672" s="81">
        <f ca="1">IFERROR(__xludf.DUMMYFUNCTION("""COMPUTED_VALUE"""),165.05)</f>
        <v>165.05</v>
      </c>
      <c r="O1672" s="81"/>
      <c r="P1672" s="81">
        <f ca="1">IFERROR(__xludf.DUMMYFUNCTION("""COMPUTED_VALUE"""),134.55)</f>
        <v>134.55000000000001</v>
      </c>
      <c r="Q1672" s="81"/>
      <c r="R1672" s="81">
        <f ca="1">IFERROR(__xludf.DUMMYFUNCTION("""COMPUTED_VALUE"""),188.2)</f>
        <v>188.2</v>
      </c>
      <c r="S1672" s="81"/>
      <c r="T1672" s="81"/>
      <c r="U1672" s="82"/>
      <c r="V1672" s="82"/>
      <c r="W1672" s="83"/>
      <c r="X1672" s="83"/>
      <c r="Y1672" s="83"/>
    </row>
    <row r="1673" spans="1:25" ht="13.8">
      <c r="A1673" s="78" t="str">
        <f ca="1">IFERROR(__xludf.DUMMYFUNCTION("""COMPUTED_VALUE"""),"R")</f>
        <v>R</v>
      </c>
      <c r="B1673" s="79" t="str">
        <f ca="1">IFERROR(__xludf.DUMMYFUNCTION("""COMPUTED_VALUE"""),"Kelley Bennett")</f>
        <v>Kelley Bennett</v>
      </c>
      <c r="C1673" s="78">
        <f ca="1">IFERROR(__xludf.DUMMYFUNCTION("""COMPUTED_VALUE"""),8)</f>
        <v>8</v>
      </c>
      <c r="D1673" s="78" t="str">
        <f ca="1">IFERROR(__xludf.DUMMYFUNCTION("""COMPUTED_VALUE"""),"G")</f>
        <v>G</v>
      </c>
      <c r="E1673" s="80" t="str">
        <f ca="1">IFERROR(__xludf.DUMMYFUNCTION("""COMPUTED_VALUE"""),"F")</f>
        <v>F</v>
      </c>
      <c r="F1673" s="80" t="str">
        <f ca="1">IFERROR(__xludf.DUMMYFUNCTION("""COMPUTED_VALUE"""),"J")</f>
        <v>J</v>
      </c>
      <c r="G1673" s="80">
        <f ca="1">IFERROR(__xludf.DUMMYFUNCTION("""COMPUTED_VALUE"""),5)</f>
        <v>5</v>
      </c>
      <c r="H1673" s="80" t="str">
        <f ca="1">IFERROR(__xludf.DUMMYFUNCTION("""COMPUTED_VALUE"""),"R")</f>
        <v>R</v>
      </c>
      <c r="I1673" s="80">
        <f ca="1">IFERROR(__xludf.DUMMYFUNCTION("""COMPUTED_VALUE"""),2)</f>
        <v>2</v>
      </c>
      <c r="J1673" s="81">
        <f ca="1">IFERROR(__xludf.DUMMYFUNCTION("""COMPUTED_VALUE"""),0)</f>
        <v>0</v>
      </c>
      <c r="K1673" s="81">
        <f ca="1">IFERROR(__xludf.DUMMYFUNCTION("""COMPUTED_VALUE"""),0)</f>
        <v>0</v>
      </c>
      <c r="L1673" s="81">
        <f ca="1">IFERROR(__xludf.DUMMYFUNCTION("""COMPUTED_VALUE"""),0)</f>
        <v>0</v>
      </c>
      <c r="M1673" s="81"/>
      <c r="N1673" s="81">
        <f ca="1">IFERROR(__xludf.DUMMYFUNCTION("""COMPUTED_VALUE"""),0)</f>
        <v>0</v>
      </c>
      <c r="O1673" s="81"/>
      <c r="P1673" s="81">
        <f ca="1">IFERROR(__xludf.DUMMYFUNCTION("""COMPUTED_VALUE"""),0)</f>
        <v>0</v>
      </c>
      <c r="Q1673" s="81"/>
      <c r="R1673" s="81">
        <f ca="1">IFERROR(__xludf.DUMMYFUNCTION("""COMPUTED_VALUE"""),0)</f>
        <v>0</v>
      </c>
      <c r="S1673" s="81"/>
      <c r="T1673" s="81"/>
      <c r="U1673" s="82"/>
      <c r="V1673" s="82"/>
      <c r="W1673" s="83"/>
      <c r="X1673" s="83"/>
      <c r="Y1673" s="83"/>
    </row>
    <row r="1674" spans="1:25" ht="13.8">
      <c r="A1674" s="78" t="str">
        <f ca="1">IFERROR(__xludf.DUMMYFUNCTION("""COMPUTED_VALUE"""),"R")</f>
        <v>R</v>
      </c>
      <c r="B1674" s="79" t="str">
        <f ca="1">IFERROR(__xludf.DUMMYFUNCTION("""COMPUTED_VALUE"""),"Lucy Bennett")</f>
        <v>Lucy Bennett</v>
      </c>
      <c r="C1674" s="78">
        <f ca="1">IFERROR(__xludf.DUMMYFUNCTION("""COMPUTED_VALUE"""),9)</f>
        <v>9</v>
      </c>
      <c r="D1674" s="78" t="str">
        <f ca="1">IFERROR(__xludf.DUMMYFUNCTION("""COMPUTED_VALUE"""),"G")</f>
        <v>G</v>
      </c>
      <c r="E1674" s="80" t="str">
        <f ca="1">IFERROR(__xludf.DUMMYFUNCTION("""COMPUTED_VALUE"""),"F")</f>
        <v>F</v>
      </c>
      <c r="F1674" s="80" t="str">
        <f ca="1">IFERROR(__xludf.DUMMYFUNCTION("""COMPUTED_VALUE"""),"J")</f>
        <v>J</v>
      </c>
      <c r="G1674" s="80">
        <f ca="1">IFERROR(__xludf.DUMMYFUNCTION("""COMPUTED_VALUE"""),5)</f>
        <v>5</v>
      </c>
      <c r="H1674" s="80" t="str">
        <f ca="1">IFERROR(__xludf.DUMMYFUNCTION("""COMPUTED_VALUE"""),"R")</f>
        <v>R</v>
      </c>
      <c r="I1674" s="80">
        <f ca="1">IFERROR(__xludf.DUMMYFUNCTION("""COMPUTED_VALUE"""),2)</f>
        <v>2</v>
      </c>
      <c r="J1674" s="81">
        <f ca="1">IFERROR(__xludf.DUMMYFUNCTION("""COMPUTED_VALUE"""),5)</f>
        <v>5</v>
      </c>
      <c r="K1674" s="81">
        <f ca="1">IFERROR(__xludf.DUMMYFUNCTION("""COMPUTED_VALUE"""),62.05)</f>
        <v>62.05</v>
      </c>
      <c r="L1674" s="81">
        <f ca="1">IFERROR(__xludf.DUMMYFUNCTION("""COMPUTED_VALUE"""),45.15)</f>
        <v>45.15</v>
      </c>
      <c r="M1674" s="81"/>
      <c r="N1674" s="81">
        <f ca="1">IFERROR(__xludf.DUMMYFUNCTION("""COMPUTED_VALUE"""),59.5)</f>
        <v>59.5</v>
      </c>
      <c r="O1674" s="81"/>
      <c r="P1674" s="81">
        <f ca="1">IFERROR(__xludf.DUMMYFUNCTION("""COMPUTED_VALUE"""),62.05)</f>
        <v>62.05</v>
      </c>
      <c r="Q1674" s="81"/>
      <c r="R1674" s="81">
        <f ca="1">IFERROR(__xludf.DUMMYFUNCTION("""COMPUTED_VALUE"""),58.65)</f>
        <v>58.65</v>
      </c>
      <c r="S1674" s="81"/>
      <c r="T1674" s="81"/>
      <c r="U1674" s="82"/>
      <c r="V1674" s="82"/>
      <c r="W1674" s="83"/>
      <c r="X1674" s="83"/>
      <c r="Y1674" s="83"/>
    </row>
    <row r="1675" spans="1:25" ht="13.8">
      <c r="A1675" s="78" t="str">
        <f ca="1">IFERROR(__xludf.DUMMYFUNCTION("""COMPUTED_VALUE"""),"R")</f>
        <v>R</v>
      </c>
      <c r="B1675" s="79" t="str">
        <f ca="1">IFERROR(__xludf.DUMMYFUNCTION("""COMPUTED_VALUE"""),"Delilah Copas")</f>
        <v>Delilah Copas</v>
      </c>
      <c r="C1675" s="78">
        <f ca="1">IFERROR(__xludf.DUMMYFUNCTION("""COMPUTED_VALUE"""),10)</f>
        <v>10</v>
      </c>
      <c r="D1675" s="78" t="str">
        <f ca="1">IFERROR(__xludf.DUMMYFUNCTION("""COMPUTED_VALUE"""),"G")</f>
        <v>G</v>
      </c>
      <c r="E1675" s="80" t="str">
        <f ca="1">IFERROR(__xludf.DUMMYFUNCTION("""COMPUTED_VALUE"""),"F")</f>
        <v>F</v>
      </c>
      <c r="F1675" s="80" t="str">
        <f ca="1">IFERROR(__xludf.DUMMYFUNCTION("""COMPUTED_VALUE"""),"J")</f>
        <v>J</v>
      </c>
      <c r="G1675" s="80">
        <f ca="1">IFERROR(__xludf.DUMMYFUNCTION("""COMPUTED_VALUE"""),5)</f>
        <v>5</v>
      </c>
      <c r="H1675" s="80" t="str">
        <f ca="1">IFERROR(__xludf.DUMMYFUNCTION("""COMPUTED_VALUE"""),"R")</f>
        <v>R</v>
      </c>
      <c r="I1675" s="80">
        <f ca="1">IFERROR(__xludf.DUMMYFUNCTION("""COMPUTED_VALUE"""),2)</f>
        <v>2</v>
      </c>
      <c r="J1675" s="81">
        <f ca="1">IFERROR(__xludf.DUMMYFUNCTION("""COMPUTED_VALUE"""),4)</f>
        <v>4</v>
      </c>
      <c r="K1675" s="81">
        <f ca="1">IFERROR(__xludf.DUMMYFUNCTION("""COMPUTED_VALUE"""),35)</f>
        <v>35</v>
      </c>
      <c r="L1675" s="81">
        <f ca="1">IFERROR(__xludf.DUMMYFUNCTION("""COMPUTED_VALUE"""),0)</f>
        <v>0</v>
      </c>
      <c r="M1675" s="81"/>
      <c r="N1675" s="81">
        <f ca="1">IFERROR(__xludf.DUMMYFUNCTION("""COMPUTED_VALUE"""),35)</f>
        <v>35</v>
      </c>
      <c r="O1675" s="81"/>
      <c r="P1675" s="81">
        <f ca="1">IFERROR(__xludf.DUMMYFUNCTION("""COMPUTED_VALUE"""),28.7)</f>
        <v>28.7</v>
      </c>
      <c r="Q1675" s="81"/>
      <c r="R1675" s="81">
        <f ca="1">IFERROR(__xludf.DUMMYFUNCTION("""COMPUTED_VALUE"""),34.3)</f>
        <v>34.299999999999997</v>
      </c>
      <c r="S1675" s="81"/>
      <c r="T1675" s="81"/>
      <c r="U1675" s="82"/>
      <c r="V1675" s="82"/>
      <c r="W1675" s="83"/>
      <c r="X1675" s="83"/>
      <c r="Y1675" s="83"/>
    </row>
    <row r="1676" spans="1:25" ht="13.8">
      <c r="A1676" s="78" t="str">
        <f ca="1">IFERROR(__xludf.DUMMYFUNCTION("""COMPUTED_VALUE"""),"R")</f>
        <v>R</v>
      </c>
      <c r="B1676" s="79" t="str">
        <f ca="1">IFERROR(__xludf.DUMMYFUNCTION("""COMPUTED_VALUE"""),"Chloe Field")</f>
        <v>Chloe Field</v>
      </c>
      <c r="C1676" s="78">
        <f ca="1">IFERROR(__xludf.DUMMYFUNCTION("""COMPUTED_VALUE"""),9)</f>
        <v>9</v>
      </c>
      <c r="D1676" s="78" t="str">
        <f ca="1">IFERROR(__xludf.DUMMYFUNCTION("""COMPUTED_VALUE"""),"G")</f>
        <v>G</v>
      </c>
      <c r="E1676" s="80" t="str">
        <f ca="1">IFERROR(__xludf.DUMMYFUNCTION("""COMPUTED_VALUE"""),"F")</f>
        <v>F</v>
      </c>
      <c r="F1676" s="80" t="str">
        <f ca="1">IFERROR(__xludf.DUMMYFUNCTION("""COMPUTED_VALUE"""),"J")</f>
        <v>J</v>
      </c>
      <c r="G1676" s="80">
        <f ca="1">IFERROR(__xludf.DUMMYFUNCTION("""COMPUTED_VALUE"""),5)</f>
        <v>5</v>
      </c>
      <c r="H1676" s="80" t="str">
        <f ca="1">IFERROR(__xludf.DUMMYFUNCTION("""COMPUTED_VALUE"""),"R")</f>
        <v>R</v>
      </c>
      <c r="I1676" s="80">
        <f ca="1">IFERROR(__xludf.DUMMYFUNCTION("""COMPUTED_VALUE"""),2)</f>
        <v>2</v>
      </c>
      <c r="J1676" s="81">
        <f ca="1">IFERROR(__xludf.DUMMYFUNCTION("""COMPUTED_VALUE"""),4)</f>
        <v>4</v>
      </c>
      <c r="K1676" s="81">
        <f ca="1">IFERROR(__xludf.DUMMYFUNCTION("""COMPUTED_VALUE"""),57.3)</f>
        <v>57.3</v>
      </c>
      <c r="L1676" s="81">
        <f ca="1">IFERROR(__xludf.DUMMYFUNCTION("""COMPUTED_VALUE"""),36.85)</f>
        <v>36.85</v>
      </c>
      <c r="M1676" s="81"/>
      <c r="N1676" s="81">
        <f ca="1">IFERROR(__xludf.DUMMYFUNCTION("""COMPUTED_VALUE"""),49.65)</f>
        <v>49.65</v>
      </c>
      <c r="O1676" s="81"/>
      <c r="P1676" s="81">
        <f ca="1">IFERROR(__xludf.DUMMYFUNCTION("""COMPUTED_VALUE"""),57.3)</f>
        <v>57.3</v>
      </c>
      <c r="Q1676" s="81"/>
      <c r="R1676" s="81">
        <f ca="1">IFERROR(__xludf.DUMMYFUNCTION("""COMPUTED_VALUE"""),0)</f>
        <v>0</v>
      </c>
      <c r="S1676" s="81"/>
      <c r="T1676" s="81"/>
      <c r="U1676" s="82"/>
      <c r="V1676" s="82"/>
      <c r="W1676" s="83"/>
      <c r="X1676" s="83"/>
      <c r="Y1676" s="83"/>
    </row>
    <row r="1677" spans="1:25" ht="13.8">
      <c r="A1677" s="78" t="str">
        <f ca="1">IFERROR(__xludf.DUMMYFUNCTION("""COMPUTED_VALUE"""),"R")</f>
        <v>R</v>
      </c>
      <c r="B1677" s="79" t="str">
        <f ca="1">IFERROR(__xludf.DUMMYFUNCTION("""COMPUTED_VALUE"""),"Miah Henderson")</f>
        <v>Miah Henderson</v>
      </c>
      <c r="C1677" s="78">
        <f ca="1">IFERROR(__xludf.DUMMYFUNCTION("""COMPUTED_VALUE"""),10)</f>
        <v>10</v>
      </c>
      <c r="D1677" s="78" t="str">
        <f ca="1">IFERROR(__xludf.DUMMYFUNCTION("""COMPUTED_VALUE"""),"G")</f>
        <v>G</v>
      </c>
      <c r="E1677" s="80" t="str">
        <f ca="1">IFERROR(__xludf.DUMMYFUNCTION("""COMPUTED_VALUE"""),"F")</f>
        <v>F</v>
      </c>
      <c r="F1677" s="80" t="str">
        <f ca="1">IFERROR(__xludf.DUMMYFUNCTION("""COMPUTED_VALUE"""),"J")</f>
        <v>J</v>
      </c>
      <c r="G1677" s="80">
        <f ca="1">IFERROR(__xludf.DUMMYFUNCTION("""COMPUTED_VALUE"""),5)</f>
        <v>5</v>
      </c>
      <c r="H1677" s="80" t="str">
        <f ca="1">IFERROR(__xludf.DUMMYFUNCTION("""COMPUTED_VALUE"""),"R")</f>
        <v>R</v>
      </c>
      <c r="I1677" s="80">
        <f ca="1">IFERROR(__xludf.DUMMYFUNCTION("""COMPUTED_VALUE"""),2)</f>
        <v>2</v>
      </c>
      <c r="J1677" s="81">
        <f ca="1">IFERROR(__xludf.DUMMYFUNCTION("""COMPUTED_VALUE"""),3)</f>
        <v>3</v>
      </c>
      <c r="K1677" s="81">
        <f ca="1">IFERROR(__xludf.DUMMYFUNCTION("""COMPUTED_VALUE"""),98.4)</f>
        <v>98.4</v>
      </c>
      <c r="L1677" s="81">
        <f ca="1">IFERROR(__xludf.DUMMYFUNCTION("""COMPUTED_VALUE"""),77.8)</f>
        <v>77.8</v>
      </c>
      <c r="M1677" s="81"/>
      <c r="N1677" s="81">
        <f ca="1">IFERROR(__xludf.DUMMYFUNCTION("""COMPUTED_VALUE"""),98.4)</f>
        <v>98.4</v>
      </c>
      <c r="O1677" s="81"/>
      <c r="P1677" s="81">
        <f ca="1">IFERROR(__xludf.DUMMYFUNCTION("""COMPUTED_VALUE"""),0)</f>
        <v>0</v>
      </c>
      <c r="Q1677" s="81"/>
      <c r="R1677" s="81">
        <f ca="1">IFERROR(__xludf.DUMMYFUNCTION("""COMPUTED_VALUE"""),0)</f>
        <v>0</v>
      </c>
      <c r="S1677" s="81"/>
      <c r="T1677" s="81"/>
      <c r="U1677" s="82"/>
      <c r="V1677" s="82"/>
      <c r="W1677" s="83"/>
      <c r="X1677" s="83"/>
      <c r="Y1677" s="83"/>
    </row>
    <row r="1678" spans="1:25" ht="13.8">
      <c r="A1678" s="78" t="str">
        <f ca="1">IFERROR(__xludf.DUMMYFUNCTION("""COMPUTED_VALUE"""),"R")</f>
        <v>R</v>
      </c>
      <c r="B1678" s="79" t="str">
        <f ca="1">IFERROR(__xludf.DUMMYFUNCTION("""COMPUTED_VALUE"""),"Sophia McConnell")</f>
        <v>Sophia McConnell</v>
      </c>
      <c r="C1678" s="78">
        <f ca="1">IFERROR(__xludf.DUMMYFUNCTION("""COMPUTED_VALUE"""),9)</f>
        <v>9</v>
      </c>
      <c r="D1678" s="78" t="str">
        <f ca="1">IFERROR(__xludf.DUMMYFUNCTION("""COMPUTED_VALUE"""),"G")</f>
        <v>G</v>
      </c>
      <c r="E1678" s="80" t="str">
        <f ca="1">IFERROR(__xludf.DUMMYFUNCTION("""COMPUTED_VALUE"""),"F")</f>
        <v>F</v>
      </c>
      <c r="F1678" s="80" t="str">
        <f ca="1">IFERROR(__xludf.DUMMYFUNCTION("""COMPUTED_VALUE"""),"J")</f>
        <v>J</v>
      </c>
      <c r="G1678" s="80">
        <f ca="1">IFERROR(__xludf.DUMMYFUNCTION("""COMPUTED_VALUE"""),5)</f>
        <v>5</v>
      </c>
      <c r="H1678" s="80" t="str">
        <f ca="1">IFERROR(__xludf.DUMMYFUNCTION("""COMPUTED_VALUE"""),"R")</f>
        <v>R</v>
      </c>
      <c r="I1678" s="80">
        <f ca="1">IFERROR(__xludf.DUMMYFUNCTION("""COMPUTED_VALUE"""),2)</f>
        <v>2</v>
      </c>
      <c r="J1678" s="81">
        <f ca="1">IFERROR(__xludf.DUMMYFUNCTION("""COMPUTED_VALUE"""),5)</f>
        <v>5</v>
      </c>
      <c r="K1678" s="81">
        <f ca="1">IFERROR(__xludf.DUMMYFUNCTION("""COMPUTED_VALUE"""),55.3)</f>
        <v>55.3</v>
      </c>
      <c r="L1678" s="81">
        <f ca="1">IFERROR(__xludf.DUMMYFUNCTION("""COMPUTED_VALUE"""),25.9)</f>
        <v>25.9</v>
      </c>
      <c r="M1678" s="81"/>
      <c r="N1678" s="81">
        <f ca="1">IFERROR(__xludf.DUMMYFUNCTION("""COMPUTED_VALUE"""),34.2)</f>
        <v>34.200000000000003</v>
      </c>
      <c r="O1678" s="81"/>
      <c r="P1678" s="81">
        <f ca="1">IFERROR(__xludf.DUMMYFUNCTION("""COMPUTED_VALUE"""),48.25)</f>
        <v>48.25</v>
      </c>
      <c r="Q1678" s="81"/>
      <c r="R1678" s="81">
        <f ca="1">IFERROR(__xludf.DUMMYFUNCTION("""COMPUTED_VALUE"""),55.3)</f>
        <v>55.3</v>
      </c>
      <c r="S1678" s="81"/>
      <c r="T1678" s="81"/>
      <c r="U1678" s="82"/>
      <c r="V1678" s="82"/>
      <c r="W1678" s="83"/>
      <c r="X1678" s="83"/>
      <c r="Y1678" s="83"/>
    </row>
    <row r="1679" spans="1:25" ht="13.8">
      <c r="A1679" s="78" t="str">
        <f ca="1">IFERROR(__xludf.DUMMYFUNCTION("""COMPUTED_VALUE"""),"R")</f>
        <v>R</v>
      </c>
      <c r="B1679" s="79" t="str">
        <f ca="1">IFERROR(__xludf.DUMMYFUNCTION("""COMPUTED_VALUE"""),"Karolina Ramon")</f>
        <v>Karolina Ramon</v>
      </c>
      <c r="C1679" s="78">
        <f ca="1">IFERROR(__xludf.DUMMYFUNCTION("""COMPUTED_VALUE"""),8)</f>
        <v>8</v>
      </c>
      <c r="D1679" s="78" t="str">
        <f ca="1">IFERROR(__xludf.DUMMYFUNCTION("""COMPUTED_VALUE"""),"G")</f>
        <v>G</v>
      </c>
      <c r="E1679" s="80" t="str">
        <f ca="1">IFERROR(__xludf.DUMMYFUNCTION("""COMPUTED_VALUE"""),"F")</f>
        <v>F</v>
      </c>
      <c r="F1679" s="80" t="str">
        <f ca="1">IFERROR(__xludf.DUMMYFUNCTION("""COMPUTED_VALUE"""),"J")</f>
        <v>J</v>
      </c>
      <c r="G1679" s="80">
        <f ca="1">IFERROR(__xludf.DUMMYFUNCTION("""COMPUTED_VALUE"""),5)</f>
        <v>5</v>
      </c>
      <c r="H1679" s="80" t="str">
        <f ca="1">IFERROR(__xludf.DUMMYFUNCTION("""COMPUTED_VALUE"""),"R")</f>
        <v>R</v>
      </c>
      <c r="I1679" s="80">
        <f ca="1">IFERROR(__xludf.DUMMYFUNCTION("""COMPUTED_VALUE"""),2)</f>
        <v>2</v>
      </c>
      <c r="J1679" s="81">
        <f ca="1">IFERROR(__xludf.DUMMYFUNCTION("""COMPUTED_VALUE"""),0)</f>
        <v>0</v>
      </c>
      <c r="K1679" s="81">
        <f ca="1">IFERROR(__xludf.DUMMYFUNCTION("""COMPUTED_VALUE"""),0)</f>
        <v>0</v>
      </c>
      <c r="L1679" s="81">
        <f ca="1">IFERROR(__xludf.DUMMYFUNCTION("""COMPUTED_VALUE"""),0)</f>
        <v>0</v>
      </c>
      <c r="M1679" s="81"/>
      <c r="N1679" s="81">
        <f ca="1">IFERROR(__xludf.DUMMYFUNCTION("""COMPUTED_VALUE"""),0)</f>
        <v>0</v>
      </c>
      <c r="O1679" s="81"/>
      <c r="P1679" s="81">
        <f ca="1">IFERROR(__xludf.DUMMYFUNCTION("""COMPUTED_VALUE"""),0)</f>
        <v>0</v>
      </c>
      <c r="Q1679" s="81"/>
      <c r="R1679" s="81">
        <f ca="1">IFERROR(__xludf.DUMMYFUNCTION("""COMPUTED_VALUE"""),0)</f>
        <v>0</v>
      </c>
      <c r="S1679" s="81"/>
      <c r="T1679" s="81"/>
      <c r="U1679" s="82"/>
      <c r="V1679" s="82"/>
      <c r="W1679" s="83"/>
      <c r="X1679" s="83"/>
      <c r="Y1679" s="83"/>
    </row>
    <row r="1680" spans="1:25" ht="13.8">
      <c r="A1680" s="78" t="str">
        <f ca="1">IFERROR(__xludf.DUMMYFUNCTION("""COMPUTED_VALUE"""),"R")</f>
        <v>R</v>
      </c>
      <c r="B1680" s="79" t="str">
        <f ca="1">IFERROR(__xludf.DUMMYFUNCTION("""COMPUTED_VALUE"""),"Laney Riedel")</f>
        <v>Laney Riedel</v>
      </c>
      <c r="C1680" s="78">
        <f ca="1">IFERROR(__xludf.DUMMYFUNCTION("""COMPUTED_VALUE"""),10)</f>
        <v>10</v>
      </c>
      <c r="D1680" s="78" t="str">
        <f ca="1">IFERROR(__xludf.DUMMYFUNCTION("""COMPUTED_VALUE"""),"G")</f>
        <v>G</v>
      </c>
      <c r="E1680" s="80" t="str">
        <f ca="1">IFERROR(__xludf.DUMMYFUNCTION("""COMPUTED_VALUE"""),"F")</f>
        <v>F</v>
      </c>
      <c r="F1680" s="80" t="str">
        <f ca="1">IFERROR(__xludf.DUMMYFUNCTION("""COMPUTED_VALUE"""),"J")</f>
        <v>J</v>
      </c>
      <c r="G1680" s="80">
        <f ca="1">IFERROR(__xludf.DUMMYFUNCTION("""COMPUTED_VALUE"""),5)</f>
        <v>5</v>
      </c>
      <c r="H1680" s="80" t="str">
        <f ca="1">IFERROR(__xludf.DUMMYFUNCTION("""COMPUTED_VALUE"""),"R")</f>
        <v>R</v>
      </c>
      <c r="I1680" s="80">
        <f ca="1">IFERROR(__xludf.DUMMYFUNCTION("""COMPUTED_VALUE"""),2)</f>
        <v>2</v>
      </c>
      <c r="J1680" s="81">
        <f ca="1">IFERROR(__xludf.DUMMYFUNCTION("""COMPUTED_VALUE"""),3)</f>
        <v>3</v>
      </c>
      <c r="K1680" s="81">
        <f ca="1">IFERROR(__xludf.DUMMYFUNCTION("""COMPUTED_VALUE"""),55.85)</f>
        <v>55.85</v>
      </c>
      <c r="L1680" s="81">
        <f ca="1">IFERROR(__xludf.DUMMYFUNCTION("""COMPUTED_VALUE"""),50.8)</f>
        <v>50.8</v>
      </c>
      <c r="M1680" s="81"/>
      <c r="N1680" s="81">
        <f ca="1">IFERROR(__xludf.DUMMYFUNCTION("""COMPUTED_VALUE"""),55.85)</f>
        <v>55.85</v>
      </c>
      <c r="O1680" s="81"/>
      <c r="P1680" s="81">
        <f ca="1">IFERROR(__xludf.DUMMYFUNCTION("""COMPUTED_VALUE"""),0)</f>
        <v>0</v>
      </c>
      <c r="Q1680" s="81"/>
      <c r="R1680" s="81">
        <f ca="1">IFERROR(__xludf.DUMMYFUNCTION("""COMPUTED_VALUE"""),48.1)</f>
        <v>48.1</v>
      </c>
      <c r="S1680" s="81"/>
      <c r="T1680" s="81"/>
      <c r="U1680" s="82"/>
      <c r="V1680" s="82"/>
      <c r="W1680" s="83"/>
      <c r="X1680" s="83"/>
      <c r="Y1680" s="83"/>
    </row>
    <row r="1681" spans="1:25" ht="13.8">
      <c r="A1681" s="78" t="str">
        <f ca="1">IFERROR(__xludf.DUMMYFUNCTION("""COMPUTED_VALUE"""),"R")</f>
        <v>R</v>
      </c>
      <c r="B1681" s="79" t="str">
        <f ca="1">IFERROR(__xludf.DUMMYFUNCTION("""COMPUTED_VALUE"""),"Eve Rueffert")</f>
        <v>Eve Rueffert</v>
      </c>
      <c r="C1681" s="78">
        <f ca="1">IFERROR(__xludf.DUMMYFUNCTION("""COMPUTED_VALUE"""),10)</f>
        <v>10</v>
      </c>
      <c r="D1681" s="78" t="str">
        <f ca="1">IFERROR(__xludf.DUMMYFUNCTION("""COMPUTED_VALUE"""),"G")</f>
        <v>G</v>
      </c>
      <c r="E1681" s="80" t="str">
        <f ca="1">IFERROR(__xludf.DUMMYFUNCTION("""COMPUTED_VALUE"""),"F")</f>
        <v>F</v>
      </c>
      <c r="F1681" s="80" t="str">
        <f ca="1">IFERROR(__xludf.DUMMYFUNCTION("""COMPUTED_VALUE"""),"J")</f>
        <v>J</v>
      </c>
      <c r="G1681" s="80">
        <f ca="1">IFERROR(__xludf.DUMMYFUNCTION("""COMPUTED_VALUE"""),5)</f>
        <v>5</v>
      </c>
      <c r="H1681" s="80" t="str">
        <f ca="1">IFERROR(__xludf.DUMMYFUNCTION("""COMPUTED_VALUE"""),"R")</f>
        <v>R</v>
      </c>
      <c r="I1681" s="80">
        <f ca="1">IFERROR(__xludf.DUMMYFUNCTION("""COMPUTED_VALUE"""),2)</f>
        <v>2</v>
      </c>
      <c r="J1681" s="81">
        <f ca="1">IFERROR(__xludf.DUMMYFUNCTION("""COMPUTED_VALUE"""),3)</f>
        <v>3</v>
      </c>
      <c r="K1681" s="81">
        <f ca="1">IFERROR(__xludf.DUMMYFUNCTION("""COMPUTED_VALUE"""),58.65)</f>
        <v>58.65</v>
      </c>
      <c r="L1681" s="81">
        <f ca="1">IFERROR(__xludf.DUMMYFUNCTION("""COMPUTED_VALUE"""),38.25)</f>
        <v>38.25</v>
      </c>
      <c r="M1681" s="81"/>
      <c r="N1681" s="81">
        <f ca="1">IFERROR(__xludf.DUMMYFUNCTION("""COMPUTED_VALUE"""),54.4)</f>
        <v>54.4</v>
      </c>
      <c r="O1681" s="81"/>
      <c r="P1681" s="81">
        <f ca="1">IFERROR(__xludf.DUMMYFUNCTION("""COMPUTED_VALUE"""),0)</f>
        <v>0</v>
      </c>
      <c r="Q1681" s="81"/>
      <c r="R1681" s="81">
        <f ca="1">IFERROR(__xludf.DUMMYFUNCTION("""COMPUTED_VALUE"""),58.65)</f>
        <v>58.65</v>
      </c>
      <c r="S1681" s="81"/>
      <c r="T1681" s="81"/>
      <c r="U1681" s="82"/>
      <c r="V1681" s="82"/>
      <c r="W1681" s="83"/>
      <c r="X1681" s="83"/>
      <c r="Y1681" s="83"/>
    </row>
    <row r="1682" spans="1:25" ht="13.8">
      <c r="A1682" s="78" t="str">
        <f ca="1">IFERROR(__xludf.DUMMYFUNCTION("""COMPUTED_VALUE"""),"R")</f>
        <v>R</v>
      </c>
      <c r="B1682" s="79" t="str">
        <f ca="1">IFERROR(__xludf.DUMMYFUNCTION("""COMPUTED_VALUE"""),"Lauren Rueffert")</f>
        <v>Lauren Rueffert</v>
      </c>
      <c r="C1682" s="78">
        <f ca="1">IFERROR(__xludf.DUMMYFUNCTION("""COMPUTED_VALUE"""),7)</f>
        <v>7</v>
      </c>
      <c r="D1682" s="78" t="str">
        <f ca="1">IFERROR(__xludf.DUMMYFUNCTION("""COMPUTED_VALUE"""),"G")</f>
        <v>G</v>
      </c>
      <c r="E1682" s="80" t="str">
        <f ca="1">IFERROR(__xludf.DUMMYFUNCTION("""COMPUTED_VALUE"""),"F")</f>
        <v>F</v>
      </c>
      <c r="F1682" s="80" t="str">
        <f ca="1">IFERROR(__xludf.DUMMYFUNCTION("""COMPUTED_VALUE"""),"J")</f>
        <v>J</v>
      </c>
      <c r="G1682" s="80">
        <f ca="1">IFERROR(__xludf.DUMMYFUNCTION("""COMPUTED_VALUE"""),5)</f>
        <v>5</v>
      </c>
      <c r="H1682" s="80" t="str">
        <f ca="1">IFERROR(__xludf.DUMMYFUNCTION("""COMPUTED_VALUE"""),"R")</f>
        <v>R</v>
      </c>
      <c r="I1682" s="80">
        <f ca="1">IFERROR(__xludf.DUMMYFUNCTION("""COMPUTED_VALUE"""),2)</f>
        <v>2</v>
      </c>
      <c r="J1682" s="81">
        <f ca="1">IFERROR(__xludf.DUMMYFUNCTION("""COMPUTED_VALUE"""),4)</f>
        <v>4</v>
      </c>
      <c r="K1682" s="81">
        <f ca="1">IFERROR(__xludf.DUMMYFUNCTION("""COMPUTED_VALUE"""),22.45)</f>
        <v>22.45</v>
      </c>
      <c r="L1682" s="81">
        <f ca="1">IFERROR(__xludf.DUMMYFUNCTION("""COMPUTED_VALUE"""),16.55)</f>
        <v>16.55</v>
      </c>
      <c r="M1682" s="81"/>
      <c r="N1682" s="81">
        <f ca="1">IFERROR(__xludf.DUMMYFUNCTION("""COMPUTED_VALUE"""),22.45)</f>
        <v>22.45</v>
      </c>
      <c r="O1682" s="81"/>
      <c r="P1682" s="81">
        <f ca="1">IFERROR(__xludf.DUMMYFUNCTION("""COMPUTED_VALUE"""),0)</f>
        <v>0</v>
      </c>
      <c r="Q1682" s="81"/>
      <c r="R1682" s="81">
        <f ca="1">IFERROR(__xludf.DUMMYFUNCTION("""COMPUTED_VALUE"""),21.5)</f>
        <v>21.5</v>
      </c>
      <c r="S1682" s="81"/>
      <c r="T1682" s="81"/>
      <c r="U1682" s="82"/>
      <c r="V1682" s="82"/>
      <c r="W1682" s="83"/>
      <c r="X1682" s="83"/>
      <c r="Y1682" s="83"/>
    </row>
    <row r="1683" spans="1:25" ht="13.8">
      <c r="A1683" s="78" t="str">
        <f ca="1">IFERROR(__xludf.DUMMYFUNCTION("""COMPUTED_VALUE"""),"R")</f>
        <v>R</v>
      </c>
      <c r="B1683" s="79" t="str">
        <f ca="1">IFERROR(__xludf.DUMMYFUNCTION("""COMPUTED_VALUE"""),"Ellie Showalter")</f>
        <v>Ellie Showalter</v>
      </c>
      <c r="C1683" s="78">
        <f ca="1">IFERROR(__xludf.DUMMYFUNCTION("""COMPUTED_VALUE"""),9)</f>
        <v>9</v>
      </c>
      <c r="D1683" s="78" t="str">
        <f ca="1">IFERROR(__xludf.DUMMYFUNCTION("""COMPUTED_VALUE"""),"G")</f>
        <v>G</v>
      </c>
      <c r="E1683" s="80" t="str">
        <f ca="1">IFERROR(__xludf.DUMMYFUNCTION("""COMPUTED_VALUE"""),"F")</f>
        <v>F</v>
      </c>
      <c r="F1683" s="80" t="str">
        <f ca="1">IFERROR(__xludf.DUMMYFUNCTION("""COMPUTED_VALUE"""),"J")</f>
        <v>J</v>
      </c>
      <c r="G1683" s="80">
        <f ca="1">IFERROR(__xludf.DUMMYFUNCTION("""COMPUTED_VALUE"""),5)</f>
        <v>5</v>
      </c>
      <c r="H1683" s="80" t="str">
        <f ca="1">IFERROR(__xludf.DUMMYFUNCTION("""COMPUTED_VALUE"""),"R")</f>
        <v>R</v>
      </c>
      <c r="I1683" s="80">
        <f ca="1">IFERROR(__xludf.DUMMYFUNCTION("""COMPUTED_VALUE"""),2)</f>
        <v>2</v>
      </c>
      <c r="J1683" s="81">
        <f ca="1">IFERROR(__xludf.DUMMYFUNCTION("""COMPUTED_VALUE"""),5)</f>
        <v>5</v>
      </c>
      <c r="K1683" s="81">
        <f ca="1">IFERROR(__xludf.DUMMYFUNCTION("""COMPUTED_VALUE"""),63.55)</f>
        <v>63.55</v>
      </c>
      <c r="L1683" s="81">
        <f ca="1">IFERROR(__xludf.DUMMYFUNCTION("""COMPUTED_VALUE"""),48.8)</f>
        <v>48.8</v>
      </c>
      <c r="M1683" s="81"/>
      <c r="N1683" s="81">
        <f ca="1">IFERROR(__xludf.DUMMYFUNCTION("""COMPUTED_VALUE"""),52.3)</f>
        <v>52.3</v>
      </c>
      <c r="O1683" s="81"/>
      <c r="P1683" s="81">
        <f ca="1">IFERROR(__xludf.DUMMYFUNCTION("""COMPUTED_VALUE"""),59.9)</f>
        <v>59.9</v>
      </c>
      <c r="Q1683" s="81"/>
      <c r="R1683" s="81">
        <f ca="1">IFERROR(__xludf.DUMMYFUNCTION("""COMPUTED_VALUE"""),63.55)</f>
        <v>63.55</v>
      </c>
      <c r="S1683" s="81"/>
      <c r="T1683" s="81"/>
      <c r="U1683" s="82"/>
      <c r="V1683" s="82"/>
      <c r="W1683" s="83"/>
      <c r="X1683" s="83"/>
      <c r="Y1683" s="83"/>
    </row>
    <row r="1684" spans="1:25" ht="13.8">
      <c r="A1684" s="78" t="str">
        <f ca="1">IFERROR(__xludf.DUMMYFUNCTION("""COMPUTED_VALUE"""),"R")</f>
        <v>R</v>
      </c>
      <c r="B1684" s="79" t="str">
        <f ca="1">IFERROR(__xludf.DUMMYFUNCTION("""COMPUTED_VALUE"""),"Emma Smith")</f>
        <v>Emma Smith</v>
      </c>
      <c r="C1684" s="78">
        <f ca="1">IFERROR(__xludf.DUMMYFUNCTION("""COMPUTED_VALUE"""),8)</f>
        <v>8</v>
      </c>
      <c r="D1684" s="78" t="str">
        <f ca="1">IFERROR(__xludf.DUMMYFUNCTION("""COMPUTED_VALUE"""),"G")</f>
        <v>G</v>
      </c>
      <c r="E1684" s="80" t="str">
        <f ca="1">IFERROR(__xludf.DUMMYFUNCTION("""COMPUTED_VALUE"""),"F")</f>
        <v>F</v>
      </c>
      <c r="F1684" s="80" t="str">
        <f ca="1">IFERROR(__xludf.DUMMYFUNCTION("""COMPUTED_VALUE"""),"J")</f>
        <v>J</v>
      </c>
      <c r="G1684" s="80">
        <f ca="1">IFERROR(__xludf.DUMMYFUNCTION("""COMPUTED_VALUE"""),5)</f>
        <v>5</v>
      </c>
      <c r="H1684" s="80" t="str">
        <f ca="1">IFERROR(__xludf.DUMMYFUNCTION("""COMPUTED_VALUE"""),"R")</f>
        <v>R</v>
      </c>
      <c r="I1684" s="80">
        <f ca="1">IFERROR(__xludf.DUMMYFUNCTION("""COMPUTED_VALUE"""),2)</f>
        <v>2</v>
      </c>
      <c r="J1684" s="81">
        <f ca="1">IFERROR(__xludf.DUMMYFUNCTION("""COMPUTED_VALUE"""),4)</f>
        <v>4</v>
      </c>
      <c r="K1684" s="81">
        <f ca="1">IFERROR(__xludf.DUMMYFUNCTION("""COMPUTED_VALUE"""),26.9)</f>
        <v>26.9</v>
      </c>
      <c r="L1684" s="81">
        <f ca="1">IFERROR(__xludf.DUMMYFUNCTION("""COMPUTED_VALUE"""),20.65)</f>
        <v>20.65</v>
      </c>
      <c r="M1684" s="81"/>
      <c r="N1684" s="81">
        <f ca="1">IFERROR(__xludf.DUMMYFUNCTION("""COMPUTED_VALUE"""),0)</f>
        <v>0</v>
      </c>
      <c r="O1684" s="81"/>
      <c r="P1684" s="81">
        <f ca="1">IFERROR(__xludf.DUMMYFUNCTION("""COMPUTED_VALUE"""),26.9)</f>
        <v>26.9</v>
      </c>
      <c r="Q1684" s="81"/>
      <c r="R1684" s="81">
        <f ca="1">IFERROR(__xludf.DUMMYFUNCTION("""COMPUTED_VALUE"""),19.7)</f>
        <v>19.7</v>
      </c>
      <c r="S1684" s="81"/>
      <c r="T1684" s="81"/>
      <c r="U1684" s="82"/>
      <c r="V1684" s="82"/>
      <c r="W1684" s="83"/>
      <c r="X1684" s="83"/>
      <c r="Y1684" s="83"/>
    </row>
    <row r="1685" spans="1:25" ht="13.8">
      <c r="A1685" s="78" t="str">
        <f ca="1">IFERROR(__xludf.DUMMYFUNCTION("""COMPUTED_VALUE"""),"R")</f>
        <v>R</v>
      </c>
      <c r="B1685" s="79" t="str">
        <f ca="1">IFERROR(__xludf.DUMMYFUNCTION("""COMPUTED_VALUE"""),"Brayden Auble")</f>
        <v>Brayden Auble</v>
      </c>
      <c r="C1685" s="78">
        <f ca="1">IFERROR(__xludf.DUMMYFUNCTION("""COMPUTED_VALUE"""),8)</f>
        <v>8</v>
      </c>
      <c r="D1685" s="78" t="str">
        <f ca="1">IFERROR(__xludf.DUMMYFUNCTION("""COMPUTED_VALUE"""),"B")</f>
        <v>B</v>
      </c>
      <c r="E1685" s="80" t="str">
        <f ca="1">IFERROR(__xludf.DUMMYFUNCTION("""COMPUTED_VALUE"""),"F")</f>
        <v>F</v>
      </c>
      <c r="F1685" s="80" t="str">
        <f ca="1">IFERROR(__xludf.DUMMYFUNCTION("""COMPUTED_VALUE"""),"J")</f>
        <v>J</v>
      </c>
      <c r="G1685" s="80">
        <f ca="1">IFERROR(__xludf.DUMMYFUNCTION("""COMPUTED_VALUE"""),5)</f>
        <v>5</v>
      </c>
      <c r="H1685" s="80" t="str">
        <f ca="1">IFERROR(__xludf.DUMMYFUNCTION("""COMPUTED_VALUE"""),"R")</f>
        <v>R</v>
      </c>
      <c r="I1685" s="80">
        <f ca="1">IFERROR(__xludf.DUMMYFUNCTION("""COMPUTED_VALUE"""),3)</f>
        <v>3</v>
      </c>
      <c r="J1685" s="81">
        <f ca="1">IFERROR(__xludf.DUMMYFUNCTION("""COMPUTED_VALUE"""),3)</f>
        <v>3</v>
      </c>
      <c r="K1685" s="81">
        <f ca="1">IFERROR(__xludf.DUMMYFUNCTION("""COMPUTED_VALUE"""),34.2)</f>
        <v>34.200000000000003</v>
      </c>
      <c r="L1685" s="81">
        <f ca="1">IFERROR(__xludf.DUMMYFUNCTION("""COMPUTED_VALUE"""),28.4)</f>
        <v>28.4</v>
      </c>
      <c r="M1685" s="81"/>
      <c r="N1685" s="81">
        <f ca="1">IFERROR(__xludf.DUMMYFUNCTION("""COMPUTED_VALUE"""),34.2)</f>
        <v>34.200000000000003</v>
      </c>
      <c r="O1685" s="81"/>
      <c r="P1685" s="81">
        <f ca="1">IFERROR(__xludf.DUMMYFUNCTION("""COMPUTED_VALUE"""),33.25)</f>
        <v>33.25</v>
      </c>
      <c r="Q1685" s="81"/>
      <c r="R1685" s="81">
        <f ca="1">IFERROR(__xludf.DUMMYFUNCTION("""COMPUTED_VALUE"""),0)</f>
        <v>0</v>
      </c>
      <c r="S1685" s="81"/>
      <c r="T1685" s="81"/>
      <c r="U1685" s="82"/>
      <c r="V1685" s="82"/>
      <c r="W1685" s="83"/>
      <c r="X1685" s="83"/>
      <c r="Y1685" s="83"/>
    </row>
    <row r="1686" spans="1:25" ht="13.8">
      <c r="A1686" s="78" t="str">
        <f ca="1">IFERROR(__xludf.DUMMYFUNCTION("""COMPUTED_VALUE"""),"R")</f>
        <v>R</v>
      </c>
      <c r="B1686" s="79" t="str">
        <f ca="1">IFERROR(__xludf.DUMMYFUNCTION("""COMPUTED_VALUE"""),"Griffin Cahalan")</f>
        <v>Griffin Cahalan</v>
      </c>
      <c r="C1686" s="78">
        <f ca="1">IFERROR(__xludf.DUMMYFUNCTION("""COMPUTED_VALUE"""),7)</f>
        <v>7</v>
      </c>
      <c r="D1686" s="78" t="str">
        <f ca="1">IFERROR(__xludf.DUMMYFUNCTION("""COMPUTED_VALUE"""),"B")</f>
        <v>B</v>
      </c>
      <c r="E1686" s="80" t="str">
        <f ca="1">IFERROR(__xludf.DUMMYFUNCTION("""COMPUTED_VALUE"""),"F")</f>
        <v>F</v>
      </c>
      <c r="F1686" s="80" t="str">
        <f ca="1">IFERROR(__xludf.DUMMYFUNCTION("""COMPUTED_VALUE"""),"J")</f>
        <v>J</v>
      </c>
      <c r="G1686" s="80">
        <f ca="1">IFERROR(__xludf.DUMMYFUNCTION("""COMPUTED_VALUE"""),5)</f>
        <v>5</v>
      </c>
      <c r="H1686" s="80" t="str">
        <f ca="1">IFERROR(__xludf.DUMMYFUNCTION("""COMPUTED_VALUE"""),"R")</f>
        <v>R</v>
      </c>
      <c r="I1686" s="80">
        <f ca="1">IFERROR(__xludf.DUMMYFUNCTION("""COMPUTED_VALUE"""),3)</f>
        <v>3</v>
      </c>
      <c r="J1686" s="81">
        <f ca="1">IFERROR(__xludf.DUMMYFUNCTION("""COMPUTED_VALUE"""),4)</f>
        <v>4</v>
      </c>
      <c r="K1686" s="81">
        <f ca="1">IFERROR(__xludf.DUMMYFUNCTION("""COMPUTED_VALUE"""),54.4)</f>
        <v>54.4</v>
      </c>
      <c r="L1686" s="81">
        <f ca="1">IFERROR(__xludf.DUMMYFUNCTION("""COMPUTED_VALUE"""),20.5)</f>
        <v>20.5</v>
      </c>
      <c r="M1686" s="81"/>
      <c r="N1686" s="81">
        <f ca="1">IFERROR(__xludf.DUMMYFUNCTION("""COMPUTED_VALUE"""),48.9)</f>
        <v>48.9</v>
      </c>
      <c r="O1686" s="81"/>
      <c r="P1686" s="81">
        <f ca="1">IFERROR(__xludf.DUMMYFUNCTION("""COMPUTED_VALUE"""),42.1)</f>
        <v>42.1</v>
      </c>
      <c r="Q1686" s="81"/>
      <c r="R1686" s="81">
        <f ca="1">IFERROR(__xludf.DUMMYFUNCTION("""COMPUTED_VALUE"""),54.4)</f>
        <v>54.4</v>
      </c>
      <c r="S1686" s="81"/>
      <c r="T1686" s="81"/>
      <c r="U1686" s="82"/>
      <c r="V1686" s="82"/>
      <c r="W1686" s="83"/>
      <c r="X1686" s="83"/>
      <c r="Y1686" s="83"/>
    </row>
    <row r="1687" spans="1:25" ht="13.8">
      <c r="A1687" s="78" t="str">
        <f ca="1">IFERROR(__xludf.DUMMYFUNCTION("""COMPUTED_VALUE"""),"R")</f>
        <v>R</v>
      </c>
      <c r="B1687" s="79" t="str">
        <f ca="1">IFERROR(__xludf.DUMMYFUNCTION("""COMPUTED_VALUE"""),"Jasper Figley")</f>
        <v>Jasper Figley</v>
      </c>
      <c r="C1687" s="78">
        <f ca="1">IFERROR(__xludf.DUMMYFUNCTION("""COMPUTED_VALUE"""),9)</f>
        <v>9</v>
      </c>
      <c r="D1687" s="78" t="str">
        <f ca="1">IFERROR(__xludf.DUMMYFUNCTION("""COMPUTED_VALUE"""),"B")</f>
        <v>B</v>
      </c>
      <c r="E1687" s="80" t="str">
        <f ca="1">IFERROR(__xludf.DUMMYFUNCTION("""COMPUTED_VALUE"""),"F")</f>
        <v>F</v>
      </c>
      <c r="F1687" s="80" t="str">
        <f ca="1">IFERROR(__xludf.DUMMYFUNCTION("""COMPUTED_VALUE"""),"J")</f>
        <v>J</v>
      </c>
      <c r="G1687" s="80">
        <f ca="1">IFERROR(__xludf.DUMMYFUNCTION("""COMPUTED_VALUE"""),5)</f>
        <v>5</v>
      </c>
      <c r="H1687" s="80" t="str">
        <f ca="1">IFERROR(__xludf.DUMMYFUNCTION("""COMPUTED_VALUE"""),"R")</f>
        <v>R</v>
      </c>
      <c r="I1687" s="80">
        <f ca="1">IFERROR(__xludf.DUMMYFUNCTION("""COMPUTED_VALUE"""),3)</f>
        <v>3</v>
      </c>
      <c r="J1687" s="81">
        <f ca="1">IFERROR(__xludf.DUMMYFUNCTION("""COMPUTED_VALUE"""),4)</f>
        <v>4</v>
      </c>
      <c r="K1687" s="81">
        <f ca="1">IFERROR(__xludf.DUMMYFUNCTION("""COMPUTED_VALUE"""),45.4)</f>
        <v>45.4</v>
      </c>
      <c r="L1687" s="81">
        <f ca="1">IFERROR(__xludf.DUMMYFUNCTION("""COMPUTED_VALUE"""),0)</f>
        <v>0</v>
      </c>
      <c r="M1687" s="81"/>
      <c r="N1687" s="81">
        <f ca="1">IFERROR(__xludf.DUMMYFUNCTION("""COMPUTED_VALUE"""),30.3)</f>
        <v>30.3</v>
      </c>
      <c r="O1687" s="81"/>
      <c r="P1687" s="81">
        <f ca="1">IFERROR(__xludf.DUMMYFUNCTION("""COMPUTED_VALUE"""),31.45)</f>
        <v>31.45</v>
      </c>
      <c r="Q1687" s="81"/>
      <c r="R1687" s="81">
        <f ca="1">IFERROR(__xludf.DUMMYFUNCTION("""COMPUTED_VALUE"""),45.4)</f>
        <v>45.4</v>
      </c>
      <c r="S1687" s="81"/>
      <c r="T1687" s="81"/>
      <c r="U1687" s="82"/>
      <c r="V1687" s="82"/>
      <c r="W1687" s="83"/>
      <c r="X1687" s="83"/>
      <c r="Y1687" s="83"/>
    </row>
    <row r="1688" spans="1:25" ht="13.8">
      <c r="A1688" s="78" t="str">
        <f ca="1">IFERROR(__xludf.DUMMYFUNCTION("""COMPUTED_VALUE"""),"R")</f>
        <v>R</v>
      </c>
      <c r="B1688" s="79" t="str">
        <f ca="1">IFERROR(__xludf.DUMMYFUNCTION("""COMPUTED_VALUE"""),"Sami Ramon")</f>
        <v>Sami Ramon</v>
      </c>
      <c r="C1688" s="78">
        <f ca="1">IFERROR(__xludf.DUMMYFUNCTION("""COMPUTED_VALUE"""),5)</f>
        <v>5</v>
      </c>
      <c r="D1688" s="78" t="str">
        <f ca="1">IFERROR(__xludf.DUMMYFUNCTION("""COMPUTED_VALUE"""),"B")</f>
        <v>B</v>
      </c>
      <c r="E1688" s="80" t="str">
        <f ca="1">IFERROR(__xludf.DUMMYFUNCTION("""COMPUTED_VALUE"""),"F")</f>
        <v>F</v>
      </c>
      <c r="F1688" s="80" t="str">
        <f ca="1">IFERROR(__xludf.DUMMYFUNCTION("""COMPUTED_VALUE"""),"J")</f>
        <v>J</v>
      </c>
      <c r="G1688" s="80">
        <f ca="1">IFERROR(__xludf.DUMMYFUNCTION("""COMPUTED_VALUE"""),5)</f>
        <v>5</v>
      </c>
      <c r="H1688" s="80" t="str">
        <f ca="1">IFERROR(__xludf.DUMMYFUNCTION("""COMPUTED_VALUE"""),"R")</f>
        <v>R</v>
      </c>
      <c r="I1688" s="80">
        <f ca="1">IFERROR(__xludf.DUMMYFUNCTION("""COMPUTED_VALUE"""),3)</f>
        <v>3</v>
      </c>
      <c r="J1688" s="81">
        <f ca="1">IFERROR(__xludf.DUMMYFUNCTION("""COMPUTED_VALUE"""),0)</f>
        <v>0</v>
      </c>
      <c r="K1688" s="81">
        <f ca="1">IFERROR(__xludf.DUMMYFUNCTION("""COMPUTED_VALUE"""),0)</f>
        <v>0</v>
      </c>
      <c r="L1688" s="81">
        <f ca="1">IFERROR(__xludf.DUMMYFUNCTION("""COMPUTED_VALUE"""),0)</f>
        <v>0</v>
      </c>
      <c r="M1688" s="81"/>
      <c r="N1688" s="81">
        <f ca="1">IFERROR(__xludf.DUMMYFUNCTION("""COMPUTED_VALUE"""),0)</f>
        <v>0</v>
      </c>
      <c r="O1688" s="81"/>
      <c r="P1688" s="81">
        <f ca="1">IFERROR(__xludf.DUMMYFUNCTION("""COMPUTED_VALUE"""),0)</f>
        <v>0</v>
      </c>
      <c r="Q1688" s="81"/>
      <c r="R1688" s="81">
        <f ca="1">IFERROR(__xludf.DUMMYFUNCTION("""COMPUTED_VALUE"""),0)</f>
        <v>0</v>
      </c>
      <c r="S1688" s="81"/>
      <c r="T1688" s="81"/>
      <c r="U1688" s="82"/>
      <c r="V1688" s="82"/>
      <c r="W1688" s="83"/>
      <c r="X1688" s="83"/>
      <c r="Y1688" s="83"/>
    </row>
    <row r="1689" spans="1:25" ht="13.8">
      <c r="A1689" s="78" t="str">
        <f ca="1">IFERROR(__xludf.DUMMYFUNCTION("""COMPUTED_VALUE"""),"R")</f>
        <v>R</v>
      </c>
      <c r="B1689" s="79" t="str">
        <f ca="1">IFERROR(__xludf.DUMMYFUNCTION("""COMPUTED_VALUE"""),"Zavier Roberts")</f>
        <v>Zavier Roberts</v>
      </c>
      <c r="C1689" s="78">
        <f ca="1">IFERROR(__xludf.DUMMYFUNCTION("""COMPUTED_VALUE"""),9)</f>
        <v>9</v>
      </c>
      <c r="D1689" s="78" t="str">
        <f ca="1">IFERROR(__xludf.DUMMYFUNCTION("""COMPUTED_VALUE"""),"B")</f>
        <v>B</v>
      </c>
      <c r="E1689" s="80" t="str">
        <f ca="1">IFERROR(__xludf.DUMMYFUNCTION("""COMPUTED_VALUE"""),"F")</f>
        <v>F</v>
      </c>
      <c r="F1689" s="80" t="str">
        <f ca="1">IFERROR(__xludf.DUMMYFUNCTION("""COMPUTED_VALUE"""),"J")</f>
        <v>J</v>
      </c>
      <c r="G1689" s="80">
        <f ca="1">IFERROR(__xludf.DUMMYFUNCTION("""COMPUTED_VALUE"""),5)</f>
        <v>5</v>
      </c>
      <c r="H1689" s="80" t="str">
        <f ca="1">IFERROR(__xludf.DUMMYFUNCTION("""COMPUTED_VALUE"""),"R")</f>
        <v>R</v>
      </c>
      <c r="I1689" s="80">
        <f ca="1">IFERROR(__xludf.DUMMYFUNCTION("""COMPUTED_VALUE"""),3)</f>
        <v>3</v>
      </c>
      <c r="J1689" s="81">
        <f ca="1">IFERROR(__xludf.DUMMYFUNCTION("""COMPUTED_VALUE"""),3)</f>
        <v>3</v>
      </c>
      <c r="K1689" s="81">
        <f ca="1">IFERROR(__xludf.DUMMYFUNCTION("""COMPUTED_VALUE"""),57.85)</f>
        <v>57.85</v>
      </c>
      <c r="L1689" s="81">
        <f ca="1">IFERROR(__xludf.DUMMYFUNCTION("""COMPUTED_VALUE"""),0)</f>
        <v>0</v>
      </c>
      <c r="M1689" s="81"/>
      <c r="N1689" s="81">
        <f ca="1">IFERROR(__xludf.DUMMYFUNCTION("""COMPUTED_VALUE"""),0)</f>
        <v>0</v>
      </c>
      <c r="O1689" s="81"/>
      <c r="P1689" s="81">
        <f ca="1">IFERROR(__xludf.DUMMYFUNCTION("""COMPUTED_VALUE"""),48.65)</f>
        <v>48.65</v>
      </c>
      <c r="Q1689" s="81"/>
      <c r="R1689" s="81">
        <f ca="1">IFERROR(__xludf.DUMMYFUNCTION("""COMPUTED_VALUE"""),57.85)</f>
        <v>57.85</v>
      </c>
      <c r="S1689" s="81"/>
      <c r="T1689" s="81"/>
      <c r="U1689" s="82"/>
      <c r="V1689" s="82"/>
      <c r="W1689" s="83"/>
      <c r="X1689" s="83"/>
      <c r="Y1689" s="83"/>
    </row>
    <row r="1690" spans="1:25" ht="13.8">
      <c r="A1690" s="78" t="str">
        <f ca="1">IFERROR(__xludf.DUMMYFUNCTION("""COMPUTED_VALUE"""),"R")</f>
        <v>R</v>
      </c>
      <c r="B1690" s="79" t="str">
        <f ca="1">IFERROR(__xludf.DUMMYFUNCTION("""COMPUTED_VALUE"""),"Olivia Bruce")</f>
        <v>Olivia Bruce</v>
      </c>
      <c r="C1690" s="78">
        <f ca="1">IFERROR(__xludf.DUMMYFUNCTION("""COMPUTED_VALUE"""),12)</f>
        <v>12</v>
      </c>
      <c r="D1690" s="78" t="str">
        <f ca="1">IFERROR(__xludf.DUMMYFUNCTION("""COMPUTED_VALUE"""),"G")</f>
        <v>G</v>
      </c>
      <c r="E1690" s="80" t="str">
        <f ca="1">IFERROR(__xludf.DUMMYFUNCTION("""COMPUTED_VALUE"""),"J")</f>
        <v>J</v>
      </c>
      <c r="F1690" s="80" t="str">
        <f ca="1">IFERROR(__xludf.DUMMYFUNCTION("""COMPUTED_VALUE"""),"I")</f>
        <v>I</v>
      </c>
      <c r="G1690" s="80">
        <f ca="1">IFERROR(__xludf.DUMMYFUNCTION("""COMPUTED_VALUE"""),5)</f>
        <v>5</v>
      </c>
      <c r="H1690" s="80" t="str">
        <f ca="1">IFERROR(__xludf.DUMMYFUNCTION("""COMPUTED_VALUE"""),"R")</f>
        <v>R</v>
      </c>
      <c r="I1690" s="80">
        <f ca="1">IFERROR(__xludf.DUMMYFUNCTION("""COMPUTED_VALUE"""),4)</f>
        <v>4</v>
      </c>
      <c r="J1690" s="81">
        <f ca="1">IFERROR(__xludf.DUMMYFUNCTION("""COMPUTED_VALUE"""),4)</f>
        <v>4</v>
      </c>
      <c r="K1690" s="81">
        <f ca="1">IFERROR(__xludf.DUMMYFUNCTION("""COMPUTED_VALUE"""),65.2)</f>
        <v>65.2</v>
      </c>
      <c r="L1690" s="81">
        <f ca="1">IFERROR(__xludf.DUMMYFUNCTION("""COMPUTED_VALUE"""),0)</f>
        <v>0</v>
      </c>
      <c r="M1690" s="81"/>
      <c r="N1690" s="81">
        <f ca="1">IFERROR(__xludf.DUMMYFUNCTION("""COMPUTED_VALUE"""),65.2)</f>
        <v>65.2</v>
      </c>
      <c r="O1690" s="81"/>
      <c r="P1690" s="81">
        <f ca="1">IFERROR(__xludf.DUMMYFUNCTION("""COMPUTED_VALUE"""),51.8)</f>
        <v>51.8</v>
      </c>
      <c r="Q1690" s="81"/>
      <c r="R1690" s="81">
        <f ca="1">IFERROR(__xludf.DUMMYFUNCTION("""COMPUTED_VALUE"""),42)</f>
        <v>42</v>
      </c>
      <c r="S1690" s="81"/>
      <c r="T1690" s="81"/>
      <c r="U1690" s="82"/>
      <c r="V1690" s="82"/>
      <c r="W1690" s="83"/>
      <c r="X1690" s="83"/>
      <c r="Y1690" s="83"/>
    </row>
    <row r="1691" spans="1:25" ht="13.8">
      <c r="A1691" s="78" t="str">
        <f ca="1">IFERROR(__xludf.DUMMYFUNCTION("""COMPUTED_VALUE"""),"R")</f>
        <v>R</v>
      </c>
      <c r="B1691" s="79" t="str">
        <f ca="1">IFERROR(__xludf.DUMMYFUNCTION("""COMPUTED_VALUE"""),"Emily Field")</f>
        <v>Emily Field</v>
      </c>
      <c r="C1691" s="78">
        <f ca="1">IFERROR(__xludf.DUMMYFUNCTION("""COMPUTED_VALUE"""),11)</f>
        <v>11</v>
      </c>
      <c r="D1691" s="78" t="str">
        <f ca="1">IFERROR(__xludf.DUMMYFUNCTION("""COMPUTED_VALUE"""),"G")</f>
        <v>G</v>
      </c>
      <c r="E1691" s="80" t="str">
        <f ca="1">IFERROR(__xludf.DUMMYFUNCTION("""COMPUTED_VALUE"""),"J")</f>
        <v>J</v>
      </c>
      <c r="F1691" s="80" t="str">
        <f ca="1">IFERROR(__xludf.DUMMYFUNCTION("""COMPUTED_VALUE"""),"I")</f>
        <v>I</v>
      </c>
      <c r="G1691" s="80">
        <f ca="1">IFERROR(__xludf.DUMMYFUNCTION("""COMPUTED_VALUE"""),5)</f>
        <v>5</v>
      </c>
      <c r="H1691" s="80" t="str">
        <f ca="1">IFERROR(__xludf.DUMMYFUNCTION("""COMPUTED_VALUE"""),"R")</f>
        <v>R</v>
      </c>
      <c r="I1691" s="80">
        <f ca="1">IFERROR(__xludf.DUMMYFUNCTION("""COMPUTED_VALUE"""),4)</f>
        <v>4</v>
      </c>
      <c r="J1691" s="81">
        <f ca="1">IFERROR(__xludf.DUMMYFUNCTION("""COMPUTED_VALUE"""),4)</f>
        <v>4</v>
      </c>
      <c r="K1691" s="81">
        <f ca="1">IFERROR(__xludf.DUMMYFUNCTION("""COMPUTED_VALUE"""),88.55)</f>
        <v>88.55</v>
      </c>
      <c r="L1691" s="81">
        <f ca="1">IFERROR(__xludf.DUMMYFUNCTION("""COMPUTED_VALUE"""),53.55)</f>
        <v>53.55</v>
      </c>
      <c r="M1691" s="81"/>
      <c r="N1691" s="81">
        <f ca="1">IFERROR(__xludf.DUMMYFUNCTION("""COMPUTED_VALUE"""),88.55)</f>
        <v>88.55</v>
      </c>
      <c r="O1691" s="81"/>
      <c r="P1691" s="81">
        <f ca="1">IFERROR(__xludf.DUMMYFUNCTION("""COMPUTED_VALUE"""),70.95)</f>
        <v>70.95</v>
      </c>
      <c r="Q1691" s="81"/>
      <c r="R1691" s="81">
        <f ca="1">IFERROR(__xludf.DUMMYFUNCTION("""COMPUTED_VALUE"""),0)</f>
        <v>0</v>
      </c>
      <c r="S1691" s="81"/>
      <c r="T1691" s="81"/>
      <c r="U1691" s="82"/>
      <c r="V1691" s="82"/>
      <c r="W1691" s="83"/>
      <c r="X1691" s="83"/>
      <c r="Y1691" s="83"/>
    </row>
    <row r="1692" spans="1:25" ht="13.8">
      <c r="A1692" s="78" t="str">
        <f ca="1">IFERROR(__xludf.DUMMYFUNCTION("""COMPUTED_VALUE"""),"R")</f>
        <v>R</v>
      </c>
      <c r="B1692" s="79" t="str">
        <f ca="1">IFERROR(__xludf.DUMMYFUNCTION("""COMPUTED_VALUE"""),"Hadley Homer")</f>
        <v>Hadley Homer</v>
      </c>
      <c r="C1692" s="78">
        <f ca="1">IFERROR(__xludf.DUMMYFUNCTION("""COMPUTED_VALUE"""),11)</f>
        <v>11</v>
      </c>
      <c r="D1692" s="78" t="str">
        <f ca="1">IFERROR(__xludf.DUMMYFUNCTION("""COMPUTED_VALUE"""),"G")</f>
        <v>G</v>
      </c>
      <c r="E1692" s="80" t="str">
        <f ca="1">IFERROR(__xludf.DUMMYFUNCTION("""COMPUTED_VALUE"""),"J")</f>
        <v>J</v>
      </c>
      <c r="F1692" s="80" t="str">
        <f ca="1">IFERROR(__xludf.DUMMYFUNCTION("""COMPUTED_VALUE"""),"I")</f>
        <v>I</v>
      </c>
      <c r="G1692" s="80">
        <f ca="1">IFERROR(__xludf.DUMMYFUNCTION("""COMPUTED_VALUE"""),5)</f>
        <v>5</v>
      </c>
      <c r="H1692" s="80" t="str">
        <f ca="1">IFERROR(__xludf.DUMMYFUNCTION("""COMPUTED_VALUE"""),"R")</f>
        <v>R</v>
      </c>
      <c r="I1692" s="80">
        <f ca="1">IFERROR(__xludf.DUMMYFUNCTION("""COMPUTED_VALUE"""),4)</f>
        <v>4</v>
      </c>
      <c r="J1692" s="81">
        <f ca="1">IFERROR(__xludf.DUMMYFUNCTION("""COMPUTED_VALUE"""),0)</f>
        <v>0</v>
      </c>
      <c r="K1692" s="81">
        <f ca="1">IFERROR(__xludf.DUMMYFUNCTION("""COMPUTED_VALUE"""),0)</f>
        <v>0</v>
      </c>
      <c r="L1692" s="81">
        <f ca="1">IFERROR(__xludf.DUMMYFUNCTION("""COMPUTED_VALUE"""),0)</f>
        <v>0</v>
      </c>
      <c r="M1692" s="81"/>
      <c r="N1692" s="81">
        <f ca="1">IFERROR(__xludf.DUMMYFUNCTION("""COMPUTED_VALUE"""),0)</f>
        <v>0</v>
      </c>
      <c r="O1692" s="81"/>
      <c r="P1692" s="81">
        <f ca="1">IFERROR(__xludf.DUMMYFUNCTION("""COMPUTED_VALUE"""),0)</f>
        <v>0</v>
      </c>
      <c r="Q1692" s="81"/>
      <c r="R1692" s="81">
        <f ca="1">IFERROR(__xludf.DUMMYFUNCTION("""COMPUTED_VALUE"""),0)</f>
        <v>0</v>
      </c>
      <c r="S1692" s="81"/>
      <c r="T1692" s="81"/>
      <c r="U1692" s="82"/>
      <c r="V1692" s="82"/>
      <c r="W1692" s="83"/>
      <c r="X1692" s="83"/>
      <c r="Y1692" s="83"/>
    </row>
    <row r="1693" spans="1:25" ht="13.8">
      <c r="A1693" s="78" t="str">
        <f ca="1">IFERROR(__xludf.DUMMYFUNCTION("""COMPUTED_VALUE"""),"R")</f>
        <v>R</v>
      </c>
      <c r="B1693" s="79" t="str">
        <f ca="1">IFERROR(__xludf.DUMMYFUNCTION("""COMPUTED_VALUE"""),"Elise Lunn")</f>
        <v>Elise Lunn</v>
      </c>
      <c r="C1693" s="78">
        <f ca="1">IFERROR(__xludf.DUMMYFUNCTION("""COMPUTED_VALUE"""),11)</f>
        <v>11</v>
      </c>
      <c r="D1693" s="78" t="str">
        <f ca="1">IFERROR(__xludf.DUMMYFUNCTION("""COMPUTED_VALUE"""),"G")</f>
        <v>G</v>
      </c>
      <c r="E1693" s="80" t="str">
        <f ca="1">IFERROR(__xludf.DUMMYFUNCTION("""COMPUTED_VALUE"""),"J")</f>
        <v>J</v>
      </c>
      <c r="F1693" s="80" t="str">
        <f ca="1">IFERROR(__xludf.DUMMYFUNCTION("""COMPUTED_VALUE"""),"I")</f>
        <v>I</v>
      </c>
      <c r="G1693" s="80">
        <f ca="1">IFERROR(__xludf.DUMMYFUNCTION("""COMPUTED_VALUE"""),5)</f>
        <v>5</v>
      </c>
      <c r="H1693" s="80" t="str">
        <f ca="1">IFERROR(__xludf.DUMMYFUNCTION("""COMPUTED_VALUE"""),"R")</f>
        <v>R</v>
      </c>
      <c r="I1693" s="80">
        <f ca="1">IFERROR(__xludf.DUMMYFUNCTION("""COMPUTED_VALUE"""),4)</f>
        <v>4</v>
      </c>
      <c r="J1693" s="81">
        <f ca="1">IFERROR(__xludf.DUMMYFUNCTION("""COMPUTED_VALUE"""),3)</f>
        <v>3</v>
      </c>
      <c r="K1693" s="81">
        <f ca="1">IFERROR(__xludf.DUMMYFUNCTION("""COMPUTED_VALUE"""),88.45)</f>
        <v>88.45</v>
      </c>
      <c r="L1693" s="81">
        <f ca="1">IFERROR(__xludf.DUMMYFUNCTION("""COMPUTED_VALUE"""),0)</f>
        <v>0</v>
      </c>
      <c r="M1693" s="81"/>
      <c r="N1693" s="81">
        <f ca="1">IFERROR(__xludf.DUMMYFUNCTION("""COMPUTED_VALUE"""),79.7)</f>
        <v>79.7</v>
      </c>
      <c r="O1693" s="81"/>
      <c r="P1693" s="81">
        <f ca="1">IFERROR(__xludf.DUMMYFUNCTION("""COMPUTED_VALUE"""),0)</f>
        <v>0</v>
      </c>
      <c r="Q1693" s="81"/>
      <c r="R1693" s="81">
        <f ca="1">IFERROR(__xludf.DUMMYFUNCTION("""COMPUTED_VALUE"""),88.45)</f>
        <v>88.45</v>
      </c>
      <c r="S1693" s="81"/>
      <c r="T1693" s="81"/>
      <c r="U1693" s="82"/>
      <c r="V1693" s="82"/>
      <c r="W1693" s="83"/>
      <c r="X1693" s="83"/>
      <c r="Y1693" s="83"/>
    </row>
    <row r="1694" spans="1:25" ht="13.8">
      <c r="A1694" s="78" t="str">
        <f ca="1">IFERROR(__xludf.DUMMYFUNCTION("""COMPUTED_VALUE"""),"R")</f>
        <v>R</v>
      </c>
      <c r="B1694" s="79" t="str">
        <f ca="1">IFERROR(__xludf.DUMMYFUNCTION("""COMPUTED_VALUE"""),"Ivy McFadden")</f>
        <v>Ivy McFadden</v>
      </c>
      <c r="C1694" s="78">
        <f ca="1">IFERROR(__xludf.DUMMYFUNCTION("""COMPUTED_VALUE"""),11)</f>
        <v>11</v>
      </c>
      <c r="D1694" s="78" t="str">
        <f ca="1">IFERROR(__xludf.DUMMYFUNCTION("""COMPUTED_VALUE"""),"G")</f>
        <v>G</v>
      </c>
      <c r="E1694" s="80" t="str">
        <f ca="1">IFERROR(__xludf.DUMMYFUNCTION("""COMPUTED_VALUE"""),"J")</f>
        <v>J</v>
      </c>
      <c r="F1694" s="80" t="str">
        <f ca="1">IFERROR(__xludf.DUMMYFUNCTION("""COMPUTED_VALUE"""),"I")</f>
        <v>I</v>
      </c>
      <c r="G1694" s="80">
        <f ca="1">IFERROR(__xludf.DUMMYFUNCTION("""COMPUTED_VALUE"""),5)</f>
        <v>5</v>
      </c>
      <c r="H1694" s="80" t="str">
        <f ca="1">IFERROR(__xludf.DUMMYFUNCTION("""COMPUTED_VALUE"""),"R")</f>
        <v>R</v>
      </c>
      <c r="I1694" s="80">
        <f ca="1">IFERROR(__xludf.DUMMYFUNCTION("""COMPUTED_VALUE"""),4)</f>
        <v>4</v>
      </c>
      <c r="J1694" s="81">
        <f ca="1">IFERROR(__xludf.DUMMYFUNCTION("""COMPUTED_VALUE"""),0)</f>
        <v>0</v>
      </c>
      <c r="K1694" s="81">
        <f ca="1">IFERROR(__xludf.DUMMYFUNCTION("""COMPUTED_VALUE"""),0)</f>
        <v>0</v>
      </c>
      <c r="L1694" s="81">
        <f ca="1">IFERROR(__xludf.DUMMYFUNCTION("""COMPUTED_VALUE"""),0)</f>
        <v>0</v>
      </c>
      <c r="M1694" s="81"/>
      <c r="N1694" s="81">
        <f ca="1">IFERROR(__xludf.DUMMYFUNCTION("""COMPUTED_VALUE"""),0)</f>
        <v>0</v>
      </c>
      <c r="O1694" s="81"/>
      <c r="P1694" s="81">
        <f ca="1">IFERROR(__xludf.DUMMYFUNCTION("""COMPUTED_VALUE"""),0)</f>
        <v>0</v>
      </c>
      <c r="Q1694" s="81"/>
      <c r="R1694" s="81">
        <f ca="1">IFERROR(__xludf.DUMMYFUNCTION("""COMPUTED_VALUE"""),0)</f>
        <v>0</v>
      </c>
      <c r="S1694" s="81"/>
      <c r="T1694" s="81"/>
      <c r="U1694" s="82"/>
      <c r="V1694" s="82"/>
      <c r="W1694" s="83"/>
      <c r="X1694" s="83"/>
      <c r="Y1694" s="83"/>
    </row>
    <row r="1695" spans="1:25" ht="13.8">
      <c r="A1695" s="78" t="str">
        <f ca="1">IFERROR(__xludf.DUMMYFUNCTION("""COMPUTED_VALUE"""),"R")</f>
        <v>R</v>
      </c>
      <c r="B1695" s="79" t="str">
        <f ca="1">IFERROR(__xludf.DUMMYFUNCTION("""COMPUTED_VALUE"""),"Andrew Bean")</f>
        <v>Andrew Bean</v>
      </c>
      <c r="C1695" s="78">
        <f ca="1">IFERROR(__xludf.DUMMYFUNCTION("""COMPUTED_VALUE"""),11)</f>
        <v>11</v>
      </c>
      <c r="D1695" s="78" t="str">
        <f ca="1">IFERROR(__xludf.DUMMYFUNCTION("""COMPUTED_VALUE"""),"B")</f>
        <v>B</v>
      </c>
      <c r="E1695" s="80" t="str">
        <f ca="1">IFERROR(__xludf.DUMMYFUNCTION("""COMPUTED_VALUE"""),"J")</f>
        <v>J</v>
      </c>
      <c r="F1695" s="80" t="str">
        <f ca="1">IFERROR(__xludf.DUMMYFUNCTION("""COMPUTED_VALUE"""),"I")</f>
        <v>I</v>
      </c>
      <c r="G1695" s="80">
        <f ca="1">IFERROR(__xludf.DUMMYFUNCTION("""COMPUTED_VALUE"""),5)</f>
        <v>5</v>
      </c>
      <c r="H1695" s="80" t="str">
        <f ca="1">IFERROR(__xludf.DUMMYFUNCTION("""COMPUTED_VALUE"""),"R")</f>
        <v>R</v>
      </c>
      <c r="I1695" s="80">
        <f ca="1">IFERROR(__xludf.DUMMYFUNCTION("""COMPUTED_VALUE"""),5)</f>
        <v>5</v>
      </c>
      <c r="J1695" s="85">
        <f ca="1">IFERROR(__xludf.DUMMYFUNCTION("""COMPUTED_VALUE"""),4)</f>
        <v>4</v>
      </c>
      <c r="K1695" s="85">
        <f ca="1">IFERROR(__xludf.DUMMYFUNCTION("""COMPUTED_VALUE"""),81.15)</f>
        <v>81.150000000000006</v>
      </c>
      <c r="L1695" s="85">
        <f ca="1">IFERROR(__xludf.DUMMYFUNCTION("""COMPUTED_VALUE"""),36.1)</f>
        <v>36.1</v>
      </c>
      <c r="M1695" s="85"/>
      <c r="N1695" s="85">
        <f ca="1">IFERROR(__xludf.DUMMYFUNCTION("""COMPUTED_VALUE"""),78.15)</f>
        <v>78.150000000000006</v>
      </c>
      <c r="O1695" s="85"/>
      <c r="P1695" s="85">
        <f ca="1">IFERROR(__xludf.DUMMYFUNCTION("""COMPUTED_VALUE"""),56.8)</f>
        <v>56.8</v>
      </c>
      <c r="Q1695" s="85"/>
      <c r="R1695" s="85">
        <f ca="1">IFERROR(__xludf.DUMMYFUNCTION("""COMPUTED_VALUE"""),81.15)</f>
        <v>81.150000000000006</v>
      </c>
      <c r="S1695" s="85"/>
      <c r="T1695" s="85"/>
      <c r="U1695" s="82"/>
      <c r="V1695" s="82"/>
      <c r="W1695" s="83"/>
      <c r="X1695" s="83"/>
      <c r="Y1695" s="83"/>
    </row>
    <row r="1696" spans="1:25" ht="13.8">
      <c r="A1696" s="78" t="str">
        <f ca="1">IFERROR(__xludf.DUMMYFUNCTION("""COMPUTED_VALUE"""),"R")</f>
        <v>R</v>
      </c>
      <c r="B1696" s="79" t="str">
        <f ca="1">IFERROR(__xludf.DUMMYFUNCTION("""COMPUTED_VALUE"""),"Evan George")</f>
        <v>Evan George</v>
      </c>
      <c r="C1696" s="78">
        <f ca="1">IFERROR(__xludf.DUMMYFUNCTION("""COMPUTED_VALUE"""),12)</f>
        <v>12</v>
      </c>
      <c r="D1696" s="78" t="str">
        <f ca="1">IFERROR(__xludf.DUMMYFUNCTION("""COMPUTED_VALUE"""),"B")</f>
        <v>B</v>
      </c>
      <c r="E1696" s="80" t="str">
        <f ca="1">IFERROR(__xludf.DUMMYFUNCTION("""COMPUTED_VALUE"""),"J")</f>
        <v>J</v>
      </c>
      <c r="F1696" s="80" t="str">
        <f ca="1">IFERROR(__xludf.DUMMYFUNCTION("""COMPUTED_VALUE"""),"I")</f>
        <v>I</v>
      </c>
      <c r="G1696" s="80">
        <f ca="1">IFERROR(__xludf.DUMMYFUNCTION("""COMPUTED_VALUE"""),5)</f>
        <v>5</v>
      </c>
      <c r="H1696" s="80" t="str">
        <f ca="1">IFERROR(__xludf.DUMMYFUNCTION("""COMPUTED_VALUE"""),"R")</f>
        <v>R</v>
      </c>
      <c r="I1696" s="80">
        <f ca="1">IFERROR(__xludf.DUMMYFUNCTION("""COMPUTED_VALUE"""),5)</f>
        <v>5</v>
      </c>
      <c r="J1696" s="85">
        <f ca="1">IFERROR(__xludf.DUMMYFUNCTION("""COMPUTED_VALUE"""),5)</f>
        <v>5</v>
      </c>
      <c r="K1696" s="85">
        <f ca="1">IFERROR(__xludf.DUMMYFUNCTION("""COMPUTED_VALUE"""),120.4)</f>
        <v>120.4</v>
      </c>
      <c r="L1696" s="85">
        <f ca="1">IFERROR(__xludf.DUMMYFUNCTION("""COMPUTED_VALUE"""),112.1)</f>
        <v>112.1</v>
      </c>
      <c r="M1696" s="85"/>
      <c r="N1696" s="85">
        <f ca="1">IFERROR(__xludf.DUMMYFUNCTION("""COMPUTED_VALUE"""),120.4)</f>
        <v>120.4</v>
      </c>
      <c r="O1696" s="85"/>
      <c r="P1696" s="85">
        <f ca="1">IFERROR(__xludf.DUMMYFUNCTION("""COMPUTED_VALUE"""),103.2)</f>
        <v>103.2</v>
      </c>
      <c r="Q1696" s="85"/>
      <c r="R1696" s="85">
        <f ca="1">IFERROR(__xludf.DUMMYFUNCTION("""COMPUTED_VALUE"""),116.75)</f>
        <v>116.75</v>
      </c>
      <c r="S1696" s="85"/>
      <c r="T1696" s="85"/>
      <c r="U1696" s="82"/>
      <c r="V1696" s="82"/>
      <c r="W1696" s="83"/>
      <c r="X1696" s="83"/>
      <c r="Y1696" s="83"/>
    </row>
    <row r="1697" spans="1:25" ht="13.8">
      <c r="A1697" s="78" t="str">
        <f ca="1">IFERROR(__xludf.DUMMYFUNCTION("""COMPUTED_VALUE"""),"R")</f>
        <v>R</v>
      </c>
      <c r="B1697" s="79" t="str">
        <f ca="1">IFERROR(__xludf.DUMMYFUNCTION("""COMPUTED_VALUE"""),"Noah Henderson")</f>
        <v>Noah Henderson</v>
      </c>
      <c r="C1697" s="78">
        <f ca="1">IFERROR(__xludf.DUMMYFUNCTION("""COMPUTED_VALUE"""),12)</f>
        <v>12</v>
      </c>
      <c r="D1697" s="78" t="str">
        <f ca="1">IFERROR(__xludf.DUMMYFUNCTION("""COMPUTED_VALUE"""),"B")</f>
        <v>B</v>
      </c>
      <c r="E1697" s="80" t="str">
        <f ca="1">IFERROR(__xludf.DUMMYFUNCTION("""COMPUTED_VALUE"""),"J")</f>
        <v>J</v>
      </c>
      <c r="F1697" s="80" t="str">
        <f ca="1">IFERROR(__xludf.DUMMYFUNCTION("""COMPUTED_VALUE"""),"I")</f>
        <v>I</v>
      </c>
      <c r="G1697" s="80">
        <f ca="1">IFERROR(__xludf.DUMMYFUNCTION("""COMPUTED_VALUE"""),5)</f>
        <v>5</v>
      </c>
      <c r="H1697" s="80" t="str">
        <f ca="1">IFERROR(__xludf.DUMMYFUNCTION("""COMPUTED_VALUE"""),"R")</f>
        <v>R</v>
      </c>
      <c r="I1697" s="80">
        <f ca="1">IFERROR(__xludf.DUMMYFUNCTION("""COMPUTED_VALUE"""),5)</f>
        <v>5</v>
      </c>
      <c r="J1697" s="85">
        <f ca="1">IFERROR(__xludf.DUMMYFUNCTION("""COMPUTED_VALUE"""),5)</f>
        <v>5</v>
      </c>
      <c r="K1697" s="85">
        <f ca="1">IFERROR(__xludf.DUMMYFUNCTION("""COMPUTED_VALUE"""),72.1)</f>
        <v>72.099999999999994</v>
      </c>
      <c r="L1697" s="85">
        <f ca="1">IFERROR(__xludf.DUMMYFUNCTION("""COMPUTED_VALUE"""),36.65)</f>
        <v>36.65</v>
      </c>
      <c r="M1697" s="85"/>
      <c r="N1697" s="85">
        <f ca="1">IFERROR(__xludf.DUMMYFUNCTION("""COMPUTED_VALUE"""),72.1)</f>
        <v>72.099999999999994</v>
      </c>
      <c r="O1697" s="85"/>
      <c r="P1697" s="85">
        <f ca="1">IFERROR(__xludf.DUMMYFUNCTION("""COMPUTED_VALUE"""),64.7)</f>
        <v>64.7</v>
      </c>
      <c r="Q1697" s="85"/>
      <c r="R1697" s="85">
        <f ca="1">IFERROR(__xludf.DUMMYFUNCTION("""COMPUTED_VALUE"""),44.25)</f>
        <v>44.25</v>
      </c>
      <c r="S1697" s="85"/>
      <c r="T1697" s="85"/>
      <c r="U1697" s="82"/>
      <c r="V1697" s="82"/>
      <c r="W1697" s="83"/>
      <c r="X1697" s="83"/>
      <c r="Y1697" s="83"/>
    </row>
    <row r="1698" spans="1:25" ht="13.8">
      <c r="A1698" s="78" t="str">
        <f ca="1">IFERROR(__xludf.DUMMYFUNCTION("""COMPUTED_VALUE"""),"R")</f>
        <v>R</v>
      </c>
      <c r="B1698" s="79" t="str">
        <f ca="1">IFERROR(__xludf.DUMMYFUNCTION("""COMPUTED_VALUE"""),"Hannah Cahalan")</f>
        <v>Hannah Cahalan</v>
      </c>
      <c r="C1698" s="78">
        <f ca="1">IFERROR(__xludf.DUMMYFUNCTION("""COMPUTED_VALUE"""),13)</f>
        <v>13</v>
      </c>
      <c r="D1698" s="78" t="str">
        <f ca="1">IFERROR(__xludf.DUMMYFUNCTION("""COMPUTED_VALUE"""),"G")</f>
        <v>G</v>
      </c>
      <c r="E1698" s="80" t="str">
        <f ca="1">IFERROR(__xludf.DUMMYFUNCTION("""COMPUTED_VALUE"""),"I")</f>
        <v>I</v>
      </c>
      <c r="F1698" s="80" t="str">
        <f ca="1">IFERROR(__xludf.DUMMYFUNCTION("""COMPUTED_VALUE"""),"S")</f>
        <v>S</v>
      </c>
      <c r="G1698" s="80">
        <f ca="1">IFERROR(__xludf.DUMMYFUNCTION("""COMPUTED_VALUE"""),5)</f>
        <v>5</v>
      </c>
      <c r="H1698" s="80" t="str">
        <f ca="1">IFERROR(__xludf.DUMMYFUNCTION("""COMPUTED_VALUE"""),"R")</f>
        <v>R</v>
      </c>
      <c r="I1698" s="80">
        <f ca="1">IFERROR(__xludf.DUMMYFUNCTION("""COMPUTED_VALUE"""),6)</f>
        <v>6</v>
      </c>
      <c r="J1698" s="85">
        <f ca="1">IFERROR(__xludf.DUMMYFUNCTION("""COMPUTED_VALUE"""),4)</f>
        <v>4</v>
      </c>
      <c r="K1698" s="85">
        <f ca="1">IFERROR(__xludf.DUMMYFUNCTION("""COMPUTED_VALUE"""),95.45)</f>
        <v>95.45</v>
      </c>
      <c r="L1698" s="85">
        <f ca="1">IFERROR(__xludf.DUMMYFUNCTION("""COMPUTED_VALUE"""),60.5)</f>
        <v>60.5</v>
      </c>
      <c r="M1698" s="85"/>
      <c r="N1698" s="85">
        <f ca="1">IFERROR(__xludf.DUMMYFUNCTION("""COMPUTED_VALUE"""),85.7)</f>
        <v>85.7</v>
      </c>
      <c r="O1698" s="85"/>
      <c r="P1698" s="85">
        <f ca="1">IFERROR(__xludf.DUMMYFUNCTION("""COMPUTED_VALUE"""),80)</f>
        <v>80</v>
      </c>
      <c r="Q1698" s="85"/>
      <c r="R1698" s="85">
        <f ca="1">IFERROR(__xludf.DUMMYFUNCTION("""COMPUTED_VALUE"""),95.45)</f>
        <v>95.45</v>
      </c>
      <c r="S1698" s="85"/>
      <c r="T1698" s="85"/>
      <c r="U1698" s="82"/>
      <c r="V1698" s="82"/>
      <c r="W1698" s="83"/>
      <c r="X1698" s="83"/>
      <c r="Y1698" s="83"/>
    </row>
    <row r="1699" spans="1:25" ht="13.8">
      <c r="A1699" s="78" t="str">
        <f ca="1">IFERROR(__xludf.DUMMYFUNCTION("""COMPUTED_VALUE"""),"R")</f>
        <v>R</v>
      </c>
      <c r="B1699" s="79" t="str">
        <f ca="1">IFERROR(__xludf.DUMMYFUNCTION("""COMPUTED_VALUE"""),"Scarlett Copas")</f>
        <v>Scarlett Copas</v>
      </c>
      <c r="C1699" s="78">
        <f ca="1">IFERROR(__xludf.DUMMYFUNCTION("""COMPUTED_VALUE"""),13)</f>
        <v>13</v>
      </c>
      <c r="D1699" s="78" t="str">
        <f ca="1">IFERROR(__xludf.DUMMYFUNCTION("""COMPUTED_VALUE"""),"G")</f>
        <v>G</v>
      </c>
      <c r="E1699" s="80" t="str">
        <f ca="1">IFERROR(__xludf.DUMMYFUNCTION("""COMPUTED_VALUE"""),"I")</f>
        <v>I</v>
      </c>
      <c r="F1699" s="80" t="str">
        <f ca="1">IFERROR(__xludf.DUMMYFUNCTION("""COMPUTED_VALUE"""),"S")</f>
        <v>S</v>
      </c>
      <c r="G1699" s="80">
        <f ca="1">IFERROR(__xludf.DUMMYFUNCTION("""COMPUTED_VALUE"""),5)</f>
        <v>5</v>
      </c>
      <c r="H1699" s="80" t="str">
        <f ca="1">IFERROR(__xludf.DUMMYFUNCTION("""COMPUTED_VALUE"""),"R")</f>
        <v>R</v>
      </c>
      <c r="I1699" s="80">
        <f ca="1">IFERROR(__xludf.DUMMYFUNCTION("""COMPUTED_VALUE"""),6)</f>
        <v>6</v>
      </c>
      <c r="J1699" s="85">
        <f ca="1">IFERROR(__xludf.DUMMYFUNCTION("""COMPUTED_VALUE"""),5)</f>
        <v>5</v>
      </c>
      <c r="K1699" s="85">
        <f ca="1">IFERROR(__xludf.DUMMYFUNCTION("""COMPUTED_VALUE"""),97.25)</f>
        <v>97.25</v>
      </c>
      <c r="L1699" s="85">
        <f ca="1">IFERROR(__xludf.DUMMYFUNCTION("""COMPUTED_VALUE"""),85.95)</f>
        <v>85.95</v>
      </c>
      <c r="M1699" s="85"/>
      <c r="N1699" s="85">
        <f ca="1">IFERROR(__xludf.DUMMYFUNCTION("""COMPUTED_VALUE"""),97.25)</f>
        <v>97.25</v>
      </c>
      <c r="O1699" s="85"/>
      <c r="P1699" s="85">
        <f ca="1">IFERROR(__xludf.DUMMYFUNCTION("""COMPUTED_VALUE"""),92.65)</f>
        <v>92.65</v>
      </c>
      <c r="Q1699" s="85"/>
      <c r="R1699" s="85">
        <f ca="1">IFERROR(__xludf.DUMMYFUNCTION("""COMPUTED_VALUE"""),89.8)</f>
        <v>89.8</v>
      </c>
      <c r="S1699" s="85"/>
      <c r="T1699" s="85"/>
      <c r="U1699" s="82"/>
      <c r="V1699" s="82"/>
      <c r="W1699" s="83"/>
      <c r="X1699" s="83"/>
      <c r="Y1699" s="83"/>
    </row>
    <row r="1700" spans="1:25" ht="13.8">
      <c r="A1700" s="78" t="str">
        <f ca="1">IFERROR(__xludf.DUMMYFUNCTION("""COMPUTED_VALUE"""),"R")</f>
        <v>R</v>
      </c>
      <c r="B1700" s="79" t="str">
        <f ca="1">IFERROR(__xludf.DUMMYFUNCTION("""COMPUTED_VALUE"""),"Mo Murphy")</f>
        <v>Mo Murphy</v>
      </c>
      <c r="C1700" s="78">
        <f ca="1">IFERROR(__xludf.DUMMYFUNCTION("""COMPUTED_VALUE"""),14)</f>
        <v>14</v>
      </c>
      <c r="D1700" s="78" t="str">
        <f ca="1">IFERROR(__xludf.DUMMYFUNCTION("""COMPUTED_VALUE"""),"G")</f>
        <v>G</v>
      </c>
      <c r="E1700" s="80" t="str">
        <f ca="1">IFERROR(__xludf.DUMMYFUNCTION("""COMPUTED_VALUE"""),"I")</f>
        <v>I</v>
      </c>
      <c r="F1700" s="80" t="str">
        <f ca="1">IFERROR(__xludf.DUMMYFUNCTION("""COMPUTED_VALUE"""),"S")</f>
        <v>S</v>
      </c>
      <c r="G1700" s="80">
        <f ca="1">IFERROR(__xludf.DUMMYFUNCTION("""COMPUTED_VALUE"""),5)</f>
        <v>5</v>
      </c>
      <c r="H1700" s="80" t="str">
        <f ca="1">IFERROR(__xludf.DUMMYFUNCTION("""COMPUTED_VALUE"""),"R")</f>
        <v>R</v>
      </c>
      <c r="I1700" s="80">
        <f ca="1">IFERROR(__xludf.DUMMYFUNCTION("""COMPUTED_VALUE"""),6)</f>
        <v>6</v>
      </c>
      <c r="J1700" s="85">
        <f ca="1">IFERROR(__xludf.DUMMYFUNCTION("""COMPUTED_VALUE"""),4)</f>
        <v>4</v>
      </c>
      <c r="K1700" s="85">
        <f ca="1">IFERROR(__xludf.DUMMYFUNCTION("""COMPUTED_VALUE"""),74.75)</f>
        <v>74.75</v>
      </c>
      <c r="L1700" s="85">
        <f ca="1">IFERROR(__xludf.DUMMYFUNCTION("""COMPUTED_VALUE"""),48.5)</f>
        <v>48.5</v>
      </c>
      <c r="M1700" s="85"/>
      <c r="N1700" s="85">
        <f ca="1">IFERROR(__xludf.DUMMYFUNCTION("""COMPUTED_VALUE"""),74.75)</f>
        <v>74.75</v>
      </c>
      <c r="O1700" s="85"/>
      <c r="P1700" s="85">
        <f ca="1">IFERROR(__xludf.DUMMYFUNCTION("""COMPUTED_VALUE"""),0)</f>
        <v>0</v>
      </c>
      <c r="Q1700" s="85"/>
      <c r="R1700" s="85">
        <f ca="1">IFERROR(__xludf.DUMMYFUNCTION("""COMPUTED_VALUE"""),38.05)</f>
        <v>38.049999999999997</v>
      </c>
      <c r="S1700" s="85"/>
      <c r="T1700" s="85"/>
      <c r="U1700" s="82"/>
      <c r="V1700" s="82"/>
      <c r="W1700" s="83"/>
      <c r="X1700" s="83"/>
      <c r="Y1700" s="83"/>
    </row>
    <row r="1701" spans="1:25" ht="13.8">
      <c r="A1701" s="78" t="str">
        <f ca="1">IFERROR(__xludf.DUMMYFUNCTION("""COMPUTED_VALUE"""),"R")</f>
        <v>R</v>
      </c>
      <c r="B1701" s="79" t="str">
        <f ca="1">IFERROR(__xludf.DUMMYFUNCTION("""COMPUTED_VALUE"""),"Joshua Jaramillo")</f>
        <v>Joshua Jaramillo</v>
      </c>
      <c r="C1701" s="78">
        <f ca="1">IFERROR(__xludf.DUMMYFUNCTION("""COMPUTED_VALUE"""),14)</f>
        <v>14</v>
      </c>
      <c r="D1701" s="78" t="str">
        <f ca="1">IFERROR(__xludf.DUMMYFUNCTION("""COMPUTED_VALUE"""),"B")</f>
        <v>B</v>
      </c>
      <c r="E1701" s="80" t="str">
        <f ca="1">IFERROR(__xludf.DUMMYFUNCTION("""COMPUTED_VALUE"""),"I")</f>
        <v>I</v>
      </c>
      <c r="F1701" s="80" t="str">
        <f ca="1">IFERROR(__xludf.DUMMYFUNCTION("""COMPUTED_VALUE"""),"S")</f>
        <v>S</v>
      </c>
      <c r="G1701" s="80">
        <f ca="1">IFERROR(__xludf.DUMMYFUNCTION("""COMPUTED_VALUE"""),5)</f>
        <v>5</v>
      </c>
      <c r="H1701" s="80" t="str">
        <f ca="1">IFERROR(__xludf.DUMMYFUNCTION("""COMPUTED_VALUE"""),"R")</f>
        <v>R</v>
      </c>
      <c r="I1701" s="80">
        <f ca="1">IFERROR(__xludf.DUMMYFUNCTION("""COMPUTED_VALUE"""),7)</f>
        <v>7</v>
      </c>
      <c r="J1701" s="85">
        <f ca="1">IFERROR(__xludf.DUMMYFUNCTION("""COMPUTED_VALUE"""),0)</f>
        <v>0</v>
      </c>
      <c r="K1701" s="85">
        <f ca="1">IFERROR(__xludf.DUMMYFUNCTION("""COMPUTED_VALUE"""),0)</f>
        <v>0</v>
      </c>
      <c r="L1701" s="85">
        <f ca="1">IFERROR(__xludf.DUMMYFUNCTION("""COMPUTED_VALUE"""),0)</f>
        <v>0</v>
      </c>
      <c r="M1701" s="85"/>
      <c r="N1701" s="85">
        <f ca="1">IFERROR(__xludf.DUMMYFUNCTION("""COMPUTED_VALUE"""),0)</f>
        <v>0</v>
      </c>
      <c r="O1701" s="85"/>
      <c r="P1701" s="85">
        <f ca="1">IFERROR(__xludf.DUMMYFUNCTION("""COMPUTED_VALUE"""),0)</f>
        <v>0</v>
      </c>
      <c r="Q1701" s="85"/>
      <c r="R1701" s="85">
        <f ca="1">IFERROR(__xludf.DUMMYFUNCTION("""COMPUTED_VALUE"""),0)</f>
        <v>0</v>
      </c>
      <c r="S1701" s="85"/>
      <c r="T1701" s="85"/>
      <c r="U1701" s="82"/>
      <c r="V1701" s="82"/>
      <c r="W1701" s="83"/>
      <c r="X1701" s="83"/>
      <c r="Y1701" s="83"/>
    </row>
    <row r="1702" spans="1:25" ht="13.8">
      <c r="A1702" s="78" t="str">
        <f ca="1">IFERROR(__xludf.DUMMYFUNCTION("""COMPUTED_VALUE"""),"R")</f>
        <v>R</v>
      </c>
      <c r="B1702" s="79" t="str">
        <f ca="1">IFERROR(__xludf.DUMMYFUNCTION("""COMPUTED_VALUE"""),"Leo McFadden")</f>
        <v>Leo McFadden</v>
      </c>
      <c r="C1702" s="78">
        <f ca="1">IFERROR(__xludf.DUMMYFUNCTION("""COMPUTED_VALUE"""),13)</f>
        <v>13</v>
      </c>
      <c r="D1702" s="78" t="str">
        <f ca="1">IFERROR(__xludf.DUMMYFUNCTION("""COMPUTED_VALUE"""),"B")</f>
        <v>B</v>
      </c>
      <c r="E1702" s="80" t="str">
        <f ca="1">IFERROR(__xludf.DUMMYFUNCTION("""COMPUTED_VALUE"""),"I")</f>
        <v>I</v>
      </c>
      <c r="F1702" s="80" t="str">
        <f ca="1">IFERROR(__xludf.DUMMYFUNCTION("""COMPUTED_VALUE"""),"S")</f>
        <v>S</v>
      </c>
      <c r="G1702" s="80">
        <f ca="1">IFERROR(__xludf.DUMMYFUNCTION("""COMPUTED_VALUE"""),5)</f>
        <v>5</v>
      </c>
      <c r="H1702" s="80" t="str">
        <f ca="1">IFERROR(__xludf.DUMMYFUNCTION("""COMPUTED_VALUE"""),"R")</f>
        <v>R</v>
      </c>
      <c r="I1702" s="80">
        <f ca="1">IFERROR(__xludf.DUMMYFUNCTION("""COMPUTED_VALUE"""),7)</f>
        <v>7</v>
      </c>
      <c r="J1702" s="85">
        <f ca="1">IFERROR(__xludf.DUMMYFUNCTION("""COMPUTED_VALUE"""),4)</f>
        <v>4</v>
      </c>
      <c r="K1702" s="85">
        <f ca="1">IFERROR(__xludf.DUMMYFUNCTION("""COMPUTED_VALUE"""),95.65)</f>
        <v>95.65</v>
      </c>
      <c r="L1702" s="85">
        <f ca="1">IFERROR(__xludf.DUMMYFUNCTION("""COMPUTED_VALUE"""),0)</f>
        <v>0</v>
      </c>
      <c r="M1702" s="85"/>
      <c r="N1702" s="85">
        <f ca="1">IFERROR(__xludf.DUMMYFUNCTION("""COMPUTED_VALUE"""),95.65)</f>
        <v>95.65</v>
      </c>
      <c r="O1702" s="85"/>
      <c r="P1702" s="85">
        <f ca="1">IFERROR(__xludf.DUMMYFUNCTION("""COMPUTED_VALUE"""),64.05)</f>
        <v>64.05</v>
      </c>
      <c r="Q1702" s="85"/>
      <c r="R1702" s="85">
        <f ca="1">IFERROR(__xludf.DUMMYFUNCTION("""COMPUTED_VALUE"""),93.95)</f>
        <v>93.95</v>
      </c>
      <c r="S1702" s="85"/>
      <c r="T1702" s="85"/>
      <c r="U1702" s="82"/>
      <c r="V1702" s="82"/>
      <c r="W1702" s="83"/>
      <c r="X1702" s="83"/>
      <c r="Y1702" s="83"/>
    </row>
    <row r="1703" spans="1:25" ht="13.8">
      <c r="A1703" s="78" t="str">
        <f ca="1">IFERROR(__xludf.DUMMYFUNCTION("""COMPUTED_VALUE"""),"R")</f>
        <v>R</v>
      </c>
      <c r="B1703" s="79" t="str">
        <f ca="1">IFERROR(__xludf.DUMMYFUNCTION("""COMPUTED_VALUE"""),"Cash Riedel")</f>
        <v>Cash Riedel</v>
      </c>
      <c r="C1703" s="78">
        <f ca="1">IFERROR(__xludf.DUMMYFUNCTION("""COMPUTED_VALUE"""),13)</f>
        <v>13</v>
      </c>
      <c r="D1703" s="78" t="str">
        <f ca="1">IFERROR(__xludf.DUMMYFUNCTION("""COMPUTED_VALUE"""),"B")</f>
        <v>B</v>
      </c>
      <c r="E1703" s="80" t="str">
        <f ca="1">IFERROR(__xludf.DUMMYFUNCTION("""COMPUTED_VALUE"""),"I")</f>
        <v>I</v>
      </c>
      <c r="F1703" s="80" t="str">
        <f ca="1">IFERROR(__xludf.DUMMYFUNCTION("""COMPUTED_VALUE"""),"S")</f>
        <v>S</v>
      </c>
      <c r="G1703" s="80">
        <f ca="1">IFERROR(__xludf.DUMMYFUNCTION("""COMPUTED_VALUE"""),5)</f>
        <v>5</v>
      </c>
      <c r="H1703" s="80" t="str">
        <f ca="1">IFERROR(__xludf.DUMMYFUNCTION("""COMPUTED_VALUE"""),"R")</f>
        <v>R</v>
      </c>
      <c r="I1703" s="80">
        <f ca="1">IFERROR(__xludf.DUMMYFUNCTION("""COMPUTED_VALUE"""),7)</f>
        <v>7</v>
      </c>
      <c r="J1703" s="85">
        <f ca="1">IFERROR(__xludf.DUMMYFUNCTION("""COMPUTED_VALUE"""),5)</f>
        <v>5</v>
      </c>
      <c r="K1703" s="85">
        <f ca="1">IFERROR(__xludf.DUMMYFUNCTION("""COMPUTED_VALUE"""),100.55)</f>
        <v>100.55</v>
      </c>
      <c r="L1703" s="85">
        <f ca="1">IFERROR(__xludf.DUMMYFUNCTION("""COMPUTED_VALUE"""),72)</f>
        <v>72</v>
      </c>
      <c r="M1703" s="85"/>
      <c r="N1703" s="85">
        <f ca="1">IFERROR(__xludf.DUMMYFUNCTION("""COMPUTED_VALUE"""),100.55)</f>
        <v>100.55</v>
      </c>
      <c r="O1703" s="85"/>
      <c r="P1703" s="85">
        <f ca="1">IFERROR(__xludf.DUMMYFUNCTION("""COMPUTED_VALUE"""),89.35)</f>
        <v>89.35</v>
      </c>
      <c r="Q1703" s="85"/>
      <c r="R1703" s="85">
        <f ca="1">IFERROR(__xludf.DUMMYFUNCTION("""COMPUTED_VALUE"""),95.85)</f>
        <v>95.85</v>
      </c>
      <c r="S1703" s="85"/>
      <c r="T1703" s="85"/>
      <c r="U1703" s="82"/>
      <c r="V1703" s="82"/>
      <c r="W1703" s="83"/>
      <c r="X1703" s="83"/>
      <c r="Y1703" s="83"/>
    </row>
    <row r="1704" spans="1:25" ht="13.8">
      <c r="A1704" s="78" t="str">
        <f ca="1">IFERROR(__xludf.DUMMYFUNCTION("""COMPUTED_VALUE"""),"R")</f>
        <v>R</v>
      </c>
      <c r="B1704" s="79" t="str">
        <f ca="1">IFERROR(__xludf.DUMMYFUNCTION("""COMPUTED_VALUE"""),"Jillian Champlin")</f>
        <v>Jillian Champlin</v>
      </c>
      <c r="C1704" s="78">
        <f ca="1">IFERROR(__xludf.DUMMYFUNCTION("""COMPUTED_VALUE"""),15)</f>
        <v>15</v>
      </c>
      <c r="D1704" s="78" t="str">
        <f ca="1">IFERROR(__xludf.DUMMYFUNCTION("""COMPUTED_VALUE"""),"G")</f>
        <v>G</v>
      </c>
      <c r="E1704" s="80" t="str">
        <f ca="1">IFERROR(__xludf.DUMMYFUNCTION("""COMPUTED_VALUE"""),"S")</f>
        <v>S</v>
      </c>
      <c r="F1704" s="80" t="str">
        <f ca="1">IFERROR(__xludf.DUMMYFUNCTION("""COMPUTED_VALUE"""),"S")</f>
        <v>S</v>
      </c>
      <c r="G1704" s="80">
        <f ca="1">IFERROR(__xludf.DUMMYFUNCTION("""COMPUTED_VALUE"""),5)</f>
        <v>5</v>
      </c>
      <c r="H1704" s="80" t="str">
        <f ca="1">IFERROR(__xludf.DUMMYFUNCTION("""COMPUTED_VALUE"""),"R")</f>
        <v>R</v>
      </c>
      <c r="I1704" s="80">
        <f ca="1">IFERROR(__xludf.DUMMYFUNCTION("""COMPUTED_VALUE"""),8)</f>
        <v>8</v>
      </c>
      <c r="J1704" s="85">
        <f ca="1">IFERROR(__xludf.DUMMYFUNCTION("""COMPUTED_VALUE"""),5)</f>
        <v>5</v>
      </c>
      <c r="K1704" s="85">
        <f ca="1">IFERROR(__xludf.DUMMYFUNCTION("""COMPUTED_VALUE"""),160.55)</f>
        <v>160.55000000000001</v>
      </c>
      <c r="L1704" s="85">
        <f ca="1">IFERROR(__xludf.DUMMYFUNCTION("""COMPUTED_VALUE"""),142.35)</f>
        <v>142.35</v>
      </c>
      <c r="M1704" s="85"/>
      <c r="N1704" s="85">
        <f ca="1">IFERROR(__xludf.DUMMYFUNCTION("""COMPUTED_VALUE"""),158.2)</f>
        <v>158.19999999999999</v>
      </c>
      <c r="O1704" s="85"/>
      <c r="P1704" s="85">
        <f ca="1">IFERROR(__xludf.DUMMYFUNCTION("""COMPUTED_VALUE"""),160.55)</f>
        <v>160.55000000000001</v>
      </c>
      <c r="Q1704" s="85"/>
      <c r="R1704" s="85">
        <f ca="1">IFERROR(__xludf.DUMMYFUNCTION("""COMPUTED_VALUE"""),154.85)</f>
        <v>154.85</v>
      </c>
      <c r="S1704" s="85"/>
      <c r="T1704" s="85"/>
      <c r="U1704" s="82"/>
      <c r="V1704" s="82"/>
      <c r="W1704" s="83"/>
      <c r="X1704" s="83"/>
      <c r="Y1704" s="83"/>
    </row>
    <row r="1705" spans="1:25" ht="13.8">
      <c r="A1705" s="78" t="str">
        <f ca="1">IFERROR(__xludf.DUMMYFUNCTION("""COMPUTED_VALUE"""),"R")</f>
        <v>R</v>
      </c>
      <c r="B1705" s="79" t="str">
        <f ca="1">IFERROR(__xludf.DUMMYFUNCTION("""COMPUTED_VALUE"""),"Sara Kate George")</f>
        <v>Sara Kate George</v>
      </c>
      <c r="C1705" s="78">
        <f ca="1">IFERROR(__xludf.DUMMYFUNCTION("""COMPUTED_VALUE"""),15)</f>
        <v>15</v>
      </c>
      <c r="D1705" s="78" t="str">
        <f ca="1">IFERROR(__xludf.DUMMYFUNCTION("""COMPUTED_VALUE"""),"G")</f>
        <v>G</v>
      </c>
      <c r="E1705" s="80" t="str">
        <f ca="1">IFERROR(__xludf.DUMMYFUNCTION("""COMPUTED_VALUE"""),"S")</f>
        <v>S</v>
      </c>
      <c r="F1705" s="80" t="str">
        <f ca="1">IFERROR(__xludf.DUMMYFUNCTION("""COMPUTED_VALUE"""),"S")</f>
        <v>S</v>
      </c>
      <c r="G1705" s="80">
        <f ca="1">IFERROR(__xludf.DUMMYFUNCTION("""COMPUTED_VALUE"""),5)</f>
        <v>5</v>
      </c>
      <c r="H1705" s="80" t="str">
        <f ca="1">IFERROR(__xludf.DUMMYFUNCTION("""COMPUTED_VALUE"""),"R")</f>
        <v>R</v>
      </c>
      <c r="I1705" s="80">
        <f ca="1">IFERROR(__xludf.DUMMYFUNCTION("""COMPUTED_VALUE"""),8)</f>
        <v>8</v>
      </c>
      <c r="J1705" s="85">
        <f ca="1">IFERROR(__xludf.DUMMYFUNCTION("""COMPUTED_VALUE"""),3)</f>
        <v>3</v>
      </c>
      <c r="K1705" s="85">
        <f ca="1">IFERROR(__xludf.DUMMYFUNCTION("""COMPUTED_VALUE"""),123.45)</f>
        <v>123.45</v>
      </c>
      <c r="L1705" s="85">
        <f ca="1">IFERROR(__xludf.DUMMYFUNCTION("""COMPUTED_VALUE"""),0)</f>
        <v>0</v>
      </c>
      <c r="M1705" s="85"/>
      <c r="N1705" s="85">
        <f ca="1">IFERROR(__xludf.DUMMYFUNCTION("""COMPUTED_VALUE"""),118.65)</f>
        <v>118.65</v>
      </c>
      <c r="O1705" s="85"/>
      <c r="P1705" s="85">
        <f ca="1">IFERROR(__xludf.DUMMYFUNCTION("""COMPUTED_VALUE"""),117.4)</f>
        <v>117.4</v>
      </c>
      <c r="Q1705" s="85"/>
      <c r="R1705" s="85">
        <f ca="1">IFERROR(__xludf.DUMMYFUNCTION("""COMPUTED_VALUE"""),123.45)</f>
        <v>123.45</v>
      </c>
      <c r="S1705" s="85"/>
      <c r="T1705" s="85"/>
      <c r="U1705" s="82"/>
      <c r="V1705" s="82"/>
      <c r="W1705" s="83"/>
      <c r="X1705" s="83"/>
      <c r="Y1705" s="83"/>
    </row>
    <row r="1706" spans="1:25" ht="13.8">
      <c r="A1706" s="78" t="str">
        <f ca="1">IFERROR(__xludf.DUMMYFUNCTION("""COMPUTED_VALUE"""),"R")</f>
        <v>R</v>
      </c>
      <c r="B1706" s="79" t="str">
        <f ca="1">IFERROR(__xludf.DUMMYFUNCTION("""COMPUTED_VALUE"""),"Wade Hayes")</f>
        <v>Wade Hayes</v>
      </c>
      <c r="C1706" s="78">
        <f ca="1">IFERROR(__xludf.DUMMYFUNCTION("""COMPUTED_VALUE"""),16)</f>
        <v>16</v>
      </c>
      <c r="D1706" s="78" t="str">
        <f ca="1">IFERROR(__xludf.DUMMYFUNCTION("""COMPUTED_VALUE"""),"B")</f>
        <v>B</v>
      </c>
      <c r="E1706" s="80" t="str">
        <f ca="1">IFERROR(__xludf.DUMMYFUNCTION("""COMPUTED_VALUE"""),"S")</f>
        <v>S</v>
      </c>
      <c r="F1706" s="80" t="str">
        <f ca="1">IFERROR(__xludf.DUMMYFUNCTION("""COMPUTED_VALUE"""),"S")</f>
        <v>S</v>
      </c>
      <c r="G1706" s="80">
        <f ca="1">IFERROR(__xludf.DUMMYFUNCTION("""COMPUTED_VALUE"""),5)</f>
        <v>5</v>
      </c>
      <c r="H1706" s="80" t="str">
        <f ca="1">IFERROR(__xludf.DUMMYFUNCTION("""COMPUTED_VALUE"""),"R")</f>
        <v>R</v>
      </c>
      <c r="I1706" s="80">
        <f ca="1">IFERROR(__xludf.DUMMYFUNCTION("""COMPUTED_VALUE"""),9)</f>
        <v>9</v>
      </c>
      <c r="J1706" s="85">
        <f ca="1">IFERROR(__xludf.DUMMYFUNCTION("""COMPUTED_VALUE"""),2)</f>
        <v>2</v>
      </c>
      <c r="K1706" s="85">
        <f ca="1">IFERROR(__xludf.DUMMYFUNCTION("""COMPUTED_VALUE"""),136.1)</f>
        <v>136.1</v>
      </c>
      <c r="L1706" s="85">
        <f ca="1">IFERROR(__xludf.DUMMYFUNCTION("""COMPUTED_VALUE"""),0)</f>
        <v>0</v>
      </c>
      <c r="M1706" s="85"/>
      <c r="N1706" s="85">
        <f ca="1">IFERROR(__xludf.DUMMYFUNCTION("""COMPUTED_VALUE"""),0)</f>
        <v>0</v>
      </c>
      <c r="O1706" s="85"/>
      <c r="P1706" s="85" t="str">
        <f ca="1">IFERROR(__xludf.DUMMYFUNCTION("""COMPUTED_VALUE""")," DQ")</f>
        <v xml:space="preserve"> DQ</v>
      </c>
      <c r="Q1706" s="85"/>
      <c r="R1706" s="85">
        <f ca="1">IFERROR(__xludf.DUMMYFUNCTION("""COMPUTED_VALUE"""),136.1)</f>
        <v>136.1</v>
      </c>
      <c r="S1706" s="85"/>
      <c r="T1706" s="85"/>
      <c r="U1706" s="82"/>
      <c r="V1706" s="82"/>
      <c r="W1706" s="83"/>
      <c r="X1706" s="83"/>
      <c r="Y1706" s="83"/>
    </row>
    <row r="1707" spans="1:25" ht="13.8">
      <c r="A1707" s="78" t="str">
        <f ca="1">IFERROR(__xludf.DUMMYFUNCTION("""COMPUTED_VALUE"""),"R")</f>
        <v>R</v>
      </c>
      <c r="B1707" s="79" t="str">
        <f ca="1">IFERROR(__xludf.DUMMYFUNCTION("""COMPUTED_VALUE"""),"Max Shaffer")</f>
        <v>Max Shaffer</v>
      </c>
      <c r="C1707" s="78">
        <f ca="1">IFERROR(__xludf.DUMMYFUNCTION("""COMPUTED_VALUE"""),15)</f>
        <v>15</v>
      </c>
      <c r="D1707" s="78" t="str">
        <f ca="1">IFERROR(__xludf.DUMMYFUNCTION("""COMPUTED_VALUE"""),"B")</f>
        <v>B</v>
      </c>
      <c r="E1707" s="80" t="str">
        <f ca="1">IFERROR(__xludf.DUMMYFUNCTION("""COMPUTED_VALUE"""),"S")</f>
        <v>S</v>
      </c>
      <c r="F1707" s="80" t="str">
        <f ca="1">IFERROR(__xludf.DUMMYFUNCTION("""COMPUTED_VALUE"""),"S")</f>
        <v>S</v>
      </c>
      <c r="G1707" s="80">
        <f ca="1">IFERROR(__xludf.DUMMYFUNCTION("""COMPUTED_VALUE"""),5)</f>
        <v>5</v>
      </c>
      <c r="H1707" s="80" t="str">
        <f ca="1">IFERROR(__xludf.DUMMYFUNCTION("""COMPUTED_VALUE"""),"R")</f>
        <v>R</v>
      </c>
      <c r="I1707" s="80">
        <f ca="1">IFERROR(__xludf.DUMMYFUNCTION("""COMPUTED_VALUE"""),9)</f>
        <v>9</v>
      </c>
      <c r="J1707" s="85">
        <f ca="1">IFERROR(__xludf.DUMMYFUNCTION("""COMPUTED_VALUE"""),3)</f>
        <v>3</v>
      </c>
      <c r="K1707" s="85">
        <f ca="1">IFERROR(__xludf.DUMMYFUNCTION("""COMPUTED_VALUE"""),161)</f>
        <v>161</v>
      </c>
      <c r="L1707" s="85">
        <f ca="1">IFERROR(__xludf.DUMMYFUNCTION("""COMPUTED_VALUE"""),128.3)</f>
        <v>128.30000000000001</v>
      </c>
      <c r="M1707" s="85"/>
      <c r="N1707" s="85">
        <f ca="1">IFERROR(__xludf.DUMMYFUNCTION("""COMPUTED_VALUE"""),161)</f>
        <v>161</v>
      </c>
      <c r="O1707" s="85"/>
      <c r="P1707" s="85">
        <f ca="1">IFERROR(__xludf.DUMMYFUNCTION("""COMPUTED_VALUE"""),0)</f>
        <v>0</v>
      </c>
      <c r="Q1707" s="85"/>
      <c r="R1707" s="85">
        <f ca="1">IFERROR(__xludf.DUMMYFUNCTION("""COMPUTED_VALUE"""),152.55)</f>
        <v>152.55000000000001</v>
      </c>
      <c r="S1707" s="85"/>
      <c r="T1707" s="85"/>
      <c r="U1707" s="82"/>
      <c r="V1707" s="82"/>
      <c r="W1707" s="83"/>
      <c r="X1707" s="83"/>
      <c r="Y1707" s="83"/>
    </row>
    <row r="1708" spans="1:25" ht="13.8">
      <c r="A1708" s="78" t="str">
        <f ca="1">IFERROR(__xludf.DUMMYFUNCTION("""COMPUTED_VALUE"""),"RFD")</f>
        <v>RFD</v>
      </c>
      <c r="B1708" s="79" t="str">
        <f ca="1">IFERROR(__xludf.DUMMYFUNCTION("""COMPUTED_VALUE"""),"Sarah Bosch")</f>
        <v>Sarah Bosch</v>
      </c>
      <c r="C1708" s="78">
        <f ca="1">IFERROR(__xludf.DUMMYFUNCTION("""COMPUTED_VALUE"""),10)</f>
        <v>10</v>
      </c>
      <c r="D1708" s="78" t="str">
        <f ca="1">IFERROR(__xludf.DUMMYFUNCTION("""COMPUTED_VALUE"""),"G")</f>
        <v>G</v>
      </c>
      <c r="E1708" s="80" t="str">
        <f ca="1">IFERROR(__xludf.DUMMYFUNCTION("""COMPUTED_VALUE"""),"F")</f>
        <v>F</v>
      </c>
      <c r="F1708" s="80" t="str">
        <f ca="1">IFERROR(__xludf.DUMMYFUNCTION("""COMPUTED_VALUE"""),"J")</f>
        <v>J</v>
      </c>
      <c r="G1708" s="80">
        <f ca="1">IFERROR(__xludf.DUMMYFUNCTION("""COMPUTED_VALUE"""),7)</f>
        <v>7</v>
      </c>
      <c r="H1708" s="80" t="str">
        <f ca="1">IFERROR(__xludf.DUMMYFUNCTION("""COMPUTED_VALUE"""),"RFD")</f>
        <v>RFD</v>
      </c>
      <c r="I1708" s="80">
        <f ca="1">IFERROR(__xludf.DUMMYFUNCTION("""COMPUTED_VALUE"""),2)</f>
        <v>2</v>
      </c>
      <c r="J1708" s="85">
        <f ca="1">IFERROR(__xludf.DUMMYFUNCTION("""COMPUTED_VALUE"""),2)</f>
        <v>2</v>
      </c>
      <c r="K1708" s="85">
        <f ca="1">IFERROR(__xludf.DUMMYFUNCTION("""COMPUTED_VALUE"""),26.25)</f>
        <v>26.25</v>
      </c>
      <c r="L1708" s="85">
        <f ca="1">IFERROR(__xludf.DUMMYFUNCTION("""COMPUTED_VALUE"""),0)</f>
        <v>0</v>
      </c>
      <c r="M1708" s="85"/>
      <c r="N1708" s="85">
        <f ca="1">IFERROR(__xludf.DUMMYFUNCTION("""COMPUTED_VALUE"""),21.85)</f>
        <v>21.85</v>
      </c>
      <c r="O1708" s="85"/>
      <c r="P1708" s="85">
        <f ca="1">IFERROR(__xludf.DUMMYFUNCTION("""COMPUTED_VALUE"""),0)</f>
        <v>0</v>
      </c>
      <c r="Q1708" s="85"/>
      <c r="R1708" s="85">
        <f ca="1">IFERROR(__xludf.DUMMYFUNCTION("""COMPUTED_VALUE"""),26.25)</f>
        <v>26.25</v>
      </c>
      <c r="S1708" s="85"/>
      <c r="T1708" s="85"/>
      <c r="U1708" s="82"/>
      <c r="V1708" s="82"/>
      <c r="W1708" s="83"/>
      <c r="X1708" s="83"/>
      <c r="Y1708" s="83"/>
    </row>
    <row r="1709" spans="1:25" ht="13.8">
      <c r="A1709" s="78" t="str">
        <f ca="1">IFERROR(__xludf.DUMMYFUNCTION("""COMPUTED_VALUE"""),"RFD")</f>
        <v>RFD</v>
      </c>
      <c r="B1709" s="79" t="str">
        <f ca="1">IFERROR(__xludf.DUMMYFUNCTION("""COMPUTED_VALUE"""),"Mimi Braswell")</f>
        <v>Mimi Braswell</v>
      </c>
      <c r="C1709" s="78">
        <f ca="1">IFERROR(__xludf.DUMMYFUNCTION("""COMPUTED_VALUE"""),9)</f>
        <v>9</v>
      </c>
      <c r="D1709" s="78" t="str">
        <f ca="1">IFERROR(__xludf.DUMMYFUNCTION("""COMPUTED_VALUE"""),"G")</f>
        <v>G</v>
      </c>
      <c r="E1709" s="80" t="str">
        <f ca="1">IFERROR(__xludf.DUMMYFUNCTION("""COMPUTED_VALUE"""),"F")</f>
        <v>F</v>
      </c>
      <c r="F1709" s="80" t="str">
        <f ca="1">IFERROR(__xludf.DUMMYFUNCTION("""COMPUTED_VALUE"""),"J")</f>
        <v>J</v>
      </c>
      <c r="G1709" s="80">
        <f ca="1">IFERROR(__xludf.DUMMYFUNCTION("""COMPUTED_VALUE"""),7)</f>
        <v>7</v>
      </c>
      <c r="H1709" s="80" t="str">
        <f ca="1">IFERROR(__xludf.DUMMYFUNCTION("""COMPUTED_VALUE"""),"RFD")</f>
        <v>RFD</v>
      </c>
      <c r="I1709" s="80">
        <f ca="1">IFERROR(__xludf.DUMMYFUNCTION("""COMPUTED_VALUE"""),2)</f>
        <v>2</v>
      </c>
      <c r="J1709" s="85">
        <f ca="1">IFERROR(__xludf.DUMMYFUNCTION("""COMPUTED_VALUE"""),0)</f>
        <v>0</v>
      </c>
      <c r="K1709" s="85">
        <f ca="1">IFERROR(__xludf.DUMMYFUNCTION("""COMPUTED_VALUE"""),0)</f>
        <v>0</v>
      </c>
      <c r="L1709" s="85">
        <f ca="1">IFERROR(__xludf.DUMMYFUNCTION("""COMPUTED_VALUE"""),0)</f>
        <v>0</v>
      </c>
      <c r="M1709" s="85"/>
      <c r="N1709" s="85">
        <f ca="1">IFERROR(__xludf.DUMMYFUNCTION("""COMPUTED_VALUE"""),0)</f>
        <v>0</v>
      </c>
      <c r="O1709" s="85"/>
      <c r="P1709" s="85">
        <f ca="1">IFERROR(__xludf.DUMMYFUNCTION("""COMPUTED_VALUE"""),0)</f>
        <v>0</v>
      </c>
      <c r="Q1709" s="85"/>
      <c r="R1709" s="85">
        <f ca="1">IFERROR(__xludf.DUMMYFUNCTION("""COMPUTED_VALUE"""),0)</f>
        <v>0</v>
      </c>
      <c r="S1709" s="85"/>
      <c r="T1709" s="85"/>
      <c r="U1709" s="82"/>
      <c r="V1709" s="82"/>
      <c r="W1709" s="83"/>
      <c r="X1709" s="83"/>
      <c r="Y1709" s="83"/>
    </row>
    <row r="1710" spans="1:25" ht="13.8">
      <c r="A1710" s="78" t="str">
        <f ca="1">IFERROR(__xludf.DUMMYFUNCTION("""COMPUTED_VALUE"""),"RFD")</f>
        <v>RFD</v>
      </c>
      <c r="B1710" s="79" t="str">
        <f ca="1">IFERROR(__xludf.DUMMYFUNCTION("""COMPUTED_VALUE"""),"Avery Burch")</f>
        <v>Avery Burch</v>
      </c>
      <c r="C1710" s="78">
        <f ca="1">IFERROR(__xludf.DUMMYFUNCTION("""COMPUTED_VALUE"""),10)</f>
        <v>10</v>
      </c>
      <c r="D1710" s="78" t="str">
        <f ca="1">IFERROR(__xludf.DUMMYFUNCTION("""COMPUTED_VALUE"""),"G")</f>
        <v>G</v>
      </c>
      <c r="E1710" s="80" t="str">
        <f ca="1">IFERROR(__xludf.DUMMYFUNCTION("""COMPUTED_VALUE"""),"F")</f>
        <v>F</v>
      </c>
      <c r="F1710" s="80" t="str">
        <f ca="1">IFERROR(__xludf.DUMMYFUNCTION("""COMPUTED_VALUE"""),"J")</f>
        <v>J</v>
      </c>
      <c r="G1710" s="80">
        <f ca="1">IFERROR(__xludf.DUMMYFUNCTION("""COMPUTED_VALUE"""),7)</f>
        <v>7</v>
      </c>
      <c r="H1710" s="80" t="str">
        <f ca="1">IFERROR(__xludf.DUMMYFUNCTION("""COMPUTED_VALUE"""),"RFD")</f>
        <v>RFD</v>
      </c>
      <c r="I1710" s="80">
        <f ca="1">IFERROR(__xludf.DUMMYFUNCTION("""COMPUTED_VALUE"""),2)</f>
        <v>2</v>
      </c>
      <c r="J1710" s="85">
        <f ca="1">IFERROR(__xludf.DUMMYFUNCTION("""COMPUTED_VALUE"""),2)</f>
        <v>2</v>
      </c>
      <c r="K1710" s="85">
        <f ca="1">IFERROR(__xludf.DUMMYFUNCTION("""COMPUTED_VALUE"""),12.25)</f>
        <v>12.25</v>
      </c>
      <c r="L1710" s="85">
        <f ca="1">IFERROR(__xludf.DUMMYFUNCTION("""COMPUTED_VALUE"""),0)</f>
        <v>0</v>
      </c>
      <c r="M1710" s="85"/>
      <c r="N1710" s="85">
        <f ca="1">IFERROR(__xludf.DUMMYFUNCTION("""COMPUTED_VALUE"""),0)</f>
        <v>0</v>
      </c>
      <c r="O1710" s="85"/>
      <c r="P1710" s="85">
        <f ca="1">IFERROR(__xludf.DUMMYFUNCTION("""COMPUTED_VALUE"""),12.25)</f>
        <v>12.25</v>
      </c>
      <c r="Q1710" s="85"/>
      <c r="R1710" s="85">
        <f ca="1">IFERROR(__xludf.DUMMYFUNCTION("""COMPUTED_VALUE"""),0)</f>
        <v>0</v>
      </c>
      <c r="S1710" s="85"/>
      <c r="T1710" s="85"/>
      <c r="U1710" s="82"/>
      <c r="V1710" s="82"/>
      <c r="W1710" s="83"/>
      <c r="X1710" s="83"/>
      <c r="Y1710" s="83"/>
    </row>
    <row r="1711" spans="1:25" ht="13.8">
      <c r="A1711" s="78" t="str">
        <f ca="1">IFERROR(__xludf.DUMMYFUNCTION("""COMPUTED_VALUE"""),"RFD")</f>
        <v>RFD</v>
      </c>
      <c r="B1711" s="79" t="str">
        <f ca="1">IFERROR(__xludf.DUMMYFUNCTION("""COMPUTED_VALUE"""),"Katerina Commette")</f>
        <v>Katerina Commette</v>
      </c>
      <c r="C1711" s="78">
        <f ca="1">IFERROR(__xludf.DUMMYFUNCTION("""COMPUTED_VALUE"""),6)</f>
        <v>6</v>
      </c>
      <c r="D1711" s="78" t="str">
        <f ca="1">IFERROR(__xludf.DUMMYFUNCTION("""COMPUTED_VALUE"""),"G")</f>
        <v>G</v>
      </c>
      <c r="E1711" s="80" t="str">
        <f ca="1">IFERROR(__xludf.DUMMYFUNCTION("""COMPUTED_VALUE"""),"F")</f>
        <v>F</v>
      </c>
      <c r="F1711" s="80" t="str">
        <f ca="1">IFERROR(__xludf.DUMMYFUNCTION("""COMPUTED_VALUE"""),"J")</f>
        <v>J</v>
      </c>
      <c r="G1711" s="80">
        <f ca="1">IFERROR(__xludf.DUMMYFUNCTION("""COMPUTED_VALUE"""),7)</f>
        <v>7</v>
      </c>
      <c r="H1711" s="80" t="str">
        <f ca="1">IFERROR(__xludf.DUMMYFUNCTION("""COMPUTED_VALUE"""),"RFD")</f>
        <v>RFD</v>
      </c>
      <c r="I1711" s="80">
        <f ca="1">IFERROR(__xludf.DUMMYFUNCTION("""COMPUTED_VALUE"""),2)</f>
        <v>2</v>
      </c>
      <c r="J1711" s="85">
        <f ca="1">IFERROR(__xludf.DUMMYFUNCTION("""COMPUTED_VALUE"""),0)</f>
        <v>0</v>
      </c>
      <c r="K1711" s="85">
        <f ca="1">IFERROR(__xludf.DUMMYFUNCTION("""COMPUTED_VALUE"""),0)</f>
        <v>0</v>
      </c>
      <c r="L1711" s="85">
        <f ca="1">IFERROR(__xludf.DUMMYFUNCTION("""COMPUTED_VALUE"""),0)</f>
        <v>0</v>
      </c>
      <c r="M1711" s="85"/>
      <c r="N1711" s="85">
        <f ca="1">IFERROR(__xludf.DUMMYFUNCTION("""COMPUTED_VALUE"""),0)</f>
        <v>0</v>
      </c>
      <c r="O1711" s="85"/>
      <c r="P1711" s="85">
        <f ca="1">IFERROR(__xludf.DUMMYFUNCTION("""COMPUTED_VALUE"""),0)</f>
        <v>0</v>
      </c>
      <c r="Q1711" s="85"/>
      <c r="R1711" s="85">
        <f ca="1">IFERROR(__xludf.DUMMYFUNCTION("""COMPUTED_VALUE"""),0)</f>
        <v>0</v>
      </c>
      <c r="S1711" s="85"/>
      <c r="T1711" s="85"/>
      <c r="U1711" s="82"/>
      <c r="V1711" s="82"/>
      <c r="W1711" s="83"/>
      <c r="X1711" s="83"/>
      <c r="Y1711" s="83"/>
    </row>
    <row r="1712" spans="1:25" ht="13.8">
      <c r="A1712" s="78" t="str">
        <f ca="1">IFERROR(__xludf.DUMMYFUNCTION("""COMPUTED_VALUE"""),"RFD")</f>
        <v>RFD</v>
      </c>
      <c r="B1712" s="79" t="str">
        <f ca="1">IFERROR(__xludf.DUMMYFUNCTION("""COMPUTED_VALUE"""),"Teny Davitian")</f>
        <v>Teny Davitian</v>
      </c>
      <c r="C1712" s="78">
        <f ca="1">IFERROR(__xludf.DUMMYFUNCTION("""COMPUTED_VALUE"""),10)</f>
        <v>10</v>
      </c>
      <c r="D1712" s="78" t="str">
        <f ca="1">IFERROR(__xludf.DUMMYFUNCTION("""COMPUTED_VALUE"""),"G")</f>
        <v>G</v>
      </c>
      <c r="E1712" s="80" t="str">
        <f ca="1">IFERROR(__xludf.DUMMYFUNCTION("""COMPUTED_VALUE"""),"F")</f>
        <v>F</v>
      </c>
      <c r="F1712" s="80" t="str">
        <f ca="1">IFERROR(__xludf.DUMMYFUNCTION("""COMPUTED_VALUE"""),"J")</f>
        <v>J</v>
      </c>
      <c r="G1712" s="80">
        <f ca="1">IFERROR(__xludf.DUMMYFUNCTION("""COMPUTED_VALUE"""),7)</f>
        <v>7</v>
      </c>
      <c r="H1712" s="80" t="str">
        <f ca="1">IFERROR(__xludf.DUMMYFUNCTION("""COMPUTED_VALUE"""),"RFD")</f>
        <v>RFD</v>
      </c>
      <c r="I1712" s="80">
        <f ca="1">IFERROR(__xludf.DUMMYFUNCTION("""COMPUTED_VALUE"""),2)</f>
        <v>2</v>
      </c>
      <c r="J1712" s="85">
        <f ca="1">IFERROR(__xludf.DUMMYFUNCTION("""COMPUTED_VALUE"""),4)</f>
        <v>4</v>
      </c>
      <c r="K1712" s="85">
        <f ca="1">IFERROR(__xludf.DUMMYFUNCTION("""COMPUTED_VALUE"""),45.7)</f>
        <v>45.7</v>
      </c>
      <c r="L1712" s="85">
        <f ca="1">IFERROR(__xludf.DUMMYFUNCTION("""COMPUTED_VALUE"""),0)</f>
        <v>0</v>
      </c>
      <c r="M1712" s="85"/>
      <c r="N1712" s="85">
        <f ca="1">IFERROR(__xludf.DUMMYFUNCTION("""COMPUTED_VALUE"""),33.6)</f>
        <v>33.6</v>
      </c>
      <c r="O1712" s="85"/>
      <c r="P1712" s="85">
        <f ca="1">IFERROR(__xludf.DUMMYFUNCTION("""COMPUTED_VALUE"""),45.7)</f>
        <v>45.7</v>
      </c>
      <c r="Q1712" s="85"/>
      <c r="R1712" s="85">
        <f ca="1">IFERROR(__xludf.DUMMYFUNCTION("""COMPUTED_VALUE"""),38.7)</f>
        <v>38.700000000000003</v>
      </c>
      <c r="S1712" s="85"/>
      <c r="T1712" s="85"/>
      <c r="U1712" s="82"/>
      <c r="V1712" s="82"/>
      <c r="W1712" s="83"/>
      <c r="X1712" s="83"/>
      <c r="Y1712" s="83"/>
    </row>
    <row r="1713" spans="1:25" ht="13.8">
      <c r="A1713" s="78" t="str">
        <f ca="1">IFERROR(__xludf.DUMMYFUNCTION("""COMPUTED_VALUE"""),"RFD")</f>
        <v>RFD</v>
      </c>
      <c r="B1713" s="79" t="str">
        <f ca="1">IFERROR(__xludf.DUMMYFUNCTION("""COMPUTED_VALUE"""),"Mary Kate Dobrydney")</f>
        <v>Mary Kate Dobrydney</v>
      </c>
      <c r="C1713" s="78">
        <f ca="1">IFERROR(__xludf.DUMMYFUNCTION("""COMPUTED_VALUE"""),10)</f>
        <v>10</v>
      </c>
      <c r="D1713" s="78" t="str">
        <f ca="1">IFERROR(__xludf.DUMMYFUNCTION("""COMPUTED_VALUE"""),"G")</f>
        <v>G</v>
      </c>
      <c r="E1713" s="80" t="str">
        <f ca="1">IFERROR(__xludf.DUMMYFUNCTION("""COMPUTED_VALUE"""),"F")</f>
        <v>F</v>
      </c>
      <c r="F1713" s="80" t="str">
        <f ca="1">IFERROR(__xludf.DUMMYFUNCTION("""COMPUTED_VALUE"""),"J")</f>
        <v>J</v>
      </c>
      <c r="G1713" s="80">
        <f ca="1">IFERROR(__xludf.DUMMYFUNCTION("""COMPUTED_VALUE"""),7)</f>
        <v>7</v>
      </c>
      <c r="H1713" s="80" t="str">
        <f ca="1">IFERROR(__xludf.DUMMYFUNCTION("""COMPUTED_VALUE"""),"RFD")</f>
        <v>RFD</v>
      </c>
      <c r="I1713" s="80">
        <f ca="1">IFERROR(__xludf.DUMMYFUNCTION("""COMPUTED_VALUE"""),2)</f>
        <v>2</v>
      </c>
      <c r="J1713" s="85">
        <f ca="1">IFERROR(__xludf.DUMMYFUNCTION("""COMPUTED_VALUE"""),3)</f>
        <v>3</v>
      </c>
      <c r="K1713" s="85">
        <f ca="1">IFERROR(__xludf.DUMMYFUNCTION("""COMPUTED_VALUE"""),61.95)</f>
        <v>61.95</v>
      </c>
      <c r="L1713" s="85">
        <f ca="1">IFERROR(__xludf.DUMMYFUNCTION("""COMPUTED_VALUE"""),0)</f>
        <v>0</v>
      </c>
      <c r="M1713" s="85"/>
      <c r="N1713" s="85">
        <f ca="1">IFERROR(__xludf.DUMMYFUNCTION("""COMPUTED_VALUE"""),52)</f>
        <v>52</v>
      </c>
      <c r="O1713" s="85"/>
      <c r="P1713" s="85">
        <f ca="1">IFERROR(__xludf.DUMMYFUNCTION("""COMPUTED_VALUE"""),0)</f>
        <v>0</v>
      </c>
      <c r="Q1713" s="85"/>
      <c r="R1713" s="85">
        <f ca="1">IFERROR(__xludf.DUMMYFUNCTION("""COMPUTED_VALUE"""),61.95)</f>
        <v>61.95</v>
      </c>
      <c r="S1713" s="85"/>
      <c r="T1713" s="85"/>
      <c r="U1713" s="82"/>
      <c r="V1713" s="82"/>
      <c r="W1713" s="83"/>
      <c r="X1713" s="83"/>
      <c r="Y1713" s="83"/>
    </row>
    <row r="1714" spans="1:25" ht="13.8">
      <c r="A1714" s="78" t="str">
        <f ca="1">IFERROR(__xludf.DUMMYFUNCTION("""COMPUTED_VALUE"""),"RFD")</f>
        <v>RFD</v>
      </c>
      <c r="B1714" s="79" t="str">
        <f ca="1">IFERROR(__xludf.DUMMYFUNCTION("""COMPUTED_VALUE"""),"Kaelyn Farrelly")</f>
        <v>Kaelyn Farrelly</v>
      </c>
      <c r="C1714" s="78">
        <f ca="1">IFERROR(__xludf.DUMMYFUNCTION("""COMPUTED_VALUE"""),7)</f>
        <v>7</v>
      </c>
      <c r="D1714" s="78" t="str">
        <f ca="1">IFERROR(__xludf.DUMMYFUNCTION("""COMPUTED_VALUE"""),"G")</f>
        <v>G</v>
      </c>
      <c r="E1714" s="80" t="str">
        <f ca="1">IFERROR(__xludf.DUMMYFUNCTION("""COMPUTED_VALUE"""),"F")</f>
        <v>F</v>
      </c>
      <c r="F1714" s="80" t="str">
        <f ca="1">IFERROR(__xludf.DUMMYFUNCTION("""COMPUTED_VALUE"""),"J")</f>
        <v>J</v>
      </c>
      <c r="G1714" s="80">
        <f ca="1">IFERROR(__xludf.DUMMYFUNCTION("""COMPUTED_VALUE"""),7)</f>
        <v>7</v>
      </c>
      <c r="H1714" s="80" t="str">
        <f ca="1">IFERROR(__xludf.DUMMYFUNCTION("""COMPUTED_VALUE"""),"RFD")</f>
        <v>RFD</v>
      </c>
      <c r="I1714" s="80">
        <f ca="1">IFERROR(__xludf.DUMMYFUNCTION("""COMPUTED_VALUE"""),2)</f>
        <v>2</v>
      </c>
      <c r="J1714" s="85">
        <f ca="1">IFERROR(__xludf.DUMMYFUNCTION("""COMPUTED_VALUE"""),1)</f>
        <v>1</v>
      </c>
      <c r="K1714" s="85">
        <f ca="1">IFERROR(__xludf.DUMMYFUNCTION("""COMPUTED_VALUE"""),0)</f>
        <v>0</v>
      </c>
      <c r="L1714" s="85">
        <f ca="1">IFERROR(__xludf.DUMMYFUNCTION("""COMPUTED_VALUE"""),0)</f>
        <v>0</v>
      </c>
      <c r="M1714" s="85"/>
      <c r="N1714" s="85">
        <f ca="1">IFERROR(__xludf.DUMMYFUNCTION("""COMPUTED_VALUE"""),0)</f>
        <v>0</v>
      </c>
      <c r="O1714" s="85"/>
      <c r="P1714" s="85">
        <f ca="1">IFERROR(__xludf.DUMMYFUNCTION("""COMPUTED_VALUE"""),0)</f>
        <v>0</v>
      </c>
      <c r="Q1714" s="85"/>
      <c r="R1714" s="85">
        <f ca="1">IFERROR(__xludf.DUMMYFUNCTION("""COMPUTED_VALUE"""),0)</f>
        <v>0</v>
      </c>
      <c r="S1714" s="85"/>
      <c r="T1714" s="85"/>
      <c r="U1714" s="82"/>
      <c r="V1714" s="82"/>
      <c r="W1714" s="83"/>
      <c r="X1714" s="83"/>
      <c r="Y1714" s="83"/>
    </row>
    <row r="1715" spans="1:25" ht="13.8">
      <c r="A1715" s="78" t="str">
        <f ca="1">IFERROR(__xludf.DUMMYFUNCTION("""COMPUTED_VALUE"""),"RFD")</f>
        <v>RFD</v>
      </c>
      <c r="B1715" s="79" t="str">
        <f ca="1">IFERROR(__xludf.DUMMYFUNCTION("""COMPUTED_VALUE"""),"Kathryn Fegan")</f>
        <v>Kathryn Fegan</v>
      </c>
      <c r="C1715" s="78">
        <f ca="1">IFERROR(__xludf.DUMMYFUNCTION("""COMPUTED_VALUE"""),10)</f>
        <v>10</v>
      </c>
      <c r="D1715" s="78" t="str">
        <f ca="1">IFERROR(__xludf.DUMMYFUNCTION("""COMPUTED_VALUE"""),"G")</f>
        <v>G</v>
      </c>
      <c r="E1715" s="80" t="str">
        <f ca="1">IFERROR(__xludf.DUMMYFUNCTION("""COMPUTED_VALUE"""),"F")</f>
        <v>F</v>
      </c>
      <c r="F1715" s="80" t="str">
        <f ca="1">IFERROR(__xludf.DUMMYFUNCTION("""COMPUTED_VALUE"""),"J")</f>
        <v>J</v>
      </c>
      <c r="G1715" s="80">
        <f ca="1">IFERROR(__xludf.DUMMYFUNCTION("""COMPUTED_VALUE"""),7)</f>
        <v>7</v>
      </c>
      <c r="H1715" s="80" t="str">
        <f ca="1">IFERROR(__xludf.DUMMYFUNCTION("""COMPUTED_VALUE"""),"RFD")</f>
        <v>RFD</v>
      </c>
      <c r="I1715" s="80">
        <f ca="1">IFERROR(__xludf.DUMMYFUNCTION("""COMPUTED_VALUE"""),2)</f>
        <v>2</v>
      </c>
      <c r="J1715" s="85">
        <f ca="1">IFERROR(__xludf.DUMMYFUNCTION("""COMPUTED_VALUE"""),5)</f>
        <v>5</v>
      </c>
      <c r="K1715" s="85">
        <f ca="1">IFERROR(__xludf.DUMMYFUNCTION("""COMPUTED_VALUE"""),64.9)</f>
        <v>64.900000000000006</v>
      </c>
      <c r="L1715" s="85">
        <f ca="1">IFERROR(__xludf.DUMMYFUNCTION("""COMPUTED_VALUE"""),64.2)</f>
        <v>64.2</v>
      </c>
      <c r="M1715" s="85"/>
      <c r="N1715" s="85">
        <f ca="1">IFERROR(__xludf.DUMMYFUNCTION("""COMPUTED_VALUE"""),54.2)</f>
        <v>54.2</v>
      </c>
      <c r="O1715" s="85"/>
      <c r="P1715" s="85">
        <f ca="1">IFERROR(__xludf.DUMMYFUNCTION("""COMPUTED_VALUE"""),60.15)</f>
        <v>60.15</v>
      </c>
      <c r="Q1715" s="85"/>
      <c r="R1715" s="85">
        <f ca="1">IFERROR(__xludf.DUMMYFUNCTION("""COMPUTED_VALUE"""),64.9)</f>
        <v>64.900000000000006</v>
      </c>
      <c r="S1715" s="85"/>
      <c r="T1715" s="85"/>
      <c r="U1715" s="82"/>
      <c r="V1715" s="82"/>
      <c r="W1715" s="83"/>
      <c r="X1715" s="83"/>
      <c r="Y1715" s="83"/>
    </row>
    <row r="1716" spans="1:25" ht="13.8">
      <c r="A1716" s="78" t="str">
        <f ca="1">IFERROR(__xludf.DUMMYFUNCTION("""COMPUTED_VALUE"""),"RFD")</f>
        <v>RFD</v>
      </c>
      <c r="B1716" s="79" t="str">
        <f ca="1">IFERROR(__xludf.DUMMYFUNCTION("""COMPUTED_VALUE"""),"Lorriane Miller")</f>
        <v>Lorriane Miller</v>
      </c>
      <c r="C1716" s="78">
        <f ca="1">IFERROR(__xludf.DUMMYFUNCTION("""COMPUTED_VALUE"""),8)</f>
        <v>8</v>
      </c>
      <c r="D1716" s="78" t="str">
        <f ca="1">IFERROR(__xludf.DUMMYFUNCTION("""COMPUTED_VALUE"""),"G")</f>
        <v>G</v>
      </c>
      <c r="E1716" s="80" t="str">
        <f ca="1">IFERROR(__xludf.DUMMYFUNCTION("""COMPUTED_VALUE"""),"F")</f>
        <v>F</v>
      </c>
      <c r="F1716" s="80" t="str">
        <f ca="1">IFERROR(__xludf.DUMMYFUNCTION("""COMPUTED_VALUE"""),"J")</f>
        <v>J</v>
      </c>
      <c r="G1716" s="80">
        <f ca="1">IFERROR(__xludf.DUMMYFUNCTION("""COMPUTED_VALUE"""),7)</f>
        <v>7</v>
      </c>
      <c r="H1716" s="80" t="str">
        <f ca="1">IFERROR(__xludf.DUMMYFUNCTION("""COMPUTED_VALUE"""),"RFD")</f>
        <v>RFD</v>
      </c>
      <c r="I1716" s="80">
        <f ca="1">IFERROR(__xludf.DUMMYFUNCTION("""COMPUTED_VALUE"""),2)</f>
        <v>2</v>
      </c>
      <c r="J1716" s="85">
        <f ca="1">IFERROR(__xludf.DUMMYFUNCTION("""COMPUTED_VALUE"""),4)</f>
        <v>4</v>
      </c>
      <c r="K1716" s="85">
        <f ca="1">IFERROR(__xludf.DUMMYFUNCTION("""COMPUTED_VALUE"""),32.35)</f>
        <v>32.35</v>
      </c>
      <c r="L1716" s="85">
        <f ca="1">IFERROR(__xludf.DUMMYFUNCTION("""COMPUTED_VALUE"""),25.8)</f>
        <v>25.8</v>
      </c>
      <c r="M1716" s="85"/>
      <c r="N1716" s="85">
        <f ca="1">IFERROR(__xludf.DUMMYFUNCTION("""COMPUTED_VALUE"""),29.05)</f>
        <v>29.05</v>
      </c>
      <c r="O1716" s="85"/>
      <c r="P1716" s="85">
        <f ca="1">IFERROR(__xludf.DUMMYFUNCTION("""COMPUTED_VALUE"""),32.35)</f>
        <v>32.35</v>
      </c>
      <c r="Q1716" s="85"/>
      <c r="R1716" s="85">
        <f ca="1">IFERROR(__xludf.DUMMYFUNCTION("""COMPUTED_VALUE"""),0)</f>
        <v>0</v>
      </c>
      <c r="S1716" s="85"/>
      <c r="T1716" s="85"/>
      <c r="U1716" s="82"/>
      <c r="V1716" s="82"/>
      <c r="W1716" s="83"/>
      <c r="X1716" s="83"/>
      <c r="Y1716" s="83"/>
    </row>
    <row r="1717" spans="1:25" ht="13.8">
      <c r="A1717" s="78" t="str">
        <f ca="1">IFERROR(__xludf.DUMMYFUNCTION("""COMPUTED_VALUE"""),"RFD")</f>
        <v>RFD</v>
      </c>
      <c r="B1717" s="79" t="str">
        <f ca="1">IFERROR(__xludf.DUMMYFUNCTION("""COMPUTED_VALUE"""),"Emma Townsend")</f>
        <v>Emma Townsend</v>
      </c>
      <c r="C1717" s="78">
        <f ca="1">IFERROR(__xludf.DUMMYFUNCTION("""COMPUTED_VALUE"""),9)</f>
        <v>9</v>
      </c>
      <c r="D1717" s="78" t="str">
        <f ca="1">IFERROR(__xludf.DUMMYFUNCTION("""COMPUTED_VALUE"""),"G")</f>
        <v>G</v>
      </c>
      <c r="E1717" s="80" t="str">
        <f ca="1">IFERROR(__xludf.DUMMYFUNCTION("""COMPUTED_VALUE"""),"F")</f>
        <v>F</v>
      </c>
      <c r="F1717" s="80" t="str">
        <f ca="1">IFERROR(__xludf.DUMMYFUNCTION("""COMPUTED_VALUE"""),"J")</f>
        <v>J</v>
      </c>
      <c r="G1717" s="80">
        <f ca="1">IFERROR(__xludf.DUMMYFUNCTION("""COMPUTED_VALUE"""),7)</f>
        <v>7</v>
      </c>
      <c r="H1717" s="80" t="str">
        <f ca="1">IFERROR(__xludf.DUMMYFUNCTION("""COMPUTED_VALUE"""),"RFD")</f>
        <v>RFD</v>
      </c>
      <c r="I1717" s="80">
        <f ca="1">IFERROR(__xludf.DUMMYFUNCTION("""COMPUTED_VALUE"""),2)</f>
        <v>2</v>
      </c>
      <c r="J1717" s="85">
        <f ca="1">IFERROR(__xludf.DUMMYFUNCTION("""COMPUTED_VALUE"""),1)</f>
        <v>1</v>
      </c>
      <c r="K1717" s="85">
        <f ca="1">IFERROR(__xludf.DUMMYFUNCTION("""COMPUTED_VALUE"""),22.8)</f>
        <v>22.8</v>
      </c>
      <c r="L1717" s="85">
        <f ca="1">IFERROR(__xludf.DUMMYFUNCTION("""COMPUTED_VALUE"""),0)</f>
        <v>0</v>
      </c>
      <c r="M1717" s="85"/>
      <c r="N1717" s="85">
        <f ca="1">IFERROR(__xludf.DUMMYFUNCTION("""COMPUTED_VALUE"""),0)</f>
        <v>0</v>
      </c>
      <c r="O1717" s="85"/>
      <c r="P1717" s="85">
        <f ca="1">IFERROR(__xludf.DUMMYFUNCTION("""COMPUTED_VALUE"""),0)</f>
        <v>0</v>
      </c>
      <c r="Q1717" s="85"/>
      <c r="R1717" s="85">
        <f ca="1">IFERROR(__xludf.DUMMYFUNCTION("""COMPUTED_VALUE"""),22.8)</f>
        <v>22.8</v>
      </c>
      <c r="S1717" s="85"/>
      <c r="T1717" s="85"/>
      <c r="U1717" s="82"/>
      <c r="V1717" s="82"/>
      <c r="W1717" s="83"/>
      <c r="X1717" s="83"/>
      <c r="Y1717" s="83"/>
    </row>
    <row r="1718" spans="1:25" ht="13.8">
      <c r="A1718" s="78" t="str">
        <f ca="1">IFERROR(__xludf.DUMMYFUNCTION("""COMPUTED_VALUE"""),"RFD")</f>
        <v>RFD</v>
      </c>
      <c r="B1718" s="79" t="str">
        <f ca="1">IFERROR(__xludf.DUMMYFUNCTION("""COMPUTED_VALUE"""),"Hadley Townsend")</f>
        <v>Hadley Townsend</v>
      </c>
      <c r="C1718" s="78">
        <f ca="1">IFERROR(__xludf.DUMMYFUNCTION("""COMPUTED_VALUE"""),7)</f>
        <v>7</v>
      </c>
      <c r="D1718" s="78" t="str">
        <f ca="1">IFERROR(__xludf.DUMMYFUNCTION("""COMPUTED_VALUE"""),"G")</f>
        <v>G</v>
      </c>
      <c r="E1718" s="80" t="str">
        <f ca="1">IFERROR(__xludf.DUMMYFUNCTION("""COMPUTED_VALUE"""),"F")</f>
        <v>F</v>
      </c>
      <c r="F1718" s="80" t="str">
        <f ca="1">IFERROR(__xludf.DUMMYFUNCTION("""COMPUTED_VALUE"""),"J")</f>
        <v>J</v>
      </c>
      <c r="G1718" s="80">
        <f ca="1">IFERROR(__xludf.DUMMYFUNCTION("""COMPUTED_VALUE"""),7)</f>
        <v>7</v>
      </c>
      <c r="H1718" s="80" t="str">
        <f ca="1">IFERROR(__xludf.DUMMYFUNCTION("""COMPUTED_VALUE"""),"RFD")</f>
        <v>RFD</v>
      </c>
      <c r="I1718" s="80">
        <f ca="1">IFERROR(__xludf.DUMMYFUNCTION("""COMPUTED_VALUE"""),2)</f>
        <v>2</v>
      </c>
      <c r="J1718" s="85">
        <f ca="1">IFERROR(__xludf.DUMMYFUNCTION("""COMPUTED_VALUE"""),2)</f>
        <v>2</v>
      </c>
      <c r="K1718" s="85">
        <f ca="1">IFERROR(__xludf.DUMMYFUNCTION("""COMPUTED_VALUE"""),32.25)</f>
        <v>32.25</v>
      </c>
      <c r="L1718" s="85">
        <f ca="1">IFERROR(__xludf.DUMMYFUNCTION("""COMPUTED_VALUE"""),0)</f>
        <v>0</v>
      </c>
      <c r="M1718" s="85"/>
      <c r="N1718" s="85">
        <f ca="1">IFERROR(__xludf.DUMMYFUNCTION("""COMPUTED_VALUE"""),0)</f>
        <v>0</v>
      </c>
      <c r="O1718" s="85"/>
      <c r="P1718" s="85">
        <f ca="1">IFERROR(__xludf.DUMMYFUNCTION("""COMPUTED_VALUE"""),29.5)</f>
        <v>29.5</v>
      </c>
      <c r="Q1718" s="85"/>
      <c r="R1718" s="85">
        <f ca="1">IFERROR(__xludf.DUMMYFUNCTION("""COMPUTED_VALUE"""),32.25)</f>
        <v>32.25</v>
      </c>
      <c r="S1718" s="85"/>
      <c r="T1718" s="85"/>
      <c r="U1718" s="82"/>
      <c r="V1718" s="82"/>
      <c r="W1718" s="83"/>
      <c r="X1718" s="83"/>
      <c r="Y1718" s="83"/>
    </row>
    <row r="1719" spans="1:25" ht="13.8">
      <c r="A1719" s="78" t="str">
        <f ca="1">IFERROR(__xludf.DUMMYFUNCTION("""COMPUTED_VALUE"""),"RFD")</f>
        <v>RFD</v>
      </c>
      <c r="B1719" s="79" t="str">
        <f ca="1">IFERROR(__xludf.DUMMYFUNCTION("""COMPUTED_VALUE"""),"Evie Warren")</f>
        <v>Evie Warren</v>
      </c>
      <c r="C1719" s="78">
        <f ca="1">IFERROR(__xludf.DUMMYFUNCTION("""COMPUTED_VALUE"""),8)</f>
        <v>8</v>
      </c>
      <c r="D1719" s="78" t="str">
        <f ca="1">IFERROR(__xludf.DUMMYFUNCTION("""COMPUTED_VALUE"""),"G")</f>
        <v>G</v>
      </c>
      <c r="E1719" s="80" t="str">
        <f ca="1">IFERROR(__xludf.DUMMYFUNCTION("""COMPUTED_VALUE"""),"F")</f>
        <v>F</v>
      </c>
      <c r="F1719" s="80" t="str">
        <f ca="1">IFERROR(__xludf.DUMMYFUNCTION("""COMPUTED_VALUE"""),"J")</f>
        <v>J</v>
      </c>
      <c r="G1719" s="80">
        <f ca="1">IFERROR(__xludf.DUMMYFUNCTION("""COMPUTED_VALUE"""),7)</f>
        <v>7</v>
      </c>
      <c r="H1719" s="80" t="str">
        <f ca="1">IFERROR(__xludf.DUMMYFUNCTION("""COMPUTED_VALUE"""),"RFD")</f>
        <v>RFD</v>
      </c>
      <c r="I1719" s="80">
        <f ca="1">IFERROR(__xludf.DUMMYFUNCTION("""COMPUTED_VALUE"""),2)</f>
        <v>2</v>
      </c>
      <c r="J1719" s="85">
        <f ca="1">IFERROR(__xludf.DUMMYFUNCTION("""COMPUTED_VALUE"""),5)</f>
        <v>5</v>
      </c>
      <c r="K1719" s="85">
        <f ca="1">IFERROR(__xludf.DUMMYFUNCTION("""COMPUTED_VALUE"""),45.75)</f>
        <v>45.75</v>
      </c>
      <c r="L1719" s="85">
        <f ca="1">IFERROR(__xludf.DUMMYFUNCTION("""COMPUTED_VALUE"""),34.85)</f>
        <v>34.85</v>
      </c>
      <c r="M1719" s="85"/>
      <c r="N1719" s="85">
        <f ca="1">IFERROR(__xludf.DUMMYFUNCTION("""COMPUTED_VALUE"""),34.1)</f>
        <v>34.1</v>
      </c>
      <c r="O1719" s="85"/>
      <c r="P1719" s="85">
        <f ca="1">IFERROR(__xludf.DUMMYFUNCTION("""COMPUTED_VALUE"""),37.6)</f>
        <v>37.6</v>
      </c>
      <c r="Q1719" s="85"/>
      <c r="R1719" s="85">
        <f ca="1">IFERROR(__xludf.DUMMYFUNCTION("""COMPUTED_VALUE"""),45.75)</f>
        <v>45.75</v>
      </c>
      <c r="S1719" s="85"/>
      <c r="T1719" s="85"/>
      <c r="U1719" s="82"/>
      <c r="V1719" s="82"/>
      <c r="W1719" s="83"/>
      <c r="X1719" s="83"/>
      <c r="Y1719" s="83"/>
    </row>
    <row r="1720" spans="1:25" ht="13.8">
      <c r="A1720" s="78" t="str">
        <f ca="1">IFERROR(__xludf.DUMMYFUNCTION("""COMPUTED_VALUE"""),"RFD")</f>
        <v>RFD</v>
      </c>
      <c r="B1720" s="79" t="str">
        <f ca="1">IFERROR(__xludf.DUMMYFUNCTION("""COMPUTED_VALUE"""),"Max Braswell")</f>
        <v>Max Braswell</v>
      </c>
      <c r="C1720" s="78">
        <f ca="1">IFERROR(__xludf.DUMMYFUNCTION("""COMPUTED_VALUE"""),10)</f>
        <v>10</v>
      </c>
      <c r="D1720" s="78" t="str">
        <f ca="1">IFERROR(__xludf.DUMMYFUNCTION("""COMPUTED_VALUE"""),"B")</f>
        <v>B</v>
      </c>
      <c r="E1720" s="80" t="str">
        <f ca="1">IFERROR(__xludf.DUMMYFUNCTION("""COMPUTED_VALUE"""),"F")</f>
        <v>F</v>
      </c>
      <c r="F1720" s="80" t="str">
        <f ca="1">IFERROR(__xludf.DUMMYFUNCTION("""COMPUTED_VALUE"""),"J")</f>
        <v>J</v>
      </c>
      <c r="G1720" s="80">
        <f ca="1">IFERROR(__xludf.DUMMYFUNCTION("""COMPUTED_VALUE"""),7)</f>
        <v>7</v>
      </c>
      <c r="H1720" s="80" t="str">
        <f ca="1">IFERROR(__xludf.DUMMYFUNCTION("""COMPUTED_VALUE"""),"RFD")</f>
        <v>RFD</v>
      </c>
      <c r="I1720" s="80">
        <f ca="1">IFERROR(__xludf.DUMMYFUNCTION("""COMPUTED_VALUE"""),3)</f>
        <v>3</v>
      </c>
      <c r="J1720" s="85">
        <f ca="1">IFERROR(__xludf.DUMMYFUNCTION("""COMPUTED_VALUE"""),4)</f>
        <v>4</v>
      </c>
      <c r="K1720" s="85">
        <f ca="1">IFERROR(__xludf.DUMMYFUNCTION("""COMPUTED_VALUE"""),63.15)</f>
        <v>63.15</v>
      </c>
      <c r="L1720" s="85">
        <f ca="1">IFERROR(__xludf.DUMMYFUNCTION("""COMPUTED_VALUE"""),0)</f>
        <v>0</v>
      </c>
      <c r="M1720" s="85"/>
      <c r="N1720" s="85">
        <f ca="1">IFERROR(__xludf.DUMMYFUNCTION("""COMPUTED_VALUE"""),41.8)</f>
        <v>41.8</v>
      </c>
      <c r="O1720" s="85"/>
      <c r="P1720" s="85">
        <f ca="1">IFERROR(__xludf.DUMMYFUNCTION("""COMPUTED_VALUE"""),47.15)</f>
        <v>47.15</v>
      </c>
      <c r="Q1720" s="85"/>
      <c r="R1720" s="85">
        <f ca="1">IFERROR(__xludf.DUMMYFUNCTION("""COMPUTED_VALUE"""),63.15)</f>
        <v>63.15</v>
      </c>
      <c r="S1720" s="85"/>
      <c r="T1720" s="85"/>
      <c r="U1720" s="82"/>
      <c r="V1720" s="82"/>
      <c r="W1720" s="83"/>
      <c r="X1720" s="83"/>
      <c r="Y1720" s="83"/>
    </row>
    <row r="1721" spans="1:25" ht="13.8">
      <c r="A1721" s="78" t="str">
        <f ca="1">IFERROR(__xludf.DUMMYFUNCTION("""COMPUTED_VALUE"""),"RFD")</f>
        <v>RFD</v>
      </c>
      <c r="B1721" s="79" t="str">
        <f ca="1">IFERROR(__xludf.DUMMYFUNCTION("""COMPUTED_VALUE"""),"Austin Brooks")</f>
        <v>Austin Brooks</v>
      </c>
      <c r="C1721" s="78">
        <f ca="1">IFERROR(__xludf.DUMMYFUNCTION("""COMPUTED_VALUE"""),6)</f>
        <v>6</v>
      </c>
      <c r="D1721" s="78" t="str">
        <f ca="1">IFERROR(__xludf.DUMMYFUNCTION("""COMPUTED_VALUE"""),"B")</f>
        <v>B</v>
      </c>
      <c r="E1721" s="80" t="str">
        <f ca="1">IFERROR(__xludf.DUMMYFUNCTION("""COMPUTED_VALUE"""),"F")</f>
        <v>F</v>
      </c>
      <c r="F1721" s="80" t="str">
        <f ca="1">IFERROR(__xludf.DUMMYFUNCTION("""COMPUTED_VALUE"""),"J")</f>
        <v>J</v>
      </c>
      <c r="G1721" s="80">
        <f ca="1">IFERROR(__xludf.DUMMYFUNCTION("""COMPUTED_VALUE"""),7)</f>
        <v>7</v>
      </c>
      <c r="H1721" s="80" t="str">
        <f ca="1">IFERROR(__xludf.DUMMYFUNCTION("""COMPUTED_VALUE"""),"RFD")</f>
        <v>RFD</v>
      </c>
      <c r="I1721" s="80">
        <f ca="1">IFERROR(__xludf.DUMMYFUNCTION("""COMPUTED_VALUE"""),3)</f>
        <v>3</v>
      </c>
      <c r="J1721" s="85">
        <f ca="1">IFERROR(__xludf.DUMMYFUNCTION("""COMPUTED_VALUE"""),3)</f>
        <v>3</v>
      </c>
      <c r="K1721" s="85">
        <f ca="1">IFERROR(__xludf.DUMMYFUNCTION("""COMPUTED_VALUE"""),19.25)</f>
        <v>19.25</v>
      </c>
      <c r="L1721" s="85">
        <f ca="1">IFERROR(__xludf.DUMMYFUNCTION("""COMPUTED_VALUE"""),0)</f>
        <v>0</v>
      </c>
      <c r="M1721" s="85"/>
      <c r="N1721" s="85">
        <f ca="1">IFERROR(__xludf.DUMMYFUNCTION("""COMPUTED_VALUE"""),0)</f>
        <v>0</v>
      </c>
      <c r="O1721" s="85"/>
      <c r="P1721" s="85">
        <f ca="1">IFERROR(__xludf.DUMMYFUNCTION("""COMPUTED_VALUE"""),19.25)</f>
        <v>19.25</v>
      </c>
      <c r="Q1721" s="85"/>
      <c r="R1721" s="85">
        <f ca="1">IFERROR(__xludf.DUMMYFUNCTION("""COMPUTED_VALUE"""),16.5)</f>
        <v>16.5</v>
      </c>
      <c r="S1721" s="85"/>
      <c r="T1721" s="85"/>
      <c r="U1721" s="82"/>
      <c r="V1721" s="82"/>
      <c r="W1721" s="83"/>
      <c r="X1721" s="83"/>
      <c r="Y1721" s="83"/>
    </row>
    <row r="1722" spans="1:25" ht="13.8">
      <c r="A1722" s="78" t="str">
        <f ca="1">IFERROR(__xludf.DUMMYFUNCTION("""COMPUTED_VALUE"""),"RFD")</f>
        <v>RFD</v>
      </c>
      <c r="B1722" s="79" t="str">
        <f ca="1">IFERROR(__xludf.DUMMYFUNCTION("""COMPUTED_VALUE"""),"Alek Commette")</f>
        <v>Alek Commette</v>
      </c>
      <c r="C1722" s="78">
        <f ca="1">IFERROR(__xludf.DUMMYFUNCTION("""COMPUTED_VALUE"""),9)</f>
        <v>9</v>
      </c>
      <c r="D1722" s="78" t="str">
        <f ca="1">IFERROR(__xludf.DUMMYFUNCTION("""COMPUTED_VALUE"""),"B")</f>
        <v>B</v>
      </c>
      <c r="E1722" s="80" t="str">
        <f ca="1">IFERROR(__xludf.DUMMYFUNCTION("""COMPUTED_VALUE"""),"F")</f>
        <v>F</v>
      </c>
      <c r="F1722" s="80" t="str">
        <f ca="1">IFERROR(__xludf.DUMMYFUNCTION("""COMPUTED_VALUE"""),"J")</f>
        <v>J</v>
      </c>
      <c r="G1722" s="80">
        <f ca="1">IFERROR(__xludf.DUMMYFUNCTION("""COMPUTED_VALUE"""),7)</f>
        <v>7</v>
      </c>
      <c r="H1722" s="80" t="str">
        <f ca="1">IFERROR(__xludf.DUMMYFUNCTION("""COMPUTED_VALUE"""),"RFD")</f>
        <v>RFD</v>
      </c>
      <c r="I1722" s="80">
        <f ca="1">IFERROR(__xludf.DUMMYFUNCTION("""COMPUTED_VALUE"""),3)</f>
        <v>3</v>
      </c>
      <c r="J1722" s="85">
        <f ca="1">IFERROR(__xludf.DUMMYFUNCTION("""COMPUTED_VALUE"""),0)</f>
        <v>0</v>
      </c>
      <c r="K1722" s="85">
        <f ca="1">IFERROR(__xludf.DUMMYFUNCTION("""COMPUTED_VALUE"""),0)</f>
        <v>0</v>
      </c>
      <c r="L1722" s="85">
        <f ca="1">IFERROR(__xludf.DUMMYFUNCTION("""COMPUTED_VALUE"""),0)</f>
        <v>0</v>
      </c>
      <c r="M1722" s="85"/>
      <c r="N1722" s="85">
        <f ca="1">IFERROR(__xludf.DUMMYFUNCTION("""COMPUTED_VALUE"""),0)</f>
        <v>0</v>
      </c>
      <c r="O1722" s="85"/>
      <c r="P1722" s="85">
        <f ca="1">IFERROR(__xludf.DUMMYFUNCTION("""COMPUTED_VALUE"""),0)</f>
        <v>0</v>
      </c>
      <c r="Q1722" s="85"/>
      <c r="R1722" s="85">
        <f ca="1">IFERROR(__xludf.DUMMYFUNCTION("""COMPUTED_VALUE"""),0)</f>
        <v>0</v>
      </c>
      <c r="S1722" s="85"/>
      <c r="T1722" s="85"/>
      <c r="U1722" s="82"/>
      <c r="V1722" s="82"/>
      <c r="W1722" s="83"/>
      <c r="X1722" s="83"/>
      <c r="Y1722" s="83"/>
    </row>
    <row r="1723" spans="1:25" ht="13.8">
      <c r="A1723" s="78" t="str">
        <f ca="1">IFERROR(__xludf.DUMMYFUNCTION("""COMPUTED_VALUE"""),"RFD")</f>
        <v>RFD</v>
      </c>
      <c r="B1723" s="79" t="str">
        <f ca="1">IFERROR(__xludf.DUMMYFUNCTION("""COMPUTED_VALUE"""),"Michael Commette")</f>
        <v>Michael Commette</v>
      </c>
      <c r="C1723" s="78">
        <f ca="1">IFERROR(__xludf.DUMMYFUNCTION("""COMPUTED_VALUE"""),9)</f>
        <v>9</v>
      </c>
      <c r="D1723" s="78" t="str">
        <f ca="1">IFERROR(__xludf.DUMMYFUNCTION("""COMPUTED_VALUE"""),"B")</f>
        <v>B</v>
      </c>
      <c r="E1723" s="80" t="str">
        <f ca="1">IFERROR(__xludf.DUMMYFUNCTION("""COMPUTED_VALUE"""),"F")</f>
        <v>F</v>
      </c>
      <c r="F1723" s="80" t="str">
        <f ca="1">IFERROR(__xludf.DUMMYFUNCTION("""COMPUTED_VALUE"""),"J")</f>
        <v>J</v>
      </c>
      <c r="G1723" s="80">
        <f ca="1">IFERROR(__xludf.DUMMYFUNCTION("""COMPUTED_VALUE"""),7)</f>
        <v>7</v>
      </c>
      <c r="H1723" s="80" t="str">
        <f ca="1">IFERROR(__xludf.DUMMYFUNCTION("""COMPUTED_VALUE"""),"RFD")</f>
        <v>RFD</v>
      </c>
      <c r="I1723" s="80">
        <f ca="1">IFERROR(__xludf.DUMMYFUNCTION("""COMPUTED_VALUE"""),3)</f>
        <v>3</v>
      </c>
      <c r="J1723" s="85">
        <f ca="1">IFERROR(__xludf.DUMMYFUNCTION("""COMPUTED_VALUE"""),1)</f>
        <v>1</v>
      </c>
      <c r="K1723" s="85">
        <f ca="1">IFERROR(__xludf.DUMMYFUNCTION("""COMPUTED_VALUE"""),33.6)</f>
        <v>33.6</v>
      </c>
      <c r="L1723" s="85">
        <f ca="1">IFERROR(__xludf.DUMMYFUNCTION("""COMPUTED_VALUE"""),0)</f>
        <v>0</v>
      </c>
      <c r="M1723" s="85"/>
      <c r="N1723" s="85">
        <f ca="1">IFERROR(__xludf.DUMMYFUNCTION("""COMPUTED_VALUE"""),0)</f>
        <v>0</v>
      </c>
      <c r="O1723" s="85"/>
      <c r="P1723" s="85">
        <f ca="1">IFERROR(__xludf.DUMMYFUNCTION("""COMPUTED_VALUE"""),0)</f>
        <v>0</v>
      </c>
      <c r="Q1723" s="85"/>
      <c r="R1723" s="85">
        <f ca="1">IFERROR(__xludf.DUMMYFUNCTION("""COMPUTED_VALUE"""),33.6)</f>
        <v>33.6</v>
      </c>
      <c r="S1723" s="85"/>
      <c r="T1723" s="85"/>
      <c r="U1723" s="82"/>
      <c r="V1723" s="82"/>
      <c r="W1723" s="83"/>
      <c r="X1723" s="83"/>
      <c r="Y1723" s="83"/>
    </row>
    <row r="1724" spans="1:25" ht="13.8">
      <c r="A1724" s="78" t="str">
        <f ca="1">IFERROR(__xludf.DUMMYFUNCTION("""COMPUTED_VALUE"""),"RFD")</f>
        <v>RFD</v>
      </c>
      <c r="B1724" s="79" t="str">
        <f ca="1">IFERROR(__xludf.DUMMYFUNCTION("""COMPUTED_VALUE"""),"Cole Fegan")</f>
        <v>Cole Fegan</v>
      </c>
      <c r="C1724" s="78">
        <f ca="1">IFERROR(__xludf.DUMMYFUNCTION("""COMPUTED_VALUE"""),7)</f>
        <v>7</v>
      </c>
      <c r="D1724" s="78" t="str">
        <f ca="1">IFERROR(__xludf.DUMMYFUNCTION("""COMPUTED_VALUE"""),"B")</f>
        <v>B</v>
      </c>
      <c r="E1724" s="80" t="str">
        <f ca="1">IFERROR(__xludf.DUMMYFUNCTION("""COMPUTED_VALUE"""),"F")</f>
        <v>F</v>
      </c>
      <c r="F1724" s="80" t="str">
        <f ca="1">IFERROR(__xludf.DUMMYFUNCTION("""COMPUTED_VALUE"""),"J")</f>
        <v>J</v>
      </c>
      <c r="G1724" s="80">
        <f ca="1">IFERROR(__xludf.DUMMYFUNCTION("""COMPUTED_VALUE"""),7)</f>
        <v>7</v>
      </c>
      <c r="H1724" s="80" t="str">
        <f ca="1">IFERROR(__xludf.DUMMYFUNCTION("""COMPUTED_VALUE"""),"RFD")</f>
        <v>RFD</v>
      </c>
      <c r="I1724" s="80">
        <f ca="1">IFERROR(__xludf.DUMMYFUNCTION("""COMPUTED_VALUE"""),3)</f>
        <v>3</v>
      </c>
      <c r="J1724" s="85">
        <f ca="1">IFERROR(__xludf.DUMMYFUNCTION("""COMPUTED_VALUE"""),5)</f>
        <v>5</v>
      </c>
      <c r="K1724" s="85">
        <f ca="1">IFERROR(__xludf.DUMMYFUNCTION("""COMPUTED_VALUE"""),32.9)</f>
        <v>32.9</v>
      </c>
      <c r="L1724" s="85">
        <f ca="1">IFERROR(__xludf.DUMMYFUNCTION("""COMPUTED_VALUE"""),31.4)</f>
        <v>31.4</v>
      </c>
      <c r="M1724" s="85"/>
      <c r="N1724" s="85">
        <f ca="1">IFERROR(__xludf.DUMMYFUNCTION("""COMPUTED_VALUE"""),32.9)</f>
        <v>32.9</v>
      </c>
      <c r="O1724" s="85"/>
      <c r="P1724" s="85">
        <f ca="1">IFERROR(__xludf.DUMMYFUNCTION("""COMPUTED_VALUE"""),32.7)</f>
        <v>32.700000000000003</v>
      </c>
      <c r="Q1724" s="85"/>
      <c r="R1724" s="85">
        <f ca="1">IFERROR(__xludf.DUMMYFUNCTION("""COMPUTED_VALUE"""),32.5)</f>
        <v>32.5</v>
      </c>
      <c r="S1724" s="85"/>
      <c r="T1724" s="85"/>
      <c r="U1724" s="82"/>
      <c r="V1724" s="82"/>
      <c r="W1724" s="83"/>
      <c r="X1724" s="83"/>
      <c r="Y1724" s="83"/>
    </row>
    <row r="1725" spans="1:25" ht="13.8">
      <c r="A1725" s="78" t="str">
        <f ca="1">IFERROR(__xludf.DUMMYFUNCTION("""COMPUTED_VALUE"""),"RFD")</f>
        <v>RFD</v>
      </c>
      <c r="B1725" s="79" t="str">
        <f ca="1">IFERROR(__xludf.DUMMYFUNCTION("""COMPUTED_VALUE"""),"Zachary Lesser")</f>
        <v>Zachary Lesser</v>
      </c>
      <c r="C1725" s="78">
        <f ca="1">IFERROR(__xludf.DUMMYFUNCTION("""COMPUTED_VALUE"""),9)</f>
        <v>9</v>
      </c>
      <c r="D1725" s="78" t="str">
        <f ca="1">IFERROR(__xludf.DUMMYFUNCTION("""COMPUTED_VALUE"""),"B")</f>
        <v>B</v>
      </c>
      <c r="E1725" s="80" t="str">
        <f ca="1">IFERROR(__xludf.DUMMYFUNCTION("""COMPUTED_VALUE"""),"F")</f>
        <v>F</v>
      </c>
      <c r="F1725" s="80" t="str">
        <f ca="1">IFERROR(__xludf.DUMMYFUNCTION("""COMPUTED_VALUE"""),"J")</f>
        <v>J</v>
      </c>
      <c r="G1725" s="80">
        <f ca="1">IFERROR(__xludf.DUMMYFUNCTION("""COMPUTED_VALUE"""),7)</f>
        <v>7</v>
      </c>
      <c r="H1725" s="80" t="str">
        <f ca="1">IFERROR(__xludf.DUMMYFUNCTION("""COMPUTED_VALUE"""),"RFD")</f>
        <v>RFD</v>
      </c>
      <c r="I1725" s="80">
        <f ca="1">IFERROR(__xludf.DUMMYFUNCTION("""COMPUTED_VALUE"""),3)</f>
        <v>3</v>
      </c>
      <c r="J1725" s="85">
        <f ca="1">IFERROR(__xludf.DUMMYFUNCTION("""COMPUTED_VALUE"""),0)</f>
        <v>0</v>
      </c>
      <c r="K1725" s="85">
        <f ca="1">IFERROR(__xludf.DUMMYFUNCTION("""COMPUTED_VALUE"""),0)</f>
        <v>0</v>
      </c>
      <c r="L1725" s="85">
        <f ca="1">IFERROR(__xludf.DUMMYFUNCTION("""COMPUTED_VALUE"""),0)</f>
        <v>0</v>
      </c>
      <c r="M1725" s="85"/>
      <c r="N1725" s="85">
        <f ca="1">IFERROR(__xludf.DUMMYFUNCTION("""COMPUTED_VALUE"""),0)</f>
        <v>0</v>
      </c>
      <c r="O1725" s="85"/>
      <c r="P1725" s="85">
        <f ca="1">IFERROR(__xludf.DUMMYFUNCTION("""COMPUTED_VALUE"""),0)</f>
        <v>0</v>
      </c>
      <c r="Q1725" s="85"/>
      <c r="R1725" s="85">
        <f ca="1">IFERROR(__xludf.DUMMYFUNCTION("""COMPUTED_VALUE"""),0)</f>
        <v>0</v>
      </c>
      <c r="S1725" s="85"/>
      <c r="T1725" s="85"/>
      <c r="U1725" s="82"/>
      <c r="V1725" s="82"/>
      <c r="W1725" s="83"/>
      <c r="X1725" s="83"/>
      <c r="Y1725" s="83"/>
    </row>
    <row r="1726" spans="1:25" ht="13.8">
      <c r="A1726" s="78" t="str">
        <f ca="1">IFERROR(__xludf.DUMMYFUNCTION("""COMPUTED_VALUE"""),"RFD")</f>
        <v>RFD</v>
      </c>
      <c r="B1726" s="79" t="str">
        <f ca="1">IFERROR(__xludf.DUMMYFUNCTION("""COMPUTED_VALUE"""),"Pendry Carroll")</f>
        <v>Pendry Carroll</v>
      </c>
      <c r="C1726" s="78">
        <f ca="1">IFERROR(__xludf.DUMMYFUNCTION("""COMPUTED_VALUE"""),11)</f>
        <v>11</v>
      </c>
      <c r="D1726" s="78" t="str">
        <f ca="1">IFERROR(__xludf.DUMMYFUNCTION("""COMPUTED_VALUE"""),"G")</f>
        <v>G</v>
      </c>
      <c r="E1726" s="80" t="str">
        <f ca="1">IFERROR(__xludf.DUMMYFUNCTION("""COMPUTED_VALUE"""),"J")</f>
        <v>J</v>
      </c>
      <c r="F1726" s="80" t="str">
        <f ca="1">IFERROR(__xludf.DUMMYFUNCTION("""COMPUTED_VALUE"""),"I")</f>
        <v>I</v>
      </c>
      <c r="G1726" s="80">
        <f ca="1">IFERROR(__xludf.DUMMYFUNCTION("""COMPUTED_VALUE"""),7)</f>
        <v>7</v>
      </c>
      <c r="H1726" s="80" t="str">
        <f ca="1">IFERROR(__xludf.DUMMYFUNCTION("""COMPUTED_VALUE"""),"RFD")</f>
        <v>RFD</v>
      </c>
      <c r="I1726" s="80">
        <f ca="1">IFERROR(__xludf.DUMMYFUNCTION("""COMPUTED_VALUE"""),4)</f>
        <v>4</v>
      </c>
      <c r="J1726" s="85">
        <f ca="1">IFERROR(__xludf.DUMMYFUNCTION("""COMPUTED_VALUE"""),3)</f>
        <v>3</v>
      </c>
      <c r="K1726" s="85">
        <f ca="1">IFERROR(__xludf.DUMMYFUNCTION("""COMPUTED_VALUE"""),58.25)</f>
        <v>58.25</v>
      </c>
      <c r="L1726" s="85">
        <f ca="1">IFERROR(__xludf.DUMMYFUNCTION("""COMPUTED_VALUE"""),0)</f>
        <v>0</v>
      </c>
      <c r="M1726" s="85"/>
      <c r="N1726" s="85">
        <f ca="1">IFERROR(__xludf.DUMMYFUNCTION("""COMPUTED_VALUE"""),52.4)</f>
        <v>52.4</v>
      </c>
      <c r="O1726" s="85"/>
      <c r="P1726" s="85">
        <f ca="1">IFERROR(__xludf.DUMMYFUNCTION("""COMPUTED_VALUE"""),58.25)</f>
        <v>58.25</v>
      </c>
      <c r="Q1726" s="85"/>
      <c r="R1726" s="85">
        <f ca="1">IFERROR(__xludf.DUMMYFUNCTION("""COMPUTED_VALUE"""),0)</f>
        <v>0</v>
      </c>
      <c r="S1726" s="85"/>
      <c r="T1726" s="85"/>
      <c r="U1726" s="82"/>
      <c r="V1726" s="82"/>
      <c r="W1726" s="83"/>
      <c r="X1726" s="83"/>
      <c r="Y1726" s="83"/>
    </row>
    <row r="1727" spans="1:25" ht="13.8">
      <c r="A1727" s="78" t="str">
        <f ca="1">IFERROR(__xludf.DUMMYFUNCTION("""COMPUTED_VALUE"""),"RFD")</f>
        <v>RFD</v>
      </c>
      <c r="B1727" s="79" t="str">
        <f ca="1">IFERROR(__xludf.DUMMYFUNCTION("""COMPUTED_VALUE"""),"Eva Martin")</f>
        <v>Eva Martin</v>
      </c>
      <c r="C1727" s="78">
        <f ca="1">IFERROR(__xludf.DUMMYFUNCTION("""COMPUTED_VALUE"""),12)</f>
        <v>12</v>
      </c>
      <c r="D1727" s="78" t="str">
        <f ca="1">IFERROR(__xludf.DUMMYFUNCTION("""COMPUTED_VALUE"""),"G")</f>
        <v>G</v>
      </c>
      <c r="E1727" s="80" t="str">
        <f ca="1">IFERROR(__xludf.DUMMYFUNCTION("""COMPUTED_VALUE"""),"J")</f>
        <v>J</v>
      </c>
      <c r="F1727" s="80" t="str">
        <f ca="1">IFERROR(__xludf.DUMMYFUNCTION("""COMPUTED_VALUE"""),"I")</f>
        <v>I</v>
      </c>
      <c r="G1727" s="80">
        <f ca="1">IFERROR(__xludf.DUMMYFUNCTION("""COMPUTED_VALUE"""),7)</f>
        <v>7</v>
      </c>
      <c r="H1727" s="80" t="str">
        <f ca="1">IFERROR(__xludf.DUMMYFUNCTION("""COMPUTED_VALUE"""),"RFD")</f>
        <v>RFD</v>
      </c>
      <c r="I1727" s="80">
        <f ca="1">IFERROR(__xludf.DUMMYFUNCTION("""COMPUTED_VALUE"""),4)</f>
        <v>4</v>
      </c>
      <c r="J1727" s="85">
        <f ca="1">IFERROR(__xludf.DUMMYFUNCTION("""COMPUTED_VALUE"""),5)</f>
        <v>5</v>
      </c>
      <c r="K1727" s="85">
        <f ca="1">IFERROR(__xludf.DUMMYFUNCTION("""COMPUTED_VALUE"""),66.3)</f>
        <v>66.3</v>
      </c>
      <c r="L1727" s="85">
        <f ca="1">IFERROR(__xludf.DUMMYFUNCTION("""COMPUTED_VALUE"""),56.95)</f>
        <v>56.95</v>
      </c>
      <c r="M1727" s="85"/>
      <c r="N1727" s="85">
        <f ca="1">IFERROR(__xludf.DUMMYFUNCTION("""COMPUTED_VALUE"""),51.6)</f>
        <v>51.6</v>
      </c>
      <c r="O1727" s="85"/>
      <c r="P1727" s="85">
        <f ca="1">IFERROR(__xludf.DUMMYFUNCTION("""COMPUTED_VALUE"""),56.75)</f>
        <v>56.75</v>
      </c>
      <c r="Q1727" s="85"/>
      <c r="R1727" s="85">
        <f ca="1">IFERROR(__xludf.DUMMYFUNCTION("""COMPUTED_VALUE"""),66.3)</f>
        <v>66.3</v>
      </c>
      <c r="S1727" s="85"/>
      <c r="T1727" s="85"/>
      <c r="U1727" s="82"/>
      <c r="V1727" s="82"/>
      <c r="W1727" s="83"/>
      <c r="X1727" s="83"/>
      <c r="Y1727" s="83"/>
    </row>
    <row r="1728" spans="1:25" ht="13.8">
      <c r="A1728" s="78" t="str">
        <f ca="1">IFERROR(__xludf.DUMMYFUNCTION("""COMPUTED_VALUE"""),"RFD")</f>
        <v>RFD</v>
      </c>
      <c r="B1728" s="79" t="str">
        <f ca="1">IFERROR(__xludf.DUMMYFUNCTION("""COMPUTED_VALUE"""),"Roman Braswell")</f>
        <v>Roman Braswell</v>
      </c>
      <c r="C1728" s="78">
        <f ca="1">IFERROR(__xludf.DUMMYFUNCTION("""COMPUTED_VALUE"""),12)</f>
        <v>12</v>
      </c>
      <c r="D1728" s="78" t="str">
        <f ca="1">IFERROR(__xludf.DUMMYFUNCTION("""COMPUTED_VALUE"""),"B")</f>
        <v>B</v>
      </c>
      <c r="E1728" s="80" t="str">
        <f ca="1">IFERROR(__xludf.DUMMYFUNCTION("""COMPUTED_VALUE"""),"J")</f>
        <v>J</v>
      </c>
      <c r="F1728" s="80" t="str">
        <f ca="1">IFERROR(__xludf.DUMMYFUNCTION("""COMPUTED_VALUE"""),"I")</f>
        <v>I</v>
      </c>
      <c r="G1728" s="80">
        <f ca="1">IFERROR(__xludf.DUMMYFUNCTION("""COMPUTED_VALUE"""),7)</f>
        <v>7</v>
      </c>
      <c r="H1728" s="80" t="str">
        <f ca="1">IFERROR(__xludf.DUMMYFUNCTION("""COMPUTED_VALUE"""),"RFD")</f>
        <v>RFD</v>
      </c>
      <c r="I1728" s="80">
        <f ca="1">IFERROR(__xludf.DUMMYFUNCTION("""COMPUTED_VALUE"""),5)</f>
        <v>5</v>
      </c>
      <c r="J1728" s="85">
        <f ca="1">IFERROR(__xludf.DUMMYFUNCTION("""COMPUTED_VALUE"""),5)</f>
        <v>5</v>
      </c>
      <c r="K1728" s="85">
        <f ca="1">IFERROR(__xludf.DUMMYFUNCTION("""COMPUTED_VALUE"""),94.35)</f>
        <v>94.35</v>
      </c>
      <c r="L1728" s="85">
        <f ca="1">IFERROR(__xludf.DUMMYFUNCTION("""COMPUTED_VALUE"""),94.35)</f>
        <v>94.35</v>
      </c>
      <c r="M1728" s="85"/>
      <c r="N1728" s="85">
        <f ca="1">IFERROR(__xludf.DUMMYFUNCTION("""COMPUTED_VALUE"""),94.05)</f>
        <v>94.05</v>
      </c>
      <c r="O1728" s="85"/>
      <c r="P1728" s="85">
        <f ca="1">IFERROR(__xludf.DUMMYFUNCTION("""COMPUTED_VALUE"""),-127.65)</f>
        <v>-127.65</v>
      </c>
      <c r="Q1728" s="85"/>
      <c r="R1728" s="85">
        <f ca="1">IFERROR(__xludf.DUMMYFUNCTION("""COMPUTED_VALUE"""),-146.1)</f>
        <v>-146.1</v>
      </c>
      <c r="S1728" s="85"/>
      <c r="T1728" s="85"/>
      <c r="U1728" s="82"/>
      <c r="V1728" s="82"/>
      <c r="W1728" s="83"/>
      <c r="X1728" s="83"/>
      <c r="Y1728" s="83"/>
    </row>
    <row r="1729" spans="1:25" ht="13.8">
      <c r="A1729" s="78" t="str">
        <f ca="1">IFERROR(__xludf.DUMMYFUNCTION("""COMPUTED_VALUE"""),"RFD")</f>
        <v>RFD</v>
      </c>
      <c r="B1729" s="79" t="str">
        <f ca="1">IFERROR(__xludf.DUMMYFUNCTION("""COMPUTED_VALUE"""),"Bradyn Brooks")</f>
        <v>Bradyn Brooks</v>
      </c>
      <c r="C1729" s="78">
        <f ca="1">IFERROR(__xludf.DUMMYFUNCTION("""COMPUTED_VALUE"""),11)</f>
        <v>11</v>
      </c>
      <c r="D1729" s="78" t="str">
        <f ca="1">IFERROR(__xludf.DUMMYFUNCTION("""COMPUTED_VALUE"""),"B")</f>
        <v>B</v>
      </c>
      <c r="E1729" s="80" t="str">
        <f ca="1">IFERROR(__xludf.DUMMYFUNCTION("""COMPUTED_VALUE"""),"J")</f>
        <v>J</v>
      </c>
      <c r="F1729" s="80" t="str">
        <f ca="1">IFERROR(__xludf.DUMMYFUNCTION("""COMPUTED_VALUE"""),"I")</f>
        <v>I</v>
      </c>
      <c r="G1729" s="80">
        <f ca="1">IFERROR(__xludf.DUMMYFUNCTION("""COMPUTED_VALUE"""),7)</f>
        <v>7</v>
      </c>
      <c r="H1729" s="80" t="str">
        <f ca="1">IFERROR(__xludf.DUMMYFUNCTION("""COMPUTED_VALUE"""),"RFD")</f>
        <v>RFD</v>
      </c>
      <c r="I1729" s="80">
        <f ca="1">IFERROR(__xludf.DUMMYFUNCTION("""COMPUTED_VALUE"""),5)</f>
        <v>5</v>
      </c>
      <c r="J1729" s="85">
        <f ca="1">IFERROR(__xludf.DUMMYFUNCTION("""COMPUTED_VALUE"""),2)</f>
        <v>2</v>
      </c>
      <c r="K1729" s="85">
        <f ca="1">IFERROR(__xludf.DUMMYFUNCTION("""COMPUTED_VALUE"""),34.5)</f>
        <v>34.5</v>
      </c>
      <c r="L1729" s="85">
        <f ca="1">IFERROR(__xludf.DUMMYFUNCTION("""COMPUTED_VALUE"""),0)</f>
        <v>0</v>
      </c>
      <c r="M1729" s="85"/>
      <c r="N1729" s="85">
        <f ca="1">IFERROR(__xludf.DUMMYFUNCTION("""COMPUTED_VALUE"""),0)</f>
        <v>0</v>
      </c>
      <c r="O1729" s="85"/>
      <c r="P1729" s="85">
        <f ca="1">IFERROR(__xludf.DUMMYFUNCTION("""COMPUTED_VALUE"""),0)</f>
        <v>0</v>
      </c>
      <c r="Q1729" s="85"/>
      <c r="R1729" s="85">
        <f ca="1">IFERROR(__xludf.DUMMYFUNCTION("""COMPUTED_VALUE"""),34.5)</f>
        <v>34.5</v>
      </c>
      <c r="S1729" s="85"/>
      <c r="T1729" s="85"/>
      <c r="U1729" s="82"/>
      <c r="V1729" s="82"/>
      <c r="W1729" s="83"/>
      <c r="X1729" s="83"/>
      <c r="Y1729" s="83"/>
    </row>
    <row r="1730" spans="1:25" ht="13.8">
      <c r="A1730" s="78" t="str">
        <f ca="1">IFERROR(__xludf.DUMMYFUNCTION("""COMPUTED_VALUE"""),"RFD")</f>
        <v>RFD</v>
      </c>
      <c r="B1730" s="79" t="str">
        <f ca="1">IFERROR(__xludf.DUMMYFUNCTION("""COMPUTED_VALUE"""),"John Burns")</f>
        <v>John Burns</v>
      </c>
      <c r="C1730" s="78">
        <f ca="1">IFERROR(__xludf.DUMMYFUNCTION("""COMPUTED_VALUE"""),12)</f>
        <v>12</v>
      </c>
      <c r="D1730" s="78" t="str">
        <f ca="1">IFERROR(__xludf.DUMMYFUNCTION("""COMPUTED_VALUE"""),"B")</f>
        <v>B</v>
      </c>
      <c r="E1730" s="80" t="str">
        <f ca="1">IFERROR(__xludf.DUMMYFUNCTION("""COMPUTED_VALUE"""),"J")</f>
        <v>J</v>
      </c>
      <c r="F1730" s="80" t="str">
        <f ca="1">IFERROR(__xludf.DUMMYFUNCTION("""COMPUTED_VALUE"""),"I")</f>
        <v>I</v>
      </c>
      <c r="G1730" s="80">
        <f ca="1">IFERROR(__xludf.DUMMYFUNCTION("""COMPUTED_VALUE"""),7)</f>
        <v>7</v>
      </c>
      <c r="H1730" s="80" t="str">
        <f ca="1">IFERROR(__xludf.DUMMYFUNCTION("""COMPUTED_VALUE"""),"RFD")</f>
        <v>RFD</v>
      </c>
      <c r="I1730" s="80">
        <f ca="1">IFERROR(__xludf.DUMMYFUNCTION("""COMPUTED_VALUE"""),5)</f>
        <v>5</v>
      </c>
      <c r="J1730" s="85">
        <f ca="1">IFERROR(__xludf.DUMMYFUNCTION("""COMPUTED_VALUE"""),3)</f>
        <v>3</v>
      </c>
      <c r="K1730" s="85">
        <f ca="1">IFERROR(__xludf.DUMMYFUNCTION("""COMPUTED_VALUE"""),65.15)</f>
        <v>65.150000000000006</v>
      </c>
      <c r="L1730" s="85">
        <f ca="1">IFERROR(__xludf.DUMMYFUNCTION("""COMPUTED_VALUE"""),0)</f>
        <v>0</v>
      </c>
      <c r="M1730" s="85"/>
      <c r="N1730" s="85">
        <f ca="1">IFERROR(__xludf.DUMMYFUNCTION("""COMPUTED_VALUE"""),0)</f>
        <v>0</v>
      </c>
      <c r="O1730" s="85"/>
      <c r="P1730" s="85">
        <f ca="1">IFERROR(__xludf.DUMMYFUNCTION("""COMPUTED_VALUE"""),59.85)</f>
        <v>59.85</v>
      </c>
      <c r="Q1730" s="85"/>
      <c r="R1730" s="85">
        <f ca="1">IFERROR(__xludf.DUMMYFUNCTION("""COMPUTED_VALUE"""),65.15)</f>
        <v>65.150000000000006</v>
      </c>
      <c r="S1730" s="85"/>
      <c r="T1730" s="85"/>
      <c r="U1730" s="82"/>
      <c r="V1730" s="82"/>
      <c r="W1730" s="83"/>
      <c r="X1730" s="83"/>
      <c r="Y1730" s="83"/>
    </row>
    <row r="1731" spans="1:25" ht="13.8">
      <c r="A1731" s="78" t="str">
        <f ca="1">IFERROR(__xludf.DUMMYFUNCTION("""COMPUTED_VALUE"""),"RFD")</f>
        <v>RFD</v>
      </c>
      <c r="B1731" s="79" t="str">
        <f ca="1">IFERROR(__xludf.DUMMYFUNCTION("""COMPUTED_VALUE"""),"Wyatt Fegan")</f>
        <v>Wyatt Fegan</v>
      </c>
      <c r="C1731" s="78">
        <f ca="1">IFERROR(__xludf.DUMMYFUNCTION("""COMPUTED_VALUE"""),12)</f>
        <v>12</v>
      </c>
      <c r="D1731" s="78" t="str">
        <f ca="1">IFERROR(__xludf.DUMMYFUNCTION("""COMPUTED_VALUE"""),"B")</f>
        <v>B</v>
      </c>
      <c r="E1731" s="80" t="str">
        <f ca="1">IFERROR(__xludf.DUMMYFUNCTION("""COMPUTED_VALUE"""),"J")</f>
        <v>J</v>
      </c>
      <c r="F1731" s="80" t="str">
        <f ca="1">IFERROR(__xludf.DUMMYFUNCTION("""COMPUTED_VALUE"""),"I")</f>
        <v>I</v>
      </c>
      <c r="G1731" s="80">
        <f ca="1">IFERROR(__xludf.DUMMYFUNCTION("""COMPUTED_VALUE"""),7)</f>
        <v>7</v>
      </c>
      <c r="H1731" s="80" t="str">
        <f ca="1">IFERROR(__xludf.DUMMYFUNCTION("""COMPUTED_VALUE"""),"RFD")</f>
        <v>RFD</v>
      </c>
      <c r="I1731" s="80">
        <f ca="1">IFERROR(__xludf.DUMMYFUNCTION("""COMPUTED_VALUE"""),5)</f>
        <v>5</v>
      </c>
      <c r="J1731" s="85">
        <f ca="1">IFERROR(__xludf.DUMMYFUNCTION("""COMPUTED_VALUE"""),5)</f>
        <v>5</v>
      </c>
      <c r="K1731" s="85">
        <f ca="1">IFERROR(__xludf.DUMMYFUNCTION("""COMPUTED_VALUE"""),83.4)</f>
        <v>83.4</v>
      </c>
      <c r="L1731" s="85">
        <f ca="1">IFERROR(__xludf.DUMMYFUNCTION("""COMPUTED_VALUE"""),68.1)</f>
        <v>68.099999999999994</v>
      </c>
      <c r="M1731" s="85"/>
      <c r="N1731" s="85">
        <f ca="1">IFERROR(__xludf.DUMMYFUNCTION("""COMPUTED_VALUE"""),75.65)</f>
        <v>75.650000000000006</v>
      </c>
      <c r="O1731" s="85"/>
      <c r="P1731" s="85">
        <f ca="1">IFERROR(__xludf.DUMMYFUNCTION("""COMPUTED_VALUE"""),83.4)</f>
        <v>83.4</v>
      </c>
      <c r="Q1731" s="85"/>
      <c r="R1731" s="85">
        <f ca="1">IFERROR(__xludf.DUMMYFUNCTION("""COMPUTED_VALUE"""),74.8)</f>
        <v>74.8</v>
      </c>
      <c r="S1731" s="85"/>
      <c r="T1731" s="85"/>
      <c r="U1731" s="82"/>
      <c r="V1731" s="82"/>
      <c r="W1731" s="83"/>
      <c r="X1731" s="83"/>
      <c r="Y1731" s="83"/>
    </row>
    <row r="1732" spans="1:25" ht="13.8">
      <c r="A1732" s="78" t="str">
        <f ca="1">IFERROR(__xludf.DUMMYFUNCTION("""COMPUTED_VALUE"""),"RFD")</f>
        <v>RFD</v>
      </c>
      <c r="B1732" s="79" t="str">
        <f ca="1">IFERROR(__xludf.DUMMYFUNCTION("""COMPUTED_VALUE"""),"Claire Dobrydney")</f>
        <v>Claire Dobrydney</v>
      </c>
      <c r="C1732" s="78">
        <f ca="1">IFERROR(__xludf.DUMMYFUNCTION("""COMPUTED_VALUE"""),13)</f>
        <v>13</v>
      </c>
      <c r="D1732" s="78" t="str">
        <f ca="1">IFERROR(__xludf.DUMMYFUNCTION("""COMPUTED_VALUE"""),"G")</f>
        <v>G</v>
      </c>
      <c r="E1732" s="80" t="str">
        <f ca="1">IFERROR(__xludf.DUMMYFUNCTION("""COMPUTED_VALUE"""),"I")</f>
        <v>I</v>
      </c>
      <c r="F1732" s="80" t="str">
        <f ca="1">IFERROR(__xludf.DUMMYFUNCTION("""COMPUTED_VALUE"""),"S")</f>
        <v>S</v>
      </c>
      <c r="G1732" s="80">
        <f ca="1">IFERROR(__xludf.DUMMYFUNCTION("""COMPUTED_VALUE"""),7)</f>
        <v>7</v>
      </c>
      <c r="H1732" s="80" t="str">
        <f ca="1">IFERROR(__xludf.DUMMYFUNCTION("""COMPUTED_VALUE"""),"RFD")</f>
        <v>RFD</v>
      </c>
      <c r="I1732" s="80">
        <f ca="1">IFERROR(__xludf.DUMMYFUNCTION("""COMPUTED_VALUE"""),6)</f>
        <v>6</v>
      </c>
      <c r="J1732" s="85">
        <f ca="1">IFERROR(__xludf.DUMMYFUNCTION("""COMPUTED_VALUE"""),0)</f>
        <v>0</v>
      </c>
      <c r="K1732" s="85">
        <f ca="1">IFERROR(__xludf.DUMMYFUNCTION("""COMPUTED_VALUE"""),0)</f>
        <v>0</v>
      </c>
      <c r="L1732" s="85">
        <f ca="1">IFERROR(__xludf.DUMMYFUNCTION("""COMPUTED_VALUE"""),0)</f>
        <v>0</v>
      </c>
      <c r="M1732" s="85"/>
      <c r="N1732" s="85">
        <f ca="1">IFERROR(__xludf.DUMMYFUNCTION("""COMPUTED_VALUE"""),0)</f>
        <v>0</v>
      </c>
      <c r="O1732" s="85"/>
      <c r="P1732" s="85">
        <f ca="1">IFERROR(__xludf.DUMMYFUNCTION("""COMPUTED_VALUE"""),0)</f>
        <v>0</v>
      </c>
      <c r="Q1732" s="85"/>
      <c r="R1732" s="85">
        <f ca="1">IFERROR(__xludf.DUMMYFUNCTION("""COMPUTED_VALUE"""),0)</f>
        <v>0</v>
      </c>
      <c r="S1732" s="85"/>
      <c r="T1732" s="85"/>
      <c r="U1732" s="82"/>
      <c r="V1732" s="82"/>
      <c r="W1732" s="83"/>
      <c r="X1732" s="83"/>
      <c r="Y1732" s="83"/>
    </row>
    <row r="1733" spans="1:25" ht="13.8">
      <c r="A1733" s="78" t="str">
        <f ca="1">IFERROR(__xludf.DUMMYFUNCTION("""COMPUTED_VALUE"""),"RFD")</f>
        <v>RFD</v>
      </c>
      <c r="B1733" s="79" t="str">
        <f ca="1">IFERROR(__xludf.DUMMYFUNCTION("""COMPUTED_VALUE"""),"Emma Norsky")</f>
        <v>Emma Norsky</v>
      </c>
      <c r="C1733" s="78">
        <f ca="1">IFERROR(__xludf.DUMMYFUNCTION("""COMPUTED_VALUE"""),14)</f>
        <v>14</v>
      </c>
      <c r="D1733" s="78" t="str">
        <f ca="1">IFERROR(__xludf.DUMMYFUNCTION("""COMPUTED_VALUE"""),"G")</f>
        <v>G</v>
      </c>
      <c r="E1733" s="80" t="str">
        <f ca="1">IFERROR(__xludf.DUMMYFUNCTION("""COMPUTED_VALUE"""),"I")</f>
        <v>I</v>
      </c>
      <c r="F1733" s="80" t="str">
        <f ca="1">IFERROR(__xludf.DUMMYFUNCTION("""COMPUTED_VALUE"""),"S")</f>
        <v>S</v>
      </c>
      <c r="G1733" s="80">
        <f ca="1">IFERROR(__xludf.DUMMYFUNCTION("""COMPUTED_VALUE"""),7)</f>
        <v>7</v>
      </c>
      <c r="H1733" s="80" t="str">
        <f ca="1">IFERROR(__xludf.DUMMYFUNCTION("""COMPUTED_VALUE"""),"RFD")</f>
        <v>RFD</v>
      </c>
      <c r="I1733" s="80">
        <f ca="1">IFERROR(__xludf.DUMMYFUNCTION("""COMPUTED_VALUE"""),6)</f>
        <v>6</v>
      </c>
      <c r="J1733" s="85">
        <f ca="1">IFERROR(__xludf.DUMMYFUNCTION("""COMPUTED_VALUE"""),0)</f>
        <v>0</v>
      </c>
      <c r="K1733" s="85">
        <f ca="1">IFERROR(__xludf.DUMMYFUNCTION("""COMPUTED_VALUE"""),0)</f>
        <v>0</v>
      </c>
      <c r="L1733" s="85">
        <f ca="1">IFERROR(__xludf.DUMMYFUNCTION("""COMPUTED_VALUE"""),0)</f>
        <v>0</v>
      </c>
      <c r="M1733" s="85"/>
      <c r="N1733" s="85">
        <f ca="1">IFERROR(__xludf.DUMMYFUNCTION("""COMPUTED_VALUE"""),0)</f>
        <v>0</v>
      </c>
      <c r="O1733" s="85"/>
      <c r="P1733" s="85">
        <f ca="1">IFERROR(__xludf.DUMMYFUNCTION("""COMPUTED_VALUE"""),0)</f>
        <v>0</v>
      </c>
      <c r="Q1733" s="85"/>
      <c r="R1733" s="85">
        <f ca="1">IFERROR(__xludf.DUMMYFUNCTION("""COMPUTED_VALUE"""),0)</f>
        <v>0</v>
      </c>
      <c r="S1733" s="85"/>
      <c r="T1733" s="85"/>
      <c r="U1733" s="82"/>
      <c r="V1733" s="82"/>
      <c r="W1733" s="83"/>
      <c r="X1733" s="83"/>
      <c r="Y1733" s="83"/>
    </row>
    <row r="1734" spans="1:25" ht="13.8">
      <c r="A1734" s="78" t="str">
        <f ca="1">IFERROR(__xludf.DUMMYFUNCTION("""COMPUTED_VALUE"""),"RFD")</f>
        <v>RFD</v>
      </c>
      <c r="B1734" s="79" t="str">
        <f ca="1">IFERROR(__xludf.DUMMYFUNCTION("""COMPUTED_VALUE"""),"Liam Wade")</f>
        <v>Liam Wade</v>
      </c>
      <c r="C1734" s="78">
        <f ca="1">IFERROR(__xludf.DUMMYFUNCTION("""COMPUTED_VALUE"""),13)</f>
        <v>13</v>
      </c>
      <c r="D1734" s="78" t="str">
        <f ca="1">IFERROR(__xludf.DUMMYFUNCTION("""COMPUTED_VALUE"""),"B")</f>
        <v>B</v>
      </c>
      <c r="E1734" s="80" t="str">
        <f ca="1">IFERROR(__xludf.DUMMYFUNCTION("""COMPUTED_VALUE"""),"I")</f>
        <v>I</v>
      </c>
      <c r="F1734" s="80" t="str">
        <f ca="1">IFERROR(__xludf.DUMMYFUNCTION("""COMPUTED_VALUE"""),"S")</f>
        <v>S</v>
      </c>
      <c r="G1734" s="80">
        <f ca="1">IFERROR(__xludf.DUMMYFUNCTION("""COMPUTED_VALUE"""),7)</f>
        <v>7</v>
      </c>
      <c r="H1734" s="80" t="str">
        <f ca="1">IFERROR(__xludf.DUMMYFUNCTION("""COMPUTED_VALUE"""),"RFD")</f>
        <v>RFD</v>
      </c>
      <c r="I1734" s="80">
        <f ca="1">IFERROR(__xludf.DUMMYFUNCTION("""COMPUTED_VALUE"""),7)</f>
        <v>7</v>
      </c>
      <c r="J1734" s="85">
        <f ca="1">IFERROR(__xludf.DUMMYFUNCTION("""COMPUTED_VALUE"""),2)</f>
        <v>2</v>
      </c>
      <c r="K1734" s="85">
        <f ca="1">IFERROR(__xludf.DUMMYFUNCTION("""COMPUTED_VALUE"""),78.5)</f>
        <v>78.5</v>
      </c>
      <c r="L1734" s="85">
        <f ca="1">IFERROR(__xludf.DUMMYFUNCTION("""COMPUTED_VALUE"""),0)</f>
        <v>0</v>
      </c>
      <c r="M1734" s="85"/>
      <c r="N1734" s="85">
        <f ca="1">IFERROR(__xludf.DUMMYFUNCTION("""COMPUTED_VALUE"""),63.95)</f>
        <v>63.95</v>
      </c>
      <c r="O1734" s="85"/>
      <c r="P1734" s="85">
        <f ca="1">IFERROR(__xludf.DUMMYFUNCTION("""COMPUTED_VALUE"""),78.5)</f>
        <v>78.5</v>
      </c>
      <c r="Q1734" s="85"/>
      <c r="R1734" s="85">
        <f ca="1">IFERROR(__xludf.DUMMYFUNCTION("""COMPUTED_VALUE"""),0)</f>
        <v>0</v>
      </c>
      <c r="S1734" s="85"/>
      <c r="T1734" s="85"/>
      <c r="U1734" s="82"/>
      <c r="V1734" s="82"/>
      <c r="W1734" s="83"/>
      <c r="X1734" s="83"/>
      <c r="Y1734" s="83"/>
    </row>
    <row r="1735" spans="1:25" ht="13.8">
      <c r="A1735" s="78" t="str">
        <f ca="1">IFERROR(__xludf.DUMMYFUNCTION("""COMPUTED_VALUE"""),"RFD")</f>
        <v>RFD</v>
      </c>
      <c r="B1735" s="79" t="str">
        <f ca="1">IFERROR(__xludf.DUMMYFUNCTION("""COMPUTED_VALUE"""),"Heather Calderon")</f>
        <v>Heather Calderon</v>
      </c>
      <c r="C1735" s="78">
        <f ca="1">IFERROR(__xludf.DUMMYFUNCTION("""COMPUTED_VALUE"""),15)</f>
        <v>15</v>
      </c>
      <c r="D1735" s="78" t="str">
        <f ca="1">IFERROR(__xludf.DUMMYFUNCTION("""COMPUTED_VALUE"""),"G")</f>
        <v>G</v>
      </c>
      <c r="E1735" s="80" t="str">
        <f ca="1">IFERROR(__xludf.DUMMYFUNCTION("""COMPUTED_VALUE"""),"S")</f>
        <v>S</v>
      </c>
      <c r="F1735" s="80" t="str">
        <f ca="1">IFERROR(__xludf.DUMMYFUNCTION("""COMPUTED_VALUE"""),"S")</f>
        <v>S</v>
      </c>
      <c r="G1735" s="80">
        <f ca="1">IFERROR(__xludf.DUMMYFUNCTION("""COMPUTED_VALUE"""),7)</f>
        <v>7</v>
      </c>
      <c r="H1735" s="80" t="str">
        <f ca="1">IFERROR(__xludf.DUMMYFUNCTION("""COMPUTED_VALUE"""),"RFD")</f>
        <v>RFD</v>
      </c>
      <c r="I1735" s="80">
        <f ca="1">IFERROR(__xludf.DUMMYFUNCTION("""COMPUTED_VALUE"""),8)</f>
        <v>8</v>
      </c>
      <c r="J1735" s="85">
        <f ca="1">IFERROR(__xludf.DUMMYFUNCTION("""COMPUTED_VALUE"""),2)</f>
        <v>2</v>
      </c>
      <c r="K1735" s="85">
        <f ca="1">IFERROR(__xludf.DUMMYFUNCTION("""COMPUTED_VALUE"""),143.6)</f>
        <v>143.6</v>
      </c>
      <c r="L1735" s="85">
        <f ca="1">IFERROR(__xludf.DUMMYFUNCTION("""COMPUTED_VALUE"""),0)</f>
        <v>0</v>
      </c>
      <c r="M1735" s="85"/>
      <c r="N1735" s="85">
        <f ca="1">IFERROR(__xludf.DUMMYFUNCTION("""COMPUTED_VALUE"""),0)</f>
        <v>0</v>
      </c>
      <c r="O1735" s="85"/>
      <c r="P1735" s="85">
        <f ca="1">IFERROR(__xludf.DUMMYFUNCTION("""COMPUTED_VALUE"""),0)</f>
        <v>0</v>
      </c>
      <c r="Q1735" s="85"/>
      <c r="R1735" s="85">
        <f ca="1">IFERROR(__xludf.DUMMYFUNCTION("""COMPUTED_VALUE"""),143.6)</f>
        <v>143.6</v>
      </c>
      <c r="S1735" s="85"/>
      <c r="T1735" s="85"/>
      <c r="U1735" s="82"/>
      <c r="V1735" s="82"/>
      <c r="W1735" s="83"/>
      <c r="X1735" s="83"/>
      <c r="Y1735" s="83"/>
    </row>
    <row r="1736" spans="1:25" ht="13.8">
      <c r="A1736" s="78" t="str">
        <f ca="1">IFERROR(__xludf.DUMMYFUNCTION("""COMPUTED_VALUE"""),"RFD")</f>
        <v>RFD</v>
      </c>
      <c r="B1736" s="79" t="str">
        <f ca="1">IFERROR(__xludf.DUMMYFUNCTION("""COMPUTED_VALUE"""),"Abby Deer")</f>
        <v>Abby Deer</v>
      </c>
      <c r="C1736" s="78">
        <f ca="1">IFERROR(__xludf.DUMMYFUNCTION("""COMPUTED_VALUE"""),18)</f>
        <v>18</v>
      </c>
      <c r="D1736" s="78" t="str">
        <f ca="1">IFERROR(__xludf.DUMMYFUNCTION("""COMPUTED_VALUE"""),"G")</f>
        <v>G</v>
      </c>
      <c r="E1736" s="80" t="str">
        <f ca="1">IFERROR(__xludf.DUMMYFUNCTION("""COMPUTED_VALUE"""),"S")</f>
        <v>S</v>
      </c>
      <c r="F1736" s="80" t="str">
        <f ca="1">IFERROR(__xludf.DUMMYFUNCTION("""COMPUTED_VALUE"""),"S")</f>
        <v>S</v>
      </c>
      <c r="G1736" s="80">
        <f ca="1">IFERROR(__xludf.DUMMYFUNCTION("""COMPUTED_VALUE"""),7)</f>
        <v>7</v>
      </c>
      <c r="H1736" s="80" t="str">
        <f ca="1">IFERROR(__xludf.DUMMYFUNCTION("""COMPUTED_VALUE"""),"RFD")</f>
        <v>RFD</v>
      </c>
      <c r="I1736" s="80">
        <f ca="1">IFERROR(__xludf.DUMMYFUNCTION("""COMPUTED_VALUE"""),8)</f>
        <v>8</v>
      </c>
      <c r="J1736" s="85">
        <f ca="1">IFERROR(__xludf.DUMMYFUNCTION("""COMPUTED_VALUE"""),1)</f>
        <v>1</v>
      </c>
      <c r="K1736" s="85">
        <f ca="1">IFERROR(__xludf.DUMMYFUNCTION("""COMPUTED_VALUE"""),0)</f>
        <v>0</v>
      </c>
      <c r="L1736" s="85">
        <f ca="1">IFERROR(__xludf.DUMMYFUNCTION("""COMPUTED_VALUE"""),0)</f>
        <v>0</v>
      </c>
      <c r="M1736" s="85"/>
      <c r="N1736" s="85">
        <f ca="1">IFERROR(__xludf.DUMMYFUNCTION("""COMPUTED_VALUE"""),0)</f>
        <v>0</v>
      </c>
      <c r="O1736" s="85"/>
      <c r="P1736" s="85">
        <f ca="1">IFERROR(__xludf.DUMMYFUNCTION("""COMPUTED_VALUE"""),0)</f>
        <v>0</v>
      </c>
      <c r="Q1736" s="85"/>
      <c r="R1736" s="85">
        <f ca="1">IFERROR(__xludf.DUMMYFUNCTION("""COMPUTED_VALUE"""),0)</f>
        <v>0</v>
      </c>
      <c r="S1736" s="85"/>
      <c r="T1736" s="85"/>
      <c r="U1736" s="82"/>
      <c r="V1736" s="82"/>
      <c r="W1736" s="83"/>
      <c r="X1736" s="83"/>
      <c r="Y1736" s="83"/>
    </row>
    <row r="1737" spans="1:25" ht="13.8">
      <c r="A1737" s="78" t="str">
        <f ca="1">IFERROR(__xludf.DUMMYFUNCTION("""COMPUTED_VALUE"""),"RFD")</f>
        <v>RFD</v>
      </c>
      <c r="B1737" s="79" t="str">
        <f ca="1">IFERROR(__xludf.DUMMYFUNCTION("""COMPUTED_VALUE"""),"Griffin Brown")</f>
        <v>Griffin Brown</v>
      </c>
      <c r="C1737" s="78">
        <f ca="1">IFERROR(__xludf.DUMMYFUNCTION("""COMPUTED_VALUE"""),15)</f>
        <v>15</v>
      </c>
      <c r="D1737" s="78" t="str">
        <f ca="1">IFERROR(__xludf.DUMMYFUNCTION("""COMPUTED_VALUE"""),"B")</f>
        <v>B</v>
      </c>
      <c r="E1737" s="80" t="str">
        <f ca="1">IFERROR(__xludf.DUMMYFUNCTION("""COMPUTED_VALUE"""),"S")</f>
        <v>S</v>
      </c>
      <c r="F1737" s="80" t="str">
        <f ca="1">IFERROR(__xludf.DUMMYFUNCTION("""COMPUTED_VALUE"""),"S")</f>
        <v>S</v>
      </c>
      <c r="G1737" s="80">
        <f ca="1">IFERROR(__xludf.DUMMYFUNCTION("""COMPUTED_VALUE"""),7)</f>
        <v>7</v>
      </c>
      <c r="H1737" s="80" t="str">
        <f ca="1">IFERROR(__xludf.DUMMYFUNCTION("""COMPUTED_VALUE"""),"RFD")</f>
        <v>RFD</v>
      </c>
      <c r="I1737" s="80">
        <f ca="1">IFERROR(__xludf.DUMMYFUNCTION("""COMPUTED_VALUE"""),9)</f>
        <v>9</v>
      </c>
      <c r="J1737" s="85">
        <f ca="1">IFERROR(__xludf.DUMMYFUNCTION("""COMPUTED_VALUE"""),2)</f>
        <v>2</v>
      </c>
      <c r="K1737" s="85">
        <f ca="1">IFERROR(__xludf.DUMMYFUNCTION("""COMPUTED_VALUE"""),154.85)</f>
        <v>154.85</v>
      </c>
      <c r="L1737" s="85">
        <f ca="1">IFERROR(__xludf.DUMMYFUNCTION("""COMPUTED_VALUE"""),0)</f>
        <v>0</v>
      </c>
      <c r="M1737" s="85"/>
      <c r="N1737" s="85">
        <f ca="1">IFERROR(__xludf.DUMMYFUNCTION("""COMPUTED_VALUE"""),0)</f>
        <v>0</v>
      </c>
      <c r="O1737" s="85"/>
      <c r="P1737" s="85">
        <f ca="1">IFERROR(__xludf.DUMMYFUNCTION("""COMPUTED_VALUE"""),0)</f>
        <v>0</v>
      </c>
      <c r="Q1737" s="85"/>
      <c r="R1737" s="85">
        <f ca="1">IFERROR(__xludf.DUMMYFUNCTION("""COMPUTED_VALUE"""),154.85)</f>
        <v>154.85</v>
      </c>
      <c r="S1737" s="85"/>
      <c r="T1737" s="85"/>
      <c r="U1737" s="82"/>
      <c r="V1737" s="82"/>
      <c r="W1737" s="83"/>
      <c r="X1737" s="83"/>
      <c r="Y1737" s="83"/>
    </row>
    <row r="1738" spans="1:25" ht="13.8">
      <c r="A1738" s="78" t="str">
        <f ca="1">IFERROR(__xludf.DUMMYFUNCTION("""COMPUTED_VALUE"""),"RFD")</f>
        <v>RFD</v>
      </c>
      <c r="B1738" s="79" t="str">
        <f ca="1">IFERROR(__xludf.DUMMYFUNCTION("""COMPUTED_VALUE"""),"Chris Dobrydney")</f>
        <v>Chris Dobrydney</v>
      </c>
      <c r="C1738" s="78">
        <f ca="1">IFERROR(__xludf.DUMMYFUNCTION("""COMPUTED_VALUE"""),17)</f>
        <v>17</v>
      </c>
      <c r="D1738" s="78" t="str">
        <f ca="1">IFERROR(__xludf.DUMMYFUNCTION("""COMPUTED_VALUE"""),"B")</f>
        <v>B</v>
      </c>
      <c r="E1738" s="80" t="str">
        <f ca="1">IFERROR(__xludf.DUMMYFUNCTION("""COMPUTED_VALUE"""),"S")</f>
        <v>S</v>
      </c>
      <c r="F1738" s="80" t="str">
        <f ca="1">IFERROR(__xludf.DUMMYFUNCTION("""COMPUTED_VALUE"""),"S")</f>
        <v>S</v>
      </c>
      <c r="G1738" s="80">
        <f ca="1">IFERROR(__xludf.DUMMYFUNCTION("""COMPUTED_VALUE"""),7)</f>
        <v>7</v>
      </c>
      <c r="H1738" s="80" t="str">
        <f ca="1">IFERROR(__xludf.DUMMYFUNCTION("""COMPUTED_VALUE"""),"RFD")</f>
        <v>RFD</v>
      </c>
      <c r="I1738" s="80">
        <f ca="1">IFERROR(__xludf.DUMMYFUNCTION("""COMPUTED_VALUE"""),9)</f>
        <v>9</v>
      </c>
      <c r="J1738" s="85">
        <f ca="1">IFERROR(__xludf.DUMMYFUNCTION("""COMPUTED_VALUE"""),2)</f>
        <v>2</v>
      </c>
      <c r="K1738" s="85">
        <f ca="1">IFERROR(__xludf.DUMMYFUNCTION("""COMPUTED_VALUE"""),110.7)</f>
        <v>110.7</v>
      </c>
      <c r="L1738" s="85">
        <f ca="1">IFERROR(__xludf.DUMMYFUNCTION("""COMPUTED_VALUE"""),90.75)</f>
        <v>90.75</v>
      </c>
      <c r="M1738" s="85"/>
      <c r="N1738" s="85">
        <f ca="1">IFERROR(__xludf.DUMMYFUNCTION("""COMPUTED_VALUE"""),110.7)</f>
        <v>110.7</v>
      </c>
      <c r="O1738" s="85"/>
      <c r="P1738" s="85">
        <f ca="1">IFERROR(__xludf.DUMMYFUNCTION("""COMPUTED_VALUE"""),0)</f>
        <v>0</v>
      </c>
      <c r="Q1738" s="85"/>
      <c r="R1738" s="85">
        <f ca="1">IFERROR(__xludf.DUMMYFUNCTION("""COMPUTED_VALUE"""),0)</f>
        <v>0</v>
      </c>
      <c r="S1738" s="85"/>
      <c r="T1738" s="85"/>
      <c r="U1738" s="82"/>
      <c r="V1738" s="82"/>
      <c r="W1738" s="83"/>
      <c r="X1738" s="83"/>
      <c r="Y1738" s="83"/>
    </row>
    <row r="1739" spans="1:25" ht="13.8">
      <c r="A1739" s="78" t="str">
        <f ca="1">IFERROR(__xludf.DUMMYFUNCTION("""COMPUTED_VALUE"""),"RH")</f>
        <v>RH</v>
      </c>
      <c r="B1739" s="79" t="str">
        <f ca="1">IFERROR(__xludf.DUMMYFUNCTION("""COMPUTED_VALUE"""),"Caroline Berry")</f>
        <v>Caroline Berry</v>
      </c>
      <c r="C1739" s="78">
        <f ca="1">IFERROR(__xludf.DUMMYFUNCTION("""COMPUTED_VALUE"""),10)</f>
        <v>10</v>
      </c>
      <c r="D1739" s="78" t="str">
        <f ca="1">IFERROR(__xludf.DUMMYFUNCTION("""COMPUTED_VALUE"""),"G")</f>
        <v>G</v>
      </c>
      <c r="E1739" s="80" t="str">
        <f ca="1">IFERROR(__xludf.DUMMYFUNCTION("""COMPUTED_VALUE"""),"F")</f>
        <v>F</v>
      </c>
      <c r="F1739" s="80" t="str">
        <f ca="1">IFERROR(__xludf.DUMMYFUNCTION("""COMPUTED_VALUE"""),"J")</f>
        <v>J</v>
      </c>
      <c r="G1739" s="80">
        <f ca="1">IFERROR(__xludf.DUMMYFUNCTION("""COMPUTED_VALUE"""),5)</f>
        <v>5</v>
      </c>
      <c r="H1739" s="80" t="str">
        <f ca="1">IFERROR(__xludf.DUMMYFUNCTION("""COMPUTED_VALUE"""),"RH")</f>
        <v>RH</v>
      </c>
      <c r="I1739" s="80">
        <f ca="1">IFERROR(__xludf.DUMMYFUNCTION("""COMPUTED_VALUE"""),2)</f>
        <v>2</v>
      </c>
      <c r="J1739" s="85">
        <f ca="1">IFERROR(__xludf.DUMMYFUNCTION("""COMPUTED_VALUE"""),3)</f>
        <v>3</v>
      </c>
      <c r="K1739" s="85">
        <f ca="1">IFERROR(__xludf.DUMMYFUNCTION("""COMPUTED_VALUE"""),68.1)</f>
        <v>68.099999999999994</v>
      </c>
      <c r="L1739" s="85">
        <f ca="1">IFERROR(__xludf.DUMMYFUNCTION("""COMPUTED_VALUE"""),66.45)</f>
        <v>66.45</v>
      </c>
      <c r="M1739" s="85"/>
      <c r="N1739" s="85">
        <f ca="1">IFERROR(__xludf.DUMMYFUNCTION("""COMPUTED_VALUE"""),0)</f>
        <v>0</v>
      </c>
      <c r="O1739" s="85"/>
      <c r="P1739" s="85">
        <f ca="1">IFERROR(__xludf.DUMMYFUNCTION("""COMPUTED_VALUE"""),0)</f>
        <v>0</v>
      </c>
      <c r="Q1739" s="85"/>
      <c r="R1739" s="85">
        <f ca="1">IFERROR(__xludf.DUMMYFUNCTION("""COMPUTED_VALUE"""),68.1)</f>
        <v>68.099999999999994</v>
      </c>
      <c r="S1739" s="85"/>
      <c r="T1739" s="85"/>
      <c r="U1739" s="82"/>
      <c r="V1739" s="82"/>
      <c r="W1739" s="83"/>
      <c r="X1739" s="83"/>
      <c r="Y1739" s="83"/>
    </row>
    <row r="1740" spans="1:25" ht="13.8">
      <c r="A1740" s="78" t="str">
        <f ca="1">IFERROR(__xludf.DUMMYFUNCTION("""COMPUTED_VALUE"""),"RH")</f>
        <v>RH</v>
      </c>
      <c r="B1740" s="79" t="str">
        <f ca="1">IFERROR(__xludf.DUMMYFUNCTION("""COMPUTED_VALUE"""),"Lily Boger")</f>
        <v>Lily Boger</v>
      </c>
      <c r="C1740" s="78">
        <f ca="1">IFERROR(__xludf.DUMMYFUNCTION("""COMPUTED_VALUE"""),7)</f>
        <v>7</v>
      </c>
      <c r="D1740" s="78" t="str">
        <f ca="1">IFERROR(__xludf.DUMMYFUNCTION("""COMPUTED_VALUE"""),"G")</f>
        <v>G</v>
      </c>
      <c r="E1740" s="80" t="str">
        <f ca="1">IFERROR(__xludf.DUMMYFUNCTION("""COMPUTED_VALUE"""),"F")</f>
        <v>F</v>
      </c>
      <c r="F1740" s="80" t="str">
        <f ca="1">IFERROR(__xludf.DUMMYFUNCTION("""COMPUTED_VALUE"""),"J")</f>
        <v>J</v>
      </c>
      <c r="G1740" s="80">
        <f ca="1">IFERROR(__xludf.DUMMYFUNCTION("""COMPUTED_VALUE"""),5)</f>
        <v>5</v>
      </c>
      <c r="H1740" s="80" t="str">
        <f ca="1">IFERROR(__xludf.DUMMYFUNCTION("""COMPUTED_VALUE"""),"RH")</f>
        <v>RH</v>
      </c>
      <c r="I1740" s="80">
        <f ca="1">IFERROR(__xludf.DUMMYFUNCTION("""COMPUTED_VALUE"""),2)</f>
        <v>2</v>
      </c>
      <c r="J1740" s="85">
        <f ca="1">IFERROR(__xludf.DUMMYFUNCTION("""COMPUTED_VALUE"""),0)</f>
        <v>0</v>
      </c>
      <c r="K1740" s="85">
        <f ca="1">IFERROR(__xludf.DUMMYFUNCTION("""COMPUTED_VALUE"""),0)</f>
        <v>0</v>
      </c>
      <c r="L1740" s="85">
        <f ca="1">IFERROR(__xludf.DUMMYFUNCTION("""COMPUTED_VALUE"""),0)</f>
        <v>0</v>
      </c>
      <c r="M1740" s="85"/>
      <c r="N1740" s="85">
        <f ca="1">IFERROR(__xludf.DUMMYFUNCTION("""COMPUTED_VALUE"""),0)</f>
        <v>0</v>
      </c>
      <c r="O1740" s="85"/>
      <c r="P1740" s="85">
        <f ca="1">IFERROR(__xludf.DUMMYFUNCTION("""COMPUTED_VALUE"""),0)</f>
        <v>0</v>
      </c>
      <c r="Q1740" s="85"/>
      <c r="R1740" s="85">
        <f ca="1">IFERROR(__xludf.DUMMYFUNCTION("""COMPUTED_VALUE"""),0)</f>
        <v>0</v>
      </c>
      <c r="S1740" s="85"/>
      <c r="T1740" s="85"/>
      <c r="U1740" s="82"/>
      <c r="V1740" s="82"/>
      <c r="W1740" s="83"/>
      <c r="X1740" s="83"/>
      <c r="Y1740" s="83"/>
    </row>
    <row r="1741" spans="1:25" ht="13.8">
      <c r="A1741" s="78" t="str">
        <f ca="1">IFERROR(__xludf.DUMMYFUNCTION("""COMPUTED_VALUE"""),"RH")</f>
        <v>RH</v>
      </c>
      <c r="B1741" s="79" t="str">
        <f ca="1">IFERROR(__xludf.DUMMYFUNCTION("""COMPUTED_VALUE"""),"Claire Flanagan")</f>
        <v>Claire Flanagan</v>
      </c>
      <c r="C1741" s="78">
        <f ca="1">IFERROR(__xludf.DUMMYFUNCTION("""COMPUTED_VALUE"""),7)</f>
        <v>7</v>
      </c>
      <c r="D1741" s="78" t="str">
        <f ca="1">IFERROR(__xludf.DUMMYFUNCTION("""COMPUTED_VALUE"""),"G")</f>
        <v>G</v>
      </c>
      <c r="E1741" s="80" t="str">
        <f ca="1">IFERROR(__xludf.DUMMYFUNCTION("""COMPUTED_VALUE"""),"F")</f>
        <v>F</v>
      </c>
      <c r="F1741" s="80" t="str">
        <f ca="1">IFERROR(__xludf.DUMMYFUNCTION("""COMPUTED_VALUE"""),"J")</f>
        <v>J</v>
      </c>
      <c r="G1741" s="80">
        <f ca="1">IFERROR(__xludf.DUMMYFUNCTION("""COMPUTED_VALUE"""),5)</f>
        <v>5</v>
      </c>
      <c r="H1741" s="80" t="str">
        <f ca="1">IFERROR(__xludf.DUMMYFUNCTION("""COMPUTED_VALUE"""),"RH")</f>
        <v>RH</v>
      </c>
      <c r="I1741" s="80">
        <f ca="1">IFERROR(__xludf.DUMMYFUNCTION("""COMPUTED_VALUE"""),2)</f>
        <v>2</v>
      </c>
      <c r="J1741" s="85">
        <f ca="1">IFERROR(__xludf.DUMMYFUNCTION("""COMPUTED_VALUE"""),3)</f>
        <v>3</v>
      </c>
      <c r="K1741" s="85">
        <f ca="1">IFERROR(__xludf.DUMMYFUNCTION("""COMPUTED_VALUE"""),55.05)</f>
        <v>55.05</v>
      </c>
      <c r="L1741" s="85">
        <f ca="1">IFERROR(__xludf.DUMMYFUNCTION("""COMPUTED_VALUE"""),36.5)</f>
        <v>36.5</v>
      </c>
      <c r="M1741" s="85"/>
      <c r="N1741" s="85">
        <f ca="1">IFERROR(__xludf.DUMMYFUNCTION("""COMPUTED_VALUE"""),55.05)</f>
        <v>55.05</v>
      </c>
      <c r="O1741" s="85"/>
      <c r="P1741" s="85">
        <f ca="1">IFERROR(__xludf.DUMMYFUNCTION("""COMPUTED_VALUE"""),0)</f>
        <v>0</v>
      </c>
      <c r="Q1741" s="85"/>
      <c r="R1741" s="85">
        <f ca="1">IFERROR(__xludf.DUMMYFUNCTION("""COMPUTED_VALUE"""),32.9)</f>
        <v>32.9</v>
      </c>
      <c r="S1741" s="85"/>
      <c r="T1741" s="85"/>
      <c r="U1741" s="82"/>
      <c r="V1741" s="82"/>
      <c r="W1741" s="83"/>
      <c r="X1741" s="83"/>
      <c r="Y1741" s="83"/>
    </row>
    <row r="1742" spans="1:25" ht="13.8">
      <c r="A1742" s="78" t="str">
        <f ca="1">IFERROR(__xludf.DUMMYFUNCTION("""COMPUTED_VALUE"""),"RH")</f>
        <v>RH</v>
      </c>
      <c r="B1742" s="79" t="str">
        <f ca="1">IFERROR(__xludf.DUMMYFUNCTION("""COMPUTED_VALUE"""),"Liv Freeman")</f>
        <v>Liv Freeman</v>
      </c>
      <c r="C1742" s="78">
        <f ca="1">IFERROR(__xludf.DUMMYFUNCTION("""COMPUTED_VALUE"""),9)</f>
        <v>9</v>
      </c>
      <c r="D1742" s="78" t="str">
        <f ca="1">IFERROR(__xludf.DUMMYFUNCTION("""COMPUTED_VALUE"""),"G")</f>
        <v>G</v>
      </c>
      <c r="E1742" s="80" t="str">
        <f ca="1">IFERROR(__xludf.DUMMYFUNCTION("""COMPUTED_VALUE"""),"F")</f>
        <v>F</v>
      </c>
      <c r="F1742" s="80" t="str">
        <f ca="1">IFERROR(__xludf.DUMMYFUNCTION("""COMPUTED_VALUE"""),"J")</f>
        <v>J</v>
      </c>
      <c r="G1742" s="80">
        <f ca="1">IFERROR(__xludf.DUMMYFUNCTION("""COMPUTED_VALUE"""),5)</f>
        <v>5</v>
      </c>
      <c r="H1742" s="80" t="str">
        <f ca="1">IFERROR(__xludf.DUMMYFUNCTION("""COMPUTED_VALUE"""),"RH")</f>
        <v>RH</v>
      </c>
      <c r="I1742" s="80">
        <f ca="1">IFERROR(__xludf.DUMMYFUNCTION("""COMPUTED_VALUE"""),2)</f>
        <v>2</v>
      </c>
      <c r="J1742" s="85">
        <f ca="1">IFERROR(__xludf.DUMMYFUNCTION("""COMPUTED_VALUE"""),3)</f>
        <v>3</v>
      </c>
      <c r="K1742" s="85">
        <f ca="1">IFERROR(__xludf.DUMMYFUNCTION("""COMPUTED_VALUE"""),52.7)</f>
        <v>52.7</v>
      </c>
      <c r="L1742" s="85">
        <f ca="1">IFERROR(__xludf.DUMMYFUNCTION("""COMPUTED_VALUE"""),35.55)</f>
        <v>35.549999999999997</v>
      </c>
      <c r="M1742" s="85"/>
      <c r="N1742" s="85">
        <f ca="1">IFERROR(__xludf.DUMMYFUNCTION("""COMPUTED_VALUE"""),52.7)</f>
        <v>52.7</v>
      </c>
      <c r="O1742" s="85"/>
      <c r="P1742" s="85">
        <f ca="1">IFERROR(__xludf.DUMMYFUNCTION("""COMPUTED_VALUE"""),0)</f>
        <v>0</v>
      </c>
      <c r="Q1742" s="85"/>
      <c r="R1742" s="85">
        <f ca="1">IFERROR(__xludf.DUMMYFUNCTION("""COMPUTED_VALUE"""),0)</f>
        <v>0</v>
      </c>
      <c r="S1742" s="85"/>
      <c r="T1742" s="85"/>
      <c r="U1742" s="82"/>
      <c r="V1742" s="82"/>
      <c r="W1742" s="83"/>
      <c r="X1742" s="83"/>
      <c r="Y1742" s="83"/>
    </row>
    <row r="1743" spans="1:25" ht="13.8">
      <c r="A1743" s="78" t="str">
        <f ca="1">IFERROR(__xludf.DUMMYFUNCTION("""COMPUTED_VALUE"""),"RH")</f>
        <v>RH</v>
      </c>
      <c r="B1743" s="79" t="str">
        <f ca="1">IFERROR(__xludf.DUMMYFUNCTION("""COMPUTED_VALUE"""),"Alysa Gaona")</f>
        <v>Alysa Gaona</v>
      </c>
      <c r="C1743" s="78">
        <f ca="1">IFERROR(__xludf.DUMMYFUNCTION("""COMPUTED_VALUE"""),10)</f>
        <v>10</v>
      </c>
      <c r="D1743" s="78" t="str">
        <f ca="1">IFERROR(__xludf.DUMMYFUNCTION("""COMPUTED_VALUE"""),"G")</f>
        <v>G</v>
      </c>
      <c r="E1743" s="80" t="str">
        <f ca="1">IFERROR(__xludf.DUMMYFUNCTION("""COMPUTED_VALUE"""),"F")</f>
        <v>F</v>
      </c>
      <c r="F1743" s="80" t="str">
        <f ca="1">IFERROR(__xludf.DUMMYFUNCTION("""COMPUTED_VALUE"""),"J")</f>
        <v>J</v>
      </c>
      <c r="G1743" s="80">
        <f ca="1">IFERROR(__xludf.DUMMYFUNCTION("""COMPUTED_VALUE"""),5)</f>
        <v>5</v>
      </c>
      <c r="H1743" s="80" t="str">
        <f ca="1">IFERROR(__xludf.DUMMYFUNCTION("""COMPUTED_VALUE"""),"RH")</f>
        <v>RH</v>
      </c>
      <c r="I1743" s="80">
        <f ca="1">IFERROR(__xludf.DUMMYFUNCTION("""COMPUTED_VALUE"""),2)</f>
        <v>2</v>
      </c>
      <c r="J1743" s="85">
        <f ca="1">IFERROR(__xludf.DUMMYFUNCTION("""COMPUTED_VALUE"""),1)</f>
        <v>1</v>
      </c>
      <c r="K1743" s="85">
        <f ca="1">IFERROR(__xludf.DUMMYFUNCTION("""COMPUTED_VALUE"""),32.1)</f>
        <v>32.1</v>
      </c>
      <c r="L1743" s="85">
        <f ca="1">IFERROR(__xludf.DUMMYFUNCTION("""COMPUTED_VALUE"""),0)</f>
        <v>0</v>
      </c>
      <c r="M1743" s="85"/>
      <c r="N1743" s="85">
        <f ca="1">IFERROR(__xludf.DUMMYFUNCTION("""COMPUTED_VALUE"""),0)</f>
        <v>0</v>
      </c>
      <c r="O1743" s="85"/>
      <c r="P1743" s="85">
        <f ca="1">IFERROR(__xludf.DUMMYFUNCTION("""COMPUTED_VALUE"""),32.1)</f>
        <v>32.1</v>
      </c>
      <c r="Q1743" s="85"/>
      <c r="R1743" s="85">
        <f ca="1">IFERROR(__xludf.DUMMYFUNCTION("""COMPUTED_VALUE"""),0)</f>
        <v>0</v>
      </c>
      <c r="S1743" s="85"/>
      <c r="T1743" s="85"/>
      <c r="U1743" s="82"/>
      <c r="V1743" s="82"/>
      <c r="W1743" s="83"/>
      <c r="X1743" s="83"/>
      <c r="Y1743" s="83"/>
    </row>
    <row r="1744" spans="1:25" ht="13.8">
      <c r="A1744" s="78" t="str">
        <f ca="1">IFERROR(__xludf.DUMMYFUNCTION("""COMPUTED_VALUE"""),"RH")</f>
        <v>RH</v>
      </c>
      <c r="B1744" s="79" t="str">
        <f ca="1">IFERROR(__xludf.DUMMYFUNCTION("""COMPUTED_VALUE"""),"Amber Harrison")</f>
        <v>Amber Harrison</v>
      </c>
      <c r="C1744" s="78">
        <f ca="1">IFERROR(__xludf.DUMMYFUNCTION("""COMPUTED_VALUE"""),10)</f>
        <v>10</v>
      </c>
      <c r="D1744" s="78" t="str">
        <f ca="1">IFERROR(__xludf.DUMMYFUNCTION("""COMPUTED_VALUE"""),"G")</f>
        <v>G</v>
      </c>
      <c r="E1744" s="80" t="str">
        <f ca="1">IFERROR(__xludf.DUMMYFUNCTION("""COMPUTED_VALUE"""),"F")</f>
        <v>F</v>
      </c>
      <c r="F1744" s="80" t="str">
        <f ca="1">IFERROR(__xludf.DUMMYFUNCTION("""COMPUTED_VALUE"""),"J")</f>
        <v>J</v>
      </c>
      <c r="G1744" s="80">
        <f ca="1">IFERROR(__xludf.DUMMYFUNCTION("""COMPUTED_VALUE"""),5)</f>
        <v>5</v>
      </c>
      <c r="H1744" s="80" t="str">
        <f ca="1">IFERROR(__xludf.DUMMYFUNCTION("""COMPUTED_VALUE"""),"RH")</f>
        <v>RH</v>
      </c>
      <c r="I1744" s="80">
        <f ca="1">IFERROR(__xludf.DUMMYFUNCTION("""COMPUTED_VALUE"""),2)</f>
        <v>2</v>
      </c>
      <c r="J1744" s="85">
        <f ca="1">IFERROR(__xludf.DUMMYFUNCTION("""COMPUTED_VALUE"""),3)</f>
        <v>3</v>
      </c>
      <c r="K1744" s="85">
        <f ca="1">IFERROR(__xludf.DUMMYFUNCTION("""COMPUTED_VALUE"""),47.55)</f>
        <v>47.55</v>
      </c>
      <c r="L1744" s="85">
        <f ca="1">IFERROR(__xludf.DUMMYFUNCTION("""COMPUTED_VALUE"""),40.5)</f>
        <v>40.5</v>
      </c>
      <c r="M1744" s="85"/>
      <c r="N1744" s="85">
        <f ca="1">IFERROR(__xludf.DUMMYFUNCTION("""COMPUTED_VALUE"""),0)</f>
        <v>0</v>
      </c>
      <c r="O1744" s="85"/>
      <c r="P1744" s="85">
        <f ca="1">IFERROR(__xludf.DUMMYFUNCTION("""COMPUTED_VALUE"""),47.55)</f>
        <v>47.55</v>
      </c>
      <c r="Q1744" s="85"/>
      <c r="R1744" s="85">
        <f ca="1">IFERROR(__xludf.DUMMYFUNCTION("""COMPUTED_VALUE"""),0)</f>
        <v>0</v>
      </c>
      <c r="S1744" s="85"/>
      <c r="T1744" s="85"/>
      <c r="U1744" s="82"/>
      <c r="V1744" s="82"/>
      <c r="W1744" s="83"/>
      <c r="X1744" s="83"/>
      <c r="Y1744" s="83"/>
    </row>
    <row r="1745" spans="1:25" ht="13.8">
      <c r="A1745" s="78" t="str">
        <f ca="1">IFERROR(__xludf.DUMMYFUNCTION("""COMPUTED_VALUE"""),"RH")</f>
        <v>RH</v>
      </c>
      <c r="B1745" s="79" t="str">
        <f ca="1">IFERROR(__xludf.DUMMYFUNCTION("""COMPUTED_VALUE"""),"Evie Kerelchuk")</f>
        <v>Evie Kerelchuk</v>
      </c>
      <c r="C1745" s="78">
        <f ca="1">IFERROR(__xludf.DUMMYFUNCTION("""COMPUTED_VALUE"""),8)</f>
        <v>8</v>
      </c>
      <c r="D1745" s="78" t="str">
        <f ca="1">IFERROR(__xludf.DUMMYFUNCTION("""COMPUTED_VALUE"""),"G")</f>
        <v>G</v>
      </c>
      <c r="E1745" s="80" t="str">
        <f ca="1">IFERROR(__xludf.DUMMYFUNCTION("""COMPUTED_VALUE"""),"F")</f>
        <v>F</v>
      </c>
      <c r="F1745" s="80" t="str">
        <f ca="1">IFERROR(__xludf.DUMMYFUNCTION("""COMPUTED_VALUE"""),"J")</f>
        <v>J</v>
      </c>
      <c r="G1745" s="80">
        <f ca="1">IFERROR(__xludf.DUMMYFUNCTION("""COMPUTED_VALUE"""),5)</f>
        <v>5</v>
      </c>
      <c r="H1745" s="80" t="str">
        <f ca="1">IFERROR(__xludf.DUMMYFUNCTION("""COMPUTED_VALUE"""),"RH")</f>
        <v>RH</v>
      </c>
      <c r="I1745" s="80">
        <f ca="1">IFERROR(__xludf.DUMMYFUNCTION("""COMPUTED_VALUE"""),2)</f>
        <v>2</v>
      </c>
      <c r="J1745" s="85">
        <f ca="1">IFERROR(__xludf.DUMMYFUNCTION("""COMPUTED_VALUE"""),1)</f>
        <v>1</v>
      </c>
      <c r="K1745" s="85">
        <f ca="1">IFERROR(__xludf.DUMMYFUNCTION("""COMPUTED_VALUE"""),33.5)</f>
        <v>33.5</v>
      </c>
      <c r="L1745" s="85">
        <f ca="1">IFERROR(__xludf.DUMMYFUNCTION("""COMPUTED_VALUE"""),0)</f>
        <v>0</v>
      </c>
      <c r="M1745" s="85"/>
      <c r="N1745" s="85">
        <f ca="1">IFERROR(__xludf.DUMMYFUNCTION("""COMPUTED_VALUE"""),0)</f>
        <v>0</v>
      </c>
      <c r="O1745" s="85"/>
      <c r="P1745" s="85">
        <f ca="1">IFERROR(__xludf.DUMMYFUNCTION("""COMPUTED_VALUE"""),33.5)</f>
        <v>33.5</v>
      </c>
      <c r="Q1745" s="85"/>
      <c r="R1745" s="85">
        <f ca="1">IFERROR(__xludf.DUMMYFUNCTION("""COMPUTED_VALUE"""),0)</f>
        <v>0</v>
      </c>
      <c r="S1745" s="85"/>
      <c r="T1745" s="85"/>
      <c r="U1745" s="82"/>
      <c r="V1745" s="82"/>
      <c r="W1745" s="83"/>
      <c r="X1745" s="83"/>
      <c r="Y1745" s="83"/>
    </row>
    <row r="1746" spans="1:25" ht="13.8">
      <c r="A1746" s="78" t="str">
        <f ca="1">IFERROR(__xludf.DUMMYFUNCTION("""COMPUTED_VALUE"""),"RH")</f>
        <v>RH</v>
      </c>
      <c r="B1746" s="79" t="str">
        <f ca="1">IFERROR(__xludf.DUMMYFUNCTION("""COMPUTED_VALUE"""),"Isabel Kerelchuk")</f>
        <v>Isabel Kerelchuk</v>
      </c>
      <c r="C1746" s="78">
        <f ca="1">IFERROR(__xludf.DUMMYFUNCTION("""COMPUTED_VALUE"""),8)</f>
        <v>8</v>
      </c>
      <c r="D1746" s="78" t="str">
        <f ca="1">IFERROR(__xludf.DUMMYFUNCTION("""COMPUTED_VALUE"""),"G")</f>
        <v>G</v>
      </c>
      <c r="E1746" s="80" t="str">
        <f ca="1">IFERROR(__xludf.DUMMYFUNCTION("""COMPUTED_VALUE"""),"F")</f>
        <v>F</v>
      </c>
      <c r="F1746" s="80" t="str">
        <f ca="1">IFERROR(__xludf.DUMMYFUNCTION("""COMPUTED_VALUE"""),"J")</f>
        <v>J</v>
      </c>
      <c r="G1746" s="80">
        <f ca="1">IFERROR(__xludf.DUMMYFUNCTION("""COMPUTED_VALUE"""),5)</f>
        <v>5</v>
      </c>
      <c r="H1746" s="80" t="str">
        <f ca="1">IFERROR(__xludf.DUMMYFUNCTION("""COMPUTED_VALUE"""),"RH")</f>
        <v>RH</v>
      </c>
      <c r="I1746" s="80">
        <f ca="1">IFERROR(__xludf.DUMMYFUNCTION("""COMPUTED_VALUE"""),2)</f>
        <v>2</v>
      </c>
      <c r="J1746" s="85">
        <f ca="1">IFERROR(__xludf.DUMMYFUNCTION("""COMPUTED_VALUE"""),1)</f>
        <v>1</v>
      </c>
      <c r="K1746" s="85">
        <f ca="1">IFERROR(__xludf.DUMMYFUNCTION("""COMPUTED_VALUE"""),28.2)</f>
        <v>28.2</v>
      </c>
      <c r="L1746" s="85">
        <f ca="1">IFERROR(__xludf.DUMMYFUNCTION("""COMPUTED_VALUE"""),0)</f>
        <v>0</v>
      </c>
      <c r="M1746" s="85"/>
      <c r="N1746" s="85">
        <f ca="1">IFERROR(__xludf.DUMMYFUNCTION("""COMPUTED_VALUE"""),0)</f>
        <v>0</v>
      </c>
      <c r="O1746" s="85"/>
      <c r="P1746" s="85">
        <f ca="1">IFERROR(__xludf.DUMMYFUNCTION("""COMPUTED_VALUE"""),28.2)</f>
        <v>28.2</v>
      </c>
      <c r="Q1746" s="85"/>
      <c r="R1746" s="85">
        <f ca="1">IFERROR(__xludf.DUMMYFUNCTION("""COMPUTED_VALUE"""),0)</f>
        <v>0</v>
      </c>
      <c r="S1746" s="85"/>
      <c r="T1746" s="85"/>
      <c r="U1746" s="82"/>
      <c r="V1746" s="82"/>
      <c r="W1746" s="83"/>
      <c r="X1746" s="83"/>
      <c r="Y1746" s="83"/>
    </row>
    <row r="1747" spans="1:25" ht="13.8">
      <c r="A1747" s="78" t="str">
        <f ca="1">IFERROR(__xludf.DUMMYFUNCTION("""COMPUTED_VALUE"""),"RH")</f>
        <v>RH</v>
      </c>
      <c r="B1747" s="79" t="str">
        <f ca="1">IFERROR(__xludf.DUMMYFUNCTION("""COMPUTED_VALUE"""),"Xanthy Kuehne")</f>
        <v>Xanthy Kuehne</v>
      </c>
      <c r="C1747" s="78">
        <f ca="1">IFERROR(__xludf.DUMMYFUNCTION("""COMPUTED_VALUE"""),8)</f>
        <v>8</v>
      </c>
      <c r="D1747" s="78" t="str">
        <f ca="1">IFERROR(__xludf.DUMMYFUNCTION("""COMPUTED_VALUE"""),"G")</f>
        <v>G</v>
      </c>
      <c r="E1747" s="80" t="str">
        <f ca="1">IFERROR(__xludf.DUMMYFUNCTION("""COMPUTED_VALUE"""),"F")</f>
        <v>F</v>
      </c>
      <c r="F1747" s="80" t="str">
        <f ca="1">IFERROR(__xludf.DUMMYFUNCTION("""COMPUTED_VALUE"""),"J")</f>
        <v>J</v>
      </c>
      <c r="G1747" s="80">
        <f ca="1">IFERROR(__xludf.DUMMYFUNCTION("""COMPUTED_VALUE"""),5)</f>
        <v>5</v>
      </c>
      <c r="H1747" s="80" t="str">
        <f ca="1">IFERROR(__xludf.DUMMYFUNCTION("""COMPUTED_VALUE"""),"RH")</f>
        <v>RH</v>
      </c>
      <c r="I1747" s="80">
        <f ca="1">IFERROR(__xludf.DUMMYFUNCTION("""COMPUTED_VALUE"""),2)</f>
        <v>2</v>
      </c>
      <c r="J1747" s="85">
        <f ca="1">IFERROR(__xludf.DUMMYFUNCTION("""COMPUTED_VALUE"""),5)</f>
        <v>5</v>
      </c>
      <c r="K1747" s="85">
        <f ca="1">IFERROR(__xludf.DUMMYFUNCTION("""COMPUTED_VALUE"""),51.2)</f>
        <v>51.2</v>
      </c>
      <c r="L1747" s="85">
        <f ca="1">IFERROR(__xludf.DUMMYFUNCTION("""COMPUTED_VALUE"""),39.15)</f>
        <v>39.15</v>
      </c>
      <c r="M1747" s="85"/>
      <c r="N1747" s="85">
        <f ca="1">IFERROR(__xludf.DUMMYFUNCTION("""COMPUTED_VALUE"""),51.2)</f>
        <v>51.2</v>
      </c>
      <c r="O1747" s="85"/>
      <c r="P1747" s="85">
        <f ca="1">IFERROR(__xludf.DUMMYFUNCTION("""COMPUTED_VALUE"""),40.9)</f>
        <v>40.9</v>
      </c>
      <c r="Q1747" s="85"/>
      <c r="R1747" s="85">
        <f ca="1">IFERROR(__xludf.DUMMYFUNCTION("""COMPUTED_VALUE"""),38.8)</f>
        <v>38.799999999999997</v>
      </c>
      <c r="S1747" s="85"/>
      <c r="T1747" s="85"/>
      <c r="U1747" s="82"/>
      <c r="V1747" s="82"/>
      <c r="W1747" s="83"/>
      <c r="X1747" s="83"/>
      <c r="Y1747" s="83"/>
    </row>
    <row r="1748" spans="1:25" ht="13.8">
      <c r="A1748" s="78" t="str">
        <f ca="1">IFERROR(__xludf.DUMMYFUNCTION("""COMPUTED_VALUE"""),"RH")</f>
        <v>RH</v>
      </c>
      <c r="B1748" s="79" t="str">
        <f ca="1">IFERROR(__xludf.DUMMYFUNCTION("""COMPUTED_VALUE"""),"Izzy Matthews")</f>
        <v>Izzy Matthews</v>
      </c>
      <c r="C1748" s="78">
        <f ca="1">IFERROR(__xludf.DUMMYFUNCTION("""COMPUTED_VALUE"""),8)</f>
        <v>8</v>
      </c>
      <c r="D1748" s="78" t="str">
        <f ca="1">IFERROR(__xludf.DUMMYFUNCTION("""COMPUTED_VALUE"""),"G")</f>
        <v>G</v>
      </c>
      <c r="E1748" s="80" t="str">
        <f ca="1">IFERROR(__xludf.DUMMYFUNCTION("""COMPUTED_VALUE"""),"F")</f>
        <v>F</v>
      </c>
      <c r="F1748" s="80" t="str">
        <f ca="1">IFERROR(__xludf.DUMMYFUNCTION("""COMPUTED_VALUE"""),"J")</f>
        <v>J</v>
      </c>
      <c r="G1748" s="80">
        <f ca="1">IFERROR(__xludf.DUMMYFUNCTION("""COMPUTED_VALUE"""),5)</f>
        <v>5</v>
      </c>
      <c r="H1748" s="80" t="str">
        <f ca="1">IFERROR(__xludf.DUMMYFUNCTION("""COMPUTED_VALUE"""),"RH")</f>
        <v>RH</v>
      </c>
      <c r="I1748" s="80">
        <f ca="1">IFERROR(__xludf.DUMMYFUNCTION("""COMPUTED_VALUE"""),2)</f>
        <v>2</v>
      </c>
      <c r="J1748" s="85">
        <f ca="1">IFERROR(__xludf.DUMMYFUNCTION("""COMPUTED_VALUE"""),4)</f>
        <v>4</v>
      </c>
      <c r="K1748" s="85">
        <f ca="1">IFERROR(__xludf.DUMMYFUNCTION("""COMPUTED_VALUE"""),33)</f>
        <v>33</v>
      </c>
      <c r="L1748" s="85">
        <f ca="1">IFERROR(__xludf.DUMMYFUNCTION("""COMPUTED_VALUE"""),0)</f>
        <v>0</v>
      </c>
      <c r="M1748" s="85"/>
      <c r="N1748" s="85">
        <f ca="1">IFERROR(__xludf.DUMMYFUNCTION("""COMPUTED_VALUE"""),33)</f>
        <v>33</v>
      </c>
      <c r="O1748" s="85"/>
      <c r="P1748" s="85">
        <f ca="1">IFERROR(__xludf.DUMMYFUNCTION("""COMPUTED_VALUE"""),31.85)</f>
        <v>31.85</v>
      </c>
      <c r="Q1748" s="85"/>
      <c r="R1748" s="85">
        <f ca="1">IFERROR(__xludf.DUMMYFUNCTION("""COMPUTED_VALUE"""),30)</f>
        <v>30</v>
      </c>
      <c r="S1748" s="85"/>
      <c r="T1748" s="85"/>
      <c r="U1748" s="82"/>
      <c r="V1748" s="82"/>
      <c r="W1748" s="83"/>
      <c r="X1748" s="83"/>
      <c r="Y1748" s="83"/>
    </row>
    <row r="1749" spans="1:25" ht="13.8">
      <c r="A1749" s="78" t="str">
        <f ca="1">IFERROR(__xludf.DUMMYFUNCTION("""COMPUTED_VALUE"""),"RH")</f>
        <v>RH</v>
      </c>
      <c r="B1749" s="79" t="str">
        <f ca="1">IFERROR(__xludf.DUMMYFUNCTION("""COMPUTED_VALUE"""),"Alex Morgan")</f>
        <v>Alex Morgan</v>
      </c>
      <c r="C1749" s="78">
        <f ca="1">IFERROR(__xludf.DUMMYFUNCTION("""COMPUTED_VALUE"""),8)</f>
        <v>8</v>
      </c>
      <c r="D1749" s="78" t="str">
        <f ca="1">IFERROR(__xludf.DUMMYFUNCTION("""COMPUTED_VALUE"""),"G")</f>
        <v>G</v>
      </c>
      <c r="E1749" s="80" t="str">
        <f ca="1">IFERROR(__xludf.DUMMYFUNCTION("""COMPUTED_VALUE"""),"F")</f>
        <v>F</v>
      </c>
      <c r="F1749" s="80" t="str">
        <f ca="1">IFERROR(__xludf.DUMMYFUNCTION("""COMPUTED_VALUE"""),"J")</f>
        <v>J</v>
      </c>
      <c r="G1749" s="80">
        <f ca="1">IFERROR(__xludf.DUMMYFUNCTION("""COMPUTED_VALUE"""),5)</f>
        <v>5</v>
      </c>
      <c r="H1749" s="80" t="str">
        <f ca="1">IFERROR(__xludf.DUMMYFUNCTION("""COMPUTED_VALUE"""),"RH")</f>
        <v>RH</v>
      </c>
      <c r="I1749" s="80">
        <f ca="1">IFERROR(__xludf.DUMMYFUNCTION("""COMPUTED_VALUE"""),2)</f>
        <v>2</v>
      </c>
      <c r="J1749" s="85">
        <f ca="1">IFERROR(__xludf.DUMMYFUNCTION("""COMPUTED_VALUE"""),5)</f>
        <v>5</v>
      </c>
      <c r="K1749" s="85">
        <f ca="1">IFERROR(__xludf.DUMMYFUNCTION("""COMPUTED_VALUE"""),50.2)</f>
        <v>50.2</v>
      </c>
      <c r="L1749" s="85">
        <f ca="1">IFERROR(__xludf.DUMMYFUNCTION("""COMPUTED_VALUE"""),44.65)</f>
        <v>44.65</v>
      </c>
      <c r="M1749" s="85"/>
      <c r="N1749" s="85">
        <f ca="1">IFERROR(__xludf.DUMMYFUNCTION("""COMPUTED_VALUE"""),50.2)</f>
        <v>50.2</v>
      </c>
      <c r="O1749" s="85"/>
      <c r="P1749" s="85">
        <f ca="1">IFERROR(__xludf.DUMMYFUNCTION("""COMPUTED_VALUE"""),42.85)</f>
        <v>42.85</v>
      </c>
      <c r="Q1749" s="85"/>
      <c r="R1749" s="85">
        <f ca="1">IFERROR(__xludf.DUMMYFUNCTION("""COMPUTED_VALUE"""),46.9)</f>
        <v>46.9</v>
      </c>
      <c r="S1749" s="85"/>
      <c r="T1749" s="85"/>
      <c r="U1749" s="82"/>
      <c r="V1749" s="82"/>
      <c r="W1749" s="83"/>
      <c r="X1749" s="83"/>
      <c r="Y1749" s="83"/>
    </row>
    <row r="1750" spans="1:25" ht="13.8">
      <c r="A1750" s="78" t="str">
        <f ca="1">IFERROR(__xludf.DUMMYFUNCTION("""COMPUTED_VALUE"""),"RH")</f>
        <v>RH</v>
      </c>
      <c r="B1750" s="79" t="str">
        <f ca="1">IFERROR(__xludf.DUMMYFUNCTION("""COMPUTED_VALUE"""),"Natasha Sauchuk")</f>
        <v>Natasha Sauchuk</v>
      </c>
      <c r="C1750" s="78">
        <f ca="1">IFERROR(__xludf.DUMMYFUNCTION("""COMPUTED_VALUE"""),8)</f>
        <v>8</v>
      </c>
      <c r="D1750" s="78" t="str">
        <f ca="1">IFERROR(__xludf.DUMMYFUNCTION("""COMPUTED_VALUE"""),"G")</f>
        <v>G</v>
      </c>
      <c r="E1750" s="80" t="str">
        <f ca="1">IFERROR(__xludf.DUMMYFUNCTION("""COMPUTED_VALUE"""),"F")</f>
        <v>F</v>
      </c>
      <c r="F1750" s="80" t="str">
        <f ca="1">IFERROR(__xludf.DUMMYFUNCTION("""COMPUTED_VALUE"""),"J")</f>
        <v>J</v>
      </c>
      <c r="G1750" s="80">
        <f ca="1">IFERROR(__xludf.DUMMYFUNCTION("""COMPUTED_VALUE"""),5)</f>
        <v>5</v>
      </c>
      <c r="H1750" s="80" t="str">
        <f ca="1">IFERROR(__xludf.DUMMYFUNCTION("""COMPUTED_VALUE"""),"RH")</f>
        <v>RH</v>
      </c>
      <c r="I1750" s="80">
        <f ca="1">IFERROR(__xludf.DUMMYFUNCTION("""COMPUTED_VALUE"""),2)</f>
        <v>2</v>
      </c>
      <c r="J1750" s="85">
        <f ca="1">IFERROR(__xludf.DUMMYFUNCTION("""COMPUTED_VALUE"""),2)</f>
        <v>2</v>
      </c>
      <c r="K1750" s="85">
        <f ca="1">IFERROR(__xludf.DUMMYFUNCTION("""COMPUTED_VALUE"""),24.5)</f>
        <v>24.5</v>
      </c>
      <c r="L1750" s="85">
        <f ca="1">IFERROR(__xludf.DUMMYFUNCTION("""COMPUTED_VALUE"""),0)</f>
        <v>0</v>
      </c>
      <c r="M1750" s="85"/>
      <c r="N1750" s="85">
        <f ca="1">IFERROR(__xludf.DUMMYFUNCTION("""COMPUTED_VALUE"""),0)</f>
        <v>0</v>
      </c>
      <c r="O1750" s="85"/>
      <c r="P1750" s="85">
        <f ca="1">IFERROR(__xludf.DUMMYFUNCTION("""COMPUTED_VALUE"""),23.8)</f>
        <v>23.8</v>
      </c>
      <c r="Q1750" s="85"/>
      <c r="R1750" s="85">
        <f ca="1">IFERROR(__xludf.DUMMYFUNCTION("""COMPUTED_VALUE"""),24.5)</f>
        <v>24.5</v>
      </c>
      <c r="S1750" s="85"/>
      <c r="T1750" s="85"/>
      <c r="U1750" s="82"/>
      <c r="V1750" s="82"/>
      <c r="W1750" s="83"/>
      <c r="X1750" s="83"/>
      <c r="Y1750" s="83"/>
    </row>
    <row r="1751" spans="1:25" ht="13.8">
      <c r="A1751" s="78" t="str">
        <f ca="1">IFERROR(__xludf.DUMMYFUNCTION("""COMPUTED_VALUE"""),"RH")</f>
        <v>RH</v>
      </c>
      <c r="B1751" s="79" t="str">
        <f ca="1">IFERROR(__xludf.DUMMYFUNCTION("""COMPUTED_VALUE"""),"Avery Schmitz")</f>
        <v>Avery Schmitz</v>
      </c>
      <c r="C1751" s="78">
        <f ca="1">IFERROR(__xludf.DUMMYFUNCTION("""COMPUTED_VALUE"""),8)</f>
        <v>8</v>
      </c>
      <c r="D1751" s="78" t="str">
        <f ca="1">IFERROR(__xludf.DUMMYFUNCTION("""COMPUTED_VALUE"""),"G")</f>
        <v>G</v>
      </c>
      <c r="E1751" s="80" t="str">
        <f ca="1">IFERROR(__xludf.DUMMYFUNCTION("""COMPUTED_VALUE"""),"F")</f>
        <v>F</v>
      </c>
      <c r="F1751" s="80" t="str">
        <f ca="1">IFERROR(__xludf.DUMMYFUNCTION("""COMPUTED_VALUE"""),"J")</f>
        <v>J</v>
      </c>
      <c r="G1751" s="80">
        <f ca="1">IFERROR(__xludf.DUMMYFUNCTION("""COMPUTED_VALUE"""),5)</f>
        <v>5</v>
      </c>
      <c r="H1751" s="80" t="str">
        <f ca="1">IFERROR(__xludf.DUMMYFUNCTION("""COMPUTED_VALUE"""),"RH")</f>
        <v>RH</v>
      </c>
      <c r="I1751" s="80">
        <f ca="1">IFERROR(__xludf.DUMMYFUNCTION("""COMPUTED_VALUE"""),2)</f>
        <v>2</v>
      </c>
      <c r="J1751" s="85">
        <f ca="1">IFERROR(__xludf.DUMMYFUNCTION("""COMPUTED_VALUE"""),1)</f>
        <v>1</v>
      </c>
      <c r="K1751" s="85">
        <f ca="1">IFERROR(__xludf.DUMMYFUNCTION("""COMPUTED_VALUE"""),28.6)</f>
        <v>28.6</v>
      </c>
      <c r="L1751" s="85">
        <f ca="1">IFERROR(__xludf.DUMMYFUNCTION("""COMPUTED_VALUE"""),0)</f>
        <v>0</v>
      </c>
      <c r="M1751" s="85"/>
      <c r="N1751" s="85">
        <f ca="1">IFERROR(__xludf.DUMMYFUNCTION("""COMPUTED_VALUE"""),0)</f>
        <v>0</v>
      </c>
      <c r="O1751" s="85"/>
      <c r="P1751" s="85">
        <f ca="1">IFERROR(__xludf.DUMMYFUNCTION("""COMPUTED_VALUE"""),0)</f>
        <v>0</v>
      </c>
      <c r="Q1751" s="85"/>
      <c r="R1751" s="85">
        <f ca="1">IFERROR(__xludf.DUMMYFUNCTION("""COMPUTED_VALUE"""),28.6)</f>
        <v>28.6</v>
      </c>
      <c r="S1751" s="85"/>
      <c r="T1751" s="85"/>
      <c r="U1751" s="82"/>
      <c r="V1751" s="82"/>
      <c r="W1751" s="83"/>
      <c r="X1751" s="83"/>
      <c r="Y1751" s="83"/>
    </row>
    <row r="1752" spans="1:25" ht="13.8">
      <c r="A1752" s="78" t="str">
        <f ca="1">IFERROR(__xludf.DUMMYFUNCTION("""COMPUTED_VALUE"""),"RH")</f>
        <v>RH</v>
      </c>
      <c r="B1752" s="79" t="str">
        <f ca="1">IFERROR(__xludf.DUMMYFUNCTION("""COMPUTED_VALUE"""),"Zoe Shmargal-Ellison")</f>
        <v>Zoe Shmargal-Ellison</v>
      </c>
      <c r="C1752" s="78">
        <f ca="1">IFERROR(__xludf.DUMMYFUNCTION("""COMPUTED_VALUE"""),9)</f>
        <v>9</v>
      </c>
      <c r="D1752" s="78" t="str">
        <f ca="1">IFERROR(__xludf.DUMMYFUNCTION("""COMPUTED_VALUE"""),"G")</f>
        <v>G</v>
      </c>
      <c r="E1752" s="80" t="str">
        <f ca="1">IFERROR(__xludf.DUMMYFUNCTION("""COMPUTED_VALUE"""),"F")</f>
        <v>F</v>
      </c>
      <c r="F1752" s="80" t="str">
        <f ca="1">IFERROR(__xludf.DUMMYFUNCTION("""COMPUTED_VALUE"""),"J")</f>
        <v>J</v>
      </c>
      <c r="G1752" s="80">
        <f ca="1">IFERROR(__xludf.DUMMYFUNCTION("""COMPUTED_VALUE"""),5)</f>
        <v>5</v>
      </c>
      <c r="H1752" s="80" t="str">
        <f ca="1">IFERROR(__xludf.DUMMYFUNCTION("""COMPUTED_VALUE"""),"RH")</f>
        <v>RH</v>
      </c>
      <c r="I1752" s="80">
        <f ca="1">IFERROR(__xludf.DUMMYFUNCTION("""COMPUTED_VALUE"""),2)</f>
        <v>2</v>
      </c>
      <c r="J1752" s="85">
        <f ca="1">IFERROR(__xludf.DUMMYFUNCTION("""COMPUTED_VALUE"""),0)</f>
        <v>0</v>
      </c>
      <c r="K1752" s="85">
        <f ca="1">IFERROR(__xludf.DUMMYFUNCTION("""COMPUTED_VALUE"""),0)</f>
        <v>0</v>
      </c>
      <c r="L1752" s="85">
        <f ca="1">IFERROR(__xludf.DUMMYFUNCTION("""COMPUTED_VALUE"""),0)</f>
        <v>0</v>
      </c>
      <c r="M1752" s="85"/>
      <c r="N1752" s="85">
        <f ca="1">IFERROR(__xludf.DUMMYFUNCTION("""COMPUTED_VALUE"""),0)</f>
        <v>0</v>
      </c>
      <c r="O1752" s="85"/>
      <c r="P1752" s="85">
        <f ca="1">IFERROR(__xludf.DUMMYFUNCTION("""COMPUTED_VALUE"""),0)</f>
        <v>0</v>
      </c>
      <c r="Q1752" s="85"/>
      <c r="R1752" s="85">
        <f ca="1">IFERROR(__xludf.DUMMYFUNCTION("""COMPUTED_VALUE"""),0)</f>
        <v>0</v>
      </c>
      <c r="S1752" s="85"/>
      <c r="T1752" s="85"/>
      <c r="U1752" s="82"/>
      <c r="V1752" s="82"/>
      <c r="W1752" s="83"/>
      <c r="X1752" s="83"/>
      <c r="Y1752" s="83"/>
    </row>
    <row r="1753" spans="1:25" ht="13.8">
      <c r="A1753" s="78" t="str">
        <f ca="1">IFERROR(__xludf.DUMMYFUNCTION("""COMPUTED_VALUE"""),"RH")</f>
        <v>RH</v>
      </c>
      <c r="B1753" s="79" t="str">
        <f ca="1">IFERROR(__xludf.DUMMYFUNCTION("""COMPUTED_VALUE"""),"Elena Timmermann")</f>
        <v>Elena Timmermann</v>
      </c>
      <c r="C1753" s="78">
        <f ca="1">IFERROR(__xludf.DUMMYFUNCTION("""COMPUTED_VALUE"""),10)</f>
        <v>10</v>
      </c>
      <c r="D1753" s="78" t="str">
        <f ca="1">IFERROR(__xludf.DUMMYFUNCTION("""COMPUTED_VALUE"""),"G")</f>
        <v>G</v>
      </c>
      <c r="E1753" s="80" t="str">
        <f ca="1">IFERROR(__xludf.DUMMYFUNCTION("""COMPUTED_VALUE"""),"F")</f>
        <v>F</v>
      </c>
      <c r="F1753" s="80" t="str">
        <f ca="1">IFERROR(__xludf.DUMMYFUNCTION("""COMPUTED_VALUE"""),"J")</f>
        <v>J</v>
      </c>
      <c r="G1753" s="80">
        <f ca="1">IFERROR(__xludf.DUMMYFUNCTION("""COMPUTED_VALUE"""),5)</f>
        <v>5</v>
      </c>
      <c r="H1753" s="80" t="str">
        <f ca="1">IFERROR(__xludf.DUMMYFUNCTION("""COMPUTED_VALUE"""),"RH")</f>
        <v>RH</v>
      </c>
      <c r="I1753" s="80">
        <f ca="1">IFERROR(__xludf.DUMMYFUNCTION("""COMPUTED_VALUE"""),2)</f>
        <v>2</v>
      </c>
      <c r="J1753" s="85">
        <f ca="1">IFERROR(__xludf.DUMMYFUNCTION("""COMPUTED_VALUE"""),0)</f>
        <v>0</v>
      </c>
      <c r="K1753" s="85">
        <f ca="1">IFERROR(__xludf.DUMMYFUNCTION("""COMPUTED_VALUE"""),0)</f>
        <v>0</v>
      </c>
      <c r="L1753" s="85">
        <f ca="1">IFERROR(__xludf.DUMMYFUNCTION("""COMPUTED_VALUE"""),0)</f>
        <v>0</v>
      </c>
      <c r="M1753" s="85"/>
      <c r="N1753" s="85">
        <f ca="1">IFERROR(__xludf.DUMMYFUNCTION("""COMPUTED_VALUE"""),0)</f>
        <v>0</v>
      </c>
      <c r="O1753" s="85"/>
      <c r="P1753" s="85">
        <f ca="1">IFERROR(__xludf.DUMMYFUNCTION("""COMPUTED_VALUE"""),0)</f>
        <v>0</v>
      </c>
      <c r="Q1753" s="85"/>
      <c r="R1753" s="85">
        <f ca="1">IFERROR(__xludf.DUMMYFUNCTION("""COMPUTED_VALUE"""),0)</f>
        <v>0</v>
      </c>
      <c r="S1753" s="85"/>
      <c r="T1753" s="85"/>
      <c r="U1753" s="82"/>
      <c r="V1753" s="82"/>
      <c r="W1753" s="83"/>
      <c r="X1753" s="83"/>
      <c r="Y1753" s="83"/>
    </row>
    <row r="1754" spans="1:25" ht="13.8">
      <c r="A1754" s="78" t="str">
        <f ca="1">IFERROR(__xludf.DUMMYFUNCTION("""COMPUTED_VALUE"""),"RH")</f>
        <v>RH</v>
      </c>
      <c r="B1754" s="79" t="str">
        <f ca="1">IFERROR(__xludf.DUMMYFUNCTION("""COMPUTED_VALUE"""),"Olivia Timmermann")</f>
        <v>Olivia Timmermann</v>
      </c>
      <c r="C1754" s="78">
        <f ca="1">IFERROR(__xludf.DUMMYFUNCTION("""COMPUTED_VALUE"""),7)</f>
        <v>7</v>
      </c>
      <c r="D1754" s="78" t="str">
        <f ca="1">IFERROR(__xludf.DUMMYFUNCTION("""COMPUTED_VALUE"""),"G")</f>
        <v>G</v>
      </c>
      <c r="E1754" s="80" t="str">
        <f ca="1">IFERROR(__xludf.DUMMYFUNCTION("""COMPUTED_VALUE"""),"F")</f>
        <v>F</v>
      </c>
      <c r="F1754" s="80" t="str">
        <f ca="1">IFERROR(__xludf.DUMMYFUNCTION("""COMPUTED_VALUE"""),"J")</f>
        <v>J</v>
      </c>
      <c r="G1754" s="80">
        <f ca="1">IFERROR(__xludf.DUMMYFUNCTION("""COMPUTED_VALUE"""),5)</f>
        <v>5</v>
      </c>
      <c r="H1754" s="80" t="str">
        <f ca="1">IFERROR(__xludf.DUMMYFUNCTION("""COMPUTED_VALUE"""),"RH")</f>
        <v>RH</v>
      </c>
      <c r="I1754" s="80">
        <f ca="1">IFERROR(__xludf.DUMMYFUNCTION("""COMPUTED_VALUE"""),2)</f>
        <v>2</v>
      </c>
      <c r="J1754" s="85">
        <f ca="1">IFERROR(__xludf.DUMMYFUNCTION("""COMPUTED_VALUE"""),2)</f>
        <v>2</v>
      </c>
      <c r="K1754" s="85">
        <f ca="1">IFERROR(__xludf.DUMMYFUNCTION("""COMPUTED_VALUE"""),34.05)</f>
        <v>34.049999999999997</v>
      </c>
      <c r="L1754" s="85">
        <f ca="1">IFERROR(__xludf.DUMMYFUNCTION("""COMPUTED_VALUE"""),0)</f>
        <v>0</v>
      </c>
      <c r="M1754" s="85"/>
      <c r="N1754" s="85">
        <f ca="1">IFERROR(__xludf.DUMMYFUNCTION("""COMPUTED_VALUE"""),0)</f>
        <v>0</v>
      </c>
      <c r="O1754" s="85"/>
      <c r="P1754" s="85">
        <f ca="1">IFERROR(__xludf.DUMMYFUNCTION("""COMPUTED_VALUE"""),34.05)</f>
        <v>34.049999999999997</v>
      </c>
      <c r="Q1754" s="85"/>
      <c r="R1754" s="85">
        <f ca="1">IFERROR(__xludf.DUMMYFUNCTION("""COMPUTED_VALUE"""),0)</f>
        <v>0</v>
      </c>
      <c r="S1754" s="85"/>
      <c r="T1754" s="85"/>
      <c r="U1754" s="82"/>
      <c r="V1754" s="82"/>
      <c r="W1754" s="83"/>
      <c r="X1754" s="83"/>
      <c r="Y1754" s="83"/>
    </row>
    <row r="1755" spans="1:25" ht="13.8">
      <c r="A1755" s="78" t="str">
        <f ca="1">IFERROR(__xludf.DUMMYFUNCTION("""COMPUTED_VALUE"""),"RH")</f>
        <v>RH</v>
      </c>
      <c r="B1755" s="79" t="str">
        <f ca="1">IFERROR(__xludf.DUMMYFUNCTION("""COMPUTED_VALUE"""),"Hannah Walker")</f>
        <v>Hannah Walker</v>
      </c>
      <c r="C1755" s="78">
        <f ca="1">IFERROR(__xludf.DUMMYFUNCTION("""COMPUTED_VALUE"""),9)</f>
        <v>9</v>
      </c>
      <c r="D1755" s="78" t="str">
        <f ca="1">IFERROR(__xludf.DUMMYFUNCTION("""COMPUTED_VALUE"""),"G")</f>
        <v>G</v>
      </c>
      <c r="E1755" s="80" t="str">
        <f ca="1">IFERROR(__xludf.DUMMYFUNCTION("""COMPUTED_VALUE"""),"F")</f>
        <v>F</v>
      </c>
      <c r="F1755" s="80" t="str">
        <f ca="1">IFERROR(__xludf.DUMMYFUNCTION("""COMPUTED_VALUE"""),"J")</f>
        <v>J</v>
      </c>
      <c r="G1755" s="80">
        <f ca="1">IFERROR(__xludf.DUMMYFUNCTION("""COMPUTED_VALUE"""),5)</f>
        <v>5</v>
      </c>
      <c r="H1755" s="80" t="str">
        <f ca="1">IFERROR(__xludf.DUMMYFUNCTION("""COMPUTED_VALUE"""),"RH")</f>
        <v>RH</v>
      </c>
      <c r="I1755" s="80">
        <f ca="1">IFERROR(__xludf.DUMMYFUNCTION("""COMPUTED_VALUE"""),2)</f>
        <v>2</v>
      </c>
      <c r="J1755" s="85">
        <f ca="1">IFERROR(__xludf.DUMMYFUNCTION("""COMPUTED_VALUE"""),0)</f>
        <v>0</v>
      </c>
      <c r="K1755" s="85">
        <f ca="1">IFERROR(__xludf.DUMMYFUNCTION("""COMPUTED_VALUE"""),0)</f>
        <v>0</v>
      </c>
      <c r="L1755" s="85">
        <f ca="1">IFERROR(__xludf.DUMMYFUNCTION("""COMPUTED_VALUE"""),0)</f>
        <v>0</v>
      </c>
      <c r="M1755" s="85"/>
      <c r="N1755" s="85">
        <f ca="1">IFERROR(__xludf.DUMMYFUNCTION("""COMPUTED_VALUE"""),0)</f>
        <v>0</v>
      </c>
      <c r="O1755" s="85"/>
      <c r="P1755" s="85">
        <f ca="1">IFERROR(__xludf.DUMMYFUNCTION("""COMPUTED_VALUE"""),0)</f>
        <v>0</v>
      </c>
      <c r="Q1755" s="85"/>
      <c r="R1755" s="85">
        <f ca="1">IFERROR(__xludf.DUMMYFUNCTION("""COMPUTED_VALUE"""),0)</f>
        <v>0</v>
      </c>
      <c r="S1755" s="85"/>
      <c r="T1755" s="85"/>
      <c r="U1755" s="82"/>
      <c r="V1755" s="82"/>
      <c r="W1755" s="83"/>
      <c r="X1755" s="83"/>
      <c r="Y1755" s="83"/>
    </row>
    <row r="1756" spans="1:25" ht="13.8">
      <c r="A1756" s="78" t="str">
        <f ca="1">IFERROR(__xludf.DUMMYFUNCTION("""COMPUTED_VALUE"""),"RH")</f>
        <v>RH</v>
      </c>
      <c r="B1756" s="79" t="str">
        <f ca="1">IFERROR(__xludf.DUMMYFUNCTION("""COMPUTED_VALUE"""),"Quinn Zahler")</f>
        <v>Quinn Zahler</v>
      </c>
      <c r="C1756" s="78">
        <f ca="1">IFERROR(__xludf.DUMMYFUNCTION("""COMPUTED_VALUE"""),8)</f>
        <v>8</v>
      </c>
      <c r="D1756" s="78" t="str">
        <f ca="1">IFERROR(__xludf.DUMMYFUNCTION("""COMPUTED_VALUE"""),"G")</f>
        <v>G</v>
      </c>
      <c r="E1756" s="80" t="str">
        <f ca="1">IFERROR(__xludf.DUMMYFUNCTION("""COMPUTED_VALUE"""),"F")</f>
        <v>F</v>
      </c>
      <c r="F1756" s="80" t="str">
        <f ca="1">IFERROR(__xludf.DUMMYFUNCTION("""COMPUTED_VALUE"""),"J")</f>
        <v>J</v>
      </c>
      <c r="G1756" s="80">
        <f ca="1">IFERROR(__xludf.DUMMYFUNCTION("""COMPUTED_VALUE"""),5)</f>
        <v>5</v>
      </c>
      <c r="H1756" s="80" t="str">
        <f ca="1">IFERROR(__xludf.DUMMYFUNCTION("""COMPUTED_VALUE"""),"RH")</f>
        <v>RH</v>
      </c>
      <c r="I1756" s="80">
        <f ca="1">IFERROR(__xludf.DUMMYFUNCTION("""COMPUTED_VALUE"""),2)</f>
        <v>2</v>
      </c>
      <c r="J1756" s="85">
        <f ca="1">IFERROR(__xludf.DUMMYFUNCTION("""COMPUTED_VALUE"""),0)</f>
        <v>0</v>
      </c>
      <c r="K1756" s="85">
        <f ca="1">IFERROR(__xludf.DUMMYFUNCTION("""COMPUTED_VALUE"""),0)</f>
        <v>0</v>
      </c>
      <c r="L1756" s="85">
        <f ca="1">IFERROR(__xludf.DUMMYFUNCTION("""COMPUTED_VALUE"""),0)</f>
        <v>0</v>
      </c>
      <c r="M1756" s="85"/>
      <c r="N1756" s="85">
        <f ca="1">IFERROR(__xludf.DUMMYFUNCTION("""COMPUTED_VALUE"""),0)</f>
        <v>0</v>
      </c>
      <c r="O1756" s="85"/>
      <c r="P1756" s="85">
        <f ca="1">IFERROR(__xludf.DUMMYFUNCTION("""COMPUTED_VALUE"""),0)</f>
        <v>0</v>
      </c>
      <c r="Q1756" s="85"/>
      <c r="R1756" s="85">
        <f ca="1">IFERROR(__xludf.DUMMYFUNCTION("""COMPUTED_VALUE"""),0)</f>
        <v>0</v>
      </c>
      <c r="S1756" s="85"/>
      <c r="T1756" s="85"/>
      <c r="U1756" s="82"/>
      <c r="V1756" s="82"/>
      <c r="W1756" s="83"/>
      <c r="X1756" s="83"/>
      <c r="Y1756" s="83"/>
    </row>
    <row r="1757" spans="1:25" ht="13.8">
      <c r="A1757" s="78" t="str">
        <f ca="1">IFERROR(__xludf.DUMMYFUNCTION("""COMPUTED_VALUE"""),"RH")</f>
        <v>RH</v>
      </c>
      <c r="B1757" s="79" t="str">
        <f ca="1">IFERROR(__xludf.DUMMYFUNCTION("""COMPUTED_VALUE"""),"Curt Berry")</f>
        <v>Curt Berry</v>
      </c>
      <c r="C1757" s="78">
        <f ca="1">IFERROR(__xludf.DUMMYFUNCTION("""COMPUTED_VALUE"""),8)</f>
        <v>8</v>
      </c>
      <c r="D1757" s="78" t="str">
        <f ca="1">IFERROR(__xludf.DUMMYFUNCTION("""COMPUTED_VALUE"""),"B")</f>
        <v>B</v>
      </c>
      <c r="E1757" s="80" t="str">
        <f ca="1">IFERROR(__xludf.DUMMYFUNCTION("""COMPUTED_VALUE"""),"F")</f>
        <v>F</v>
      </c>
      <c r="F1757" s="80" t="str">
        <f ca="1">IFERROR(__xludf.DUMMYFUNCTION("""COMPUTED_VALUE"""),"J")</f>
        <v>J</v>
      </c>
      <c r="G1757" s="80">
        <f ca="1">IFERROR(__xludf.DUMMYFUNCTION("""COMPUTED_VALUE"""),5)</f>
        <v>5</v>
      </c>
      <c r="H1757" s="80" t="str">
        <f ca="1">IFERROR(__xludf.DUMMYFUNCTION("""COMPUTED_VALUE"""),"RH")</f>
        <v>RH</v>
      </c>
      <c r="I1757" s="80">
        <f ca="1">IFERROR(__xludf.DUMMYFUNCTION("""COMPUTED_VALUE"""),3)</f>
        <v>3</v>
      </c>
      <c r="J1757" s="85">
        <f ca="1">IFERROR(__xludf.DUMMYFUNCTION("""COMPUTED_VALUE"""),3)</f>
        <v>3</v>
      </c>
      <c r="K1757" s="85">
        <f ca="1">IFERROR(__xludf.DUMMYFUNCTION("""COMPUTED_VALUE"""),58)</f>
        <v>58</v>
      </c>
      <c r="L1757" s="85">
        <f ca="1">IFERROR(__xludf.DUMMYFUNCTION("""COMPUTED_VALUE"""),58)</f>
        <v>58</v>
      </c>
      <c r="M1757" s="85"/>
      <c r="N1757" s="85">
        <f ca="1">IFERROR(__xludf.DUMMYFUNCTION("""COMPUTED_VALUE"""),0)</f>
        <v>0</v>
      </c>
      <c r="O1757" s="85"/>
      <c r="P1757" s="85">
        <f ca="1">IFERROR(__xludf.DUMMYFUNCTION("""COMPUTED_VALUE"""),0)</f>
        <v>0</v>
      </c>
      <c r="Q1757" s="85"/>
      <c r="R1757" s="85">
        <f ca="1">IFERROR(__xludf.DUMMYFUNCTION("""COMPUTED_VALUE"""),35.85)</f>
        <v>35.85</v>
      </c>
      <c r="S1757" s="85"/>
      <c r="T1757" s="85"/>
      <c r="U1757" s="82"/>
      <c r="V1757" s="82"/>
      <c r="W1757" s="83"/>
      <c r="X1757" s="83"/>
      <c r="Y1757" s="83"/>
    </row>
    <row r="1758" spans="1:25" ht="13.8">
      <c r="A1758" s="78" t="str">
        <f ca="1">IFERROR(__xludf.DUMMYFUNCTION("""COMPUTED_VALUE"""),"RH")</f>
        <v>RH</v>
      </c>
      <c r="B1758" s="79" t="str">
        <f ca="1">IFERROR(__xludf.DUMMYFUNCTION("""COMPUTED_VALUE"""),"Jack Flanagan")</f>
        <v>Jack Flanagan</v>
      </c>
      <c r="C1758" s="78">
        <f ca="1">IFERROR(__xludf.DUMMYFUNCTION("""COMPUTED_VALUE"""),9)</f>
        <v>9</v>
      </c>
      <c r="D1758" s="78" t="str">
        <f ca="1">IFERROR(__xludf.DUMMYFUNCTION("""COMPUTED_VALUE"""),"B")</f>
        <v>B</v>
      </c>
      <c r="E1758" s="80" t="str">
        <f ca="1">IFERROR(__xludf.DUMMYFUNCTION("""COMPUTED_VALUE"""),"F")</f>
        <v>F</v>
      </c>
      <c r="F1758" s="80" t="str">
        <f ca="1">IFERROR(__xludf.DUMMYFUNCTION("""COMPUTED_VALUE"""),"J")</f>
        <v>J</v>
      </c>
      <c r="G1758" s="80">
        <f ca="1">IFERROR(__xludf.DUMMYFUNCTION("""COMPUTED_VALUE"""),5)</f>
        <v>5</v>
      </c>
      <c r="H1758" s="80" t="str">
        <f ca="1">IFERROR(__xludf.DUMMYFUNCTION("""COMPUTED_VALUE"""),"RH")</f>
        <v>RH</v>
      </c>
      <c r="I1758" s="80">
        <f ca="1">IFERROR(__xludf.DUMMYFUNCTION("""COMPUTED_VALUE"""),3)</f>
        <v>3</v>
      </c>
      <c r="J1758" s="85">
        <f ca="1">IFERROR(__xludf.DUMMYFUNCTION("""COMPUTED_VALUE"""),5)</f>
        <v>5</v>
      </c>
      <c r="K1758" s="85">
        <f ca="1">IFERROR(__xludf.DUMMYFUNCTION("""COMPUTED_VALUE"""),58.35)</f>
        <v>58.35</v>
      </c>
      <c r="L1758" s="85">
        <f ca="1">IFERROR(__xludf.DUMMYFUNCTION("""COMPUTED_VALUE"""),46.25)</f>
        <v>46.25</v>
      </c>
      <c r="M1758" s="85"/>
      <c r="N1758" s="85">
        <f ca="1">IFERROR(__xludf.DUMMYFUNCTION("""COMPUTED_VALUE"""),58.35)</f>
        <v>58.35</v>
      </c>
      <c r="O1758" s="85"/>
      <c r="P1758" s="85">
        <f ca="1">IFERROR(__xludf.DUMMYFUNCTION("""COMPUTED_VALUE"""),51.75)</f>
        <v>51.75</v>
      </c>
      <c r="Q1758" s="85"/>
      <c r="R1758" s="85">
        <f ca="1">IFERROR(__xludf.DUMMYFUNCTION("""COMPUTED_VALUE"""),56.2)</f>
        <v>56.2</v>
      </c>
      <c r="S1758" s="85"/>
      <c r="T1758" s="85"/>
      <c r="U1758" s="82"/>
      <c r="V1758" s="82"/>
      <c r="W1758" s="83"/>
      <c r="X1758" s="83"/>
      <c r="Y1758" s="83"/>
    </row>
    <row r="1759" spans="1:25" ht="13.8">
      <c r="A1759" s="78" t="str">
        <f ca="1">IFERROR(__xludf.DUMMYFUNCTION("""COMPUTED_VALUE"""),"RH")</f>
        <v>RH</v>
      </c>
      <c r="B1759" s="79" t="str">
        <f ca="1">IFERROR(__xludf.DUMMYFUNCTION("""COMPUTED_VALUE"""),"Jacob Forbes")</f>
        <v>Jacob Forbes</v>
      </c>
      <c r="C1759" s="78">
        <f ca="1">IFERROR(__xludf.DUMMYFUNCTION("""COMPUTED_VALUE"""),9)</f>
        <v>9</v>
      </c>
      <c r="D1759" s="78" t="str">
        <f ca="1">IFERROR(__xludf.DUMMYFUNCTION("""COMPUTED_VALUE"""),"B")</f>
        <v>B</v>
      </c>
      <c r="E1759" s="80" t="str">
        <f ca="1">IFERROR(__xludf.DUMMYFUNCTION("""COMPUTED_VALUE"""),"F")</f>
        <v>F</v>
      </c>
      <c r="F1759" s="80" t="str">
        <f ca="1">IFERROR(__xludf.DUMMYFUNCTION("""COMPUTED_VALUE"""),"J")</f>
        <v>J</v>
      </c>
      <c r="G1759" s="80">
        <f ca="1">IFERROR(__xludf.DUMMYFUNCTION("""COMPUTED_VALUE"""),5)</f>
        <v>5</v>
      </c>
      <c r="H1759" s="80" t="str">
        <f ca="1">IFERROR(__xludf.DUMMYFUNCTION("""COMPUTED_VALUE"""),"RH")</f>
        <v>RH</v>
      </c>
      <c r="I1759" s="80">
        <f ca="1">IFERROR(__xludf.DUMMYFUNCTION("""COMPUTED_VALUE"""),3)</f>
        <v>3</v>
      </c>
      <c r="J1759" s="85">
        <f ca="1">IFERROR(__xludf.DUMMYFUNCTION("""COMPUTED_VALUE"""),0)</f>
        <v>0</v>
      </c>
      <c r="K1759" s="85">
        <f ca="1">IFERROR(__xludf.DUMMYFUNCTION("""COMPUTED_VALUE"""),0)</f>
        <v>0</v>
      </c>
      <c r="L1759" s="85">
        <f ca="1">IFERROR(__xludf.DUMMYFUNCTION("""COMPUTED_VALUE"""),0)</f>
        <v>0</v>
      </c>
      <c r="M1759" s="85"/>
      <c r="N1759" s="85">
        <f ca="1">IFERROR(__xludf.DUMMYFUNCTION("""COMPUTED_VALUE"""),0)</f>
        <v>0</v>
      </c>
      <c r="O1759" s="85"/>
      <c r="P1759" s="85">
        <f ca="1">IFERROR(__xludf.DUMMYFUNCTION("""COMPUTED_VALUE"""),0)</f>
        <v>0</v>
      </c>
      <c r="Q1759" s="85"/>
      <c r="R1759" s="85">
        <f ca="1">IFERROR(__xludf.DUMMYFUNCTION("""COMPUTED_VALUE"""),0)</f>
        <v>0</v>
      </c>
      <c r="S1759" s="85"/>
      <c r="T1759" s="85"/>
      <c r="U1759" s="82"/>
      <c r="V1759" s="82"/>
      <c r="W1759" s="83"/>
      <c r="X1759" s="83"/>
      <c r="Y1759" s="83"/>
    </row>
    <row r="1760" spans="1:25" ht="13.8">
      <c r="A1760" s="78" t="str">
        <f ca="1">IFERROR(__xludf.DUMMYFUNCTION("""COMPUTED_VALUE"""),"RH")</f>
        <v>RH</v>
      </c>
      <c r="B1760" s="79" t="str">
        <f ca="1">IFERROR(__xludf.DUMMYFUNCTION("""COMPUTED_VALUE"""),"Roman Garza")</f>
        <v>Roman Garza</v>
      </c>
      <c r="C1760" s="78">
        <f ca="1">IFERROR(__xludf.DUMMYFUNCTION("""COMPUTED_VALUE"""),8)</f>
        <v>8</v>
      </c>
      <c r="D1760" s="78" t="str">
        <f ca="1">IFERROR(__xludf.DUMMYFUNCTION("""COMPUTED_VALUE"""),"B")</f>
        <v>B</v>
      </c>
      <c r="E1760" s="80" t="str">
        <f ca="1">IFERROR(__xludf.DUMMYFUNCTION("""COMPUTED_VALUE"""),"F")</f>
        <v>F</v>
      </c>
      <c r="F1760" s="80" t="str">
        <f ca="1">IFERROR(__xludf.DUMMYFUNCTION("""COMPUTED_VALUE"""),"J")</f>
        <v>J</v>
      </c>
      <c r="G1760" s="80">
        <f ca="1">IFERROR(__xludf.DUMMYFUNCTION("""COMPUTED_VALUE"""),5)</f>
        <v>5</v>
      </c>
      <c r="H1760" s="80" t="str">
        <f ca="1">IFERROR(__xludf.DUMMYFUNCTION("""COMPUTED_VALUE"""),"RH")</f>
        <v>RH</v>
      </c>
      <c r="I1760" s="80">
        <f ca="1">IFERROR(__xludf.DUMMYFUNCTION("""COMPUTED_VALUE"""),3)</f>
        <v>3</v>
      </c>
      <c r="J1760" s="85">
        <f ca="1">IFERROR(__xludf.DUMMYFUNCTION("""COMPUTED_VALUE"""),1)</f>
        <v>1</v>
      </c>
      <c r="K1760" s="85">
        <f ca="1">IFERROR(__xludf.DUMMYFUNCTION("""COMPUTED_VALUE"""),0)</f>
        <v>0</v>
      </c>
      <c r="L1760" s="85">
        <f ca="1">IFERROR(__xludf.DUMMYFUNCTION("""COMPUTED_VALUE"""),0)</f>
        <v>0</v>
      </c>
      <c r="M1760" s="85"/>
      <c r="N1760" s="85">
        <f ca="1">IFERROR(__xludf.DUMMYFUNCTION("""COMPUTED_VALUE"""),0)</f>
        <v>0</v>
      </c>
      <c r="O1760" s="85"/>
      <c r="P1760" s="85">
        <f ca="1">IFERROR(__xludf.DUMMYFUNCTION("""COMPUTED_VALUE"""),0)</f>
        <v>0</v>
      </c>
      <c r="Q1760" s="85"/>
      <c r="R1760" s="85">
        <f ca="1">IFERROR(__xludf.DUMMYFUNCTION("""COMPUTED_VALUE"""),0)</f>
        <v>0</v>
      </c>
      <c r="S1760" s="85"/>
      <c r="T1760" s="85"/>
      <c r="U1760" s="82"/>
      <c r="V1760" s="82"/>
      <c r="W1760" s="83"/>
      <c r="X1760" s="83"/>
      <c r="Y1760" s="83"/>
    </row>
    <row r="1761" spans="1:25" ht="13.8">
      <c r="A1761" s="78" t="str">
        <f ca="1">IFERROR(__xludf.DUMMYFUNCTION("""COMPUTED_VALUE"""),"RH")</f>
        <v>RH</v>
      </c>
      <c r="B1761" s="79" t="str">
        <f ca="1">IFERROR(__xludf.DUMMYFUNCTION("""COMPUTED_VALUE"""),"Jacob Hurt")</f>
        <v>Jacob Hurt</v>
      </c>
      <c r="C1761" s="78">
        <f ca="1">IFERROR(__xludf.DUMMYFUNCTION("""COMPUTED_VALUE"""),10)</f>
        <v>10</v>
      </c>
      <c r="D1761" s="78" t="str">
        <f ca="1">IFERROR(__xludf.DUMMYFUNCTION("""COMPUTED_VALUE"""),"B")</f>
        <v>B</v>
      </c>
      <c r="E1761" s="80" t="str">
        <f ca="1">IFERROR(__xludf.DUMMYFUNCTION("""COMPUTED_VALUE"""),"F")</f>
        <v>F</v>
      </c>
      <c r="F1761" s="80" t="str">
        <f ca="1">IFERROR(__xludf.DUMMYFUNCTION("""COMPUTED_VALUE"""),"J")</f>
        <v>J</v>
      </c>
      <c r="G1761" s="80">
        <f ca="1">IFERROR(__xludf.DUMMYFUNCTION("""COMPUTED_VALUE"""),5)</f>
        <v>5</v>
      </c>
      <c r="H1761" s="80" t="str">
        <f ca="1">IFERROR(__xludf.DUMMYFUNCTION("""COMPUTED_VALUE"""),"RH")</f>
        <v>RH</v>
      </c>
      <c r="I1761" s="80">
        <f ca="1">IFERROR(__xludf.DUMMYFUNCTION("""COMPUTED_VALUE"""),3)</f>
        <v>3</v>
      </c>
      <c r="J1761" s="85">
        <f ca="1">IFERROR(__xludf.DUMMYFUNCTION("""COMPUTED_VALUE"""),5)</f>
        <v>5</v>
      </c>
      <c r="K1761" s="85">
        <f ca="1">IFERROR(__xludf.DUMMYFUNCTION("""COMPUTED_VALUE"""),57.1)</f>
        <v>57.1</v>
      </c>
      <c r="L1761" s="85">
        <f ca="1">IFERROR(__xludf.DUMMYFUNCTION("""COMPUTED_VALUE"""),57.1)</f>
        <v>57.1</v>
      </c>
      <c r="M1761" s="85"/>
      <c r="N1761" s="85">
        <f ca="1">IFERROR(__xludf.DUMMYFUNCTION("""COMPUTED_VALUE"""),50.3)</f>
        <v>50.3</v>
      </c>
      <c r="O1761" s="85"/>
      <c r="P1761" s="85">
        <f ca="1">IFERROR(__xludf.DUMMYFUNCTION("""COMPUTED_VALUE"""),49.6)</f>
        <v>49.6</v>
      </c>
      <c r="Q1761" s="85"/>
      <c r="R1761" s="85">
        <f ca="1">IFERROR(__xludf.DUMMYFUNCTION("""COMPUTED_VALUE"""),46.85)</f>
        <v>46.85</v>
      </c>
      <c r="S1761" s="85"/>
      <c r="T1761" s="85"/>
      <c r="U1761" s="82"/>
      <c r="V1761" s="82"/>
      <c r="W1761" s="83"/>
      <c r="X1761" s="83"/>
      <c r="Y1761" s="83"/>
    </row>
    <row r="1762" spans="1:25" ht="13.8">
      <c r="A1762" s="78" t="str">
        <f ca="1">IFERROR(__xludf.DUMMYFUNCTION("""COMPUTED_VALUE"""),"RH")</f>
        <v>RH</v>
      </c>
      <c r="B1762" s="79" t="str">
        <f ca="1">IFERROR(__xludf.DUMMYFUNCTION("""COMPUTED_VALUE"""),"Brodie Kuehne")</f>
        <v>Brodie Kuehne</v>
      </c>
      <c r="C1762" s="78">
        <f ca="1">IFERROR(__xludf.DUMMYFUNCTION("""COMPUTED_VALUE"""),7)</f>
        <v>7</v>
      </c>
      <c r="D1762" s="78" t="str">
        <f ca="1">IFERROR(__xludf.DUMMYFUNCTION("""COMPUTED_VALUE"""),"B")</f>
        <v>B</v>
      </c>
      <c r="E1762" s="80" t="str">
        <f ca="1">IFERROR(__xludf.DUMMYFUNCTION("""COMPUTED_VALUE"""),"F")</f>
        <v>F</v>
      </c>
      <c r="F1762" s="80" t="str">
        <f ca="1">IFERROR(__xludf.DUMMYFUNCTION("""COMPUTED_VALUE"""),"J")</f>
        <v>J</v>
      </c>
      <c r="G1762" s="80">
        <f ca="1">IFERROR(__xludf.DUMMYFUNCTION("""COMPUTED_VALUE"""),5)</f>
        <v>5</v>
      </c>
      <c r="H1762" s="80" t="str">
        <f ca="1">IFERROR(__xludf.DUMMYFUNCTION("""COMPUTED_VALUE"""),"RH")</f>
        <v>RH</v>
      </c>
      <c r="I1762" s="80">
        <f ca="1">IFERROR(__xludf.DUMMYFUNCTION("""COMPUTED_VALUE"""),3)</f>
        <v>3</v>
      </c>
      <c r="J1762" s="85">
        <f ca="1">IFERROR(__xludf.DUMMYFUNCTION("""COMPUTED_VALUE"""),5)</f>
        <v>5</v>
      </c>
      <c r="K1762" s="85">
        <f ca="1">IFERROR(__xludf.DUMMYFUNCTION("""COMPUTED_VALUE"""),39.5)</f>
        <v>39.5</v>
      </c>
      <c r="L1762" s="85">
        <f ca="1">IFERROR(__xludf.DUMMYFUNCTION("""COMPUTED_VALUE"""),20.5)</f>
        <v>20.5</v>
      </c>
      <c r="M1762" s="85"/>
      <c r="N1762" s="85">
        <f ca="1">IFERROR(__xludf.DUMMYFUNCTION("""COMPUTED_VALUE"""),38.2)</f>
        <v>38.200000000000003</v>
      </c>
      <c r="O1762" s="85"/>
      <c r="P1762" s="85">
        <f ca="1">IFERROR(__xludf.DUMMYFUNCTION("""COMPUTED_VALUE"""),31.15)</f>
        <v>31.15</v>
      </c>
      <c r="Q1762" s="85"/>
      <c r="R1762" s="85">
        <f ca="1">IFERROR(__xludf.DUMMYFUNCTION("""COMPUTED_VALUE"""),39.5)</f>
        <v>39.5</v>
      </c>
      <c r="S1762" s="85"/>
      <c r="T1762" s="85"/>
      <c r="U1762" s="82"/>
      <c r="V1762" s="82"/>
      <c r="W1762" s="83"/>
      <c r="X1762" s="83"/>
      <c r="Y1762" s="83"/>
    </row>
    <row r="1763" spans="1:25" ht="13.8">
      <c r="A1763" s="78" t="str">
        <f ca="1">IFERROR(__xludf.DUMMYFUNCTION("""COMPUTED_VALUE"""),"RH")</f>
        <v>RH</v>
      </c>
      <c r="B1763" s="79" t="str">
        <f ca="1">IFERROR(__xludf.DUMMYFUNCTION("""COMPUTED_VALUE"""),"Hudson Lynch")</f>
        <v>Hudson Lynch</v>
      </c>
      <c r="C1763" s="78">
        <f ca="1">IFERROR(__xludf.DUMMYFUNCTION("""COMPUTED_VALUE"""),10)</f>
        <v>10</v>
      </c>
      <c r="D1763" s="78" t="str">
        <f ca="1">IFERROR(__xludf.DUMMYFUNCTION("""COMPUTED_VALUE"""),"B")</f>
        <v>B</v>
      </c>
      <c r="E1763" s="80" t="str">
        <f ca="1">IFERROR(__xludf.DUMMYFUNCTION("""COMPUTED_VALUE"""),"F")</f>
        <v>F</v>
      </c>
      <c r="F1763" s="80" t="str">
        <f ca="1">IFERROR(__xludf.DUMMYFUNCTION("""COMPUTED_VALUE"""),"J")</f>
        <v>J</v>
      </c>
      <c r="G1763" s="80">
        <f ca="1">IFERROR(__xludf.DUMMYFUNCTION("""COMPUTED_VALUE"""),5)</f>
        <v>5</v>
      </c>
      <c r="H1763" s="80" t="str">
        <f ca="1">IFERROR(__xludf.DUMMYFUNCTION("""COMPUTED_VALUE"""),"RH")</f>
        <v>RH</v>
      </c>
      <c r="I1763" s="80">
        <f ca="1">IFERROR(__xludf.DUMMYFUNCTION("""COMPUTED_VALUE"""),3)</f>
        <v>3</v>
      </c>
      <c r="J1763" s="85">
        <f ca="1">IFERROR(__xludf.DUMMYFUNCTION("""COMPUTED_VALUE"""),4)</f>
        <v>4</v>
      </c>
      <c r="K1763" s="85">
        <f ca="1">IFERROR(__xludf.DUMMYFUNCTION("""COMPUTED_VALUE"""),62)</f>
        <v>62</v>
      </c>
      <c r="L1763" s="85">
        <f ca="1">IFERROR(__xludf.DUMMYFUNCTION("""COMPUTED_VALUE"""),0)</f>
        <v>0</v>
      </c>
      <c r="M1763" s="85"/>
      <c r="N1763" s="85">
        <f ca="1">IFERROR(__xludf.DUMMYFUNCTION("""COMPUTED_VALUE"""),62)</f>
        <v>62</v>
      </c>
      <c r="O1763" s="85"/>
      <c r="P1763" s="85">
        <f ca="1">IFERROR(__xludf.DUMMYFUNCTION("""COMPUTED_VALUE"""),59.2)</f>
        <v>59.2</v>
      </c>
      <c r="Q1763" s="85"/>
      <c r="R1763" s="85">
        <f ca="1">IFERROR(__xludf.DUMMYFUNCTION("""COMPUTED_VALUE"""),57.65)</f>
        <v>57.65</v>
      </c>
      <c r="S1763" s="85"/>
      <c r="T1763" s="85"/>
      <c r="U1763" s="82"/>
      <c r="V1763" s="82"/>
      <c r="W1763" s="83"/>
      <c r="X1763" s="83"/>
      <c r="Y1763" s="83"/>
    </row>
    <row r="1764" spans="1:25" ht="13.8">
      <c r="A1764" s="78" t="str">
        <f ca="1">IFERROR(__xludf.DUMMYFUNCTION("""COMPUTED_VALUE"""),"RH")</f>
        <v>RH</v>
      </c>
      <c r="B1764" s="79" t="str">
        <f ca="1">IFERROR(__xludf.DUMMYFUNCTION("""COMPUTED_VALUE"""),"Oliver Matthews")</f>
        <v>Oliver Matthews</v>
      </c>
      <c r="C1764" s="78">
        <f ca="1">IFERROR(__xludf.DUMMYFUNCTION("""COMPUTED_VALUE"""),10)</f>
        <v>10</v>
      </c>
      <c r="D1764" s="78" t="str">
        <f ca="1">IFERROR(__xludf.DUMMYFUNCTION("""COMPUTED_VALUE"""),"B")</f>
        <v>B</v>
      </c>
      <c r="E1764" s="80" t="str">
        <f ca="1">IFERROR(__xludf.DUMMYFUNCTION("""COMPUTED_VALUE"""),"F")</f>
        <v>F</v>
      </c>
      <c r="F1764" s="80" t="str">
        <f ca="1">IFERROR(__xludf.DUMMYFUNCTION("""COMPUTED_VALUE"""),"J")</f>
        <v>J</v>
      </c>
      <c r="G1764" s="80">
        <f ca="1">IFERROR(__xludf.DUMMYFUNCTION("""COMPUTED_VALUE"""),5)</f>
        <v>5</v>
      </c>
      <c r="H1764" s="80" t="str">
        <f ca="1">IFERROR(__xludf.DUMMYFUNCTION("""COMPUTED_VALUE"""),"RH")</f>
        <v>RH</v>
      </c>
      <c r="I1764" s="80">
        <f ca="1">IFERROR(__xludf.DUMMYFUNCTION("""COMPUTED_VALUE"""),3)</f>
        <v>3</v>
      </c>
      <c r="J1764" s="85">
        <f ca="1">IFERROR(__xludf.DUMMYFUNCTION("""COMPUTED_VALUE"""),4)</f>
        <v>4</v>
      </c>
      <c r="K1764" s="85">
        <f ca="1">IFERROR(__xludf.DUMMYFUNCTION("""COMPUTED_VALUE"""),45.5)</f>
        <v>45.5</v>
      </c>
      <c r="L1764" s="85">
        <f ca="1">IFERROR(__xludf.DUMMYFUNCTION("""COMPUTED_VALUE"""),0)</f>
        <v>0</v>
      </c>
      <c r="M1764" s="85"/>
      <c r="N1764" s="85">
        <f ca="1">IFERROR(__xludf.DUMMYFUNCTION("""COMPUTED_VALUE"""),30.75)</f>
        <v>30.75</v>
      </c>
      <c r="O1764" s="85"/>
      <c r="P1764" s="85">
        <f ca="1">IFERROR(__xludf.DUMMYFUNCTION("""COMPUTED_VALUE"""),31.25)</f>
        <v>31.25</v>
      </c>
      <c r="Q1764" s="85"/>
      <c r="R1764" s="85">
        <f ca="1">IFERROR(__xludf.DUMMYFUNCTION("""COMPUTED_VALUE"""),45.5)</f>
        <v>45.5</v>
      </c>
      <c r="S1764" s="85"/>
      <c r="T1764" s="85"/>
      <c r="U1764" s="82"/>
      <c r="V1764" s="82"/>
      <c r="W1764" s="83"/>
      <c r="X1764" s="83"/>
      <c r="Y1764" s="83"/>
    </row>
    <row r="1765" spans="1:25" ht="13.8">
      <c r="A1765" s="78" t="str">
        <f ca="1">IFERROR(__xludf.DUMMYFUNCTION("""COMPUTED_VALUE"""),"RH")</f>
        <v>RH</v>
      </c>
      <c r="B1765" s="79" t="str">
        <f ca="1">IFERROR(__xludf.DUMMYFUNCTION("""COMPUTED_VALUE"""),"Winston Morgan")</f>
        <v>Winston Morgan</v>
      </c>
      <c r="C1765" s="78">
        <f ca="1">IFERROR(__xludf.DUMMYFUNCTION("""COMPUTED_VALUE"""),5)</f>
        <v>5</v>
      </c>
      <c r="D1765" s="78" t="str">
        <f ca="1">IFERROR(__xludf.DUMMYFUNCTION("""COMPUTED_VALUE"""),"B")</f>
        <v>B</v>
      </c>
      <c r="E1765" s="80" t="str">
        <f ca="1">IFERROR(__xludf.DUMMYFUNCTION("""COMPUTED_VALUE"""),"F")</f>
        <v>F</v>
      </c>
      <c r="F1765" s="80" t="str">
        <f ca="1">IFERROR(__xludf.DUMMYFUNCTION("""COMPUTED_VALUE"""),"J")</f>
        <v>J</v>
      </c>
      <c r="G1765" s="80">
        <f ca="1">IFERROR(__xludf.DUMMYFUNCTION("""COMPUTED_VALUE"""),5)</f>
        <v>5</v>
      </c>
      <c r="H1765" s="80" t="str">
        <f ca="1">IFERROR(__xludf.DUMMYFUNCTION("""COMPUTED_VALUE"""),"RH")</f>
        <v>RH</v>
      </c>
      <c r="I1765" s="80">
        <f ca="1">IFERROR(__xludf.DUMMYFUNCTION("""COMPUTED_VALUE"""),3)</f>
        <v>3</v>
      </c>
      <c r="J1765" s="85">
        <f ca="1">IFERROR(__xludf.DUMMYFUNCTION("""COMPUTED_VALUE"""),0)</f>
        <v>0</v>
      </c>
      <c r="K1765" s="85">
        <f ca="1">IFERROR(__xludf.DUMMYFUNCTION("""COMPUTED_VALUE"""),0)</f>
        <v>0</v>
      </c>
      <c r="L1765" s="85">
        <f ca="1">IFERROR(__xludf.DUMMYFUNCTION("""COMPUTED_VALUE"""),0)</f>
        <v>0</v>
      </c>
      <c r="M1765" s="85"/>
      <c r="N1765" s="85">
        <f ca="1">IFERROR(__xludf.DUMMYFUNCTION("""COMPUTED_VALUE"""),0)</f>
        <v>0</v>
      </c>
      <c r="O1765" s="85"/>
      <c r="P1765" s="85">
        <f ca="1">IFERROR(__xludf.DUMMYFUNCTION("""COMPUTED_VALUE"""),0)</f>
        <v>0</v>
      </c>
      <c r="Q1765" s="85"/>
      <c r="R1765" s="85">
        <f ca="1">IFERROR(__xludf.DUMMYFUNCTION("""COMPUTED_VALUE"""),0)</f>
        <v>0</v>
      </c>
      <c r="S1765" s="85"/>
      <c r="T1765" s="85"/>
      <c r="U1765" s="82"/>
      <c r="V1765" s="82"/>
      <c r="W1765" s="83"/>
      <c r="X1765" s="83"/>
      <c r="Y1765" s="83"/>
    </row>
    <row r="1766" spans="1:25" ht="13.8">
      <c r="A1766" s="78" t="str">
        <f ca="1">IFERROR(__xludf.DUMMYFUNCTION("""COMPUTED_VALUE"""),"RH")</f>
        <v>RH</v>
      </c>
      <c r="B1766" s="79" t="str">
        <f ca="1">IFERROR(__xludf.DUMMYFUNCTION("""COMPUTED_VALUE"""),"Saxon Newell")</f>
        <v>Saxon Newell</v>
      </c>
      <c r="C1766" s="78">
        <f ca="1">IFERROR(__xludf.DUMMYFUNCTION("""COMPUTED_VALUE"""),7)</f>
        <v>7</v>
      </c>
      <c r="D1766" s="78" t="str">
        <f ca="1">IFERROR(__xludf.DUMMYFUNCTION("""COMPUTED_VALUE"""),"B")</f>
        <v>B</v>
      </c>
      <c r="E1766" s="80" t="str">
        <f ca="1">IFERROR(__xludf.DUMMYFUNCTION("""COMPUTED_VALUE"""),"F")</f>
        <v>F</v>
      </c>
      <c r="F1766" s="80" t="str">
        <f ca="1">IFERROR(__xludf.DUMMYFUNCTION("""COMPUTED_VALUE"""),"J")</f>
        <v>J</v>
      </c>
      <c r="G1766" s="80">
        <f ca="1">IFERROR(__xludf.DUMMYFUNCTION("""COMPUTED_VALUE"""),5)</f>
        <v>5</v>
      </c>
      <c r="H1766" s="80" t="str">
        <f ca="1">IFERROR(__xludf.DUMMYFUNCTION("""COMPUTED_VALUE"""),"RH")</f>
        <v>RH</v>
      </c>
      <c r="I1766" s="80">
        <f ca="1">IFERROR(__xludf.DUMMYFUNCTION("""COMPUTED_VALUE"""),3)</f>
        <v>3</v>
      </c>
      <c r="J1766" s="85">
        <f ca="1">IFERROR(__xludf.DUMMYFUNCTION("""COMPUTED_VALUE"""),2)</f>
        <v>2</v>
      </c>
      <c r="K1766" s="85">
        <f ca="1">IFERROR(__xludf.DUMMYFUNCTION("""COMPUTED_VALUE"""),24.7)</f>
        <v>24.7</v>
      </c>
      <c r="L1766" s="85">
        <f ca="1">IFERROR(__xludf.DUMMYFUNCTION("""COMPUTED_VALUE"""),21)</f>
        <v>21</v>
      </c>
      <c r="M1766" s="85"/>
      <c r="N1766" s="85">
        <f ca="1">IFERROR(__xludf.DUMMYFUNCTION("""COMPUTED_VALUE"""),24.7)</f>
        <v>24.7</v>
      </c>
      <c r="O1766" s="85"/>
      <c r="P1766" s="85">
        <f ca="1">IFERROR(__xludf.DUMMYFUNCTION("""COMPUTED_VALUE"""),0)</f>
        <v>0</v>
      </c>
      <c r="Q1766" s="85"/>
      <c r="R1766" s="85">
        <f ca="1">IFERROR(__xludf.DUMMYFUNCTION("""COMPUTED_VALUE"""),0)</f>
        <v>0</v>
      </c>
      <c r="S1766" s="85"/>
      <c r="T1766" s="85"/>
      <c r="U1766" s="82"/>
      <c r="V1766" s="82"/>
      <c r="W1766" s="83"/>
      <c r="X1766" s="83"/>
      <c r="Y1766" s="83"/>
    </row>
    <row r="1767" spans="1:25" ht="13.8">
      <c r="A1767" s="78" t="str">
        <f ca="1">IFERROR(__xludf.DUMMYFUNCTION("""COMPUTED_VALUE"""),"RH")</f>
        <v>RH</v>
      </c>
      <c r="B1767" s="79" t="str">
        <f ca="1">IFERROR(__xludf.DUMMYFUNCTION("""COMPUTED_VALUE"""),"Gabe Newtson")</f>
        <v>Gabe Newtson</v>
      </c>
      <c r="C1767" s="78">
        <f ca="1">IFERROR(__xludf.DUMMYFUNCTION("""COMPUTED_VALUE"""),10)</f>
        <v>10</v>
      </c>
      <c r="D1767" s="78" t="str">
        <f ca="1">IFERROR(__xludf.DUMMYFUNCTION("""COMPUTED_VALUE"""),"B")</f>
        <v>B</v>
      </c>
      <c r="E1767" s="80" t="str">
        <f ca="1">IFERROR(__xludf.DUMMYFUNCTION("""COMPUTED_VALUE"""),"F")</f>
        <v>F</v>
      </c>
      <c r="F1767" s="80" t="str">
        <f ca="1">IFERROR(__xludf.DUMMYFUNCTION("""COMPUTED_VALUE"""),"J")</f>
        <v>J</v>
      </c>
      <c r="G1767" s="80">
        <f ca="1">IFERROR(__xludf.DUMMYFUNCTION("""COMPUTED_VALUE"""),5)</f>
        <v>5</v>
      </c>
      <c r="H1767" s="80" t="str">
        <f ca="1">IFERROR(__xludf.DUMMYFUNCTION("""COMPUTED_VALUE"""),"RH")</f>
        <v>RH</v>
      </c>
      <c r="I1767" s="80">
        <f ca="1">IFERROR(__xludf.DUMMYFUNCTION("""COMPUTED_VALUE"""),3)</f>
        <v>3</v>
      </c>
      <c r="J1767" s="85">
        <f ca="1">IFERROR(__xludf.DUMMYFUNCTION("""COMPUTED_VALUE"""),0)</f>
        <v>0</v>
      </c>
      <c r="K1767" s="85">
        <f ca="1">IFERROR(__xludf.DUMMYFUNCTION("""COMPUTED_VALUE"""),0)</f>
        <v>0</v>
      </c>
      <c r="L1767" s="85">
        <f ca="1">IFERROR(__xludf.DUMMYFUNCTION("""COMPUTED_VALUE"""),0)</f>
        <v>0</v>
      </c>
      <c r="M1767" s="85"/>
      <c r="N1767" s="85">
        <f ca="1">IFERROR(__xludf.DUMMYFUNCTION("""COMPUTED_VALUE"""),0)</f>
        <v>0</v>
      </c>
      <c r="O1767" s="85"/>
      <c r="P1767" s="85">
        <f ca="1">IFERROR(__xludf.DUMMYFUNCTION("""COMPUTED_VALUE"""),0)</f>
        <v>0</v>
      </c>
      <c r="Q1767" s="85"/>
      <c r="R1767" s="85">
        <f ca="1">IFERROR(__xludf.DUMMYFUNCTION("""COMPUTED_VALUE"""),0)</f>
        <v>0</v>
      </c>
      <c r="S1767" s="85"/>
      <c r="T1767" s="85"/>
      <c r="U1767" s="82"/>
      <c r="V1767" s="82"/>
      <c r="W1767" s="83"/>
      <c r="X1767" s="83"/>
      <c r="Y1767" s="83"/>
    </row>
    <row r="1768" spans="1:25" ht="13.8">
      <c r="A1768" s="78" t="str">
        <f ca="1">IFERROR(__xludf.DUMMYFUNCTION("""COMPUTED_VALUE"""),"RH")</f>
        <v>RH</v>
      </c>
      <c r="B1768" s="79" t="str">
        <f ca="1">IFERROR(__xludf.DUMMYFUNCTION("""COMPUTED_VALUE"""),"Cameron Sauchuk")</f>
        <v>Cameron Sauchuk</v>
      </c>
      <c r="C1768" s="78">
        <f ca="1">IFERROR(__xludf.DUMMYFUNCTION("""COMPUTED_VALUE"""),10)</f>
        <v>10</v>
      </c>
      <c r="D1768" s="78" t="str">
        <f ca="1">IFERROR(__xludf.DUMMYFUNCTION("""COMPUTED_VALUE"""),"B")</f>
        <v>B</v>
      </c>
      <c r="E1768" s="80" t="str">
        <f ca="1">IFERROR(__xludf.DUMMYFUNCTION("""COMPUTED_VALUE"""),"F")</f>
        <v>F</v>
      </c>
      <c r="F1768" s="80" t="str">
        <f ca="1">IFERROR(__xludf.DUMMYFUNCTION("""COMPUTED_VALUE"""),"J")</f>
        <v>J</v>
      </c>
      <c r="G1768" s="80">
        <f ca="1">IFERROR(__xludf.DUMMYFUNCTION("""COMPUTED_VALUE"""),5)</f>
        <v>5</v>
      </c>
      <c r="H1768" s="80" t="str">
        <f ca="1">IFERROR(__xludf.DUMMYFUNCTION("""COMPUTED_VALUE"""),"RH")</f>
        <v>RH</v>
      </c>
      <c r="I1768" s="80">
        <f ca="1">IFERROR(__xludf.DUMMYFUNCTION("""COMPUTED_VALUE"""),3)</f>
        <v>3</v>
      </c>
      <c r="J1768" s="85">
        <f ca="1">IFERROR(__xludf.DUMMYFUNCTION("""COMPUTED_VALUE"""),3)</f>
        <v>3</v>
      </c>
      <c r="K1768" s="85">
        <f ca="1">IFERROR(__xludf.DUMMYFUNCTION("""COMPUTED_VALUE"""),47.6)</f>
        <v>47.6</v>
      </c>
      <c r="L1768" s="85">
        <f ca="1">IFERROR(__xludf.DUMMYFUNCTION("""COMPUTED_VALUE"""),0)</f>
        <v>0</v>
      </c>
      <c r="M1768" s="85"/>
      <c r="N1768" s="85">
        <f ca="1">IFERROR(__xludf.DUMMYFUNCTION("""COMPUTED_VALUE"""),47.6)</f>
        <v>47.6</v>
      </c>
      <c r="O1768" s="85"/>
      <c r="P1768" s="85">
        <f ca="1">IFERROR(__xludf.DUMMYFUNCTION("""COMPUTED_VALUE"""),35.85)</f>
        <v>35.85</v>
      </c>
      <c r="Q1768" s="85"/>
      <c r="R1768" s="85">
        <f ca="1">IFERROR(__xludf.DUMMYFUNCTION("""COMPUTED_VALUE"""),41.35)</f>
        <v>41.35</v>
      </c>
      <c r="S1768" s="85"/>
      <c r="T1768" s="85"/>
      <c r="U1768" s="82"/>
      <c r="V1768" s="82"/>
      <c r="W1768" s="83"/>
      <c r="X1768" s="83"/>
      <c r="Y1768" s="83"/>
    </row>
    <row r="1769" spans="1:25" ht="13.8">
      <c r="A1769" s="78" t="str">
        <f ca="1">IFERROR(__xludf.DUMMYFUNCTION("""COMPUTED_VALUE"""),"RH")</f>
        <v>RH</v>
      </c>
      <c r="B1769" s="79" t="str">
        <f ca="1">IFERROR(__xludf.DUMMYFUNCTION("""COMPUTED_VALUE"""),"Jackson Waller")</f>
        <v>Jackson Waller</v>
      </c>
      <c r="C1769" s="78">
        <f ca="1">IFERROR(__xludf.DUMMYFUNCTION("""COMPUTED_VALUE"""),9)</f>
        <v>9</v>
      </c>
      <c r="D1769" s="78" t="str">
        <f ca="1">IFERROR(__xludf.DUMMYFUNCTION("""COMPUTED_VALUE"""),"B")</f>
        <v>B</v>
      </c>
      <c r="E1769" s="80" t="str">
        <f ca="1">IFERROR(__xludf.DUMMYFUNCTION("""COMPUTED_VALUE"""),"F")</f>
        <v>F</v>
      </c>
      <c r="F1769" s="80" t="str">
        <f ca="1">IFERROR(__xludf.DUMMYFUNCTION("""COMPUTED_VALUE"""),"J")</f>
        <v>J</v>
      </c>
      <c r="G1769" s="80">
        <f ca="1">IFERROR(__xludf.DUMMYFUNCTION("""COMPUTED_VALUE"""),5)</f>
        <v>5</v>
      </c>
      <c r="H1769" s="80" t="str">
        <f ca="1">IFERROR(__xludf.DUMMYFUNCTION("""COMPUTED_VALUE"""),"RH")</f>
        <v>RH</v>
      </c>
      <c r="I1769" s="80">
        <f ca="1">IFERROR(__xludf.DUMMYFUNCTION("""COMPUTED_VALUE"""),3)</f>
        <v>3</v>
      </c>
      <c r="J1769" s="85">
        <f ca="1">IFERROR(__xludf.DUMMYFUNCTION("""COMPUTED_VALUE"""),4)</f>
        <v>4</v>
      </c>
      <c r="K1769" s="85">
        <f ca="1">IFERROR(__xludf.DUMMYFUNCTION("""COMPUTED_VALUE"""),63.9)</f>
        <v>63.9</v>
      </c>
      <c r="L1769" s="85">
        <f ca="1">IFERROR(__xludf.DUMMYFUNCTION("""COMPUTED_VALUE"""),60.15)</f>
        <v>60.15</v>
      </c>
      <c r="M1769" s="85"/>
      <c r="N1769" s="85">
        <f ca="1">IFERROR(__xludf.DUMMYFUNCTION("""COMPUTED_VALUE"""),63.9)</f>
        <v>63.9</v>
      </c>
      <c r="O1769" s="85"/>
      <c r="P1769" s="85">
        <f ca="1">IFERROR(__xludf.DUMMYFUNCTION("""COMPUTED_VALUE"""),0)</f>
        <v>0</v>
      </c>
      <c r="Q1769" s="85"/>
      <c r="R1769" s="85">
        <f ca="1">IFERROR(__xludf.DUMMYFUNCTION("""COMPUTED_VALUE"""),54.3)</f>
        <v>54.3</v>
      </c>
      <c r="S1769" s="85"/>
      <c r="T1769" s="85"/>
      <c r="U1769" s="82"/>
      <c r="V1769" s="82"/>
      <c r="W1769" s="83"/>
      <c r="X1769" s="83"/>
      <c r="Y1769" s="83"/>
    </row>
    <row r="1770" spans="1:25" ht="13.8">
      <c r="A1770" s="78" t="str">
        <f ca="1">IFERROR(__xludf.DUMMYFUNCTION("""COMPUTED_VALUE"""),"RH")</f>
        <v>RH</v>
      </c>
      <c r="B1770" s="79" t="str">
        <f ca="1">IFERROR(__xludf.DUMMYFUNCTION("""COMPUTED_VALUE"""),"Leo Yarmolovich")</f>
        <v>Leo Yarmolovich</v>
      </c>
      <c r="C1770" s="78">
        <f ca="1">IFERROR(__xludf.DUMMYFUNCTION("""COMPUTED_VALUE"""),7)</f>
        <v>7</v>
      </c>
      <c r="D1770" s="78" t="str">
        <f ca="1">IFERROR(__xludf.DUMMYFUNCTION("""COMPUTED_VALUE"""),"B")</f>
        <v>B</v>
      </c>
      <c r="E1770" s="80" t="str">
        <f ca="1">IFERROR(__xludf.DUMMYFUNCTION("""COMPUTED_VALUE"""),"F")</f>
        <v>F</v>
      </c>
      <c r="F1770" s="80" t="str">
        <f ca="1">IFERROR(__xludf.DUMMYFUNCTION("""COMPUTED_VALUE"""),"J")</f>
        <v>J</v>
      </c>
      <c r="G1770" s="80">
        <f ca="1">IFERROR(__xludf.DUMMYFUNCTION("""COMPUTED_VALUE"""),5)</f>
        <v>5</v>
      </c>
      <c r="H1770" s="80" t="str">
        <f ca="1">IFERROR(__xludf.DUMMYFUNCTION("""COMPUTED_VALUE"""),"RH")</f>
        <v>RH</v>
      </c>
      <c r="I1770" s="80">
        <f ca="1">IFERROR(__xludf.DUMMYFUNCTION("""COMPUTED_VALUE"""),3)</f>
        <v>3</v>
      </c>
      <c r="J1770" s="85">
        <f ca="1">IFERROR(__xludf.DUMMYFUNCTION("""COMPUTED_VALUE"""),0)</f>
        <v>0</v>
      </c>
      <c r="K1770" s="85">
        <f ca="1">IFERROR(__xludf.DUMMYFUNCTION("""COMPUTED_VALUE"""),0)</f>
        <v>0</v>
      </c>
      <c r="L1770" s="85">
        <f ca="1">IFERROR(__xludf.DUMMYFUNCTION("""COMPUTED_VALUE"""),0)</f>
        <v>0</v>
      </c>
      <c r="M1770" s="85"/>
      <c r="N1770" s="85">
        <f ca="1">IFERROR(__xludf.DUMMYFUNCTION("""COMPUTED_VALUE"""),0)</f>
        <v>0</v>
      </c>
      <c r="O1770" s="85"/>
      <c r="P1770" s="85">
        <f ca="1">IFERROR(__xludf.DUMMYFUNCTION("""COMPUTED_VALUE"""),0)</f>
        <v>0</v>
      </c>
      <c r="Q1770" s="85"/>
      <c r="R1770" s="85">
        <f ca="1">IFERROR(__xludf.DUMMYFUNCTION("""COMPUTED_VALUE"""),0)</f>
        <v>0</v>
      </c>
      <c r="S1770" s="85"/>
      <c r="T1770" s="85"/>
      <c r="U1770" s="82"/>
      <c r="V1770" s="82"/>
      <c r="W1770" s="83"/>
      <c r="X1770" s="83"/>
      <c r="Y1770" s="83"/>
    </row>
    <row r="1771" spans="1:25" ht="13.8">
      <c r="A1771" s="78" t="str">
        <f ca="1">IFERROR(__xludf.DUMMYFUNCTION("""COMPUTED_VALUE"""),"RH")</f>
        <v>RH</v>
      </c>
      <c r="B1771" s="79" t="str">
        <f ca="1">IFERROR(__xludf.DUMMYFUNCTION("""COMPUTED_VALUE"""),"Sophia Cain")</f>
        <v>Sophia Cain</v>
      </c>
      <c r="C1771" s="78">
        <f ca="1">IFERROR(__xludf.DUMMYFUNCTION("""COMPUTED_VALUE"""),11)</f>
        <v>11</v>
      </c>
      <c r="D1771" s="78" t="str">
        <f ca="1">IFERROR(__xludf.DUMMYFUNCTION("""COMPUTED_VALUE"""),"G")</f>
        <v>G</v>
      </c>
      <c r="E1771" s="80" t="str">
        <f ca="1">IFERROR(__xludf.DUMMYFUNCTION("""COMPUTED_VALUE"""),"J")</f>
        <v>J</v>
      </c>
      <c r="F1771" s="80" t="str">
        <f ca="1">IFERROR(__xludf.DUMMYFUNCTION("""COMPUTED_VALUE"""),"I")</f>
        <v>I</v>
      </c>
      <c r="G1771" s="80">
        <f ca="1">IFERROR(__xludf.DUMMYFUNCTION("""COMPUTED_VALUE"""),5)</f>
        <v>5</v>
      </c>
      <c r="H1771" s="80" t="str">
        <f ca="1">IFERROR(__xludf.DUMMYFUNCTION("""COMPUTED_VALUE"""),"RH")</f>
        <v>RH</v>
      </c>
      <c r="I1771" s="80">
        <f ca="1">IFERROR(__xludf.DUMMYFUNCTION("""COMPUTED_VALUE"""),4)</f>
        <v>4</v>
      </c>
      <c r="J1771" s="85">
        <f ca="1">IFERROR(__xludf.DUMMYFUNCTION("""COMPUTED_VALUE"""),0)</f>
        <v>0</v>
      </c>
      <c r="K1771" s="85">
        <f ca="1">IFERROR(__xludf.DUMMYFUNCTION("""COMPUTED_VALUE"""),0)</f>
        <v>0</v>
      </c>
      <c r="L1771" s="85">
        <f ca="1">IFERROR(__xludf.DUMMYFUNCTION("""COMPUTED_VALUE"""),0)</f>
        <v>0</v>
      </c>
      <c r="M1771" s="85"/>
      <c r="N1771" s="85">
        <f ca="1">IFERROR(__xludf.DUMMYFUNCTION("""COMPUTED_VALUE"""),0)</f>
        <v>0</v>
      </c>
      <c r="O1771" s="85"/>
      <c r="P1771" s="85">
        <f ca="1">IFERROR(__xludf.DUMMYFUNCTION("""COMPUTED_VALUE"""),0)</f>
        <v>0</v>
      </c>
      <c r="Q1771" s="85"/>
      <c r="R1771" s="85">
        <f ca="1">IFERROR(__xludf.DUMMYFUNCTION("""COMPUTED_VALUE"""),0)</f>
        <v>0</v>
      </c>
      <c r="S1771" s="85"/>
      <c r="T1771" s="85"/>
      <c r="U1771" s="82"/>
      <c r="V1771" s="82"/>
      <c r="W1771" s="83"/>
      <c r="X1771" s="83"/>
      <c r="Y1771" s="83"/>
    </row>
    <row r="1772" spans="1:25" ht="13.8">
      <c r="A1772" s="78" t="str">
        <f ca="1">IFERROR(__xludf.DUMMYFUNCTION("""COMPUTED_VALUE"""),"RH")</f>
        <v>RH</v>
      </c>
      <c r="B1772" s="79" t="str">
        <f ca="1">IFERROR(__xludf.DUMMYFUNCTION("""COMPUTED_VALUE"""),"Catherine Flanagan")</f>
        <v>Catherine Flanagan</v>
      </c>
      <c r="C1772" s="78">
        <f ca="1">IFERROR(__xludf.DUMMYFUNCTION("""COMPUTED_VALUE"""),12)</f>
        <v>12</v>
      </c>
      <c r="D1772" s="78" t="str">
        <f ca="1">IFERROR(__xludf.DUMMYFUNCTION("""COMPUTED_VALUE"""),"G")</f>
        <v>G</v>
      </c>
      <c r="E1772" s="80" t="str">
        <f ca="1">IFERROR(__xludf.DUMMYFUNCTION("""COMPUTED_VALUE"""),"J")</f>
        <v>J</v>
      </c>
      <c r="F1772" s="80" t="str">
        <f ca="1">IFERROR(__xludf.DUMMYFUNCTION("""COMPUTED_VALUE"""),"I")</f>
        <v>I</v>
      </c>
      <c r="G1772" s="80">
        <f ca="1">IFERROR(__xludf.DUMMYFUNCTION("""COMPUTED_VALUE"""),5)</f>
        <v>5</v>
      </c>
      <c r="H1772" s="80" t="str">
        <f ca="1">IFERROR(__xludf.DUMMYFUNCTION("""COMPUTED_VALUE"""),"RH")</f>
        <v>RH</v>
      </c>
      <c r="I1772" s="80">
        <f ca="1">IFERROR(__xludf.DUMMYFUNCTION("""COMPUTED_VALUE"""),4)</f>
        <v>4</v>
      </c>
      <c r="J1772" s="85">
        <f ca="1">IFERROR(__xludf.DUMMYFUNCTION("""COMPUTED_VALUE"""),1)</f>
        <v>1</v>
      </c>
      <c r="K1772" s="85">
        <f ca="1">IFERROR(__xludf.DUMMYFUNCTION("""COMPUTED_VALUE"""),0)</f>
        <v>0</v>
      </c>
      <c r="L1772" s="85">
        <f ca="1">IFERROR(__xludf.DUMMYFUNCTION("""COMPUTED_VALUE"""),0)</f>
        <v>0</v>
      </c>
      <c r="M1772" s="85"/>
      <c r="N1772" s="85">
        <f ca="1">IFERROR(__xludf.DUMMYFUNCTION("""COMPUTED_VALUE"""),0)</f>
        <v>0</v>
      </c>
      <c r="O1772" s="85"/>
      <c r="P1772" s="85">
        <f ca="1">IFERROR(__xludf.DUMMYFUNCTION("""COMPUTED_VALUE"""),0)</f>
        <v>0</v>
      </c>
      <c r="Q1772" s="85"/>
      <c r="R1772" s="85">
        <f ca="1">IFERROR(__xludf.DUMMYFUNCTION("""COMPUTED_VALUE"""),0)</f>
        <v>0</v>
      </c>
      <c r="S1772" s="85"/>
      <c r="T1772" s="85"/>
      <c r="U1772" s="82"/>
      <c r="V1772" s="82"/>
      <c r="W1772" s="83"/>
      <c r="X1772" s="83"/>
      <c r="Y1772" s="83"/>
    </row>
    <row r="1773" spans="1:25" ht="13.8">
      <c r="A1773" s="78" t="str">
        <f ca="1">IFERROR(__xludf.DUMMYFUNCTION("""COMPUTED_VALUE"""),"RH")</f>
        <v>RH</v>
      </c>
      <c r="B1773" s="79" t="str">
        <f ca="1">IFERROR(__xludf.DUMMYFUNCTION("""COMPUTED_VALUE"""),"Edie Freeman")</f>
        <v>Edie Freeman</v>
      </c>
      <c r="C1773" s="78">
        <f ca="1">IFERROR(__xludf.DUMMYFUNCTION("""COMPUTED_VALUE"""),11)</f>
        <v>11</v>
      </c>
      <c r="D1773" s="78" t="str">
        <f ca="1">IFERROR(__xludf.DUMMYFUNCTION("""COMPUTED_VALUE"""),"G")</f>
        <v>G</v>
      </c>
      <c r="E1773" s="80" t="str">
        <f ca="1">IFERROR(__xludf.DUMMYFUNCTION("""COMPUTED_VALUE"""),"J")</f>
        <v>J</v>
      </c>
      <c r="F1773" s="80" t="str">
        <f ca="1">IFERROR(__xludf.DUMMYFUNCTION("""COMPUTED_VALUE"""),"I")</f>
        <v>I</v>
      </c>
      <c r="G1773" s="80">
        <f ca="1">IFERROR(__xludf.DUMMYFUNCTION("""COMPUTED_VALUE"""),5)</f>
        <v>5</v>
      </c>
      <c r="H1773" s="80" t="str">
        <f ca="1">IFERROR(__xludf.DUMMYFUNCTION("""COMPUTED_VALUE"""),"RH")</f>
        <v>RH</v>
      </c>
      <c r="I1773" s="80">
        <f ca="1">IFERROR(__xludf.DUMMYFUNCTION("""COMPUTED_VALUE"""),4)</f>
        <v>4</v>
      </c>
      <c r="J1773" s="85">
        <f ca="1">IFERROR(__xludf.DUMMYFUNCTION("""COMPUTED_VALUE"""),3)</f>
        <v>3</v>
      </c>
      <c r="K1773" s="85">
        <f ca="1">IFERROR(__xludf.DUMMYFUNCTION("""COMPUTED_VALUE"""),87.2)</f>
        <v>87.2</v>
      </c>
      <c r="L1773" s="85">
        <f ca="1">IFERROR(__xludf.DUMMYFUNCTION("""COMPUTED_VALUE"""),87.2)</f>
        <v>87.2</v>
      </c>
      <c r="M1773" s="85"/>
      <c r="N1773" s="85">
        <f ca="1">IFERROR(__xludf.DUMMYFUNCTION("""COMPUTED_VALUE"""),75.6)</f>
        <v>75.599999999999994</v>
      </c>
      <c r="O1773" s="85"/>
      <c r="P1773" s="85">
        <f ca="1">IFERROR(__xludf.DUMMYFUNCTION("""COMPUTED_VALUE"""),0)</f>
        <v>0</v>
      </c>
      <c r="Q1773" s="85"/>
      <c r="R1773" s="85">
        <f ca="1">IFERROR(__xludf.DUMMYFUNCTION("""COMPUTED_VALUE"""),0)</f>
        <v>0</v>
      </c>
      <c r="S1773" s="85"/>
      <c r="T1773" s="85"/>
      <c r="U1773" s="82"/>
      <c r="V1773" s="82"/>
      <c r="W1773" s="83"/>
      <c r="X1773" s="83"/>
      <c r="Y1773" s="83"/>
    </row>
    <row r="1774" spans="1:25" ht="13.8">
      <c r="A1774" s="78" t="str">
        <f ca="1">IFERROR(__xludf.DUMMYFUNCTION("""COMPUTED_VALUE"""),"RH")</f>
        <v>RH</v>
      </c>
      <c r="B1774" s="79" t="str">
        <f ca="1">IFERROR(__xludf.DUMMYFUNCTION("""COMPUTED_VALUE"""),"Ella Hackett")</f>
        <v>Ella Hackett</v>
      </c>
      <c r="C1774" s="78">
        <f ca="1">IFERROR(__xludf.DUMMYFUNCTION("""COMPUTED_VALUE"""),11)</f>
        <v>11</v>
      </c>
      <c r="D1774" s="78" t="str">
        <f ca="1">IFERROR(__xludf.DUMMYFUNCTION("""COMPUTED_VALUE"""),"G")</f>
        <v>G</v>
      </c>
      <c r="E1774" s="80" t="str">
        <f ca="1">IFERROR(__xludf.DUMMYFUNCTION("""COMPUTED_VALUE"""),"J")</f>
        <v>J</v>
      </c>
      <c r="F1774" s="80" t="str">
        <f ca="1">IFERROR(__xludf.DUMMYFUNCTION("""COMPUTED_VALUE"""),"I")</f>
        <v>I</v>
      </c>
      <c r="G1774" s="80">
        <f ca="1">IFERROR(__xludf.DUMMYFUNCTION("""COMPUTED_VALUE"""),5)</f>
        <v>5</v>
      </c>
      <c r="H1774" s="80" t="str">
        <f ca="1">IFERROR(__xludf.DUMMYFUNCTION("""COMPUTED_VALUE"""),"RH")</f>
        <v>RH</v>
      </c>
      <c r="I1774" s="80">
        <f ca="1">IFERROR(__xludf.DUMMYFUNCTION("""COMPUTED_VALUE"""),4)</f>
        <v>4</v>
      </c>
      <c r="J1774" s="85">
        <f ca="1">IFERROR(__xludf.DUMMYFUNCTION("""COMPUTED_VALUE"""),0)</f>
        <v>0</v>
      </c>
      <c r="K1774" s="85">
        <f ca="1">IFERROR(__xludf.DUMMYFUNCTION("""COMPUTED_VALUE"""),0)</f>
        <v>0</v>
      </c>
      <c r="L1774" s="85">
        <f ca="1">IFERROR(__xludf.DUMMYFUNCTION("""COMPUTED_VALUE"""),0)</f>
        <v>0</v>
      </c>
      <c r="M1774" s="85"/>
      <c r="N1774" s="85">
        <f ca="1">IFERROR(__xludf.DUMMYFUNCTION("""COMPUTED_VALUE"""),0)</f>
        <v>0</v>
      </c>
      <c r="O1774" s="85"/>
      <c r="P1774" s="85">
        <f ca="1">IFERROR(__xludf.DUMMYFUNCTION("""COMPUTED_VALUE"""),0)</f>
        <v>0</v>
      </c>
      <c r="Q1774" s="85"/>
      <c r="R1774" s="85">
        <f ca="1">IFERROR(__xludf.DUMMYFUNCTION("""COMPUTED_VALUE"""),0)</f>
        <v>0</v>
      </c>
      <c r="S1774" s="85"/>
      <c r="T1774" s="85"/>
      <c r="U1774" s="82"/>
      <c r="V1774" s="82"/>
      <c r="W1774" s="83"/>
      <c r="X1774" s="83"/>
      <c r="Y1774" s="83"/>
    </row>
    <row r="1775" spans="1:25" ht="13.8">
      <c r="A1775" s="78" t="str">
        <f ca="1">IFERROR(__xludf.DUMMYFUNCTION("""COMPUTED_VALUE"""),"RH")</f>
        <v>RH</v>
      </c>
      <c r="B1775" s="79" t="str">
        <f ca="1">IFERROR(__xludf.DUMMYFUNCTION("""COMPUTED_VALUE"""),"Anamarie Harrison")</f>
        <v>Anamarie Harrison</v>
      </c>
      <c r="C1775" s="78">
        <f ca="1">IFERROR(__xludf.DUMMYFUNCTION("""COMPUTED_VALUE"""),12)</f>
        <v>12</v>
      </c>
      <c r="D1775" s="78" t="str">
        <f ca="1">IFERROR(__xludf.DUMMYFUNCTION("""COMPUTED_VALUE"""),"G")</f>
        <v>G</v>
      </c>
      <c r="E1775" s="80" t="str">
        <f ca="1">IFERROR(__xludf.DUMMYFUNCTION("""COMPUTED_VALUE"""),"J")</f>
        <v>J</v>
      </c>
      <c r="F1775" s="80" t="str">
        <f ca="1">IFERROR(__xludf.DUMMYFUNCTION("""COMPUTED_VALUE"""),"I")</f>
        <v>I</v>
      </c>
      <c r="G1775" s="80">
        <f ca="1">IFERROR(__xludf.DUMMYFUNCTION("""COMPUTED_VALUE"""),5)</f>
        <v>5</v>
      </c>
      <c r="H1775" s="80" t="str">
        <f ca="1">IFERROR(__xludf.DUMMYFUNCTION("""COMPUTED_VALUE"""),"RH")</f>
        <v>RH</v>
      </c>
      <c r="I1775" s="80">
        <f ca="1">IFERROR(__xludf.DUMMYFUNCTION("""COMPUTED_VALUE"""),4)</f>
        <v>4</v>
      </c>
      <c r="J1775" s="85">
        <f ca="1">IFERROR(__xludf.DUMMYFUNCTION("""COMPUTED_VALUE"""),3)</f>
        <v>3</v>
      </c>
      <c r="K1775" s="85">
        <f ca="1">IFERROR(__xludf.DUMMYFUNCTION("""COMPUTED_VALUE"""),88.95)</f>
        <v>88.95</v>
      </c>
      <c r="L1775" s="85">
        <f ca="1">IFERROR(__xludf.DUMMYFUNCTION("""COMPUTED_VALUE"""),0)</f>
        <v>0</v>
      </c>
      <c r="M1775" s="85"/>
      <c r="N1775" s="85">
        <f ca="1">IFERROR(__xludf.DUMMYFUNCTION("""COMPUTED_VALUE"""),81.1)</f>
        <v>81.099999999999994</v>
      </c>
      <c r="O1775" s="85"/>
      <c r="P1775" s="85">
        <f ca="1">IFERROR(__xludf.DUMMYFUNCTION("""COMPUTED_VALUE"""),88.95)</f>
        <v>88.95</v>
      </c>
      <c r="Q1775" s="85"/>
      <c r="R1775" s="85">
        <f ca="1">IFERROR(__xludf.DUMMYFUNCTION("""COMPUTED_VALUE"""),0)</f>
        <v>0</v>
      </c>
      <c r="S1775" s="85"/>
      <c r="T1775" s="85"/>
      <c r="U1775" s="82"/>
      <c r="V1775" s="82"/>
      <c r="W1775" s="83"/>
      <c r="X1775" s="83"/>
      <c r="Y1775" s="83"/>
    </row>
    <row r="1776" spans="1:25" ht="13.8">
      <c r="A1776" s="78" t="str">
        <f ca="1">IFERROR(__xludf.DUMMYFUNCTION("""COMPUTED_VALUE"""),"RH")</f>
        <v>RH</v>
      </c>
      <c r="B1776" s="79" t="str">
        <f ca="1">IFERROR(__xludf.DUMMYFUNCTION("""COMPUTED_VALUE"""),"Anne Juster")</f>
        <v>Anne Juster</v>
      </c>
      <c r="C1776" s="78">
        <f ca="1">IFERROR(__xludf.DUMMYFUNCTION("""COMPUTED_VALUE"""),11)</f>
        <v>11</v>
      </c>
      <c r="D1776" s="78" t="str">
        <f ca="1">IFERROR(__xludf.DUMMYFUNCTION("""COMPUTED_VALUE"""),"G")</f>
        <v>G</v>
      </c>
      <c r="E1776" s="80" t="str">
        <f ca="1">IFERROR(__xludf.DUMMYFUNCTION("""COMPUTED_VALUE"""),"J")</f>
        <v>J</v>
      </c>
      <c r="F1776" s="80" t="str">
        <f ca="1">IFERROR(__xludf.DUMMYFUNCTION("""COMPUTED_VALUE"""),"I")</f>
        <v>I</v>
      </c>
      <c r="G1776" s="80">
        <f ca="1">IFERROR(__xludf.DUMMYFUNCTION("""COMPUTED_VALUE"""),5)</f>
        <v>5</v>
      </c>
      <c r="H1776" s="80" t="str">
        <f ca="1">IFERROR(__xludf.DUMMYFUNCTION("""COMPUTED_VALUE"""),"RH")</f>
        <v>RH</v>
      </c>
      <c r="I1776" s="80">
        <f ca="1">IFERROR(__xludf.DUMMYFUNCTION("""COMPUTED_VALUE"""),4)</f>
        <v>4</v>
      </c>
      <c r="J1776" s="85">
        <f ca="1">IFERROR(__xludf.DUMMYFUNCTION("""COMPUTED_VALUE"""),4)</f>
        <v>4</v>
      </c>
      <c r="K1776" s="85">
        <f ca="1">IFERROR(__xludf.DUMMYFUNCTION("""COMPUTED_VALUE"""),63.95)</f>
        <v>63.95</v>
      </c>
      <c r="L1776" s="85">
        <f ca="1">IFERROR(__xludf.DUMMYFUNCTION("""COMPUTED_VALUE"""),0)</f>
        <v>0</v>
      </c>
      <c r="M1776" s="85"/>
      <c r="N1776" s="85">
        <f ca="1">IFERROR(__xludf.DUMMYFUNCTION("""COMPUTED_VALUE"""),63.35)</f>
        <v>63.35</v>
      </c>
      <c r="O1776" s="85"/>
      <c r="P1776" s="85">
        <f ca="1">IFERROR(__xludf.DUMMYFUNCTION("""COMPUTED_VALUE"""),63.95)</f>
        <v>63.95</v>
      </c>
      <c r="Q1776" s="85"/>
      <c r="R1776" s="85">
        <f ca="1">IFERROR(__xludf.DUMMYFUNCTION("""COMPUTED_VALUE"""),59)</f>
        <v>59</v>
      </c>
      <c r="S1776" s="85"/>
      <c r="T1776" s="85"/>
      <c r="U1776" s="82"/>
      <c r="V1776" s="82"/>
      <c r="W1776" s="83"/>
      <c r="X1776" s="83"/>
      <c r="Y1776" s="83"/>
    </row>
    <row r="1777" spans="1:25" ht="13.8">
      <c r="A1777" s="78" t="str">
        <f ca="1">IFERROR(__xludf.DUMMYFUNCTION("""COMPUTED_VALUE"""),"RH")</f>
        <v>RH</v>
      </c>
      <c r="B1777" s="79" t="str">
        <f ca="1">IFERROR(__xludf.DUMMYFUNCTION("""COMPUTED_VALUE"""),"Jennifer Luk")</f>
        <v>Jennifer Luk</v>
      </c>
      <c r="C1777" s="78">
        <f ca="1">IFERROR(__xludf.DUMMYFUNCTION("""COMPUTED_VALUE"""),11)</f>
        <v>11</v>
      </c>
      <c r="D1777" s="78" t="str">
        <f ca="1">IFERROR(__xludf.DUMMYFUNCTION("""COMPUTED_VALUE"""),"G")</f>
        <v>G</v>
      </c>
      <c r="E1777" s="80" t="str">
        <f ca="1">IFERROR(__xludf.DUMMYFUNCTION("""COMPUTED_VALUE"""),"J")</f>
        <v>J</v>
      </c>
      <c r="F1777" s="80" t="str">
        <f ca="1">IFERROR(__xludf.DUMMYFUNCTION("""COMPUTED_VALUE"""),"I")</f>
        <v>I</v>
      </c>
      <c r="G1777" s="80">
        <f ca="1">IFERROR(__xludf.DUMMYFUNCTION("""COMPUTED_VALUE"""),5)</f>
        <v>5</v>
      </c>
      <c r="H1777" s="80" t="str">
        <f ca="1">IFERROR(__xludf.DUMMYFUNCTION("""COMPUTED_VALUE"""),"RH")</f>
        <v>RH</v>
      </c>
      <c r="I1777" s="80">
        <f ca="1">IFERROR(__xludf.DUMMYFUNCTION("""COMPUTED_VALUE"""),4)</f>
        <v>4</v>
      </c>
      <c r="J1777" s="85">
        <f ca="1">IFERROR(__xludf.DUMMYFUNCTION("""COMPUTED_VALUE"""),0)</f>
        <v>0</v>
      </c>
      <c r="K1777" s="85">
        <f ca="1">IFERROR(__xludf.DUMMYFUNCTION("""COMPUTED_VALUE"""),0)</f>
        <v>0</v>
      </c>
      <c r="L1777" s="85">
        <f ca="1">IFERROR(__xludf.DUMMYFUNCTION("""COMPUTED_VALUE"""),0)</f>
        <v>0</v>
      </c>
      <c r="M1777" s="85"/>
      <c r="N1777" s="85">
        <f ca="1">IFERROR(__xludf.DUMMYFUNCTION("""COMPUTED_VALUE"""),0)</f>
        <v>0</v>
      </c>
      <c r="O1777" s="85"/>
      <c r="P1777" s="85">
        <f ca="1">IFERROR(__xludf.DUMMYFUNCTION("""COMPUTED_VALUE"""),0)</f>
        <v>0</v>
      </c>
      <c r="Q1777" s="85"/>
      <c r="R1777" s="85">
        <f ca="1">IFERROR(__xludf.DUMMYFUNCTION("""COMPUTED_VALUE"""),0)</f>
        <v>0</v>
      </c>
      <c r="S1777" s="85"/>
      <c r="T1777" s="85"/>
      <c r="U1777" s="82"/>
      <c r="V1777" s="82"/>
      <c r="W1777" s="83"/>
      <c r="X1777" s="83"/>
      <c r="Y1777" s="83"/>
    </row>
    <row r="1778" spans="1:25" ht="13.8">
      <c r="A1778" s="78" t="str">
        <f ca="1">IFERROR(__xludf.DUMMYFUNCTION("""COMPUTED_VALUE"""),"RH")</f>
        <v>RH</v>
      </c>
      <c r="B1778" s="79" t="str">
        <f ca="1">IFERROR(__xludf.DUMMYFUNCTION("""COMPUTED_VALUE"""),"Sophia Newtson")</f>
        <v>Sophia Newtson</v>
      </c>
      <c r="C1778" s="78">
        <f ca="1">IFERROR(__xludf.DUMMYFUNCTION("""COMPUTED_VALUE"""),12)</f>
        <v>12</v>
      </c>
      <c r="D1778" s="78" t="str">
        <f ca="1">IFERROR(__xludf.DUMMYFUNCTION("""COMPUTED_VALUE"""),"G")</f>
        <v>G</v>
      </c>
      <c r="E1778" s="80" t="str">
        <f ca="1">IFERROR(__xludf.DUMMYFUNCTION("""COMPUTED_VALUE"""),"J")</f>
        <v>J</v>
      </c>
      <c r="F1778" s="80" t="str">
        <f ca="1">IFERROR(__xludf.DUMMYFUNCTION("""COMPUTED_VALUE"""),"I")</f>
        <v>I</v>
      </c>
      <c r="G1778" s="80">
        <f ca="1">IFERROR(__xludf.DUMMYFUNCTION("""COMPUTED_VALUE"""),5)</f>
        <v>5</v>
      </c>
      <c r="H1778" s="80" t="str">
        <f ca="1">IFERROR(__xludf.DUMMYFUNCTION("""COMPUTED_VALUE"""),"RH")</f>
        <v>RH</v>
      </c>
      <c r="I1778" s="80">
        <f ca="1">IFERROR(__xludf.DUMMYFUNCTION("""COMPUTED_VALUE"""),4)</f>
        <v>4</v>
      </c>
      <c r="J1778" s="85">
        <f ca="1">IFERROR(__xludf.DUMMYFUNCTION("""COMPUTED_VALUE"""),3)</f>
        <v>3</v>
      </c>
      <c r="K1778" s="85">
        <f ca="1">IFERROR(__xludf.DUMMYFUNCTION("""COMPUTED_VALUE"""),75.5)</f>
        <v>75.5</v>
      </c>
      <c r="L1778" s="85">
        <f ca="1">IFERROR(__xludf.DUMMYFUNCTION("""COMPUTED_VALUE"""),0)</f>
        <v>0</v>
      </c>
      <c r="M1778" s="85"/>
      <c r="N1778" s="85">
        <f ca="1">IFERROR(__xludf.DUMMYFUNCTION("""COMPUTED_VALUE"""),0)</f>
        <v>0</v>
      </c>
      <c r="O1778" s="85"/>
      <c r="P1778" s="85">
        <f ca="1">IFERROR(__xludf.DUMMYFUNCTION("""COMPUTED_VALUE"""),68.35)</f>
        <v>68.349999999999994</v>
      </c>
      <c r="Q1778" s="85"/>
      <c r="R1778" s="85">
        <f ca="1">IFERROR(__xludf.DUMMYFUNCTION("""COMPUTED_VALUE"""),75.5)</f>
        <v>75.5</v>
      </c>
      <c r="S1778" s="85"/>
      <c r="T1778" s="85"/>
      <c r="U1778" s="82"/>
      <c r="V1778" s="82"/>
      <c r="W1778" s="83"/>
      <c r="X1778" s="83"/>
      <c r="Y1778" s="83"/>
    </row>
    <row r="1779" spans="1:25" ht="13.8">
      <c r="A1779" s="78" t="str">
        <f ca="1">IFERROR(__xludf.DUMMYFUNCTION("""COMPUTED_VALUE"""),"RH")</f>
        <v>RH</v>
      </c>
      <c r="B1779" s="79" t="str">
        <f ca="1">IFERROR(__xludf.DUMMYFUNCTION("""COMPUTED_VALUE"""),"Rob Freeman")</f>
        <v>Rob Freeman</v>
      </c>
      <c r="C1779" s="78">
        <f ca="1">IFERROR(__xludf.DUMMYFUNCTION("""COMPUTED_VALUE"""),11)</f>
        <v>11</v>
      </c>
      <c r="D1779" s="78" t="str">
        <f ca="1">IFERROR(__xludf.DUMMYFUNCTION("""COMPUTED_VALUE"""),"B")</f>
        <v>B</v>
      </c>
      <c r="E1779" s="80" t="str">
        <f ca="1">IFERROR(__xludf.DUMMYFUNCTION("""COMPUTED_VALUE"""),"J")</f>
        <v>J</v>
      </c>
      <c r="F1779" s="80" t="str">
        <f ca="1">IFERROR(__xludf.DUMMYFUNCTION("""COMPUTED_VALUE"""),"I")</f>
        <v>I</v>
      </c>
      <c r="G1779" s="80">
        <f ca="1">IFERROR(__xludf.DUMMYFUNCTION("""COMPUTED_VALUE"""),5)</f>
        <v>5</v>
      </c>
      <c r="H1779" s="80" t="str">
        <f ca="1">IFERROR(__xludf.DUMMYFUNCTION("""COMPUTED_VALUE"""),"RH")</f>
        <v>RH</v>
      </c>
      <c r="I1779" s="80">
        <f ca="1">IFERROR(__xludf.DUMMYFUNCTION("""COMPUTED_VALUE"""),5)</f>
        <v>5</v>
      </c>
      <c r="J1779" s="85">
        <f ca="1">IFERROR(__xludf.DUMMYFUNCTION("""COMPUTED_VALUE"""),1)</f>
        <v>1</v>
      </c>
      <c r="K1779" s="85">
        <f ca="1">IFERROR(__xludf.DUMMYFUNCTION("""COMPUTED_VALUE"""),0)</f>
        <v>0</v>
      </c>
      <c r="L1779" s="85">
        <f ca="1">IFERROR(__xludf.DUMMYFUNCTION("""COMPUTED_VALUE"""),0)</f>
        <v>0</v>
      </c>
      <c r="M1779" s="85"/>
      <c r="N1779" s="85">
        <f ca="1">IFERROR(__xludf.DUMMYFUNCTION("""COMPUTED_VALUE"""),0)</f>
        <v>0</v>
      </c>
      <c r="O1779" s="85"/>
      <c r="P1779" s="85">
        <f ca="1">IFERROR(__xludf.DUMMYFUNCTION("""COMPUTED_VALUE"""),0)</f>
        <v>0</v>
      </c>
      <c r="Q1779" s="85"/>
      <c r="R1779" s="85">
        <f ca="1">IFERROR(__xludf.DUMMYFUNCTION("""COMPUTED_VALUE"""),0)</f>
        <v>0</v>
      </c>
      <c r="S1779" s="85"/>
      <c r="T1779" s="85"/>
      <c r="U1779" s="82"/>
      <c r="V1779" s="82"/>
      <c r="W1779" s="83"/>
      <c r="X1779" s="83"/>
      <c r="Y1779" s="83"/>
    </row>
    <row r="1780" spans="1:25" ht="13.8">
      <c r="A1780" s="78" t="str">
        <f ca="1">IFERROR(__xludf.DUMMYFUNCTION("""COMPUTED_VALUE"""),"RH")</f>
        <v>RH</v>
      </c>
      <c r="B1780" s="79" t="str">
        <f ca="1">IFERROR(__xludf.DUMMYFUNCTION("""COMPUTED_VALUE"""),"Becket Lanier")</f>
        <v>Becket Lanier</v>
      </c>
      <c r="C1780" s="78">
        <f ca="1">IFERROR(__xludf.DUMMYFUNCTION("""COMPUTED_VALUE"""),11)</f>
        <v>11</v>
      </c>
      <c r="D1780" s="78" t="str">
        <f ca="1">IFERROR(__xludf.DUMMYFUNCTION("""COMPUTED_VALUE"""),"B")</f>
        <v>B</v>
      </c>
      <c r="E1780" s="80" t="str">
        <f ca="1">IFERROR(__xludf.DUMMYFUNCTION("""COMPUTED_VALUE"""),"J")</f>
        <v>J</v>
      </c>
      <c r="F1780" s="80" t="str">
        <f ca="1">IFERROR(__xludf.DUMMYFUNCTION("""COMPUTED_VALUE"""),"I")</f>
        <v>I</v>
      </c>
      <c r="G1780" s="80">
        <f ca="1">IFERROR(__xludf.DUMMYFUNCTION("""COMPUTED_VALUE"""),5)</f>
        <v>5</v>
      </c>
      <c r="H1780" s="80" t="str">
        <f ca="1">IFERROR(__xludf.DUMMYFUNCTION("""COMPUTED_VALUE"""),"RH")</f>
        <v>RH</v>
      </c>
      <c r="I1780" s="80">
        <f ca="1">IFERROR(__xludf.DUMMYFUNCTION("""COMPUTED_VALUE"""),5)</f>
        <v>5</v>
      </c>
      <c r="J1780" s="85">
        <f ca="1">IFERROR(__xludf.DUMMYFUNCTION("""COMPUTED_VALUE"""),4)</f>
        <v>4</v>
      </c>
      <c r="K1780" s="85">
        <f ca="1">IFERROR(__xludf.DUMMYFUNCTION("""COMPUTED_VALUE"""),95.5)</f>
        <v>95.5</v>
      </c>
      <c r="L1780" s="85">
        <f ca="1">IFERROR(__xludf.DUMMYFUNCTION("""COMPUTED_VALUE"""),0)</f>
        <v>0</v>
      </c>
      <c r="M1780" s="85"/>
      <c r="N1780" s="85">
        <f ca="1">IFERROR(__xludf.DUMMYFUNCTION("""COMPUTED_VALUE"""),86.95)</f>
        <v>86.95</v>
      </c>
      <c r="O1780" s="85"/>
      <c r="P1780" s="85">
        <f ca="1">IFERROR(__xludf.DUMMYFUNCTION("""COMPUTED_VALUE"""),87.25)</f>
        <v>87.25</v>
      </c>
      <c r="Q1780" s="85"/>
      <c r="R1780" s="85">
        <f ca="1">IFERROR(__xludf.DUMMYFUNCTION("""COMPUTED_VALUE"""),95.5)</f>
        <v>95.5</v>
      </c>
      <c r="S1780" s="85"/>
      <c r="T1780" s="85"/>
      <c r="U1780" s="82"/>
      <c r="V1780" s="82"/>
      <c r="W1780" s="83"/>
      <c r="X1780" s="83"/>
      <c r="Y1780" s="83"/>
    </row>
    <row r="1781" spans="1:25" ht="13.8">
      <c r="A1781" s="78" t="str">
        <f ca="1">IFERROR(__xludf.DUMMYFUNCTION("""COMPUTED_VALUE"""),"RH")</f>
        <v>RH</v>
      </c>
      <c r="B1781" s="79" t="str">
        <f ca="1">IFERROR(__xludf.DUMMYFUNCTION("""COMPUTED_VALUE"""),"Griffin Wagner")</f>
        <v>Griffin Wagner</v>
      </c>
      <c r="C1781" s="78">
        <f ca="1">IFERROR(__xludf.DUMMYFUNCTION("""COMPUTED_VALUE"""),11)</f>
        <v>11</v>
      </c>
      <c r="D1781" s="78" t="str">
        <f ca="1">IFERROR(__xludf.DUMMYFUNCTION("""COMPUTED_VALUE"""),"B")</f>
        <v>B</v>
      </c>
      <c r="E1781" s="80" t="str">
        <f ca="1">IFERROR(__xludf.DUMMYFUNCTION("""COMPUTED_VALUE"""),"J")</f>
        <v>J</v>
      </c>
      <c r="F1781" s="80" t="str">
        <f ca="1">IFERROR(__xludf.DUMMYFUNCTION("""COMPUTED_VALUE"""),"I")</f>
        <v>I</v>
      </c>
      <c r="G1781" s="80">
        <f ca="1">IFERROR(__xludf.DUMMYFUNCTION("""COMPUTED_VALUE"""),5)</f>
        <v>5</v>
      </c>
      <c r="H1781" s="80" t="str">
        <f ca="1">IFERROR(__xludf.DUMMYFUNCTION("""COMPUTED_VALUE"""),"RH")</f>
        <v>RH</v>
      </c>
      <c r="I1781" s="80">
        <f ca="1">IFERROR(__xludf.DUMMYFUNCTION("""COMPUTED_VALUE"""),5)</f>
        <v>5</v>
      </c>
      <c r="J1781" s="85">
        <f ca="1">IFERROR(__xludf.DUMMYFUNCTION("""COMPUTED_VALUE"""),3)</f>
        <v>3</v>
      </c>
      <c r="K1781" s="85">
        <f ca="1">IFERROR(__xludf.DUMMYFUNCTION("""COMPUTED_VALUE"""),77.5)</f>
        <v>77.5</v>
      </c>
      <c r="L1781" s="85">
        <f ca="1">IFERROR(__xludf.DUMMYFUNCTION("""COMPUTED_VALUE"""),0)</f>
        <v>0</v>
      </c>
      <c r="M1781" s="85"/>
      <c r="N1781" s="85">
        <f ca="1">IFERROR(__xludf.DUMMYFUNCTION("""COMPUTED_VALUE"""),0)</f>
        <v>0</v>
      </c>
      <c r="O1781" s="85"/>
      <c r="P1781" s="85">
        <f ca="1">IFERROR(__xludf.DUMMYFUNCTION("""COMPUTED_VALUE"""),74.6)</f>
        <v>74.599999999999994</v>
      </c>
      <c r="Q1781" s="85"/>
      <c r="R1781" s="85">
        <f ca="1">IFERROR(__xludf.DUMMYFUNCTION("""COMPUTED_VALUE"""),77.5)</f>
        <v>77.5</v>
      </c>
      <c r="S1781" s="85"/>
      <c r="T1781" s="85"/>
      <c r="U1781" s="82"/>
      <c r="V1781" s="82"/>
      <c r="W1781" s="83"/>
      <c r="X1781" s="83"/>
      <c r="Y1781" s="83"/>
    </row>
    <row r="1782" spans="1:25" ht="13.8">
      <c r="A1782" s="78" t="str">
        <f ca="1">IFERROR(__xludf.DUMMYFUNCTION("""COMPUTED_VALUE"""),"RH")</f>
        <v>RH</v>
      </c>
      <c r="B1782" s="79" t="str">
        <f ca="1">IFERROR(__xludf.DUMMYFUNCTION("""COMPUTED_VALUE"""),"Claire Berry")</f>
        <v>Claire Berry</v>
      </c>
      <c r="C1782" s="78">
        <f ca="1">IFERROR(__xludf.DUMMYFUNCTION("""COMPUTED_VALUE"""),13)</f>
        <v>13</v>
      </c>
      <c r="D1782" s="78" t="str">
        <f ca="1">IFERROR(__xludf.DUMMYFUNCTION("""COMPUTED_VALUE"""),"G")</f>
        <v>G</v>
      </c>
      <c r="E1782" s="80" t="str">
        <f ca="1">IFERROR(__xludf.DUMMYFUNCTION("""COMPUTED_VALUE"""),"I")</f>
        <v>I</v>
      </c>
      <c r="F1782" s="80" t="str">
        <f ca="1">IFERROR(__xludf.DUMMYFUNCTION("""COMPUTED_VALUE"""),"S")</f>
        <v>S</v>
      </c>
      <c r="G1782" s="80">
        <f ca="1">IFERROR(__xludf.DUMMYFUNCTION("""COMPUTED_VALUE"""),5)</f>
        <v>5</v>
      </c>
      <c r="H1782" s="80" t="str">
        <f ca="1">IFERROR(__xludf.DUMMYFUNCTION("""COMPUTED_VALUE"""),"RH")</f>
        <v>RH</v>
      </c>
      <c r="I1782" s="80">
        <f ca="1">IFERROR(__xludf.DUMMYFUNCTION("""COMPUTED_VALUE"""),6)</f>
        <v>6</v>
      </c>
      <c r="J1782" s="85">
        <f ca="1">IFERROR(__xludf.DUMMYFUNCTION("""COMPUTED_VALUE"""),3)</f>
        <v>3</v>
      </c>
      <c r="K1782" s="85">
        <f ca="1">IFERROR(__xludf.DUMMYFUNCTION("""COMPUTED_VALUE"""),122.8)</f>
        <v>122.8</v>
      </c>
      <c r="L1782" s="85">
        <f ca="1">IFERROR(__xludf.DUMMYFUNCTION("""COMPUTED_VALUE"""),122.8)</f>
        <v>122.8</v>
      </c>
      <c r="M1782" s="85"/>
      <c r="N1782" s="85">
        <f ca="1">IFERROR(__xludf.DUMMYFUNCTION("""COMPUTED_VALUE"""),0)</f>
        <v>0</v>
      </c>
      <c r="O1782" s="85"/>
      <c r="P1782" s="85">
        <f ca="1">IFERROR(__xludf.DUMMYFUNCTION("""COMPUTED_VALUE"""),0)</f>
        <v>0</v>
      </c>
      <c r="Q1782" s="85"/>
      <c r="R1782" s="85">
        <f ca="1">IFERROR(__xludf.DUMMYFUNCTION("""COMPUTED_VALUE"""),120)</f>
        <v>120</v>
      </c>
      <c r="S1782" s="85"/>
      <c r="T1782" s="85"/>
      <c r="U1782" s="82"/>
      <c r="V1782" s="82"/>
      <c r="W1782" s="83"/>
      <c r="X1782" s="83"/>
      <c r="Y1782" s="83"/>
    </row>
    <row r="1783" spans="1:25" ht="13.8">
      <c r="A1783" s="78" t="str">
        <f ca="1">IFERROR(__xludf.DUMMYFUNCTION("""COMPUTED_VALUE"""),"RH")</f>
        <v>RH</v>
      </c>
      <c r="B1783" s="79" t="str">
        <f ca="1">IFERROR(__xludf.DUMMYFUNCTION("""COMPUTED_VALUE"""),"Lyla Harrison")</f>
        <v>Lyla Harrison</v>
      </c>
      <c r="C1783" s="78">
        <f ca="1">IFERROR(__xludf.DUMMYFUNCTION("""COMPUTED_VALUE"""),14)</f>
        <v>14</v>
      </c>
      <c r="D1783" s="78" t="str">
        <f ca="1">IFERROR(__xludf.DUMMYFUNCTION("""COMPUTED_VALUE"""),"G")</f>
        <v>G</v>
      </c>
      <c r="E1783" s="80" t="str">
        <f ca="1">IFERROR(__xludf.DUMMYFUNCTION("""COMPUTED_VALUE"""),"I")</f>
        <v>I</v>
      </c>
      <c r="F1783" s="80" t="str">
        <f ca="1">IFERROR(__xludf.DUMMYFUNCTION("""COMPUTED_VALUE"""),"S")</f>
        <v>S</v>
      </c>
      <c r="G1783" s="80">
        <f ca="1">IFERROR(__xludf.DUMMYFUNCTION("""COMPUTED_VALUE"""),5)</f>
        <v>5</v>
      </c>
      <c r="H1783" s="80" t="str">
        <f ca="1">IFERROR(__xludf.DUMMYFUNCTION("""COMPUTED_VALUE"""),"RH")</f>
        <v>RH</v>
      </c>
      <c r="I1783" s="80">
        <f ca="1">IFERROR(__xludf.DUMMYFUNCTION("""COMPUTED_VALUE"""),6)</f>
        <v>6</v>
      </c>
      <c r="J1783" s="85">
        <f ca="1">IFERROR(__xludf.DUMMYFUNCTION("""COMPUTED_VALUE"""),4)</f>
        <v>4</v>
      </c>
      <c r="K1783" s="85">
        <f ca="1">IFERROR(__xludf.DUMMYFUNCTION("""COMPUTED_VALUE"""),98.5)</f>
        <v>98.5</v>
      </c>
      <c r="L1783" s="85">
        <f ca="1">IFERROR(__xludf.DUMMYFUNCTION("""COMPUTED_VALUE"""),93.95)</f>
        <v>93.95</v>
      </c>
      <c r="M1783" s="85"/>
      <c r="N1783" s="85">
        <f ca="1">IFERROR(__xludf.DUMMYFUNCTION("""COMPUTED_VALUE"""),98.5)</f>
        <v>98.5</v>
      </c>
      <c r="O1783" s="85"/>
      <c r="P1783" s="85">
        <f ca="1">IFERROR(__xludf.DUMMYFUNCTION("""COMPUTED_VALUE"""),82.35)</f>
        <v>82.35</v>
      </c>
      <c r="Q1783" s="85"/>
      <c r="R1783" s="85">
        <f ca="1">IFERROR(__xludf.DUMMYFUNCTION("""COMPUTED_VALUE"""),0)</f>
        <v>0</v>
      </c>
      <c r="S1783" s="85"/>
      <c r="T1783" s="85"/>
      <c r="U1783" s="82"/>
      <c r="V1783" s="82"/>
      <c r="W1783" s="83"/>
      <c r="X1783" s="83"/>
      <c r="Y1783" s="83"/>
    </row>
    <row r="1784" spans="1:25" ht="13.8">
      <c r="A1784" s="78" t="str">
        <f ca="1">IFERROR(__xludf.DUMMYFUNCTION("""COMPUTED_VALUE"""),"RH")</f>
        <v>RH</v>
      </c>
      <c r="B1784" s="79" t="str">
        <f ca="1">IFERROR(__xludf.DUMMYFUNCTION("""COMPUTED_VALUE"""),"Natalia Sayasithsena")</f>
        <v>Natalia Sayasithsena</v>
      </c>
      <c r="C1784" s="78">
        <f ca="1">IFERROR(__xludf.DUMMYFUNCTION("""COMPUTED_VALUE"""),13)</f>
        <v>13</v>
      </c>
      <c r="D1784" s="78" t="str">
        <f ca="1">IFERROR(__xludf.DUMMYFUNCTION("""COMPUTED_VALUE"""),"G")</f>
        <v>G</v>
      </c>
      <c r="E1784" s="80" t="str">
        <f ca="1">IFERROR(__xludf.DUMMYFUNCTION("""COMPUTED_VALUE"""),"I")</f>
        <v>I</v>
      </c>
      <c r="F1784" s="80" t="str">
        <f ca="1">IFERROR(__xludf.DUMMYFUNCTION("""COMPUTED_VALUE"""),"S")</f>
        <v>S</v>
      </c>
      <c r="G1784" s="80">
        <f ca="1">IFERROR(__xludf.DUMMYFUNCTION("""COMPUTED_VALUE"""),5)</f>
        <v>5</v>
      </c>
      <c r="H1784" s="80" t="str">
        <f ca="1">IFERROR(__xludf.DUMMYFUNCTION("""COMPUTED_VALUE"""),"RH")</f>
        <v>RH</v>
      </c>
      <c r="I1784" s="80">
        <f ca="1">IFERROR(__xludf.DUMMYFUNCTION("""COMPUTED_VALUE"""),6)</f>
        <v>6</v>
      </c>
      <c r="J1784" s="85">
        <f ca="1">IFERROR(__xludf.DUMMYFUNCTION("""COMPUTED_VALUE"""),3)</f>
        <v>3</v>
      </c>
      <c r="K1784" s="85">
        <f ca="1">IFERROR(__xludf.DUMMYFUNCTION("""COMPUTED_VALUE"""),71.1)</f>
        <v>71.099999999999994</v>
      </c>
      <c r="L1784" s="85">
        <f ca="1">IFERROR(__xludf.DUMMYFUNCTION("""COMPUTED_VALUE"""),0)</f>
        <v>0</v>
      </c>
      <c r="M1784" s="85"/>
      <c r="N1784" s="85">
        <f ca="1">IFERROR(__xludf.DUMMYFUNCTION("""COMPUTED_VALUE"""),61.95)</f>
        <v>61.95</v>
      </c>
      <c r="O1784" s="85"/>
      <c r="P1784" s="85">
        <f ca="1">IFERROR(__xludf.DUMMYFUNCTION("""COMPUTED_VALUE"""),62.95)</f>
        <v>62.95</v>
      </c>
      <c r="Q1784" s="85"/>
      <c r="R1784" s="85">
        <f ca="1">IFERROR(__xludf.DUMMYFUNCTION("""COMPUTED_VALUE"""),71.1)</f>
        <v>71.099999999999994</v>
      </c>
      <c r="S1784" s="85"/>
      <c r="T1784" s="85"/>
      <c r="U1784" s="82"/>
      <c r="V1784" s="82"/>
      <c r="W1784" s="83"/>
      <c r="X1784" s="83"/>
      <c r="Y1784" s="83"/>
    </row>
    <row r="1785" spans="1:25" ht="13.8">
      <c r="A1785" s="78" t="str">
        <f ca="1">IFERROR(__xludf.DUMMYFUNCTION("""COMPUTED_VALUE"""),"RH")</f>
        <v>RH</v>
      </c>
      <c r="B1785" s="79" t="str">
        <f ca="1">IFERROR(__xludf.DUMMYFUNCTION("""COMPUTED_VALUE"""),"Ryan Casteleyn")</f>
        <v>Ryan Casteleyn</v>
      </c>
      <c r="C1785" s="78">
        <f ca="1">IFERROR(__xludf.DUMMYFUNCTION("""COMPUTED_VALUE"""),13)</f>
        <v>13</v>
      </c>
      <c r="D1785" s="78" t="str">
        <f ca="1">IFERROR(__xludf.DUMMYFUNCTION("""COMPUTED_VALUE"""),"B")</f>
        <v>B</v>
      </c>
      <c r="E1785" s="80" t="str">
        <f ca="1">IFERROR(__xludf.DUMMYFUNCTION("""COMPUTED_VALUE"""),"I")</f>
        <v>I</v>
      </c>
      <c r="F1785" s="80" t="str">
        <f ca="1">IFERROR(__xludf.DUMMYFUNCTION("""COMPUTED_VALUE"""),"S")</f>
        <v>S</v>
      </c>
      <c r="G1785" s="80">
        <f ca="1">IFERROR(__xludf.DUMMYFUNCTION("""COMPUTED_VALUE"""),5)</f>
        <v>5</v>
      </c>
      <c r="H1785" s="80" t="str">
        <f ca="1">IFERROR(__xludf.DUMMYFUNCTION("""COMPUTED_VALUE"""),"RH")</f>
        <v>RH</v>
      </c>
      <c r="I1785" s="80">
        <f ca="1">IFERROR(__xludf.DUMMYFUNCTION("""COMPUTED_VALUE"""),7)</f>
        <v>7</v>
      </c>
      <c r="J1785" s="85">
        <f ca="1">IFERROR(__xludf.DUMMYFUNCTION("""COMPUTED_VALUE"""),3)</f>
        <v>3</v>
      </c>
      <c r="K1785" s="85">
        <f ca="1">IFERROR(__xludf.DUMMYFUNCTION("""COMPUTED_VALUE"""),92.7)</f>
        <v>92.7</v>
      </c>
      <c r="L1785" s="85">
        <f ca="1">IFERROR(__xludf.DUMMYFUNCTION("""COMPUTED_VALUE"""),0)</f>
        <v>0</v>
      </c>
      <c r="M1785" s="85"/>
      <c r="N1785" s="85">
        <f ca="1">IFERROR(__xludf.DUMMYFUNCTION("""COMPUTED_VALUE"""),92.7)</f>
        <v>92.7</v>
      </c>
      <c r="O1785" s="85"/>
      <c r="P1785" s="85">
        <f ca="1">IFERROR(__xludf.DUMMYFUNCTION("""COMPUTED_VALUE"""),86.35)</f>
        <v>86.35</v>
      </c>
      <c r="Q1785" s="85"/>
      <c r="R1785" s="85">
        <f ca="1">IFERROR(__xludf.DUMMYFUNCTION("""COMPUTED_VALUE"""),89.5)</f>
        <v>89.5</v>
      </c>
      <c r="S1785" s="85"/>
      <c r="T1785" s="85"/>
      <c r="U1785" s="82"/>
      <c r="V1785" s="82"/>
      <c r="W1785" s="83"/>
      <c r="X1785" s="83"/>
      <c r="Y1785" s="83"/>
    </row>
    <row r="1786" spans="1:25" ht="13.8">
      <c r="A1786" s="78" t="str">
        <f ca="1">IFERROR(__xludf.DUMMYFUNCTION("""COMPUTED_VALUE"""),"RH")</f>
        <v>RH</v>
      </c>
      <c r="B1786" s="79" t="str">
        <f ca="1">IFERROR(__xludf.DUMMYFUNCTION("""COMPUTED_VALUE"""),"Liam Healey-Wright")</f>
        <v>Liam Healey-Wright</v>
      </c>
      <c r="C1786" s="78">
        <f ca="1">IFERROR(__xludf.DUMMYFUNCTION("""COMPUTED_VALUE"""),14)</f>
        <v>14</v>
      </c>
      <c r="D1786" s="78" t="str">
        <f ca="1">IFERROR(__xludf.DUMMYFUNCTION("""COMPUTED_VALUE"""),"B")</f>
        <v>B</v>
      </c>
      <c r="E1786" s="80" t="str">
        <f ca="1">IFERROR(__xludf.DUMMYFUNCTION("""COMPUTED_VALUE"""),"I")</f>
        <v>I</v>
      </c>
      <c r="F1786" s="80" t="str">
        <f ca="1">IFERROR(__xludf.DUMMYFUNCTION("""COMPUTED_VALUE"""),"S")</f>
        <v>S</v>
      </c>
      <c r="G1786" s="80">
        <f ca="1">IFERROR(__xludf.DUMMYFUNCTION("""COMPUTED_VALUE"""),5)</f>
        <v>5</v>
      </c>
      <c r="H1786" s="80" t="str">
        <f ca="1">IFERROR(__xludf.DUMMYFUNCTION("""COMPUTED_VALUE"""),"RH")</f>
        <v>RH</v>
      </c>
      <c r="I1786" s="80">
        <f ca="1">IFERROR(__xludf.DUMMYFUNCTION("""COMPUTED_VALUE"""),7)</f>
        <v>7</v>
      </c>
      <c r="J1786" s="85">
        <f ca="1">IFERROR(__xludf.DUMMYFUNCTION("""COMPUTED_VALUE"""),3)</f>
        <v>3</v>
      </c>
      <c r="K1786" s="85">
        <f ca="1">IFERROR(__xludf.DUMMYFUNCTION("""COMPUTED_VALUE"""),71.9)</f>
        <v>71.900000000000006</v>
      </c>
      <c r="L1786" s="85">
        <f ca="1">IFERROR(__xludf.DUMMYFUNCTION("""COMPUTED_VALUE"""),0)</f>
        <v>0</v>
      </c>
      <c r="M1786" s="85"/>
      <c r="N1786" s="85">
        <f ca="1">IFERROR(__xludf.DUMMYFUNCTION("""COMPUTED_VALUE"""),0)</f>
        <v>0</v>
      </c>
      <c r="O1786" s="85"/>
      <c r="P1786" s="85">
        <f ca="1">IFERROR(__xludf.DUMMYFUNCTION("""COMPUTED_VALUE"""),53.55)</f>
        <v>53.55</v>
      </c>
      <c r="Q1786" s="85"/>
      <c r="R1786" s="85">
        <f ca="1">IFERROR(__xludf.DUMMYFUNCTION("""COMPUTED_VALUE"""),71.9)</f>
        <v>71.900000000000006</v>
      </c>
      <c r="S1786" s="85"/>
      <c r="T1786" s="85"/>
      <c r="U1786" s="82"/>
      <c r="V1786" s="82"/>
      <c r="W1786" s="83"/>
      <c r="X1786" s="83"/>
      <c r="Y1786" s="83"/>
    </row>
    <row r="1787" spans="1:25" ht="13.8">
      <c r="A1787" s="78" t="str">
        <f ca="1">IFERROR(__xludf.DUMMYFUNCTION("""COMPUTED_VALUE"""),"RH")</f>
        <v>RH</v>
      </c>
      <c r="B1787" s="79" t="str">
        <f ca="1">IFERROR(__xludf.DUMMYFUNCTION("""COMPUTED_VALUE"""),"Tommy Juster")</f>
        <v>Tommy Juster</v>
      </c>
      <c r="C1787" s="78">
        <f ca="1">IFERROR(__xludf.DUMMYFUNCTION("""COMPUTED_VALUE"""),14)</f>
        <v>14</v>
      </c>
      <c r="D1787" s="78" t="str">
        <f ca="1">IFERROR(__xludf.DUMMYFUNCTION("""COMPUTED_VALUE"""),"B")</f>
        <v>B</v>
      </c>
      <c r="E1787" s="80" t="str">
        <f ca="1">IFERROR(__xludf.DUMMYFUNCTION("""COMPUTED_VALUE"""),"I")</f>
        <v>I</v>
      </c>
      <c r="F1787" s="80" t="str">
        <f ca="1">IFERROR(__xludf.DUMMYFUNCTION("""COMPUTED_VALUE"""),"S")</f>
        <v>S</v>
      </c>
      <c r="G1787" s="80">
        <f ca="1">IFERROR(__xludf.DUMMYFUNCTION("""COMPUTED_VALUE"""),5)</f>
        <v>5</v>
      </c>
      <c r="H1787" s="80" t="str">
        <f ca="1">IFERROR(__xludf.DUMMYFUNCTION("""COMPUTED_VALUE"""),"RH")</f>
        <v>RH</v>
      </c>
      <c r="I1787" s="80">
        <f ca="1">IFERROR(__xludf.DUMMYFUNCTION("""COMPUTED_VALUE"""),7)</f>
        <v>7</v>
      </c>
      <c r="J1787" s="85">
        <f ca="1">IFERROR(__xludf.DUMMYFUNCTION("""COMPUTED_VALUE"""),5)</f>
        <v>5</v>
      </c>
      <c r="K1787" s="85">
        <f ca="1">IFERROR(__xludf.DUMMYFUNCTION("""COMPUTED_VALUE"""),96.7)</f>
        <v>96.7</v>
      </c>
      <c r="L1787" s="85">
        <f ca="1">IFERROR(__xludf.DUMMYFUNCTION("""COMPUTED_VALUE"""),90.3)</f>
        <v>90.3</v>
      </c>
      <c r="M1787" s="85"/>
      <c r="N1787" s="85">
        <f ca="1">IFERROR(__xludf.DUMMYFUNCTION("""COMPUTED_VALUE"""),96.7)</f>
        <v>96.7</v>
      </c>
      <c r="O1787" s="85"/>
      <c r="P1787" s="85">
        <f ca="1">IFERROR(__xludf.DUMMYFUNCTION("""COMPUTED_VALUE"""),76.7)</f>
        <v>76.7</v>
      </c>
      <c r="Q1787" s="85"/>
      <c r="R1787" s="85">
        <f ca="1">IFERROR(__xludf.DUMMYFUNCTION("""COMPUTED_VALUE"""),95.1)</f>
        <v>95.1</v>
      </c>
      <c r="S1787" s="85"/>
      <c r="T1787" s="85"/>
      <c r="U1787" s="82"/>
      <c r="V1787" s="82"/>
      <c r="W1787" s="83"/>
      <c r="X1787" s="83"/>
      <c r="Y1787" s="83"/>
    </row>
    <row r="1788" spans="1:25" ht="13.8">
      <c r="A1788" s="78" t="str">
        <f ca="1">IFERROR(__xludf.DUMMYFUNCTION("""COMPUTED_VALUE"""),"RH")</f>
        <v>RH</v>
      </c>
      <c r="B1788" s="79" t="str">
        <f ca="1">IFERROR(__xludf.DUMMYFUNCTION("""COMPUTED_VALUE"""),"Cooper Lynch")</f>
        <v>Cooper Lynch</v>
      </c>
      <c r="C1788" s="78">
        <f ca="1">IFERROR(__xludf.DUMMYFUNCTION("""COMPUTED_VALUE"""),14)</f>
        <v>14</v>
      </c>
      <c r="D1788" s="78" t="str">
        <f ca="1">IFERROR(__xludf.DUMMYFUNCTION("""COMPUTED_VALUE"""),"B")</f>
        <v>B</v>
      </c>
      <c r="E1788" s="80" t="str">
        <f ca="1">IFERROR(__xludf.DUMMYFUNCTION("""COMPUTED_VALUE"""),"I")</f>
        <v>I</v>
      </c>
      <c r="F1788" s="80" t="str">
        <f ca="1">IFERROR(__xludf.DUMMYFUNCTION("""COMPUTED_VALUE"""),"S")</f>
        <v>S</v>
      </c>
      <c r="G1788" s="80">
        <f ca="1">IFERROR(__xludf.DUMMYFUNCTION("""COMPUTED_VALUE"""),5)</f>
        <v>5</v>
      </c>
      <c r="H1788" s="80" t="str">
        <f ca="1">IFERROR(__xludf.DUMMYFUNCTION("""COMPUTED_VALUE"""),"RH")</f>
        <v>RH</v>
      </c>
      <c r="I1788" s="80">
        <f ca="1">IFERROR(__xludf.DUMMYFUNCTION("""COMPUTED_VALUE"""),7)</f>
        <v>7</v>
      </c>
      <c r="J1788" s="85">
        <f ca="1">IFERROR(__xludf.DUMMYFUNCTION("""COMPUTED_VALUE"""),0)</f>
        <v>0</v>
      </c>
      <c r="K1788" s="85">
        <f ca="1">IFERROR(__xludf.DUMMYFUNCTION("""COMPUTED_VALUE"""),0)</f>
        <v>0</v>
      </c>
      <c r="L1788" s="85">
        <f ca="1">IFERROR(__xludf.DUMMYFUNCTION("""COMPUTED_VALUE"""),0)</f>
        <v>0</v>
      </c>
      <c r="M1788" s="85"/>
      <c r="N1788" s="85">
        <f ca="1">IFERROR(__xludf.DUMMYFUNCTION("""COMPUTED_VALUE"""),0)</f>
        <v>0</v>
      </c>
      <c r="O1788" s="85"/>
      <c r="P1788" s="85">
        <f ca="1">IFERROR(__xludf.DUMMYFUNCTION("""COMPUTED_VALUE"""),0)</f>
        <v>0</v>
      </c>
      <c r="Q1788" s="85"/>
      <c r="R1788" s="85">
        <f ca="1">IFERROR(__xludf.DUMMYFUNCTION("""COMPUTED_VALUE"""),0)</f>
        <v>0</v>
      </c>
      <c r="S1788" s="85"/>
      <c r="T1788" s="85"/>
      <c r="U1788" s="82"/>
      <c r="V1788" s="82"/>
      <c r="W1788" s="83"/>
      <c r="X1788" s="83"/>
      <c r="Y1788" s="83"/>
    </row>
    <row r="1789" spans="1:25" ht="13.8">
      <c r="A1789" s="78" t="str">
        <f ca="1">IFERROR(__xludf.DUMMYFUNCTION("""COMPUTED_VALUE"""),"RH")</f>
        <v>RH</v>
      </c>
      <c r="B1789" s="79" t="str">
        <f ca="1">IFERROR(__xludf.DUMMYFUNCTION("""COMPUTED_VALUE"""),"Tim Maloney")</f>
        <v>Tim Maloney</v>
      </c>
      <c r="C1789" s="78">
        <f ca="1">IFERROR(__xludf.DUMMYFUNCTION("""COMPUTED_VALUE"""),13)</f>
        <v>13</v>
      </c>
      <c r="D1789" s="78" t="str">
        <f ca="1">IFERROR(__xludf.DUMMYFUNCTION("""COMPUTED_VALUE"""),"B")</f>
        <v>B</v>
      </c>
      <c r="E1789" s="80" t="str">
        <f ca="1">IFERROR(__xludf.DUMMYFUNCTION("""COMPUTED_VALUE"""),"I")</f>
        <v>I</v>
      </c>
      <c r="F1789" s="80" t="str">
        <f ca="1">IFERROR(__xludf.DUMMYFUNCTION("""COMPUTED_VALUE"""),"S")</f>
        <v>S</v>
      </c>
      <c r="G1789" s="80">
        <f ca="1">IFERROR(__xludf.DUMMYFUNCTION("""COMPUTED_VALUE"""),5)</f>
        <v>5</v>
      </c>
      <c r="H1789" s="80" t="str">
        <f ca="1">IFERROR(__xludf.DUMMYFUNCTION("""COMPUTED_VALUE"""),"RH")</f>
        <v>RH</v>
      </c>
      <c r="I1789" s="80">
        <f ca="1">IFERROR(__xludf.DUMMYFUNCTION("""COMPUTED_VALUE"""),7)</f>
        <v>7</v>
      </c>
      <c r="J1789" s="85">
        <f ca="1">IFERROR(__xludf.DUMMYFUNCTION("""COMPUTED_VALUE"""),0)</f>
        <v>0</v>
      </c>
      <c r="K1789" s="85">
        <f ca="1">IFERROR(__xludf.DUMMYFUNCTION("""COMPUTED_VALUE"""),0)</f>
        <v>0</v>
      </c>
      <c r="L1789" s="85">
        <f ca="1">IFERROR(__xludf.DUMMYFUNCTION("""COMPUTED_VALUE"""),0)</f>
        <v>0</v>
      </c>
      <c r="M1789" s="85"/>
      <c r="N1789" s="85">
        <f ca="1">IFERROR(__xludf.DUMMYFUNCTION("""COMPUTED_VALUE"""),0)</f>
        <v>0</v>
      </c>
      <c r="O1789" s="85"/>
      <c r="P1789" s="85">
        <f ca="1">IFERROR(__xludf.DUMMYFUNCTION("""COMPUTED_VALUE"""),0)</f>
        <v>0</v>
      </c>
      <c r="Q1789" s="85"/>
      <c r="R1789" s="85">
        <f ca="1">IFERROR(__xludf.DUMMYFUNCTION("""COMPUTED_VALUE"""),0)</f>
        <v>0</v>
      </c>
      <c r="S1789" s="85"/>
      <c r="T1789" s="85"/>
      <c r="U1789" s="82"/>
      <c r="V1789" s="82"/>
      <c r="W1789" s="83"/>
      <c r="X1789" s="83"/>
      <c r="Y1789" s="83"/>
    </row>
    <row r="1790" spans="1:25" ht="13.8">
      <c r="A1790" s="78" t="str">
        <f ca="1">IFERROR(__xludf.DUMMYFUNCTION("""COMPUTED_VALUE"""),"RH")</f>
        <v>RH</v>
      </c>
      <c r="B1790" s="79" t="str">
        <f ca="1">IFERROR(__xludf.DUMMYFUNCTION("""COMPUTED_VALUE"""),"TJ Zahler")</f>
        <v>TJ Zahler</v>
      </c>
      <c r="C1790" s="78">
        <f ca="1">IFERROR(__xludf.DUMMYFUNCTION("""COMPUTED_VALUE"""),14)</f>
        <v>14</v>
      </c>
      <c r="D1790" s="78" t="str">
        <f ca="1">IFERROR(__xludf.DUMMYFUNCTION("""COMPUTED_VALUE"""),"B")</f>
        <v>B</v>
      </c>
      <c r="E1790" s="80" t="str">
        <f ca="1">IFERROR(__xludf.DUMMYFUNCTION("""COMPUTED_VALUE"""),"I")</f>
        <v>I</v>
      </c>
      <c r="F1790" s="80" t="str">
        <f ca="1">IFERROR(__xludf.DUMMYFUNCTION("""COMPUTED_VALUE"""),"S")</f>
        <v>S</v>
      </c>
      <c r="G1790" s="80">
        <f ca="1">IFERROR(__xludf.DUMMYFUNCTION("""COMPUTED_VALUE"""),5)</f>
        <v>5</v>
      </c>
      <c r="H1790" s="80" t="str">
        <f ca="1">IFERROR(__xludf.DUMMYFUNCTION("""COMPUTED_VALUE"""),"RH")</f>
        <v>RH</v>
      </c>
      <c r="I1790" s="80">
        <f ca="1">IFERROR(__xludf.DUMMYFUNCTION("""COMPUTED_VALUE"""),7)</f>
        <v>7</v>
      </c>
      <c r="J1790" s="85">
        <f ca="1">IFERROR(__xludf.DUMMYFUNCTION("""COMPUTED_VALUE"""),4)</f>
        <v>4</v>
      </c>
      <c r="K1790" s="85">
        <f ca="1">IFERROR(__xludf.DUMMYFUNCTION("""COMPUTED_VALUE"""),118.15)</f>
        <v>118.15</v>
      </c>
      <c r="L1790" s="85">
        <f ca="1">IFERROR(__xludf.DUMMYFUNCTION("""COMPUTED_VALUE"""),118.15)</f>
        <v>118.15</v>
      </c>
      <c r="M1790" s="85"/>
      <c r="N1790" s="85">
        <f ca="1">IFERROR(__xludf.DUMMYFUNCTION("""COMPUTED_VALUE"""),110.9)</f>
        <v>110.9</v>
      </c>
      <c r="O1790" s="85"/>
      <c r="P1790" s="85">
        <f ca="1">IFERROR(__xludf.DUMMYFUNCTION("""COMPUTED_VALUE"""),0)</f>
        <v>0</v>
      </c>
      <c r="Q1790" s="85"/>
      <c r="R1790" s="85">
        <f ca="1">IFERROR(__xludf.DUMMYFUNCTION("""COMPUTED_VALUE"""),116.04)</f>
        <v>116.04</v>
      </c>
      <c r="S1790" s="85"/>
      <c r="T1790" s="85"/>
      <c r="U1790" s="82"/>
      <c r="V1790" s="82"/>
      <c r="W1790" s="83"/>
      <c r="X1790" s="83"/>
      <c r="Y1790" s="83"/>
    </row>
    <row r="1791" spans="1:25" ht="13.8">
      <c r="A1791" s="78" t="str">
        <f ca="1">IFERROR(__xludf.DUMMYFUNCTION("""COMPUTED_VALUE"""),"RH")</f>
        <v>RH</v>
      </c>
      <c r="B1791" s="79" t="str">
        <f ca="1">IFERROR(__xludf.DUMMYFUNCTION("""COMPUTED_VALUE"""),"Mary Callahan")</f>
        <v>Mary Callahan</v>
      </c>
      <c r="C1791" s="78">
        <f ca="1">IFERROR(__xludf.DUMMYFUNCTION("""COMPUTED_VALUE"""),16)</f>
        <v>16</v>
      </c>
      <c r="D1791" s="78" t="str">
        <f ca="1">IFERROR(__xludf.DUMMYFUNCTION("""COMPUTED_VALUE"""),"G")</f>
        <v>G</v>
      </c>
      <c r="E1791" s="80" t="str">
        <f ca="1">IFERROR(__xludf.DUMMYFUNCTION("""COMPUTED_VALUE"""),"S")</f>
        <v>S</v>
      </c>
      <c r="F1791" s="80" t="str">
        <f ca="1">IFERROR(__xludf.DUMMYFUNCTION("""COMPUTED_VALUE"""),"S")</f>
        <v>S</v>
      </c>
      <c r="G1791" s="80">
        <f ca="1">IFERROR(__xludf.DUMMYFUNCTION("""COMPUTED_VALUE"""),5)</f>
        <v>5</v>
      </c>
      <c r="H1791" s="80" t="str">
        <f ca="1">IFERROR(__xludf.DUMMYFUNCTION("""COMPUTED_VALUE"""),"RH")</f>
        <v>RH</v>
      </c>
      <c r="I1791" s="80">
        <f ca="1">IFERROR(__xludf.DUMMYFUNCTION("""COMPUTED_VALUE"""),8)</f>
        <v>8</v>
      </c>
      <c r="J1791" s="85">
        <f ca="1">IFERROR(__xludf.DUMMYFUNCTION("""COMPUTED_VALUE"""),5)</f>
        <v>5</v>
      </c>
      <c r="K1791" s="85">
        <f ca="1">IFERROR(__xludf.DUMMYFUNCTION("""COMPUTED_VALUE"""),163.25)</f>
        <v>163.25</v>
      </c>
      <c r="L1791" s="85">
        <f ca="1">IFERROR(__xludf.DUMMYFUNCTION("""COMPUTED_VALUE"""),163.25)</f>
        <v>163.25</v>
      </c>
      <c r="M1791" s="85"/>
      <c r="N1791" s="85">
        <f ca="1">IFERROR(__xludf.DUMMYFUNCTION("""COMPUTED_VALUE"""),140.35)</f>
        <v>140.35</v>
      </c>
      <c r="O1791" s="85"/>
      <c r="P1791" s="85">
        <f ca="1">IFERROR(__xludf.DUMMYFUNCTION("""COMPUTED_VALUE"""),124)</f>
        <v>124</v>
      </c>
      <c r="Q1791" s="85"/>
      <c r="R1791" s="85">
        <f ca="1">IFERROR(__xludf.DUMMYFUNCTION("""COMPUTED_VALUE"""),138.3)</f>
        <v>138.30000000000001</v>
      </c>
      <c r="S1791" s="85"/>
      <c r="T1791" s="85"/>
      <c r="U1791" s="82"/>
      <c r="V1791" s="82"/>
      <c r="W1791" s="83"/>
      <c r="X1791" s="83"/>
      <c r="Y1791" s="83"/>
    </row>
    <row r="1792" spans="1:25" ht="13.8">
      <c r="A1792" s="78" t="str">
        <f ca="1">IFERROR(__xludf.DUMMYFUNCTION("""COMPUTED_VALUE"""),"RH")</f>
        <v>RH</v>
      </c>
      <c r="B1792" s="79" t="str">
        <f ca="1">IFERROR(__xludf.DUMMYFUNCTION("""COMPUTED_VALUE"""),"Kyleah Harbort")</f>
        <v>Kyleah Harbort</v>
      </c>
      <c r="C1792" s="78">
        <f ca="1">IFERROR(__xludf.DUMMYFUNCTION("""COMPUTED_VALUE"""),18)</f>
        <v>18</v>
      </c>
      <c r="D1792" s="78" t="str">
        <f ca="1">IFERROR(__xludf.DUMMYFUNCTION("""COMPUTED_VALUE"""),"G")</f>
        <v>G</v>
      </c>
      <c r="E1792" s="80" t="str">
        <f ca="1">IFERROR(__xludf.DUMMYFUNCTION("""COMPUTED_VALUE"""),"S")</f>
        <v>S</v>
      </c>
      <c r="F1792" s="80" t="str">
        <f ca="1">IFERROR(__xludf.DUMMYFUNCTION("""COMPUTED_VALUE"""),"S")</f>
        <v>S</v>
      </c>
      <c r="G1792" s="80">
        <f ca="1">IFERROR(__xludf.DUMMYFUNCTION("""COMPUTED_VALUE"""),5)</f>
        <v>5</v>
      </c>
      <c r="H1792" s="80" t="str">
        <f ca="1">IFERROR(__xludf.DUMMYFUNCTION("""COMPUTED_VALUE"""),"RH")</f>
        <v>RH</v>
      </c>
      <c r="I1792" s="80">
        <f ca="1">IFERROR(__xludf.DUMMYFUNCTION("""COMPUTED_VALUE"""),8)</f>
        <v>8</v>
      </c>
      <c r="J1792" s="85">
        <f ca="1">IFERROR(__xludf.DUMMYFUNCTION("""COMPUTED_VALUE"""),4)</f>
        <v>4</v>
      </c>
      <c r="K1792" s="85">
        <f ca="1">IFERROR(__xludf.DUMMYFUNCTION("""COMPUTED_VALUE"""),205.55)</f>
        <v>205.55</v>
      </c>
      <c r="L1792" s="85">
        <f ca="1">IFERROR(__xludf.DUMMYFUNCTION("""COMPUTED_VALUE"""),0)</f>
        <v>0</v>
      </c>
      <c r="M1792" s="85"/>
      <c r="N1792" s="85">
        <f ca="1">IFERROR(__xludf.DUMMYFUNCTION("""COMPUTED_VALUE"""),205.55)</f>
        <v>205.55</v>
      </c>
      <c r="O1792" s="85"/>
      <c r="P1792" s="85">
        <f ca="1">IFERROR(__xludf.DUMMYFUNCTION("""COMPUTED_VALUE"""),176.8)</f>
        <v>176.8</v>
      </c>
      <c r="Q1792" s="85"/>
      <c r="R1792" s="85">
        <f ca="1">IFERROR(__xludf.DUMMYFUNCTION("""COMPUTED_VALUE"""),189.5)</f>
        <v>189.5</v>
      </c>
      <c r="S1792" s="85"/>
      <c r="T1792" s="85"/>
      <c r="U1792" s="82"/>
      <c r="V1792" s="82"/>
      <c r="W1792" s="83"/>
      <c r="X1792" s="83"/>
      <c r="Y1792" s="83"/>
    </row>
    <row r="1793" spans="1:25" ht="13.8">
      <c r="A1793" s="78" t="str">
        <f ca="1">IFERROR(__xludf.DUMMYFUNCTION("""COMPUTED_VALUE"""),"RH")</f>
        <v>RH</v>
      </c>
      <c r="B1793" s="79" t="str">
        <f ca="1">IFERROR(__xludf.DUMMYFUNCTION("""COMPUTED_VALUE"""),"Nicole Perkins")</f>
        <v>Nicole Perkins</v>
      </c>
      <c r="C1793" s="78">
        <f ca="1">IFERROR(__xludf.DUMMYFUNCTION("""COMPUTED_VALUE"""),16)</f>
        <v>16</v>
      </c>
      <c r="D1793" s="78" t="str">
        <f ca="1">IFERROR(__xludf.DUMMYFUNCTION("""COMPUTED_VALUE"""),"G")</f>
        <v>G</v>
      </c>
      <c r="E1793" s="80" t="str">
        <f ca="1">IFERROR(__xludf.DUMMYFUNCTION("""COMPUTED_VALUE"""),"S")</f>
        <v>S</v>
      </c>
      <c r="F1793" s="80" t="str">
        <f ca="1">IFERROR(__xludf.DUMMYFUNCTION("""COMPUTED_VALUE"""),"S")</f>
        <v>S</v>
      </c>
      <c r="G1793" s="80">
        <f ca="1">IFERROR(__xludf.DUMMYFUNCTION("""COMPUTED_VALUE"""),5)</f>
        <v>5</v>
      </c>
      <c r="H1793" s="80" t="str">
        <f ca="1">IFERROR(__xludf.DUMMYFUNCTION("""COMPUTED_VALUE"""),"RH")</f>
        <v>RH</v>
      </c>
      <c r="I1793" s="80">
        <f ca="1">IFERROR(__xludf.DUMMYFUNCTION("""COMPUTED_VALUE"""),8)</f>
        <v>8</v>
      </c>
      <c r="J1793" s="85">
        <f ca="1">IFERROR(__xludf.DUMMYFUNCTION("""COMPUTED_VALUE"""),5)</f>
        <v>5</v>
      </c>
      <c r="K1793" s="85">
        <f ca="1">IFERROR(__xludf.DUMMYFUNCTION("""COMPUTED_VALUE"""),169.65)</f>
        <v>169.65</v>
      </c>
      <c r="L1793" s="85">
        <f ca="1">IFERROR(__xludf.DUMMYFUNCTION("""COMPUTED_VALUE"""),169.65)</f>
        <v>169.65</v>
      </c>
      <c r="M1793" s="85"/>
      <c r="N1793" s="85">
        <f ca="1">IFERROR(__xludf.DUMMYFUNCTION("""COMPUTED_VALUE"""),152.5)</f>
        <v>152.5</v>
      </c>
      <c r="O1793" s="85"/>
      <c r="P1793" s="85">
        <f ca="1">IFERROR(__xludf.DUMMYFUNCTION("""COMPUTED_VALUE"""),133.8)</f>
        <v>133.80000000000001</v>
      </c>
      <c r="Q1793" s="85"/>
      <c r="R1793" s="85">
        <f ca="1">IFERROR(__xludf.DUMMYFUNCTION("""COMPUTED_VALUE"""),151.15)</f>
        <v>151.15</v>
      </c>
      <c r="S1793" s="85"/>
      <c r="T1793" s="85"/>
      <c r="U1793" s="82"/>
      <c r="V1793" s="82"/>
      <c r="W1793" s="83"/>
      <c r="X1793" s="83"/>
      <c r="Y1793" s="83"/>
    </row>
    <row r="1794" spans="1:25" ht="13.8">
      <c r="A1794" s="78" t="str">
        <f ca="1">IFERROR(__xludf.DUMMYFUNCTION("""COMPUTED_VALUE"""),"RH")</f>
        <v>RH</v>
      </c>
      <c r="B1794" s="79" t="str">
        <f ca="1">IFERROR(__xludf.DUMMYFUNCTION("""COMPUTED_VALUE"""),"Jadon Butler")</f>
        <v>Jadon Butler</v>
      </c>
      <c r="C1794" s="78">
        <f ca="1">IFERROR(__xludf.DUMMYFUNCTION("""COMPUTED_VALUE"""),16)</f>
        <v>16</v>
      </c>
      <c r="D1794" s="78" t="str">
        <f ca="1">IFERROR(__xludf.DUMMYFUNCTION("""COMPUTED_VALUE"""),"B")</f>
        <v>B</v>
      </c>
      <c r="E1794" s="80" t="str">
        <f ca="1">IFERROR(__xludf.DUMMYFUNCTION("""COMPUTED_VALUE"""),"S")</f>
        <v>S</v>
      </c>
      <c r="F1794" s="80" t="str">
        <f ca="1">IFERROR(__xludf.DUMMYFUNCTION("""COMPUTED_VALUE"""),"S")</f>
        <v>S</v>
      </c>
      <c r="G1794" s="80">
        <f ca="1">IFERROR(__xludf.DUMMYFUNCTION("""COMPUTED_VALUE"""),5)</f>
        <v>5</v>
      </c>
      <c r="H1794" s="80" t="str">
        <f ca="1">IFERROR(__xludf.DUMMYFUNCTION("""COMPUTED_VALUE"""),"RH")</f>
        <v>RH</v>
      </c>
      <c r="I1794" s="80">
        <f ca="1">IFERROR(__xludf.DUMMYFUNCTION("""COMPUTED_VALUE"""),9)</f>
        <v>9</v>
      </c>
      <c r="J1794" s="85">
        <f ca="1">IFERROR(__xludf.DUMMYFUNCTION("""COMPUTED_VALUE"""),5)</f>
        <v>5</v>
      </c>
      <c r="K1794" s="85">
        <f ca="1">IFERROR(__xludf.DUMMYFUNCTION("""COMPUTED_VALUE"""),245.2)</f>
        <v>245.2</v>
      </c>
      <c r="L1794" s="85">
        <f ca="1">IFERROR(__xludf.DUMMYFUNCTION("""COMPUTED_VALUE"""),238.95)</f>
        <v>238.95</v>
      </c>
      <c r="M1794" s="85"/>
      <c r="N1794" s="85">
        <f ca="1">IFERROR(__xludf.DUMMYFUNCTION("""COMPUTED_VALUE"""),244.95)</f>
        <v>244.95</v>
      </c>
      <c r="O1794" s="85"/>
      <c r="P1794" s="85">
        <f ca="1">IFERROR(__xludf.DUMMYFUNCTION("""COMPUTED_VALUE"""),214)</f>
        <v>214</v>
      </c>
      <c r="Q1794" s="85"/>
      <c r="R1794" s="85">
        <f ca="1">IFERROR(__xludf.DUMMYFUNCTION("""COMPUTED_VALUE"""),245.2)</f>
        <v>245.2</v>
      </c>
      <c r="S1794" s="85"/>
      <c r="T1794" s="85"/>
      <c r="U1794" s="82"/>
      <c r="V1794" s="82"/>
      <c r="W1794" s="83"/>
      <c r="X1794" s="83"/>
      <c r="Y1794" s="83"/>
    </row>
    <row r="1795" spans="1:25" ht="13.8">
      <c r="A1795" s="78" t="str">
        <f ca="1">IFERROR(__xludf.DUMMYFUNCTION("""COMPUTED_VALUE"""),"S")</f>
        <v>S</v>
      </c>
      <c r="B1795" s="79" t="str">
        <f ca="1">IFERROR(__xludf.DUMMYFUNCTION("""COMPUTED_VALUE"""),"Avery Berg")</f>
        <v>Avery Berg</v>
      </c>
      <c r="C1795" s="78">
        <f ca="1">IFERROR(__xludf.DUMMYFUNCTION("""COMPUTED_VALUE"""),10)</f>
        <v>10</v>
      </c>
      <c r="D1795" s="78" t="str">
        <f ca="1">IFERROR(__xludf.DUMMYFUNCTION("""COMPUTED_VALUE"""),"G")</f>
        <v>G</v>
      </c>
      <c r="E1795" s="80" t="str">
        <f ca="1">IFERROR(__xludf.DUMMYFUNCTION("""COMPUTED_VALUE"""),"F")</f>
        <v>F</v>
      </c>
      <c r="F1795" s="80" t="str">
        <f ca="1">IFERROR(__xludf.DUMMYFUNCTION("""COMPUTED_VALUE"""),"J")</f>
        <v>J</v>
      </c>
      <c r="G1795" s="80">
        <f ca="1">IFERROR(__xludf.DUMMYFUNCTION("""COMPUTED_VALUE"""),8)</f>
        <v>8</v>
      </c>
      <c r="H1795" s="80" t="str">
        <f ca="1">IFERROR(__xludf.DUMMYFUNCTION("""COMPUTED_VALUE"""),"S")</f>
        <v>S</v>
      </c>
      <c r="I1795" s="80">
        <f ca="1">IFERROR(__xludf.DUMMYFUNCTION("""COMPUTED_VALUE"""),2)</f>
        <v>2</v>
      </c>
      <c r="J1795" s="85">
        <f ca="1">IFERROR(__xludf.DUMMYFUNCTION("""COMPUTED_VALUE"""),4)</f>
        <v>4</v>
      </c>
      <c r="K1795" s="85">
        <f ca="1">IFERROR(__xludf.DUMMYFUNCTION("""COMPUTED_VALUE"""),25)</f>
        <v>25</v>
      </c>
      <c r="L1795" s="85">
        <f ca="1">IFERROR(__xludf.DUMMYFUNCTION("""COMPUTED_VALUE"""),25)</f>
        <v>25</v>
      </c>
      <c r="M1795" s="85"/>
      <c r="N1795" s="85">
        <f ca="1">IFERROR(__xludf.DUMMYFUNCTION("""COMPUTED_VALUE"""),23)</f>
        <v>23</v>
      </c>
      <c r="O1795" s="85"/>
      <c r="P1795" s="85">
        <f ca="1">IFERROR(__xludf.DUMMYFUNCTION("""COMPUTED_VALUE"""),20.75)</f>
        <v>20.75</v>
      </c>
      <c r="Q1795" s="85"/>
      <c r="R1795" s="85">
        <f ca="1">IFERROR(__xludf.DUMMYFUNCTION("""COMPUTED_VALUE"""),0)</f>
        <v>0</v>
      </c>
      <c r="S1795" s="85"/>
      <c r="T1795" s="85"/>
      <c r="U1795" s="82"/>
      <c r="V1795" s="82"/>
      <c r="W1795" s="83"/>
      <c r="X1795" s="83"/>
      <c r="Y1795" s="83"/>
    </row>
    <row r="1796" spans="1:25" ht="13.8">
      <c r="A1796" s="78" t="str">
        <f ca="1">IFERROR(__xludf.DUMMYFUNCTION("""COMPUTED_VALUE"""),"S")</f>
        <v>S</v>
      </c>
      <c r="B1796" s="79" t="str">
        <f ca="1">IFERROR(__xludf.DUMMYFUNCTION("""COMPUTED_VALUE"""),"Brigid Cahill")</f>
        <v>Brigid Cahill</v>
      </c>
      <c r="C1796" s="78">
        <f ca="1">IFERROR(__xludf.DUMMYFUNCTION("""COMPUTED_VALUE"""),8)</f>
        <v>8</v>
      </c>
      <c r="D1796" s="78" t="str">
        <f ca="1">IFERROR(__xludf.DUMMYFUNCTION("""COMPUTED_VALUE"""),"G")</f>
        <v>G</v>
      </c>
      <c r="E1796" s="80" t="str">
        <f ca="1">IFERROR(__xludf.DUMMYFUNCTION("""COMPUTED_VALUE"""),"F")</f>
        <v>F</v>
      </c>
      <c r="F1796" s="80" t="str">
        <f ca="1">IFERROR(__xludf.DUMMYFUNCTION("""COMPUTED_VALUE"""),"J")</f>
        <v>J</v>
      </c>
      <c r="G1796" s="80">
        <f ca="1">IFERROR(__xludf.DUMMYFUNCTION("""COMPUTED_VALUE"""),8)</f>
        <v>8</v>
      </c>
      <c r="H1796" s="80" t="str">
        <f ca="1">IFERROR(__xludf.DUMMYFUNCTION("""COMPUTED_VALUE"""),"S")</f>
        <v>S</v>
      </c>
      <c r="I1796" s="80">
        <f ca="1">IFERROR(__xludf.DUMMYFUNCTION("""COMPUTED_VALUE"""),2)</f>
        <v>2</v>
      </c>
      <c r="J1796" s="85">
        <f ca="1">IFERROR(__xludf.DUMMYFUNCTION("""COMPUTED_VALUE"""),5)</f>
        <v>5</v>
      </c>
      <c r="K1796" s="85">
        <f ca="1">IFERROR(__xludf.DUMMYFUNCTION("""COMPUTED_VALUE"""),46.7)</f>
        <v>46.7</v>
      </c>
      <c r="L1796" s="85">
        <f ca="1">IFERROR(__xludf.DUMMYFUNCTION("""COMPUTED_VALUE"""),35.75)</f>
        <v>35.75</v>
      </c>
      <c r="M1796" s="85"/>
      <c r="N1796" s="85">
        <f ca="1">IFERROR(__xludf.DUMMYFUNCTION("""COMPUTED_VALUE"""),44.4)</f>
        <v>44.4</v>
      </c>
      <c r="O1796" s="85"/>
      <c r="P1796" s="85">
        <f ca="1">IFERROR(__xludf.DUMMYFUNCTION("""COMPUTED_VALUE"""),44.6)</f>
        <v>44.6</v>
      </c>
      <c r="Q1796" s="85"/>
      <c r="R1796" s="85">
        <f ca="1">IFERROR(__xludf.DUMMYFUNCTION("""COMPUTED_VALUE"""),46.7)</f>
        <v>46.7</v>
      </c>
      <c r="S1796" s="85"/>
      <c r="T1796" s="85"/>
      <c r="U1796" s="82"/>
      <c r="V1796" s="82"/>
      <c r="W1796" s="83"/>
      <c r="X1796" s="83"/>
      <c r="Y1796" s="83"/>
    </row>
    <row r="1797" spans="1:25" ht="13.8">
      <c r="A1797" s="78" t="str">
        <f ca="1">IFERROR(__xludf.DUMMYFUNCTION("""COMPUTED_VALUE"""),"S")</f>
        <v>S</v>
      </c>
      <c r="B1797" s="79" t="str">
        <f ca="1">IFERROR(__xludf.DUMMYFUNCTION("""COMPUTED_VALUE"""),"Maeve Cahill")</f>
        <v>Maeve Cahill</v>
      </c>
      <c r="C1797" s="78">
        <f ca="1">IFERROR(__xludf.DUMMYFUNCTION("""COMPUTED_VALUE"""),6)</f>
        <v>6</v>
      </c>
      <c r="D1797" s="78" t="str">
        <f ca="1">IFERROR(__xludf.DUMMYFUNCTION("""COMPUTED_VALUE"""),"G")</f>
        <v>G</v>
      </c>
      <c r="E1797" s="80" t="str">
        <f ca="1">IFERROR(__xludf.DUMMYFUNCTION("""COMPUTED_VALUE"""),"F")</f>
        <v>F</v>
      </c>
      <c r="F1797" s="80" t="str">
        <f ca="1">IFERROR(__xludf.DUMMYFUNCTION("""COMPUTED_VALUE"""),"J")</f>
        <v>J</v>
      </c>
      <c r="G1797" s="80">
        <f ca="1">IFERROR(__xludf.DUMMYFUNCTION("""COMPUTED_VALUE"""),8)</f>
        <v>8</v>
      </c>
      <c r="H1797" s="80" t="str">
        <f ca="1">IFERROR(__xludf.DUMMYFUNCTION("""COMPUTED_VALUE"""),"S")</f>
        <v>S</v>
      </c>
      <c r="I1797" s="80">
        <f ca="1">IFERROR(__xludf.DUMMYFUNCTION("""COMPUTED_VALUE"""),2)</f>
        <v>2</v>
      </c>
      <c r="J1797" s="85">
        <f ca="1">IFERROR(__xludf.DUMMYFUNCTION("""COMPUTED_VALUE"""),0)</f>
        <v>0</v>
      </c>
      <c r="K1797" s="85">
        <f ca="1">IFERROR(__xludf.DUMMYFUNCTION("""COMPUTED_VALUE"""),0)</f>
        <v>0</v>
      </c>
      <c r="L1797" s="85">
        <f ca="1">IFERROR(__xludf.DUMMYFUNCTION("""COMPUTED_VALUE"""),0)</f>
        <v>0</v>
      </c>
      <c r="M1797" s="85"/>
      <c r="N1797" s="85">
        <f ca="1">IFERROR(__xludf.DUMMYFUNCTION("""COMPUTED_VALUE"""),0)</f>
        <v>0</v>
      </c>
      <c r="O1797" s="85"/>
      <c r="P1797" s="85">
        <f ca="1">IFERROR(__xludf.DUMMYFUNCTION("""COMPUTED_VALUE"""),0)</f>
        <v>0</v>
      </c>
      <c r="Q1797" s="85"/>
      <c r="R1797" s="85">
        <f ca="1">IFERROR(__xludf.DUMMYFUNCTION("""COMPUTED_VALUE"""),0)</f>
        <v>0</v>
      </c>
      <c r="S1797" s="85"/>
      <c r="T1797" s="85"/>
      <c r="U1797" s="82"/>
      <c r="V1797" s="82"/>
      <c r="W1797" s="83"/>
      <c r="X1797" s="83"/>
      <c r="Y1797" s="83"/>
    </row>
    <row r="1798" spans="1:25" ht="13.8">
      <c r="A1798" s="78" t="str">
        <f ca="1">IFERROR(__xludf.DUMMYFUNCTION("""COMPUTED_VALUE"""),"S")</f>
        <v>S</v>
      </c>
      <c r="B1798" s="79" t="str">
        <f ca="1">IFERROR(__xludf.DUMMYFUNCTION("""COMPUTED_VALUE"""),"Ali Dane")</f>
        <v>Ali Dane</v>
      </c>
      <c r="C1798" s="78">
        <f ca="1">IFERROR(__xludf.DUMMYFUNCTION("""COMPUTED_VALUE"""),8)</f>
        <v>8</v>
      </c>
      <c r="D1798" s="78" t="str">
        <f ca="1">IFERROR(__xludf.DUMMYFUNCTION("""COMPUTED_VALUE"""),"G")</f>
        <v>G</v>
      </c>
      <c r="E1798" s="80" t="str">
        <f ca="1">IFERROR(__xludf.DUMMYFUNCTION("""COMPUTED_VALUE"""),"F")</f>
        <v>F</v>
      </c>
      <c r="F1798" s="80" t="str">
        <f ca="1">IFERROR(__xludf.DUMMYFUNCTION("""COMPUTED_VALUE"""),"J")</f>
        <v>J</v>
      </c>
      <c r="G1798" s="80">
        <f ca="1">IFERROR(__xludf.DUMMYFUNCTION("""COMPUTED_VALUE"""),8)</f>
        <v>8</v>
      </c>
      <c r="H1798" s="80" t="str">
        <f ca="1">IFERROR(__xludf.DUMMYFUNCTION("""COMPUTED_VALUE"""),"S")</f>
        <v>S</v>
      </c>
      <c r="I1798" s="80">
        <f ca="1">IFERROR(__xludf.DUMMYFUNCTION("""COMPUTED_VALUE"""),2)</f>
        <v>2</v>
      </c>
      <c r="J1798" s="85">
        <f ca="1">IFERROR(__xludf.DUMMYFUNCTION("""COMPUTED_VALUE"""),1)</f>
        <v>1</v>
      </c>
      <c r="K1798" s="85">
        <f ca="1">IFERROR(__xludf.DUMMYFUNCTION("""COMPUTED_VALUE"""),0)</f>
        <v>0</v>
      </c>
      <c r="L1798" s="85">
        <f ca="1">IFERROR(__xludf.DUMMYFUNCTION("""COMPUTED_VALUE"""),0)</f>
        <v>0</v>
      </c>
      <c r="M1798" s="85"/>
      <c r="N1798" s="85">
        <f ca="1">IFERROR(__xludf.DUMMYFUNCTION("""COMPUTED_VALUE"""),0)</f>
        <v>0</v>
      </c>
      <c r="O1798" s="85"/>
      <c r="P1798" s="85">
        <f ca="1">IFERROR(__xludf.DUMMYFUNCTION("""COMPUTED_VALUE"""),0)</f>
        <v>0</v>
      </c>
      <c r="Q1798" s="85"/>
      <c r="R1798" s="85">
        <f ca="1">IFERROR(__xludf.DUMMYFUNCTION("""COMPUTED_VALUE"""),0)</f>
        <v>0</v>
      </c>
      <c r="S1798" s="85"/>
      <c r="T1798" s="85"/>
      <c r="U1798" s="82"/>
      <c r="V1798" s="82"/>
      <c r="W1798" s="83"/>
      <c r="X1798" s="83"/>
      <c r="Y1798" s="83"/>
    </row>
    <row r="1799" spans="1:25" ht="13.8">
      <c r="A1799" s="78" t="str">
        <f ca="1">IFERROR(__xludf.DUMMYFUNCTION("""COMPUTED_VALUE"""),"S")</f>
        <v>S</v>
      </c>
      <c r="B1799" s="79" t="str">
        <f ca="1">IFERROR(__xludf.DUMMYFUNCTION("""COMPUTED_VALUE"""),"Isabella Darter")</f>
        <v>Isabella Darter</v>
      </c>
      <c r="C1799" s="78">
        <f ca="1">IFERROR(__xludf.DUMMYFUNCTION("""COMPUTED_VALUE"""),9)</f>
        <v>9</v>
      </c>
      <c r="D1799" s="78" t="str">
        <f ca="1">IFERROR(__xludf.DUMMYFUNCTION("""COMPUTED_VALUE"""),"G")</f>
        <v>G</v>
      </c>
      <c r="E1799" s="80" t="str">
        <f ca="1">IFERROR(__xludf.DUMMYFUNCTION("""COMPUTED_VALUE"""),"F")</f>
        <v>F</v>
      </c>
      <c r="F1799" s="80" t="str">
        <f ca="1">IFERROR(__xludf.DUMMYFUNCTION("""COMPUTED_VALUE"""),"J")</f>
        <v>J</v>
      </c>
      <c r="G1799" s="80">
        <f ca="1">IFERROR(__xludf.DUMMYFUNCTION("""COMPUTED_VALUE"""),8)</f>
        <v>8</v>
      </c>
      <c r="H1799" s="80" t="str">
        <f ca="1">IFERROR(__xludf.DUMMYFUNCTION("""COMPUTED_VALUE"""),"S")</f>
        <v>S</v>
      </c>
      <c r="I1799" s="80">
        <f ca="1">IFERROR(__xludf.DUMMYFUNCTION("""COMPUTED_VALUE"""),2)</f>
        <v>2</v>
      </c>
      <c r="J1799" s="85">
        <f ca="1">IFERROR(__xludf.DUMMYFUNCTION("""COMPUTED_VALUE"""),5)</f>
        <v>5</v>
      </c>
      <c r="K1799" s="85">
        <f ca="1">IFERROR(__xludf.DUMMYFUNCTION("""COMPUTED_VALUE"""),45.35)</f>
        <v>45.35</v>
      </c>
      <c r="L1799" s="85">
        <f ca="1">IFERROR(__xludf.DUMMYFUNCTION("""COMPUTED_VALUE"""),38.8)</f>
        <v>38.799999999999997</v>
      </c>
      <c r="M1799" s="85"/>
      <c r="N1799" s="85">
        <f ca="1">IFERROR(__xludf.DUMMYFUNCTION("""COMPUTED_VALUE"""),45.35)</f>
        <v>45.35</v>
      </c>
      <c r="O1799" s="85"/>
      <c r="P1799" s="85">
        <f ca="1">IFERROR(__xludf.DUMMYFUNCTION("""COMPUTED_VALUE"""),40.4)</f>
        <v>40.4</v>
      </c>
      <c r="Q1799" s="85"/>
      <c r="R1799" s="85">
        <f ca="1">IFERROR(__xludf.DUMMYFUNCTION("""COMPUTED_VALUE"""),41.9)</f>
        <v>41.9</v>
      </c>
      <c r="S1799" s="85"/>
      <c r="T1799" s="85"/>
      <c r="U1799" s="82"/>
      <c r="V1799" s="82"/>
      <c r="W1799" s="83"/>
      <c r="X1799" s="83"/>
      <c r="Y1799" s="83"/>
    </row>
    <row r="1800" spans="1:25" ht="13.8">
      <c r="A1800" s="78" t="str">
        <f ca="1">IFERROR(__xludf.DUMMYFUNCTION("""COMPUTED_VALUE"""),"S")</f>
        <v>S</v>
      </c>
      <c r="B1800" s="79" t="str">
        <f ca="1">IFERROR(__xludf.DUMMYFUNCTION("""COMPUTED_VALUE"""),"Viviana Del Campo")</f>
        <v>Viviana Del Campo</v>
      </c>
      <c r="C1800" s="78">
        <f ca="1">IFERROR(__xludf.DUMMYFUNCTION("""COMPUTED_VALUE"""),6)</f>
        <v>6</v>
      </c>
      <c r="D1800" s="78" t="str">
        <f ca="1">IFERROR(__xludf.DUMMYFUNCTION("""COMPUTED_VALUE"""),"G")</f>
        <v>G</v>
      </c>
      <c r="E1800" s="80" t="str">
        <f ca="1">IFERROR(__xludf.DUMMYFUNCTION("""COMPUTED_VALUE"""),"F")</f>
        <v>F</v>
      </c>
      <c r="F1800" s="80" t="str">
        <f ca="1">IFERROR(__xludf.DUMMYFUNCTION("""COMPUTED_VALUE"""),"J")</f>
        <v>J</v>
      </c>
      <c r="G1800" s="80">
        <f ca="1">IFERROR(__xludf.DUMMYFUNCTION("""COMPUTED_VALUE"""),8)</f>
        <v>8</v>
      </c>
      <c r="H1800" s="80" t="str">
        <f ca="1">IFERROR(__xludf.DUMMYFUNCTION("""COMPUTED_VALUE"""),"S")</f>
        <v>S</v>
      </c>
      <c r="I1800" s="80">
        <f ca="1">IFERROR(__xludf.DUMMYFUNCTION("""COMPUTED_VALUE"""),2)</f>
        <v>2</v>
      </c>
      <c r="J1800" s="85">
        <f ca="1">IFERROR(__xludf.DUMMYFUNCTION("""COMPUTED_VALUE"""),4)</f>
        <v>4</v>
      </c>
      <c r="K1800" s="85">
        <f ca="1">IFERROR(__xludf.DUMMYFUNCTION("""COMPUTED_VALUE"""),28.4)</f>
        <v>28.4</v>
      </c>
      <c r="L1800" s="85">
        <f ca="1">IFERROR(__xludf.DUMMYFUNCTION("""COMPUTED_VALUE"""),0)</f>
        <v>0</v>
      </c>
      <c r="M1800" s="85"/>
      <c r="N1800" s="85">
        <f ca="1">IFERROR(__xludf.DUMMYFUNCTION("""COMPUTED_VALUE"""),21.5)</f>
        <v>21.5</v>
      </c>
      <c r="O1800" s="85"/>
      <c r="P1800" s="85">
        <f ca="1">IFERROR(__xludf.DUMMYFUNCTION("""COMPUTED_VALUE"""),23.75)</f>
        <v>23.75</v>
      </c>
      <c r="Q1800" s="85"/>
      <c r="R1800" s="85">
        <f ca="1">IFERROR(__xludf.DUMMYFUNCTION("""COMPUTED_VALUE"""),28.4)</f>
        <v>28.4</v>
      </c>
      <c r="S1800" s="85"/>
      <c r="T1800" s="85"/>
      <c r="U1800" s="82"/>
      <c r="V1800" s="82"/>
      <c r="W1800" s="83"/>
      <c r="X1800" s="83"/>
      <c r="Y1800" s="83"/>
    </row>
    <row r="1801" spans="1:25" ht="13.8">
      <c r="A1801" s="78" t="str">
        <f ca="1">IFERROR(__xludf.DUMMYFUNCTION("""COMPUTED_VALUE"""),"S")</f>
        <v>S</v>
      </c>
      <c r="B1801" s="79" t="str">
        <f ca="1">IFERROR(__xludf.DUMMYFUNCTION("""COMPUTED_VALUE"""),"Zoe Hudson")</f>
        <v>Zoe Hudson</v>
      </c>
      <c r="C1801" s="78">
        <f ca="1">IFERROR(__xludf.DUMMYFUNCTION("""COMPUTED_VALUE"""),8)</f>
        <v>8</v>
      </c>
      <c r="D1801" s="78" t="str">
        <f ca="1">IFERROR(__xludf.DUMMYFUNCTION("""COMPUTED_VALUE"""),"G")</f>
        <v>G</v>
      </c>
      <c r="E1801" s="80" t="str">
        <f ca="1">IFERROR(__xludf.DUMMYFUNCTION("""COMPUTED_VALUE"""),"F")</f>
        <v>F</v>
      </c>
      <c r="F1801" s="80" t="str">
        <f ca="1">IFERROR(__xludf.DUMMYFUNCTION("""COMPUTED_VALUE"""),"J")</f>
        <v>J</v>
      </c>
      <c r="G1801" s="80">
        <f ca="1">IFERROR(__xludf.DUMMYFUNCTION("""COMPUTED_VALUE"""),8)</f>
        <v>8</v>
      </c>
      <c r="H1801" s="80" t="str">
        <f ca="1">IFERROR(__xludf.DUMMYFUNCTION("""COMPUTED_VALUE"""),"S")</f>
        <v>S</v>
      </c>
      <c r="I1801" s="80">
        <f ca="1">IFERROR(__xludf.DUMMYFUNCTION("""COMPUTED_VALUE"""),2)</f>
        <v>2</v>
      </c>
      <c r="J1801" s="85">
        <f ca="1">IFERROR(__xludf.DUMMYFUNCTION("""COMPUTED_VALUE"""),0)</f>
        <v>0</v>
      </c>
      <c r="K1801" s="85">
        <f ca="1">IFERROR(__xludf.DUMMYFUNCTION("""COMPUTED_VALUE"""),0)</f>
        <v>0</v>
      </c>
      <c r="L1801" s="85">
        <f ca="1">IFERROR(__xludf.DUMMYFUNCTION("""COMPUTED_VALUE"""),0)</f>
        <v>0</v>
      </c>
      <c r="M1801" s="85"/>
      <c r="N1801" s="85">
        <f ca="1">IFERROR(__xludf.DUMMYFUNCTION("""COMPUTED_VALUE"""),0)</f>
        <v>0</v>
      </c>
      <c r="O1801" s="85"/>
      <c r="P1801" s="85">
        <f ca="1">IFERROR(__xludf.DUMMYFUNCTION("""COMPUTED_VALUE"""),0)</f>
        <v>0</v>
      </c>
      <c r="Q1801" s="85"/>
      <c r="R1801" s="85">
        <f ca="1">IFERROR(__xludf.DUMMYFUNCTION("""COMPUTED_VALUE"""),0)</f>
        <v>0</v>
      </c>
      <c r="S1801" s="85"/>
      <c r="T1801" s="85"/>
      <c r="U1801" s="82"/>
      <c r="V1801" s="82"/>
      <c r="W1801" s="83"/>
      <c r="X1801" s="83"/>
      <c r="Y1801" s="83"/>
    </row>
    <row r="1802" spans="1:25" ht="13.8">
      <c r="A1802" s="78" t="str">
        <f ca="1">IFERROR(__xludf.DUMMYFUNCTION("""COMPUTED_VALUE"""),"S")</f>
        <v>S</v>
      </c>
      <c r="B1802" s="79" t="str">
        <f ca="1">IFERROR(__xludf.DUMMYFUNCTION("""COMPUTED_VALUE"""),"Anna Silver")</f>
        <v>Anna Silver</v>
      </c>
      <c r="C1802" s="78">
        <f ca="1">IFERROR(__xludf.DUMMYFUNCTION("""COMPUTED_VALUE"""),7)</f>
        <v>7</v>
      </c>
      <c r="D1802" s="78" t="str">
        <f ca="1">IFERROR(__xludf.DUMMYFUNCTION("""COMPUTED_VALUE"""),"G")</f>
        <v>G</v>
      </c>
      <c r="E1802" s="80" t="str">
        <f ca="1">IFERROR(__xludf.DUMMYFUNCTION("""COMPUTED_VALUE"""),"F")</f>
        <v>F</v>
      </c>
      <c r="F1802" s="80" t="str">
        <f ca="1">IFERROR(__xludf.DUMMYFUNCTION("""COMPUTED_VALUE"""),"J")</f>
        <v>J</v>
      </c>
      <c r="G1802" s="80">
        <f ca="1">IFERROR(__xludf.DUMMYFUNCTION("""COMPUTED_VALUE"""),8)</f>
        <v>8</v>
      </c>
      <c r="H1802" s="80" t="str">
        <f ca="1">IFERROR(__xludf.DUMMYFUNCTION("""COMPUTED_VALUE"""),"S")</f>
        <v>S</v>
      </c>
      <c r="I1802" s="80">
        <f ca="1">IFERROR(__xludf.DUMMYFUNCTION("""COMPUTED_VALUE"""),2)</f>
        <v>2</v>
      </c>
      <c r="J1802" s="85">
        <f ca="1">IFERROR(__xludf.DUMMYFUNCTION("""COMPUTED_VALUE"""),0)</f>
        <v>0</v>
      </c>
      <c r="K1802" s="85">
        <f ca="1">IFERROR(__xludf.DUMMYFUNCTION("""COMPUTED_VALUE"""),0)</f>
        <v>0</v>
      </c>
      <c r="L1802" s="85">
        <f ca="1">IFERROR(__xludf.DUMMYFUNCTION("""COMPUTED_VALUE"""),0)</f>
        <v>0</v>
      </c>
      <c r="M1802" s="85"/>
      <c r="N1802" s="85">
        <f ca="1">IFERROR(__xludf.DUMMYFUNCTION("""COMPUTED_VALUE"""),0)</f>
        <v>0</v>
      </c>
      <c r="O1802" s="85"/>
      <c r="P1802" s="85">
        <f ca="1">IFERROR(__xludf.DUMMYFUNCTION("""COMPUTED_VALUE"""),0)</f>
        <v>0</v>
      </c>
      <c r="Q1802" s="85"/>
      <c r="R1802" s="85">
        <f ca="1">IFERROR(__xludf.DUMMYFUNCTION("""COMPUTED_VALUE"""),0)</f>
        <v>0</v>
      </c>
      <c r="S1802" s="85"/>
      <c r="T1802" s="85"/>
      <c r="U1802" s="82"/>
      <c r="V1802" s="82"/>
      <c r="W1802" s="83"/>
      <c r="X1802" s="83"/>
      <c r="Y1802" s="83"/>
    </row>
    <row r="1803" spans="1:25" ht="13.8">
      <c r="A1803" s="78" t="str">
        <f ca="1">IFERROR(__xludf.DUMMYFUNCTION("""COMPUTED_VALUE"""),"S")</f>
        <v>S</v>
      </c>
      <c r="B1803" s="79" t="str">
        <f ca="1">IFERROR(__xludf.DUMMYFUNCTION("""COMPUTED_VALUE"""),"Fionn Cahill")</f>
        <v>Fionn Cahill</v>
      </c>
      <c r="C1803" s="78">
        <f ca="1">IFERROR(__xludf.DUMMYFUNCTION("""COMPUTED_VALUE"""),6)</f>
        <v>6</v>
      </c>
      <c r="D1803" s="78" t="str">
        <f ca="1">IFERROR(__xludf.DUMMYFUNCTION("""COMPUTED_VALUE"""),"B")</f>
        <v>B</v>
      </c>
      <c r="E1803" s="80" t="str">
        <f ca="1">IFERROR(__xludf.DUMMYFUNCTION("""COMPUTED_VALUE"""),"F")</f>
        <v>F</v>
      </c>
      <c r="F1803" s="80" t="str">
        <f ca="1">IFERROR(__xludf.DUMMYFUNCTION("""COMPUTED_VALUE"""),"J")</f>
        <v>J</v>
      </c>
      <c r="G1803" s="80">
        <f ca="1">IFERROR(__xludf.DUMMYFUNCTION("""COMPUTED_VALUE"""),8)</f>
        <v>8</v>
      </c>
      <c r="H1803" s="80" t="str">
        <f ca="1">IFERROR(__xludf.DUMMYFUNCTION("""COMPUTED_VALUE"""),"S")</f>
        <v>S</v>
      </c>
      <c r="I1803" s="80">
        <f ca="1">IFERROR(__xludf.DUMMYFUNCTION("""COMPUTED_VALUE"""),3)</f>
        <v>3</v>
      </c>
      <c r="J1803" s="85">
        <f ca="1">IFERROR(__xludf.DUMMYFUNCTION("""COMPUTED_VALUE"""),0)</f>
        <v>0</v>
      </c>
      <c r="K1803" s="85">
        <f ca="1">IFERROR(__xludf.DUMMYFUNCTION("""COMPUTED_VALUE"""),0)</f>
        <v>0</v>
      </c>
      <c r="L1803" s="85">
        <f ca="1">IFERROR(__xludf.DUMMYFUNCTION("""COMPUTED_VALUE"""),0)</f>
        <v>0</v>
      </c>
      <c r="M1803" s="85"/>
      <c r="N1803" s="85">
        <f ca="1">IFERROR(__xludf.DUMMYFUNCTION("""COMPUTED_VALUE"""),0)</f>
        <v>0</v>
      </c>
      <c r="O1803" s="85"/>
      <c r="P1803" s="85">
        <f ca="1">IFERROR(__xludf.DUMMYFUNCTION("""COMPUTED_VALUE"""),0)</f>
        <v>0</v>
      </c>
      <c r="Q1803" s="85"/>
      <c r="R1803" s="85">
        <f ca="1">IFERROR(__xludf.DUMMYFUNCTION("""COMPUTED_VALUE"""),0)</f>
        <v>0</v>
      </c>
      <c r="S1803" s="85"/>
      <c r="T1803" s="85"/>
      <c r="U1803" s="82"/>
      <c r="V1803" s="82"/>
      <c r="W1803" s="83"/>
      <c r="X1803" s="83"/>
      <c r="Y1803" s="83"/>
    </row>
    <row r="1804" spans="1:25" ht="13.8">
      <c r="A1804" s="78" t="str">
        <f ca="1">IFERROR(__xludf.DUMMYFUNCTION("""COMPUTED_VALUE"""),"S")</f>
        <v>S</v>
      </c>
      <c r="B1804" s="79" t="str">
        <f ca="1">IFERROR(__xludf.DUMMYFUNCTION("""COMPUTED_VALUE"""),"Caiden Calhoun")</f>
        <v>Caiden Calhoun</v>
      </c>
      <c r="C1804" s="78">
        <f ca="1">IFERROR(__xludf.DUMMYFUNCTION("""COMPUTED_VALUE"""),10)</f>
        <v>10</v>
      </c>
      <c r="D1804" s="78" t="str">
        <f ca="1">IFERROR(__xludf.DUMMYFUNCTION("""COMPUTED_VALUE"""),"B")</f>
        <v>B</v>
      </c>
      <c r="E1804" s="80" t="str">
        <f ca="1">IFERROR(__xludf.DUMMYFUNCTION("""COMPUTED_VALUE"""),"F")</f>
        <v>F</v>
      </c>
      <c r="F1804" s="80" t="str">
        <f ca="1">IFERROR(__xludf.DUMMYFUNCTION("""COMPUTED_VALUE"""),"J")</f>
        <v>J</v>
      </c>
      <c r="G1804" s="80">
        <f ca="1">IFERROR(__xludf.DUMMYFUNCTION("""COMPUTED_VALUE"""),8)</f>
        <v>8</v>
      </c>
      <c r="H1804" s="80" t="str">
        <f ca="1">IFERROR(__xludf.DUMMYFUNCTION("""COMPUTED_VALUE"""),"S")</f>
        <v>S</v>
      </c>
      <c r="I1804" s="80">
        <f ca="1">IFERROR(__xludf.DUMMYFUNCTION("""COMPUTED_VALUE"""),3)</f>
        <v>3</v>
      </c>
      <c r="J1804" s="85">
        <f ca="1">IFERROR(__xludf.DUMMYFUNCTION("""COMPUTED_VALUE"""),2)</f>
        <v>2</v>
      </c>
      <c r="K1804" s="85">
        <f ca="1">IFERROR(__xludf.DUMMYFUNCTION("""COMPUTED_VALUE"""),63.55)</f>
        <v>63.55</v>
      </c>
      <c r="L1804" s="85">
        <f ca="1">IFERROR(__xludf.DUMMYFUNCTION("""COMPUTED_VALUE"""),52.2)</f>
        <v>52.2</v>
      </c>
      <c r="M1804" s="85"/>
      <c r="N1804" s="85">
        <f ca="1">IFERROR(__xludf.DUMMYFUNCTION("""COMPUTED_VALUE"""),0)</f>
        <v>0</v>
      </c>
      <c r="O1804" s="85"/>
      <c r="P1804" s="85">
        <f ca="1">IFERROR(__xludf.DUMMYFUNCTION("""COMPUTED_VALUE"""),63.55)</f>
        <v>63.55</v>
      </c>
      <c r="Q1804" s="85"/>
      <c r="R1804" s="85">
        <f ca="1">IFERROR(__xludf.DUMMYFUNCTION("""COMPUTED_VALUE"""),0)</f>
        <v>0</v>
      </c>
      <c r="S1804" s="85"/>
      <c r="T1804" s="85"/>
      <c r="U1804" s="82"/>
      <c r="V1804" s="82"/>
      <c r="W1804" s="83"/>
      <c r="X1804" s="83"/>
      <c r="Y1804" s="83"/>
    </row>
    <row r="1805" spans="1:25" ht="13.8">
      <c r="A1805" s="78" t="str">
        <f ca="1">IFERROR(__xludf.DUMMYFUNCTION("""COMPUTED_VALUE"""),"S")</f>
        <v>S</v>
      </c>
      <c r="B1805" s="79" t="str">
        <f ca="1">IFERROR(__xludf.DUMMYFUNCTION("""COMPUTED_VALUE"""),"Brendan Castro")</f>
        <v>Brendan Castro</v>
      </c>
      <c r="C1805" s="78">
        <f ca="1">IFERROR(__xludf.DUMMYFUNCTION("""COMPUTED_VALUE"""),9)</f>
        <v>9</v>
      </c>
      <c r="D1805" s="78" t="str">
        <f ca="1">IFERROR(__xludf.DUMMYFUNCTION("""COMPUTED_VALUE"""),"B")</f>
        <v>B</v>
      </c>
      <c r="E1805" s="80" t="str">
        <f ca="1">IFERROR(__xludf.DUMMYFUNCTION("""COMPUTED_VALUE"""),"F")</f>
        <v>F</v>
      </c>
      <c r="F1805" s="80" t="str">
        <f ca="1">IFERROR(__xludf.DUMMYFUNCTION("""COMPUTED_VALUE"""),"J")</f>
        <v>J</v>
      </c>
      <c r="G1805" s="80">
        <f ca="1">IFERROR(__xludf.DUMMYFUNCTION("""COMPUTED_VALUE"""),8)</f>
        <v>8</v>
      </c>
      <c r="H1805" s="80" t="str">
        <f ca="1">IFERROR(__xludf.DUMMYFUNCTION("""COMPUTED_VALUE"""),"S")</f>
        <v>S</v>
      </c>
      <c r="I1805" s="80">
        <f ca="1">IFERROR(__xludf.DUMMYFUNCTION("""COMPUTED_VALUE"""),3)</f>
        <v>3</v>
      </c>
      <c r="J1805" s="85">
        <f ca="1">IFERROR(__xludf.DUMMYFUNCTION("""COMPUTED_VALUE"""),4)</f>
        <v>4</v>
      </c>
      <c r="K1805" s="85">
        <f ca="1">IFERROR(__xludf.DUMMYFUNCTION("""COMPUTED_VALUE"""),62.35)</f>
        <v>62.35</v>
      </c>
      <c r="L1805" s="85">
        <f ca="1">IFERROR(__xludf.DUMMYFUNCTION("""COMPUTED_VALUE"""),55.65)</f>
        <v>55.65</v>
      </c>
      <c r="M1805" s="85"/>
      <c r="N1805" s="85">
        <f ca="1">IFERROR(__xludf.DUMMYFUNCTION("""COMPUTED_VALUE"""),-80.5)</f>
        <v>-80.5</v>
      </c>
      <c r="O1805" s="85"/>
      <c r="P1805" s="85">
        <f ca="1">IFERROR(__xludf.DUMMYFUNCTION("""COMPUTED_VALUE"""),62.35)</f>
        <v>62.35</v>
      </c>
      <c r="Q1805" s="85"/>
      <c r="R1805" s="85">
        <f ca="1">IFERROR(__xludf.DUMMYFUNCTION("""COMPUTED_VALUE"""),-86.6)</f>
        <v>-86.6</v>
      </c>
      <c r="S1805" s="85"/>
      <c r="T1805" s="85"/>
      <c r="U1805" s="82"/>
      <c r="V1805" s="82"/>
      <c r="W1805" s="83"/>
      <c r="X1805" s="83"/>
      <c r="Y1805" s="83"/>
    </row>
    <row r="1806" spans="1:25" ht="13.8">
      <c r="A1806" s="78" t="str">
        <f ca="1">IFERROR(__xludf.DUMMYFUNCTION("""COMPUTED_VALUE"""),"S")</f>
        <v>S</v>
      </c>
      <c r="B1806" s="79" t="str">
        <f ca="1">IFERROR(__xludf.DUMMYFUNCTION("""COMPUTED_VALUE"""),"Felix Castro")</f>
        <v>Felix Castro</v>
      </c>
      <c r="C1806" s="78">
        <f ca="1">IFERROR(__xludf.DUMMYFUNCTION("""COMPUTED_VALUE"""),7)</f>
        <v>7</v>
      </c>
      <c r="D1806" s="78" t="str">
        <f ca="1">IFERROR(__xludf.DUMMYFUNCTION("""COMPUTED_VALUE"""),"B")</f>
        <v>B</v>
      </c>
      <c r="E1806" s="80" t="str">
        <f ca="1">IFERROR(__xludf.DUMMYFUNCTION("""COMPUTED_VALUE"""),"F")</f>
        <v>F</v>
      </c>
      <c r="F1806" s="80" t="str">
        <f ca="1">IFERROR(__xludf.DUMMYFUNCTION("""COMPUTED_VALUE"""),"J")</f>
        <v>J</v>
      </c>
      <c r="G1806" s="80">
        <f ca="1">IFERROR(__xludf.DUMMYFUNCTION("""COMPUTED_VALUE"""),8)</f>
        <v>8</v>
      </c>
      <c r="H1806" s="80" t="str">
        <f ca="1">IFERROR(__xludf.DUMMYFUNCTION("""COMPUTED_VALUE"""),"S")</f>
        <v>S</v>
      </c>
      <c r="I1806" s="80">
        <f ca="1">IFERROR(__xludf.DUMMYFUNCTION("""COMPUTED_VALUE"""),3)</f>
        <v>3</v>
      </c>
      <c r="J1806" s="85">
        <f ca="1">IFERROR(__xludf.DUMMYFUNCTION("""COMPUTED_VALUE"""),3)</f>
        <v>3</v>
      </c>
      <c r="K1806" s="85">
        <f ca="1">IFERROR(__xludf.DUMMYFUNCTION("""COMPUTED_VALUE"""),28.85)</f>
        <v>28.85</v>
      </c>
      <c r="L1806" s="85">
        <f ca="1">IFERROR(__xludf.DUMMYFUNCTION("""COMPUTED_VALUE"""),7.2)</f>
        <v>7.2</v>
      </c>
      <c r="M1806" s="85"/>
      <c r="N1806" s="85">
        <f ca="1">IFERROR(__xludf.DUMMYFUNCTION("""COMPUTED_VALUE"""),0)</f>
        <v>0</v>
      </c>
      <c r="O1806" s="85"/>
      <c r="P1806" s="85">
        <f ca="1">IFERROR(__xludf.DUMMYFUNCTION("""COMPUTED_VALUE"""),0)</f>
        <v>0</v>
      </c>
      <c r="Q1806" s="85"/>
      <c r="R1806" s="85">
        <f ca="1">IFERROR(__xludf.DUMMYFUNCTION("""COMPUTED_VALUE"""),28.85)</f>
        <v>28.85</v>
      </c>
      <c r="S1806" s="85"/>
      <c r="T1806" s="85"/>
      <c r="U1806" s="82"/>
      <c r="V1806" s="82"/>
      <c r="W1806" s="83"/>
      <c r="X1806" s="83"/>
      <c r="Y1806" s="83"/>
    </row>
    <row r="1807" spans="1:25" ht="13.8">
      <c r="A1807" s="78" t="str">
        <f ca="1">IFERROR(__xludf.DUMMYFUNCTION("""COMPUTED_VALUE"""),"S")</f>
        <v>S</v>
      </c>
      <c r="B1807" s="79" t="str">
        <f ca="1">IFERROR(__xludf.DUMMYFUNCTION("""COMPUTED_VALUE"""),"Benjamin Dane")</f>
        <v>Benjamin Dane</v>
      </c>
      <c r="C1807" s="78">
        <f ca="1">IFERROR(__xludf.DUMMYFUNCTION("""COMPUTED_VALUE"""),9)</f>
        <v>9</v>
      </c>
      <c r="D1807" s="78" t="str">
        <f ca="1">IFERROR(__xludf.DUMMYFUNCTION("""COMPUTED_VALUE"""),"B")</f>
        <v>B</v>
      </c>
      <c r="E1807" s="80" t="str">
        <f ca="1">IFERROR(__xludf.DUMMYFUNCTION("""COMPUTED_VALUE"""),"F")</f>
        <v>F</v>
      </c>
      <c r="F1807" s="80" t="str">
        <f ca="1">IFERROR(__xludf.DUMMYFUNCTION("""COMPUTED_VALUE"""),"J")</f>
        <v>J</v>
      </c>
      <c r="G1807" s="80">
        <f ca="1">IFERROR(__xludf.DUMMYFUNCTION("""COMPUTED_VALUE"""),8)</f>
        <v>8</v>
      </c>
      <c r="H1807" s="80" t="str">
        <f ca="1">IFERROR(__xludf.DUMMYFUNCTION("""COMPUTED_VALUE"""),"S")</f>
        <v>S</v>
      </c>
      <c r="I1807" s="80">
        <f ca="1">IFERROR(__xludf.DUMMYFUNCTION("""COMPUTED_VALUE"""),3)</f>
        <v>3</v>
      </c>
      <c r="J1807" s="85">
        <f ca="1">IFERROR(__xludf.DUMMYFUNCTION("""COMPUTED_VALUE"""),4)</f>
        <v>4</v>
      </c>
      <c r="K1807" s="85">
        <f ca="1">IFERROR(__xludf.DUMMYFUNCTION("""COMPUTED_VALUE"""),33.35)</f>
        <v>33.35</v>
      </c>
      <c r="L1807" s="85">
        <f ca="1">IFERROR(__xludf.DUMMYFUNCTION("""COMPUTED_VALUE"""),0)</f>
        <v>0</v>
      </c>
      <c r="M1807" s="85"/>
      <c r="N1807" s="85">
        <f ca="1">IFERROR(__xludf.DUMMYFUNCTION("""COMPUTED_VALUE"""),20.75)</f>
        <v>20.75</v>
      </c>
      <c r="O1807" s="85"/>
      <c r="P1807" s="85">
        <f ca="1">IFERROR(__xludf.DUMMYFUNCTION("""COMPUTED_VALUE"""),30.95)</f>
        <v>30.95</v>
      </c>
      <c r="Q1807" s="85"/>
      <c r="R1807" s="85">
        <f ca="1">IFERROR(__xludf.DUMMYFUNCTION("""COMPUTED_VALUE"""),33.35)</f>
        <v>33.35</v>
      </c>
      <c r="S1807" s="85"/>
      <c r="T1807" s="85"/>
      <c r="U1807" s="82"/>
      <c r="V1807" s="82"/>
      <c r="W1807" s="83"/>
      <c r="X1807" s="83"/>
      <c r="Y1807" s="83"/>
    </row>
    <row r="1808" spans="1:25" ht="13.8">
      <c r="A1808" s="78" t="str">
        <f ca="1">IFERROR(__xludf.DUMMYFUNCTION("""COMPUTED_VALUE"""),"S")</f>
        <v>S</v>
      </c>
      <c r="B1808" s="79" t="str">
        <f ca="1">IFERROR(__xludf.DUMMYFUNCTION("""COMPUTED_VALUE"""),"Cristiano Garcia")</f>
        <v>Cristiano Garcia</v>
      </c>
      <c r="C1808" s="78">
        <f ca="1">IFERROR(__xludf.DUMMYFUNCTION("""COMPUTED_VALUE"""),10)</f>
        <v>10</v>
      </c>
      <c r="D1808" s="78" t="str">
        <f ca="1">IFERROR(__xludf.DUMMYFUNCTION("""COMPUTED_VALUE"""),"B")</f>
        <v>B</v>
      </c>
      <c r="E1808" s="80" t="str">
        <f ca="1">IFERROR(__xludf.DUMMYFUNCTION("""COMPUTED_VALUE"""),"F")</f>
        <v>F</v>
      </c>
      <c r="F1808" s="80" t="str">
        <f ca="1">IFERROR(__xludf.DUMMYFUNCTION("""COMPUTED_VALUE"""),"J")</f>
        <v>J</v>
      </c>
      <c r="G1808" s="80">
        <f ca="1">IFERROR(__xludf.DUMMYFUNCTION("""COMPUTED_VALUE"""),8)</f>
        <v>8</v>
      </c>
      <c r="H1808" s="80" t="str">
        <f ca="1">IFERROR(__xludf.DUMMYFUNCTION("""COMPUTED_VALUE"""),"S")</f>
        <v>S</v>
      </c>
      <c r="I1808" s="80">
        <f ca="1">IFERROR(__xludf.DUMMYFUNCTION("""COMPUTED_VALUE"""),3)</f>
        <v>3</v>
      </c>
      <c r="J1808" s="85">
        <f ca="1">IFERROR(__xludf.DUMMYFUNCTION("""COMPUTED_VALUE"""),5)</f>
        <v>5</v>
      </c>
      <c r="K1808" s="85">
        <f ca="1">IFERROR(__xludf.DUMMYFUNCTION("""COMPUTED_VALUE"""),107.2)</f>
        <v>107.2</v>
      </c>
      <c r="L1808" s="85">
        <f ca="1">IFERROR(__xludf.DUMMYFUNCTION("""COMPUTED_VALUE"""),-146.95)</f>
        <v>-146.94999999999999</v>
      </c>
      <c r="M1808" s="85"/>
      <c r="N1808" s="85">
        <f ca="1">IFERROR(__xludf.DUMMYFUNCTION("""COMPUTED_VALUE"""),107.2)</f>
        <v>107.2</v>
      </c>
      <c r="O1808" s="85"/>
      <c r="P1808" s="85">
        <f ca="1">IFERROR(__xludf.DUMMYFUNCTION("""COMPUTED_VALUE"""),-145.15)</f>
        <v>-145.15</v>
      </c>
      <c r="Q1808" s="85"/>
      <c r="R1808" s="85">
        <f ca="1">IFERROR(__xludf.DUMMYFUNCTION("""COMPUTED_VALUE"""),-148)</f>
        <v>-148</v>
      </c>
      <c r="S1808" s="85"/>
      <c r="T1808" s="85"/>
      <c r="U1808" s="82"/>
      <c r="V1808" s="82"/>
      <c r="W1808" s="83"/>
      <c r="X1808" s="83"/>
      <c r="Y1808" s="83"/>
    </row>
    <row r="1809" spans="1:25" ht="13.8">
      <c r="A1809" s="78" t="str">
        <f ca="1">IFERROR(__xludf.DUMMYFUNCTION("""COMPUTED_VALUE"""),"S")</f>
        <v>S</v>
      </c>
      <c r="B1809" s="79" t="str">
        <f ca="1">IFERROR(__xludf.DUMMYFUNCTION("""COMPUTED_VALUE"""),"Henry Martin")</f>
        <v>Henry Martin</v>
      </c>
      <c r="C1809" s="78">
        <f ca="1">IFERROR(__xludf.DUMMYFUNCTION("""COMPUTED_VALUE"""),8)</f>
        <v>8</v>
      </c>
      <c r="D1809" s="78" t="str">
        <f ca="1">IFERROR(__xludf.DUMMYFUNCTION("""COMPUTED_VALUE"""),"B")</f>
        <v>B</v>
      </c>
      <c r="E1809" s="80" t="str">
        <f ca="1">IFERROR(__xludf.DUMMYFUNCTION("""COMPUTED_VALUE"""),"F")</f>
        <v>F</v>
      </c>
      <c r="F1809" s="80" t="str">
        <f ca="1">IFERROR(__xludf.DUMMYFUNCTION("""COMPUTED_VALUE"""),"J")</f>
        <v>J</v>
      </c>
      <c r="G1809" s="80">
        <f ca="1">IFERROR(__xludf.DUMMYFUNCTION("""COMPUTED_VALUE"""),8)</f>
        <v>8</v>
      </c>
      <c r="H1809" s="80" t="str">
        <f ca="1">IFERROR(__xludf.DUMMYFUNCTION("""COMPUTED_VALUE"""),"S")</f>
        <v>S</v>
      </c>
      <c r="I1809" s="80">
        <f ca="1">IFERROR(__xludf.DUMMYFUNCTION("""COMPUTED_VALUE"""),3)</f>
        <v>3</v>
      </c>
      <c r="J1809" s="85">
        <f ca="1">IFERROR(__xludf.DUMMYFUNCTION("""COMPUTED_VALUE"""),4)</f>
        <v>4</v>
      </c>
      <c r="K1809" s="85">
        <f ca="1">IFERROR(__xludf.DUMMYFUNCTION("""COMPUTED_VALUE"""),69.55)</f>
        <v>69.55</v>
      </c>
      <c r="L1809" s="85">
        <f ca="1">IFERROR(__xludf.DUMMYFUNCTION("""COMPUTED_VALUE"""),-96)</f>
        <v>-96</v>
      </c>
      <c r="M1809" s="85"/>
      <c r="N1809" s="85">
        <f ca="1">IFERROR(__xludf.DUMMYFUNCTION("""COMPUTED_VALUE"""),-90.5)</f>
        <v>-90.5</v>
      </c>
      <c r="O1809" s="85"/>
      <c r="P1809" s="85">
        <f ca="1">IFERROR(__xludf.DUMMYFUNCTION("""COMPUTED_VALUE"""),0)</f>
        <v>0</v>
      </c>
      <c r="Q1809" s="85"/>
      <c r="R1809" s="85">
        <f ca="1">IFERROR(__xludf.DUMMYFUNCTION("""COMPUTED_VALUE"""),69.55)</f>
        <v>69.55</v>
      </c>
      <c r="S1809" s="85"/>
      <c r="T1809" s="85"/>
      <c r="U1809" s="82"/>
      <c r="V1809" s="82"/>
      <c r="W1809" s="83"/>
      <c r="X1809" s="83"/>
      <c r="Y1809" s="83"/>
    </row>
    <row r="1810" spans="1:25" ht="13.8">
      <c r="A1810" s="78" t="str">
        <f ca="1">IFERROR(__xludf.DUMMYFUNCTION("""COMPUTED_VALUE"""),"S")</f>
        <v>S</v>
      </c>
      <c r="B1810" s="79" t="str">
        <f ca="1">IFERROR(__xludf.DUMMYFUNCTION("""COMPUTED_VALUE"""),"Caleb Orban")</f>
        <v>Caleb Orban</v>
      </c>
      <c r="C1810" s="78">
        <f ca="1">IFERROR(__xludf.DUMMYFUNCTION("""COMPUTED_VALUE"""),10)</f>
        <v>10</v>
      </c>
      <c r="D1810" s="78" t="str">
        <f ca="1">IFERROR(__xludf.DUMMYFUNCTION("""COMPUTED_VALUE"""),"B")</f>
        <v>B</v>
      </c>
      <c r="E1810" s="80" t="str">
        <f ca="1">IFERROR(__xludf.DUMMYFUNCTION("""COMPUTED_VALUE"""),"F")</f>
        <v>F</v>
      </c>
      <c r="F1810" s="80" t="str">
        <f ca="1">IFERROR(__xludf.DUMMYFUNCTION("""COMPUTED_VALUE"""),"J")</f>
        <v>J</v>
      </c>
      <c r="G1810" s="80">
        <f ca="1">IFERROR(__xludf.DUMMYFUNCTION("""COMPUTED_VALUE"""),8)</f>
        <v>8</v>
      </c>
      <c r="H1810" s="80" t="str">
        <f ca="1">IFERROR(__xludf.DUMMYFUNCTION("""COMPUTED_VALUE"""),"S")</f>
        <v>S</v>
      </c>
      <c r="I1810" s="80">
        <f ca="1">IFERROR(__xludf.DUMMYFUNCTION("""COMPUTED_VALUE"""),3)</f>
        <v>3</v>
      </c>
      <c r="J1810" s="85">
        <f ca="1">IFERROR(__xludf.DUMMYFUNCTION("""COMPUTED_VALUE"""),4)</f>
        <v>4</v>
      </c>
      <c r="K1810" s="85">
        <f ca="1">IFERROR(__xludf.DUMMYFUNCTION("""COMPUTED_VALUE"""),52.25)</f>
        <v>52.25</v>
      </c>
      <c r="L1810" s="85">
        <f ca="1">IFERROR(__xludf.DUMMYFUNCTION("""COMPUTED_VALUE"""),52.25)</f>
        <v>52.25</v>
      </c>
      <c r="M1810" s="85"/>
      <c r="N1810" s="85">
        <f ca="1">IFERROR(__xludf.DUMMYFUNCTION("""COMPUTED_VALUE"""),-83.65)</f>
        <v>-83.65</v>
      </c>
      <c r="O1810" s="85"/>
      <c r="P1810" s="85">
        <f ca="1">IFERROR(__xludf.DUMMYFUNCTION("""COMPUTED_VALUE"""),-75.4)</f>
        <v>-75.400000000000006</v>
      </c>
      <c r="Q1810" s="85"/>
      <c r="R1810" s="85">
        <f ca="1">IFERROR(__xludf.DUMMYFUNCTION("""COMPUTED_VALUE"""),0)</f>
        <v>0</v>
      </c>
      <c r="S1810" s="85"/>
      <c r="T1810" s="85"/>
      <c r="U1810" s="82"/>
      <c r="V1810" s="82"/>
      <c r="W1810" s="83"/>
      <c r="X1810" s="83"/>
      <c r="Y1810" s="83"/>
    </row>
    <row r="1811" spans="1:25" ht="13.8">
      <c r="A1811" s="78" t="str">
        <f ca="1">IFERROR(__xludf.DUMMYFUNCTION("""COMPUTED_VALUE"""),"S")</f>
        <v>S</v>
      </c>
      <c r="B1811" s="79" t="str">
        <f ca="1">IFERROR(__xludf.DUMMYFUNCTION("""COMPUTED_VALUE"""),"Matthew Rempe")</f>
        <v>Matthew Rempe</v>
      </c>
      <c r="C1811" s="78">
        <f ca="1">IFERROR(__xludf.DUMMYFUNCTION("""COMPUTED_VALUE"""),7)</f>
        <v>7</v>
      </c>
      <c r="D1811" s="78" t="str">
        <f ca="1">IFERROR(__xludf.DUMMYFUNCTION("""COMPUTED_VALUE"""),"B")</f>
        <v>B</v>
      </c>
      <c r="E1811" s="80" t="str">
        <f ca="1">IFERROR(__xludf.DUMMYFUNCTION("""COMPUTED_VALUE"""),"F")</f>
        <v>F</v>
      </c>
      <c r="F1811" s="80" t="str">
        <f ca="1">IFERROR(__xludf.DUMMYFUNCTION("""COMPUTED_VALUE"""),"J")</f>
        <v>J</v>
      </c>
      <c r="G1811" s="80">
        <f ca="1">IFERROR(__xludf.DUMMYFUNCTION("""COMPUTED_VALUE"""),8)</f>
        <v>8</v>
      </c>
      <c r="H1811" s="80" t="str">
        <f ca="1">IFERROR(__xludf.DUMMYFUNCTION("""COMPUTED_VALUE"""),"S")</f>
        <v>S</v>
      </c>
      <c r="I1811" s="80">
        <f ca="1">IFERROR(__xludf.DUMMYFUNCTION("""COMPUTED_VALUE"""),3)</f>
        <v>3</v>
      </c>
      <c r="J1811" s="85">
        <f ca="1">IFERROR(__xludf.DUMMYFUNCTION("""COMPUTED_VALUE"""),5)</f>
        <v>5</v>
      </c>
      <c r="K1811" s="85">
        <f ca="1">IFERROR(__xludf.DUMMYFUNCTION("""COMPUTED_VALUE"""),52.65)</f>
        <v>52.65</v>
      </c>
      <c r="L1811" s="85">
        <f ca="1">IFERROR(__xludf.DUMMYFUNCTION("""COMPUTED_VALUE"""),37.6)</f>
        <v>37.6</v>
      </c>
      <c r="M1811" s="85"/>
      <c r="N1811" s="85">
        <f ca="1">IFERROR(__xludf.DUMMYFUNCTION("""COMPUTED_VALUE"""),43.65)</f>
        <v>43.65</v>
      </c>
      <c r="O1811" s="85"/>
      <c r="P1811" s="85">
        <f ca="1">IFERROR(__xludf.DUMMYFUNCTION("""COMPUTED_VALUE"""),48.85)</f>
        <v>48.85</v>
      </c>
      <c r="Q1811" s="85"/>
      <c r="R1811" s="85">
        <f ca="1">IFERROR(__xludf.DUMMYFUNCTION("""COMPUTED_VALUE"""),52.65)</f>
        <v>52.65</v>
      </c>
      <c r="S1811" s="85"/>
      <c r="T1811" s="85"/>
      <c r="U1811" s="82"/>
      <c r="V1811" s="82"/>
      <c r="W1811" s="83"/>
      <c r="X1811" s="83"/>
      <c r="Y1811" s="83"/>
    </row>
    <row r="1812" spans="1:25" ht="13.8">
      <c r="A1812" s="78" t="str">
        <f ca="1">IFERROR(__xludf.DUMMYFUNCTION("""COMPUTED_VALUE"""),"S")</f>
        <v>S</v>
      </c>
      <c r="B1812" s="79" t="str">
        <f ca="1">IFERROR(__xludf.DUMMYFUNCTION("""COMPUTED_VALUE"""),"Kaia Clark")</f>
        <v>Kaia Clark</v>
      </c>
      <c r="C1812" s="78">
        <f ca="1">IFERROR(__xludf.DUMMYFUNCTION("""COMPUTED_VALUE"""),12)</f>
        <v>12</v>
      </c>
      <c r="D1812" s="78" t="str">
        <f ca="1">IFERROR(__xludf.DUMMYFUNCTION("""COMPUTED_VALUE"""),"G")</f>
        <v>G</v>
      </c>
      <c r="E1812" s="80" t="str">
        <f ca="1">IFERROR(__xludf.DUMMYFUNCTION("""COMPUTED_VALUE"""),"J")</f>
        <v>J</v>
      </c>
      <c r="F1812" s="80" t="str">
        <f ca="1">IFERROR(__xludf.DUMMYFUNCTION("""COMPUTED_VALUE"""),"I")</f>
        <v>I</v>
      </c>
      <c r="G1812" s="80">
        <f ca="1">IFERROR(__xludf.DUMMYFUNCTION("""COMPUTED_VALUE"""),8)</f>
        <v>8</v>
      </c>
      <c r="H1812" s="80" t="str">
        <f ca="1">IFERROR(__xludf.DUMMYFUNCTION("""COMPUTED_VALUE"""),"S")</f>
        <v>S</v>
      </c>
      <c r="I1812" s="80">
        <f ca="1">IFERROR(__xludf.DUMMYFUNCTION("""COMPUTED_VALUE"""),4)</f>
        <v>4</v>
      </c>
      <c r="J1812" s="85">
        <f ca="1">IFERROR(__xludf.DUMMYFUNCTION("""COMPUTED_VALUE"""),2)</f>
        <v>2</v>
      </c>
      <c r="K1812" s="85">
        <f ca="1">IFERROR(__xludf.DUMMYFUNCTION("""COMPUTED_VALUE"""),78.1)</f>
        <v>78.099999999999994</v>
      </c>
      <c r="L1812" s="85">
        <f ca="1">IFERROR(__xludf.DUMMYFUNCTION("""COMPUTED_VALUE"""),73.25)</f>
        <v>73.25</v>
      </c>
      <c r="M1812" s="85"/>
      <c r="N1812" s="85">
        <f ca="1">IFERROR(__xludf.DUMMYFUNCTION("""COMPUTED_VALUE"""),0)</f>
        <v>0</v>
      </c>
      <c r="O1812" s="85"/>
      <c r="P1812" s="85">
        <f ca="1">IFERROR(__xludf.DUMMYFUNCTION("""COMPUTED_VALUE"""),78.1)</f>
        <v>78.099999999999994</v>
      </c>
      <c r="Q1812" s="85"/>
      <c r="R1812" s="85">
        <f ca="1">IFERROR(__xludf.DUMMYFUNCTION("""COMPUTED_VALUE"""),0)</f>
        <v>0</v>
      </c>
      <c r="S1812" s="85"/>
      <c r="T1812" s="85"/>
      <c r="U1812" s="82"/>
      <c r="V1812" s="82"/>
      <c r="W1812" s="83"/>
      <c r="X1812" s="83"/>
      <c r="Y1812" s="83"/>
    </row>
    <row r="1813" spans="1:25" ht="13.8">
      <c r="A1813" s="78" t="str">
        <f ca="1">IFERROR(__xludf.DUMMYFUNCTION("""COMPUTED_VALUE"""),"S")</f>
        <v>S</v>
      </c>
      <c r="B1813" s="79" t="str">
        <f ca="1">IFERROR(__xludf.DUMMYFUNCTION("""COMPUTED_VALUE"""),"Grace Rempe")</f>
        <v>Grace Rempe</v>
      </c>
      <c r="C1813" s="78">
        <f ca="1">IFERROR(__xludf.DUMMYFUNCTION("""COMPUTED_VALUE"""),11)</f>
        <v>11</v>
      </c>
      <c r="D1813" s="78" t="str">
        <f ca="1">IFERROR(__xludf.DUMMYFUNCTION("""COMPUTED_VALUE"""),"G")</f>
        <v>G</v>
      </c>
      <c r="E1813" s="80" t="str">
        <f ca="1">IFERROR(__xludf.DUMMYFUNCTION("""COMPUTED_VALUE"""),"J")</f>
        <v>J</v>
      </c>
      <c r="F1813" s="80" t="str">
        <f ca="1">IFERROR(__xludf.DUMMYFUNCTION("""COMPUTED_VALUE"""),"I")</f>
        <v>I</v>
      </c>
      <c r="G1813" s="80">
        <f ca="1">IFERROR(__xludf.DUMMYFUNCTION("""COMPUTED_VALUE"""),8)</f>
        <v>8</v>
      </c>
      <c r="H1813" s="80" t="str">
        <f ca="1">IFERROR(__xludf.DUMMYFUNCTION("""COMPUTED_VALUE"""),"S")</f>
        <v>S</v>
      </c>
      <c r="I1813" s="80">
        <f ca="1">IFERROR(__xludf.DUMMYFUNCTION("""COMPUTED_VALUE"""),4)</f>
        <v>4</v>
      </c>
      <c r="J1813" s="85">
        <f ca="1">IFERROR(__xludf.DUMMYFUNCTION("""COMPUTED_VALUE"""),5)</f>
        <v>5</v>
      </c>
      <c r="K1813" s="85">
        <f ca="1">IFERROR(__xludf.DUMMYFUNCTION("""COMPUTED_VALUE"""),72.9)</f>
        <v>72.900000000000006</v>
      </c>
      <c r="L1813" s="85">
        <f ca="1">IFERROR(__xludf.DUMMYFUNCTION("""COMPUTED_VALUE"""),58.4)</f>
        <v>58.4</v>
      </c>
      <c r="M1813" s="85"/>
      <c r="N1813" s="85">
        <f ca="1">IFERROR(__xludf.DUMMYFUNCTION("""COMPUTED_VALUE"""),69.6)</f>
        <v>69.599999999999994</v>
      </c>
      <c r="O1813" s="85"/>
      <c r="P1813" s="85">
        <f ca="1">IFERROR(__xludf.DUMMYFUNCTION("""COMPUTED_VALUE"""),68.5)</f>
        <v>68.5</v>
      </c>
      <c r="Q1813" s="85"/>
      <c r="R1813" s="85">
        <f ca="1">IFERROR(__xludf.DUMMYFUNCTION("""COMPUTED_VALUE"""),72.9)</f>
        <v>72.900000000000006</v>
      </c>
      <c r="S1813" s="85"/>
      <c r="T1813" s="85"/>
      <c r="U1813" s="82"/>
      <c r="V1813" s="82"/>
      <c r="W1813" s="83"/>
      <c r="X1813" s="83"/>
      <c r="Y1813" s="83"/>
    </row>
    <row r="1814" spans="1:25" ht="13.8">
      <c r="A1814" s="78" t="str">
        <f ca="1">IFERROR(__xludf.DUMMYFUNCTION("""COMPUTED_VALUE"""),"S")</f>
        <v>S</v>
      </c>
      <c r="B1814" s="79" t="str">
        <f ca="1">IFERROR(__xludf.DUMMYFUNCTION("""COMPUTED_VALUE"""),"Nat O'Brien")</f>
        <v>Nat O'Brien</v>
      </c>
      <c r="C1814" s="78">
        <f ca="1">IFERROR(__xludf.DUMMYFUNCTION("""COMPUTED_VALUE"""),12)</f>
        <v>12</v>
      </c>
      <c r="D1814" s="78" t="str">
        <f ca="1">IFERROR(__xludf.DUMMYFUNCTION("""COMPUTED_VALUE"""),"B")</f>
        <v>B</v>
      </c>
      <c r="E1814" s="80" t="str">
        <f ca="1">IFERROR(__xludf.DUMMYFUNCTION("""COMPUTED_VALUE"""),"J")</f>
        <v>J</v>
      </c>
      <c r="F1814" s="80" t="str">
        <f ca="1">IFERROR(__xludf.DUMMYFUNCTION("""COMPUTED_VALUE"""),"I")</f>
        <v>I</v>
      </c>
      <c r="G1814" s="80">
        <f ca="1">IFERROR(__xludf.DUMMYFUNCTION("""COMPUTED_VALUE"""),8)</f>
        <v>8</v>
      </c>
      <c r="H1814" s="80" t="str">
        <f ca="1">IFERROR(__xludf.DUMMYFUNCTION("""COMPUTED_VALUE"""),"S")</f>
        <v>S</v>
      </c>
      <c r="I1814" s="80">
        <f ca="1">IFERROR(__xludf.DUMMYFUNCTION("""COMPUTED_VALUE"""),5)</f>
        <v>5</v>
      </c>
      <c r="J1814" s="85">
        <f ca="1">IFERROR(__xludf.DUMMYFUNCTION("""COMPUTED_VALUE"""),4)</f>
        <v>4</v>
      </c>
      <c r="K1814" s="85">
        <f ca="1">IFERROR(__xludf.DUMMYFUNCTION("""COMPUTED_VALUE"""),0)</f>
        <v>0</v>
      </c>
      <c r="L1814" s="85">
        <f ca="1">IFERROR(__xludf.DUMMYFUNCTION("""COMPUTED_VALUE"""),0)</f>
        <v>0</v>
      </c>
      <c r="M1814" s="85"/>
      <c r="N1814" s="85">
        <f ca="1">IFERROR(__xludf.DUMMYFUNCTION("""COMPUTED_VALUE"""),-94.8)</f>
        <v>-94.8</v>
      </c>
      <c r="O1814" s="85"/>
      <c r="P1814" s="85">
        <f ca="1">IFERROR(__xludf.DUMMYFUNCTION("""COMPUTED_VALUE"""),-90.3)</f>
        <v>-90.3</v>
      </c>
      <c r="Q1814" s="85"/>
      <c r="R1814" s="85">
        <f ca="1">IFERROR(__xludf.DUMMYFUNCTION("""COMPUTED_VALUE"""),-83.9)</f>
        <v>-83.9</v>
      </c>
      <c r="S1814" s="85"/>
      <c r="T1814" s="85"/>
      <c r="U1814" s="82"/>
      <c r="V1814" s="82"/>
      <c r="W1814" s="83"/>
      <c r="X1814" s="83"/>
      <c r="Y1814" s="83"/>
    </row>
    <row r="1815" spans="1:25" ht="13.8">
      <c r="A1815" s="78" t="str">
        <f ca="1">IFERROR(__xludf.DUMMYFUNCTION("""COMPUTED_VALUE"""),"S")</f>
        <v>S</v>
      </c>
      <c r="B1815" s="79" t="str">
        <f ca="1">IFERROR(__xludf.DUMMYFUNCTION("""COMPUTED_VALUE"""),"Abby Bangs")</f>
        <v>Abby Bangs</v>
      </c>
      <c r="C1815" s="78">
        <f ca="1">IFERROR(__xludf.DUMMYFUNCTION("""COMPUTED_VALUE"""),17)</f>
        <v>17</v>
      </c>
      <c r="D1815" s="78" t="str">
        <f ca="1">IFERROR(__xludf.DUMMYFUNCTION("""COMPUTED_VALUE"""),"G")</f>
        <v>G</v>
      </c>
      <c r="E1815" s="80" t="str">
        <f ca="1">IFERROR(__xludf.DUMMYFUNCTION("""COMPUTED_VALUE"""),"S")</f>
        <v>S</v>
      </c>
      <c r="F1815" s="80" t="str">
        <f ca="1">IFERROR(__xludf.DUMMYFUNCTION("""COMPUTED_VALUE"""),"S")</f>
        <v>S</v>
      </c>
      <c r="G1815" s="80">
        <f ca="1">IFERROR(__xludf.DUMMYFUNCTION("""COMPUTED_VALUE"""),8)</f>
        <v>8</v>
      </c>
      <c r="H1815" s="80" t="str">
        <f ca="1">IFERROR(__xludf.DUMMYFUNCTION("""COMPUTED_VALUE"""),"S")</f>
        <v>S</v>
      </c>
      <c r="I1815" s="80">
        <f ca="1">IFERROR(__xludf.DUMMYFUNCTION("""COMPUTED_VALUE"""),8)</f>
        <v>8</v>
      </c>
      <c r="J1815" s="85">
        <f ca="1">IFERROR(__xludf.DUMMYFUNCTION("""COMPUTED_VALUE"""),5)</f>
        <v>5</v>
      </c>
      <c r="K1815" s="85">
        <f ca="1">IFERROR(__xludf.DUMMYFUNCTION("""COMPUTED_VALUE"""),186)</f>
        <v>186</v>
      </c>
      <c r="L1815" s="85">
        <f ca="1">IFERROR(__xludf.DUMMYFUNCTION("""COMPUTED_VALUE"""),166.5)</f>
        <v>166.5</v>
      </c>
      <c r="M1815" s="85"/>
      <c r="N1815" s="85">
        <f ca="1">IFERROR(__xludf.DUMMYFUNCTION("""COMPUTED_VALUE"""),178.95)</f>
        <v>178.95</v>
      </c>
      <c r="O1815" s="85"/>
      <c r="P1815" s="85">
        <f ca="1">IFERROR(__xludf.DUMMYFUNCTION("""COMPUTED_VALUE"""),186)</f>
        <v>186</v>
      </c>
      <c r="Q1815" s="85"/>
      <c r="R1815" s="85">
        <f ca="1">IFERROR(__xludf.DUMMYFUNCTION("""COMPUTED_VALUE"""),179.4)</f>
        <v>179.4</v>
      </c>
      <c r="S1815" s="85"/>
      <c r="T1815" s="85"/>
      <c r="U1815" s="82"/>
      <c r="V1815" s="82"/>
      <c r="W1815" s="83"/>
      <c r="X1815" s="83"/>
      <c r="Y1815" s="83"/>
    </row>
    <row r="1816" spans="1:25" ht="13.8">
      <c r="A1816" s="78" t="str">
        <f ca="1">IFERROR(__xludf.DUMMYFUNCTION("""COMPUTED_VALUE"""),"S")</f>
        <v>S</v>
      </c>
      <c r="B1816" s="79" t="str">
        <f ca="1">IFERROR(__xludf.DUMMYFUNCTION("""COMPUTED_VALUE"""),"Grace Partain")</f>
        <v>Grace Partain</v>
      </c>
      <c r="C1816" s="78">
        <f ca="1">IFERROR(__xludf.DUMMYFUNCTION("""COMPUTED_VALUE"""),15)</f>
        <v>15</v>
      </c>
      <c r="D1816" s="78" t="str">
        <f ca="1">IFERROR(__xludf.DUMMYFUNCTION("""COMPUTED_VALUE"""),"G")</f>
        <v>G</v>
      </c>
      <c r="E1816" s="80" t="str">
        <f ca="1">IFERROR(__xludf.DUMMYFUNCTION("""COMPUTED_VALUE"""),"S")</f>
        <v>S</v>
      </c>
      <c r="F1816" s="80" t="str">
        <f ca="1">IFERROR(__xludf.DUMMYFUNCTION("""COMPUTED_VALUE"""),"S")</f>
        <v>S</v>
      </c>
      <c r="G1816" s="80">
        <f ca="1">IFERROR(__xludf.DUMMYFUNCTION("""COMPUTED_VALUE"""),8)</f>
        <v>8</v>
      </c>
      <c r="H1816" s="80" t="str">
        <f ca="1">IFERROR(__xludf.DUMMYFUNCTION("""COMPUTED_VALUE"""),"S")</f>
        <v>S</v>
      </c>
      <c r="I1816" s="80">
        <f ca="1">IFERROR(__xludf.DUMMYFUNCTION("""COMPUTED_VALUE"""),8)</f>
        <v>8</v>
      </c>
      <c r="J1816" s="85">
        <f ca="1">IFERROR(__xludf.DUMMYFUNCTION("""COMPUTED_VALUE"""),5)</f>
        <v>5</v>
      </c>
      <c r="K1816" s="85">
        <f ca="1">IFERROR(__xludf.DUMMYFUNCTION("""COMPUTED_VALUE"""),162.15)</f>
        <v>162.15</v>
      </c>
      <c r="L1816" s="85">
        <f ca="1">IFERROR(__xludf.DUMMYFUNCTION("""COMPUTED_VALUE"""),123.2)</f>
        <v>123.2</v>
      </c>
      <c r="M1816" s="85"/>
      <c r="N1816" s="85">
        <f ca="1">IFERROR(__xludf.DUMMYFUNCTION("""COMPUTED_VALUE"""),162.15)</f>
        <v>162.15</v>
      </c>
      <c r="O1816" s="85"/>
      <c r="P1816" s="85">
        <f ca="1">IFERROR(__xludf.DUMMYFUNCTION("""COMPUTED_VALUE"""),150.85)</f>
        <v>150.85</v>
      </c>
      <c r="Q1816" s="85"/>
      <c r="R1816" s="85">
        <f ca="1">IFERROR(__xludf.DUMMYFUNCTION("""COMPUTED_VALUE"""),138.1)</f>
        <v>138.1</v>
      </c>
      <c r="S1816" s="85"/>
      <c r="T1816" s="85"/>
      <c r="U1816" s="82"/>
      <c r="V1816" s="82"/>
      <c r="W1816" s="83"/>
      <c r="X1816" s="83"/>
      <c r="Y1816" s="83"/>
    </row>
    <row r="1817" spans="1:25" ht="13.8">
      <c r="A1817" s="78" t="str">
        <f ca="1">IFERROR(__xludf.DUMMYFUNCTION("""COMPUTED_VALUE"""),"S")</f>
        <v>S</v>
      </c>
      <c r="B1817" s="79" t="str">
        <f ca="1">IFERROR(__xludf.DUMMYFUNCTION("""COMPUTED_VALUE"""),"Tim Isenberg")</f>
        <v>Tim Isenberg</v>
      </c>
      <c r="C1817" s="78">
        <f ca="1">IFERROR(__xludf.DUMMYFUNCTION("""COMPUTED_VALUE"""),17)</f>
        <v>17</v>
      </c>
      <c r="D1817" s="78" t="str">
        <f ca="1">IFERROR(__xludf.DUMMYFUNCTION("""COMPUTED_VALUE"""),"B")</f>
        <v>B</v>
      </c>
      <c r="E1817" s="80" t="str">
        <f ca="1">IFERROR(__xludf.DUMMYFUNCTION("""COMPUTED_VALUE"""),"S")</f>
        <v>S</v>
      </c>
      <c r="F1817" s="80" t="str">
        <f ca="1">IFERROR(__xludf.DUMMYFUNCTION("""COMPUTED_VALUE"""),"S")</f>
        <v>S</v>
      </c>
      <c r="G1817" s="80">
        <f ca="1">IFERROR(__xludf.DUMMYFUNCTION("""COMPUTED_VALUE"""),8)</f>
        <v>8</v>
      </c>
      <c r="H1817" s="80" t="str">
        <f ca="1">IFERROR(__xludf.DUMMYFUNCTION("""COMPUTED_VALUE"""),"S")</f>
        <v>S</v>
      </c>
      <c r="I1817" s="80">
        <f ca="1">IFERROR(__xludf.DUMMYFUNCTION("""COMPUTED_VALUE"""),9)</f>
        <v>9</v>
      </c>
      <c r="J1817" s="85">
        <f ca="1">IFERROR(__xludf.DUMMYFUNCTION("""COMPUTED_VALUE"""),4)</f>
        <v>4</v>
      </c>
      <c r="K1817" s="85">
        <f ca="1">IFERROR(__xludf.DUMMYFUNCTION("""COMPUTED_VALUE"""),149.45)</f>
        <v>149.44999999999999</v>
      </c>
      <c r="L1817" s="85">
        <f ca="1">IFERROR(__xludf.DUMMYFUNCTION("""COMPUTED_VALUE"""),111.15)</f>
        <v>111.15</v>
      </c>
      <c r="M1817" s="85"/>
      <c r="N1817" s="85">
        <f ca="1">IFERROR(__xludf.DUMMYFUNCTION("""COMPUTED_VALUE"""),149.45)</f>
        <v>149.44999999999999</v>
      </c>
      <c r="O1817" s="85"/>
      <c r="P1817" s="85">
        <f ca="1">IFERROR(__xludf.DUMMYFUNCTION("""COMPUTED_VALUE"""),129.2)</f>
        <v>129.19999999999999</v>
      </c>
      <c r="Q1817" s="85"/>
      <c r="R1817" s="85">
        <f ca="1">IFERROR(__xludf.DUMMYFUNCTION("""COMPUTED_VALUE"""),126.2)</f>
        <v>126.2</v>
      </c>
      <c r="S1817" s="85"/>
      <c r="T1817" s="85"/>
      <c r="U1817" s="82"/>
      <c r="V1817" s="82"/>
      <c r="W1817" s="83"/>
      <c r="X1817" s="83"/>
      <c r="Y1817" s="83"/>
    </row>
    <row r="1818" spans="1:25" ht="13.8">
      <c r="A1818" s="78" t="str">
        <f ca="1">IFERROR(__xludf.DUMMYFUNCTION("""COMPUTED_VALUE"""),"S")</f>
        <v>S</v>
      </c>
      <c r="B1818" s="79" t="str">
        <f ca="1">IFERROR(__xludf.DUMMYFUNCTION("""COMPUTED_VALUE"""),"Ari Snow")</f>
        <v>Ari Snow</v>
      </c>
      <c r="C1818" s="78">
        <f ca="1">IFERROR(__xludf.DUMMYFUNCTION("""COMPUTED_VALUE"""),18)</f>
        <v>18</v>
      </c>
      <c r="D1818" s="78" t="str">
        <f ca="1">IFERROR(__xludf.DUMMYFUNCTION("""COMPUTED_VALUE"""),"B")</f>
        <v>B</v>
      </c>
      <c r="E1818" s="80" t="str">
        <f ca="1">IFERROR(__xludf.DUMMYFUNCTION("""COMPUTED_VALUE"""),"S")</f>
        <v>S</v>
      </c>
      <c r="F1818" s="80" t="str">
        <f ca="1">IFERROR(__xludf.DUMMYFUNCTION("""COMPUTED_VALUE"""),"S")</f>
        <v>S</v>
      </c>
      <c r="G1818" s="80">
        <f ca="1">IFERROR(__xludf.DUMMYFUNCTION("""COMPUTED_VALUE"""),8)</f>
        <v>8</v>
      </c>
      <c r="H1818" s="80" t="str">
        <f ca="1">IFERROR(__xludf.DUMMYFUNCTION("""COMPUTED_VALUE"""),"S")</f>
        <v>S</v>
      </c>
      <c r="I1818" s="80">
        <f ca="1">IFERROR(__xludf.DUMMYFUNCTION("""COMPUTED_VALUE"""),9)</f>
        <v>9</v>
      </c>
      <c r="J1818" s="85">
        <f ca="1">IFERROR(__xludf.DUMMYFUNCTION("""COMPUTED_VALUE"""),5)</f>
        <v>5</v>
      </c>
      <c r="K1818" s="85">
        <f ca="1">IFERROR(__xludf.DUMMYFUNCTION("""COMPUTED_VALUE"""),270.05)</f>
        <v>270.05</v>
      </c>
      <c r="L1818" s="85">
        <f ca="1">IFERROR(__xludf.DUMMYFUNCTION("""COMPUTED_VALUE"""),207.05)</f>
        <v>207.05</v>
      </c>
      <c r="M1818" s="85"/>
      <c r="N1818" s="85">
        <f ca="1">IFERROR(__xludf.DUMMYFUNCTION("""COMPUTED_VALUE"""),270.05)</f>
        <v>270.05</v>
      </c>
      <c r="O1818" s="85"/>
      <c r="P1818" s="85">
        <f ca="1">IFERROR(__xludf.DUMMYFUNCTION("""COMPUTED_VALUE"""),254.8)</f>
        <v>254.8</v>
      </c>
      <c r="Q1818" s="85"/>
      <c r="R1818" s="85">
        <f ca="1">IFERROR(__xludf.DUMMYFUNCTION("""COMPUTED_VALUE"""),235.5)</f>
        <v>235.5</v>
      </c>
      <c r="S1818" s="85"/>
      <c r="T1818" s="85"/>
      <c r="U1818" s="82"/>
      <c r="V1818" s="82"/>
      <c r="W1818" s="83"/>
      <c r="X1818" s="83"/>
      <c r="Y1818" s="83"/>
    </row>
    <row r="1819" spans="1:25" ht="13.8">
      <c r="A1819" s="78" t="str">
        <f ca="1">IFERROR(__xludf.DUMMYFUNCTION("""COMPUTED_VALUE"""),"SB")</f>
        <v>SB</v>
      </c>
      <c r="B1819" s="79" t="str">
        <f ca="1">IFERROR(__xludf.DUMMYFUNCTION("""COMPUTED_VALUE"""),"Anna Berriman")</f>
        <v>Anna Berriman</v>
      </c>
      <c r="C1819" s="78">
        <f ca="1">IFERROR(__xludf.DUMMYFUNCTION("""COMPUTED_VALUE"""),6)</f>
        <v>6</v>
      </c>
      <c r="D1819" s="78" t="str">
        <f ca="1">IFERROR(__xludf.DUMMYFUNCTION("""COMPUTED_VALUE"""),"G")</f>
        <v>G</v>
      </c>
      <c r="E1819" s="80" t="str">
        <f ca="1">IFERROR(__xludf.DUMMYFUNCTION("""COMPUTED_VALUE"""),"F")</f>
        <v>F</v>
      </c>
      <c r="F1819" s="80" t="str">
        <f ca="1">IFERROR(__xludf.DUMMYFUNCTION("""COMPUTED_VALUE"""),"J")</f>
        <v>J</v>
      </c>
      <c r="G1819" s="80">
        <f ca="1">IFERROR(__xludf.DUMMYFUNCTION("""COMPUTED_VALUE"""),7)</f>
        <v>7</v>
      </c>
      <c r="H1819" s="80" t="str">
        <f ca="1">IFERROR(__xludf.DUMMYFUNCTION("""COMPUTED_VALUE"""),"SB")</f>
        <v>SB</v>
      </c>
      <c r="I1819" s="80">
        <f ca="1">IFERROR(__xludf.DUMMYFUNCTION("""COMPUTED_VALUE"""),2)</f>
        <v>2</v>
      </c>
      <c r="J1819" s="85">
        <f ca="1">IFERROR(__xludf.DUMMYFUNCTION("""COMPUTED_VALUE"""),0)</f>
        <v>0</v>
      </c>
      <c r="K1819" s="85">
        <f ca="1">IFERROR(__xludf.DUMMYFUNCTION("""COMPUTED_VALUE"""),0)</f>
        <v>0</v>
      </c>
      <c r="L1819" s="85">
        <f ca="1">IFERROR(__xludf.DUMMYFUNCTION("""COMPUTED_VALUE"""),0)</f>
        <v>0</v>
      </c>
      <c r="M1819" s="85"/>
      <c r="N1819" s="85">
        <f ca="1">IFERROR(__xludf.DUMMYFUNCTION("""COMPUTED_VALUE"""),0)</f>
        <v>0</v>
      </c>
      <c r="O1819" s="85"/>
      <c r="P1819" s="85">
        <f ca="1">IFERROR(__xludf.DUMMYFUNCTION("""COMPUTED_VALUE"""),0)</f>
        <v>0</v>
      </c>
      <c r="Q1819" s="85"/>
      <c r="R1819" s="85">
        <f ca="1">IFERROR(__xludf.DUMMYFUNCTION("""COMPUTED_VALUE"""),0)</f>
        <v>0</v>
      </c>
      <c r="S1819" s="85"/>
      <c r="T1819" s="85"/>
      <c r="U1819" s="82"/>
      <c r="V1819" s="82"/>
      <c r="W1819" s="83"/>
      <c r="X1819" s="83"/>
      <c r="Y1819" s="83"/>
    </row>
    <row r="1820" spans="1:25" ht="13.8">
      <c r="A1820" s="78" t="str">
        <f ca="1">IFERROR(__xludf.DUMMYFUNCTION("""COMPUTED_VALUE"""),"SB")</f>
        <v>SB</v>
      </c>
      <c r="B1820" s="79" t="str">
        <f ca="1">IFERROR(__xludf.DUMMYFUNCTION("""COMPUTED_VALUE"""),"Bree Doss")</f>
        <v>Bree Doss</v>
      </c>
      <c r="C1820" s="78">
        <f ca="1">IFERROR(__xludf.DUMMYFUNCTION("""COMPUTED_VALUE"""),7)</f>
        <v>7</v>
      </c>
      <c r="D1820" s="78" t="str">
        <f ca="1">IFERROR(__xludf.DUMMYFUNCTION("""COMPUTED_VALUE"""),"G")</f>
        <v>G</v>
      </c>
      <c r="E1820" s="80" t="str">
        <f ca="1">IFERROR(__xludf.DUMMYFUNCTION("""COMPUTED_VALUE"""),"F")</f>
        <v>F</v>
      </c>
      <c r="F1820" s="80" t="str">
        <f ca="1">IFERROR(__xludf.DUMMYFUNCTION("""COMPUTED_VALUE"""),"J")</f>
        <v>J</v>
      </c>
      <c r="G1820" s="80">
        <f ca="1">IFERROR(__xludf.DUMMYFUNCTION("""COMPUTED_VALUE"""),7)</f>
        <v>7</v>
      </c>
      <c r="H1820" s="80" t="str">
        <f ca="1">IFERROR(__xludf.DUMMYFUNCTION("""COMPUTED_VALUE"""),"SB")</f>
        <v>SB</v>
      </c>
      <c r="I1820" s="80">
        <f ca="1">IFERROR(__xludf.DUMMYFUNCTION("""COMPUTED_VALUE"""),2)</f>
        <v>2</v>
      </c>
      <c r="J1820" s="85">
        <f ca="1">IFERROR(__xludf.DUMMYFUNCTION("""COMPUTED_VALUE"""),0)</f>
        <v>0</v>
      </c>
      <c r="K1820" s="85">
        <f ca="1">IFERROR(__xludf.DUMMYFUNCTION("""COMPUTED_VALUE"""),0)</f>
        <v>0</v>
      </c>
      <c r="L1820" s="85">
        <f ca="1">IFERROR(__xludf.DUMMYFUNCTION("""COMPUTED_VALUE"""),0)</f>
        <v>0</v>
      </c>
      <c r="M1820" s="85"/>
      <c r="N1820" s="85">
        <f ca="1">IFERROR(__xludf.DUMMYFUNCTION("""COMPUTED_VALUE"""),0)</f>
        <v>0</v>
      </c>
      <c r="O1820" s="85"/>
      <c r="P1820" s="85">
        <f ca="1">IFERROR(__xludf.DUMMYFUNCTION("""COMPUTED_VALUE"""),0)</f>
        <v>0</v>
      </c>
      <c r="Q1820" s="85"/>
      <c r="R1820" s="85">
        <f ca="1">IFERROR(__xludf.DUMMYFUNCTION("""COMPUTED_VALUE"""),0)</f>
        <v>0</v>
      </c>
      <c r="S1820" s="85"/>
      <c r="T1820" s="85"/>
      <c r="U1820" s="82"/>
      <c r="V1820" s="82"/>
      <c r="W1820" s="83"/>
      <c r="X1820" s="83"/>
      <c r="Y1820" s="83"/>
    </row>
    <row r="1821" spans="1:25" ht="13.8">
      <c r="A1821" s="78" t="str">
        <f ca="1">IFERROR(__xludf.DUMMYFUNCTION("""COMPUTED_VALUE"""),"SB")</f>
        <v>SB</v>
      </c>
      <c r="B1821" s="79" t="str">
        <f ca="1">IFERROR(__xludf.DUMMYFUNCTION("""COMPUTED_VALUE"""),"Casey Lee")</f>
        <v>Casey Lee</v>
      </c>
      <c r="C1821" s="78">
        <f ca="1">IFERROR(__xludf.DUMMYFUNCTION("""COMPUTED_VALUE"""),8)</f>
        <v>8</v>
      </c>
      <c r="D1821" s="78" t="str">
        <f ca="1">IFERROR(__xludf.DUMMYFUNCTION("""COMPUTED_VALUE"""),"G")</f>
        <v>G</v>
      </c>
      <c r="E1821" s="80" t="str">
        <f ca="1">IFERROR(__xludf.DUMMYFUNCTION("""COMPUTED_VALUE"""),"F")</f>
        <v>F</v>
      </c>
      <c r="F1821" s="80" t="str">
        <f ca="1">IFERROR(__xludf.DUMMYFUNCTION("""COMPUTED_VALUE"""),"J")</f>
        <v>J</v>
      </c>
      <c r="G1821" s="80">
        <f ca="1">IFERROR(__xludf.DUMMYFUNCTION("""COMPUTED_VALUE"""),7)</f>
        <v>7</v>
      </c>
      <c r="H1821" s="80" t="str">
        <f ca="1">IFERROR(__xludf.DUMMYFUNCTION("""COMPUTED_VALUE"""),"SB")</f>
        <v>SB</v>
      </c>
      <c r="I1821" s="80">
        <f ca="1">IFERROR(__xludf.DUMMYFUNCTION("""COMPUTED_VALUE"""),2)</f>
        <v>2</v>
      </c>
      <c r="J1821" s="85">
        <f ca="1">IFERROR(__xludf.DUMMYFUNCTION("""COMPUTED_VALUE"""),0)</f>
        <v>0</v>
      </c>
      <c r="K1821" s="85">
        <f ca="1">IFERROR(__xludf.DUMMYFUNCTION("""COMPUTED_VALUE"""),0)</f>
        <v>0</v>
      </c>
      <c r="L1821" s="85">
        <f ca="1">IFERROR(__xludf.DUMMYFUNCTION("""COMPUTED_VALUE"""),0)</f>
        <v>0</v>
      </c>
      <c r="M1821" s="85"/>
      <c r="N1821" s="85">
        <f ca="1">IFERROR(__xludf.DUMMYFUNCTION("""COMPUTED_VALUE"""),0)</f>
        <v>0</v>
      </c>
      <c r="O1821" s="85"/>
      <c r="P1821" s="85">
        <f ca="1">IFERROR(__xludf.DUMMYFUNCTION("""COMPUTED_VALUE"""),0)</f>
        <v>0</v>
      </c>
      <c r="Q1821" s="85"/>
      <c r="R1821" s="85">
        <f ca="1">IFERROR(__xludf.DUMMYFUNCTION("""COMPUTED_VALUE"""),0)</f>
        <v>0</v>
      </c>
      <c r="S1821" s="85"/>
      <c r="T1821" s="85"/>
      <c r="U1821" s="82"/>
      <c r="V1821" s="82"/>
      <c r="W1821" s="83"/>
      <c r="X1821" s="83"/>
      <c r="Y1821" s="83"/>
    </row>
    <row r="1822" spans="1:25" ht="13.8">
      <c r="A1822" s="78" t="str">
        <f ca="1">IFERROR(__xludf.DUMMYFUNCTION("""COMPUTED_VALUE"""),"SB")</f>
        <v>SB</v>
      </c>
      <c r="B1822" s="79" t="str">
        <f ca="1">IFERROR(__xludf.DUMMYFUNCTION("""COMPUTED_VALUE"""),"Addison McNamee")</f>
        <v>Addison McNamee</v>
      </c>
      <c r="C1822" s="78">
        <f ca="1">IFERROR(__xludf.DUMMYFUNCTION("""COMPUTED_VALUE"""),9)</f>
        <v>9</v>
      </c>
      <c r="D1822" s="78" t="str">
        <f ca="1">IFERROR(__xludf.DUMMYFUNCTION("""COMPUTED_VALUE"""),"G")</f>
        <v>G</v>
      </c>
      <c r="E1822" s="80" t="str">
        <f ca="1">IFERROR(__xludf.DUMMYFUNCTION("""COMPUTED_VALUE"""),"F")</f>
        <v>F</v>
      </c>
      <c r="F1822" s="80" t="str">
        <f ca="1">IFERROR(__xludf.DUMMYFUNCTION("""COMPUTED_VALUE"""),"J")</f>
        <v>J</v>
      </c>
      <c r="G1822" s="80">
        <f ca="1">IFERROR(__xludf.DUMMYFUNCTION("""COMPUTED_VALUE"""),7)</f>
        <v>7</v>
      </c>
      <c r="H1822" s="80" t="str">
        <f ca="1">IFERROR(__xludf.DUMMYFUNCTION("""COMPUTED_VALUE"""),"SB")</f>
        <v>SB</v>
      </c>
      <c r="I1822" s="80">
        <f ca="1">IFERROR(__xludf.DUMMYFUNCTION("""COMPUTED_VALUE"""),2)</f>
        <v>2</v>
      </c>
      <c r="J1822" s="85">
        <f ca="1">IFERROR(__xludf.DUMMYFUNCTION("""COMPUTED_VALUE"""),0)</f>
        <v>0</v>
      </c>
      <c r="K1822" s="85">
        <f ca="1">IFERROR(__xludf.DUMMYFUNCTION("""COMPUTED_VALUE"""),0)</f>
        <v>0</v>
      </c>
      <c r="L1822" s="85">
        <f ca="1">IFERROR(__xludf.DUMMYFUNCTION("""COMPUTED_VALUE"""),0)</f>
        <v>0</v>
      </c>
      <c r="M1822" s="85"/>
      <c r="N1822" s="85">
        <f ca="1">IFERROR(__xludf.DUMMYFUNCTION("""COMPUTED_VALUE"""),0)</f>
        <v>0</v>
      </c>
      <c r="O1822" s="85"/>
      <c r="P1822" s="85">
        <f ca="1">IFERROR(__xludf.DUMMYFUNCTION("""COMPUTED_VALUE"""),0)</f>
        <v>0</v>
      </c>
      <c r="Q1822" s="85"/>
      <c r="R1822" s="85">
        <f ca="1">IFERROR(__xludf.DUMMYFUNCTION("""COMPUTED_VALUE"""),0)</f>
        <v>0</v>
      </c>
      <c r="S1822" s="85"/>
      <c r="T1822" s="85"/>
      <c r="U1822" s="82"/>
      <c r="V1822" s="82"/>
      <c r="W1822" s="83"/>
      <c r="X1822" s="83"/>
      <c r="Y1822" s="83"/>
    </row>
    <row r="1823" spans="1:25" ht="13.8">
      <c r="A1823" s="78" t="str">
        <f ca="1">IFERROR(__xludf.DUMMYFUNCTION("""COMPUTED_VALUE"""),"SB")</f>
        <v>SB</v>
      </c>
      <c r="B1823" s="79" t="str">
        <f ca="1">IFERROR(__xludf.DUMMYFUNCTION("""COMPUTED_VALUE"""),"Annabelle Van Pool")</f>
        <v>Annabelle Van Pool</v>
      </c>
      <c r="C1823" s="78">
        <f ca="1">IFERROR(__xludf.DUMMYFUNCTION("""COMPUTED_VALUE"""),8)</f>
        <v>8</v>
      </c>
      <c r="D1823" s="78" t="str">
        <f ca="1">IFERROR(__xludf.DUMMYFUNCTION("""COMPUTED_VALUE"""),"G")</f>
        <v>G</v>
      </c>
      <c r="E1823" s="80" t="str">
        <f ca="1">IFERROR(__xludf.DUMMYFUNCTION("""COMPUTED_VALUE"""),"F")</f>
        <v>F</v>
      </c>
      <c r="F1823" s="80" t="str">
        <f ca="1">IFERROR(__xludf.DUMMYFUNCTION("""COMPUTED_VALUE"""),"J")</f>
        <v>J</v>
      </c>
      <c r="G1823" s="80">
        <f ca="1">IFERROR(__xludf.DUMMYFUNCTION("""COMPUTED_VALUE"""),7)</f>
        <v>7</v>
      </c>
      <c r="H1823" s="80" t="str">
        <f ca="1">IFERROR(__xludf.DUMMYFUNCTION("""COMPUTED_VALUE"""),"SB")</f>
        <v>SB</v>
      </c>
      <c r="I1823" s="80">
        <f ca="1">IFERROR(__xludf.DUMMYFUNCTION("""COMPUTED_VALUE"""),2)</f>
        <v>2</v>
      </c>
      <c r="J1823" s="85">
        <f ca="1">IFERROR(__xludf.DUMMYFUNCTION("""COMPUTED_VALUE"""),0)</f>
        <v>0</v>
      </c>
      <c r="K1823" s="85">
        <f ca="1">IFERROR(__xludf.DUMMYFUNCTION("""COMPUTED_VALUE"""),0)</f>
        <v>0</v>
      </c>
      <c r="L1823" s="85">
        <f ca="1">IFERROR(__xludf.DUMMYFUNCTION("""COMPUTED_VALUE"""),0)</f>
        <v>0</v>
      </c>
      <c r="M1823" s="85"/>
      <c r="N1823" s="85">
        <f ca="1">IFERROR(__xludf.DUMMYFUNCTION("""COMPUTED_VALUE"""),0)</f>
        <v>0</v>
      </c>
      <c r="O1823" s="85"/>
      <c r="P1823" s="85">
        <f ca="1">IFERROR(__xludf.DUMMYFUNCTION("""COMPUTED_VALUE"""),0)</f>
        <v>0</v>
      </c>
      <c r="Q1823" s="85"/>
      <c r="R1823" s="85">
        <f ca="1">IFERROR(__xludf.DUMMYFUNCTION("""COMPUTED_VALUE"""),0)</f>
        <v>0</v>
      </c>
      <c r="S1823" s="85"/>
      <c r="T1823" s="85"/>
      <c r="U1823" s="82"/>
      <c r="V1823" s="82"/>
      <c r="W1823" s="83"/>
      <c r="X1823" s="83"/>
      <c r="Y1823" s="83"/>
    </row>
    <row r="1824" spans="1:25" ht="13.8">
      <c r="A1824" s="78" t="str">
        <f ca="1">IFERROR(__xludf.DUMMYFUNCTION("""COMPUTED_VALUE"""),"SB")</f>
        <v>SB</v>
      </c>
      <c r="B1824" s="79" t="str">
        <f ca="1">IFERROR(__xludf.DUMMYFUNCTION("""COMPUTED_VALUE"""),"Jem Wahler")</f>
        <v>Jem Wahler</v>
      </c>
      <c r="C1824" s="78">
        <f ca="1">IFERROR(__xludf.DUMMYFUNCTION("""COMPUTED_VALUE"""),9)</f>
        <v>9</v>
      </c>
      <c r="D1824" s="78" t="str">
        <f ca="1">IFERROR(__xludf.DUMMYFUNCTION("""COMPUTED_VALUE"""),"G")</f>
        <v>G</v>
      </c>
      <c r="E1824" s="80" t="str">
        <f ca="1">IFERROR(__xludf.DUMMYFUNCTION("""COMPUTED_VALUE"""),"F")</f>
        <v>F</v>
      </c>
      <c r="F1824" s="80" t="str">
        <f ca="1">IFERROR(__xludf.DUMMYFUNCTION("""COMPUTED_VALUE"""),"J")</f>
        <v>J</v>
      </c>
      <c r="G1824" s="80">
        <f ca="1">IFERROR(__xludf.DUMMYFUNCTION("""COMPUTED_VALUE"""),7)</f>
        <v>7</v>
      </c>
      <c r="H1824" s="80" t="str">
        <f ca="1">IFERROR(__xludf.DUMMYFUNCTION("""COMPUTED_VALUE"""),"SB")</f>
        <v>SB</v>
      </c>
      <c r="I1824" s="80">
        <f ca="1">IFERROR(__xludf.DUMMYFUNCTION("""COMPUTED_VALUE"""),2)</f>
        <v>2</v>
      </c>
      <c r="J1824" s="85">
        <f ca="1">IFERROR(__xludf.DUMMYFUNCTION("""COMPUTED_VALUE"""),5)</f>
        <v>5</v>
      </c>
      <c r="K1824" s="85">
        <f ca="1">IFERROR(__xludf.DUMMYFUNCTION("""COMPUTED_VALUE"""),47.85)</f>
        <v>47.85</v>
      </c>
      <c r="L1824" s="85">
        <f ca="1">IFERROR(__xludf.DUMMYFUNCTION("""COMPUTED_VALUE"""),31.8)</f>
        <v>31.8</v>
      </c>
      <c r="M1824" s="85"/>
      <c r="N1824" s="85">
        <f ca="1">IFERROR(__xludf.DUMMYFUNCTION("""COMPUTED_VALUE"""),30.75)</f>
        <v>30.75</v>
      </c>
      <c r="O1824" s="85"/>
      <c r="P1824" s="85">
        <f ca="1">IFERROR(__xludf.DUMMYFUNCTION("""COMPUTED_VALUE"""),30)</f>
        <v>30</v>
      </c>
      <c r="Q1824" s="85"/>
      <c r="R1824" s="85">
        <f ca="1">IFERROR(__xludf.DUMMYFUNCTION("""COMPUTED_VALUE"""),47.85)</f>
        <v>47.85</v>
      </c>
      <c r="S1824" s="85"/>
      <c r="T1824" s="85"/>
      <c r="U1824" s="82"/>
      <c r="V1824" s="82"/>
      <c r="W1824" s="83"/>
      <c r="X1824" s="83"/>
      <c r="Y1824" s="83"/>
    </row>
    <row r="1825" spans="1:25" ht="13.8">
      <c r="A1825" s="78" t="str">
        <f ca="1">IFERROR(__xludf.DUMMYFUNCTION("""COMPUTED_VALUE"""),"SB")</f>
        <v>SB</v>
      </c>
      <c r="B1825" s="79" t="str">
        <f ca="1">IFERROR(__xludf.DUMMYFUNCTION("""COMPUTED_VALUE"""),"Ronan Fuller")</f>
        <v>Ronan Fuller</v>
      </c>
      <c r="C1825" s="78">
        <f ca="1">IFERROR(__xludf.DUMMYFUNCTION("""COMPUTED_VALUE"""),10)</f>
        <v>10</v>
      </c>
      <c r="D1825" s="78" t="str">
        <f ca="1">IFERROR(__xludf.DUMMYFUNCTION("""COMPUTED_VALUE"""),"B")</f>
        <v>B</v>
      </c>
      <c r="E1825" s="80" t="str">
        <f ca="1">IFERROR(__xludf.DUMMYFUNCTION("""COMPUTED_VALUE"""),"F")</f>
        <v>F</v>
      </c>
      <c r="F1825" s="80" t="str">
        <f ca="1">IFERROR(__xludf.DUMMYFUNCTION("""COMPUTED_VALUE"""),"J")</f>
        <v>J</v>
      </c>
      <c r="G1825" s="80">
        <f ca="1">IFERROR(__xludf.DUMMYFUNCTION("""COMPUTED_VALUE"""),7)</f>
        <v>7</v>
      </c>
      <c r="H1825" s="80" t="str">
        <f ca="1">IFERROR(__xludf.DUMMYFUNCTION("""COMPUTED_VALUE"""),"SB")</f>
        <v>SB</v>
      </c>
      <c r="I1825" s="80">
        <f ca="1">IFERROR(__xludf.DUMMYFUNCTION("""COMPUTED_VALUE"""),3)</f>
        <v>3</v>
      </c>
      <c r="J1825" s="85">
        <f ca="1">IFERROR(__xludf.DUMMYFUNCTION("""COMPUTED_VALUE"""),0)</f>
        <v>0</v>
      </c>
      <c r="K1825" s="85">
        <f ca="1">IFERROR(__xludf.DUMMYFUNCTION("""COMPUTED_VALUE"""),0)</f>
        <v>0</v>
      </c>
      <c r="L1825" s="85">
        <f ca="1">IFERROR(__xludf.DUMMYFUNCTION("""COMPUTED_VALUE"""),0)</f>
        <v>0</v>
      </c>
      <c r="M1825" s="85"/>
      <c r="N1825" s="85">
        <f ca="1">IFERROR(__xludf.DUMMYFUNCTION("""COMPUTED_VALUE"""),0)</f>
        <v>0</v>
      </c>
      <c r="O1825" s="85"/>
      <c r="P1825" s="85">
        <f ca="1">IFERROR(__xludf.DUMMYFUNCTION("""COMPUTED_VALUE"""),0)</f>
        <v>0</v>
      </c>
      <c r="Q1825" s="85"/>
      <c r="R1825" s="85">
        <f ca="1">IFERROR(__xludf.DUMMYFUNCTION("""COMPUTED_VALUE"""),0)</f>
        <v>0</v>
      </c>
      <c r="S1825" s="85"/>
      <c r="T1825" s="85"/>
      <c r="U1825" s="82"/>
      <c r="V1825" s="82"/>
      <c r="W1825" s="83"/>
      <c r="X1825" s="83"/>
      <c r="Y1825" s="83"/>
    </row>
    <row r="1826" spans="1:25" ht="13.8">
      <c r="A1826" s="78" t="str">
        <f ca="1">IFERROR(__xludf.DUMMYFUNCTION("""COMPUTED_VALUE"""),"SB")</f>
        <v>SB</v>
      </c>
      <c r="B1826" s="79" t="str">
        <f ca="1">IFERROR(__xludf.DUMMYFUNCTION("""COMPUTED_VALUE"""),"Sean McNamee")</f>
        <v>Sean McNamee</v>
      </c>
      <c r="C1826" s="78">
        <f ca="1">IFERROR(__xludf.DUMMYFUNCTION("""COMPUTED_VALUE"""),7)</f>
        <v>7</v>
      </c>
      <c r="D1826" s="78" t="str">
        <f ca="1">IFERROR(__xludf.DUMMYFUNCTION("""COMPUTED_VALUE"""),"B")</f>
        <v>B</v>
      </c>
      <c r="E1826" s="80" t="str">
        <f ca="1">IFERROR(__xludf.DUMMYFUNCTION("""COMPUTED_VALUE"""),"F")</f>
        <v>F</v>
      </c>
      <c r="F1826" s="80" t="str">
        <f ca="1">IFERROR(__xludf.DUMMYFUNCTION("""COMPUTED_VALUE"""),"J")</f>
        <v>J</v>
      </c>
      <c r="G1826" s="80">
        <f ca="1">IFERROR(__xludf.DUMMYFUNCTION("""COMPUTED_VALUE"""),7)</f>
        <v>7</v>
      </c>
      <c r="H1826" s="80" t="str">
        <f ca="1">IFERROR(__xludf.DUMMYFUNCTION("""COMPUTED_VALUE"""),"SB")</f>
        <v>SB</v>
      </c>
      <c r="I1826" s="80">
        <f ca="1">IFERROR(__xludf.DUMMYFUNCTION("""COMPUTED_VALUE"""),3)</f>
        <v>3</v>
      </c>
      <c r="J1826" s="85">
        <f ca="1">IFERROR(__xludf.DUMMYFUNCTION("""COMPUTED_VALUE"""),0)</f>
        <v>0</v>
      </c>
      <c r="K1826" s="85">
        <f ca="1">IFERROR(__xludf.DUMMYFUNCTION("""COMPUTED_VALUE"""),0)</f>
        <v>0</v>
      </c>
      <c r="L1826" s="85">
        <f ca="1">IFERROR(__xludf.DUMMYFUNCTION("""COMPUTED_VALUE"""),0)</f>
        <v>0</v>
      </c>
      <c r="M1826" s="85"/>
      <c r="N1826" s="85">
        <f ca="1">IFERROR(__xludf.DUMMYFUNCTION("""COMPUTED_VALUE"""),0)</f>
        <v>0</v>
      </c>
      <c r="O1826" s="85"/>
      <c r="P1826" s="85">
        <f ca="1">IFERROR(__xludf.DUMMYFUNCTION("""COMPUTED_VALUE"""),0)</f>
        <v>0</v>
      </c>
      <c r="Q1826" s="85"/>
      <c r="R1826" s="85">
        <f ca="1">IFERROR(__xludf.DUMMYFUNCTION("""COMPUTED_VALUE"""),0)</f>
        <v>0</v>
      </c>
      <c r="S1826" s="85"/>
      <c r="T1826" s="85"/>
      <c r="U1826" s="82"/>
      <c r="V1826" s="82"/>
      <c r="W1826" s="83"/>
      <c r="X1826" s="83"/>
      <c r="Y1826" s="83"/>
    </row>
    <row r="1827" spans="1:25" ht="13.8">
      <c r="A1827" s="78" t="str">
        <f ca="1">IFERROR(__xludf.DUMMYFUNCTION("""COMPUTED_VALUE"""),"SB")</f>
        <v>SB</v>
      </c>
      <c r="B1827" s="79" t="str">
        <f ca="1">IFERROR(__xludf.DUMMYFUNCTION("""COMPUTED_VALUE"""),"Aiden Sutherland")</f>
        <v>Aiden Sutherland</v>
      </c>
      <c r="C1827" s="78">
        <f ca="1">IFERROR(__xludf.DUMMYFUNCTION("""COMPUTED_VALUE"""),8)</f>
        <v>8</v>
      </c>
      <c r="D1827" s="78" t="str">
        <f ca="1">IFERROR(__xludf.DUMMYFUNCTION("""COMPUTED_VALUE"""),"B")</f>
        <v>B</v>
      </c>
      <c r="E1827" s="80" t="str">
        <f ca="1">IFERROR(__xludf.DUMMYFUNCTION("""COMPUTED_VALUE"""),"F")</f>
        <v>F</v>
      </c>
      <c r="F1827" s="80" t="str">
        <f ca="1">IFERROR(__xludf.DUMMYFUNCTION("""COMPUTED_VALUE"""),"J")</f>
        <v>J</v>
      </c>
      <c r="G1827" s="80">
        <f ca="1">IFERROR(__xludf.DUMMYFUNCTION("""COMPUTED_VALUE"""),7)</f>
        <v>7</v>
      </c>
      <c r="H1827" s="80" t="str">
        <f ca="1">IFERROR(__xludf.DUMMYFUNCTION("""COMPUTED_VALUE"""),"SB")</f>
        <v>SB</v>
      </c>
      <c r="I1827" s="80">
        <f ca="1">IFERROR(__xludf.DUMMYFUNCTION("""COMPUTED_VALUE"""),3)</f>
        <v>3</v>
      </c>
      <c r="J1827" s="85">
        <f ca="1">IFERROR(__xludf.DUMMYFUNCTION("""COMPUTED_VALUE"""),4)</f>
        <v>4</v>
      </c>
      <c r="K1827" s="85">
        <f ca="1">IFERROR(__xludf.DUMMYFUNCTION("""COMPUTED_VALUE"""),41.6)</f>
        <v>41.6</v>
      </c>
      <c r="L1827" s="85">
        <f ca="1">IFERROR(__xludf.DUMMYFUNCTION("""COMPUTED_VALUE"""),0)</f>
        <v>0</v>
      </c>
      <c r="M1827" s="85"/>
      <c r="N1827" s="85">
        <f ca="1">IFERROR(__xludf.DUMMYFUNCTION("""COMPUTED_VALUE"""),41.6)</f>
        <v>41.6</v>
      </c>
      <c r="O1827" s="85"/>
      <c r="P1827" s="85">
        <f ca="1">IFERROR(__xludf.DUMMYFUNCTION("""COMPUTED_VALUE"""),36.7)</f>
        <v>36.700000000000003</v>
      </c>
      <c r="Q1827" s="85"/>
      <c r="R1827" s="85">
        <f ca="1">IFERROR(__xludf.DUMMYFUNCTION("""COMPUTED_VALUE"""),37.2)</f>
        <v>37.200000000000003</v>
      </c>
      <c r="S1827" s="85"/>
      <c r="T1827" s="85"/>
      <c r="U1827" s="82"/>
      <c r="V1827" s="82"/>
      <c r="W1827" s="83"/>
      <c r="X1827" s="83"/>
      <c r="Y1827" s="83"/>
    </row>
    <row r="1828" spans="1:25" ht="13.8">
      <c r="A1828" s="78" t="str">
        <f ca="1">IFERROR(__xludf.DUMMYFUNCTION("""COMPUTED_VALUE"""),"SB")</f>
        <v>SB</v>
      </c>
      <c r="B1828" s="79" t="str">
        <f ca="1">IFERROR(__xludf.DUMMYFUNCTION("""COMPUTED_VALUE"""),"Jack Wahler")</f>
        <v>Jack Wahler</v>
      </c>
      <c r="C1828" s="78">
        <f ca="1">IFERROR(__xludf.DUMMYFUNCTION("""COMPUTED_VALUE"""),7)</f>
        <v>7</v>
      </c>
      <c r="D1828" s="78" t="str">
        <f ca="1">IFERROR(__xludf.DUMMYFUNCTION("""COMPUTED_VALUE"""),"B")</f>
        <v>B</v>
      </c>
      <c r="E1828" s="80" t="str">
        <f ca="1">IFERROR(__xludf.DUMMYFUNCTION("""COMPUTED_VALUE"""),"F")</f>
        <v>F</v>
      </c>
      <c r="F1828" s="80" t="str">
        <f ca="1">IFERROR(__xludf.DUMMYFUNCTION("""COMPUTED_VALUE"""),"J")</f>
        <v>J</v>
      </c>
      <c r="G1828" s="80">
        <f ca="1">IFERROR(__xludf.DUMMYFUNCTION("""COMPUTED_VALUE"""),7)</f>
        <v>7</v>
      </c>
      <c r="H1828" s="80" t="str">
        <f ca="1">IFERROR(__xludf.DUMMYFUNCTION("""COMPUTED_VALUE"""),"SB")</f>
        <v>SB</v>
      </c>
      <c r="I1828" s="80">
        <f ca="1">IFERROR(__xludf.DUMMYFUNCTION("""COMPUTED_VALUE"""),3)</f>
        <v>3</v>
      </c>
      <c r="J1828" s="85">
        <f ca="1">IFERROR(__xludf.DUMMYFUNCTION("""COMPUTED_VALUE"""),1)</f>
        <v>1</v>
      </c>
      <c r="K1828" s="85">
        <f ca="1">IFERROR(__xludf.DUMMYFUNCTION("""COMPUTED_VALUE"""),16.65)</f>
        <v>16.649999999999999</v>
      </c>
      <c r="L1828" s="85">
        <f ca="1">IFERROR(__xludf.DUMMYFUNCTION("""COMPUTED_VALUE"""),16.65)</f>
        <v>16.649999999999999</v>
      </c>
      <c r="M1828" s="85"/>
      <c r="N1828" s="85">
        <f ca="1">IFERROR(__xludf.DUMMYFUNCTION("""COMPUTED_VALUE"""),0)</f>
        <v>0</v>
      </c>
      <c r="O1828" s="85"/>
      <c r="P1828" s="85">
        <f ca="1">IFERROR(__xludf.DUMMYFUNCTION("""COMPUTED_VALUE"""),0)</f>
        <v>0</v>
      </c>
      <c r="Q1828" s="85"/>
      <c r="R1828" s="85">
        <f ca="1">IFERROR(__xludf.DUMMYFUNCTION("""COMPUTED_VALUE"""),0)</f>
        <v>0</v>
      </c>
      <c r="S1828" s="85"/>
      <c r="T1828" s="85"/>
      <c r="U1828" s="82"/>
      <c r="V1828" s="82"/>
      <c r="W1828" s="83"/>
      <c r="X1828" s="83"/>
      <c r="Y1828" s="83"/>
    </row>
    <row r="1829" spans="1:25" ht="13.8">
      <c r="A1829" s="78" t="str">
        <f ca="1">IFERROR(__xludf.DUMMYFUNCTION("""COMPUTED_VALUE"""),"SB")</f>
        <v>SB</v>
      </c>
      <c r="B1829" s="79" t="str">
        <f ca="1">IFERROR(__xludf.DUMMYFUNCTION("""COMPUTED_VALUE"""),"Eliza Hunt")</f>
        <v>Eliza Hunt</v>
      </c>
      <c r="C1829" s="78">
        <f ca="1">IFERROR(__xludf.DUMMYFUNCTION("""COMPUTED_VALUE"""),12)</f>
        <v>12</v>
      </c>
      <c r="D1829" s="78" t="str">
        <f ca="1">IFERROR(__xludf.DUMMYFUNCTION("""COMPUTED_VALUE"""),"G")</f>
        <v>G</v>
      </c>
      <c r="E1829" s="80" t="str">
        <f ca="1">IFERROR(__xludf.DUMMYFUNCTION("""COMPUTED_VALUE"""),"J")</f>
        <v>J</v>
      </c>
      <c r="F1829" s="80" t="str">
        <f ca="1">IFERROR(__xludf.DUMMYFUNCTION("""COMPUTED_VALUE"""),"I")</f>
        <v>I</v>
      </c>
      <c r="G1829" s="80">
        <f ca="1">IFERROR(__xludf.DUMMYFUNCTION("""COMPUTED_VALUE"""),7)</f>
        <v>7</v>
      </c>
      <c r="H1829" s="80" t="str">
        <f ca="1">IFERROR(__xludf.DUMMYFUNCTION("""COMPUTED_VALUE"""),"SB")</f>
        <v>SB</v>
      </c>
      <c r="I1829" s="80">
        <f ca="1">IFERROR(__xludf.DUMMYFUNCTION("""COMPUTED_VALUE"""),4)</f>
        <v>4</v>
      </c>
      <c r="J1829" s="85">
        <f ca="1">IFERROR(__xludf.DUMMYFUNCTION("""COMPUTED_VALUE"""),3)</f>
        <v>3</v>
      </c>
      <c r="K1829" s="85">
        <f ca="1">IFERROR(__xludf.DUMMYFUNCTION("""COMPUTED_VALUE"""),65.4)</f>
        <v>65.400000000000006</v>
      </c>
      <c r="L1829" s="85">
        <f ca="1">IFERROR(__xludf.DUMMYFUNCTION("""COMPUTED_VALUE"""),0)</f>
        <v>0</v>
      </c>
      <c r="M1829" s="85"/>
      <c r="N1829" s="85">
        <f ca="1">IFERROR(__xludf.DUMMYFUNCTION("""COMPUTED_VALUE"""),0)</f>
        <v>0</v>
      </c>
      <c r="O1829" s="85"/>
      <c r="P1829" s="85">
        <f ca="1">IFERROR(__xludf.DUMMYFUNCTION("""COMPUTED_VALUE"""),44.75)</f>
        <v>44.75</v>
      </c>
      <c r="Q1829" s="85"/>
      <c r="R1829" s="85">
        <f ca="1">IFERROR(__xludf.DUMMYFUNCTION("""COMPUTED_VALUE"""),65.4)</f>
        <v>65.400000000000006</v>
      </c>
      <c r="S1829" s="85"/>
      <c r="T1829" s="85"/>
      <c r="U1829" s="82"/>
      <c r="V1829" s="82"/>
      <c r="W1829" s="83"/>
      <c r="X1829" s="83"/>
      <c r="Y1829" s="83"/>
    </row>
    <row r="1830" spans="1:25" ht="13.8">
      <c r="A1830" s="78" t="str">
        <f ca="1">IFERROR(__xludf.DUMMYFUNCTION("""COMPUTED_VALUE"""),"SB")</f>
        <v>SB</v>
      </c>
      <c r="B1830" s="79" t="str">
        <f ca="1">IFERROR(__xludf.DUMMYFUNCTION("""COMPUTED_VALUE"""),"Hannah Wilson")</f>
        <v>Hannah Wilson</v>
      </c>
      <c r="C1830" s="78">
        <f ca="1">IFERROR(__xludf.DUMMYFUNCTION("""COMPUTED_VALUE"""),11)</f>
        <v>11</v>
      </c>
      <c r="D1830" s="78" t="str">
        <f ca="1">IFERROR(__xludf.DUMMYFUNCTION("""COMPUTED_VALUE"""),"G")</f>
        <v>G</v>
      </c>
      <c r="E1830" s="80" t="str">
        <f ca="1">IFERROR(__xludf.DUMMYFUNCTION("""COMPUTED_VALUE"""),"J")</f>
        <v>J</v>
      </c>
      <c r="F1830" s="80" t="str">
        <f ca="1">IFERROR(__xludf.DUMMYFUNCTION("""COMPUTED_VALUE"""),"I")</f>
        <v>I</v>
      </c>
      <c r="G1830" s="80">
        <f ca="1">IFERROR(__xludf.DUMMYFUNCTION("""COMPUTED_VALUE"""),7)</f>
        <v>7</v>
      </c>
      <c r="H1830" s="80" t="str">
        <f ca="1">IFERROR(__xludf.DUMMYFUNCTION("""COMPUTED_VALUE"""),"SB")</f>
        <v>SB</v>
      </c>
      <c r="I1830" s="80">
        <f ca="1">IFERROR(__xludf.DUMMYFUNCTION("""COMPUTED_VALUE"""),4)</f>
        <v>4</v>
      </c>
      <c r="J1830" s="85">
        <f ca="1">IFERROR(__xludf.DUMMYFUNCTION("""COMPUTED_VALUE"""),3)</f>
        <v>3</v>
      </c>
      <c r="K1830" s="85">
        <f ca="1">IFERROR(__xludf.DUMMYFUNCTION("""COMPUTED_VALUE"""),64.25)</f>
        <v>64.25</v>
      </c>
      <c r="L1830" s="85">
        <f ca="1">IFERROR(__xludf.DUMMYFUNCTION("""COMPUTED_VALUE"""),0)</f>
        <v>0</v>
      </c>
      <c r="M1830" s="85"/>
      <c r="N1830" s="85">
        <f ca="1">IFERROR(__xludf.DUMMYFUNCTION("""COMPUTED_VALUE"""),44.75)</f>
        <v>44.75</v>
      </c>
      <c r="O1830" s="85"/>
      <c r="P1830" s="85">
        <f ca="1">IFERROR(__xludf.DUMMYFUNCTION("""COMPUTED_VALUE"""),0)</f>
        <v>0</v>
      </c>
      <c r="Q1830" s="85"/>
      <c r="R1830" s="85">
        <f ca="1">IFERROR(__xludf.DUMMYFUNCTION("""COMPUTED_VALUE"""),64.25)</f>
        <v>64.25</v>
      </c>
      <c r="S1830" s="85"/>
      <c r="T1830" s="85"/>
      <c r="U1830" s="82"/>
      <c r="V1830" s="82"/>
      <c r="W1830" s="83"/>
      <c r="X1830" s="83"/>
      <c r="Y1830" s="83"/>
    </row>
    <row r="1831" spans="1:25" ht="13.8">
      <c r="A1831" s="78" t="str">
        <f ca="1">IFERROR(__xludf.DUMMYFUNCTION("""COMPUTED_VALUE"""),"SB")</f>
        <v>SB</v>
      </c>
      <c r="B1831" s="79" t="str">
        <f ca="1">IFERROR(__xludf.DUMMYFUNCTION("""COMPUTED_VALUE"""),"Ash Burress")</f>
        <v>Ash Burress</v>
      </c>
      <c r="C1831" s="78">
        <f ca="1">IFERROR(__xludf.DUMMYFUNCTION("""COMPUTED_VALUE"""),11)</f>
        <v>11</v>
      </c>
      <c r="D1831" s="78" t="str">
        <f ca="1">IFERROR(__xludf.DUMMYFUNCTION("""COMPUTED_VALUE"""),"B")</f>
        <v>B</v>
      </c>
      <c r="E1831" s="80" t="str">
        <f ca="1">IFERROR(__xludf.DUMMYFUNCTION("""COMPUTED_VALUE"""),"J")</f>
        <v>J</v>
      </c>
      <c r="F1831" s="80" t="str">
        <f ca="1">IFERROR(__xludf.DUMMYFUNCTION("""COMPUTED_VALUE"""),"I")</f>
        <v>I</v>
      </c>
      <c r="G1831" s="80">
        <f ca="1">IFERROR(__xludf.DUMMYFUNCTION("""COMPUTED_VALUE"""),7)</f>
        <v>7</v>
      </c>
      <c r="H1831" s="80" t="str">
        <f ca="1">IFERROR(__xludf.DUMMYFUNCTION("""COMPUTED_VALUE"""),"SB")</f>
        <v>SB</v>
      </c>
      <c r="I1831" s="80">
        <f ca="1">IFERROR(__xludf.DUMMYFUNCTION("""COMPUTED_VALUE"""),5)</f>
        <v>5</v>
      </c>
      <c r="J1831" s="85">
        <f ca="1">IFERROR(__xludf.DUMMYFUNCTION("""COMPUTED_VALUE"""),3)</f>
        <v>3</v>
      </c>
      <c r="K1831" s="85">
        <f ca="1">IFERROR(__xludf.DUMMYFUNCTION("""COMPUTED_VALUE"""),56.25)</f>
        <v>56.25</v>
      </c>
      <c r="L1831" s="85">
        <f ca="1">IFERROR(__xludf.DUMMYFUNCTION("""COMPUTED_VALUE"""),56.25)</f>
        <v>56.25</v>
      </c>
      <c r="M1831" s="85"/>
      <c r="N1831" s="85">
        <f ca="1">IFERROR(__xludf.DUMMYFUNCTION("""COMPUTED_VALUE"""),0)</f>
        <v>0</v>
      </c>
      <c r="O1831" s="85"/>
      <c r="P1831" s="85">
        <f ca="1">IFERROR(__xludf.DUMMYFUNCTION("""COMPUTED_VALUE"""),46.6)</f>
        <v>46.6</v>
      </c>
      <c r="Q1831" s="85"/>
      <c r="R1831" s="85">
        <f ca="1">IFERROR(__xludf.DUMMYFUNCTION("""COMPUTED_VALUE"""),0)</f>
        <v>0</v>
      </c>
      <c r="S1831" s="85"/>
      <c r="T1831" s="85"/>
      <c r="U1831" s="82"/>
      <c r="V1831" s="82"/>
      <c r="W1831" s="83"/>
      <c r="X1831" s="83"/>
      <c r="Y1831" s="83"/>
    </row>
    <row r="1832" spans="1:25" ht="13.8">
      <c r="A1832" s="78" t="str">
        <f ca="1">IFERROR(__xludf.DUMMYFUNCTION("""COMPUTED_VALUE"""),"SB")</f>
        <v>SB</v>
      </c>
      <c r="B1832" s="79" t="str">
        <f ca="1">IFERROR(__xludf.DUMMYFUNCTION("""COMPUTED_VALUE"""),"T'iyler Rothstein")</f>
        <v>T'iyler Rothstein</v>
      </c>
      <c r="C1832" s="78">
        <f ca="1">IFERROR(__xludf.DUMMYFUNCTION("""COMPUTED_VALUE"""),12)</f>
        <v>12</v>
      </c>
      <c r="D1832" s="78" t="str">
        <f ca="1">IFERROR(__xludf.DUMMYFUNCTION("""COMPUTED_VALUE"""),"B")</f>
        <v>B</v>
      </c>
      <c r="E1832" s="80" t="str">
        <f ca="1">IFERROR(__xludf.DUMMYFUNCTION("""COMPUTED_VALUE"""),"J")</f>
        <v>J</v>
      </c>
      <c r="F1832" s="80" t="str">
        <f ca="1">IFERROR(__xludf.DUMMYFUNCTION("""COMPUTED_VALUE"""),"I")</f>
        <v>I</v>
      </c>
      <c r="G1832" s="80">
        <f ca="1">IFERROR(__xludf.DUMMYFUNCTION("""COMPUTED_VALUE"""),7)</f>
        <v>7</v>
      </c>
      <c r="H1832" s="80" t="str">
        <f ca="1">IFERROR(__xludf.DUMMYFUNCTION("""COMPUTED_VALUE"""),"SB")</f>
        <v>SB</v>
      </c>
      <c r="I1832" s="80">
        <f ca="1">IFERROR(__xludf.DUMMYFUNCTION("""COMPUTED_VALUE"""),5)</f>
        <v>5</v>
      </c>
      <c r="J1832" s="85">
        <f ca="1">IFERROR(__xludf.DUMMYFUNCTION("""COMPUTED_VALUE"""),4)</f>
        <v>4</v>
      </c>
      <c r="K1832" s="85">
        <f ca="1">IFERROR(__xludf.DUMMYFUNCTION("""COMPUTED_VALUE"""),57.4)</f>
        <v>57.4</v>
      </c>
      <c r="L1832" s="85">
        <f ca="1">IFERROR(__xludf.DUMMYFUNCTION("""COMPUTED_VALUE"""),52.25)</f>
        <v>52.25</v>
      </c>
      <c r="M1832" s="85"/>
      <c r="N1832" s="85">
        <f ca="1">IFERROR(__xludf.DUMMYFUNCTION("""COMPUTED_VALUE"""),57.25)</f>
        <v>57.25</v>
      </c>
      <c r="O1832" s="85"/>
      <c r="P1832" s="85">
        <f ca="1">IFERROR(__xludf.DUMMYFUNCTION("""COMPUTED_VALUE"""),53.45)</f>
        <v>53.45</v>
      </c>
      <c r="Q1832" s="85"/>
      <c r="R1832" s="85">
        <f ca="1">IFERROR(__xludf.DUMMYFUNCTION("""COMPUTED_VALUE"""),57.4)</f>
        <v>57.4</v>
      </c>
      <c r="S1832" s="85"/>
      <c r="T1832" s="85"/>
      <c r="U1832" s="82"/>
      <c r="V1832" s="82"/>
      <c r="W1832" s="83"/>
      <c r="X1832" s="83"/>
      <c r="Y1832" s="83"/>
    </row>
    <row r="1833" spans="1:25" ht="13.8">
      <c r="A1833" s="78" t="str">
        <f ca="1">IFERROR(__xludf.DUMMYFUNCTION("""COMPUTED_VALUE"""),"SB")</f>
        <v>SB</v>
      </c>
      <c r="B1833" s="79" t="str">
        <f ca="1">IFERROR(__xludf.DUMMYFUNCTION("""COMPUTED_VALUE"""),"Aubrie Burress")</f>
        <v>Aubrie Burress</v>
      </c>
      <c r="C1833" s="78">
        <f ca="1">IFERROR(__xludf.DUMMYFUNCTION("""COMPUTED_VALUE"""),13)</f>
        <v>13</v>
      </c>
      <c r="D1833" s="78" t="str">
        <f ca="1">IFERROR(__xludf.DUMMYFUNCTION("""COMPUTED_VALUE"""),"G")</f>
        <v>G</v>
      </c>
      <c r="E1833" s="80" t="str">
        <f ca="1">IFERROR(__xludf.DUMMYFUNCTION("""COMPUTED_VALUE"""),"I")</f>
        <v>I</v>
      </c>
      <c r="F1833" s="80" t="str">
        <f ca="1">IFERROR(__xludf.DUMMYFUNCTION("""COMPUTED_VALUE"""),"S")</f>
        <v>S</v>
      </c>
      <c r="G1833" s="80">
        <f ca="1">IFERROR(__xludf.DUMMYFUNCTION("""COMPUTED_VALUE"""),7)</f>
        <v>7</v>
      </c>
      <c r="H1833" s="80" t="str">
        <f ca="1">IFERROR(__xludf.DUMMYFUNCTION("""COMPUTED_VALUE"""),"SB")</f>
        <v>SB</v>
      </c>
      <c r="I1833" s="80">
        <f ca="1">IFERROR(__xludf.DUMMYFUNCTION("""COMPUTED_VALUE"""),6)</f>
        <v>6</v>
      </c>
      <c r="J1833" s="85">
        <f ca="1">IFERROR(__xludf.DUMMYFUNCTION("""COMPUTED_VALUE"""),3)</f>
        <v>3</v>
      </c>
      <c r="K1833" s="85">
        <f ca="1">IFERROR(__xludf.DUMMYFUNCTION("""COMPUTED_VALUE"""),86.05)</f>
        <v>86.05</v>
      </c>
      <c r="L1833" s="85">
        <f ca="1">IFERROR(__xludf.DUMMYFUNCTION("""COMPUTED_VALUE"""),72.25)</f>
        <v>72.25</v>
      </c>
      <c r="M1833" s="85"/>
      <c r="N1833" s="85">
        <f ca="1">IFERROR(__xludf.DUMMYFUNCTION("""COMPUTED_VALUE"""),86.05)</f>
        <v>86.05</v>
      </c>
      <c r="O1833" s="85"/>
      <c r="P1833" s="85">
        <f ca="1">IFERROR(__xludf.DUMMYFUNCTION("""COMPUTED_VALUE"""),77.55)</f>
        <v>77.55</v>
      </c>
      <c r="Q1833" s="85"/>
      <c r="R1833" s="85">
        <f ca="1">IFERROR(__xludf.DUMMYFUNCTION("""COMPUTED_VALUE"""),0)</f>
        <v>0</v>
      </c>
      <c r="S1833" s="85"/>
      <c r="T1833" s="85"/>
      <c r="U1833" s="82"/>
      <c r="V1833" s="82"/>
      <c r="W1833" s="83"/>
      <c r="X1833" s="83"/>
      <c r="Y1833" s="83"/>
    </row>
    <row r="1834" spans="1:25" ht="13.8">
      <c r="A1834" s="78" t="str">
        <f ca="1">IFERROR(__xludf.DUMMYFUNCTION("""COMPUTED_VALUE"""),"SB")</f>
        <v>SB</v>
      </c>
      <c r="B1834" s="79" t="str">
        <f ca="1">IFERROR(__xludf.DUMMYFUNCTION("""COMPUTED_VALUE"""),"Jade Carey")</f>
        <v>Jade Carey</v>
      </c>
      <c r="C1834" s="78">
        <f ca="1">IFERROR(__xludf.DUMMYFUNCTION("""COMPUTED_VALUE"""),14)</f>
        <v>14</v>
      </c>
      <c r="D1834" s="78" t="str">
        <f ca="1">IFERROR(__xludf.DUMMYFUNCTION("""COMPUTED_VALUE"""),"G")</f>
        <v>G</v>
      </c>
      <c r="E1834" s="80" t="str">
        <f ca="1">IFERROR(__xludf.DUMMYFUNCTION("""COMPUTED_VALUE"""),"I")</f>
        <v>I</v>
      </c>
      <c r="F1834" s="80" t="str">
        <f ca="1">IFERROR(__xludf.DUMMYFUNCTION("""COMPUTED_VALUE"""),"S")</f>
        <v>S</v>
      </c>
      <c r="G1834" s="80">
        <f ca="1">IFERROR(__xludf.DUMMYFUNCTION("""COMPUTED_VALUE"""),7)</f>
        <v>7</v>
      </c>
      <c r="H1834" s="80" t="str">
        <f ca="1">IFERROR(__xludf.DUMMYFUNCTION("""COMPUTED_VALUE"""),"SB")</f>
        <v>SB</v>
      </c>
      <c r="I1834" s="80">
        <f ca="1">IFERROR(__xludf.DUMMYFUNCTION("""COMPUTED_VALUE"""),6)</f>
        <v>6</v>
      </c>
      <c r="J1834" s="85">
        <f ca="1">IFERROR(__xludf.DUMMYFUNCTION("""COMPUTED_VALUE"""),1)</f>
        <v>1</v>
      </c>
      <c r="K1834" s="85">
        <f ca="1">IFERROR(__xludf.DUMMYFUNCTION("""COMPUTED_VALUE"""),51.35)</f>
        <v>51.35</v>
      </c>
      <c r="L1834" s="85">
        <f ca="1">IFERROR(__xludf.DUMMYFUNCTION("""COMPUTED_VALUE"""),0)</f>
        <v>0</v>
      </c>
      <c r="M1834" s="85"/>
      <c r="N1834" s="85">
        <f ca="1">IFERROR(__xludf.DUMMYFUNCTION("""COMPUTED_VALUE"""),0)</f>
        <v>0</v>
      </c>
      <c r="O1834" s="85"/>
      <c r="P1834" s="85">
        <f ca="1">IFERROR(__xludf.DUMMYFUNCTION("""COMPUTED_VALUE"""),51.35)</f>
        <v>51.35</v>
      </c>
      <c r="Q1834" s="85"/>
      <c r="R1834" s="85">
        <f ca="1">IFERROR(__xludf.DUMMYFUNCTION("""COMPUTED_VALUE"""),0)</f>
        <v>0</v>
      </c>
      <c r="S1834" s="85"/>
      <c r="T1834" s="85"/>
      <c r="U1834" s="82"/>
      <c r="V1834" s="82"/>
      <c r="W1834" s="83"/>
      <c r="X1834" s="83"/>
      <c r="Y1834" s="83"/>
    </row>
    <row r="1835" spans="1:25" ht="13.8">
      <c r="A1835" s="78" t="str">
        <f ca="1">IFERROR(__xludf.DUMMYFUNCTION("""COMPUTED_VALUE"""),"SB")</f>
        <v>SB</v>
      </c>
      <c r="B1835" s="79" t="str">
        <f ca="1">IFERROR(__xludf.DUMMYFUNCTION("""COMPUTED_VALUE"""),"Erik Cobb")</f>
        <v>Erik Cobb</v>
      </c>
      <c r="C1835" s="78">
        <f ca="1">IFERROR(__xludf.DUMMYFUNCTION("""COMPUTED_VALUE"""),14)</f>
        <v>14</v>
      </c>
      <c r="D1835" s="78" t="str">
        <f ca="1">IFERROR(__xludf.DUMMYFUNCTION("""COMPUTED_VALUE"""),"B")</f>
        <v>B</v>
      </c>
      <c r="E1835" s="80" t="str">
        <f ca="1">IFERROR(__xludf.DUMMYFUNCTION("""COMPUTED_VALUE"""),"I")</f>
        <v>I</v>
      </c>
      <c r="F1835" s="80" t="str">
        <f ca="1">IFERROR(__xludf.DUMMYFUNCTION("""COMPUTED_VALUE"""),"S")</f>
        <v>S</v>
      </c>
      <c r="G1835" s="80">
        <f ca="1">IFERROR(__xludf.DUMMYFUNCTION("""COMPUTED_VALUE"""),7)</f>
        <v>7</v>
      </c>
      <c r="H1835" s="80" t="str">
        <f ca="1">IFERROR(__xludf.DUMMYFUNCTION("""COMPUTED_VALUE"""),"SB")</f>
        <v>SB</v>
      </c>
      <c r="I1835" s="80">
        <f ca="1">IFERROR(__xludf.DUMMYFUNCTION("""COMPUTED_VALUE"""),7)</f>
        <v>7</v>
      </c>
      <c r="J1835" s="85">
        <f ca="1">IFERROR(__xludf.DUMMYFUNCTION("""COMPUTED_VALUE"""),0)</f>
        <v>0</v>
      </c>
      <c r="K1835" s="85">
        <f ca="1">IFERROR(__xludf.DUMMYFUNCTION("""COMPUTED_VALUE"""),0)</f>
        <v>0</v>
      </c>
      <c r="L1835" s="85">
        <f ca="1">IFERROR(__xludf.DUMMYFUNCTION("""COMPUTED_VALUE"""),0)</f>
        <v>0</v>
      </c>
      <c r="M1835" s="85"/>
      <c r="N1835" s="85">
        <f ca="1">IFERROR(__xludf.DUMMYFUNCTION("""COMPUTED_VALUE"""),0)</f>
        <v>0</v>
      </c>
      <c r="O1835" s="85"/>
      <c r="P1835" s="85">
        <f ca="1">IFERROR(__xludf.DUMMYFUNCTION("""COMPUTED_VALUE"""),0)</f>
        <v>0</v>
      </c>
      <c r="Q1835" s="85"/>
      <c r="R1835" s="85">
        <f ca="1">IFERROR(__xludf.DUMMYFUNCTION("""COMPUTED_VALUE"""),0)</f>
        <v>0</v>
      </c>
      <c r="S1835" s="85"/>
      <c r="T1835" s="85"/>
      <c r="U1835" s="82"/>
      <c r="V1835" s="82"/>
      <c r="W1835" s="83"/>
      <c r="X1835" s="83"/>
      <c r="Y1835" s="83"/>
    </row>
    <row r="1836" spans="1:25" ht="13.8">
      <c r="A1836" s="78" t="str">
        <f ca="1">IFERROR(__xludf.DUMMYFUNCTION("""COMPUTED_VALUE"""),"SB")</f>
        <v>SB</v>
      </c>
      <c r="B1836" s="79" t="str">
        <f ca="1">IFERROR(__xludf.DUMMYFUNCTION("""COMPUTED_VALUE"""),"Grant McNamee")</f>
        <v>Grant McNamee</v>
      </c>
      <c r="C1836" s="78">
        <f ca="1">IFERROR(__xludf.DUMMYFUNCTION("""COMPUTED_VALUE"""),13)</f>
        <v>13</v>
      </c>
      <c r="D1836" s="78" t="str">
        <f ca="1">IFERROR(__xludf.DUMMYFUNCTION("""COMPUTED_VALUE"""),"B")</f>
        <v>B</v>
      </c>
      <c r="E1836" s="80" t="str">
        <f ca="1">IFERROR(__xludf.DUMMYFUNCTION("""COMPUTED_VALUE"""),"I")</f>
        <v>I</v>
      </c>
      <c r="F1836" s="80" t="str">
        <f ca="1">IFERROR(__xludf.DUMMYFUNCTION("""COMPUTED_VALUE"""),"S")</f>
        <v>S</v>
      </c>
      <c r="G1836" s="80">
        <f ca="1">IFERROR(__xludf.DUMMYFUNCTION("""COMPUTED_VALUE"""),7)</f>
        <v>7</v>
      </c>
      <c r="H1836" s="80" t="str">
        <f ca="1">IFERROR(__xludf.DUMMYFUNCTION("""COMPUTED_VALUE"""),"SB")</f>
        <v>SB</v>
      </c>
      <c r="I1836" s="80">
        <f ca="1">IFERROR(__xludf.DUMMYFUNCTION("""COMPUTED_VALUE"""),7)</f>
        <v>7</v>
      </c>
      <c r="J1836" s="85">
        <f ca="1">IFERROR(__xludf.DUMMYFUNCTION("""COMPUTED_VALUE"""),0)</f>
        <v>0</v>
      </c>
      <c r="K1836" s="85">
        <f ca="1">IFERROR(__xludf.DUMMYFUNCTION("""COMPUTED_VALUE"""),0)</f>
        <v>0</v>
      </c>
      <c r="L1836" s="85">
        <f ca="1">IFERROR(__xludf.DUMMYFUNCTION("""COMPUTED_VALUE"""),0)</f>
        <v>0</v>
      </c>
      <c r="M1836" s="85"/>
      <c r="N1836" s="85">
        <f ca="1">IFERROR(__xludf.DUMMYFUNCTION("""COMPUTED_VALUE"""),0)</f>
        <v>0</v>
      </c>
      <c r="O1836" s="85"/>
      <c r="P1836" s="85">
        <f ca="1">IFERROR(__xludf.DUMMYFUNCTION("""COMPUTED_VALUE"""),0)</f>
        <v>0</v>
      </c>
      <c r="Q1836" s="85"/>
      <c r="R1836" s="85">
        <f ca="1">IFERROR(__xludf.DUMMYFUNCTION("""COMPUTED_VALUE"""),0)</f>
        <v>0</v>
      </c>
      <c r="S1836" s="85"/>
      <c r="T1836" s="85"/>
      <c r="U1836" s="82"/>
      <c r="V1836" s="82"/>
      <c r="W1836" s="83"/>
      <c r="X1836" s="83"/>
      <c r="Y1836" s="83"/>
    </row>
    <row r="1837" spans="1:25" ht="13.8">
      <c r="A1837" s="78" t="str">
        <f ca="1">IFERROR(__xludf.DUMMYFUNCTION("""COMPUTED_VALUE"""),"SB")</f>
        <v>SB</v>
      </c>
      <c r="B1837" s="79" t="str">
        <f ca="1">IFERROR(__xludf.DUMMYFUNCTION("""COMPUTED_VALUE"""),"Makenna Aphrodite")</f>
        <v>Makenna Aphrodite</v>
      </c>
      <c r="C1837" s="78">
        <f ca="1">IFERROR(__xludf.DUMMYFUNCTION("""COMPUTED_VALUE"""),15)</f>
        <v>15</v>
      </c>
      <c r="D1837" s="78" t="str">
        <f ca="1">IFERROR(__xludf.DUMMYFUNCTION("""COMPUTED_VALUE"""),"G")</f>
        <v>G</v>
      </c>
      <c r="E1837" s="80" t="str">
        <f ca="1">IFERROR(__xludf.DUMMYFUNCTION("""COMPUTED_VALUE"""),"S")</f>
        <v>S</v>
      </c>
      <c r="F1837" s="80" t="str">
        <f ca="1">IFERROR(__xludf.DUMMYFUNCTION("""COMPUTED_VALUE"""),"S")</f>
        <v>S</v>
      </c>
      <c r="G1837" s="80">
        <f ca="1">IFERROR(__xludf.DUMMYFUNCTION("""COMPUTED_VALUE"""),7)</f>
        <v>7</v>
      </c>
      <c r="H1837" s="80" t="str">
        <f ca="1">IFERROR(__xludf.DUMMYFUNCTION("""COMPUTED_VALUE"""),"SB")</f>
        <v>SB</v>
      </c>
      <c r="I1837" s="80">
        <f ca="1">IFERROR(__xludf.DUMMYFUNCTION("""COMPUTED_VALUE"""),8)</f>
        <v>8</v>
      </c>
      <c r="J1837" s="85">
        <f ca="1">IFERROR(__xludf.DUMMYFUNCTION("""COMPUTED_VALUE"""),3)</f>
        <v>3</v>
      </c>
      <c r="K1837" s="85">
        <f ca="1">IFERROR(__xludf.DUMMYFUNCTION("""COMPUTED_VALUE"""),52.8)</f>
        <v>52.8</v>
      </c>
      <c r="L1837" s="85">
        <f ca="1">IFERROR(__xludf.DUMMYFUNCTION("""COMPUTED_VALUE"""),0)</f>
        <v>0</v>
      </c>
      <c r="M1837" s="85"/>
      <c r="N1837" s="85">
        <f ca="1">IFERROR(__xludf.DUMMYFUNCTION("""COMPUTED_VALUE"""),0)</f>
        <v>0</v>
      </c>
      <c r="O1837" s="85"/>
      <c r="P1837" s="85">
        <f ca="1">IFERROR(__xludf.DUMMYFUNCTION("""COMPUTED_VALUE"""),51.45)</f>
        <v>51.45</v>
      </c>
      <c r="Q1837" s="85"/>
      <c r="R1837" s="85">
        <f ca="1">IFERROR(__xludf.DUMMYFUNCTION("""COMPUTED_VALUE"""),52.8)</f>
        <v>52.8</v>
      </c>
      <c r="S1837" s="85"/>
      <c r="T1837" s="85"/>
      <c r="U1837" s="82"/>
      <c r="V1837" s="82"/>
      <c r="W1837" s="83"/>
      <c r="X1837" s="83"/>
      <c r="Y1837" s="83"/>
    </row>
    <row r="1838" spans="1:25" ht="13.8">
      <c r="A1838" s="78" t="str">
        <f ca="1">IFERROR(__xludf.DUMMYFUNCTION("""COMPUTED_VALUE"""),"SB")</f>
        <v>SB</v>
      </c>
      <c r="B1838" s="79" t="str">
        <f ca="1">IFERROR(__xludf.DUMMYFUNCTION("""COMPUTED_VALUE"""),"Megan Cobb")</f>
        <v>Megan Cobb</v>
      </c>
      <c r="C1838" s="78">
        <f ca="1">IFERROR(__xludf.DUMMYFUNCTION("""COMPUTED_VALUE"""),16)</f>
        <v>16</v>
      </c>
      <c r="D1838" s="78" t="str">
        <f ca="1">IFERROR(__xludf.DUMMYFUNCTION("""COMPUTED_VALUE"""),"G")</f>
        <v>G</v>
      </c>
      <c r="E1838" s="80" t="str">
        <f ca="1">IFERROR(__xludf.DUMMYFUNCTION("""COMPUTED_VALUE"""),"S")</f>
        <v>S</v>
      </c>
      <c r="F1838" s="80" t="str">
        <f ca="1">IFERROR(__xludf.DUMMYFUNCTION("""COMPUTED_VALUE"""),"S")</f>
        <v>S</v>
      </c>
      <c r="G1838" s="80">
        <f ca="1">IFERROR(__xludf.DUMMYFUNCTION("""COMPUTED_VALUE"""),7)</f>
        <v>7</v>
      </c>
      <c r="H1838" s="80" t="str">
        <f ca="1">IFERROR(__xludf.DUMMYFUNCTION("""COMPUTED_VALUE"""),"SB")</f>
        <v>SB</v>
      </c>
      <c r="I1838" s="80">
        <f ca="1">IFERROR(__xludf.DUMMYFUNCTION("""COMPUTED_VALUE"""),8)</f>
        <v>8</v>
      </c>
      <c r="J1838" s="85">
        <f ca="1">IFERROR(__xludf.DUMMYFUNCTION("""COMPUTED_VALUE"""),0)</f>
        <v>0</v>
      </c>
      <c r="K1838" s="85">
        <f ca="1">IFERROR(__xludf.DUMMYFUNCTION("""COMPUTED_VALUE"""),0)</f>
        <v>0</v>
      </c>
      <c r="L1838" s="85">
        <f ca="1">IFERROR(__xludf.DUMMYFUNCTION("""COMPUTED_VALUE"""),0)</f>
        <v>0</v>
      </c>
      <c r="M1838" s="85"/>
      <c r="N1838" s="85">
        <f ca="1">IFERROR(__xludf.DUMMYFUNCTION("""COMPUTED_VALUE"""),0)</f>
        <v>0</v>
      </c>
      <c r="O1838" s="85"/>
      <c r="P1838" s="85">
        <f ca="1">IFERROR(__xludf.DUMMYFUNCTION("""COMPUTED_VALUE"""),0)</f>
        <v>0</v>
      </c>
      <c r="Q1838" s="85"/>
      <c r="R1838" s="85">
        <f ca="1">IFERROR(__xludf.DUMMYFUNCTION("""COMPUTED_VALUE"""),0)</f>
        <v>0</v>
      </c>
      <c r="S1838" s="85"/>
      <c r="T1838" s="85"/>
      <c r="U1838" s="82"/>
      <c r="V1838" s="82"/>
      <c r="W1838" s="83"/>
      <c r="X1838" s="83"/>
      <c r="Y1838" s="83"/>
    </row>
    <row r="1839" spans="1:25" ht="13.8">
      <c r="A1839" s="78" t="str">
        <f ca="1">IFERROR(__xludf.DUMMYFUNCTION("""COMPUTED_VALUE"""),"SB")</f>
        <v>SB</v>
      </c>
      <c r="B1839" s="79" t="str">
        <f ca="1">IFERROR(__xludf.DUMMYFUNCTION("""COMPUTED_VALUE"""),"Brendan Waterval")</f>
        <v>Brendan Waterval</v>
      </c>
      <c r="C1839" s="78">
        <f ca="1">IFERROR(__xludf.DUMMYFUNCTION("""COMPUTED_VALUE"""),17)</f>
        <v>17</v>
      </c>
      <c r="D1839" s="78" t="str">
        <f ca="1">IFERROR(__xludf.DUMMYFUNCTION("""COMPUTED_VALUE"""),"B")</f>
        <v>B</v>
      </c>
      <c r="E1839" s="80" t="str">
        <f ca="1">IFERROR(__xludf.DUMMYFUNCTION("""COMPUTED_VALUE"""),"S")</f>
        <v>S</v>
      </c>
      <c r="F1839" s="80" t="str">
        <f ca="1">IFERROR(__xludf.DUMMYFUNCTION("""COMPUTED_VALUE"""),"S")</f>
        <v>S</v>
      </c>
      <c r="G1839" s="80">
        <f ca="1">IFERROR(__xludf.DUMMYFUNCTION("""COMPUTED_VALUE"""),7)</f>
        <v>7</v>
      </c>
      <c r="H1839" s="80" t="str">
        <f ca="1">IFERROR(__xludf.DUMMYFUNCTION("""COMPUTED_VALUE"""),"SB")</f>
        <v>SB</v>
      </c>
      <c r="I1839" s="80">
        <f ca="1">IFERROR(__xludf.DUMMYFUNCTION("""COMPUTED_VALUE"""),9)</f>
        <v>9</v>
      </c>
      <c r="J1839" s="85">
        <f ca="1">IFERROR(__xludf.DUMMYFUNCTION("""COMPUTED_VALUE"""),5)</f>
        <v>5</v>
      </c>
      <c r="K1839" s="85">
        <f ca="1">IFERROR(__xludf.DUMMYFUNCTION("""COMPUTED_VALUE"""),110.55)</f>
        <v>110.55</v>
      </c>
      <c r="L1839" s="85">
        <f ca="1">IFERROR(__xludf.DUMMYFUNCTION("""COMPUTED_VALUE"""),105.6)</f>
        <v>105.6</v>
      </c>
      <c r="M1839" s="85"/>
      <c r="N1839" s="85">
        <f ca="1">IFERROR(__xludf.DUMMYFUNCTION("""COMPUTED_VALUE"""),101.1)</f>
        <v>101.1</v>
      </c>
      <c r="O1839" s="85"/>
      <c r="P1839" s="85">
        <f ca="1">IFERROR(__xludf.DUMMYFUNCTION("""COMPUTED_VALUE"""),96.3)</f>
        <v>96.3</v>
      </c>
      <c r="Q1839" s="85"/>
      <c r="R1839" s="85">
        <f ca="1">IFERROR(__xludf.DUMMYFUNCTION("""COMPUTED_VALUE"""),110.55)</f>
        <v>110.55</v>
      </c>
      <c r="S1839" s="85"/>
      <c r="T1839" s="85"/>
      <c r="U1839" s="82"/>
      <c r="V1839" s="82"/>
      <c r="W1839" s="83"/>
      <c r="X1839" s="83"/>
      <c r="Y1839" s="83"/>
    </row>
    <row r="1840" spans="1:25" ht="13.8">
      <c r="A1840" s="78" t="str">
        <f ca="1">IFERROR(__xludf.DUMMYFUNCTION("""COMPUTED_VALUE"""),"SHB")</f>
        <v>SHB</v>
      </c>
      <c r="B1840" s="79" t="str">
        <f ca="1">IFERROR(__xludf.DUMMYFUNCTION("""COMPUTED_VALUE"""),"Elise Akpati")</f>
        <v>Elise Akpati</v>
      </c>
      <c r="C1840" s="78">
        <f ca="1">IFERROR(__xludf.DUMMYFUNCTION("""COMPUTED_VALUE"""),5)</f>
        <v>5</v>
      </c>
      <c r="D1840" s="78" t="str">
        <f ca="1">IFERROR(__xludf.DUMMYFUNCTION("""COMPUTED_VALUE"""),"G")</f>
        <v>G</v>
      </c>
      <c r="E1840" s="80" t="str">
        <f ca="1">IFERROR(__xludf.DUMMYFUNCTION("""COMPUTED_VALUE"""),"F")</f>
        <v>F</v>
      </c>
      <c r="F1840" s="80" t="str">
        <f ca="1">IFERROR(__xludf.DUMMYFUNCTION("""COMPUTED_VALUE"""),"J")</f>
        <v>J</v>
      </c>
      <c r="G1840" s="80">
        <f ca="1">IFERROR(__xludf.DUMMYFUNCTION("""COMPUTED_VALUE"""),5)</f>
        <v>5</v>
      </c>
      <c r="H1840" s="80" t="str">
        <f ca="1">IFERROR(__xludf.DUMMYFUNCTION("""COMPUTED_VALUE"""),"SHB")</f>
        <v>SHB</v>
      </c>
      <c r="I1840" s="80">
        <f ca="1">IFERROR(__xludf.DUMMYFUNCTION("""COMPUTED_VALUE"""),2)</f>
        <v>2</v>
      </c>
      <c r="J1840" s="85">
        <f ca="1">IFERROR(__xludf.DUMMYFUNCTION("""COMPUTED_VALUE"""),0)</f>
        <v>0</v>
      </c>
      <c r="K1840" s="85">
        <f ca="1">IFERROR(__xludf.DUMMYFUNCTION("""COMPUTED_VALUE"""),0)</f>
        <v>0</v>
      </c>
      <c r="L1840" s="85">
        <f ca="1">IFERROR(__xludf.DUMMYFUNCTION("""COMPUTED_VALUE"""),0)</f>
        <v>0</v>
      </c>
      <c r="M1840" s="85"/>
      <c r="N1840" s="85">
        <f ca="1">IFERROR(__xludf.DUMMYFUNCTION("""COMPUTED_VALUE"""),0)</f>
        <v>0</v>
      </c>
      <c r="O1840" s="85"/>
      <c r="P1840" s="85">
        <f ca="1">IFERROR(__xludf.DUMMYFUNCTION("""COMPUTED_VALUE"""),0)</f>
        <v>0</v>
      </c>
      <c r="Q1840" s="85"/>
      <c r="R1840" s="85">
        <f ca="1">IFERROR(__xludf.DUMMYFUNCTION("""COMPUTED_VALUE"""),0)</f>
        <v>0</v>
      </c>
      <c r="S1840" s="85"/>
      <c r="T1840" s="85"/>
      <c r="U1840" s="82"/>
      <c r="V1840" s="82"/>
      <c r="W1840" s="83"/>
      <c r="X1840" s="83"/>
      <c r="Y1840" s="83"/>
    </row>
    <row r="1841" spans="1:25" ht="13.8">
      <c r="A1841" s="78" t="str">
        <f ca="1">IFERROR(__xludf.DUMMYFUNCTION("""COMPUTED_VALUE"""),"SHB")</f>
        <v>SHB</v>
      </c>
      <c r="B1841" s="79" t="str">
        <f ca="1">IFERROR(__xludf.DUMMYFUNCTION("""COMPUTED_VALUE"""),"Evelyn Akpati")</f>
        <v>Evelyn Akpati</v>
      </c>
      <c r="C1841" s="78">
        <f ca="1">IFERROR(__xludf.DUMMYFUNCTION("""COMPUTED_VALUE"""),7)</f>
        <v>7</v>
      </c>
      <c r="D1841" s="78" t="str">
        <f ca="1">IFERROR(__xludf.DUMMYFUNCTION("""COMPUTED_VALUE"""),"G")</f>
        <v>G</v>
      </c>
      <c r="E1841" s="80" t="str">
        <f ca="1">IFERROR(__xludf.DUMMYFUNCTION("""COMPUTED_VALUE"""),"F")</f>
        <v>F</v>
      </c>
      <c r="F1841" s="80" t="str">
        <f ca="1">IFERROR(__xludf.DUMMYFUNCTION("""COMPUTED_VALUE"""),"J")</f>
        <v>J</v>
      </c>
      <c r="G1841" s="80">
        <f ca="1">IFERROR(__xludf.DUMMYFUNCTION("""COMPUTED_VALUE"""),5)</f>
        <v>5</v>
      </c>
      <c r="H1841" s="80" t="str">
        <f ca="1">IFERROR(__xludf.DUMMYFUNCTION("""COMPUTED_VALUE"""),"SHB")</f>
        <v>SHB</v>
      </c>
      <c r="I1841" s="80">
        <f ca="1">IFERROR(__xludf.DUMMYFUNCTION("""COMPUTED_VALUE"""),2)</f>
        <v>2</v>
      </c>
      <c r="J1841" s="85">
        <f ca="1">IFERROR(__xludf.DUMMYFUNCTION("""COMPUTED_VALUE"""),0)</f>
        <v>0</v>
      </c>
      <c r="K1841" s="85">
        <f ca="1">IFERROR(__xludf.DUMMYFUNCTION("""COMPUTED_VALUE"""),0)</f>
        <v>0</v>
      </c>
      <c r="L1841" s="85">
        <f ca="1">IFERROR(__xludf.DUMMYFUNCTION("""COMPUTED_VALUE"""),0)</f>
        <v>0</v>
      </c>
      <c r="M1841" s="85"/>
      <c r="N1841" s="85">
        <f ca="1">IFERROR(__xludf.DUMMYFUNCTION("""COMPUTED_VALUE"""),0)</f>
        <v>0</v>
      </c>
      <c r="O1841" s="85"/>
      <c r="P1841" s="85">
        <f ca="1">IFERROR(__xludf.DUMMYFUNCTION("""COMPUTED_VALUE"""),0)</f>
        <v>0</v>
      </c>
      <c r="Q1841" s="85"/>
      <c r="R1841" s="85">
        <f ca="1">IFERROR(__xludf.DUMMYFUNCTION("""COMPUTED_VALUE"""),0)</f>
        <v>0</v>
      </c>
      <c r="S1841" s="85"/>
      <c r="T1841" s="85"/>
      <c r="U1841" s="82"/>
      <c r="V1841" s="82"/>
      <c r="W1841" s="83"/>
      <c r="X1841" s="83"/>
      <c r="Y1841" s="83"/>
    </row>
    <row r="1842" spans="1:25" ht="13.8">
      <c r="A1842" s="78" t="str">
        <f ca="1">IFERROR(__xludf.DUMMYFUNCTION("""COMPUTED_VALUE"""),"SHB")</f>
        <v>SHB</v>
      </c>
      <c r="B1842" s="79" t="str">
        <f ca="1">IFERROR(__xludf.DUMMYFUNCTION("""COMPUTED_VALUE"""),"Azeria ""ZZ"" Arnic")</f>
        <v>Azeria "ZZ" Arnic</v>
      </c>
      <c r="C1842" s="78">
        <f ca="1">IFERROR(__xludf.DUMMYFUNCTION("""COMPUTED_VALUE"""),8)</f>
        <v>8</v>
      </c>
      <c r="D1842" s="78" t="str">
        <f ca="1">IFERROR(__xludf.DUMMYFUNCTION("""COMPUTED_VALUE"""),"G")</f>
        <v>G</v>
      </c>
      <c r="E1842" s="80" t="str">
        <f ca="1">IFERROR(__xludf.DUMMYFUNCTION("""COMPUTED_VALUE"""),"F")</f>
        <v>F</v>
      </c>
      <c r="F1842" s="80" t="str">
        <f ca="1">IFERROR(__xludf.DUMMYFUNCTION("""COMPUTED_VALUE"""),"J")</f>
        <v>J</v>
      </c>
      <c r="G1842" s="80">
        <f ca="1">IFERROR(__xludf.DUMMYFUNCTION("""COMPUTED_VALUE"""),5)</f>
        <v>5</v>
      </c>
      <c r="H1842" s="80" t="str">
        <f ca="1">IFERROR(__xludf.DUMMYFUNCTION("""COMPUTED_VALUE"""),"SHB")</f>
        <v>SHB</v>
      </c>
      <c r="I1842" s="80">
        <f ca="1">IFERROR(__xludf.DUMMYFUNCTION("""COMPUTED_VALUE"""),2)</f>
        <v>2</v>
      </c>
      <c r="J1842" s="85">
        <f ca="1">IFERROR(__xludf.DUMMYFUNCTION("""COMPUTED_VALUE"""),4)</f>
        <v>4</v>
      </c>
      <c r="K1842" s="85">
        <f ca="1">IFERROR(__xludf.DUMMYFUNCTION("""COMPUTED_VALUE"""),73.4)</f>
        <v>73.400000000000006</v>
      </c>
      <c r="L1842" s="85">
        <f ca="1">IFERROR(__xludf.DUMMYFUNCTION("""COMPUTED_VALUE"""),67.3)</f>
        <v>67.3</v>
      </c>
      <c r="M1842" s="85"/>
      <c r="N1842" s="85">
        <f ca="1">IFERROR(__xludf.DUMMYFUNCTION("""COMPUTED_VALUE"""),73.4)</f>
        <v>73.400000000000006</v>
      </c>
      <c r="O1842" s="85"/>
      <c r="P1842" s="85">
        <f ca="1">IFERROR(__xludf.DUMMYFUNCTION("""COMPUTED_VALUE"""),69.9)</f>
        <v>69.900000000000006</v>
      </c>
      <c r="Q1842" s="85"/>
      <c r="R1842" s="85">
        <f ca="1">IFERROR(__xludf.DUMMYFUNCTION("""COMPUTED_VALUE"""),0)</f>
        <v>0</v>
      </c>
      <c r="S1842" s="85"/>
      <c r="T1842" s="85"/>
      <c r="U1842" s="82"/>
      <c r="V1842" s="82"/>
      <c r="W1842" s="83"/>
      <c r="X1842" s="83"/>
      <c r="Y1842" s="83"/>
    </row>
    <row r="1843" spans="1:25" ht="13.8">
      <c r="A1843" s="78" t="str">
        <f ca="1">IFERROR(__xludf.DUMMYFUNCTION("""COMPUTED_VALUE"""),"SHB")</f>
        <v>SHB</v>
      </c>
      <c r="B1843" s="79" t="str">
        <f ca="1">IFERROR(__xludf.DUMMYFUNCTION("""COMPUTED_VALUE"""),"Emerson Cayetano")</f>
        <v>Emerson Cayetano</v>
      </c>
      <c r="C1843" s="78">
        <f ca="1">IFERROR(__xludf.DUMMYFUNCTION("""COMPUTED_VALUE"""),6)</f>
        <v>6</v>
      </c>
      <c r="D1843" s="78" t="str">
        <f ca="1">IFERROR(__xludf.DUMMYFUNCTION("""COMPUTED_VALUE"""),"G")</f>
        <v>G</v>
      </c>
      <c r="E1843" s="80" t="str">
        <f ca="1">IFERROR(__xludf.DUMMYFUNCTION("""COMPUTED_VALUE"""),"F")</f>
        <v>F</v>
      </c>
      <c r="F1843" s="80" t="str">
        <f ca="1">IFERROR(__xludf.DUMMYFUNCTION("""COMPUTED_VALUE"""),"J")</f>
        <v>J</v>
      </c>
      <c r="G1843" s="80">
        <f ca="1">IFERROR(__xludf.DUMMYFUNCTION("""COMPUTED_VALUE"""),5)</f>
        <v>5</v>
      </c>
      <c r="H1843" s="80" t="str">
        <f ca="1">IFERROR(__xludf.DUMMYFUNCTION("""COMPUTED_VALUE"""),"SHB")</f>
        <v>SHB</v>
      </c>
      <c r="I1843" s="80">
        <f ca="1">IFERROR(__xludf.DUMMYFUNCTION("""COMPUTED_VALUE"""),2)</f>
        <v>2</v>
      </c>
      <c r="J1843" s="85">
        <f ca="1">IFERROR(__xludf.DUMMYFUNCTION("""COMPUTED_VALUE"""),0)</f>
        <v>0</v>
      </c>
      <c r="K1843" s="85">
        <f ca="1">IFERROR(__xludf.DUMMYFUNCTION("""COMPUTED_VALUE"""),0)</f>
        <v>0</v>
      </c>
      <c r="L1843" s="85">
        <f ca="1">IFERROR(__xludf.DUMMYFUNCTION("""COMPUTED_VALUE"""),0)</f>
        <v>0</v>
      </c>
      <c r="M1843" s="85"/>
      <c r="N1843" s="85">
        <f ca="1">IFERROR(__xludf.DUMMYFUNCTION("""COMPUTED_VALUE"""),0)</f>
        <v>0</v>
      </c>
      <c r="O1843" s="85"/>
      <c r="P1843" s="85">
        <f ca="1">IFERROR(__xludf.DUMMYFUNCTION("""COMPUTED_VALUE"""),0)</f>
        <v>0</v>
      </c>
      <c r="Q1843" s="85"/>
      <c r="R1843" s="85">
        <f ca="1">IFERROR(__xludf.DUMMYFUNCTION("""COMPUTED_VALUE"""),0)</f>
        <v>0</v>
      </c>
      <c r="S1843" s="85"/>
      <c r="T1843" s="85"/>
      <c r="U1843" s="82"/>
      <c r="V1843" s="82"/>
      <c r="W1843" s="83"/>
      <c r="X1843" s="83"/>
      <c r="Y1843" s="83"/>
    </row>
    <row r="1844" spans="1:25" ht="13.8">
      <c r="A1844" s="78" t="str">
        <f ca="1">IFERROR(__xludf.DUMMYFUNCTION("""COMPUTED_VALUE"""),"SHB")</f>
        <v>SHB</v>
      </c>
      <c r="B1844" s="79" t="str">
        <f ca="1">IFERROR(__xludf.DUMMYFUNCTION("""COMPUTED_VALUE"""),"Riley Cayetano")</f>
        <v>Riley Cayetano</v>
      </c>
      <c r="C1844" s="78">
        <f ca="1">IFERROR(__xludf.DUMMYFUNCTION("""COMPUTED_VALUE"""),6)</f>
        <v>6</v>
      </c>
      <c r="D1844" s="78" t="str">
        <f ca="1">IFERROR(__xludf.DUMMYFUNCTION("""COMPUTED_VALUE"""),"G")</f>
        <v>G</v>
      </c>
      <c r="E1844" s="80" t="str">
        <f ca="1">IFERROR(__xludf.DUMMYFUNCTION("""COMPUTED_VALUE"""),"F")</f>
        <v>F</v>
      </c>
      <c r="F1844" s="80" t="str">
        <f ca="1">IFERROR(__xludf.DUMMYFUNCTION("""COMPUTED_VALUE"""),"J")</f>
        <v>J</v>
      </c>
      <c r="G1844" s="80">
        <f ca="1">IFERROR(__xludf.DUMMYFUNCTION("""COMPUTED_VALUE"""),5)</f>
        <v>5</v>
      </c>
      <c r="H1844" s="80" t="str">
        <f ca="1">IFERROR(__xludf.DUMMYFUNCTION("""COMPUTED_VALUE"""),"SHB")</f>
        <v>SHB</v>
      </c>
      <c r="I1844" s="80">
        <f ca="1">IFERROR(__xludf.DUMMYFUNCTION("""COMPUTED_VALUE"""),2)</f>
        <v>2</v>
      </c>
      <c r="J1844" s="85">
        <f ca="1">IFERROR(__xludf.DUMMYFUNCTION("""COMPUTED_VALUE"""),0)</f>
        <v>0</v>
      </c>
      <c r="K1844" s="85">
        <f ca="1">IFERROR(__xludf.DUMMYFUNCTION("""COMPUTED_VALUE"""),0)</f>
        <v>0</v>
      </c>
      <c r="L1844" s="85">
        <f ca="1">IFERROR(__xludf.DUMMYFUNCTION("""COMPUTED_VALUE"""),0)</f>
        <v>0</v>
      </c>
      <c r="M1844" s="85"/>
      <c r="N1844" s="85">
        <f ca="1">IFERROR(__xludf.DUMMYFUNCTION("""COMPUTED_VALUE"""),0)</f>
        <v>0</v>
      </c>
      <c r="O1844" s="85"/>
      <c r="P1844" s="85">
        <f ca="1">IFERROR(__xludf.DUMMYFUNCTION("""COMPUTED_VALUE"""),0)</f>
        <v>0</v>
      </c>
      <c r="Q1844" s="85"/>
      <c r="R1844" s="85">
        <f ca="1">IFERROR(__xludf.DUMMYFUNCTION("""COMPUTED_VALUE"""),0)</f>
        <v>0</v>
      </c>
      <c r="S1844" s="85"/>
      <c r="T1844" s="85"/>
      <c r="U1844" s="82"/>
      <c r="V1844" s="82"/>
      <c r="W1844" s="83"/>
      <c r="X1844" s="83"/>
      <c r="Y1844" s="83"/>
    </row>
    <row r="1845" spans="1:25" ht="13.8">
      <c r="A1845" s="78" t="str">
        <f ca="1">IFERROR(__xludf.DUMMYFUNCTION("""COMPUTED_VALUE"""),"SHB")</f>
        <v>SHB</v>
      </c>
      <c r="B1845" s="79" t="str">
        <f ca="1">IFERROR(__xludf.DUMMYFUNCTION("""COMPUTED_VALUE"""),"Hadley Chang")</f>
        <v>Hadley Chang</v>
      </c>
      <c r="C1845" s="78">
        <f ca="1">IFERROR(__xludf.DUMMYFUNCTION("""COMPUTED_VALUE"""),10)</f>
        <v>10</v>
      </c>
      <c r="D1845" s="78" t="str">
        <f ca="1">IFERROR(__xludf.DUMMYFUNCTION("""COMPUTED_VALUE"""),"G")</f>
        <v>G</v>
      </c>
      <c r="E1845" s="80" t="str">
        <f ca="1">IFERROR(__xludf.DUMMYFUNCTION("""COMPUTED_VALUE"""),"F")</f>
        <v>F</v>
      </c>
      <c r="F1845" s="80" t="str">
        <f ca="1">IFERROR(__xludf.DUMMYFUNCTION("""COMPUTED_VALUE"""),"J")</f>
        <v>J</v>
      </c>
      <c r="G1845" s="80">
        <f ca="1">IFERROR(__xludf.DUMMYFUNCTION("""COMPUTED_VALUE"""),5)</f>
        <v>5</v>
      </c>
      <c r="H1845" s="80" t="str">
        <f ca="1">IFERROR(__xludf.DUMMYFUNCTION("""COMPUTED_VALUE"""),"SHB")</f>
        <v>SHB</v>
      </c>
      <c r="I1845" s="80">
        <f ca="1">IFERROR(__xludf.DUMMYFUNCTION("""COMPUTED_VALUE"""),2)</f>
        <v>2</v>
      </c>
      <c r="J1845" s="85">
        <f ca="1">IFERROR(__xludf.DUMMYFUNCTION("""COMPUTED_VALUE"""),0)</f>
        <v>0</v>
      </c>
      <c r="K1845" s="85">
        <f ca="1">IFERROR(__xludf.DUMMYFUNCTION("""COMPUTED_VALUE"""),0)</f>
        <v>0</v>
      </c>
      <c r="L1845" s="85">
        <f ca="1">IFERROR(__xludf.DUMMYFUNCTION("""COMPUTED_VALUE"""),0)</f>
        <v>0</v>
      </c>
      <c r="M1845" s="85"/>
      <c r="N1845" s="85">
        <f ca="1">IFERROR(__xludf.DUMMYFUNCTION("""COMPUTED_VALUE"""),0)</f>
        <v>0</v>
      </c>
      <c r="O1845" s="85"/>
      <c r="P1845" s="85">
        <f ca="1">IFERROR(__xludf.DUMMYFUNCTION("""COMPUTED_VALUE"""),0)</f>
        <v>0</v>
      </c>
      <c r="Q1845" s="85"/>
      <c r="R1845" s="85">
        <f ca="1">IFERROR(__xludf.DUMMYFUNCTION("""COMPUTED_VALUE"""),0)</f>
        <v>0</v>
      </c>
      <c r="S1845" s="85"/>
      <c r="T1845" s="85"/>
      <c r="U1845" s="82"/>
      <c r="V1845" s="82"/>
      <c r="W1845" s="83"/>
      <c r="X1845" s="83"/>
      <c r="Y1845" s="83"/>
    </row>
    <row r="1846" spans="1:25" ht="13.8">
      <c r="A1846" s="78" t="str">
        <f ca="1">IFERROR(__xludf.DUMMYFUNCTION("""COMPUTED_VALUE"""),"SHB")</f>
        <v>SHB</v>
      </c>
      <c r="B1846" s="79" t="str">
        <f ca="1">IFERROR(__xludf.DUMMYFUNCTION("""COMPUTED_VALUE"""),"Sarah Chodos")</f>
        <v>Sarah Chodos</v>
      </c>
      <c r="C1846" s="78">
        <f ca="1">IFERROR(__xludf.DUMMYFUNCTION("""COMPUTED_VALUE"""),10)</f>
        <v>10</v>
      </c>
      <c r="D1846" s="78" t="str">
        <f ca="1">IFERROR(__xludf.DUMMYFUNCTION("""COMPUTED_VALUE"""),"G")</f>
        <v>G</v>
      </c>
      <c r="E1846" s="80" t="str">
        <f ca="1">IFERROR(__xludf.DUMMYFUNCTION("""COMPUTED_VALUE"""),"F")</f>
        <v>F</v>
      </c>
      <c r="F1846" s="80" t="str">
        <f ca="1">IFERROR(__xludf.DUMMYFUNCTION("""COMPUTED_VALUE"""),"J")</f>
        <v>J</v>
      </c>
      <c r="G1846" s="80">
        <f ca="1">IFERROR(__xludf.DUMMYFUNCTION("""COMPUTED_VALUE"""),5)</f>
        <v>5</v>
      </c>
      <c r="H1846" s="80" t="str">
        <f ca="1">IFERROR(__xludf.DUMMYFUNCTION("""COMPUTED_VALUE"""),"SHB")</f>
        <v>SHB</v>
      </c>
      <c r="I1846" s="80">
        <f ca="1">IFERROR(__xludf.DUMMYFUNCTION("""COMPUTED_VALUE"""),2)</f>
        <v>2</v>
      </c>
      <c r="J1846" s="85">
        <f ca="1">IFERROR(__xludf.DUMMYFUNCTION("""COMPUTED_VALUE"""),5)</f>
        <v>5</v>
      </c>
      <c r="K1846" s="85">
        <f ca="1">IFERROR(__xludf.DUMMYFUNCTION("""COMPUTED_VALUE"""),58.15)</f>
        <v>58.15</v>
      </c>
      <c r="L1846" s="85">
        <f ca="1">IFERROR(__xludf.DUMMYFUNCTION("""COMPUTED_VALUE"""),35.3)</f>
        <v>35.299999999999997</v>
      </c>
      <c r="M1846" s="85"/>
      <c r="N1846" s="85">
        <f ca="1">IFERROR(__xludf.DUMMYFUNCTION("""COMPUTED_VALUE"""),36.1)</f>
        <v>36.1</v>
      </c>
      <c r="O1846" s="85"/>
      <c r="P1846" s="85">
        <f ca="1">IFERROR(__xludf.DUMMYFUNCTION("""COMPUTED_VALUE"""),43.35)</f>
        <v>43.35</v>
      </c>
      <c r="Q1846" s="85"/>
      <c r="R1846" s="85">
        <f ca="1">IFERROR(__xludf.DUMMYFUNCTION("""COMPUTED_VALUE"""),58.15)</f>
        <v>58.15</v>
      </c>
      <c r="S1846" s="85"/>
      <c r="T1846" s="85"/>
      <c r="U1846" s="82"/>
      <c r="V1846" s="82"/>
      <c r="W1846" s="83"/>
      <c r="X1846" s="83"/>
      <c r="Y1846" s="83"/>
    </row>
    <row r="1847" spans="1:25" ht="13.8">
      <c r="A1847" s="78" t="str">
        <f ca="1">IFERROR(__xludf.DUMMYFUNCTION("""COMPUTED_VALUE"""),"SHB")</f>
        <v>SHB</v>
      </c>
      <c r="B1847" s="79" t="str">
        <f ca="1">IFERROR(__xludf.DUMMYFUNCTION("""COMPUTED_VALUE"""),"Isabel Compher")</f>
        <v>Isabel Compher</v>
      </c>
      <c r="C1847" s="78">
        <f ca="1">IFERROR(__xludf.DUMMYFUNCTION("""COMPUTED_VALUE"""),9)</f>
        <v>9</v>
      </c>
      <c r="D1847" s="78" t="str">
        <f ca="1">IFERROR(__xludf.DUMMYFUNCTION("""COMPUTED_VALUE"""),"G")</f>
        <v>G</v>
      </c>
      <c r="E1847" s="80" t="str">
        <f ca="1">IFERROR(__xludf.DUMMYFUNCTION("""COMPUTED_VALUE"""),"F")</f>
        <v>F</v>
      </c>
      <c r="F1847" s="80" t="str">
        <f ca="1">IFERROR(__xludf.DUMMYFUNCTION("""COMPUTED_VALUE"""),"J")</f>
        <v>J</v>
      </c>
      <c r="G1847" s="80">
        <f ca="1">IFERROR(__xludf.DUMMYFUNCTION("""COMPUTED_VALUE"""),5)</f>
        <v>5</v>
      </c>
      <c r="H1847" s="80" t="str">
        <f ca="1">IFERROR(__xludf.DUMMYFUNCTION("""COMPUTED_VALUE"""),"SHB")</f>
        <v>SHB</v>
      </c>
      <c r="I1847" s="80">
        <f ca="1">IFERROR(__xludf.DUMMYFUNCTION("""COMPUTED_VALUE"""),2)</f>
        <v>2</v>
      </c>
      <c r="J1847" s="85">
        <f ca="1">IFERROR(__xludf.DUMMYFUNCTION("""COMPUTED_VALUE"""),0)</f>
        <v>0</v>
      </c>
      <c r="K1847" s="85">
        <f ca="1">IFERROR(__xludf.DUMMYFUNCTION("""COMPUTED_VALUE"""),0)</f>
        <v>0</v>
      </c>
      <c r="L1847" s="85">
        <f ca="1">IFERROR(__xludf.DUMMYFUNCTION("""COMPUTED_VALUE"""),0)</f>
        <v>0</v>
      </c>
      <c r="M1847" s="85"/>
      <c r="N1847" s="85">
        <f ca="1">IFERROR(__xludf.DUMMYFUNCTION("""COMPUTED_VALUE"""),0)</f>
        <v>0</v>
      </c>
      <c r="O1847" s="85"/>
      <c r="P1847" s="85">
        <f ca="1">IFERROR(__xludf.DUMMYFUNCTION("""COMPUTED_VALUE"""),0)</f>
        <v>0</v>
      </c>
      <c r="Q1847" s="85"/>
      <c r="R1847" s="85">
        <f ca="1">IFERROR(__xludf.DUMMYFUNCTION("""COMPUTED_VALUE"""),0)</f>
        <v>0</v>
      </c>
      <c r="S1847" s="85"/>
      <c r="T1847" s="85"/>
      <c r="U1847" s="82"/>
      <c r="V1847" s="82"/>
      <c r="W1847" s="83"/>
      <c r="X1847" s="83"/>
      <c r="Y1847" s="83"/>
    </row>
    <row r="1848" spans="1:25" ht="13.8">
      <c r="A1848" s="78" t="str">
        <f ca="1">IFERROR(__xludf.DUMMYFUNCTION("""COMPUTED_VALUE"""),"SHB")</f>
        <v>SHB</v>
      </c>
      <c r="B1848" s="79" t="str">
        <f ca="1">IFERROR(__xludf.DUMMYFUNCTION("""COMPUTED_VALUE"""),"Angelina katsas")</f>
        <v>Angelina katsas</v>
      </c>
      <c r="C1848" s="78">
        <f ca="1">IFERROR(__xludf.DUMMYFUNCTION("""COMPUTED_VALUE"""),8)</f>
        <v>8</v>
      </c>
      <c r="D1848" s="78" t="str">
        <f ca="1">IFERROR(__xludf.DUMMYFUNCTION("""COMPUTED_VALUE"""),"G")</f>
        <v>G</v>
      </c>
      <c r="E1848" s="80" t="str">
        <f ca="1">IFERROR(__xludf.DUMMYFUNCTION("""COMPUTED_VALUE"""),"F")</f>
        <v>F</v>
      </c>
      <c r="F1848" s="80" t="str">
        <f ca="1">IFERROR(__xludf.DUMMYFUNCTION("""COMPUTED_VALUE"""),"J")</f>
        <v>J</v>
      </c>
      <c r="G1848" s="80">
        <f ca="1">IFERROR(__xludf.DUMMYFUNCTION("""COMPUTED_VALUE"""),5)</f>
        <v>5</v>
      </c>
      <c r="H1848" s="80" t="str">
        <f ca="1">IFERROR(__xludf.DUMMYFUNCTION("""COMPUTED_VALUE"""),"SHB")</f>
        <v>SHB</v>
      </c>
      <c r="I1848" s="80">
        <f ca="1">IFERROR(__xludf.DUMMYFUNCTION("""COMPUTED_VALUE"""),2)</f>
        <v>2</v>
      </c>
      <c r="J1848" s="85">
        <f ca="1">IFERROR(__xludf.DUMMYFUNCTION("""COMPUTED_VALUE"""),4)</f>
        <v>4</v>
      </c>
      <c r="K1848" s="85">
        <f ca="1">IFERROR(__xludf.DUMMYFUNCTION("""COMPUTED_VALUE"""),37.85)</f>
        <v>37.85</v>
      </c>
      <c r="L1848" s="85">
        <f ca="1">IFERROR(__xludf.DUMMYFUNCTION("""COMPUTED_VALUE"""),29.7)</f>
        <v>29.7</v>
      </c>
      <c r="M1848" s="85"/>
      <c r="N1848" s="85">
        <f ca="1">IFERROR(__xludf.DUMMYFUNCTION("""COMPUTED_VALUE"""),37.85)</f>
        <v>37.85</v>
      </c>
      <c r="O1848" s="85"/>
      <c r="P1848" s="85">
        <f ca="1">IFERROR(__xludf.DUMMYFUNCTION("""COMPUTED_VALUE"""),26.1)</f>
        <v>26.1</v>
      </c>
      <c r="Q1848" s="85"/>
      <c r="R1848" s="85">
        <f ca="1">IFERROR(__xludf.DUMMYFUNCTION("""COMPUTED_VALUE"""),0)</f>
        <v>0</v>
      </c>
      <c r="S1848" s="85"/>
      <c r="T1848" s="85"/>
      <c r="U1848" s="82"/>
      <c r="V1848" s="82"/>
      <c r="W1848" s="83"/>
      <c r="X1848" s="83"/>
      <c r="Y1848" s="83"/>
    </row>
    <row r="1849" spans="1:25" ht="13.8">
      <c r="A1849" s="78" t="str">
        <f ca="1">IFERROR(__xludf.DUMMYFUNCTION("""COMPUTED_VALUE"""),"SHB")</f>
        <v>SHB</v>
      </c>
      <c r="B1849" s="79" t="str">
        <f ca="1">IFERROR(__xludf.DUMMYFUNCTION("""COMPUTED_VALUE"""),"Hillary Mitchell")</f>
        <v>Hillary Mitchell</v>
      </c>
      <c r="C1849" s="78">
        <f ca="1">IFERROR(__xludf.DUMMYFUNCTION("""COMPUTED_VALUE"""),9)</f>
        <v>9</v>
      </c>
      <c r="D1849" s="78" t="str">
        <f ca="1">IFERROR(__xludf.DUMMYFUNCTION("""COMPUTED_VALUE"""),"G")</f>
        <v>G</v>
      </c>
      <c r="E1849" s="80" t="str">
        <f ca="1">IFERROR(__xludf.DUMMYFUNCTION("""COMPUTED_VALUE"""),"F")</f>
        <v>F</v>
      </c>
      <c r="F1849" s="80" t="str">
        <f ca="1">IFERROR(__xludf.DUMMYFUNCTION("""COMPUTED_VALUE"""),"J")</f>
        <v>J</v>
      </c>
      <c r="G1849" s="80">
        <f ca="1">IFERROR(__xludf.DUMMYFUNCTION("""COMPUTED_VALUE"""),5)</f>
        <v>5</v>
      </c>
      <c r="H1849" s="80" t="str">
        <f ca="1">IFERROR(__xludf.DUMMYFUNCTION("""COMPUTED_VALUE"""),"SHB")</f>
        <v>SHB</v>
      </c>
      <c r="I1849" s="80">
        <f ca="1">IFERROR(__xludf.DUMMYFUNCTION("""COMPUTED_VALUE"""),2)</f>
        <v>2</v>
      </c>
      <c r="J1849" s="85">
        <f ca="1">IFERROR(__xludf.DUMMYFUNCTION("""COMPUTED_VALUE"""),0)</f>
        <v>0</v>
      </c>
      <c r="K1849" s="85">
        <f ca="1">IFERROR(__xludf.DUMMYFUNCTION("""COMPUTED_VALUE"""),0)</f>
        <v>0</v>
      </c>
      <c r="L1849" s="85">
        <f ca="1">IFERROR(__xludf.DUMMYFUNCTION("""COMPUTED_VALUE"""),0)</f>
        <v>0</v>
      </c>
      <c r="M1849" s="85"/>
      <c r="N1849" s="85">
        <f ca="1">IFERROR(__xludf.DUMMYFUNCTION("""COMPUTED_VALUE"""),0)</f>
        <v>0</v>
      </c>
      <c r="O1849" s="85"/>
      <c r="P1849" s="85">
        <f ca="1">IFERROR(__xludf.DUMMYFUNCTION("""COMPUTED_VALUE"""),0)</f>
        <v>0</v>
      </c>
      <c r="Q1849" s="85"/>
      <c r="R1849" s="85">
        <f ca="1">IFERROR(__xludf.DUMMYFUNCTION("""COMPUTED_VALUE"""),0)</f>
        <v>0</v>
      </c>
      <c r="S1849" s="85"/>
      <c r="T1849" s="85"/>
      <c r="U1849" s="82"/>
      <c r="V1849" s="82"/>
      <c r="W1849" s="83"/>
      <c r="X1849" s="83"/>
      <c r="Y1849" s="83"/>
    </row>
    <row r="1850" spans="1:25" ht="13.8">
      <c r="A1850" s="78" t="str">
        <f ca="1">IFERROR(__xludf.DUMMYFUNCTION("""COMPUTED_VALUE"""),"SHB")</f>
        <v>SHB</v>
      </c>
      <c r="B1850" s="79" t="str">
        <f ca="1">IFERROR(__xludf.DUMMYFUNCTION("""COMPUTED_VALUE"""),"Maya Orlova")</f>
        <v>Maya Orlova</v>
      </c>
      <c r="C1850" s="78">
        <f ca="1">IFERROR(__xludf.DUMMYFUNCTION("""COMPUTED_VALUE"""),9)</f>
        <v>9</v>
      </c>
      <c r="D1850" s="78" t="str">
        <f ca="1">IFERROR(__xludf.DUMMYFUNCTION("""COMPUTED_VALUE"""),"G")</f>
        <v>G</v>
      </c>
      <c r="E1850" s="80" t="str">
        <f ca="1">IFERROR(__xludf.DUMMYFUNCTION("""COMPUTED_VALUE"""),"F")</f>
        <v>F</v>
      </c>
      <c r="F1850" s="80" t="str">
        <f ca="1">IFERROR(__xludf.DUMMYFUNCTION("""COMPUTED_VALUE"""),"J")</f>
        <v>J</v>
      </c>
      <c r="G1850" s="80">
        <f ca="1">IFERROR(__xludf.DUMMYFUNCTION("""COMPUTED_VALUE"""),5)</f>
        <v>5</v>
      </c>
      <c r="H1850" s="80" t="str">
        <f ca="1">IFERROR(__xludf.DUMMYFUNCTION("""COMPUTED_VALUE"""),"SHB")</f>
        <v>SHB</v>
      </c>
      <c r="I1850" s="80">
        <f ca="1">IFERROR(__xludf.DUMMYFUNCTION("""COMPUTED_VALUE"""),2)</f>
        <v>2</v>
      </c>
      <c r="J1850" s="85">
        <f ca="1">IFERROR(__xludf.DUMMYFUNCTION("""COMPUTED_VALUE"""),5)</f>
        <v>5</v>
      </c>
      <c r="K1850" s="85">
        <f ca="1">IFERROR(__xludf.DUMMYFUNCTION("""COMPUTED_VALUE"""),58.6)</f>
        <v>58.6</v>
      </c>
      <c r="L1850" s="85">
        <f ca="1">IFERROR(__xludf.DUMMYFUNCTION("""COMPUTED_VALUE"""),40)</f>
        <v>40</v>
      </c>
      <c r="M1850" s="85"/>
      <c r="N1850" s="85">
        <f ca="1">IFERROR(__xludf.DUMMYFUNCTION("""COMPUTED_VALUE"""),48.5)</f>
        <v>48.5</v>
      </c>
      <c r="O1850" s="85"/>
      <c r="P1850" s="85">
        <f ca="1">IFERROR(__xludf.DUMMYFUNCTION("""COMPUTED_VALUE"""),46.1)</f>
        <v>46.1</v>
      </c>
      <c r="Q1850" s="85"/>
      <c r="R1850" s="85">
        <f ca="1">IFERROR(__xludf.DUMMYFUNCTION("""COMPUTED_VALUE"""),58.6)</f>
        <v>58.6</v>
      </c>
      <c r="S1850" s="85"/>
      <c r="T1850" s="85"/>
      <c r="U1850" s="82"/>
      <c r="V1850" s="82"/>
      <c r="W1850" s="83"/>
      <c r="X1850" s="83"/>
      <c r="Y1850" s="83"/>
    </row>
    <row r="1851" spans="1:25" ht="13.8">
      <c r="A1851" s="78" t="str">
        <f ca="1">IFERROR(__xludf.DUMMYFUNCTION("""COMPUTED_VALUE"""),"SHB")</f>
        <v>SHB</v>
      </c>
      <c r="B1851" s="79" t="str">
        <f ca="1">IFERROR(__xludf.DUMMYFUNCTION("""COMPUTED_VALUE"""),"Harper Pham")</f>
        <v>Harper Pham</v>
      </c>
      <c r="C1851" s="78">
        <f ca="1">IFERROR(__xludf.DUMMYFUNCTION("""COMPUTED_VALUE"""),8)</f>
        <v>8</v>
      </c>
      <c r="D1851" s="78" t="str">
        <f ca="1">IFERROR(__xludf.DUMMYFUNCTION("""COMPUTED_VALUE"""),"G")</f>
        <v>G</v>
      </c>
      <c r="E1851" s="80" t="str">
        <f ca="1">IFERROR(__xludf.DUMMYFUNCTION("""COMPUTED_VALUE"""),"F")</f>
        <v>F</v>
      </c>
      <c r="F1851" s="80" t="str">
        <f ca="1">IFERROR(__xludf.DUMMYFUNCTION("""COMPUTED_VALUE"""),"J")</f>
        <v>J</v>
      </c>
      <c r="G1851" s="80">
        <f ca="1">IFERROR(__xludf.DUMMYFUNCTION("""COMPUTED_VALUE"""),5)</f>
        <v>5</v>
      </c>
      <c r="H1851" s="80" t="str">
        <f ca="1">IFERROR(__xludf.DUMMYFUNCTION("""COMPUTED_VALUE"""),"SHB")</f>
        <v>SHB</v>
      </c>
      <c r="I1851" s="80">
        <f ca="1">IFERROR(__xludf.DUMMYFUNCTION("""COMPUTED_VALUE"""),2)</f>
        <v>2</v>
      </c>
      <c r="J1851" s="85">
        <f ca="1">IFERROR(__xludf.DUMMYFUNCTION("""COMPUTED_VALUE"""),0)</f>
        <v>0</v>
      </c>
      <c r="K1851" s="85">
        <f ca="1">IFERROR(__xludf.DUMMYFUNCTION("""COMPUTED_VALUE"""),0)</f>
        <v>0</v>
      </c>
      <c r="L1851" s="85">
        <f ca="1">IFERROR(__xludf.DUMMYFUNCTION("""COMPUTED_VALUE"""),0)</f>
        <v>0</v>
      </c>
      <c r="M1851" s="85"/>
      <c r="N1851" s="85">
        <f ca="1">IFERROR(__xludf.DUMMYFUNCTION("""COMPUTED_VALUE"""),0)</f>
        <v>0</v>
      </c>
      <c r="O1851" s="85"/>
      <c r="P1851" s="85">
        <f ca="1">IFERROR(__xludf.DUMMYFUNCTION("""COMPUTED_VALUE"""),0)</f>
        <v>0</v>
      </c>
      <c r="Q1851" s="85"/>
      <c r="R1851" s="85">
        <f ca="1">IFERROR(__xludf.DUMMYFUNCTION("""COMPUTED_VALUE"""),0)</f>
        <v>0</v>
      </c>
      <c r="S1851" s="85"/>
      <c r="T1851" s="85"/>
      <c r="U1851" s="82"/>
      <c r="V1851" s="82"/>
      <c r="W1851" s="83"/>
      <c r="X1851" s="83"/>
      <c r="Y1851" s="83"/>
    </row>
    <row r="1852" spans="1:25" ht="13.8">
      <c r="A1852" s="78" t="str">
        <f ca="1">IFERROR(__xludf.DUMMYFUNCTION("""COMPUTED_VALUE"""),"SHB")</f>
        <v>SHB</v>
      </c>
      <c r="B1852" s="79" t="str">
        <f ca="1">IFERROR(__xludf.DUMMYFUNCTION("""COMPUTED_VALUE"""),"Emma Radich")</f>
        <v>Emma Radich</v>
      </c>
      <c r="C1852" s="78">
        <f ca="1">IFERROR(__xludf.DUMMYFUNCTION("""COMPUTED_VALUE"""),7)</f>
        <v>7</v>
      </c>
      <c r="D1852" s="78" t="str">
        <f ca="1">IFERROR(__xludf.DUMMYFUNCTION("""COMPUTED_VALUE"""),"G")</f>
        <v>G</v>
      </c>
      <c r="E1852" s="80" t="str">
        <f ca="1">IFERROR(__xludf.DUMMYFUNCTION("""COMPUTED_VALUE"""),"F")</f>
        <v>F</v>
      </c>
      <c r="F1852" s="80" t="str">
        <f ca="1">IFERROR(__xludf.DUMMYFUNCTION("""COMPUTED_VALUE"""),"J")</f>
        <v>J</v>
      </c>
      <c r="G1852" s="80">
        <f ca="1">IFERROR(__xludf.DUMMYFUNCTION("""COMPUTED_VALUE"""),5)</f>
        <v>5</v>
      </c>
      <c r="H1852" s="80" t="str">
        <f ca="1">IFERROR(__xludf.DUMMYFUNCTION("""COMPUTED_VALUE"""),"SHB")</f>
        <v>SHB</v>
      </c>
      <c r="I1852" s="80">
        <f ca="1">IFERROR(__xludf.DUMMYFUNCTION("""COMPUTED_VALUE"""),2)</f>
        <v>2</v>
      </c>
      <c r="J1852" s="85">
        <f ca="1">IFERROR(__xludf.DUMMYFUNCTION("""COMPUTED_VALUE"""),0)</f>
        <v>0</v>
      </c>
      <c r="K1852" s="85">
        <f ca="1">IFERROR(__xludf.DUMMYFUNCTION("""COMPUTED_VALUE"""),0)</f>
        <v>0</v>
      </c>
      <c r="L1852" s="85">
        <f ca="1">IFERROR(__xludf.DUMMYFUNCTION("""COMPUTED_VALUE"""),0)</f>
        <v>0</v>
      </c>
      <c r="M1852" s="85"/>
      <c r="N1852" s="85">
        <f ca="1">IFERROR(__xludf.DUMMYFUNCTION("""COMPUTED_VALUE"""),0)</f>
        <v>0</v>
      </c>
      <c r="O1852" s="85"/>
      <c r="P1852" s="85">
        <f ca="1">IFERROR(__xludf.DUMMYFUNCTION("""COMPUTED_VALUE"""),0)</f>
        <v>0</v>
      </c>
      <c r="Q1852" s="85"/>
      <c r="R1852" s="85">
        <f ca="1">IFERROR(__xludf.DUMMYFUNCTION("""COMPUTED_VALUE"""),0)</f>
        <v>0</v>
      </c>
      <c r="S1852" s="85"/>
      <c r="T1852" s="85"/>
      <c r="U1852" s="82"/>
      <c r="V1852" s="82"/>
      <c r="W1852" s="83"/>
      <c r="X1852" s="83"/>
      <c r="Y1852" s="83"/>
    </row>
    <row r="1853" spans="1:25" ht="13.8">
      <c r="A1853" s="78" t="str">
        <f ca="1">IFERROR(__xludf.DUMMYFUNCTION("""COMPUTED_VALUE"""),"SHB")</f>
        <v>SHB</v>
      </c>
      <c r="B1853" s="79" t="str">
        <f ca="1">IFERROR(__xludf.DUMMYFUNCTION("""COMPUTED_VALUE"""),"Julie Rosenbaum")</f>
        <v>Julie Rosenbaum</v>
      </c>
      <c r="C1853" s="78">
        <f ca="1">IFERROR(__xludf.DUMMYFUNCTION("""COMPUTED_VALUE"""),7)</f>
        <v>7</v>
      </c>
      <c r="D1853" s="78" t="str">
        <f ca="1">IFERROR(__xludf.DUMMYFUNCTION("""COMPUTED_VALUE"""),"G")</f>
        <v>G</v>
      </c>
      <c r="E1853" s="80" t="str">
        <f ca="1">IFERROR(__xludf.DUMMYFUNCTION("""COMPUTED_VALUE"""),"F")</f>
        <v>F</v>
      </c>
      <c r="F1853" s="80" t="str">
        <f ca="1">IFERROR(__xludf.DUMMYFUNCTION("""COMPUTED_VALUE"""),"J")</f>
        <v>J</v>
      </c>
      <c r="G1853" s="80">
        <f ca="1">IFERROR(__xludf.DUMMYFUNCTION("""COMPUTED_VALUE"""),5)</f>
        <v>5</v>
      </c>
      <c r="H1853" s="80" t="str">
        <f ca="1">IFERROR(__xludf.DUMMYFUNCTION("""COMPUTED_VALUE"""),"SHB")</f>
        <v>SHB</v>
      </c>
      <c r="I1853" s="80">
        <f ca="1">IFERROR(__xludf.DUMMYFUNCTION("""COMPUTED_VALUE"""),2)</f>
        <v>2</v>
      </c>
      <c r="J1853" s="85">
        <f ca="1">IFERROR(__xludf.DUMMYFUNCTION("""COMPUTED_VALUE"""),0)</f>
        <v>0</v>
      </c>
      <c r="K1853" s="85">
        <f ca="1">IFERROR(__xludf.DUMMYFUNCTION("""COMPUTED_VALUE"""),0)</f>
        <v>0</v>
      </c>
      <c r="L1853" s="85">
        <f ca="1">IFERROR(__xludf.DUMMYFUNCTION("""COMPUTED_VALUE"""),0)</f>
        <v>0</v>
      </c>
      <c r="M1853" s="85"/>
      <c r="N1853" s="85">
        <f ca="1">IFERROR(__xludf.DUMMYFUNCTION("""COMPUTED_VALUE"""),0)</f>
        <v>0</v>
      </c>
      <c r="O1853" s="85"/>
      <c r="P1853" s="85">
        <f ca="1">IFERROR(__xludf.DUMMYFUNCTION("""COMPUTED_VALUE"""),0)</f>
        <v>0</v>
      </c>
      <c r="Q1853" s="85"/>
      <c r="R1853" s="85">
        <f ca="1">IFERROR(__xludf.DUMMYFUNCTION("""COMPUTED_VALUE"""),0)</f>
        <v>0</v>
      </c>
      <c r="S1853" s="85"/>
      <c r="T1853" s="85"/>
      <c r="U1853" s="82"/>
      <c r="V1853" s="82"/>
      <c r="W1853" s="83"/>
      <c r="X1853" s="83"/>
      <c r="Y1853" s="83"/>
    </row>
    <row r="1854" spans="1:25" ht="13.8">
      <c r="A1854" s="78" t="str">
        <f ca="1">IFERROR(__xludf.DUMMYFUNCTION("""COMPUTED_VALUE"""),"SHB")</f>
        <v>SHB</v>
      </c>
      <c r="B1854" s="79" t="str">
        <f ca="1">IFERROR(__xludf.DUMMYFUNCTION("""COMPUTED_VALUE"""),"Abigail Sisson")</f>
        <v>Abigail Sisson</v>
      </c>
      <c r="C1854" s="78">
        <f ca="1">IFERROR(__xludf.DUMMYFUNCTION("""COMPUTED_VALUE"""),10)</f>
        <v>10</v>
      </c>
      <c r="D1854" s="78" t="str">
        <f ca="1">IFERROR(__xludf.DUMMYFUNCTION("""COMPUTED_VALUE"""),"G")</f>
        <v>G</v>
      </c>
      <c r="E1854" s="80" t="str">
        <f ca="1">IFERROR(__xludf.DUMMYFUNCTION("""COMPUTED_VALUE"""),"F")</f>
        <v>F</v>
      </c>
      <c r="F1854" s="80" t="str">
        <f ca="1">IFERROR(__xludf.DUMMYFUNCTION("""COMPUTED_VALUE"""),"J")</f>
        <v>J</v>
      </c>
      <c r="G1854" s="80">
        <f ca="1">IFERROR(__xludf.DUMMYFUNCTION("""COMPUTED_VALUE"""),5)</f>
        <v>5</v>
      </c>
      <c r="H1854" s="80" t="str">
        <f ca="1">IFERROR(__xludf.DUMMYFUNCTION("""COMPUTED_VALUE"""),"SHB")</f>
        <v>SHB</v>
      </c>
      <c r="I1854" s="80">
        <f ca="1">IFERROR(__xludf.DUMMYFUNCTION("""COMPUTED_VALUE"""),2)</f>
        <v>2</v>
      </c>
      <c r="J1854" s="85">
        <f ca="1">IFERROR(__xludf.DUMMYFUNCTION("""COMPUTED_VALUE"""),0)</f>
        <v>0</v>
      </c>
      <c r="K1854" s="85">
        <f ca="1">IFERROR(__xludf.DUMMYFUNCTION("""COMPUTED_VALUE"""),0)</f>
        <v>0</v>
      </c>
      <c r="L1854" s="85">
        <f ca="1">IFERROR(__xludf.DUMMYFUNCTION("""COMPUTED_VALUE"""),0)</f>
        <v>0</v>
      </c>
      <c r="M1854" s="85"/>
      <c r="N1854" s="85">
        <f ca="1">IFERROR(__xludf.DUMMYFUNCTION("""COMPUTED_VALUE"""),0)</f>
        <v>0</v>
      </c>
      <c r="O1854" s="85"/>
      <c r="P1854" s="85">
        <f ca="1">IFERROR(__xludf.DUMMYFUNCTION("""COMPUTED_VALUE"""),0)</f>
        <v>0</v>
      </c>
      <c r="Q1854" s="85"/>
      <c r="R1854" s="85">
        <f ca="1">IFERROR(__xludf.DUMMYFUNCTION("""COMPUTED_VALUE"""),0)</f>
        <v>0</v>
      </c>
      <c r="S1854" s="85"/>
      <c r="T1854" s="85"/>
      <c r="U1854" s="82"/>
      <c r="V1854" s="82"/>
      <c r="W1854" s="83"/>
      <c r="X1854" s="83"/>
      <c r="Y1854" s="83"/>
    </row>
    <row r="1855" spans="1:25" ht="13.8">
      <c r="A1855" s="78" t="str">
        <f ca="1">IFERROR(__xludf.DUMMYFUNCTION("""COMPUTED_VALUE"""),"SHB")</f>
        <v>SHB</v>
      </c>
      <c r="B1855" s="79" t="str">
        <f ca="1">IFERROR(__xludf.DUMMYFUNCTION("""COMPUTED_VALUE"""),"Hannah Taggart")</f>
        <v>Hannah Taggart</v>
      </c>
      <c r="C1855" s="78">
        <f ca="1">IFERROR(__xludf.DUMMYFUNCTION("""COMPUTED_VALUE"""),8)</f>
        <v>8</v>
      </c>
      <c r="D1855" s="78" t="str">
        <f ca="1">IFERROR(__xludf.DUMMYFUNCTION("""COMPUTED_VALUE"""),"G")</f>
        <v>G</v>
      </c>
      <c r="E1855" s="80" t="str">
        <f ca="1">IFERROR(__xludf.DUMMYFUNCTION("""COMPUTED_VALUE"""),"F")</f>
        <v>F</v>
      </c>
      <c r="F1855" s="80" t="str">
        <f ca="1">IFERROR(__xludf.DUMMYFUNCTION("""COMPUTED_VALUE"""),"J")</f>
        <v>J</v>
      </c>
      <c r="G1855" s="80">
        <f ca="1">IFERROR(__xludf.DUMMYFUNCTION("""COMPUTED_VALUE"""),5)</f>
        <v>5</v>
      </c>
      <c r="H1855" s="80" t="str">
        <f ca="1">IFERROR(__xludf.DUMMYFUNCTION("""COMPUTED_VALUE"""),"SHB")</f>
        <v>SHB</v>
      </c>
      <c r="I1855" s="80">
        <f ca="1">IFERROR(__xludf.DUMMYFUNCTION("""COMPUTED_VALUE"""),2)</f>
        <v>2</v>
      </c>
      <c r="J1855" s="85">
        <f ca="1">IFERROR(__xludf.DUMMYFUNCTION("""COMPUTED_VALUE"""),0)</f>
        <v>0</v>
      </c>
      <c r="K1855" s="85">
        <f ca="1">IFERROR(__xludf.DUMMYFUNCTION("""COMPUTED_VALUE"""),0)</f>
        <v>0</v>
      </c>
      <c r="L1855" s="85">
        <f ca="1">IFERROR(__xludf.DUMMYFUNCTION("""COMPUTED_VALUE"""),0)</f>
        <v>0</v>
      </c>
      <c r="M1855" s="85"/>
      <c r="N1855" s="85">
        <f ca="1">IFERROR(__xludf.DUMMYFUNCTION("""COMPUTED_VALUE"""),0)</f>
        <v>0</v>
      </c>
      <c r="O1855" s="85"/>
      <c r="P1855" s="85">
        <f ca="1">IFERROR(__xludf.DUMMYFUNCTION("""COMPUTED_VALUE"""),0)</f>
        <v>0</v>
      </c>
      <c r="Q1855" s="85"/>
      <c r="R1855" s="85">
        <f ca="1">IFERROR(__xludf.DUMMYFUNCTION("""COMPUTED_VALUE"""),0)</f>
        <v>0</v>
      </c>
      <c r="S1855" s="85"/>
      <c r="T1855" s="85"/>
      <c r="U1855" s="82"/>
      <c r="V1855" s="82"/>
      <c r="W1855" s="83"/>
      <c r="X1855" s="83"/>
      <c r="Y1855" s="83"/>
    </row>
    <row r="1856" spans="1:25" ht="13.8">
      <c r="A1856" s="78" t="str">
        <f ca="1">IFERROR(__xludf.DUMMYFUNCTION("""COMPUTED_VALUE"""),"SHB")</f>
        <v>SHB</v>
      </c>
      <c r="B1856" s="79" t="str">
        <f ca="1">IFERROR(__xludf.DUMMYFUNCTION("""COMPUTED_VALUE"""),"Avery Vorndran")</f>
        <v>Avery Vorndran</v>
      </c>
      <c r="C1856" s="78">
        <f ca="1">IFERROR(__xludf.DUMMYFUNCTION("""COMPUTED_VALUE"""),9)</f>
        <v>9</v>
      </c>
      <c r="D1856" s="78" t="str">
        <f ca="1">IFERROR(__xludf.DUMMYFUNCTION("""COMPUTED_VALUE"""),"G")</f>
        <v>G</v>
      </c>
      <c r="E1856" s="80" t="str">
        <f ca="1">IFERROR(__xludf.DUMMYFUNCTION("""COMPUTED_VALUE"""),"F")</f>
        <v>F</v>
      </c>
      <c r="F1856" s="80" t="str">
        <f ca="1">IFERROR(__xludf.DUMMYFUNCTION("""COMPUTED_VALUE"""),"J")</f>
        <v>J</v>
      </c>
      <c r="G1856" s="80">
        <f ca="1">IFERROR(__xludf.DUMMYFUNCTION("""COMPUTED_VALUE"""),5)</f>
        <v>5</v>
      </c>
      <c r="H1856" s="80" t="str">
        <f ca="1">IFERROR(__xludf.DUMMYFUNCTION("""COMPUTED_VALUE"""),"SHB")</f>
        <v>SHB</v>
      </c>
      <c r="I1856" s="80">
        <f ca="1">IFERROR(__xludf.DUMMYFUNCTION("""COMPUTED_VALUE"""),2)</f>
        <v>2</v>
      </c>
      <c r="J1856" s="85">
        <f ca="1">IFERROR(__xludf.DUMMYFUNCTION("""COMPUTED_VALUE"""),0)</f>
        <v>0</v>
      </c>
      <c r="K1856" s="85">
        <f ca="1">IFERROR(__xludf.DUMMYFUNCTION("""COMPUTED_VALUE"""),0)</f>
        <v>0</v>
      </c>
      <c r="L1856" s="85">
        <f ca="1">IFERROR(__xludf.DUMMYFUNCTION("""COMPUTED_VALUE"""),0)</f>
        <v>0</v>
      </c>
      <c r="M1856" s="85"/>
      <c r="N1856" s="85">
        <f ca="1">IFERROR(__xludf.DUMMYFUNCTION("""COMPUTED_VALUE"""),0)</f>
        <v>0</v>
      </c>
      <c r="O1856" s="85"/>
      <c r="P1856" s="85">
        <f ca="1">IFERROR(__xludf.DUMMYFUNCTION("""COMPUTED_VALUE"""),0)</f>
        <v>0</v>
      </c>
      <c r="Q1856" s="85"/>
      <c r="R1856" s="85">
        <f ca="1">IFERROR(__xludf.DUMMYFUNCTION("""COMPUTED_VALUE"""),0)</f>
        <v>0</v>
      </c>
      <c r="S1856" s="85"/>
      <c r="T1856" s="85"/>
      <c r="U1856" s="82"/>
      <c r="V1856" s="82"/>
      <c r="W1856" s="83"/>
      <c r="X1856" s="83"/>
      <c r="Y1856" s="83"/>
    </row>
    <row r="1857" spans="1:25" ht="13.8">
      <c r="A1857" s="78" t="str">
        <f ca="1">IFERROR(__xludf.DUMMYFUNCTION("""COMPUTED_VALUE"""),"SHB")</f>
        <v>SHB</v>
      </c>
      <c r="B1857" s="79" t="str">
        <f ca="1">IFERROR(__xludf.DUMMYFUNCTION("""COMPUTED_VALUE"""),"Asher Arnic")</f>
        <v>Asher Arnic</v>
      </c>
      <c r="C1857" s="78">
        <f ca="1">IFERROR(__xludf.DUMMYFUNCTION("""COMPUTED_VALUE"""),6)</f>
        <v>6</v>
      </c>
      <c r="D1857" s="78" t="str">
        <f ca="1">IFERROR(__xludf.DUMMYFUNCTION("""COMPUTED_VALUE"""),"B")</f>
        <v>B</v>
      </c>
      <c r="E1857" s="80" t="str">
        <f ca="1">IFERROR(__xludf.DUMMYFUNCTION("""COMPUTED_VALUE"""),"F")</f>
        <v>F</v>
      </c>
      <c r="F1857" s="80" t="str">
        <f ca="1">IFERROR(__xludf.DUMMYFUNCTION("""COMPUTED_VALUE"""),"J")</f>
        <v>J</v>
      </c>
      <c r="G1857" s="80">
        <f ca="1">IFERROR(__xludf.DUMMYFUNCTION("""COMPUTED_VALUE"""),5)</f>
        <v>5</v>
      </c>
      <c r="H1857" s="80" t="str">
        <f ca="1">IFERROR(__xludf.DUMMYFUNCTION("""COMPUTED_VALUE"""),"SHB")</f>
        <v>SHB</v>
      </c>
      <c r="I1857" s="80">
        <f ca="1">IFERROR(__xludf.DUMMYFUNCTION("""COMPUTED_VALUE"""),3)</f>
        <v>3</v>
      </c>
      <c r="J1857" s="85">
        <f ca="1">IFERROR(__xludf.DUMMYFUNCTION("""COMPUTED_VALUE"""),0)</f>
        <v>0</v>
      </c>
      <c r="K1857" s="85">
        <f ca="1">IFERROR(__xludf.DUMMYFUNCTION("""COMPUTED_VALUE"""),0)</f>
        <v>0</v>
      </c>
      <c r="L1857" s="85">
        <f ca="1">IFERROR(__xludf.DUMMYFUNCTION("""COMPUTED_VALUE"""),0)</f>
        <v>0</v>
      </c>
      <c r="M1857" s="85"/>
      <c r="N1857" s="85">
        <f ca="1">IFERROR(__xludf.DUMMYFUNCTION("""COMPUTED_VALUE"""),0)</f>
        <v>0</v>
      </c>
      <c r="O1857" s="85"/>
      <c r="P1857" s="85">
        <f ca="1">IFERROR(__xludf.DUMMYFUNCTION("""COMPUTED_VALUE"""),0)</f>
        <v>0</v>
      </c>
      <c r="Q1857" s="85"/>
      <c r="R1857" s="85">
        <f ca="1">IFERROR(__xludf.DUMMYFUNCTION("""COMPUTED_VALUE"""),0)</f>
        <v>0</v>
      </c>
      <c r="S1857" s="85"/>
      <c r="T1857" s="85"/>
      <c r="U1857" s="82"/>
      <c r="V1857" s="82"/>
      <c r="W1857" s="83"/>
      <c r="X1857" s="83"/>
      <c r="Y1857" s="83"/>
    </row>
    <row r="1858" spans="1:25" ht="13.8">
      <c r="A1858" s="78" t="str">
        <f ca="1">IFERROR(__xludf.DUMMYFUNCTION("""COMPUTED_VALUE"""),"SHB")</f>
        <v>SHB</v>
      </c>
      <c r="B1858" s="79" t="str">
        <f ca="1">IFERROR(__xludf.DUMMYFUNCTION("""COMPUTED_VALUE"""),"Jackson Braun")</f>
        <v>Jackson Braun</v>
      </c>
      <c r="C1858" s="78">
        <f ca="1">IFERROR(__xludf.DUMMYFUNCTION("""COMPUTED_VALUE"""),9)</f>
        <v>9</v>
      </c>
      <c r="D1858" s="78" t="str">
        <f ca="1">IFERROR(__xludf.DUMMYFUNCTION("""COMPUTED_VALUE"""),"B")</f>
        <v>B</v>
      </c>
      <c r="E1858" s="80" t="str">
        <f ca="1">IFERROR(__xludf.DUMMYFUNCTION("""COMPUTED_VALUE"""),"F")</f>
        <v>F</v>
      </c>
      <c r="F1858" s="80" t="str">
        <f ca="1">IFERROR(__xludf.DUMMYFUNCTION("""COMPUTED_VALUE"""),"J")</f>
        <v>J</v>
      </c>
      <c r="G1858" s="80">
        <f ca="1">IFERROR(__xludf.DUMMYFUNCTION("""COMPUTED_VALUE"""),5)</f>
        <v>5</v>
      </c>
      <c r="H1858" s="80" t="str">
        <f ca="1">IFERROR(__xludf.DUMMYFUNCTION("""COMPUTED_VALUE"""),"SHB")</f>
        <v>SHB</v>
      </c>
      <c r="I1858" s="80">
        <f ca="1">IFERROR(__xludf.DUMMYFUNCTION("""COMPUTED_VALUE"""),3)</f>
        <v>3</v>
      </c>
      <c r="J1858" s="85">
        <f ca="1">IFERROR(__xludf.DUMMYFUNCTION("""COMPUTED_VALUE"""),0)</f>
        <v>0</v>
      </c>
      <c r="K1858" s="85">
        <f ca="1">IFERROR(__xludf.DUMMYFUNCTION("""COMPUTED_VALUE"""),0)</f>
        <v>0</v>
      </c>
      <c r="L1858" s="85">
        <f ca="1">IFERROR(__xludf.DUMMYFUNCTION("""COMPUTED_VALUE"""),0)</f>
        <v>0</v>
      </c>
      <c r="M1858" s="85"/>
      <c r="N1858" s="85">
        <f ca="1">IFERROR(__xludf.DUMMYFUNCTION("""COMPUTED_VALUE"""),0)</f>
        <v>0</v>
      </c>
      <c r="O1858" s="85"/>
      <c r="P1858" s="85">
        <f ca="1">IFERROR(__xludf.DUMMYFUNCTION("""COMPUTED_VALUE"""),0)</f>
        <v>0</v>
      </c>
      <c r="Q1858" s="85"/>
      <c r="R1858" s="85">
        <f ca="1">IFERROR(__xludf.DUMMYFUNCTION("""COMPUTED_VALUE"""),0)</f>
        <v>0</v>
      </c>
      <c r="S1858" s="85"/>
      <c r="T1858" s="85"/>
      <c r="U1858" s="82"/>
      <c r="V1858" s="82"/>
      <c r="W1858" s="83"/>
      <c r="X1858" s="83"/>
      <c r="Y1858" s="83"/>
    </row>
    <row r="1859" spans="1:25" ht="13.8">
      <c r="A1859" s="78" t="str">
        <f ca="1">IFERROR(__xludf.DUMMYFUNCTION("""COMPUTED_VALUE"""),"SHB")</f>
        <v>SHB</v>
      </c>
      <c r="B1859" s="79" t="str">
        <f ca="1">IFERROR(__xludf.DUMMYFUNCTION("""COMPUTED_VALUE"""),"Mason Chang")</f>
        <v>Mason Chang</v>
      </c>
      <c r="C1859" s="78">
        <f ca="1">IFERROR(__xludf.DUMMYFUNCTION("""COMPUTED_VALUE"""),8)</f>
        <v>8</v>
      </c>
      <c r="D1859" s="78" t="str">
        <f ca="1">IFERROR(__xludf.DUMMYFUNCTION("""COMPUTED_VALUE"""),"B")</f>
        <v>B</v>
      </c>
      <c r="E1859" s="80" t="str">
        <f ca="1">IFERROR(__xludf.DUMMYFUNCTION("""COMPUTED_VALUE"""),"F")</f>
        <v>F</v>
      </c>
      <c r="F1859" s="80" t="str">
        <f ca="1">IFERROR(__xludf.DUMMYFUNCTION("""COMPUTED_VALUE"""),"J")</f>
        <v>J</v>
      </c>
      <c r="G1859" s="80">
        <f ca="1">IFERROR(__xludf.DUMMYFUNCTION("""COMPUTED_VALUE"""),5)</f>
        <v>5</v>
      </c>
      <c r="H1859" s="80" t="str">
        <f ca="1">IFERROR(__xludf.DUMMYFUNCTION("""COMPUTED_VALUE"""),"SHB")</f>
        <v>SHB</v>
      </c>
      <c r="I1859" s="80">
        <f ca="1">IFERROR(__xludf.DUMMYFUNCTION("""COMPUTED_VALUE"""),3)</f>
        <v>3</v>
      </c>
      <c r="J1859" s="85">
        <f ca="1">IFERROR(__xludf.DUMMYFUNCTION("""COMPUTED_VALUE"""),0)</f>
        <v>0</v>
      </c>
      <c r="K1859" s="85">
        <f ca="1">IFERROR(__xludf.DUMMYFUNCTION("""COMPUTED_VALUE"""),0)</f>
        <v>0</v>
      </c>
      <c r="L1859" s="85">
        <f ca="1">IFERROR(__xludf.DUMMYFUNCTION("""COMPUTED_VALUE"""),0)</f>
        <v>0</v>
      </c>
      <c r="M1859" s="85"/>
      <c r="N1859" s="85">
        <f ca="1">IFERROR(__xludf.DUMMYFUNCTION("""COMPUTED_VALUE"""),0)</f>
        <v>0</v>
      </c>
      <c r="O1859" s="85"/>
      <c r="P1859" s="85">
        <f ca="1">IFERROR(__xludf.DUMMYFUNCTION("""COMPUTED_VALUE"""),0)</f>
        <v>0</v>
      </c>
      <c r="Q1859" s="85"/>
      <c r="R1859" s="85">
        <f ca="1">IFERROR(__xludf.DUMMYFUNCTION("""COMPUTED_VALUE"""),0)</f>
        <v>0</v>
      </c>
      <c r="S1859" s="85"/>
      <c r="T1859" s="85"/>
      <c r="U1859" s="82"/>
      <c r="V1859" s="82"/>
      <c r="W1859" s="83"/>
      <c r="X1859" s="83"/>
      <c r="Y1859" s="83"/>
    </row>
    <row r="1860" spans="1:25" ht="13.8">
      <c r="A1860" s="78" t="str">
        <f ca="1">IFERROR(__xludf.DUMMYFUNCTION("""COMPUTED_VALUE"""),"SHB")</f>
        <v>SHB</v>
      </c>
      <c r="B1860" s="79" t="str">
        <f ca="1">IFERROR(__xludf.DUMMYFUNCTION("""COMPUTED_VALUE"""),"Jack Devereux")</f>
        <v>Jack Devereux</v>
      </c>
      <c r="C1860" s="78">
        <f ca="1">IFERROR(__xludf.DUMMYFUNCTION("""COMPUTED_VALUE"""),8)</f>
        <v>8</v>
      </c>
      <c r="D1860" s="78" t="str">
        <f ca="1">IFERROR(__xludf.DUMMYFUNCTION("""COMPUTED_VALUE"""),"B")</f>
        <v>B</v>
      </c>
      <c r="E1860" s="80" t="str">
        <f ca="1">IFERROR(__xludf.DUMMYFUNCTION("""COMPUTED_VALUE"""),"F")</f>
        <v>F</v>
      </c>
      <c r="F1860" s="80" t="str">
        <f ca="1">IFERROR(__xludf.DUMMYFUNCTION("""COMPUTED_VALUE"""),"J")</f>
        <v>J</v>
      </c>
      <c r="G1860" s="80">
        <f ca="1">IFERROR(__xludf.DUMMYFUNCTION("""COMPUTED_VALUE"""),5)</f>
        <v>5</v>
      </c>
      <c r="H1860" s="80" t="str">
        <f ca="1">IFERROR(__xludf.DUMMYFUNCTION("""COMPUTED_VALUE"""),"SHB")</f>
        <v>SHB</v>
      </c>
      <c r="I1860" s="80">
        <f ca="1">IFERROR(__xludf.DUMMYFUNCTION("""COMPUTED_VALUE"""),3)</f>
        <v>3</v>
      </c>
      <c r="J1860" s="85">
        <f ca="1">IFERROR(__xludf.DUMMYFUNCTION("""COMPUTED_VALUE"""),0)</f>
        <v>0</v>
      </c>
      <c r="K1860" s="85">
        <f ca="1">IFERROR(__xludf.DUMMYFUNCTION("""COMPUTED_VALUE"""),0)</f>
        <v>0</v>
      </c>
      <c r="L1860" s="85">
        <f ca="1">IFERROR(__xludf.DUMMYFUNCTION("""COMPUTED_VALUE"""),0)</f>
        <v>0</v>
      </c>
      <c r="M1860" s="85"/>
      <c r="N1860" s="85">
        <f ca="1">IFERROR(__xludf.DUMMYFUNCTION("""COMPUTED_VALUE"""),0)</f>
        <v>0</v>
      </c>
      <c r="O1860" s="85"/>
      <c r="P1860" s="85">
        <f ca="1">IFERROR(__xludf.DUMMYFUNCTION("""COMPUTED_VALUE"""),0)</f>
        <v>0</v>
      </c>
      <c r="Q1860" s="85"/>
      <c r="R1860" s="85">
        <f ca="1">IFERROR(__xludf.DUMMYFUNCTION("""COMPUTED_VALUE"""),0)</f>
        <v>0</v>
      </c>
      <c r="S1860" s="85"/>
      <c r="T1860" s="85"/>
      <c r="U1860" s="82"/>
      <c r="V1860" s="82"/>
      <c r="W1860" s="83"/>
      <c r="X1860" s="83"/>
      <c r="Y1860" s="83"/>
    </row>
    <row r="1861" spans="1:25" ht="13.8">
      <c r="A1861" s="78" t="str">
        <f ca="1">IFERROR(__xludf.DUMMYFUNCTION("""COMPUTED_VALUE"""),"SHB")</f>
        <v>SHB</v>
      </c>
      <c r="B1861" s="79" t="str">
        <f ca="1">IFERROR(__xludf.DUMMYFUNCTION("""COMPUTED_VALUE"""),"Brody Kennedy")</f>
        <v>Brody Kennedy</v>
      </c>
      <c r="C1861" s="78">
        <f ca="1">IFERROR(__xludf.DUMMYFUNCTION("""COMPUTED_VALUE"""),7)</f>
        <v>7</v>
      </c>
      <c r="D1861" s="78" t="str">
        <f ca="1">IFERROR(__xludf.DUMMYFUNCTION("""COMPUTED_VALUE"""),"B")</f>
        <v>B</v>
      </c>
      <c r="E1861" s="80" t="str">
        <f ca="1">IFERROR(__xludf.DUMMYFUNCTION("""COMPUTED_VALUE"""),"F")</f>
        <v>F</v>
      </c>
      <c r="F1861" s="80" t="str">
        <f ca="1">IFERROR(__xludf.DUMMYFUNCTION("""COMPUTED_VALUE"""),"J")</f>
        <v>J</v>
      </c>
      <c r="G1861" s="80">
        <f ca="1">IFERROR(__xludf.DUMMYFUNCTION("""COMPUTED_VALUE"""),5)</f>
        <v>5</v>
      </c>
      <c r="H1861" s="80" t="str">
        <f ca="1">IFERROR(__xludf.DUMMYFUNCTION("""COMPUTED_VALUE"""),"SHB")</f>
        <v>SHB</v>
      </c>
      <c r="I1861" s="80">
        <f ca="1">IFERROR(__xludf.DUMMYFUNCTION("""COMPUTED_VALUE"""),3)</f>
        <v>3</v>
      </c>
      <c r="J1861" s="85">
        <f ca="1">IFERROR(__xludf.DUMMYFUNCTION("""COMPUTED_VALUE"""),0)</f>
        <v>0</v>
      </c>
      <c r="K1861" s="85">
        <f ca="1">IFERROR(__xludf.DUMMYFUNCTION("""COMPUTED_VALUE"""),0)</f>
        <v>0</v>
      </c>
      <c r="L1861" s="85">
        <f ca="1">IFERROR(__xludf.DUMMYFUNCTION("""COMPUTED_VALUE"""),0)</f>
        <v>0</v>
      </c>
      <c r="M1861" s="85"/>
      <c r="N1861" s="85">
        <f ca="1">IFERROR(__xludf.DUMMYFUNCTION("""COMPUTED_VALUE"""),0)</f>
        <v>0</v>
      </c>
      <c r="O1861" s="85"/>
      <c r="P1861" s="85">
        <f ca="1">IFERROR(__xludf.DUMMYFUNCTION("""COMPUTED_VALUE"""),0)</f>
        <v>0</v>
      </c>
      <c r="Q1861" s="85"/>
      <c r="R1861" s="85">
        <f ca="1">IFERROR(__xludf.DUMMYFUNCTION("""COMPUTED_VALUE"""),0)</f>
        <v>0</v>
      </c>
      <c r="S1861" s="85"/>
      <c r="T1861" s="85"/>
      <c r="U1861" s="82"/>
      <c r="V1861" s="82"/>
      <c r="W1861" s="83"/>
      <c r="X1861" s="83"/>
      <c r="Y1861" s="83"/>
    </row>
    <row r="1862" spans="1:25" ht="13.8">
      <c r="A1862" s="78" t="str">
        <f ca="1">IFERROR(__xludf.DUMMYFUNCTION("""COMPUTED_VALUE"""),"SHB")</f>
        <v>SHB</v>
      </c>
      <c r="B1862" s="79" t="str">
        <f ca="1">IFERROR(__xludf.DUMMYFUNCTION("""COMPUTED_VALUE"""),"Han Lim")</f>
        <v>Han Lim</v>
      </c>
      <c r="C1862" s="78">
        <f ca="1">IFERROR(__xludf.DUMMYFUNCTION("""COMPUTED_VALUE"""),9)</f>
        <v>9</v>
      </c>
      <c r="D1862" s="78" t="str">
        <f ca="1">IFERROR(__xludf.DUMMYFUNCTION("""COMPUTED_VALUE"""),"B")</f>
        <v>B</v>
      </c>
      <c r="E1862" s="80" t="str">
        <f ca="1">IFERROR(__xludf.DUMMYFUNCTION("""COMPUTED_VALUE"""),"F")</f>
        <v>F</v>
      </c>
      <c r="F1862" s="80" t="str">
        <f ca="1">IFERROR(__xludf.DUMMYFUNCTION("""COMPUTED_VALUE"""),"J")</f>
        <v>J</v>
      </c>
      <c r="G1862" s="80">
        <f ca="1">IFERROR(__xludf.DUMMYFUNCTION("""COMPUTED_VALUE"""),5)</f>
        <v>5</v>
      </c>
      <c r="H1862" s="80" t="str">
        <f ca="1">IFERROR(__xludf.DUMMYFUNCTION("""COMPUTED_VALUE"""),"SHB")</f>
        <v>SHB</v>
      </c>
      <c r="I1862" s="80">
        <f ca="1">IFERROR(__xludf.DUMMYFUNCTION("""COMPUTED_VALUE"""),3)</f>
        <v>3</v>
      </c>
      <c r="J1862" s="85">
        <f ca="1">IFERROR(__xludf.DUMMYFUNCTION("""COMPUTED_VALUE"""),0)</f>
        <v>0</v>
      </c>
      <c r="K1862" s="85">
        <f ca="1">IFERROR(__xludf.DUMMYFUNCTION("""COMPUTED_VALUE"""),0)</f>
        <v>0</v>
      </c>
      <c r="L1862" s="85">
        <f ca="1">IFERROR(__xludf.DUMMYFUNCTION("""COMPUTED_VALUE"""),0)</f>
        <v>0</v>
      </c>
      <c r="M1862" s="85"/>
      <c r="N1862" s="85">
        <f ca="1">IFERROR(__xludf.DUMMYFUNCTION("""COMPUTED_VALUE"""),0)</f>
        <v>0</v>
      </c>
      <c r="O1862" s="85"/>
      <c r="P1862" s="85">
        <f ca="1">IFERROR(__xludf.DUMMYFUNCTION("""COMPUTED_VALUE"""),0)</f>
        <v>0</v>
      </c>
      <c r="Q1862" s="85"/>
      <c r="R1862" s="85">
        <f ca="1">IFERROR(__xludf.DUMMYFUNCTION("""COMPUTED_VALUE"""),0)</f>
        <v>0</v>
      </c>
      <c r="S1862" s="85"/>
      <c r="T1862" s="85"/>
      <c r="U1862" s="82"/>
      <c r="V1862" s="82"/>
      <c r="W1862" s="83"/>
      <c r="X1862" s="83"/>
      <c r="Y1862" s="83"/>
    </row>
    <row r="1863" spans="1:25" ht="13.8">
      <c r="A1863" s="78" t="str">
        <f ca="1">IFERROR(__xludf.DUMMYFUNCTION("""COMPUTED_VALUE"""),"SHB")</f>
        <v>SHB</v>
      </c>
      <c r="B1863" s="79" t="str">
        <f ca="1">IFERROR(__xludf.DUMMYFUNCTION("""COMPUTED_VALUE"""),"PD Lips")</f>
        <v>PD Lips</v>
      </c>
      <c r="C1863" s="78">
        <f ca="1">IFERROR(__xludf.DUMMYFUNCTION("""COMPUTED_VALUE"""),6)</f>
        <v>6</v>
      </c>
      <c r="D1863" s="78" t="str">
        <f ca="1">IFERROR(__xludf.DUMMYFUNCTION("""COMPUTED_VALUE"""),"B")</f>
        <v>B</v>
      </c>
      <c r="E1863" s="80" t="str">
        <f ca="1">IFERROR(__xludf.DUMMYFUNCTION("""COMPUTED_VALUE"""),"F")</f>
        <v>F</v>
      </c>
      <c r="F1863" s="80" t="str">
        <f ca="1">IFERROR(__xludf.DUMMYFUNCTION("""COMPUTED_VALUE"""),"J")</f>
        <v>J</v>
      </c>
      <c r="G1863" s="80">
        <f ca="1">IFERROR(__xludf.DUMMYFUNCTION("""COMPUTED_VALUE"""),5)</f>
        <v>5</v>
      </c>
      <c r="H1863" s="80" t="str">
        <f ca="1">IFERROR(__xludf.DUMMYFUNCTION("""COMPUTED_VALUE"""),"SHB")</f>
        <v>SHB</v>
      </c>
      <c r="I1863" s="80">
        <f ca="1">IFERROR(__xludf.DUMMYFUNCTION("""COMPUTED_VALUE"""),3)</f>
        <v>3</v>
      </c>
      <c r="J1863" s="85">
        <f ca="1">IFERROR(__xludf.DUMMYFUNCTION("""COMPUTED_VALUE"""),0)</f>
        <v>0</v>
      </c>
      <c r="K1863" s="85">
        <f ca="1">IFERROR(__xludf.DUMMYFUNCTION("""COMPUTED_VALUE"""),0)</f>
        <v>0</v>
      </c>
      <c r="L1863" s="85">
        <f ca="1">IFERROR(__xludf.DUMMYFUNCTION("""COMPUTED_VALUE"""),0)</f>
        <v>0</v>
      </c>
      <c r="M1863" s="85"/>
      <c r="N1863" s="85">
        <f ca="1">IFERROR(__xludf.DUMMYFUNCTION("""COMPUTED_VALUE"""),0)</f>
        <v>0</v>
      </c>
      <c r="O1863" s="85"/>
      <c r="P1863" s="85">
        <f ca="1">IFERROR(__xludf.DUMMYFUNCTION("""COMPUTED_VALUE"""),0)</f>
        <v>0</v>
      </c>
      <c r="Q1863" s="85"/>
      <c r="R1863" s="85">
        <f ca="1">IFERROR(__xludf.DUMMYFUNCTION("""COMPUTED_VALUE"""),0)</f>
        <v>0</v>
      </c>
      <c r="S1863" s="85"/>
      <c r="T1863" s="85"/>
      <c r="U1863" s="82"/>
      <c r="V1863" s="82"/>
      <c r="W1863" s="83"/>
      <c r="X1863" s="83"/>
      <c r="Y1863" s="83"/>
    </row>
    <row r="1864" spans="1:25" ht="13.8">
      <c r="A1864" s="78" t="str">
        <f ca="1">IFERROR(__xludf.DUMMYFUNCTION("""COMPUTED_VALUE"""),"SHB")</f>
        <v>SHB</v>
      </c>
      <c r="B1864" s="79" t="str">
        <f ca="1">IFERROR(__xludf.DUMMYFUNCTION("""COMPUTED_VALUE"""),"Kyle Schutt")</f>
        <v>Kyle Schutt</v>
      </c>
      <c r="C1864" s="78">
        <f ca="1">IFERROR(__xludf.DUMMYFUNCTION("""COMPUTED_VALUE"""),9)</f>
        <v>9</v>
      </c>
      <c r="D1864" s="78" t="str">
        <f ca="1">IFERROR(__xludf.DUMMYFUNCTION("""COMPUTED_VALUE"""),"B")</f>
        <v>B</v>
      </c>
      <c r="E1864" s="80" t="str">
        <f ca="1">IFERROR(__xludf.DUMMYFUNCTION("""COMPUTED_VALUE"""),"F")</f>
        <v>F</v>
      </c>
      <c r="F1864" s="80" t="str">
        <f ca="1">IFERROR(__xludf.DUMMYFUNCTION("""COMPUTED_VALUE"""),"J")</f>
        <v>J</v>
      </c>
      <c r="G1864" s="80">
        <f ca="1">IFERROR(__xludf.DUMMYFUNCTION("""COMPUTED_VALUE"""),5)</f>
        <v>5</v>
      </c>
      <c r="H1864" s="80" t="str">
        <f ca="1">IFERROR(__xludf.DUMMYFUNCTION("""COMPUTED_VALUE"""),"SHB")</f>
        <v>SHB</v>
      </c>
      <c r="I1864" s="80">
        <f ca="1">IFERROR(__xludf.DUMMYFUNCTION("""COMPUTED_VALUE"""),3)</f>
        <v>3</v>
      </c>
      <c r="J1864" s="85">
        <f ca="1">IFERROR(__xludf.DUMMYFUNCTION("""COMPUTED_VALUE"""),5)</f>
        <v>5</v>
      </c>
      <c r="K1864" s="85">
        <f ca="1">IFERROR(__xludf.DUMMYFUNCTION("""COMPUTED_VALUE"""),55.35)</f>
        <v>55.35</v>
      </c>
      <c r="L1864" s="85">
        <f ca="1">IFERROR(__xludf.DUMMYFUNCTION("""COMPUTED_VALUE"""),47.4)</f>
        <v>47.4</v>
      </c>
      <c r="M1864" s="85"/>
      <c r="N1864" s="85">
        <f ca="1">IFERROR(__xludf.DUMMYFUNCTION("""COMPUTED_VALUE"""),55.35)</f>
        <v>55.35</v>
      </c>
      <c r="O1864" s="85"/>
      <c r="P1864" s="85">
        <f ca="1">IFERROR(__xludf.DUMMYFUNCTION("""COMPUTED_VALUE"""),50.6)</f>
        <v>50.6</v>
      </c>
      <c r="Q1864" s="85"/>
      <c r="R1864" s="85">
        <f ca="1">IFERROR(__xludf.DUMMYFUNCTION("""COMPUTED_VALUE"""),55)</f>
        <v>55</v>
      </c>
      <c r="S1864" s="85"/>
      <c r="T1864" s="85"/>
      <c r="U1864" s="82"/>
      <c r="V1864" s="82"/>
      <c r="W1864" s="83"/>
      <c r="X1864" s="83"/>
      <c r="Y1864" s="83"/>
    </row>
    <row r="1865" spans="1:25" ht="13.8">
      <c r="A1865" s="78" t="str">
        <f ca="1">IFERROR(__xludf.DUMMYFUNCTION("""COMPUTED_VALUE"""),"SHB")</f>
        <v>SHB</v>
      </c>
      <c r="B1865" s="79" t="str">
        <f ca="1">IFERROR(__xludf.DUMMYFUNCTION("""COMPUTED_VALUE"""),"Travis Sisson")</f>
        <v>Travis Sisson</v>
      </c>
      <c r="C1865" s="78">
        <f ca="1">IFERROR(__xludf.DUMMYFUNCTION("""COMPUTED_VALUE"""),9)</f>
        <v>9</v>
      </c>
      <c r="D1865" s="78" t="str">
        <f ca="1">IFERROR(__xludf.DUMMYFUNCTION("""COMPUTED_VALUE"""),"B")</f>
        <v>B</v>
      </c>
      <c r="E1865" s="80" t="str">
        <f ca="1">IFERROR(__xludf.DUMMYFUNCTION("""COMPUTED_VALUE"""),"F")</f>
        <v>F</v>
      </c>
      <c r="F1865" s="80" t="str">
        <f ca="1">IFERROR(__xludf.DUMMYFUNCTION("""COMPUTED_VALUE"""),"J")</f>
        <v>J</v>
      </c>
      <c r="G1865" s="80">
        <f ca="1">IFERROR(__xludf.DUMMYFUNCTION("""COMPUTED_VALUE"""),5)</f>
        <v>5</v>
      </c>
      <c r="H1865" s="80" t="str">
        <f ca="1">IFERROR(__xludf.DUMMYFUNCTION("""COMPUTED_VALUE"""),"SHB")</f>
        <v>SHB</v>
      </c>
      <c r="I1865" s="80">
        <f ca="1">IFERROR(__xludf.DUMMYFUNCTION("""COMPUTED_VALUE"""),3)</f>
        <v>3</v>
      </c>
      <c r="J1865" s="85">
        <f ca="1">IFERROR(__xludf.DUMMYFUNCTION("""COMPUTED_VALUE"""),0)</f>
        <v>0</v>
      </c>
      <c r="K1865" s="85">
        <f ca="1">IFERROR(__xludf.DUMMYFUNCTION("""COMPUTED_VALUE"""),0)</f>
        <v>0</v>
      </c>
      <c r="L1865" s="85">
        <f ca="1">IFERROR(__xludf.DUMMYFUNCTION("""COMPUTED_VALUE"""),0)</f>
        <v>0</v>
      </c>
      <c r="M1865" s="85"/>
      <c r="N1865" s="85">
        <f ca="1">IFERROR(__xludf.DUMMYFUNCTION("""COMPUTED_VALUE"""),0)</f>
        <v>0</v>
      </c>
      <c r="O1865" s="85"/>
      <c r="P1865" s="85">
        <f ca="1">IFERROR(__xludf.DUMMYFUNCTION("""COMPUTED_VALUE"""),0)</f>
        <v>0</v>
      </c>
      <c r="Q1865" s="85"/>
      <c r="R1865" s="85">
        <f ca="1">IFERROR(__xludf.DUMMYFUNCTION("""COMPUTED_VALUE"""),0)</f>
        <v>0</v>
      </c>
      <c r="S1865" s="85"/>
      <c r="T1865" s="85"/>
      <c r="U1865" s="82"/>
      <c r="V1865" s="82"/>
      <c r="W1865" s="83"/>
      <c r="X1865" s="83"/>
      <c r="Y1865" s="83"/>
    </row>
    <row r="1866" spans="1:25" ht="13.8">
      <c r="A1866" s="78" t="str">
        <f ca="1">IFERROR(__xludf.DUMMYFUNCTION("""COMPUTED_VALUE"""),"SHB")</f>
        <v>SHB</v>
      </c>
      <c r="B1866" s="79" t="str">
        <f ca="1">IFERROR(__xludf.DUMMYFUNCTION("""COMPUTED_VALUE"""),"Luke Taggart")</f>
        <v>Luke Taggart</v>
      </c>
      <c r="C1866" s="78">
        <f ca="1">IFERROR(__xludf.DUMMYFUNCTION("""COMPUTED_VALUE"""),6)</f>
        <v>6</v>
      </c>
      <c r="D1866" s="78" t="str">
        <f ca="1">IFERROR(__xludf.DUMMYFUNCTION("""COMPUTED_VALUE"""),"B")</f>
        <v>B</v>
      </c>
      <c r="E1866" s="80" t="str">
        <f ca="1">IFERROR(__xludf.DUMMYFUNCTION("""COMPUTED_VALUE"""),"F")</f>
        <v>F</v>
      </c>
      <c r="F1866" s="80" t="str">
        <f ca="1">IFERROR(__xludf.DUMMYFUNCTION("""COMPUTED_VALUE"""),"J")</f>
        <v>J</v>
      </c>
      <c r="G1866" s="80">
        <f ca="1">IFERROR(__xludf.DUMMYFUNCTION("""COMPUTED_VALUE"""),5)</f>
        <v>5</v>
      </c>
      <c r="H1866" s="80" t="str">
        <f ca="1">IFERROR(__xludf.DUMMYFUNCTION("""COMPUTED_VALUE"""),"SHB")</f>
        <v>SHB</v>
      </c>
      <c r="I1866" s="80">
        <f ca="1">IFERROR(__xludf.DUMMYFUNCTION("""COMPUTED_VALUE"""),3)</f>
        <v>3</v>
      </c>
      <c r="J1866" s="85">
        <f ca="1">IFERROR(__xludf.DUMMYFUNCTION("""COMPUTED_VALUE"""),0)</f>
        <v>0</v>
      </c>
      <c r="K1866" s="85">
        <f ca="1">IFERROR(__xludf.DUMMYFUNCTION("""COMPUTED_VALUE"""),0)</f>
        <v>0</v>
      </c>
      <c r="L1866" s="85">
        <f ca="1">IFERROR(__xludf.DUMMYFUNCTION("""COMPUTED_VALUE"""),0)</f>
        <v>0</v>
      </c>
      <c r="M1866" s="85"/>
      <c r="N1866" s="85">
        <f ca="1">IFERROR(__xludf.DUMMYFUNCTION("""COMPUTED_VALUE"""),0)</f>
        <v>0</v>
      </c>
      <c r="O1866" s="85"/>
      <c r="P1866" s="85">
        <f ca="1">IFERROR(__xludf.DUMMYFUNCTION("""COMPUTED_VALUE"""),0)</f>
        <v>0</v>
      </c>
      <c r="Q1866" s="85"/>
      <c r="R1866" s="85">
        <f ca="1">IFERROR(__xludf.DUMMYFUNCTION("""COMPUTED_VALUE"""),0)</f>
        <v>0</v>
      </c>
      <c r="S1866" s="85"/>
      <c r="T1866" s="85"/>
      <c r="U1866" s="82"/>
      <c r="V1866" s="82"/>
      <c r="W1866" s="83"/>
      <c r="X1866" s="83"/>
      <c r="Y1866" s="83"/>
    </row>
    <row r="1867" spans="1:25" ht="13.8">
      <c r="A1867" s="78" t="str">
        <f ca="1">IFERROR(__xludf.DUMMYFUNCTION("""COMPUTED_VALUE"""),"SHB")</f>
        <v>SHB</v>
      </c>
      <c r="B1867" s="79" t="str">
        <f ca="1">IFERROR(__xludf.DUMMYFUNCTION("""COMPUTED_VALUE"""),"Connor Vorndran")</f>
        <v>Connor Vorndran</v>
      </c>
      <c r="C1867" s="78">
        <f ca="1">IFERROR(__xludf.DUMMYFUNCTION("""COMPUTED_VALUE"""),6)</f>
        <v>6</v>
      </c>
      <c r="D1867" s="78" t="str">
        <f ca="1">IFERROR(__xludf.DUMMYFUNCTION("""COMPUTED_VALUE"""),"B")</f>
        <v>B</v>
      </c>
      <c r="E1867" s="80" t="str">
        <f ca="1">IFERROR(__xludf.DUMMYFUNCTION("""COMPUTED_VALUE"""),"F")</f>
        <v>F</v>
      </c>
      <c r="F1867" s="80" t="str">
        <f ca="1">IFERROR(__xludf.DUMMYFUNCTION("""COMPUTED_VALUE"""),"J")</f>
        <v>J</v>
      </c>
      <c r="G1867" s="80">
        <f ca="1">IFERROR(__xludf.DUMMYFUNCTION("""COMPUTED_VALUE"""),5)</f>
        <v>5</v>
      </c>
      <c r="H1867" s="80" t="str">
        <f ca="1">IFERROR(__xludf.DUMMYFUNCTION("""COMPUTED_VALUE"""),"SHB")</f>
        <v>SHB</v>
      </c>
      <c r="I1867" s="80">
        <f ca="1">IFERROR(__xludf.DUMMYFUNCTION("""COMPUTED_VALUE"""),3)</f>
        <v>3</v>
      </c>
      <c r="J1867" s="85">
        <f ca="1">IFERROR(__xludf.DUMMYFUNCTION("""COMPUTED_VALUE"""),0)</f>
        <v>0</v>
      </c>
      <c r="K1867" s="85">
        <f ca="1">IFERROR(__xludf.DUMMYFUNCTION("""COMPUTED_VALUE"""),0)</f>
        <v>0</v>
      </c>
      <c r="L1867" s="85">
        <f ca="1">IFERROR(__xludf.DUMMYFUNCTION("""COMPUTED_VALUE"""),0)</f>
        <v>0</v>
      </c>
      <c r="M1867" s="85"/>
      <c r="N1867" s="85">
        <f ca="1">IFERROR(__xludf.DUMMYFUNCTION("""COMPUTED_VALUE"""),0)</f>
        <v>0</v>
      </c>
      <c r="O1867" s="85"/>
      <c r="P1867" s="85">
        <f ca="1">IFERROR(__xludf.DUMMYFUNCTION("""COMPUTED_VALUE"""),0)</f>
        <v>0</v>
      </c>
      <c r="Q1867" s="85"/>
      <c r="R1867" s="85">
        <f ca="1">IFERROR(__xludf.DUMMYFUNCTION("""COMPUTED_VALUE"""),0)</f>
        <v>0</v>
      </c>
      <c r="S1867" s="85"/>
      <c r="T1867" s="85"/>
      <c r="U1867" s="82"/>
      <c r="V1867" s="82"/>
      <c r="W1867" s="83"/>
      <c r="X1867" s="83"/>
      <c r="Y1867" s="83"/>
    </row>
    <row r="1868" spans="1:25" ht="13.8">
      <c r="A1868" s="78" t="str">
        <f ca="1">IFERROR(__xludf.DUMMYFUNCTION("""COMPUTED_VALUE"""),"SHB")</f>
        <v>SHB</v>
      </c>
      <c r="B1868" s="79" t="str">
        <f ca="1">IFERROR(__xludf.DUMMYFUNCTION("""COMPUTED_VALUE"""),"Ethan Wence")</f>
        <v>Ethan Wence</v>
      </c>
      <c r="C1868" s="78">
        <f ca="1">IFERROR(__xludf.DUMMYFUNCTION("""COMPUTED_VALUE"""),8)</f>
        <v>8</v>
      </c>
      <c r="D1868" s="78" t="str">
        <f ca="1">IFERROR(__xludf.DUMMYFUNCTION("""COMPUTED_VALUE"""),"B")</f>
        <v>B</v>
      </c>
      <c r="E1868" s="80" t="str">
        <f ca="1">IFERROR(__xludf.DUMMYFUNCTION("""COMPUTED_VALUE"""),"F")</f>
        <v>F</v>
      </c>
      <c r="F1868" s="80" t="str">
        <f ca="1">IFERROR(__xludf.DUMMYFUNCTION("""COMPUTED_VALUE"""),"J")</f>
        <v>J</v>
      </c>
      <c r="G1868" s="80">
        <f ca="1">IFERROR(__xludf.DUMMYFUNCTION("""COMPUTED_VALUE"""),5)</f>
        <v>5</v>
      </c>
      <c r="H1868" s="80" t="str">
        <f ca="1">IFERROR(__xludf.DUMMYFUNCTION("""COMPUTED_VALUE"""),"SHB")</f>
        <v>SHB</v>
      </c>
      <c r="I1868" s="80">
        <f ca="1">IFERROR(__xludf.DUMMYFUNCTION("""COMPUTED_VALUE"""),3)</f>
        <v>3</v>
      </c>
      <c r="J1868" s="85">
        <f ca="1">IFERROR(__xludf.DUMMYFUNCTION("""COMPUTED_VALUE"""),0)</f>
        <v>0</v>
      </c>
      <c r="K1868" s="85">
        <f ca="1">IFERROR(__xludf.DUMMYFUNCTION("""COMPUTED_VALUE"""),0)</f>
        <v>0</v>
      </c>
      <c r="L1868" s="85">
        <f ca="1">IFERROR(__xludf.DUMMYFUNCTION("""COMPUTED_VALUE"""),0)</f>
        <v>0</v>
      </c>
      <c r="M1868" s="85"/>
      <c r="N1868" s="85">
        <f ca="1">IFERROR(__xludf.DUMMYFUNCTION("""COMPUTED_VALUE"""),0)</f>
        <v>0</v>
      </c>
      <c r="O1868" s="85"/>
      <c r="P1868" s="85">
        <f ca="1">IFERROR(__xludf.DUMMYFUNCTION("""COMPUTED_VALUE"""),0)</f>
        <v>0</v>
      </c>
      <c r="Q1868" s="85"/>
      <c r="R1868" s="85">
        <f ca="1">IFERROR(__xludf.DUMMYFUNCTION("""COMPUTED_VALUE"""),0)</f>
        <v>0</v>
      </c>
      <c r="S1868" s="85"/>
      <c r="T1868" s="85"/>
      <c r="U1868" s="82"/>
      <c r="V1868" s="82"/>
      <c r="W1868" s="83"/>
      <c r="X1868" s="83"/>
      <c r="Y1868" s="83"/>
    </row>
    <row r="1869" spans="1:25" ht="13.8">
      <c r="A1869" s="78" t="str">
        <f ca="1">IFERROR(__xludf.DUMMYFUNCTION("""COMPUTED_VALUE"""),"SHB")</f>
        <v>SHB</v>
      </c>
      <c r="B1869" s="79" t="str">
        <f ca="1">IFERROR(__xludf.DUMMYFUNCTION("""COMPUTED_VALUE"""),"Taeryn Graham")</f>
        <v>Taeryn Graham</v>
      </c>
      <c r="C1869" s="78">
        <f ca="1">IFERROR(__xludf.DUMMYFUNCTION("""COMPUTED_VALUE"""),11)</f>
        <v>11</v>
      </c>
      <c r="D1869" s="78" t="str">
        <f ca="1">IFERROR(__xludf.DUMMYFUNCTION("""COMPUTED_VALUE"""),"G")</f>
        <v>G</v>
      </c>
      <c r="E1869" s="80" t="str">
        <f ca="1">IFERROR(__xludf.DUMMYFUNCTION("""COMPUTED_VALUE"""),"J")</f>
        <v>J</v>
      </c>
      <c r="F1869" s="80" t="str">
        <f ca="1">IFERROR(__xludf.DUMMYFUNCTION("""COMPUTED_VALUE"""),"I")</f>
        <v>I</v>
      </c>
      <c r="G1869" s="80">
        <f ca="1">IFERROR(__xludf.DUMMYFUNCTION("""COMPUTED_VALUE"""),5)</f>
        <v>5</v>
      </c>
      <c r="H1869" s="80" t="str">
        <f ca="1">IFERROR(__xludf.DUMMYFUNCTION("""COMPUTED_VALUE"""),"SHB")</f>
        <v>SHB</v>
      </c>
      <c r="I1869" s="80">
        <f ca="1">IFERROR(__xludf.DUMMYFUNCTION("""COMPUTED_VALUE"""),4)</f>
        <v>4</v>
      </c>
      <c r="J1869" s="85">
        <f ca="1">IFERROR(__xludf.DUMMYFUNCTION("""COMPUTED_VALUE"""),0)</f>
        <v>0</v>
      </c>
      <c r="K1869" s="85">
        <f ca="1">IFERROR(__xludf.DUMMYFUNCTION("""COMPUTED_VALUE"""),0)</f>
        <v>0</v>
      </c>
      <c r="L1869" s="85">
        <f ca="1">IFERROR(__xludf.DUMMYFUNCTION("""COMPUTED_VALUE"""),0)</f>
        <v>0</v>
      </c>
      <c r="M1869" s="85"/>
      <c r="N1869" s="85">
        <f ca="1">IFERROR(__xludf.DUMMYFUNCTION("""COMPUTED_VALUE"""),0)</f>
        <v>0</v>
      </c>
      <c r="O1869" s="85"/>
      <c r="P1869" s="85">
        <f ca="1">IFERROR(__xludf.DUMMYFUNCTION("""COMPUTED_VALUE"""),0)</f>
        <v>0</v>
      </c>
      <c r="Q1869" s="85"/>
      <c r="R1869" s="85">
        <f ca="1">IFERROR(__xludf.DUMMYFUNCTION("""COMPUTED_VALUE"""),0)</f>
        <v>0</v>
      </c>
      <c r="S1869" s="85"/>
      <c r="T1869" s="85"/>
      <c r="U1869" s="82"/>
      <c r="V1869" s="82"/>
      <c r="W1869" s="83"/>
      <c r="X1869" s="83"/>
      <c r="Y1869" s="83"/>
    </row>
    <row r="1870" spans="1:25" ht="13.8">
      <c r="A1870" s="78" t="str">
        <f ca="1">IFERROR(__xludf.DUMMYFUNCTION("""COMPUTED_VALUE"""),"SHB")</f>
        <v>SHB</v>
      </c>
      <c r="B1870" s="79" t="str">
        <f ca="1">IFERROR(__xludf.DUMMYFUNCTION("""COMPUTED_VALUE"""),"Odessa Jansen")</f>
        <v>Odessa Jansen</v>
      </c>
      <c r="C1870" s="78">
        <f ca="1">IFERROR(__xludf.DUMMYFUNCTION("""COMPUTED_VALUE"""),12)</f>
        <v>12</v>
      </c>
      <c r="D1870" s="78" t="str">
        <f ca="1">IFERROR(__xludf.DUMMYFUNCTION("""COMPUTED_VALUE"""),"G")</f>
        <v>G</v>
      </c>
      <c r="E1870" s="80" t="str">
        <f ca="1">IFERROR(__xludf.DUMMYFUNCTION("""COMPUTED_VALUE"""),"J")</f>
        <v>J</v>
      </c>
      <c r="F1870" s="80" t="str">
        <f ca="1">IFERROR(__xludf.DUMMYFUNCTION("""COMPUTED_VALUE"""),"I")</f>
        <v>I</v>
      </c>
      <c r="G1870" s="80">
        <f ca="1">IFERROR(__xludf.DUMMYFUNCTION("""COMPUTED_VALUE"""),5)</f>
        <v>5</v>
      </c>
      <c r="H1870" s="80" t="str">
        <f ca="1">IFERROR(__xludf.DUMMYFUNCTION("""COMPUTED_VALUE"""),"SHB")</f>
        <v>SHB</v>
      </c>
      <c r="I1870" s="80">
        <f ca="1">IFERROR(__xludf.DUMMYFUNCTION("""COMPUTED_VALUE"""),4)</f>
        <v>4</v>
      </c>
      <c r="J1870" s="85">
        <f ca="1">IFERROR(__xludf.DUMMYFUNCTION("""COMPUTED_VALUE"""),0)</f>
        <v>0</v>
      </c>
      <c r="K1870" s="85">
        <f ca="1">IFERROR(__xludf.DUMMYFUNCTION("""COMPUTED_VALUE"""),0)</f>
        <v>0</v>
      </c>
      <c r="L1870" s="85">
        <f ca="1">IFERROR(__xludf.DUMMYFUNCTION("""COMPUTED_VALUE"""),0)</f>
        <v>0</v>
      </c>
      <c r="M1870" s="85"/>
      <c r="N1870" s="85">
        <f ca="1">IFERROR(__xludf.DUMMYFUNCTION("""COMPUTED_VALUE"""),0)</f>
        <v>0</v>
      </c>
      <c r="O1870" s="85"/>
      <c r="P1870" s="85">
        <f ca="1">IFERROR(__xludf.DUMMYFUNCTION("""COMPUTED_VALUE"""),0)</f>
        <v>0</v>
      </c>
      <c r="Q1870" s="85"/>
      <c r="R1870" s="85">
        <f ca="1">IFERROR(__xludf.DUMMYFUNCTION("""COMPUTED_VALUE"""),0)</f>
        <v>0</v>
      </c>
      <c r="S1870" s="85"/>
      <c r="T1870" s="85"/>
      <c r="U1870" s="82"/>
      <c r="V1870" s="82"/>
      <c r="W1870" s="83"/>
      <c r="X1870" s="83"/>
      <c r="Y1870" s="83"/>
    </row>
    <row r="1871" spans="1:25" ht="13.8">
      <c r="A1871" s="78" t="str">
        <f ca="1">IFERROR(__xludf.DUMMYFUNCTION("""COMPUTED_VALUE"""),"SHB")</f>
        <v>SHB</v>
      </c>
      <c r="B1871" s="79" t="str">
        <f ca="1">IFERROR(__xludf.DUMMYFUNCTION("""COMPUTED_VALUE"""),"Antoinette Katsas")</f>
        <v>Antoinette Katsas</v>
      </c>
      <c r="C1871" s="78">
        <f ca="1">IFERROR(__xludf.DUMMYFUNCTION("""COMPUTED_VALUE"""),11)</f>
        <v>11</v>
      </c>
      <c r="D1871" s="78" t="str">
        <f ca="1">IFERROR(__xludf.DUMMYFUNCTION("""COMPUTED_VALUE"""),"G")</f>
        <v>G</v>
      </c>
      <c r="E1871" s="80" t="str">
        <f ca="1">IFERROR(__xludf.DUMMYFUNCTION("""COMPUTED_VALUE"""),"J")</f>
        <v>J</v>
      </c>
      <c r="F1871" s="80" t="str">
        <f ca="1">IFERROR(__xludf.DUMMYFUNCTION("""COMPUTED_VALUE"""),"I")</f>
        <v>I</v>
      </c>
      <c r="G1871" s="80">
        <f ca="1">IFERROR(__xludf.DUMMYFUNCTION("""COMPUTED_VALUE"""),5)</f>
        <v>5</v>
      </c>
      <c r="H1871" s="80" t="str">
        <f ca="1">IFERROR(__xludf.DUMMYFUNCTION("""COMPUTED_VALUE"""),"SHB")</f>
        <v>SHB</v>
      </c>
      <c r="I1871" s="80">
        <f ca="1">IFERROR(__xludf.DUMMYFUNCTION("""COMPUTED_VALUE"""),4)</f>
        <v>4</v>
      </c>
      <c r="J1871" s="85">
        <f ca="1">IFERROR(__xludf.DUMMYFUNCTION("""COMPUTED_VALUE"""),0)</f>
        <v>0</v>
      </c>
      <c r="K1871" s="85">
        <f ca="1">IFERROR(__xludf.DUMMYFUNCTION("""COMPUTED_VALUE"""),0)</f>
        <v>0</v>
      </c>
      <c r="L1871" s="85">
        <f ca="1">IFERROR(__xludf.DUMMYFUNCTION("""COMPUTED_VALUE"""),0)</f>
        <v>0</v>
      </c>
      <c r="M1871" s="85"/>
      <c r="N1871" s="85">
        <f ca="1">IFERROR(__xludf.DUMMYFUNCTION("""COMPUTED_VALUE"""),0)</f>
        <v>0</v>
      </c>
      <c r="O1871" s="85"/>
      <c r="P1871" s="85">
        <f ca="1">IFERROR(__xludf.DUMMYFUNCTION("""COMPUTED_VALUE"""),0)</f>
        <v>0</v>
      </c>
      <c r="Q1871" s="85"/>
      <c r="R1871" s="85">
        <f ca="1">IFERROR(__xludf.DUMMYFUNCTION("""COMPUTED_VALUE"""),0)</f>
        <v>0</v>
      </c>
      <c r="S1871" s="85"/>
      <c r="T1871" s="85"/>
      <c r="U1871" s="82"/>
      <c r="V1871" s="82"/>
      <c r="W1871" s="83"/>
      <c r="X1871" s="83"/>
      <c r="Y1871" s="83"/>
    </row>
    <row r="1872" spans="1:25" ht="13.8">
      <c r="A1872" s="78" t="str">
        <f ca="1">IFERROR(__xludf.DUMMYFUNCTION("""COMPUTED_VALUE"""),"SHB")</f>
        <v>SHB</v>
      </c>
      <c r="B1872" s="79" t="str">
        <f ca="1">IFERROR(__xludf.DUMMYFUNCTION("""COMPUTED_VALUE"""),"Petra Oleson")</f>
        <v>Petra Oleson</v>
      </c>
      <c r="C1872" s="78">
        <f ca="1">IFERROR(__xludf.DUMMYFUNCTION("""COMPUTED_VALUE"""),12)</f>
        <v>12</v>
      </c>
      <c r="D1872" s="78" t="str">
        <f ca="1">IFERROR(__xludf.DUMMYFUNCTION("""COMPUTED_VALUE"""),"G")</f>
        <v>G</v>
      </c>
      <c r="E1872" s="80" t="str">
        <f ca="1">IFERROR(__xludf.DUMMYFUNCTION("""COMPUTED_VALUE"""),"J")</f>
        <v>J</v>
      </c>
      <c r="F1872" s="80" t="str">
        <f ca="1">IFERROR(__xludf.DUMMYFUNCTION("""COMPUTED_VALUE"""),"I")</f>
        <v>I</v>
      </c>
      <c r="G1872" s="80">
        <f ca="1">IFERROR(__xludf.DUMMYFUNCTION("""COMPUTED_VALUE"""),5)</f>
        <v>5</v>
      </c>
      <c r="H1872" s="80" t="str">
        <f ca="1">IFERROR(__xludf.DUMMYFUNCTION("""COMPUTED_VALUE"""),"SHB")</f>
        <v>SHB</v>
      </c>
      <c r="I1872" s="80">
        <f ca="1">IFERROR(__xludf.DUMMYFUNCTION("""COMPUTED_VALUE"""),4)</f>
        <v>4</v>
      </c>
      <c r="J1872" s="85">
        <f ca="1">IFERROR(__xludf.DUMMYFUNCTION("""COMPUTED_VALUE"""),4)</f>
        <v>4</v>
      </c>
      <c r="K1872" s="85">
        <f ca="1">IFERROR(__xludf.DUMMYFUNCTION("""COMPUTED_VALUE"""),93.2)</f>
        <v>93.2</v>
      </c>
      <c r="L1872" s="85">
        <f ca="1">IFERROR(__xludf.DUMMYFUNCTION("""COMPUTED_VALUE"""),0)</f>
        <v>0</v>
      </c>
      <c r="M1872" s="85"/>
      <c r="N1872" s="85">
        <f ca="1">IFERROR(__xludf.DUMMYFUNCTION("""COMPUTED_VALUE"""),87.95)</f>
        <v>87.95</v>
      </c>
      <c r="O1872" s="85"/>
      <c r="P1872" s="85">
        <f ca="1">IFERROR(__xludf.DUMMYFUNCTION("""COMPUTED_VALUE"""),80.75)</f>
        <v>80.75</v>
      </c>
      <c r="Q1872" s="85"/>
      <c r="R1872" s="85">
        <f ca="1">IFERROR(__xludf.DUMMYFUNCTION("""COMPUTED_VALUE"""),93.2)</f>
        <v>93.2</v>
      </c>
      <c r="S1872" s="85"/>
      <c r="T1872" s="85"/>
      <c r="U1872" s="82"/>
      <c r="V1872" s="82"/>
      <c r="W1872" s="83"/>
      <c r="X1872" s="83"/>
      <c r="Y1872" s="83"/>
    </row>
    <row r="1873" spans="1:25" ht="13.8">
      <c r="A1873" s="78" t="str">
        <f ca="1">IFERROR(__xludf.DUMMYFUNCTION("""COMPUTED_VALUE"""),"SHB")</f>
        <v>SHB</v>
      </c>
      <c r="B1873" s="79" t="str">
        <f ca="1">IFERROR(__xludf.DUMMYFUNCTION("""COMPUTED_VALUE"""),"Lina Rosenbaum")</f>
        <v>Lina Rosenbaum</v>
      </c>
      <c r="C1873" s="78">
        <f ca="1">IFERROR(__xludf.DUMMYFUNCTION("""COMPUTED_VALUE"""),12)</f>
        <v>12</v>
      </c>
      <c r="D1873" s="78" t="str">
        <f ca="1">IFERROR(__xludf.DUMMYFUNCTION("""COMPUTED_VALUE"""),"G")</f>
        <v>G</v>
      </c>
      <c r="E1873" s="80" t="str">
        <f ca="1">IFERROR(__xludf.DUMMYFUNCTION("""COMPUTED_VALUE"""),"J")</f>
        <v>J</v>
      </c>
      <c r="F1873" s="80" t="str">
        <f ca="1">IFERROR(__xludf.DUMMYFUNCTION("""COMPUTED_VALUE"""),"I")</f>
        <v>I</v>
      </c>
      <c r="G1873" s="80">
        <f ca="1">IFERROR(__xludf.DUMMYFUNCTION("""COMPUTED_VALUE"""),5)</f>
        <v>5</v>
      </c>
      <c r="H1873" s="80" t="str">
        <f ca="1">IFERROR(__xludf.DUMMYFUNCTION("""COMPUTED_VALUE"""),"SHB")</f>
        <v>SHB</v>
      </c>
      <c r="I1873" s="80">
        <f ca="1">IFERROR(__xludf.DUMMYFUNCTION("""COMPUTED_VALUE"""),4)</f>
        <v>4</v>
      </c>
      <c r="J1873" s="85">
        <f ca="1">IFERROR(__xludf.DUMMYFUNCTION("""COMPUTED_VALUE"""),1)</f>
        <v>1</v>
      </c>
      <c r="K1873" s="85">
        <f ca="1">IFERROR(__xludf.DUMMYFUNCTION("""COMPUTED_VALUE"""),41.95)</f>
        <v>41.95</v>
      </c>
      <c r="L1873" s="85">
        <f ca="1">IFERROR(__xludf.DUMMYFUNCTION("""COMPUTED_VALUE"""),0)</f>
        <v>0</v>
      </c>
      <c r="M1873" s="85"/>
      <c r="N1873" s="85">
        <f ca="1">IFERROR(__xludf.DUMMYFUNCTION("""COMPUTED_VALUE"""),0)</f>
        <v>0</v>
      </c>
      <c r="O1873" s="85"/>
      <c r="P1873" s="85">
        <f ca="1">IFERROR(__xludf.DUMMYFUNCTION("""COMPUTED_VALUE"""),41.95)</f>
        <v>41.95</v>
      </c>
      <c r="Q1873" s="85"/>
      <c r="R1873" s="85">
        <f ca="1">IFERROR(__xludf.DUMMYFUNCTION("""COMPUTED_VALUE"""),0)</f>
        <v>0</v>
      </c>
      <c r="S1873" s="85"/>
      <c r="T1873" s="85"/>
      <c r="U1873" s="82"/>
      <c r="V1873" s="82"/>
      <c r="W1873" s="83"/>
      <c r="X1873" s="83"/>
      <c r="Y1873" s="83"/>
    </row>
    <row r="1874" spans="1:25" ht="13.8">
      <c r="A1874" s="78" t="str">
        <f ca="1">IFERROR(__xludf.DUMMYFUNCTION("""COMPUTED_VALUE"""),"SHB")</f>
        <v>SHB</v>
      </c>
      <c r="B1874" s="79" t="str">
        <f ca="1">IFERROR(__xludf.DUMMYFUNCTION("""COMPUTED_VALUE"""),"Griffin Lanoue-Chapman")</f>
        <v>Griffin Lanoue-Chapman</v>
      </c>
      <c r="C1874" s="78">
        <f ca="1">IFERROR(__xludf.DUMMYFUNCTION("""COMPUTED_VALUE"""),12)</f>
        <v>12</v>
      </c>
      <c r="D1874" s="78" t="str">
        <f ca="1">IFERROR(__xludf.DUMMYFUNCTION("""COMPUTED_VALUE"""),"B")</f>
        <v>B</v>
      </c>
      <c r="E1874" s="80" t="str">
        <f ca="1">IFERROR(__xludf.DUMMYFUNCTION("""COMPUTED_VALUE"""),"J")</f>
        <v>J</v>
      </c>
      <c r="F1874" s="80" t="str">
        <f ca="1">IFERROR(__xludf.DUMMYFUNCTION("""COMPUTED_VALUE"""),"I")</f>
        <v>I</v>
      </c>
      <c r="G1874" s="80">
        <f ca="1">IFERROR(__xludf.DUMMYFUNCTION("""COMPUTED_VALUE"""),5)</f>
        <v>5</v>
      </c>
      <c r="H1874" s="80" t="str">
        <f ca="1">IFERROR(__xludf.DUMMYFUNCTION("""COMPUTED_VALUE"""),"SHB")</f>
        <v>SHB</v>
      </c>
      <c r="I1874" s="80">
        <f ca="1">IFERROR(__xludf.DUMMYFUNCTION("""COMPUTED_VALUE"""),5)</f>
        <v>5</v>
      </c>
      <c r="J1874" s="85">
        <f ca="1">IFERROR(__xludf.DUMMYFUNCTION("""COMPUTED_VALUE"""),1)</f>
        <v>1</v>
      </c>
      <c r="K1874" s="85">
        <f ca="1">IFERROR(__xludf.DUMMYFUNCTION("""COMPUTED_VALUE"""),61.95)</f>
        <v>61.95</v>
      </c>
      <c r="L1874" s="85">
        <f ca="1">IFERROR(__xludf.DUMMYFUNCTION("""COMPUTED_VALUE"""),0)</f>
        <v>0</v>
      </c>
      <c r="M1874" s="85"/>
      <c r="N1874" s="85">
        <f ca="1">IFERROR(__xludf.DUMMYFUNCTION("""COMPUTED_VALUE"""),61.95)</f>
        <v>61.95</v>
      </c>
      <c r="O1874" s="85"/>
      <c r="P1874" s="85">
        <f ca="1">IFERROR(__xludf.DUMMYFUNCTION("""COMPUTED_VALUE"""),0)</f>
        <v>0</v>
      </c>
      <c r="Q1874" s="85"/>
      <c r="R1874" s="85">
        <f ca="1">IFERROR(__xludf.DUMMYFUNCTION("""COMPUTED_VALUE"""),0)</f>
        <v>0</v>
      </c>
      <c r="S1874" s="85"/>
      <c r="T1874" s="85"/>
      <c r="U1874" s="82"/>
      <c r="V1874" s="82"/>
      <c r="W1874" s="83"/>
      <c r="X1874" s="83"/>
      <c r="Y1874" s="83"/>
    </row>
    <row r="1875" spans="1:25" ht="13.8">
      <c r="A1875" s="78" t="str">
        <f ca="1">IFERROR(__xludf.DUMMYFUNCTION("""COMPUTED_VALUE"""),"SHB")</f>
        <v>SHB</v>
      </c>
      <c r="B1875" s="79" t="str">
        <f ca="1">IFERROR(__xludf.DUMMYFUNCTION("""COMPUTED_VALUE"""),"Jake Shumaker")</f>
        <v>Jake Shumaker</v>
      </c>
      <c r="C1875" s="78">
        <f ca="1">IFERROR(__xludf.DUMMYFUNCTION("""COMPUTED_VALUE"""),11)</f>
        <v>11</v>
      </c>
      <c r="D1875" s="78" t="str">
        <f ca="1">IFERROR(__xludf.DUMMYFUNCTION("""COMPUTED_VALUE"""),"B")</f>
        <v>B</v>
      </c>
      <c r="E1875" s="80" t="str">
        <f ca="1">IFERROR(__xludf.DUMMYFUNCTION("""COMPUTED_VALUE"""),"J")</f>
        <v>J</v>
      </c>
      <c r="F1875" s="80" t="str">
        <f ca="1">IFERROR(__xludf.DUMMYFUNCTION("""COMPUTED_VALUE"""),"I")</f>
        <v>I</v>
      </c>
      <c r="G1875" s="80">
        <f ca="1">IFERROR(__xludf.DUMMYFUNCTION("""COMPUTED_VALUE"""),5)</f>
        <v>5</v>
      </c>
      <c r="H1875" s="80" t="str">
        <f ca="1">IFERROR(__xludf.DUMMYFUNCTION("""COMPUTED_VALUE"""),"SHB")</f>
        <v>SHB</v>
      </c>
      <c r="I1875" s="80">
        <f ca="1">IFERROR(__xludf.DUMMYFUNCTION("""COMPUTED_VALUE"""),5)</f>
        <v>5</v>
      </c>
      <c r="J1875" s="85">
        <f ca="1">IFERROR(__xludf.DUMMYFUNCTION("""COMPUTED_VALUE"""),0)</f>
        <v>0</v>
      </c>
      <c r="K1875" s="85">
        <f ca="1">IFERROR(__xludf.DUMMYFUNCTION("""COMPUTED_VALUE"""),0)</f>
        <v>0</v>
      </c>
      <c r="L1875" s="85">
        <f ca="1">IFERROR(__xludf.DUMMYFUNCTION("""COMPUTED_VALUE"""),0)</f>
        <v>0</v>
      </c>
      <c r="M1875" s="85"/>
      <c r="N1875" s="85">
        <f ca="1">IFERROR(__xludf.DUMMYFUNCTION("""COMPUTED_VALUE"""),0)</f>
        <v>0</v>
      </c>
      <c r="O1875" s="85"/>
      <c r="P1875" s="85">
        <f ca="1">IFERROR(__xludf.DUMMYFUNCTION("""COMPUTED_VALUE"""),0)</f>
        <v>0</v>
      </c>
      <c r="Q1875" s="85"/>
      <c r="R1875" s="85">
        <f ca="1">IFERROR(__xludf.DUMMYFUNCTION("""COMPUTED_VALUE"""),0)</f>
        <v>0</v>
      </c>
      <c r="S1875" s="85"/>
      <c r="T1875" s="85"/>
      <c r="U1875" s="82"/>
      <c r="V1875" s="82"/>
      <c r="W1875" s="83"/>
      <c r="X1875" s="83"/>
      <c r="Y1875" s="83"/>
    </row>
    <row r="1876" spans="1:25" ht="13.8">
      <c r="A1876" s="78" t="str">
        <f ca="1">IFERROR(__xludf.DUMMYFUNCTION("""COMPUTED_VALUE"""),"SHB")</f>
        <v>SHB</v>
      </c>
      <c r="B1876" s="79" t="str">
        <f ca="1">IFERROR(__xludf.DUMMYFUNCTION("""COMPUTED_VALUE"""),"Addie Bates")</f>
        <v>Addie Bates</v>
      </c>
      <c r="C1876" s="78">
        <f ca="1">IFERROR(__xludf.DUMMYFUNCTION("""COMPUTED_VALUE"""),13)</f>
        <v>13</v>
      </c>
      <c r="D1876" s="78" t="str">
        <f ca="1">IFERROR(__xludf.DUMMYFUNCTION("""COMPUTED_VALUE"""),"G")</f>
        <v>G</v>
      </c>
      <c r="E1876" s="80" t="str">
        <f ca="1">IFERROR(__xludf.DUMMYFUNCTION("""COMPUTED_VALUE"""),"I")</f>
        <v>I</v>
      </c>
      <c r="F1876" s="80" t="str">
        <f ca="1">IFERROR(__xludf.DUMMYFUNCTION("""COMPUTED_VALUE"""),"S")</f>
        <v>S</v>
      </c>
      <c r="G1876" s="80">
        <f ca="1">IFERROR(__xludf.DUMMYFUNCTION("""COMPUTED_VALUE"""),5)</f>
        <v>5</v>
      </c>
      <c r="H1876" s="80" t="str">
        <f ca="1">IFERROR(__xludf.DUMMYFUNCTION("""COMPUTED_VALUE"""),"SHB")</f>
        <v>SHB</v>
      </c>
      <c r="I1876" s="80">
        <f ca="1">IFERROR(__xludf.DUMMYFUNCTION("""COMPUTED_VALUE"""),6)</f>
        <v>6</v>
      </c>
      <c r="J1876" s="85">
        <f ca="1">IFERROR(__xludf.DUMMYFUNCTION("""COMPUTED_VALUE"""),4)</f>
        <v>4</v>
      </c>
      <c r="K1876" s="85">
        <f ca="1">IFERROR(__xludf.DUMMYFUNCTION("""COMPUTED_VALUE"""),105)</f>
        <v>105</v>
      </c>
      <c r="L1876" s="85">
        <f ca="1">IFERROR(__xludf.DUMMYFUNCTION("""COMPUTED_VALUE"""),92.9)</f>
        <v>92.9</v>
      </c>
      <c r="M1876" s="85"/>
      <c r="N1876" s="85">
        <f ca="1">IFERROR(__xludf.DUMMYFUNCTION("""COMPUTED_VALUE"""),99.2)</f>
        <v>99.2</v>
      </c>
      <c r="O1876" s="85"/>
      <c r="P1876" s="85">
        <f ca="1">IFERROR(__xludf.DUMMYFUNCTION("""COMPUTED_VALUE"""),105)</f>
        <v>105</v>
      </c>
      <c r="Q1876" s="85"/>
      <c r="R1876" s="85">
        <f ca="1">IFERROR(__xludf.DUMMYFUNCTION("""COMPUTED_VALUE"""),0)</f>
        <v>0</v>
      </c>
      <c r="S1876" s="85"/>
      <c r="T1876" s="85"/>
      <c r="U1876" s="82"/>
      <c r="V1876" s="82"/>
      <c r="W1876" s="83"/>
      <c r="X1876" s="83"/>
      <c r="Y1876" s="83"/>
    </row>
    <row r="1877" spans="1:25" ht="13.8">
      <c r="A1877" s="78" t="str">
        <f ca="1">IFERROR(__xludf.DUMMYFUNCTION("""COMPUTED_VALUE"""),"SHB")</f>
        <v>SHB</v>
      </c>
      <c r="B1877" s="79" t="str">
        <f ca="1">IFERROR(__xludf.DUMMYFUNCTION("""COMPUTED_VALUE"""),"Camryn Caughlin")</f>
        <v>Camryn Caughlin</v>
      </c>
      <c r="C1877" s="78">
        <f ca="1">IFERROR(__xludf.DUMMYFUNCTION("""COMPUTED_VALUE"""),13)</f>
        <v>13</v>
      </c>
      <c r="D1877" s="78" t="str">
        <f ca="1">IFERROR(__xludf.DUMMYFUNCTION("""COMPUTED_VALUE"""),"G")</f>
        <v>G</v>
      </c>
      <c r="E1877" s="80" t="str">
        <f ca="1">IFERROR(__xludf.DUMMYFUNCTION("""COMPUTED_VALUE"""),"I")</f>
        <v>I</v>
      </c>
      <c r="F1877" s="80" t="str">
        <f ca="1">IFERROR(__xludf.DUMMYFUNCTION("""COMPUTED_VALUE"""),"S")</f>
        <v>S</v>
      </c>
      <c r="G1877" s="80">
        <f ca="1">IFERROR(__xludf.DUMMYFUNCTION("""COMPUTED_VALUE"""),5)</f>
        <v>5</v>
      </c>
      <c r="H1877" s="80" t="str">
        <f ca="1">IFERROR(__xludf.DUMMYFUNCTION("""COMPUTED_VALUE"""),"SHB")</f>
        <v>SHB</v>
      </c>
      <c r="I1877" s="80">
        <f ca="1">IFERROR(__xludf.DUMMYFUNCTION("""COMPUTED_VALUE"""),6)</f>
        <v>6</v>
      </c>
      <c r="J1877" s="85">
        <f ca="1">IFERROR(__xludf.DUMMYFUNCTION("""COMPUTED_VALUE"""),3)</f>
        <v>3</v>
      </c>
      <c r="K1877" s="85">
        <f ca="1">IFERROR(__xludf.DUMMYFUNCTION("""COMPUTED_VALUE"""),91.9)</f>
        <v>91.9</v>
      </c>
      <c r="L1877" s="85">
        <f ca="1">IFERROR(__xludf.DUMMYFUNCTION("""COMPUTED_VALUE"""),0)</f>
        <v>0</v>
      </c>
      <c r="M1877" s="85"/>
      <c r="N1877" s="85">
        <f ca="1">IFERROR(__xludf.DUMMYFUNCTION("""COMPUTED_VALUE"""),91.9)</f>
        <v>91.9</v>
      </c>
      <c r="O1877" s="85"/>
      <c r="P1877" s="85">
        <f ca="1">IFERROR(__xludf.DUMMYFUNCTION("""COMPUTED_VALUE"""),87.3)</f>
        <v>87.3</v>
      </c>
      <c r="Q1877" s="85"/>
      <c r="R1877" s="85">
        <f ca="1">IFERROR(__xludf.DUMMYFUNCTION("""COMPUTED_VALUE"""),0)</f>
        <v>0</v>
      </c>
      <c r="S1877" s="85"/>
      <c r="T1877" s="85"/>
      <c r="U1877" s="82"/>
      <c r="V1877" s="82"/>
      <c r="W1877" s="83"/>
      <c r="X1877" s="83"/>
      <c r="Y1877" s="83"/>
    </row>
    <row r="1878" spans="1:25" ht="13.8">
      <c r="A1878" s="78" t="str">
        <f ca="1">IFERROR(__xludf.DUMMYFUNCTION("""COMPUTED_VALUE"""),"SHB")</f>
        <v>SHB</v>
      </c>
      <c r="B1878" s="79" t="str">
        <f ca="1">IFERROR(__xludf.DUMMYFUNCTION("""COMPUTED_VALUE"""),"Breanne Graham")</f>
        <v>Breanne Graham</v>
      </c>
      <c r="C1878" s="78">
        <f ca="1">IFERROR(__xludf.DUMMYFUNCTION("""COMPUTED_VALUE"""),13)</f>
        <v>13</v>
      </c>
      <c r="D1878" s="78" t="str">
        <f ca="1">IFERROR(__xludf.DUMMYFUNCTION("""COMPUTED_VALUE"""),"G")</f>
        <v>G</v>
      </c>
      <c r="E1878" s="80" t="str">
        <f ca="1">IFERROR(__xludf.DUMMYFUNCTION("""COMPUTED_VALUE"""),"I")</f>
        <v>I</v>
      </c>
      <c r="F1878" s="80" t="str">
        <f ca="1">IFERROR(__xludf.DUMMYFUNCTION("""COMPUTED_VALUE"""),"S")</f>
        <v>S</v>
      </c>
      <c r="G1878" s="80">
        <f ca="1">IFERROR(__xludf.DUMMYFUNCTION("""COMPUTED_VALUE"""),5)</f>
        <v>5</v>
      </c>
      <c r="H1878" s="80" t="str">
        <f ca="1">IFERROR(__xludf.DUMMYFUNCTION("""COMPUTED_VALUE"""),"SHB")</f>
        <v>SHB</v>
      </c>
      <c r="I1878" s="80">
        <f ca="1">IFERROR(__xludf.DUMMYFUNCTION("""COMPUTED_VALUE"""),6)</f>
        <v>6</v>
      </c>
      <c r="J1878" s="85">
        <f ca="1">IFERROR(__xludf.DUMMYFUNCTION("""COMPUTED_VALUE"""),0)</f>
        <v>0</v>
      </c>
      <c r="K1878" s="85">
        <f ca="1">IFERROR(__xludf.DUMMYFUNCTION("""COMPUTED_VALUE"""),0)</f>
        <v>0</v>
      </c>
      <c r="L1878" s="85">
        <f ca="1">IFERROR(__xludf.DUMMYFUNCTION("""COMPUTED_VALUE"""),0)</f>
        <v>0</v>
      </c>
      <c r="M1878" s="85"/>
      <c r="N1878" s="85">
        <f ca="1">IFERROR(__xludf.DUMMYFUNCTION("""COMPUTED_VALUE"""),0)</f>
        <v>0</v>
      </c>
      <c r="O1878" s="85"/>
      <c r="P1878" s="85">
        <f ca="1">IFERROR(__xludf.DUMMYFUNCTION("""COMPUTED_VALUE"""),0)</f>
        <v>0</v>
      </c>
      <c r="Q1878" s="85"/>
      <c r="R1878" s="85">
        <f ca="1">IFERROR(__xludf.DUMMYFUNCTION("""COMPUTED_VALUE"""),0)</f>
        <v>0</v>
      </c>
      <c r="S1878" s="85"/>
      <c r="T1878" s="85"/>
      <c r="U1878" s="82"/>
      <c r="V1878" s="82"/>
      <c r="W1878" s="83"/>
      <c r="X1878" s="83"/>
      <c r="Y1878" s="83"/>
    </row>
    <row r="1879" spans="1:25" ht="13.8">
      <c r="A1879" s="78" t="str">
        <f ca="1">IFERROR(__xludf.DUMMYFUNCTION("""COMPUTED_VALUE"""),"SHB")</f>
        <v>SHB</v>
      </c>
      <c r="B1879" s="79" t="str">
        <f ca="1">IFERROR(__xludf.DUMMYFUNCTION("""COMPUTED_VALUE"""),"Olivia Sherman")</f>
        <v>Olivia Sherman</v>
      </c>
      <c r="C1879" s="78">
        <f ca="1">IFERROR(__xludf.DUMMYFUNCTION("""COMPUTED_VALUE"""),13)</f>
        <v>13</v>
      </c>
      <c r="D1879" s="78" t="str">
        <f ca="1">IFERROR(__xludf.DUMMYFUNCTION("""COMPUTED_VALUE"""),"G")</f>
        <v>G</v>
      </c>
      <c r="E1879" s="80" t="str">
        <f ca="1">IFERROR(__xludf.DUMMYFUNCTION("""COMPUTED_VALUE"""),"I")</f>
        <v>I</v>
      </c>
      <c r="F1879" s="80" t="str">
        <f ca="1">IFERROR(__xludf.DUMMYFUNCTION("""COMPUTED_VALUE"""),"S")</f>
        <v>S</v>
      </c>
      <c r="G1879" s="80">
        <f ca="1">IFERROR(__xludf.DUMMYFUNCTION("""COMPUTED_VALUE"""),5)</f>
        <v>5</v>
      </c>
      <c r="H1879" s="80" t="str">
        <f ca="1">IFERROR(__xludf.DUMMYFUNCTION("""COMPUTED_VALUE"""),"SHB")</f>
        <v>SHB</v>
      </c>
      <c r="I1879" s="80">
        <f ca="1">IFERROR(__xludf.DUMMYFUNCTION("""COMPUTED_VALUE"""),6)</f>
        <v>6</v>
      </c>
      <c r="J1879" s="85">
        <f ca="1">IFERROR(__xludf.DUMMYFUNCTION("""COMPUTED_VALUE"""),0)</f>
        <v>0</v>
      </c>
      <c r="K1879" s="85">
        <f ca="1">IFERROR(__xludf.DUMMYFUNCTION("""COMPUTED_VALUE"""),0)</f>
        <v>0</v>
      </c>
      <c r="L1879" s="85">
        <f ca="1">IFERROR(__xludf.DUMMYFUNCTION("""COMPUTED_VALUE"""),0)</f>
        <v>0</v>
      </c>
      <c r="M1879" s="85"/>
      <c r="N1879" s="85">
        <f ca="1">IFERROR(__xludf.DUMMYFUNCTION("""COMPUTED_VALUE"""),0)</f>
        <v>0</v>
      </c>
      <c r="O1879" s="85"/>
      <c r="P1879" s="85">
        <f ca="1">IFERROR(__xludf.DUMMYFUNCTION("""COMPUTED_VALUE"""),0)</f>
        <v>0</v>
      </c>
      <c r="Q1879" s="85"/>
      <c r="R1879" s="85">
        <f ca="1">IFERROR(__xludf.DUMMYFUNCTION("""COMPUTED_VALUE"""),0)</f>
        <v>0</v>
      </c>
      <c r="S1879" s="85"/>
      <c r="T1879" s="85"/>
      <c r="U1879" s="82"/>
      <c r="V1879" s="82"/>
      <c r="W1879" s="83"/>
      <c r="X1879" s="83"/>
      <c r="Y1879" s="83"/>
    </row>
    <row r="1880" spans="1:25" ht="13.8">
      <c r="A1880" s="78" t="str">
        <f ca="1">IFERROR(__xludf.DUMMYFUNCTION("""COMPUTED_VALUE"""),"SHB")</f>
        <v>SHB</v>
      </c>
      <c r="B1880" s="79" t="str">
        <f ca="1">IFERROR(__xludf.DUMMYFUNCTION("""COMPUTED_VALUE"""),"Samantha Shumaker")</f>
        <v>Samantha Shumaker</v>
      </c>
      <c r="C1880" s="78">
        <f ca="1">IFERROR(__xludf.DUMMYFUNCTION("""COMPUTED_VALUE"""),13)</f>
        <v>13</v>
      </c>
      <c r="D1880" s="78" t="str">
        <f ca="1">IFERROR(__xludf.DUMMYFUNCTION("""COMPUTED_VALUE"""),"G")</f>
        <v>G</v>
      </c>
      <c r="E1880" s="80" t="str">
        <f ca="1">IFERROR(__xludf.DUMMYFUNCTION("""COMPUTED_VALUE"""),"I")</f>
        <v>I</v>
      </c>
      <c r="F1880" s="80" t="str">
        <f ca="1">IFERROR(__xludf.DUMMYFUNCTION("""COMPUTED_VALUE"""),"S")</f>
        <v>S</v>
      </c>
      <c r="G1880" s="80">
        <f ca="1">IFERROR(__xludf.DUMMYFUNCTION("""COMPUTED_VALUE"""),5)</f>
        <v>5</v>
      </c>
      <c r="H1880" s="80" t="str">
        <f ca="1">IFERROR(__xludf.DUMMYFUNCTION("""COMPUTED_VALUE"""),"SHB")</f>
        <v>SHB</v>
      </c>
      <c r="I1880" s="80">
        <f ca="1">IFERROR(__xludf.DUMMYFUNCTION("""COMPUTED_VALUE"""),6)</f>
        <v>6</v>
      </c>
      <c r="J1880" s="85">
        <f ca="1">IFERROR(__xludf.DUMMYFUNCTION("""COMPUTED_VALUE"""),0)</f>
        <v>0</v>
      </c>
      <c r="K1880" s="85">
        <f ca="1">IFERROR(__xludf.DUMMYFUNCTION("""COMPUTED_VALUE"""),0)</f>
        <v>0</v>
      </c>
      <c r="L1880" s="85">
        <f ca="1">IFERROR(__xludf.DUMMYFUNCTION("""COMPUTED_VALUE"""),0)</f>
        <v>0</v>
      </c>
      <c r="M1880" s="85"/>
      <c r="N1880" s="85">
        <f ca="1">IFERROR(__xludf.DUMMYFUNCTION("""COMPUTED_VALUE"""),0)</f>
        <v>0</v>
      </c>
      <c r="O1880" s="85"/>
      <c r="P1880" s="85">
        <f ca="1">IFERROR(__xludf.DUMMYFUNCTION("""COMPUTED_VALUE"""),0)</f>
        <v>0</v>
      </c>
      <c r="Q1880" s="85"/>
      <c r="R1880" s="85">
        <f ca="1">IFERROR(__xludf.DUMMYFUNCTION("""COMPUTED_VALUE"""),0)</f>
        <v>0</v>
      </c>
      <c r="S1880" s="85"/>
      <c r="T1880" s="85"/>
      <c r="U1880" s="82"/>
      <c r="V1880" s="82"/>
      <c r="W1880" s="83"/>
      <c r="X1880" s="83"/>
      <c r="Y1880" s="83"/>
    </row>
    <row r="1881" spans="1:25" ht="13.8">
      <c r="A1881" s="78" t="str">
        <f ca="1">IFERROR(__xludf.DUMMYFUNCTION("""COMPUTED_VALUE"""),"SHB")</f>
        <v>SHB</v>
      </c>
      <c r="B1881" s="79" t="str">
        <f ca="1">IFERROR(__xludf.DUMMYFUNCTION("""COMPUTED_VALUE"""),"Paisley Wilkins")</f>
        <v>Paisley Wilkins</v>
      </c>
      <c r="C1881" s="78">
        <f ca="1">IFERROR(__xludf.DUMMYFUNCTION("""COMPUTED_VALUE"""),14)</f>
        <v>14</v>
      </c>
      <c r="D1881" s="78" t="str">
        <f ca="1">IFERROR(__xludf.DUMMYFUNCTION("""COMPUTED_VALUE"""),"G")</f>
        <v>G</v>
      </c>
      <c r="E1881" s="80" t="str">
        <f ca="1">IFERROR(__xludf.DUMMYFUNCTION("""COMPUTED_VALUE"""),"I")</f>
        <v>I</v>
      </c>
      <c r="F1881" s="80" t="str">
        <f ca="1">IFERROR(__xludf.DUMMYFUNCTION("""COMPUTED_VALUE"""),"S")</f>
        <v>S</v>
      </c>
      <c r="G1881" s="80">
        <f ca="1">IFERROR(__xludf.DUMMYFUNCTION("""COMPUTED_VALUE"""),5)</f>
        <v>5</v>
      </c>
      <c r="H1881" s="80" t="str">
        <f ca="1">IFERROR(__xludf.DUMMYFUNCTION("""COMPUTED_VALUE"""),"SHB")</f>
        <v>SHB</v>
      </c>
      <c r="I1881" s="80">
        <f ca="1">IFERROR(__xludf.DUMMYFUNCTION("""COMPUTED_VALUE"""),6)</f>
        <v>6</v>
      </c>
      <c r="J1881" s="85">
        <f ca="1">IFERROR(__xludf.DUMMYFUNCTION("""COMPUTED_VALUE"""),5)</f>
        <v>5</v>
      </c>
      <c r="K1881" s="85">
        <f ca="1">IFERROR(__xludf.DUMMYFUNCTION("""COMPUTED_VALUE"""),118.45)</f>
        <v>118.45</v>
      </c>
      <c r="L1881" s="85">
        <f ca="1">IFERROR(__xludf.DUMMYFUNCTION("""COMPUTED_VALUE"""),117.7)</f>
        <v>117.7</v>
      </c>
      <c r="M1881" s="85"/>
      <c r="N1881" s="85">
        <f ca="1">IFERROR(__xludf.DUMMYFUNCTION("""COMPUTED_VALUE"""),113)</f>
        <v>113</v>
      </c>
      <c r="O1881" s="85"/>
      <c r="P1881" s="85">
        <f ca="1">IFERROR(__xludf.DUMMYFUNCTION("""COMPUTED_VALUE"""),108.4)</f>
        <v>108.4</v>
      </c>
      <c r="Q1881" s="85"/>
      <c r="R1881" s="85">
        <f ca="1">IFERROR(__xludf.DUMMYFUNCTION("""COMPUTED_VALUE"""),118.45)</f>
        <v>118.45</v>
      </c>
      <c r="S1881" s="85"/>
      <c r="T1881" s="85"/>
      <c r="U1881" s="82"/>
      <c r="V1881" s="82"/>
      <c r="W1881" s="83"/>
      <c r="X1881" s="83"/>
      <c r="Y1881" s="83"/>
    </row>
    <row r="1882" spans="1:25" ht="13.8">
      <c r="A1882" s="78" t="str">
        <f ca="1">IFERROR(__xludf.DUMMYFUNCTION("""COMPUTED_VALUE"""),"SHB")</f>
        <v>SHB</v>
      </c>
      <c r="B1882" s="79" t="str">
        <f ca="1">IFERROR(__xludf.DUMMYFUNCTION("""COMPUTED_VALUE"""),"David Caudillo")</f>
        <v>David Caudillo</v>
      </c>
      <c r="C1882" s="78">
        <f ca="1">IFERROR(__xludf.DUMMYFUNCTION("""COMPUTED_VALUE"""),13)</f>
        <v>13</v>
      </c>
      <c r="D1882" s="78" t="str">
        <f ca="1">IFERROR(__xludf.DUMMYFUNCTION("""COMPUTED_VALUE"""),"B")</f>
        <v>B</v>
      </c>
      <c r="E1882" s="80" t="str">
        <f ca="1">IFERROR(__xludf.DUMMYFUNCTION("""COMPUTED_VALUE"""),"I")</f>
        <v>I</v>
      </c>
      <c r="F1882" s="80" t="str">
        <f ca="1">IFERROR(__xludf.DUMMYFUNCTION("""COMPUTED_VALUE"""),"S")</f>
        <v>S</v>
      </c>
      <c r="G1882" s="80">
        <f ca="1">IFERROR(__xludf.DUMMYFUNCTION("""COMPUTED_VALUE"""),5)</f>
        <v>5</v>
      </c>
      <c r="H1882" s="80" t="str">
        <f ca="1">IFERROR(__xludf.DUMMYFUNCTION("""COMPUTED_VALUE"""),"SHB")</f>
        <v>SHB</v>
      </c>
      <c r="I1882" s="80">
        <f ca="1">IFERROR(__xludf.DUMMYFUNCTION("""COMPUTED_VALUE"""),7)</f>
        <v>7</v>
      </c>
      <c r="J1882" s="85">
        <f ca="1">IFERROR(__xludf.DUMMYFUNCTION("""COMPUTED_VALUE"""),5)</f>
        <v>5</v>
      </c>
      <c r="K1882" s="85">
        <f ca="1">IFERROR(__xludf.DUMMYFUNCTION("""COMPUTED_VALUE"""),96.5)</f>
        <v>96.5</v>
      </c>
      <c r="L1882" s="85">
        <f ca="1">IFERROR(__xludf.DUMMYFUNCTION("""COMPUTED_VALUE"""),94.75)</f>
        <v>94.75</v>
      </c>
      <c r="M1882" s="85"/>
      <c r="N1882" s="85">
        <f ca="1">IFERROR(__xludf.DUMMYFUNCTION("""COMPUTED_VALUE"""),81.85)</f>
        <v>81.849999999999994</v>
      </c>
      <c r="O1882" s="85"/>
      <c r="P1882" s="85">
        <f ca="1">IFERROR(__xludf.DUMMYFUNCTION("""COMPUTED_VALUE"""),67.3)</f>
        <v>67.3</v>
      </c>
      <c r="Q1882" s="85"/>
      <c r="R1882" s="85">
        <f ca="1">IFERROR(__xludf.DUMMYFUNCTION("""COMPUTED_VALUE"""),96.5)</f>
        <v>96.5</v>
      </c>
      <c r="S1882" s="85"/>
      <c r="T1882" s="85"/>
      <c r="U1882" s="82"/>
      <c r="V1882" s="82"/>
      <c r="W1882" s="83"/>
      <c r="X1882" s="83"/>
      <c r="Y1882" s="83"/>
    </row>
    <row r="1883" spans="1:25" ht="13.8">
      <c r="A1883" s="78" t="str">
        <f ca="1">IFERROR(__xludf.DUMMYFUNCTION("""COMPUTED_VALUE"""),"SHB")</f>
        <v>SHB</v>
      </c>
      <c r="B1883" s="79" t="str">
        <f ca="1">IFERROR(__xludf.DUMMYFUNCTION("""COMPUTED_VALUE"""),"Gavin Goldstein")</f>
        <v>Gavin Goldstein</v>
      </c>
      <c r="C1883" s="78">
        <f ca="1">IFERROR(__xludf.DUMMYFUNCTION("""COMPUTED_VALUE"""),13)</f>
        <v>13</v>
      </c>
      <c r="D1883" s="78" t="str">
        <f ca="1">IFERROR(__xludf.DUMMYFUNCTION("""COMPUTED_VALUE"""),"B")</f>
        <v>B</v>
      </c>
      <c r="E1883" s="80" t="str">
        <f ca="1">IFERROR(__xludf.DUMMYFUNCTION("""COMPUTED_VALUE"""),"I")</f>
        <v>I</v>
      </c>
      <c r="F1883" s="80" t="str">
        <f ca="1">IFERROR(__xludf.DUMMYFUNCTION("""COMPUTED_VALUE"""),"S")</f>
        <v>S</v>
      </c>
      <c r="G1883" s="80">
        <f ca="1">IFERROR(__xludf.DUMMYFUNCTION("""COMPUTED_VALUE"""),5)</f>
        <v>5</v>
      </c>
      <c r="H1883" s="80" t="str">
        <f ca="1">IFERROR(__xludf.DUMMYFUNCTION("""COMPUTED_VALUE"""),"SHB")</f>
        <v>SHB</v>
      </c>
      <c r="I1883" s="80">
        <f ca="1">IFERROR(__xludf.DUMMYFUNCTION("""COMPUTED_VALUE"""),7)</f>
        <v>7</v>
      </c>
      <c r="J1883" s="85">
        <f ca="1">IFERROR(__xludf.DUMMYFUNCTION("""COMPUTED_VALUE"""),0)</f>
        <v>0</v>
      </c>
      <c r="K1883" s="85">
        <f ca="1">IFERROR(__xludf.DUMMYFUNCTION("""COMPUTED_VALUE"""),0)</f>
        <v>0</v>
      </c>
      <c r="L1883" s="85">
        <f ca="1">IFERROR(__xludf.DUMMYFUNCTION("""COMPUTED_VALUE"""),0)</f>
        <v>0</v>
      </c>
      <c r="M1883" s="85"/>
      <c r="N1883" s="85">
        <f ca="1">IFERROR(__xludf.DUMMYFUNCTION("""COMPUTED_VALUE"""),0)</f>
        <v>0</v>
      </c>
      <c r="O1883" s="85"/>
      <c r="P1883" s="85">
        <f ca="1">IFERROR(__xludf.DUMMYFUNCTION("""COMPUTED_VALUE"""),0)</f>
        <v>0</v>
      </c>
      <c r="Q1883" s="85"/>
      <c r="R1883" s="85">
        <f ca="1">IFERROR(__xludf.DUMMYFUNCTION("""COMPUTED_VALUE"""),0)</f>
        <v>0</v>
      </c>
      <c r="S1883" s="85"/>
      <c r="T1883" s="85"/>
      <c r="U1883" s="82"/>
      <c r="V1883" s="82"/>
      <c r="W1883" s="83"/>
      <c r="X1883" s="83"/>
      <c r="Y1883" s="83"/>
    </row>
    <row r="1884" spans="1:25" ht="13.8">
      <c r="A1884" s="78" t="str">
        <f ca="1">IFERROR(__xludf.DUMMYFUNCTION("""COMPUTED_VALUE"""),"SHB")</f>
        <v>SHB</v>
      </c>
      <c r="B1884" s="79" t="str">
        <f ca="1">IFERROR(__xludf.DUMMYFUNCTION("""COMPUTED_VALUE"""),"Ethan Heim")</f>
        <v>Ethan Heim</v>
      </c>
      <c r="C1884" s="78">
        <f ca="1">IFERROR(__xludf.DUMMYFUNCTION("""COMPUTED_VALUE"""),14)</f>
        <v>14</v>
      </c>
      <c r="D1884" s="78" t="str">
        <f ca="1">IFERROR(__xludf.DUMMYFUNCTION("""COMPUTED_VALUE"""),"B")</f>
        <v>B</v>
      </c>
      <c r="E1884" s="80" t="str">
        <f ca="1">IFERROR(__xludf.DUMMYFUNCTION("""COMPUTED_VALUE"""),"I")</f>
        <v>I</v>
      </c>
      <c r="F1884" s="80" t="str">
        <f ca="1">IFERROR(__xludf.DUMMYFUNCTION("""COMPUTED_VALUE"""),"S")</f>
        <v>S</v>
      </c>
      <c r="G1884" s="80">
        <f ca="1">IFERROR(__xludf.DUMMYFUNCTION("""COMPUTED_VALUE"""),5)</f>
        <v>5</v>
      </c>
      <c r="H1884" s="80" t="str">
        <f ca="1">IFERROR(__xludf.DUMMYFUNCTION("""COMPUTED_VALUE"""),"SHB")</f>
        <v>SHB</v>
      </c>
      <c r="I1884" s="80">
        <f ca="1">IFERROR(__xludf.DUMMYFUNCTION("""COMPUTED_VALUE"""),7)</f>
        <v>7</v>
      </c>
      <c r="J1884" s="85">
        <f ca="1">IFERROR(__xludf.DUMMYFUNCTION("""COMPUTED_VALUE"""),1)</f>
        <v>1</v>
      </c>
      <c r="K1884" s="85">
        <f ca="1">IFERROR(__xludf.DUMMYFUNCTION("""COMPUTED_VALUE"""),97.75)</f>
        <v>97.75</v>
      </c>
      <c r="L1884" s="85">
        <f ca="1">IFERROR(__xludf.DUMMYFUNCTION("""COMPUTED_VALUE"""),0)</f>
        <v>0</v>
      </c>
      <c r="M1884" s="85"/>
      <c r="N1884" s="85">
        <f ca="1">IFERROR(__xludf.DUMMYFUNCTION("""COMPUTED_VALUE"""),0)</f>
        <v>0</v>
      </c>
      <c r="O1884" s="85"/>
      <c r="P1884" s="85">
        <f ca="1">IFERROR(__xludf.DUMMYFUNCTION("""COMPUTED_VALUE"""),97.75)</f>
        <v>97.75</v>
      </c>
      <c r="Q1884" s="85"/>
      <c r="R1884" s="85">
        <f ca="1">IFERROR(__xludf.DUMMYFUNCTION("""COMPUTED_VALUE"""),0)</f>
        <v>0</v>
      </c>
      <c r="S1884" s="85"/>
      <c r="T1884" s="85"/>
      <c r="U1884" s="82"/>
      <c r="V1884" s="82"/>
      <c r="W1884" s="83"/>
      <c r="X1884" s="83"/>
      <c r="Y1884" s="83"/>
    </row>
    <row r="1885" spans="1:25" ht="13.8">
      <c r="A1885" s="78" t="str">
        <f ca="1">IFERROR(__xludf.DUMMYFUNCTION("""COMPUTED_VALUE"""),"SHB")</f>
        <v>SHB</v>
      </c>
      <c r="B1885" s="79" t="str">
        <f ca="1">IFERROR(__xludf.DUMMYFUNCTION("""COMPUTED_VALUE"""),"Donovan Lanoue-Chapman")</f>
        <v>Donovan Lanoue-Chapman</v>
      </c>
      <c r="C1885" s="78">
        <f ca="1">IFERROR(__xludf.DUMMYFUNCTION("""COMPUTED_VALUE"""),13)</f>
        <v>13</v>
      </c>
      <c r="D1885" s="78" t="str">
        <f ca="1">IFERROR(__xludf.DUMMYFUNCTION("""COMPUTED_VALUE"""),"B")</f>
        <v>B</v>
      </c>
      <c r="E1885" s="80" t="str">
        <f ca="1">IFERROR(__xludf.DUMMYFUNCTION("""COMPUTED_VALUE"""),"I")</f>
        <v>I</v>
      </c>
      <c r="F1885" s="80" t="str">
        <f ca="1">IFERROR(__xludf.DUMMYFUNCTION("""COMPUTED_VALUE"""),"S")</f>
        <v>S</v>
      </c>
      <c r="G1885" s="80">
        <f ca="1">IFERROR(__xludf.DUMMYFUNCTION("""COMPUTED_VALUE"""),5)</f>
        <v>5</v>
      </c>
      <c r="H1885" s="80" t="str">
        <f ca="1">IFERROR(__xludf.DUMMYFUNCTION("""COMPUTED_VALUE"""),"SHB")</f>
        <v>SHB</v>
      </c>
      <c r="I1885" s="80">
        <f ca="1">IFERROR(__xludf.DUMMYFUNCTION("""COMPUTED_VALUE"""),7)</f>
        <v>7</v>
      </c>
      <c r="J1885" s="85">
        <f ca="1">IFERROR(__xludf.DUMMYFUNCTION("""COMPUTED_VALUE"""),4)</f>
        <v>4</v>
      </c>
      <c r="K1885" s="85">
        <f ca="1">IFERROR(__xludf.DUMMYFUNCTION("""COMPUTED_VALUE"""),86.2)</f>
        <v>86.2</v>
      </c>
      <c r="L1885" s="85">
        <f ca="1">IFERROR(__xludf.DUMMYFUNCTION("""COMPUTED_VALUE"""),66.6)</f>
        <v>66.599999999999994</v>
      </c>
      <c r="M1885" s="85"/>
      <c r="N1885" s="85">
        <f ca="1">IFERROR(__xludf.DUMMYFUNCTION("""COMPUTED_VALUE"""),74.3)</f>
        <v>74.3</v>
      </c>
      <c r="O1885" s="85"/>
      <c r="P1885" s="85">
        <f ca="1">IFERROR(__xludf.DUMMYFUNCTION("""COMPUTED_VALUE"""),0)</f>
        <v>0</v>
      </c>
      <c r="Q1885" s="85"/>
      <c r="R1885" s="85">
        <f ca="1">IFERROR(__xludf.DUMMYFUNCTION("""COMPUTED_VALUE"""),86.2)</f>
        <v>86.2</v>
      </c>
      <c r="S1885" s="85"/>
      <c r="T1885" s="85"/>
      <c r="U1885" s="82"/>
      <c r="V1885" s="82"/>
      <c r="W1885" s="83"/>
      <c r="X1885" s="83"/>
      <c r="Y1885" s="83"/>
    </row>
    <row r="1886" spans="1:25" ht="13.8">
      <c r="A1886" s="78" t="str">
        <f ca="1">IFERROR(__xludf.DUMMYFUNCTION("""COMPUTED_VALUE"""),"SHB")</f>
        <v>SHB</v>
      </c>
      <c r="B1886" s="79" t="str">
        <f ca="1">IFERROR(__xludf.DUMMYFUNCTION("""COMPUTED_VALUE"""),"Claire Coughlin")</f>
        <v>Claire Coughlin</v>
      </c>
      <c r="C1886" s="78">
        <f ca="1">IFERROR(__xludf.DUMMYFUNCTION("""COMPUTED_VALUE"""),15)</f>
        <v>15</v>
      </c>
      <c r="D1886" s="78" t="str">
        <f ca="1">IFERROR(__xludf.DUMMYFUNCTION("""COMPUTED_VALUE"""),"G")</f>
        <v>G</v>
      </c>
      <c r="E1886" s="80" t="str">
        <f ca="1">IFERROR(__xludf.DUMMYFUNCTION("""COMPUTED_VALUE"""),"S")</f>
        <v>S</v>
      </c>
      <c r="F1886" s="80" t="str">
        <f ca="1">IFERROR(__xludf.DUMMYFUNCTION("""COMPUTED_VALUE"""),"S")</f>
        <v>S</v>
      </c>
      <c r="G1886" s="80">
        <f ca="1">IFERROR(__xludf.DUMMYFUNCTION("""COMPUTED_VALUE"""),5)</f>
        <v>5</v>
      </c>
      <c r="H1886" s="80" t="str">
        <f ca="1">IFERROR(__xludf.DUMMYFUNCTION("""COMPUTED_VALUE"""),"SHB")</f>
        <v>SHB</v>
      </c>
      <c r="I1886" s="80">
        <f ca="1">IFERROR(__xludf.DUMMYFUNCTION("""COMPUTED_VALUE"""),8)</f>
        <v>8</v>
      </c>
      <c r="J1886" s="85">
        <f ca="1">IFERROR(__xludf.DUMMYFUNCTION("""COMPUTED_VALUE"""),5)</f>
        <v>5</v>
      </c>
      <c r="K1886" s="85">
        <f ca="1">IFERROR(__xludf.DUMMYFUNCTION("""COMPUTED_VALUE"""),148.75)</f>
        <v>148.75</v>
      </c>
      <c r="L1886" s="85">
        <f ca="1">IFERROR(__xludf.DUMMYFUNCTION("""COMPUTED_VALUE"""),137.55)</f>
        <v>137.55000000000001</v>
      </c>
      <c r="M1886" s="85"/>
      <c r="N1886" s="85">
        <f ca="1">IFERROR(__xludf.DUMMYFUNCTION("""COMPUTED_VALUE"""),125.35)</f>
        <v>125.35</v>
      </c>
      <c r="O1886" s="85"/>
      <c r="P1886" s="85">
        <f ca="1">IFERROR(__xludf.DUMMYFUNCTION("""COMPUTED_VALUE"""),119.3)</f>
        <v>119.3</v>
      </c>
      <c r="Q1886" s="85"/>
      <c r="R1886" s="85">
        <f ca="1">IFERROR(__xludf.DUMMYFUNCTION("""COMPUTED_VALUE"""),148.75)</f>
        <v>148.75</v>
      </c>
      <c r="S1886" s="85"/>
      <c r="T1886" s="85"/>
      <c r="U1886" s="82"/>
      <c r="V1886" s="82"/>
      <c r="W1886" s="83"/>
      <c r="X1886" s="83"/>
      <c r="Y1886" s="83"/>
    </row>
    <row r="1887" spans="1:25" ht="13.8">
      <c r="A1887" s="78" t="str">
        <f ca="1">IFERROR(__xludf.DUMMYFUNCTION("""COMPUTED_VALUE"""),"SHB")</f>
        <v>SHB</v>
      </c>
      <c r="B1887" s="79" t="str">
        <f ca="1">IFERROR(__xludf.DUMMYFUNCTION("""COMPUTED_VALUE"""),"Zoe London")</f>
        <v>Zoe London</v>
      </c>
      <c r="C1887" s="78">
        <f ca="1">IFERROR(__xludf.DUMMYFUNCTION("""COMPUTED_VALUE"""),17)</f>
        <v>17</v>
      </c>
      <c r="D1887" s="78" t="str">
        <f ca="1">IFERROR(__xludf.DUMMYFUNCTION("""COMPUTED_VALUE"""),"G")</f>
        <v>G</v>
      </c>
      <c r="E1887" s="80" t="str">
        <f ca="1">IFERROR(__xludf.DUMMYFUNCTION("""COMPUTED_VALUE"""),"S")</f>
        <v>S</v>
      </c>
      <c r="F1887" s="80" t="str">
        <f ca="1">IFERROR(__xludf.DUMMYFUNCTION("""COMPUTED_VALUE"""),"S")</f>
        <v>S</v>
      </c>
      <c r="G1887" s="80">
        <f ca="1">IFERROR(__xludf.DUMMYFUNCTION("""COMPUTED_VALUE"""),5)</f>
        <v>5</v>
      </c>
      <c r="H1887" s="80" t="str">
        <f ca="1">IFERROR(__xludf.DUMMYFUNCTION("""COMPUTED_VALUE"""),"SHB")</f>
        <v>SHB</v>
      </c>
      <c r="I1887" s="80">
        <f ca="1">IFERROR(__xludf.DUMMYFUNCTION("""COMPUTED_VALUE"""),8)</f>
        <v>8</v>
      </c>
      <c r="J1887" s="85">
        <f ca="1">IFERROR(__xludf.DUMMYFUNCTION("""COMPUTED_VALUE"""),3)</f>
        <v>3</v>
      </c>
      <c r="K1887" s="85">
        <f ca="1">IFERROR(__xludf.DUMMYFUNCTION("""COMPUTED_VALUE"""),156.8)</f>
        <v>156.80000000000001</v>
      </c>
      <c r="L1887" s="85">
        <f ca="1">IFERROR(__xludf.DUMMYFUNCTION("""COMPUTED_VALUE"""),0)</f>
        <v>0</v>
      </c>
      <c r="M1887" s="85"/>
      <c r="N1887" s="85">
        <f ca="1">IFERROR(__xludf.DUMMYFUNCTION("""COMPUTED_VALUE"""),0)</f>
        <v>0</v>
      </c>
      <c r="O1887" s="85"/>
      <c r="P1887" s="85">
        <f ca="1">IFERROR(__xludf.DUMMYFUNCTION("""COMPUTED_VALUE"""),79.05)</f>
        <v>79.05</v>
      </c>
      <c r="Q1887" s="85"/>
      <c r="R1887" s="85">
        <f ca="1">IFERROR(__xludf.DUMMYFUNCTION("""COMPUTED_VALUE"""),156.8)</f>
        <v>156.80000000000001</v>
      </c>
      <c r="S1887" s="85"/>
      <c r="T1887" s="85"/>
      <c r="U1887" s="82"/>
      <c r="V1887" s="82"/>
      <c r="W1887" s="83"/>
      <c r="X1887" s="83"/>
      <c r="Y1887" s="83"/>
    </row>
    <row r="1888" spans="1:25" ht="13.8">
      <c r="A1888" s="78" t="str">
        <f ca="1">IFERROR(__xludf.DUMMYFUNCTION("""COMPUTED_VALUE"""),"SHB")</f>
        <v>SHB</v>
      </c>
      <c r="B1888" s="79" t="str">
        <f ca="1">IFERROR(__xludf.DUMMYFUNCTION("""COMPUTED_VALUE"""),"Grace Martin")</f>
        <v>Grace Martin</v>
      </c>
      <c r="C1888" s="78">
        <f ca="1">IFERROR(__xludf.DUMMYFUNCTION("""COMPUTED_VALUE"""),17)</f>
        <v>17</v>
      </c>
      <c r="D1888" s="78" t="str">
        <f ca="1">IFERROR(__xludf.DUMMYFUNCTION("""COMPUTED_VALUE"""),"G")</f>
        <v>G</v>
      </c>
      <c r="E1888" s="80" t="str">
        <f ca="1">IFERROR(__xludf.DUMMYFUNCTION("""COMPUTED_VALUE"""),"S")</f>
        <v>S</v>
      </c>
      <c r="F1888" s="80" t="str">
        <f ca="1">IFERROR(__xludf.DUMMYFUNCTION("""COMPUTED_VALUE"""),"S")</f>
        <v>S</v>
      </c>
      <c r="G1888" s="80">
        <f ca="1">IFERROR(__xludf.DUMMYFUNCTION("""COMPUTED_VALUE"""),5)</f>
        <v>5</v>
      </c>
      <c r="H1888" s="80" t="str">
        <f ca="1">IFERROR(__xludf.DUMMYFUNCTION("""COMPUTED_VALUE"""),"SHB")</f>
        <v>SHB</v>
      </c>
      <c r="I1888" s="80">
        <f ca="1">IFERROR(__xludf.DUMMYFUNCTION("""COMPUTED_VALUE"""),8)</f>
        <v>8</v>
      </c>
      <c r="J1888" s="85">
        <f ca="1">IFERROR(__xludf.DUMMYFUNCTION("""COMPUTED_VALUE"""),2)</f>
        <v>2</v>
      </c>
      <c r="K1888" s="85">
        <f ca="1">IFERROR(__xludf.DUMMYFUNCTION("""COMPUTED_VALUE"""),100.5)</f>
        <v>100.5</v>
      </c>
      <c r="L1888" s="85">
        <f ca="1">IFERROR(__xludf.DUMMYFUNCTION("""COMPUTED_VALUE"""),0)</f>
        <v>0</v>
      </c>
      <c r="M1888" s="85"/>
      <c r="N1888" s="85">
        <f ca="1">IFERROR(__xludf.DUMMYFUNCTION("""COMPUTED_VALUE"""),0)</f>
        <v>0</v>
      </c>
      <c r="O1888" s="85"/>
      <c r="P1888" s="85">
        <f ca="1">IFERROR(__xludf.DUMMYFUNCTION("""COMPUTED_VALUE"""),0)</f>
        <v>0</v>
      </c>
      <c r="Q1888" s="85"/>
      <c r="R1888" s="85">
        <f ca="1">IFERROR(__xludf.DUMMYFUNCTION("""COMPUTED_VALUE"""),100.5)</f>
        <v>100.5</v>
      </c>
      <c r="S1888" s="85"/>
      <c r="T1888" s="85"/>
      <c r="U1888" s="82"/>
      <c r="V1888" s="82"/>
      <c r="W1888" s="83"/>
      <c r="X1888" s="83"/>
      <c r="Y1888" s="83"/>
    </row>
    <row r="1889" spans="1:25" ht="13.8">
      <c r="A1889" s="78" t="str">
        <f ca="1">IFERROR(__xludf.DUMMYFUNCTION("""COMPUTED_VALUE"""),"SHB")</f>
        <v>SHB</v>
      </c>
      <c r="B1889" s="79" t="str">
        <f ca="1">IFERROR(__xludf.DUMMYFUNCTION("""COMPUTED_VALUE"""),"Erica Schroeder")</f>
        <v>Erica Schroeder</v>
      </c>
      <c r="C1889" s="78">
        <f ca="1">IFERROR(__xludf.DUMMYFUNCTION("""COMPUTED_VALUE"""),17)</f>
        <v>17</v>
      </c>
      <c r="D1889" s="78" t="str">
        <f ca="1">IFERROR(__xludf.DUMMYFUNCTION("""COMPUTED_VALUE"""),"G")</f>
        <v>G</v>
      </c>
      <c r="E1889" s="80" t="str">
        <f ca="1">IFERROR(__xludf.DUMMYFUNCTION("""COMPUTED_VALUE"""),"S")</f>
        <v>S</v>
      </c>
      <c r="F1889" s="80" t="str">
        <f ca="1">IFERROR(__xludf.DUMMYFUNCTION("""COMPUTED_VALUE"""),"S")</f>
        <v>S</v>
      </c>
      <c r="G1889" s="80">
        <f ca="1">IFERROR(__xludf.DUMMYFUNCTION("""COMPUTED_VALUE"""),5)</f>
        <v>5</v>
      </c>
      <c r="H1889" s="80" t="str">
        <f ca="1">IFERROR(__xludf.DUMMYFUNCTION("""COMPUTED_VALUE"""),"SHB")</f>
        <v>SHB</v>
      </c>
      <c r="I1889" s="80">
        <f ca="1">IFERROR(__xludf.DUMMYFUNCTION("""COMPUTED_VALUE"""),8)</f>
        <v>8</v>
      </c>
      <c r="J1889" s="85">
        <f ca="1">IFERROR(__xludf.DUMMYFUNCTION("""COMPUTED_VALUE"""),5)</f>
        <v>5</v>
      </c>
      <c r="K1889" s="85">
        <f ca="1">IFERROR(__xludf.DUMMYFUNCTION("""COMPUTED_VALUE"""),168.1)</f>
        <v>168.1</v>
      </c>
      <c r="L1889" s="85">
        <f ca="1">IFERROR(__xludf.DUMMYFUNCTION("""COMPUTED_VALUE"""),148.5)</f>
        <v>148.5</v>
      </c>
      <c r="M1889" s="85"/>
      <c r="N1889" s="85">
        <f ca="1">IFERROR(__xludf.DUMMYFUNCTION("""COMPUTED_VALUE"""),162.8)</f>
        <v>162.80000000000001</v>
      </c>
      <c r="O1889" s="85"/>
      <c r="P1889" s="85">
        <f ca="1">IFERROR(__xludf.DUMMYFUNCTION("""COMPUTED_VALUE"""),139.9)</f>
        <v>139.9</v>
      </c>
      <c r="Q1889" s="85"/>
      <c r="R1889" s="85">
        <f ca="1">IFERROR(__xludf.DUMMYFUNCTION("""COMPUTED_VALUE"""),168.1)</f>
        <v>168.1</v>
      </c>
      <c r="S1889" s="85"/>
      <c r="T1889" s="85"/>
      <c r="U1889" s="82"/>
      <c r="V1889" s="82"/>
      <c r="W1889" s="83"/>
      <c r="X1889" s="83"/>
      <c r="Y1889" s="83"/>
    </row>
    <row r="1890" spans="1:25" ht="13.8">
      <c r="A1890" s="78" t="str">
        <f ca="1">IFERROR(__xludf.DUMMYFUNCTION("""COMPUTED_VALUE"""),"SHB")</f>
        <v>SHB</v>
      </c>
      <c r="B1890" s="79" t="str">
        <f ca="1">IFERROR(__xludf.DUMMYFUNCTION("""COMPUTED_VALUE"""),"Sophia Schroeder")</f>
        <v>Sophia Schroeder</v>
      </c>
      <c r="C1890" s="78">
        <f ca="1">IFERROR(__xludf.DUMMYFUNCTION("""COMPUTED_VALUE"""),17)</f>
        <v>17</v>
      </c>
      <c r="D1890" s="78" t="str">
        <f ca="1">IFERROR(__xludf.DUMMYFUNCTION("""COMPUTED_VALUE"""),"G")</f>
        <v>G</v>
      </c>
      <c r="E1890" s="80" t="str">
        <f ca="1">IFERROR(__xludf.DUMMYFUNCTION("""COMPUTED_VALUE"""),"S")</f>
        <v>S</v>
      </c>
      <c r="F1890" s="80" t="str">
        <f ca="1">IFERROR(__xludf.DUMMYFUNCTION("""COMPUTED_VALUE"""),"S")</f>
        <v>S</v>
      </c>
      <c r="G1890" s="80">
        <f ca="1">IFERROR(__xludf.DUMMYFUNCTION("""COMPUTED_VALUE"""),5)</f>
        <v>5</v>
      </c>
      <c r="H1890" s="80" t="str">
        <f ca="1">IFERROR(__xludf.DUMMYFUNCTION("""COMPUTED_VALUE"""),"SHB")</f>
        <v>SHB</v>
      </c>
      <c r="I1890" s="80">
        <f ca="1">IFERROR(__xludf.DUMMYFUNCTION("""COMPUTED_VALUE"""),8)</f>
        <v>8</v>
      </c>
      <c r="J1890" s="85">
        <f ca="1">IFERROR(__xludf.DUMMYFUNCTION("""COMPUTED_VALUE"""),3)</f>
        <v>3</v>
      </c>
      <c r="K1890" s="85">
        <f ca="1">IFERROR(__xludf.DUMMYFUNCTION("""COMPUTED_VALUE"""),143.85)</f>
        <v>143.85</v>
      </c>
      <c r="L1890" s="85">
        <f ca="1">IFERROR(__xludf.DUMMYFUNCTION("""COMPUTED_VALUE"""),133.8)</f>
        <v>133.80000000000001</v>
      </c>
      <c r="M1890" s="85"/>
      <c r="N1890" s="85">
        <f ca="1">IFERROR(__xludf.DUMMYFUNCTION("""COMPUTED_VALUE"""),0)</f>
        <v>0</v>
      </c>
      <c r="O1890" s="85"/>
      <c r="P1890" s="85">
        <f ca="1">IFERROR(__xludf.DUMMYFUNCTION("""COMPUTED_VALUE"""),0)</f>
        <v>0</v>
      </c>
      <c r="Q1890" s="85"/>
      <c r="R1890" s="85">
        <f ca="1">IFERROR(__xludf.DUMMYFUNCTION("""COMPUTED_VALUE"""),143.85)</f>
        <v>143.85</v>
      </c>
      <c r="S1890" s="85"/>
      <c r="T1890" s="85"/>
      <c r="U1890" s="82"/>
      <c r="V1890" s="82"/>
      <c r="W1890" s="83"/>
      <c r="X1890" s="83"/>
      <c r="Y1890" s="83"/>
    </row>
    <row r="1891" spans="1:25" ht="13.8">
      <c r="A1891" s="78" t="str">
        <f ca="1">IFERROR(__xludf.DUMMYFUNCTION("""COMPUTED_VALUE"""),"SHB")</f>
        <v>SHB</v>
      </c>
      <c r="B1891" s="79" t="str">
        <f ca="1">IFERROR(__xludf.DUMMYFUNCTION("""COMPUTED_VALUE"""),"Ryan Caughey")</f>
        <v>Ryan Caughey</v>
      </c>
      <c r="C1891" s="78">
        <f ca="1">IFERROR(__xludf.DUMMYFUNCTION("""COMPUTED_VALUE"""),15)</f>
        <v>15</v>
      </c>
      <c r="D1891" s="78" t="str">
        <f ca="1">IFERROR(__xludf.DUMMYFUNCTION("""COMPUTED_VALUE"""),"B")</f>
        <v>B</v>
      </c>
      <c r="E1891" s="80" t="str">
        <f ca="1">IFERROR(__xludf.DUMMYFUNCTION("""COMPUTED_VALUE"""),"S")</f>
        <v>S</v>
      </c>
      <c r="F1891" s="80" t="str">
        <f ca="1">IFERROR(__xludf.DUMMYFUNCTION("""COMPUTED_VALUE"""),"S")</f>
        <v>S</v>
      </c>
      <c r="G1891" s="80">
        <f ca="1">IFERROR(__xludf.DUMMYFUNCTION("""COMPUTED_VALUE"""),5)</f>
        <v>5</v>
      </c>
      <c r="H1891" s="80" t="str">
        <f ca="1">IFERROR(__xludf.DUMMYFUNCTION("""COMPUTED_VALUE"""),"SHB")</f>
        <v>SHB</v>
      </c>
      <c r="I1891" s="80">
        <f ca="1">IFERROR(__xludf.DUMMYFUNCTION("""COMPUTED_VALUE"""),9)</f>
        <v>9</v>
      </c>
      <c r="J1891" s="85">
        <f ca="1">IFERROR(__xludf.DUMMYFUNCTION("""COMPUTED_VALUE"""),4)</f>
        <v>4</v>
      </c>
      <c r="K1891" s="85">
        <f ca="1">IFERROR(__xludf.DUMMYFUNCTION("""COMPUTED_VALUE"""),110.35)</f>
        <v>110.35</v>
      </c>
      <c r="L1891" s="85">
        <f ca="1">IFERROR(__xludf.DUMMYFUNCTION("""COMPUTED_VALUE"""),106.05)</f>
        <v>106.05</v>
      </c>
      <c r="M1891" s="85"/>
      <c r="N1891" s="85">
        <f ca="1">IFERROR(__xludf.DUMMYFUNCTION("""COMPUTED_VALUE"""),110.35)</f>
        <v>110.35</v>
      </c>
      <c r="O1891" s="85"/>
      <c r="P1891" s="85">
        <f ca="1">IFERROR(__xludf.DUMMYFUNCTION("""COMPUTED_VALUE"""),102.7)</f>
        <v>102.7</v>
      </c>
      <c r="Q1891" s="85"/>
      <c r="R1891" s="85">
        <f ca="1">IFERROR(__xludf.DUMMYFUNCTION("""COMPUTED_VALUE"""),0)</f>
        <v>0</v>
      </c>
      <c r="S1891" s="85"/>
      <c r="T1891" s="85"/>
      <c r="U1891" s="82"/>
      <c r="V1891" s="82"/>
      <c r="W1891" s="83"/>
      <c r="X1891" s="83"/>
      <c r="Y1891" s="83"/>
    </row>
    <row r="1892" spans="1:25" ht="13.8">
      <c r="A1892" s="78" t="str">
        <f ca="1">IFERROR(__xludf.DUMMYFUNCTION("""COMPUTED_VALUE"""),"SHB")</f>
        <v>SHB</v>
      </c>
      <c r="B1892" s="79" t="str">
        <f ca="1">IFERROR(__xludf.DUMMYFUNCTION("""COMPUTED_VALUE"""),"Peter Cullather")</f>
        <v>Peter Cullather</v>
      </c>
      <c r="C1892" s="78">
        <f ca="1">IFERROR(__xludf.DUMMYFUNCTION("""COMPUTED_VALUE"""),15)</f>
        <v>15</v>
      </c>
      <c r="D1892" s="78" t="str">
        <f ca="1">IFERROR(__xludf.DUMMYFUNCTION("""COMPUTED_VALUE"""),"B")</f>
        <v>B</v>
      </c>
      <c r="E1892" s="80" t="str">
        <f ca="1">IFERROR(__xludf.DUMMYFUNCTION("""COMPUTED_VALUE"""),"S")</f>
        <v>S</v>
      </c>
      <c r="F1892" s="80" t="str">
        <f ca="1">IFERROR(__xludf.DUMMYFUNCTION("""COMPUTED_VALUE"""),"S")</f>
        <v>S</v>
      </c>
      <c r="G1892" s="80">
        <f ca="1">IFERROR(__xludf.DUMMYFUNCTION("""COMPUTED_VALUE"""),5)</f>
        <v>5</v>
      </c>
      <c r="H1892" s="80" t="str">
        <f ca="1">IFERROR(__xludf.DUMMYFUNCTION("""COMPUTED_VALUE"""),"SHB")</f>
        <v>SHB</v>
      </c>
      <c r="I1892" s="80">
        <f ca="1">IFERROR(__xludf.DUMMYFUNCTION("""COMPUTED_VALUE"""),9)</f>
        <v>9</v>
      </c>
      <c r="J1892" s="85">
        <f ca="1">IFERROR(__xludf.DUMMYFUNCTION("""COMPUTED_VALUE"""),3)</f>
        <v>3</v>
      </c>
      <c r="K1892" s="85">
        <f ca="1">IFERROR(__xludf.DUMMYFUNCTION("""COMPUTED_VALUE"""),136.6)</f>
        <v>136.6</v>
      </c>
      <c r="L1892" s="85">
        <f ca="1">IFERROR(__xludf.DUMMYFUNCTION("""COMPUTED_VALUE"""),0)</f>
        <v>0</v>
      </c>
      <c r="M1892" s="85"/>
      <c r="N1892" s="85">
        <f ca="1">IFERROR(__xludf.DUMMYFUNCTION("""COMPUTED_VALUE"""),126.5)</f>
        <v>126.5</v>
      </c>
      <c r="O1892" s="85"/>
      <c r="P1892" s="85">
        <f ca="1">IFERROR(__xludf.DUMMYFUNCTION("""COMPUTED_VALUE"""),136.6)</f>
        <v>136.6</v>
      </c>
      <c r="Q1892" s="85"/>
      <c r="R1892" s="85">
        <f ca="1">IFERROR(__xludf.DUMMYFUNCTION("""COMPUTED_VALUE"""),119.5)</f>
        <v>119.5</v>
      </c>
      <c r="S1892" s="85"/>
      <c r="T1892" s="85"/>
      <c r="U1892" s="82"/>
      <c r="V1892" s="82"/>
      <c r="W1892" s="83"/>
      <c r="X1892" s="83"/>
      <c r="Y1892" s="83"/>
    </row>
    <row r="1893" spans="1:25" ht="13.8">
      <c r="A1893" s="78" t="str">
        <f ca="1">IFERROR(__xludf.DUMMYFUNCTION("""COMPUTED_VALUE"""),"SHB")</f>
        <v>SHB</v>
      </c>
      <c r="B1893" s="79" t="str">
        <f ca="1">IFERROR(__xludf.DUMMYFUNCTION("""COMPUTED_VALUE"""),"Michael Hitchock")</f>
        <v>Michael Hitchock</v>
      </c>
      <c r="C1893" s="78">
        <f ca="1">IFERROR(__xludf.DUMMYFUNCTION("""COMPUTED_VALUE"""),17)</f>
        <v>17</v>
      </c>
      <c r="D1893" s="78" t="str">
        <f ca="1">IFERROR(__xludf.DUMMYFUNCTION("""COMPUTED_VALUE"""),"B")</f>
        <v>B</v>
      </c>
      <c r="E1893" s="80" t="str">
        <f ca="1">IFERROR(__xludf.DUMMYFUNCTION("""COMPUTED_VALUE"""),"S")</f>
        <v>S</v>
      </c>
      <c r="F1893" s="80" t="str">
        <f ca="1">IFERROR(__xludf.DUMMYFUNCTION("""COMPUTED_VALUE"""),"S")</f>
        <v>S</v>
      </c>
      <c r="G1893" s="80">
        <f ca="1">IFERROR(__xludf.DUMMYFUNCTION("""COMPUTED_VALUE"""),5)</f>
        <v>5</v>
      </c>
      <c r="H1893" s="80" t="str">
        <f ca="1">IFERROR(__xludf.DUMMYFUNCTION("""COMPUTED_VALUE"""),"SHB")</f>
        <v>SHB</v>
      </c>
      <c r="I1893" s="80">
        <f ca="1">IFERROR(__xludf.DUMMYFUNCTION("""COMPUTED_VALUE"""),9)</f>
        <v>9</v>
      </c>
      <c r="J1893" s="85">
        <f ca="1">IFERROR(__xludf.DUMMYFUNCTION("""COMPUTED_VALUE"""),4)</f>
        <v>4</v>
      </c>
      <c r="K1893" s="85">
        <f ca="1">IFERROR(__xludf.DUMMYFUNCTION("""COMPUTED_VALUE"""),129.6)</f>
        <v>129.6</v>
      </c>
      <c r="L1893" s="85">
        <f ca="1">IFERROR(__xludf.DUMMYFUNCTION("""COMPUTED_VALUE"""),0)</f>
        <v>0</v>
      </c>
      <c r="M1893" s="85"/>
      <c r="N1893" s="85">
        <f ca="1">IFERROR(__xludf.DUMMYFUNCTION("""COMPUTED_VALUE"""),121)</f>
        <v>121</v>
      </c>
      <c r="O1893" s="85"/>
      <c r="P1893" s="85">
        <f ca="1">IFERROR(__xludf.DUMMYFUNCTION("""COMPUTED_VALUE"""),95.7)</f>
        <v>95.7</v>
      </c>
      <c r="Q1893" s="85"/>
      <c r="R1893" s="85">
        <f ca="1">IFERROR(__xludf.DUMMYFUNCTION("""COMPUTED_VALUE"""),129.6)</f>
        <v>129.6</v>
      </c>
      <c r="S1893" s="85"/>
      <c r="T1893" s="85"/>
      <c r="U1893" s="82"/>
      <c r="V1893" s="82"/>
      <c r="W1893" s="83"/>
      <c r="X1893" s="83"/>
      <c r="Y1893" s="83"/>
    </row>
    <row r="1894" spans="1:25" ht="13.8">
      <c r="A1894" s="78" t="str">
        <f ca="1">IFERROR(__xludf.DUMMYFUNCTION("""COMPUTED_VALUE"""),"SHB")</f>
        <v>SHB</v>
      </c>
      <c r="B1894" s="79" t="str">
        <f ca="1">IFERROR(__xludf.DUMMYFUNCTION("""COMPUTED_VALUE"""),"Sam Martin")</f>
        <v>Sam Martin</v>
      </c>
      <c r="C1894" s="78">
        <f ca="1">IFERROR(__xludf.DUMMYFUNCTION("""COMPUTED_VALUE"""),15)</f>
        <v>15</v>
      </c>
      <c r="D1894" s="78" t="str">
        <f ca="1">IFERROR(__xludf.DUMMYFUNCTION("""COMPUTED_VALUE"""),"B")</f>
        <v>B</v>
      </c>
      <c r="E1894" s="80" t="str">
        <f ca="1">IFERROR(__xludf.DUMMYFUNCTION("""COMPUTED_VALUE"""),"S")</f>
        <v>S</v>
      </c>
      <c r="F1894" s="80" t="str">
        <f ca="1">IFERROR(__xludf.DUMMYFUNCTION("""COMPUTED_VALUE"""),"S")</f>
        <v>S</v>
      </c>
      <c r="G1894" s="80">
        <f ca="1">IFERROR(__xludf.DUMMYFUNCTION("""COMPUTED_VALUE"""),5)</f>
        <v>5</v>
      </c>
      <c r="H1894" s="80" t="str">
        <f ca="1">IFERROR(__xludf.DUMMYFUNCTION("""COMPUTED_VALUE"""),"SHB")</f>
        <v>SHB</v>
      </c>
      <c r="I1894" s="80">
        <f ca="1">IFERROR(__xludf.DUMMYFUNCTION("""COMPUTED_VALUE"""),9)</f>
        <v>9</v>
      </c>
      <c r="J1894" s="85">
        <f ca="1">IFERROR(__xludf.DUMMYFUNCTION("""COMPUTED_VALUE"""),5)</f>
        <v>5</v>
      </c>
      <c r="K1894" s="85">
        <f ca="1">IFERROR(__xludf.DUMMYFUNCTION("""COMPUTED_VALUE"""),142.15)</f>
        <v>142.15</v>
      </c>
      <c r="L1894" s="85">
        <f ca="1">IFERROR(__xludf.DUMMYFUNCTION("""COMPUTED_VALUE"""),139.85)</f>
        <v>139.85</v>
      </c>
      <c r="M1894" s="85"/>
      <c r="N1894" s="85">
        <f ca="1">IFERROR(__xludf.DUMMYFUNCTION("""COMPUTED_VALUE"""),130.05)</f>
        <v>130.05000000000001</v>
      </c>
      <c r="O1894" s="85"/>
      <c r="P1894" s="85">
        <f ca="1">IFERROR(__xludf.DUMMYFUNCTION("""COMPUTED_VALUE"""),116.5)</f>
        <v>116.5</v>
      </c>
      <c r="Q1894" s="85"/>
      <c r="R1894" s="85">
        <f ca="1">IFERROR(__xludf.DUMMYFUNCTION("""COMPUTED_VALUE"""),142.15)</f>
        <v>142.15</v>
      </c>
      <c r="S1894" s="85"/>
      <c r="T1894" s="85"/>
      <c r="U1894" s="82"/>
      <c r="V1894" s="82"/>
      <c r="W1894" s="83"/>
      <c r="X1894" s="83"/>
      <c r="Y1894" s="83"/>
    </row>
    <row r="1895" spans="1:25" ht="13.8">
      <c r="A1895" s="78" t="str">
        <f ca="1">IFERROR(__xludf.DUMMYFUNCTION("""COMPUTED_VALUE"""),"SHB")</f>
        <v>SHB</v>
      </c>
      <c r="B1895" s="79" t="str">
        <f ca="1">IFERROR(__xludf.DUMMYFUNCTION("""COMPUTED_VALUE"""),"Joe Shumaker")</f>
        <v>Joe Shumaker</v>
      </c>
      <c r="C1895" s="78">
        <f ca="1">IFERROR(__xludf.DUMMYFUNCTION("""COMPUTED_VALUE"""),15)</f>
        <v>15</v>
      </c>
      <c r="D1895" s="78" t="str">
        <f ca="1">IFERROR(__xludf.DUMMYFUNCTION("""COMPUTED_VALUE"""),"B")</f>
        <v>B</v>
      </c>
      <c r="E1895" s="80" t="str">
        <f ca="1">IFERROR(__xludf.DUMMYFUNCTION("""COMPUTED_VALUE"""),"S")</f>
        <v>S</v>
      </c>
      <c r="F1895" s="80" t="str">
        <f ca="1">IFERROR(__xludf.DUMMYFUNCTION("""COMPUTED_VALUE"""),"S")</f>
        <v>S</v>
      </c>
      <c r="G1895" s="80">
        <f ca="1">IFERROR(__xludf.DUMMYFUNCTION("""COMPUTED_VALUE"""),5)</f>
        <v>5</v>
      </c>
      <c r="H1895" s="80" t="str">
        <f ca="1">IFERROR(__xludf.DUMMYFUNCTION("""COMPUTED_VALUE"""),"SHB")</f>
        <v>SHB</v>
      </c>
      <c r="I1895" s="80">
        <f ca="1">IFERROR(__xludf.DUMMYFUNCTION("""COMPUTED_VALUE"""),9)</f>
        <v>9</v>
      </c>
      <c r="J1895" s="85">
        <f ca="1">IFERROR(__xludf.DUMMYFUNCTION("""COMPUTED_VALUE"""),0)</f>
        <v>0</v>
      </c>
      <c r="K1895" s="85">
        <f ca="1">IFERROR(__xludf.DUMMYFUNCTION("""COMPUTED_VALUE"""),0)</f>
        <v>0</v>
      </c>
      <c r="L1895" s="85">
        <f ca="1">IFERROR(__xludf.DUMMYFUNCTION("""COMPUTED_VALUE"""),0)</f>
        <v>0</v>
      </c>
      <c r="M1895" s="85"/>
      <c r="N1895" s="85">
        <f ca="1">IFERROR(__xludf.DUMMYFUNCTION("""COMPUTED_VALUE"""),0)</f>
        <v>0</v>
      </c>
      <c r="O1895" s="85"/>
      <c r="P1895" s="85">
        <f ca="1">IFERROR(__xludf.DUMMYFUNCTION("""COMPUTED_VALUE"""),0)</f>
        <v>0</v>
      </c>
      <c r="Q1895" s="85"/>
      <c r="R1895" s="85">
        <f ca="1">IFERROR(__xludf.DUMMYFUNCTION("""COMPUTED_VALUE"""),0)</f>
        <v>0</v>
      </c>
      <c r="S1895" s="85"/>
      <c r="T1895" s="85"/>
      <c r="U1895" s="82"/>
      <c r="V1895" s="82"/>
      <c r="W1895" s="83"/>
      <c r="X1895" s="83"/>
      <c r="Y1895" s="83"/>
    </row>
    <row r="1896" spans="1:25" ht="13.8">
      <c r="A1896" s="78" t="str">
        <f ca="1">IFERROR(__xludf.DUMMYFUNCTION("""COMPUTED_VALUE"""),"SHR")</f>
        <v>SHR</v>
      </c>
      <c r="B1896" s="79" t="str">
        <f ca="1">IFERROR(__xludf.DUMMYFUNCTION("""COMPUTED_VALUE"""),"Alexandra Bailey")</f>
        <v>Alexandra Bailey</v>
      </c>
      <c r="C1896" s="78">
        <f ca="1">IFERROR(__xludf.DUMMYFUNCTION("""COMPUTED_VALUE"""),7)</f>
        <v>7</v>
      </c>
      <c r="D1896" s="78" t="str">
        <f ca="1">IFERROR(__xludf.DUMMYFUNCTION("""COMPUTED_VALUE"""),"G")</f>
        <v>G</v>
      </c>
      <c r="E1896" s="80" t="str">
        <f ca="1">IFERROR(__xludf.DUMMYFUNCTION("""COMPUTED_VALUE"""),"F")</f>
        <v>F</v>
      </c>
      <c r="F1896" s="80" t="str">
        <f ca="1">IFERROR(__xludf.DUMMYFUNCTION("""COMPUTED_VALUE"""),"J")</f>
        <v>J</v>
      </c>
      <c r="G1896" s="80">
        <f ca="1">IFERROR(__xludf.DUMMYFUNCTION("""COMPUTED_VALUE"""),3)</f>
        <v>3</v>
      </c>
      <c r="H1896" s="80" t="str">
        <f ca="1">IFERROR(__xludf.DUMMYFUNCTION("""COMPUTED_VALUE"""),"SHR")</f>
        <v>SHR</v>
      </c>
      <c r="I1896" s="80">
        <f ca="1">IFERROR(__xludf.DUMMYFUNCTION("""COMPUTED_VALUE"""),2)</f>
        <v>2</v>
      </c>
      <c r="J1896" s="85">
        <f ca="1">IFERROR(__xludf.DUMMYFUNCTION("""COMPUTED_VALUE"""),0)</f>
        <v>0</v>
      </c>
      <c r="K1896" s="85">
        <f ca="1">IFERROR(__xludf.DUMMYFUNCTION("""COMPUTED_VALUE"""),0)</f>
        <v>0</v>
      </c>
      <c r="L1896" s="85">
        <f ca="1">IFERROR(__xludf.DUMMYFUNCTION("""COMPUTED_VALUE"""),0)</f>
        <v>0</v>
      </c>
      <c r="M1896" s="85"/>
      <c r="N1896" s="85">
        <f ca="1">IFERROR(__xludf.DUMMYFUNCTION("""COMPUTED_VALUE"""),0)</f>
        <v>0</v>
      </c>
      <c r="O1896" s="85"/>
      <c r="P1896" s="85">
        <f ca="1">IFERROR(__xludf.DUMMYFUNCTION("""COMPUTED_VALUE"""),0)</f>
        <v>0</v>
      </c>
      <c r="Q1896" s="85"/>
      <c r="R1896" s="85">
        <f ca="1">IFERROR(__xludf.DUMMYFUNCTION("""COMPUTED_VALUE"""),0)</f>
        <v>0</v>
      </c>
      <c r="S1896" s="85"/>
      <c r="T1896" s="85"/>
      <c r="U1896" s="82"/>
      <c r="V1896" s="82"/>
      <c r="W1896" s="83"/>
      <c r="X1896" s="83"/>
      <c r="Y1896" s="83"/>
    </row>
    <row r="1897" spans="1:25" ht="13.8">
      <c r="A1897" s="78" t="str">
        <f ca="1">IFERROR(__xludf.DUMMYFUNCTION("""COMPUTED_VALUE"""),"SHR")</f>
        <v>SHR</v>
      </c>
      <c r="B1897" s="79" t="str">
        <f ca="1">IFERROR(__xludf.DUMMYFUNCTION("""COMPUTED_VALUE"""),"Maggie Barker")</f>
        <v>Maggie Barker</v>
      </c>
      <c r="C1897" s="78">
        <f ca="1">IFERROR(__xludf.DUMMYFUNCTION("""COMPUTED_VALUE"""),7)</f>
        <v>7</v>
      </c>
      <c r="D1897" s="78" t="str">
        <f ca="1">IFERROR(__xludf.DUMMYFUNCTION("""COMPUTED_VALUE"""),"G")</f>
        <v>G</v>
      </c>
      <c r="E1897" s="80" t="str">
        <f ca="1">IFERROR(__xludf.DUMMYFUNCTION("""COMPUTED_VALUE"""),"F")</f>
        <v>F</v>
      </c>
      <c r="F1897" s="80" t="str">
        <f ca="1">IFERROR(__xludf.DUMMYFUNCTION("""COMPUTED_VALUE"""),"J")</f>
        <v>J</v>
      </c>
      <c r="G1897" s="80">
        <f ca="1">IFERROR(__xludf.DUMMYFUNCTION("""COMPUTED_VALUE"""),3)</f>
        <v>3</v>
      </c>
      <c r="H1897" s="80" t="str">
        <f ca="1">IFERROR(__xludf.DUMMYFUNCTION("""COMPUTED_VALUE"""),"SHR")</f>
        <v>SHR</v>
      </c>
      <c r="I1897" s="80">
        <f ca="1">IFERROR(__xludf.DUMMYFUNCTION("""COMPUTED_VALUE"""),2)</f>
        <v>2</v>
      </c>
      <c r="J1897" s="85">
        <f ca="1">IFERROR(__xludf.DUMMYFUNCTION("""COMPUTED_VALUE"""),0)</f>
        <v>0</v>
      </c>
      <c r="K1897" s="85">
        <f ca="1">IFERROR(__xludf.DUMMYFUNCTION("""COMPUTED_VALUE"""),0)</f>
        <v>0</v>
      </c>
      <c r="L1897" s="85">
        <f ca="1">IFERROR(__xludf.DUMMYFUNCTION("""COMPUTED_VALUE"""),0)</f>
        <v>0</v>
      </c>
      <c r="M1897" s="85"/>
      <c r="N1897" s="85">
        <f ca="1">IFERROR(__xludf.DUMMYFUNCTION("""COMPUTED_VALUE"""),0)</f>
        <v>0</v>
      </c>
      <c r="O1897" s="85"/>
      <c r="P1897" s="85">
        <f ca="1">IFERROR(__xludf.DUMMYFUNCTION("""COMPUTED_VALUE"""),0)</f>
        <v>0</v>
      </c>
      <c r="Q1897" s="85"/>
      <c r="R1897" s="85">
        <f ca="1">IFERROR(__xludf.DUMMYFUNCTION("""COMPUTED_VALUE"""),0)</f>
        <v>0</v>
      </c>
      <c r="S1897" s="85"/>
      <c r="T1897" s="85"/>
      <c r="U1897" s="82"/>
      <c r="V1897" s="82"/>
      <c r="W1897" s="83"/>
      <c r="X1897" s="83"/>
      <c r="Y1897" s="83"/>
    </row>
    <row r="1898" spans="1:25" ht="13.8">
      <c r="A1898" s="78" t="str">
        <f ca="1">IFERROR(__xludf.DUMMYFUNCTION("""COMPUTED_VALUE"""),"SHR")</f>
        <v>SHR</v>
      </c>
      <c r="B1898" s="79" t="str">
        <f ca="1">IFERROR(__xludf.DUMMYFUNCTION("""COMPUTED_VALUE"""),"Hannah Brubeck")</f>
        <v>Hannah Brubeck</v>
      </c>
      <c r="C1898" s="78">
        <f ca="1">IFERROR(__xludf.DUMMYFUNCTION("""COMPUTED_VALUE"""),8)</f>
        <v>8</v>
      </c>
      <c r="D1898" s="78" t="str">
        <f ca="1">IFERROR(__xludf.DUMMYFUNCTION("""COMPUTED_VALUE"""),"G")</f>
        <v>G</v>
      </c>
      <c r="E1898" s="80" t="str">
        <f ca="1">IFERROR(__xludf.DUMMYFUNCTION("""COMPUTED_VALUE"""),"F")</f>
        <v>F</v>
      </c>
      <c r="F1898" s="80" t="str">
        <f ca="1">IFERROR(__xludf.DUMMYFUNCTION("""COMPUTED_VALUE"""),"J")</f>
        <v>J</v>
      </c>
      <c r="G1898" s="80">
        <f ca="1">IFERROR(__xludf.DUMMYFUNCTION("""COMPUTED_VALUE"""),3)</f>
        <v>3</v>
      </c>
      <c r="H1898" s="80" t="str">
        <f ca="1">IFERROR(__xludf.DUMMYFUNCTION("""COMPUTED_VALUE"""),"SHR")</f>
        <v>SHR</v>
      </c>
      <c r="I1898" s="80">
        <f ca="1">IFERROR(__xludf.DUMMYFUNCTION("""COMPUTED_VALUE"""),2)</f>
        <v>2</v>
      </c>
      <c r="J1898" s="85">
        <f ca="1">IFERROR(__xludf.DUMMYFUNCTION("""COMPUTED_VALUE"""),5)</f>
        <v>5</v>
      </c>
      <c r="K1898" s="85">
        <f ca="1">IFERROR(__xludf.DUMMYFUNCTION("""COMPUTED_VALUE"""),64.95)</f>
        <v>64.95</v>
      </c>
      <c r="L1898" s="85">
        <f ca="1">IFERROR(__xludf.DUMMYFUNCTION("""COMPUTED_VALUE"""),43.7)</f>
        <v>43.7</v>
      </c>
      <c r="M1898" s="85"/>
      <c r="N1898" s="85">
        <f ca="1">IFERROR(__xludf.DUMMYFUNCTION("""COMPUTED_VALUE"""),53.25)</f>
        <v>53.25</v>
      </c>
      <c r="O1898" s="85"/>
      <c r="P1898" s="85">
        <f ca="1">IFERROR(__xludf.DUMMYFUNCTION("""COMPUTED_VALUE"""),64.95)</f>
        <v>64.95</v>
      </c>
      <c r="Q1898" s="85"/>
      <c r="R1898" s="85">
        <f ca="1">IFERROR(__xludf.DUMMYFUNCTION("""COMPUTED_VALUE"""),62.95)</f>
        <v>62.95</v>
      </c>
      <c r="S1898" s="85"/>
      <c r="T1898" s="85"/>
      <c r="U1898" s="82"/>
      <c r="V1898" s="82"/>
      <c r="W1898" s="83"/>
      <c r="X1898" s="83"/>
      <c r="Y1898" s="83"/>
    </row>
    <row r="1899" spans="1:25" ht="13.8">
      <c r="A1899" s="78" t="str">
        <f ca="1">IFERROR(__xludf.DUMMYFUNCTION("""COMPUTED_VALUE"""),"SHR")</f>
        <v>SHR</v>
      </c>
      <c r="B1899" s="79" t="str">
        <f ca="1">IFERROR(__xludf.DUMMYFUNCTION("""COMPUTED_VALUE"""),"Isla Cannon")</f>
        <v>Isla Cannon</v>
      </c>
      <c r="C1899" s="78">
        <f ca="1">IFERROR(__xludf.DUMMYFUNCTION("""COMPUTED_VALUE"""),8)</f>
        <v>8</v>
      </c>
      <c r="D1899" s="78" t="str">
        <f ca="1">IFERROR(__xludf.DUMMYFUNCTION("""COMPUTED_VALUE"""),"G")</f>
        <v>G</v>
      </c>
      <c r="E1899" s="80" t="str">
        <f ca="1">IFERROR(__xludf.DUMMYFUNCTION("""COMPUTED_VALUE"""),"F")</f>
        <v>F</v>
      </c>
      <c r="F1899" s="80" t="str">
        <f ca="1">IFERROR(__xludf.DUMMYFUNCTION("""COMPUTED_VALUE"""),"J")</f>
        <v>J</v>
      </c>
      <c r="G1899" s="80">
        <f ca="1">IFERROR(__xludf.DUMMYFUNCTION("""COMPUTED_VALUE"""),3)</f>
        <v>3</v>
      </c>
      <c r="H1899" s="80" t="str">
        <f ca="1">IFERROR(__xludf.DUMMYFUNCTION("""COMPUTED_VALUE"""),"SHR")</f>
        <v>SHR</v>
      </c>
      <c r="I1899" s="80">
        <f ca="1">IFERROR(__xludf.DUMMYFUNCTION("""COMPUTED_VALUE"""),2)</f>
        <v>2</v>
      </c>
      <c r="J1899" s="85">
        <f ca="1">IFERROR(__xludf.DUMMYFUNCTION("""COMPUTED_VALUE"""),0)</f>
        <v>0</v>
      </c>
      <c r="K1899" s="85">
        <f ca="1">IFERROR(__xludf.DUMMYFUNCTION("""COMPUTED_VALUE"""),0)</f>
        <v>0</v>
      </c>
      <c r="L1899" s="85">
        <f ca="1">IFERROR(__xludf.DUMMYFUNCTION("""COMPUTED_VALUE"""),0)</f>
        <v>0</v>
      </c>
      <c r="M1899" s="85"/>
      <c r="N1899" s="85">
        <f ca="1">IFERROR(__xludf.DUMMYFUNCTION("""COMPUTED_VALUE"""),0)</f>
        <v>0</v>
      </c>
      <c r="O1899" s="85"/>
      <c r="P1899" s="85">
        <f ca="1">IFERROR(__xludf.DUMMYFUNCTION("""COMPUTED_VALUE"""),0)</f>
        <v>0</v>
      </c>
      <c r="Q1899" s="85"/>
      <c r="R1899" s="85">
        <f ca="1">IFERROR(__xludf.DUMMYFUNCTION("""COMPUTED_VALUE"""),0)</f>
        <v>0</v>
      </c>
      <c r="S1899" s="85"/>
      <c r="T1899" s="85"/>
      <c r="U1899" s="82"/>
      <c r="V1899" s="82"/>
      <c r="W1899" s="83"/>
      <c r="X1899" s="83"/>
      <c r="Y1899" s="83"/>
    </row>
    <row r="1900" spans="1:25" ht="13.8">
      <c r="A1900" s="78" t="str">
        <f ca="1">IFERROR(__xludf.DUMMYFUNCTION("""COMPUTED_VALUE"""),"SHR")</f>
        <v>SHR</v>
      </c>
      <c r="B1900" s="79" t="str">
        <f ca="1">IFERROR(__xludf.DUMMYFUNCTION("""COMPUTED_VALUE"""),"Emerson Crawford")</f>
        <v>Emerson Crawford</v>
      </c>
      <c r="C1900" s="78">
        <f ca="1">IFERROR(__xludf.DUMMYFUNCTION("""COMPUTED_VALUE"""),8)</f>
        <v>8</v>
      </c>
      <c r="D1900" s="78" t="str">
        <f ca="1">IFERROR(__xludf.DUMMYFUNCTION("""COMPUTED_VALUE"""),"G")</f>
        <v>G</v>
      </c>
      <c r="E1900" s="80" t="str">
        <f ca="1">IFERROR(__xludf.DUMMYFUNCTION("""COMPUTED_VALUE"""),"F")</f>
        <v>F</v>
      </c>
      <c r="F1900" s="80" t="str">
        <f ca="1">IFERROR(__xludf.DUMMYFUNCTION("""COMPUTED_VALUE"""),"J")</f>
        <v>J</v>
      </c>
      <c r="G1900" s="80">
        <f ca="1">IFERROR(__xludf.DUMMYFUNCTION("""COMPUTED_VALUE"""),3)</f>
        <v>3</v>
      </c>
      <c r="H1900" s="80" t="str">
        <f ca="1">IFERROR(__xludf.DUMMYFUNCTION("""COMPUTED_VALUE"""),"SHR")</f>
        <v>SHR</v>
      </c>
      <c r="I1900" s="80">
        <f ca="1">IFERROR(__xludf.DUMMYFUNCTION("""COMPUTED_VALUE"""),2)</f>
        <v>2</v>
      </c>
      <c r="J1900" s="85">
        <f ca="1">IFERROR(__xludf.DUMMYFUNCTION("""COMPUTED_VALUE"""),0)</f>
        <v>0</v>
      </c>
      <c r="K1900" s="85">
        <f ca="1">IFERROR(__xludf.DUMMYFUNCTION("""COMPUTED_VALUE"""),0)</f>
        <v>0</v>
      </c>
      <c r="L1900" s="85">
        <f ca="1">IFERROR(__xludf.DUMMYFUNCTION("""COMPUTED_VALUE"""),0)</f>
        <v>0</v>
      </c>
      <c r="M1900" s="85"/>
      <c r="N1900" s="85">
        <f ca="1">IFERROR(__xludf.DUMMYFUNCTION("""COMPUTED_VALUE"""),0)</f>
        <v>0</v>
      </c>
      <c r="O1900" s="85"/>
      <c r="P1900" s="85">
        <f ca="1">IFERROR(__xludf.DUMMYFUNCTION("""COMPUTED_VALUE"""),0)</f>
        <v>0</v>
      </c>
      <c r="Q1900" s="85"/>
      <c r="R1900" s="85">
        <f ca="1">IFERROR(__xludf.DUMMYFUNCTION("""COMPUTED_VALUE"""),0)</f>
        <v>0</v>
      </c>
      <c r="S1900" s="85"/>
      <c r="T1900" s="85"/>
      <c r="U1900" s="82"/>
      <c r="V1900" s="82"/>
      <c r="W1900" s="83"/>
      <c r="X1900" s="83"/>
      <c r="Y1900" s="83"/>
    </row>
    <row r="1901" spans="1:25" ht="13.8">
      <c r="A1901" s="78" t="str">
        <f ca="1">IFERROR(__xludf.DUMMYFUNCTION("""COMPUTED_VALUE"""),"SHR")</f>
        <v>SHR</v>
      </c>
      <c r="B1901" s="79" t="str">
        <f ca="1">IFERROR(__xludf.DUMMYFUNCTION("""COMPUTED_VALUE"""),"Kiersten Crawford")</f>
        <v>Kiersten Crawford</v>
      </c>
      <c r="C1901" s="78">
        <f ca="1">IFERROR(__xludf.DUMMYFUNCTION("""COMPUTED_VALUE"""),6)</f>
        <v>6</v>
      </c>
      <c r="D1901" s="78" t="str">
        <f ca="1">IFERROR(__xludf.DUMMYFUNCTION("""COMPUTED_VALUE"""),"G")</f>
        <v>G</v>
      </c>
      <c r="E1901" s="80" t="str">
        <f ca="1">IFERROR(__xludf.DUMMYFUNCTION("""COMPUTED_VALUE"""),"F")</f>
        <v>F</v>
      </c>
      <c r="F1901" s="80" t="str">
        <f ca="1">IFERROR(__xludf.DUMMYFUNCTION("""COMPUTED_VALUE"""),"J")</f>
        <v>J</v>
      </c>
      <c r="G1901" s="80">
        <f ca="1">IFERROR(__xludf.DUMMYFUNCTION("""COMPUTED_VALUE"""),3)</f>
        <v>3</v>
      </c>
      <c r="H1901" s="80" t="str">
        <f ca="1">IFERROR(__xludf.DUMMYFUNCTION("""COMPUTED_VALUE"""),"SHR")</f>
        <v>SHR</v>
      </c>
      <c r="I1901" s="80">
        <f ca="1">IFERROR(__xludf.DUMMYFUNCTION("""COMPUTED_VALUE"""),2)</f>
        <v>2</v>
      </c>
      <c r="J1901" s="85">
        <f ca="1">IFERROR(__xludf.DUMMYFUNCTION("""COMPUTED_VALUE"""),0)</f>
        <v>0</v>
      </c>
      <c r="K1901" s="85">
        <f ca="1">IFERROR(__xludf.DUMMYFUNCTION("""COMPUTED_VALUE"""),0)</f>
        <v>0</v>
      </c>
      <c r="L1901" s="85">
        <f ca="1">IFERROR(__xludf.DUMMYFUNCTION("""COMPUTED_VALUE"""),0)</f>
        <v>0</v>
      </c>
      <c r="M1901" s="85"/>
      <c r="N1901" s="85">
        <f ca="1">IFERROR(__xludf.DUMMYFUNCTION("""COMPUTED_VALUE"""),0)</f>
        <v>0</v>
      </c>
      <c r="O1901" s="85"/>
      <c r="P1901" s="85">
        <f ca="1">IFERROR(__xludf.DUMMYFUNCTION("""COMPUTED_VALUE"""),0)</f>
        <v>0</v>
      </c>
      <c r="Q1901" s="85"/>
      <c r="R1901" s="85">
        <f ca="1">IFERROR(__xludf.DUMMYFUNCTION("""COMPUTED_VALUE"""),0)</f>
        <v>0</v>
      </c>
      <c r="S1901" s="85"/>
      <c r="T1901" s="85"/>
      <c r="U1901" s="82"/>
      <c r="V1901" s="82"/>
      <c r="W1901" s="83"/>
      <c r="X1901" s="83"/>
      <c r="Y1901" s="83"/>
    </row>
    <row r="1902" spans="1:25" ht="13.8">
      <c r="A1902" s="78" t="str">
        <f ca="1">IFERROR(__xludf.DUMMYFUNCTION("""COMPUTED_VALUE"""),"SHR")</f>
        <v>SHR</v>
      </c>
      <c r="B1902" s="79" t="str">
        <f ca="1">IFERROR(__xludf.DUMMYFUNCTION("""COMPUTED_VALUE"""),"Elle Feeley")</f>
        <v>Elle Feeley</v>
      </c>
      <c r="C1902" s="78">
        <f ca="1">IFERROR(__xludf.DUMMYFUNCTION("""COMPUTED_VALUE"""),8)</f>
        <v>8</v>
      </c>
      <c r="D1902" s="78" t="str">
        <f ca="1">IFERROR(__xludf.DUMMYFUNCTION("""COMPUTED_VALUE"""),"G")</f>
        <v>G</v>
      </c>
      <c r="E1902" s="80" t="str">
        <f ca="1">IFERROR(__xludf.DUMMYFUNCTION("""COMPUTED_VALUE"""),"F")</f>
        <v>F</v>
      </c>
      <c r="F1902" s="80" t="str">
        <f ca="1">IFERROR(__xludf.DUMMYFUNCTION("""COMPUTED_VALUE"""),"J")</f>
        <v>J</v>
      </c>
      <c r="G1902" s="80">
        <f ca="1">IFERROR(__xludf.DUMMYFUNCTION("""COMPUTED_VALUE"""),3)</f>
        <v>3</v>
      </c>
      <c r="H1902" s="80" t="str">
        <f ca="1">IFERROR(__xludf.DUMMYFUNCTION("""COMPUTED_VALUE"""),"SHR")</f>
        <v>SHR</v>
      </c>
      <c r="I1902" s="80">
        <f ca="1">IFERROR(__xludf.DUMMYFUNCTION("""COMPUTED_VALUE"""),2)</f>
        <v>2</v>
      </c>
      <c r="J1902" s="85">
        <f ca="1">IFERROR(__xludf.DUMMYFUNCTION("""COMPUTED_VALUE"""),4)</f>
        <v>4</v>
      </c>
      <c r="K1902" s="85">
        <f ca="1">IFERROR(__xludf.DUMMYFUNCTION("""COMPUTED_VALUE"""),62.25)</f>
        <v>62.25</v>
      </c>
      <c r="L1902" s="85">
        <f ca="1">IFERROR(__xludf.DUMMYFUNCTION("""COMPUTED_VALUE"""),0)</f>
        <v>0</v>
      </c>
      <c r="M1902" s="85"/>
      <c r="N1902" s="85">
        <f ca="1">IFERROR(__xludf.DUMMYFUNCTION("""COMPUTED_VALUE"""),50.35)</f>
        <v>50.35</v>
      </c>
      <c r="O1902" s="85"/>
      <c r="P1902" s="85">
        <f ca="1">IFERROR(__xludf.DUMMYFUNCTION("""COMPUTED_VALUE"""),60.75)</f>
        <v>60.75</v>
      </c>
      <c r="Q1902" s="85"/>
      <c r="R1902" s="85">
        <f ca="1">IFERROR(__xludf.DUMMYFUNCTION("""COMPUTED_VALUE"""),62.25)</f>
        <v>62.25</v>
      </c>
      <c r="S1902" s="85"/>
      <c r="T1902" s="85"/>
      <c r="U1902" s="82"/>
      <c r="V1902" s="82"/>
      <c r="W1902" s="83"/>
      <c r="X1902" s="83"/>
      <c r="Y1902" s="83"/>
    </row>
    <row r="1903" spans="1:25" ht="13.8">
      <c r="A1903" s="78" t="str">
        <f ca="1">IFERROR(__xludf.DUMMYFUNCTION("""COMPUTED_VALUE"""),"SHR")</f>
        <v>SHR</v>
      </c>
      <c r="B1903" s="79" t="str">
        <f ca="1">IFERROR(__xludf.DUMMYFUNCTION("""COMPUTED_VALUE"""),"Molly Hamill")</f>
        <v>Molly Hamill</v>
      </c>
      <c r="C1903" s="78">
        <f ca="1">IFERROR(__xludf.DUMMYFUNCTION("""COMPUTED_VALUE"""),8)</f>
        <v>8</v>
      </c>
      <c r="D1903" s="78" t="str">
        <f ca="1">IFERROR(__xludf.DUMMYFUNCTION("""COMPUTED_VALUE"""),"G")</f>
        <v>G</v>
      </c>
      <c r="E1903" s="80" t="str">
        <f ca="1">IFERROR(__xludf.DUMMYFUNCTION("""COMPUTED_VALUE"""),"F")</f>
        <v>F</v>
      </c>
      <c r="F1903" s="80" t="str">
        <f ca="1">IFERROR(__xludf.DUMMYFUNCTION("""COMPUTED_VALUE"""),"J")</f>
        <v>J</v>
      </c>
      <c r="G1903" s="80">
        <f ca="1">IFERROR(__xludf.DUMMYFUNCTION("""COMPUTED_VALUE"""),3)</f>
        <v>3</v>
      </c>
      <c r="H1903" s="80" t="str">
        <f ca="1">IFERROR(__xludf.DUMMYFUNCTION("""COMPUTED_VALUE"""),"SHR")</f>
        <v>SHR</v>
      </c>
      <c r="I1903" s="80">
        <f ca="1">IFERROR(__xludf.DUMMYFUNCTION("""COMPUTED_VALUE"""),2)</f>
        <v>2</v>
      </c>
      <c r="J1903" s="85">
        <f ca="1">IFERROR(__xludf.DUMMYFUNCTION("""COMPUTED_VALUE"""),0)</f>
        <v>0</v>
      </c>
      <c r="K1903" s="85">
        <f ca="1">IFERROR(__xludf.DUMMYFUNCTION("""COMPUTED_VALUE"""),0)</f>
        <v>0</v>
      </c>
      <c r="L1903" s="85">
        <f ca="1">IFERROR(__xludf.DUMMYFUNCTION("""COMPUTED_VALUE"""),0)</f>
        <v>0</v>
      </c>
      <c r="M1903" s="85"/>
      <c r="N1903" s="85">
        <f ca="1">IFERROR(__xludf.DUMMYFUNCTION("""COMPUTED_VALUE"""),0)</f>
        <v>0</v>
      </c>
      <c r="O1903" s="85"/>
      <c r="P1903" s="85">
        <f ca="1">IFERROR(__xludf.DUMMYFUNCTION("""COMPUTED_VALUE"""),0)</f>
        <v>0</v>
      </c>
      <c r="Q1903" s="85"/>
      <c r="R1903" s="85">
        <f ca="1">IFERROR(__xludf.DUMMYFUNCTION("""COMPUTED_VALUE"""),0)</f>
        <v>0</v>
      </c>
      <c r="S1903" s="85"/>
      <c r="T1903" s="85"/>
      <c r="U1903" s="82"/>
      <c r="V1903" s="82"/>
      <c r="W1903" s="83"/>
      <c r="X1903" s="83"/>
      <c r="Y1903" s="83"/>
    </row>
    <row r="1904" spans="1:25" ht="13.8">
      <c r="A1904" s="78" t="str">
        <f ca="1">IFERROR(__xludf.DUMMYFUNCTION("""COMPUTED_VALUE"""),"SHR")</f>
        <v>SHR</v>
      </c>
      <c r="B1904" s="79" t="str">
        <f ca="1">IFERROR(__xludf.DUMMYFUNCTION("""COMPUTED_VALUE"""),"Elizabeth Heim")</f>
        <v>Elizabeth Heim</v>
      </c>
      <c r="C1904" s="78">
        <f ca="1">IFERROR(__xludf.DUMMYFUNCTION("""COMPUTED_VALUE"""),10)</f>
        <v>10</v>
      </c>
      <c r="D1904" s="78" t="str">
        <f ca="1">IFERROR(__xludf.DUMMYFUNCTION("""COMPUTED_VALUE"""),"G")</f>
        <v>G</v>
      </c>
      <c r="E1904" s="80" t="str">
        <f ca="1">IFERROR(__xludf.DUMMYFUNCTION("""COMPUTED_VALUE"""),"F")</f>
        <v>F</v>
      </c>
      <c r="F1904" s="80" t="str">
        <f ca="1">IFERROR(__xludf.DUMMYFUNCTION("""COMPUTED_VALUE"""),"J")</f>
        <v>J</v>
      </c>
      <c r="G1904" s="80">
        <f ca="1">IFERROR(__xludf.DUMMYFUNCTION("""COMPUTED_VALUE"""),3)</f>
        <v>3</v>
      </c>
      <c r="H1904" s="80" t="str">
        <f ca="1">IFERROR(__xludf.DUMMYFUNCTION("""COMPUTED_VALUE"""),"SHR")</f>
        <v>SHR</v>
      </c>
      <c r="I1904" s="80">
        <f ca="1">IFERROR(__xludf.DUMMYFUNCTION("""COMPUTED_VALUE"""),2)</f>
        <v>2</v>
      </c>
      <c r="J1904" s="85">
        <f ca="1">IFERROR(__xludf.DUMMYFUNCTION("""COMPUTED_VALUE"""),4)</f>
        <v>4</v>
      </c>
      <c r="K1904" s="85">
        <f ca="1">IFERROR(__xludf.DUMMYFUNCTION("""COMPUTED_VALUE"""),59.1)</f>
        <v>59.1</v>
      </c>
      <c r="L1904" s="85">
        <f ca="1">IFERROR(__xludf.DUMMYFUNCTION("""COMPUTED_VALUE"""),0)</f>
        <v>0</v>
      </c>
      <c r="M1904" s="85"/>
      <c r="N1904" s="85">
        <f ca="1">IFERROR(__xludf.DUMMYFUNCTION("""COMPUTED_VALUE"""),37.5)</f>
        <v>37.5</v>
      </c>
      <c r="O1904" s="85"/>
      <c r="P1904" s="85">
        <f ca="1">IFERROR(__xludf.DUMMYFUNCTION("""COMPUTED_VALUE"""),59.1)</f>
        <v>59.1</v>
      </c>
      <c r="Q1904" s="85"/>
      <c r="R1904" s="85">
        <f ca="1">IFERROR(__xludf.DUMMYFUNCTION("""COMPUTED_VALUE"""),51.6)</f>
        <v>51.6</v>
      </c>
      <c r="S1904" s="85"/>
      <c r="T1904" s="85"/>
      <c r="U1904" s="82"/>
      <c r="V1904" s="82"/>
      <c r="W1904" s="83"/>
      <c r="X1904" s="83"/>
      <c r="Y1904" s="83"/>
    </row>
    <row r="1905" spans="1:25" ht="13.8">
      <c r="A1905" s="78" t="str">
        <f ca="1">IFERROR(__xludf.DUMMYFUNCTION("""COMPUTED_VALUE"""),"SHR")</f>
        <v>SHR</v>
      </c>
      <c r="B1905" s="79" t="str">
        <f ca="1">IFERROR(__xludf.DUMMYFUNCTION("""COMPUTED_VALUE"""),"Colette Marra")</f>
        <v>Colette Marra</v>
      </c>
      <c r="C1905" s="78">
        <f ca="1">IFERROR(__xludf.DUMMYFUNCTION("""COMPUTED_VALUE"""),8)</f>
        <v>8</v>
      </c>
      <c r="D1905" s="78" t="str">
        <f ca="1">IFERROR(__xludf.DUMMYFUNCTION("""COMPUTED_VALUE"""),"G")</f>
        <v>G</v>
      </c>
      <c r="E1905" s="80" t="str">
        <f ca="1">IFERROR(__xludf.DUMMYFUNCTION("""COMPUTED_VALUE"""),"F")</f>
        <v>F</v>
      </c>
      <c r="F1905" s="80" t="str">
        <f ca="1">IFERROR(__xludf.DUMMYFUNCTION("""COMPUTED_VALUE"""),"J")</f>
        <v>J</v>
      </c>
      <c r="G1905" s="80">
        <f ca="1">IFERROR(__xludf.DUMMYFUNCTION("""COMPUTED_VALUE"""),3)</f>
        <v>3</v>
      </c>
      <c r="H1905" s="80" t="str">
        <f ca="1">IFERROR(__xludf.DUMMYFUNCTION("""COMPUTED_VALUE"""),"SHR")</f>
        <v>SHR</v>
      </c>
      <c r="I1905" s="80">
        <f ca="1">IFERROR(__xludf.DUMMYFUNCTION("""COMPUTED_VALUE"""),2)</f>
        <v>2</v>
      </c>
      <c r="J1905" s="85">
        <f ca="1">IFERROR(__xludf.DUMMYFUNCTION("""COMPUTED_VALUE"""),0)</f>
        <v>0</v>
      </c>
      <c r="K1905" s="85">
        <f ca="1">IFERROR(__xludf.DUMMYFUNCTION("""COMPUTED_VALUE"""),0)</f>
        <v>0</v>
      </c>
      <c r="L1905" s="85">
        <f ca="1">IFERROR(__xludf.DUMMYFUNCTION("""COMPUTED_VALUE"""),0)</f>
        <v>0</v>
      </c>
      <c r="M1905" s="85"/>
      <c r="N1905" s="85">
        <f ca="1">IFERROR(__xludf.DUMMYFUNCTION("""COMPUTED_VALUE"""),0)</f>
        <v>0</v>
      </c>
      <c r="O1905" s="85"/>
      <c r="P1905" s="85">
        <f ca="1">IFERROR(__xludf.DUMMYFUNCTION("""COMPUTED_VALUE"""),0)</f>
        <v>0</v>
      </c>
      <c r="Q1905" s="85"/>
      <c r="R1905" s="85">
        <f ca="1">IFERROR(__xludf.DUMMYFUNCTION("""COMPUTED_VALUE"""),0)</f>
        <v>0</v>
      </c>
      <c r="S1905" s="85"/>
      <c r="T1905" s="85"/>
      <c r="U1905" s="82"/>
      <c r="V1905" s="82"/>
      <c r="W1905" s="83"/>
      <c r="X1905" s="83"/>
      <c r="Y1905" s="83"/>
    </row>
    <row r="1906" spans="1:25" ht="13.8">
      <c r="A1906" s="78" t="str">
        <f ca="1">IFERROR(__xludf.DUMMYFUNCTION("""COMPUTED_VALUE"""),"SHR")</f>
        <v>SHR</v>
      </c>
      <c r="B1906" s="79" t="str">
        <f ca="1">IFERROR(__xludf.DUMMYFUNCTION("""COMPUTED_VALUE"""),"Charlotte Rice")</f>
        <v>Charlotte Rice</v>
      </c>
      <c r="C1906" s="78">
        <f ca="1">IFERROR(__xludf.DUMMYFUNCTION("""COMPUTED_VALUE"""),4)</f>
        <v>4</v>
      </c>
      <c r="D1906" s="78" t="str">
        <f ca="1">IFERROR(__xludf.DUMMYFUNCTION("""COMPUTED_VALUE"""),"G")</f>
        <v>G</v>
      </c>
      <c r="E1906" s="80" t="str">
        <f ca="1">IFERROR(__xludf.DUMMYFUNCTION("""COMPUTED_VALUE"""),"F")</f>
        <v>F</v>
      </c>
      <c r="F1906" s="80" t="str">
        <f ca="1">IFERROR(__xludf.DUMMYFUNCTION("""COMPUTED_VALUE"""),"J")</f>
        <v>J</v>
      </c>
      <c r="G1906" s="80">
        <f ca="1">IFERROR(__xludf.DUMMYFUNCTION("""COMPUTED_VALUE"""),3)</f>
        <v>3</v>
      </c>
      <c r="H1906" s="80" t="str">
        <f ca="1">IFERROR(__xludf.DUMMYFUNCTION("""COMPUTED_VALUE"""),"SHR")</f>
        <v>SHR</v>
      </c>
      <c r="I1906" s="80">
        <f ca="1">IFERROR(__xludf.DUMMYFUNCTION("""COMPUTED_VALUE"""),2)</f>
        <v>2</v>
      </c>
      <c r="J1906" s="85">
        <f ca="1">IFERROR(__xludf.DUMMYFUNCTION("""COMPUTED_VALUE"""),0)</f>
        <v>0</v>
      </c>
      <c r="K1906" s="85">
        <f ca="1">IFERROR(__xludf.DUMMYFUNCTION("""COMPUTED_VALUE"""),0)</f>
        <v>0</v>
      </c>
      <c r="L1906" s="85">
        <f ca="1">IFERROR(__xludf.DUMMYFUNCTION("""COMPUTED_VALUE"""),0)</f>
        <v>0</v>
      </c>
      <c r="M1906" s="85"/>
      <c r="N1906" s="85">
        <f ca="1">IFERROR(__xludf.DUMMYFUNCTION("""COMPUTED_VALUE"""),0)</f>
        <v>0</v>
      </c>
      <c r="O1906" s="85"/>
      <c r="P1906" s="85">
        <f ca="1">IFERROR(__xludf.DUMMYFUNCTION("""COMPUTED_VALUE"""),0)</f>
        <v>0</v>
      </c>
      <c r="Q1906" s="85"/>
      <c r="R1906" s="85">
        <f ca="1">IFERROR(__xludf.DUMMYFUNCTION("""COMPUTED_VALUE"""),0)</f>
        <v>0</v>
      </c>
      <c r="S1906" s="85"/>
      <c r="T1906" s="85"/>
      <c r="U1906" s="82"/>
      <c r="V1906" s="82"/>
      <c r="W1906" s="83"/>
      <c r="X1906" s="83"/>
      <c r="Y1906" s="83"/>
    </row>
    <row r="1907" spans="1:25" ht="13.8">
      <c r="A1907" s="78" t="str">
        <f ca="1">IFERROR(__xludf.DUMMYFUNCTION("""COMPUTED_VALUE"""),"SHR")</f>
        <v>SHR</v>
      </c>
      <c r="B1907" s="79" t="str">
        <f ca="1">IFERROR(__xludf.DUMMYFUNCTION("""COMPUTED_VALUE"""),"Lily Scherer")</f>
        <v>Lily Scherer</v>
      </c>
      <c r="C1907" s="78">
        <f ca="1">IFERROR(__xludf.DUMMYFUNCTION("""COMPUTED_VALUE"""),10)</f>
        <v>10</v>
      </c>
      <c r="D1907" s="78" t="str">
        <f ca="1">IFERROR(__xludf.DUMMYFUNCTION("""COMPUTED_VALUE"""),"G")</f>
        <v>G</v>
      </c>
      <c r="E1907" s="80" t="str">
        <f ca="1">IFERROR(__xludf.DUMMYFUNCTION("""COMPUTED_VALUE"""),"F")</f>
        <v>F</v>
      </c>
      <c r="F1907" s="80" t="str">
        <f ca="1">IFERROR(__xludf.DUMMYFUNCTION("""COMPUTED_VALUE"""),"J")</f>
        <v>J</v>
      </c>
      <c r="G1907" s="80">
        <f ca="1">IFERROR(__xludf.DUMMYFUNCTION("""COMPUTED_VALUE"""),3)</f>
        <v>3</v>
      </c>
      <c r="H1907" s="80" t="str">
        <f ca="1">IFERROR(__xludf.DUMMYFUNCTION("""COMPUTED_VALUE"""),"SHR")</f>
        <v>SHR</v>
      </c>
      <c r="I1907" s="80">
        <f ca="1">IFERROR(__xludf.DUMMYFUNCTION("""COMPUTED_VALUE"""),2)</f>
        <v>2</v>
      </c>
      <c r="J1907" s="85">
        <f ca="1">IFERROR(__xludf.DUMMYFUNCTION("""COMPUTED_VALUE"""),0)</f>
        <v>0</v>
      </c>
      <c r="K1907" s="85">
        <f ca="1">IFERROR(__xludf.DUMMYFUNCTION("""COMPUTED_VALUE"""),0)</f>
        <v>0</v>
      </c>
      <c r="L1907" s="85">
        <f ca="1">IFERROR(__xludf.DUMMYFUNCTION("""COMPUTED_VALUE"""),0)</f>
        <v>0</v>
      </c>
      <c r="M1907" s="85"/>
      <c r="N1907" s="85">
        <f ca="1">IFERROR(__xludf.DUMMYFUNCTION("""COMPUTED_VALUE"""),0)</f>
        <v>0</v>
      </c>
      <c r="O1907" s="85"/>
      <c r="P1907" s="85">
        <f ca="1">IFERROR(__xludf.DUMMYFUNCTION("""COMPUTED_VALUE"""),0)</f>
        <v>0</v>
      </c>
      <c r="Q1907" s="85"/>
      <c r="R1907" s="85">
        <f ca="1">IFERROR(__xludf.DUMMYFUNCTION("""COMPUTED_VALUE"""),0)</f>
        <v>0</v>
      </c>
      <c r="S1907" s="85"/>
      <c r="T1907" s="85"/>
      <c r="U1907" s="82"/>
      <c r="V1907" s="82"/>
      <c r="W1907" s="83"/>
      <c r="X1907" s="83"/>
      <c r="Y1907" s="83"/>
    </row>
    <row r="1908" spans="1:25" ht="13.8">
      <c r="A1908" s="78" t="str">
        <f ca="1">IFERROR(__xludf.DUMMYFUNCTION("""COMPUTED_VALUE"""),"SHR")</f>
        <v>SHR</v>
      </c>
      <c r="B1908" s="79" t="str">
        <f ca="1">IFERROR(__xludf.DUMMYFUNCTION("""COMPUTED_VALUE"""),"Avery Swanson")</f>
        <v>Avery Swanson</v>
      </c>
      <c r="C1908" s="78">
        <f ca="1">IFERROR(__xludf.DUMMYFUNCTION("""COMPUTED_VALUE"""),8)</f>
        <v>8</v>
      </c>
      <c r="D1908" s="78" t="str">
        <f ca="1">IFERROR(__xludf.DUMMYFUNCTION("""COMPUTED_VALUE"""),"G")</f>
        <v>G</v>
      </c>
      <c r="E1908" s="80" t="str">
        <f ca="1">IFERROR(__xludf.DUMMYFUNCTION("""COMPUTED_VALUE"""),"F")</f>
        <v>F</v>
      </c>
      <c r="F1908" s="80" t="str">
        <f ca="1">IFERROR(__xludf.DUMMYFUNCTION("""COMPUTED_VALUE"""),"J")</f>
        <v>J</v>
      </c>
      <c r="G1908" s="80">
        <f ca="1">IFERROR(__xludf.DUMMYFUNCTION("""COMPUTED_VALUE"""),3)</f>
        <v>3</v>
      </c>
      <c r="H1908" s="80" t="str">
        <f ca="1">IFERROR(__xludf.DUMMYFUNCTION("""COMPUTED_VALUE"""),"SHR")</f>
        <v>SHR</v>
      </c>
      <c r="I1908" s="80">
        <f ca="1">IFERROR(__xludf.DUMMYFUNCTION("""COMPUTED_VALUE"""),2)</f>
        <v>2</v>
      </c>
      <c r="J1908" s="85">
        <f ca="1">IFERROR(__xludf.DUMMYFUNCTION("""COMPUTED_VALUE"""),0)</f>
        <v>0</v>
      </c>
      <c r="K1908" s="85">
        <f ca="1">IFERROR(__xludf.DUMMYFUNCTION("""COMPUTED_VALUE"""),0)</f>
        <v>0</v>
      </c>
      <c r="L1908" s="85">
        <f ca="1">IFERROR(__xludf.DUMMYFUNCTION("""COMPUTED_VALUE"""),0)</f>
        <v>0</v>
      </c>
      <c r="M1908" s="85"/>
      <c r="N1908" s="85">
        <f ca="1">IFERROR(__xludf.DUMMYFUNCTION("""COMPUTED_VALUE"""),0)</f>
        <v>0</v>
      </c>
      <c r="O1908" s="85"/>
      <c r="P1908" s="85">
        <f ca="1">IFERROR(__xludf.DUMMYFUNCTION("""COMPUTED_VALUE"""),0)</f>
        <v>0</v>
      </c>
      <c r="Q1908" s="85"/>
      <c r="R1908" s="85">
        <f ca="1">IFERROR(__xludf.DUMMYFUNCTION("""COMPUTED_VALUE"""),0)</f>
        <v>0</v>
      </c>
      <c r="S1908" s="85"/>
      <c r="T1908" s="85"/>
      <c r="U1908" s="82"/>
      <c r="V1908" s="82"/>
      <c r="W1908" s="83"/>
      <c r="X1908" s="83"/>
      <c r="Y1908" s="83"/>
    </row>
    <row r="1909" spans="1:25" ht="13.8">
      <c r="A1909" s="78" t="str">
        <f ca="1">IFERROR(__xludf.DUMMYFUNCTION("""COMPUTED_VALUE"""),"SHR")</f>
        <v>SHR</v>
      </c>
      <c r="B1909" s="79" t="str">
        <f ca="1">IFERROR(__xludf.DUMMYFUNCTION("""COMPUTED_VALUE"""),"Callie Swanson")</f>
        <v>Callie Swanson</v>
      </c>
      <c r="C1909" s="78">
        <f ca="1">IFERROR(__xludf.DUMMYFUNCTION("""COMPUTED_VALUE"""),5)</f>
        <v>5</v>
      </c>
      <c r="D1909" s="78" t="str">
        <f ca="1">IFERROR(__xludf.DUMMYFUNCTION("""COMPUTED_VALUE"""),"G")</f>
        <v>G</v>
      </c>
      <c r="E1909" s="80" t="str">
        <f ca="1">IFERROR(__xludf.DUMMYFUNCTION("""COMPUTED_VALUE"""),"F")</f>
        <v>F</v>
      </c>
      <c r="F1909" s="80" t="str">
        <f ca="1">IFERROR(__xludf.DUMMYFUNCTION("""COMPUTED_VALUE"""),"J")</f>
        <v>J</v>
      </c>
      <c r="G1909" s="80">
        <f ca="1">IFERROR(__xludf.DUMMYFUNCTION("""COMPUTED_VALUE"""),3)</f>
        <v>3</v>
      </c>
      <c r="H1909" s="80" t="str">
        <f ca="1">IFERROR(__xludf.DUMMYFUNCTION("""COMPUTED_VALUE"""),"SHR")</f>
        <v>SHR</v>
      </c>
      <c r="I1909" s="80">
        <f ca="1">IFERROR(__xludf.DUMMYFUNCTION("""COMPUTED_VALUE"""),2)</f>
        <v>2</v>
      </c>
      <c r="J1909" s="85">
        <f ca="1">IFERROR(__xludf.DUMMYFUNCTION("""COMPUTED_VALUE"""),0)</f>
        <v>0</v>
      </c>
      <c r="K1909" s="85">
        <f ca="1">IFERROR(__xludf.DUMMYFUNCTION("""COMPUTED_VALUE"""),0)</f>
        <v>0</v>
      </c>
      <c r="L1909" s="85">
        <f ca="1">IFERROR(__xludf.DUMMYFUNCTION("""COMPUTED_VALUE"""),0)</f>
        <v>0</v>
      </c>
      <c r="M1909" s="85"/>
      <c r="N1909" s="85">
        <f ca="1">IFERROR(__xludf.DUMMYFUNCTION("""COMPUTED_VALUE"""),0)</f>
        <v>0</v>
      </c>
      <c r="O1909" s="85"/>
      <c r="P1909" s="85">
        <f ca="1">IFERROR(__xludf.DUMMYFUNCTION("""COMPUTED_VALUE"""),0)</f>
        <v>0</v>
      </c>
      <c r="Q1909" s="85"/>
      <c r="R1909" s="85">
        <f ca="1">IFERROR(__xludf.DUMMYFUNCTION("""COMPUTED_VALUE"""),0)</f>
        <v>0</v>
      </c>
      <c r="S1909" s="85"/>
      <c r="T1909" s="85"/>
      <c r="U1909" s="82"/>
      <c r="V1909" s="82"/>
      <c r="W1909" s="83"/>
      <c r="X1909" s="83"/>
      <c r="Y1909" s="83"/>
    </row>
    <row r="1910" spans="1:25" ht="13.8">
      <c r="A1910" s="78" t="str">
        <f ca="1">IFERROR(__xludf.DUMMYFUNCTION("""COMPUTED_VALUE"""),"SHR")</f>
        <v>SHR</v>
      </c>
      <c r="B1910" s="79" t="str">
        <f ca="1">IFERROR(__xludf.DUMMYFUNCTION("""COMPUTED_VALUE"""),"Harper Vida")</f>
        <v>Harper Vida</v>
      </c>
      <c r="C1910" s="78">
        <f ca="1">IFERROR(__xludf.DUMMYFUNCTION("""COMPUTED_VALUE"""),6)</f>
        <v>6</v>
      </c>
      <c r="D1910" s="78" t="str">
        <f ca="1">IFERROR(__xludf.DUMMYFUNCTION("""COMPUTED_VALUE"""),"G")</f>
        <v>G</v>
      </c>
      <c r="E1910" s="80" t="str">
        <f ca="1">IFERROR(__xludf.DUMMYFUNCTION("""COMPUTED_VALUE"""),"F")</f>
        <v>F</v>
      </c>
      <c r="F1910" s="80" t="str">
        <f ca="1">IFERROR(__xludf.DUMMYFUNCTION("""COMPUTED_VALUE"""),"J")</f>
        <v>J</v>
      </c>
      <c r="G1910" s="80">
        <f ca="1">IFERROR(__xludf.DUMMYFUNCTION("""COMPUTED_VALUE"""),3)</f>
        <v>3</v>
      </c>
      <c r="H1910" s="80" t="str">
        <f ca="1">IFERROR(__xludf.DUMMYFUNCTION("""COMPUTED_VALUE"""),"SHR")</f>
        <v>SHR</v>
      </c>
      <c r="I1910" s="80">
        <f ca="1">IFERROR(__xludf.DUMMYFUNCTION("""COMPUTED_VALUE"""),2)</f>
        <v>2</v>
      </c>
      <c r="J1910" s="85">
        <f ca="1">IFERROR(__xludf.DUMMYFUNCTION("""COMPUTED_VALUE"""),3)</f>
        <v>3</v>
      </c>
      <c r="K1910" s="85">
        <f ca="1">IFERROR(__xludf.DUMMYFUNCTION("""COMPUTED_VALUE"""),39.35)</f>
        <v>39.35</v>
      </c>
      <c r="L1910" s="85">
        <f ca="1">IFERROR(__xludf.DUMMYFUNCTION("""COMPUTED_VALUE"""),0)</f>
        <v>0</v>
      </c>
      <c r="M1910" s="85"/>
      <c r="N1910" s="85">
        <f ca="1">IFERROR(__xludf.DUMMYFUNCTION("""COMPUTED_VALUE"""),0)</f>
        <v>0</v>
      </c>
      <c r="O1910" s="85"/>
      <c r="P1910" s="85">
        <f ca="1">IFERROR(__xludf.DUMMYFUNCTION("""COMPUTED_VALUE"""),26.2)</f>
        <v>26.2</v>
      </c>
      <c r="Q1910" s="85"/>
      <c r="R1910" s="85">
        <f ca="1">IFERROR(__xludf.DUMMYFUNCTION("""COMPUTED_VALUE"""),39.35)</f>
        <v>39.35</v>
      </c>
      <c r="S1910" s="85"/>
      <c r="T1910" s="85"/>
      <c r="U1910" s="82"/>
      <c r="V1910" s="82"/>
      <c r="W1910" s="83"/>
      <c r="X1910" s="83"/>
      <c r="Y1910" s="83"/>
    </row>
    <row r="1911" spans="1:25" ht="13.8">
      <c r="A1911" s="78" t="str">
        <f ca="1">IFERROR(__xludf.DUMMYFUNCTION("""COMPUTED_VALUE"""),"SHR")</f>
        <v>SHR</v>
      </c>
      <c r="B1911" s="79" t="str">
        <f ca="1">IFERROR(__xludf.DUMMYFUNCTION("""COMPUTED_VALUE"""),"Tobias Evans-Reinke")</f>
        <v>Tobias Evans-Reinke</v>
      </c>
      <c r="C1911" s="78">
        <f ca="1">IFERROR(__xludf.DUMMYFUNCTION("""COMPUTED_VALUE"""),9)</f>
        <v>9</v>
      </c>
      <c r="D1911" s="78" t="str">
        <f ca="1">IFERROR(__xludf.DUMMYFUNCTION("""COMPUTED_VALUE"""),"B")</f>
        <v>B</v>
      </c>
      <c r="E1911" s="80" t="str">
        <f ca="1">IFERROR(__xludf.DUMMYFUNCTION("""COMPUTED_VALUE"""),"F")</f>
        <v>F</v>
      </c>
      <c r="F1911" s="80" t="str">
        <f ca="1">IFERROR(__xludf.DUMMYFUNCTION("""COMPUTED_VALUE"""),"J")</f>
        <v>J</v>
      </c>
      <c r="G1911" s="80">
        <f ca="1">IFERROR(__xludf.DUMMYFUNCTION("""COMPUTED_VALUE"""),3)</f>
        <v>3</v>
      </c>
      <c r="H1911" s="80" t="str">
        <f ca="1">IFERROR(__xludf.DUMMYFUNCTION("""COMPUTED_VALUE"""),"SHR")</f>
        <v>SHR</v>
      </c>
      <c r="I1911" s="80">
        <f ca="1">IFERROR(__xludf.DUMMYFUNCTION("""COMPUTED_VALUE"""),3)</f>
        <v>3</v>
      </c>
      <c r="J1911" s="85">
        <f ca="1">IFERROR(__xludf.DUMMYFUNCTION("""COMPUTED_VALUE"""),0)</f>
        <v>0</v>
      </c>
      <c r="K1911" s="85">
        <f ca="1">IFERROR(__xludf.DUMMYFUNCTION("""COMPUTED_VALUE"""),0)</f>
        <v>0</v>
      </c>
      <c r="L1911" s="85">
        <f ca="1">IFERROR(__xludf.DUMMYFUNCTION("""COMPUTED_VALUE"""),0)</f>
        <v>0</v>
      </c>
      <c r="M1911" s="85"/>
      <c r="N1911" s="85">
        <f ca="1">IFERROR(__xludf.DUMMYFUNCTION("""COMPUTED_VALUE"""),0)</f>
        <v>0</v>
      </c>
      <c r="O1911" s="85"/>
      <c r="P1911" s="85">
        <f ca="1">IFERROR(__xludf.DUMMYFUNCTION("""COMPUTED_VALUE"""),0)</f>
        <v>0</v>
      </c>
      <c r="Q1911" s="85"/>
      <c r="R1911" s="85">
        <f ca="1">IFERROR(__xludf.DUMMYFUNCTION("""COMPUTED_VALUE"""),0)</f>
        <v>0</v>
      </c>
      <c r="S1911" s="85"/>
      <c r="T1911" s="85"/>
      <c r="U1911" s="82"/>
      <c r="V1911" s="82"/>
      <c r="W1911" s="83"/>
      <c r="X1911" s="83"/>
      <c r="Y1911" s="83"/>
    </row>
    <row r="1912" spans="1:25" ht="13.8">
      <c r="A1912" s="78" t="str">
        <f ca="1">IFERROR(__xludf.DUMMYFUNCTION("""COMPUTED_VALUE"""),"SHR")</f>
        <v>SHR</v>
      </c>
      <c r="B1912" s="79" t="str">
        <f ca="1">IFERROR(__xludf.DUMMYFUNCTION("""COMPUTED_VALUE"""),"Finn Feeley")</f>
        <v>Finn Feeley</v>
      </c>
      <c r="C1912" s="78">
        <f ca="1">IFERROR(__xludf.DUMMYFUNCTION("""COMPUTED_VALUE"""),8)</f>
        <v>8</v>
      </c>
      <c r="D1912" s="78" t="str">
        <f ca="1">IFERROR(__xludf.DUMMYFUNCTION("""COMPUTED_VALUE"""),"B")</f>
        <v>B</v>
      </c>
      <c r="E1912" s="80" t="str">
        <f ca="1">IFERROR(__xludf.DUMMYFUNCTION("""COMPUTED_VALUE"""),"F")</f>
        <v>F</v>
      </c>
      <c r="F1912" s="80" t="str">
        <f ca="1">IFERROR(__xludf.DUMMYFUNCTION("""COMPUTED_VALUE"""),"J")</f>
        <v>J</v>
      </c>
      <c r="G1912" s="80">
        <f ca="1">IFERROR(__xludf.DUMMYFUNCTION("""COMPUTED_VALUE"""),3)</f>
        <v>3</v>
      </c>
      <c r="H1912" s="80" t="str">
        <f ca="1">IFERROR(__xludf.DUMMYFUNCTION("""COMPUTED_VALUE"""),"SHR")</f>
        <v>SHR</v>
      </c>
      <c r="I1912" s="80">
        <f ca="1">IFERROR(__xludf.DUMMYFUNCTION("""COMPUTED_VALUE"""),3)</f>
        <v>3</v>
      </c>
      <c r="J1912" s="85">
        <f ca="1">IFERROR(__xludf.DUMMYFUNCTION("""COMPUTED_VALUE"""),3)</f>
        <v>3</v>
      </c>
      <c r="K1912" s="85">
        <f ca="1">IFERROR(__xludf.DUMMYFUNCTION("""COMPUTED_VALUE"""),46.3)</f>
        <v>46.3</v>
      </c>
      <c r="L1912" s="85">
        <f ca="1">IFERROR(__xludf.DUMMYFUNCTION("""COMPUTED_VALUE"""),0)</f>
        <v>0</v>
      </c>
      <c r="M1912" s="85"/>
      <c r="N1912" s="85">
        <f ca="1">IFERROR(__xludf.DUMMYFUNCTION("""COMPUTED_VALUE"""),37.3)</f>
        <v>37.299999999999997</v>
      </c>
      <c r="O1912" s="85"/>
      <c r="P1912" s="85">
        <f ca="1">IFERROR(__xludf.DUMMYFUNCTION("""COMPUTED_VALUE"""),46.3)</f>
        <v>46.3</v>
      </c>
      <c r="Q1912" s="85"/>
      <c r="R1912" s="85">
        <f ca="1">IFERROR(__xludf.DUMMYFUNCTION("""COMPUTED_VALUE"""),0)</f>
        <v>0</v>
      </c>
      <c r="S1912" s="85"/>
      <c r="T1912" s="85"/>
      <c r="U1912" s="82"/>
      <c r="V1912" s="82"/>
      <c r="W1912" s="83"/>
      <c r="X1912" s="83"/>
      <c r="Y1912" s="83"/>
    </row>
    <row r="1913" spans="1:25" ht="13.8">
      <c r="A1913" s="78" t="str">
        <f ca="1">IFERROR(__xludf.DUMMYFUNCTION("""COMPUTED_VALUE"""),"SHR")</f>
        <v>SHR</v>
      </c>
      <c r="B1913" s="79" t="str">
        <f ca="1">IFERROR(__xludf.DUMMYFUNCTION("""COMPUTED_VALUE"""),"Jack Fenwick")</f>
        <v>Jack Fenwick</v>
      </c>
      <c r="C1913" s="78">
        <f ca="1">IFERROR(__xludf.DUMMYFUNCTION("""COMPUTED_VALUE"""),8)</f>
        <v>8</v>
      </c>
      <c r="D1913" s="78" t="str">
        <f ca="1">IFERROR(__xludf.DUMMYFUNCTION("""COMPUTED_VALUE"""),"B")</f>
        <v>B</v>
      </c>
      <c r="E1913" s="80" t="str">
        <f ca="1">IFERROR(__xludf.DUMMYFUNCTION("""COMPUTED_VALUE"""),"F")</f>
        <v>F</v>
      </c>
      <c r="F1913" s="80" t="str">
        <f ca="1">IFERROR(__xludf.DUMMYFUNCTION("""COMPUTED_VALUE"""),"J")</f>
        <v>J</v>
      </c>
      <c r="G1913" s="80">
        <f ca="1">IFERROR(__xludf.DUMMYFUNCTION("""COMPUTED_VALUE"""),3)</f>
        <v>3</v>
      </c>
      <c r="H1913" s="80" t="str">
        <f ca="1">IFERROR(__xludf.DUMMYFUNCTION("""COMPUTED_VALUE"""),"SHR")</f>
        <v>SHR</v>
      </c>
      <c r="I1913" s="80">
        <f ca="1">IFERROR(__xludf.DUMMYFUNCTION("""COMPUTED_VALUE"""),3)</f>
        <v>3</v>
      </c>
      <c r="J1913" s="85">
        <f ca="1">IFERROR(__xludf.DUMMYFUNCTION("""COMPUTED_VALUE"""),0)</f>
        <v>0</v>
      </c>
      <c r="K1913" s="85">
        <f ca="1">IFERROR(__xludf.DUMMYFUNCTION("""COMPUTED_VALUE"""),0)</f>
        <v>0</v>
      </c>
      <c r="L1913" s="85">
        <f ca="1">IFERROR(__xludf.DUMMYFUNCTION("""COMPUTED_VALUE"""),0)</f>
        <v>0</v>
      </c>
      <c r="M1913" s="85"/>
      <c r="N1913" s="85">
        <f ca="1">IFERROR(__xludf.DUMMYFUNCTION("""COMPUTED_VALUE"""),0)</f>
        <v>0</v>
      </c>
      <c r="O1913" s="85"/>
      <c r="P1913" s="85">
        <f ca="1">IFERROR(__xludf.DUMMYFUNCTION("""COMPUTED_VALUE"""),0)</f>
        <v>0</v>
      </c>
      <c r="Q1913" s="85"/>
      <c r="R1913" s="85">
        <f ca="1">IFERROR(__xludf.DUMMYFUNCTION("""COMPUTED_VALUE"""),0)</f>
        <v>0</v>
      </c>
      <c r="S1913" s="85"/>
      <c r="T1913" s="85"/>
      <c r="U1913" s="82"/>
      <c r="V1913" s="82"/>
      <c r="W1913" s="83"/>
      <c r="X1913" s="83"/>
      <c r="Y1913" s="83"/>
    </row>
    <row r="1914" spans="1:25" ht="13.8">
      <c r="A1914" s="78" t="str">
        <f ca="1">IFERROR(__xludf.DUMMYFUNCTION("""COMPUTED_VALUE"""),"SHR")</f>
        <v>SHR</v>
      </c>
      <c r="B1914" s="79" t="str">
        <f ca="1">IFERROR(__xludf.DUMMYFUNCTION("""COMPUTED_VALUE"""),"Quinn Lefbom")</f>
        <v>Quinn Lefbom</v>
      </c>
      <c r="C1914" s="78">
        <f ca="1">IFERROR(__xludf.DUMMYFUNCTION("""COMPUTED_VALUE"""),6)</f>
        <v>6</v>
      </c>
      <c r="D1914" s="78" t="str">
        <f ca="1">IFERROR(__xludf.DUMMYFUNCTION("""COMPUTED_VALUE"""),"B")</f>
        <v>B</v>
      </c>
      <c r="E1914" s="80" t="str">
        <f ca="1">IFERROR(__xludf.DUMMYFUNCTION("""COMPUTED_VALUE"""),"F")</f>
        <v>F</v>
      </c>
      <c r="F1914" s="80" t="str">
        <f ca="1">IFERROR(__xludf.DUMMYFUNCTION("""COMPUTED_VALUE"""),"J")</f>
        <v>J</v>
      </c>
      <c r="G1914" s="80">
        <f ca="1">IFERROR(__xludf.DUMMYFUNCTION("""COMPUTED_VALUE"""),3)</f>
        <v>3</v>
      </c>
      <c r="H1914" s="80" t="str">
        <f ca="1">IFERROR(__xludf.DUMMYFUNCTION("""COMPUTED_VALUE"""),"SHR")</f>
        <v>SHR</v>
      </c>
      <c r="I1914" s="80">
        <f ca="1">IFERROR(__xludf.DUMMYFUNCTION("""COMPUTED_VALUE"""),3)</f>
        <v>3</v>
      </c>
      <c r="J1914" s="85">
        <f ca="1">IFERROR(__xludf.DUMMYFUNCTION("""COMPUTED_VALUE"""),0)</f>
        <v>0</v>
      </c>
      <c r="K1914" s="85">
        <f ca="1">IFERROR(__xludf.DUMMYFUNCTION("""COMPUTED_VALUE"""),0)</f>
        <v>0</v>
      </c>
      <c r="L1914" s="85">
        <f ca="1">IFERROR(__xludf.DUMMYFUNCTION("""COMPUTED_VALUE"""),0)</f>
        <v>0</v>
      </c>
      <c r="M1914" s="85"/>
      <c r="N1914" s="85">
        <f ca="1">IFERROR(__xludf.DUMMYFUNCTION("""COMPUTED_VALUE"""),0)</f>
        <v>0</v>
      </c>
      <c r="O1914" s="85"/>
      <c r="P1914" s="85">
        <f ca="1">IFERROR(__xludf.DUMMYFUNCTION("""COMPUTED_VALUE"""),0)</f>
        <v>0</v>
      </c>
      <c r="Q1914" s="85"/>
      <c r="R1914" s="85">
        <f ca="1">IFERROR(__xludf.DUMMYFUNCTION("""COMPUTED_VALUE"""),0)</f>
        <v>0</v>
      </c>
      <c r="S1914" s="85"/>
      <c r="T1914" s="85"/>
      <c r="U1914" s="82"/>
      <c r="V1914" s="82"/>
      <c r="W1914" s="83"/>
      <c r="X1914" s="83"/>
      <c r="Y1914" s="83"/>
    </row>
    <row r="1915" spans="1:25" ht="13.8">
      <c r="A1915" s="78" t="str">
        <f ca="1">IFERROR(__xludf.DUMMYFUNCTION("""COMPUTED_VALUE"""),"SHR")</f>
        <v>SHR</v>
      </c>
      <c r="B1915" s="79" t="str">
        <f ca="1">IFERROR(__xludf.DUMMYFUNCTION("""COMPUTED_VALUE"""),"David Marra")</f>
        <v>David Marra</v>
      </c>
      <c r="C1915" s="78">
        <f ca="1">IFERROR(__xludf.DUMMYFUNCTION("""COMPUTED_VALUE"""),6)</f>
        <v>6</v>
      </c>
      <c r="D1915" s="78" t="str">
        <f ca="1">IFERROR(__xludf.DUMMYFUNCTION("""COMPUTED_VALUE"""),"B")</f>
        <v>B</v>
      </c>
      <c r="E1915" s="80" t="str">
        <f ca="1">IFERROR(__xludf.DUMMYFUNCTION("""COMPUTED_VALUE"""),"F")</f>
        <v>F</v>
      </c>
      <c r="F1915" s="80" t="str">
        <f ca="1">IFERROR(__xludf.DUMMYFUNCTION("""COMPUTED_VALUE"""),"J")</f>
        <v>J</v>
      </c>
      <c r="G1915" s="80">
        <f ca="1">IFERROR(__xludf.DUMMYFUNCTION("""COMPUTED_VALUE"""),3)</f>
        <v>3</v>
      </c>
      <c r="H1915" s="80" t="str">
        <f ca="1">IFERROR(__xludf.DUMMYFUNCTION("""COMPUTED_VALUE"""),"SHR")</f>
        <v>SHR</v>
      </c>
      <c r="I1915" s="80">
        <f ca="1">IFERROR(__xludf.DUMMYFUNCTION("""COMPUTED_VALUE"""),3)</f>
        <v>3</v>
      </c>
      <c r="J1915" s="85">
        <f ca="1">IFERROR(__xludf.DUMMYFUNCTION("""COMPUTED_VALUE"""),1)</f>
        <v>1</v>
      </c>
      <c r="K1915" s="85">
        <f ca="1">IFERROR(__xludf.DUMMYFUNCTION("""COMPUTED_VALUE"""),0)</f>
        <v>0</v>
      </c>
      <c r="L1915" s="85">
        <f ca="1">IFERROR(__xludf.DUMMYFUNCTION("""COMPUTED_VALUE"""),0)</f>
        <v>0</v>
      </c>
      <c r="M1915" s="85"/>
      <c r="N1915" s="85">
        <f ca="1">IFERROR(__xludf.DUMMYFUNCTION("""COMPUTED_VALUE"""),0)</f>
        <v>0</v>
      </c>
      <c r="O1915" s="85"/>
      <c r="P1915" s="85">
        <f ca="1">IFERROR(__xludf.DUMMYFUNCTION("""COMPUTED_VALUE"""),0)</f>
        <v>0</v>
      </c>
      <c r="Q1915" s="85"/>
      <c r="R1915" s="85">
        <f ca="1">IFERROR(__xludf.DUMMYFUNCTION("""COMPUTED_VALUE"""),0)</f>
        <v>0</v>
      </c>
      <c r="S1915" s="85"/>
      <c r="T1915" s="85"/>
      <c r="U1915" s="82"/>
      <c r="V1915" s="82"/>
      <c r="W1915" s="83"/>
      <c r="X1915" s="83"/>
      <c r="Y1915" s="83"/>
    </row>
    <row r="1916" spans="1:25" ht="13.8">
      <c r="A1916" s="78" t="str">
        <f ca="1">IFERROR(__xludf.DUMMYFUNCTION("""COMPUTED_VALUE"""),"SHR")</f>
        <v>SHR</v>
      </c>
      <c r="B1916" s="79" t="str">
        <f ca="1">IFERROR(__xludf.DUMMYFUNCTION("""COMPUTED_VALUE"""),"Harrison Owens")</f>
        <v>Harrison Owens</v>
      </c>
      <c r="C1916" s="78">
        <f ca="1">IFERROR(__xludf.DUMMYFUNCTION("""COMPUTED_VALUE"""),8)</f>
        <v>8</v>
      </c>
      <c r="D1916" s="78" t="str">
        <f ca="1">IFERROR(__xludf.DUMMYFUNCTION("""COMPUTED_VALUE"""),"B")</f>
        <v>B</v>
      </c>
      <c r="E1916" s="80" t="str">
        <f ca="1">IFERROR(__xludf.DUMMYFUNCTION("""COMPUTED_VALUE"""),"F")</f>
        <v>F</v>
      </c>
      <c r="F1916" s="80" t="str">
        <f ca="1">IFERROR(__xludf.DUMMYFUNCTION("""COMPUTED_VALUE"""),"J")</f>
        <v>J</v>
      </c>
      <c r="G1916" s="80">
        <f ca="1">IFERROR(__xludf.DUMMYFUNCTION("""COMPUTED_VALUE"""),3)</f>
        <v>3</v>
      </c>
      <c r="H1916" s="80" t="str">
        <f ca="1">IFERROR(__xludf.DUMMYFUNCTION("""COMPUTED_VALUE"""),"SHR")</f>
        <v>SHR</v>
      </c>
      <c r="I1916" s="80">
        <f ca="1">IFERROR(__xludf.DUMMYFUNCTION("""COMPUTED_VALUE"""),3)</f>
        <v>3</v>
      </c>
      <c r="J1916" s="85">
        <f ca="1">IFERROR(__xludf.DUMMYFUNCTION("""COMPUTED_VALUE"""),0)</f>
        <v>0</v>
      </c>
      <c r="K1916" s="85">
        <f ca="1">IFERROR(__xludf.DUMMYFUNCTION("""COMPUTED_VALUE"""),0)</f>
        <v>0</v>
      </c>
      <c r="L1916" s="85">
        <f ca="1">IFERROR(__xludf.DUMMYFUNCTION("""COMPUTED_VALUE"""),0)</f>
        <v>0</v>
      </c>
      <c r="M1916" s="85"/>
      <c r="N1916" s="85">
        <f ca="1">IFERROR(__xludf.DUMMYFUNCTION("""COMPUTED_VALUE"""),0)</f>
        <v>0</v>
      </c>
      <c r="O1916" s="85"/>
      <c r="P1916" s="85">
        <f ca="1">IFERROR(__xludf.DUMMYFUNCTION("""COMPUTED_VALUE"""),0)</f>
        <v>0</v>
      </c>
      <c r="Q1916" s="85"/>
      <c r="R1916" s="85">
        <f ca="1">IFERROR(__xludf.DUMMYFUNCTION("""COMPUTED_VALUE"""),0)</f>
        <v>0</v>
      </c>
      <c r="S1916" s="85"/>
      <c r="T1916" s="85"/>
      <c r="U1916" s="82"/>
      <c r="V1916" s="82"/>
      <c r="W1916" s="83"/>
      <c r="X1916" s="83"/>
      <c r="Y1916" s="83"/>
    </row>
    <row r="1917" spans="1:25" ht="13.8">
      <c r="A1917" s="78" t="str">
        <f ca="1">IFERROR(__xludf.DUMMYFUNCTION("""COMPUTED_VALUE"""),"SHR")</f>
        <v>SHR</v>
      </c>
      <c r="B1917" s="79" t="str">
        <f ca="1">IFERROR(__xludf.DUMMYFUNCTION("""COMPUTED_VALUE"""),"Aidan Ross")</f>
        <v>Aidan Ross</v>
      </c>
      <c r="C1917" s="78">
        <f ca="1">IFERROR(__xludf.DUMMYFUNCTION("""COMPUTED_VALUE"""),9)</f>
        <v>9</v>
      </c>
      <c r="D1917" s="78" t="str">
        <f ca="1">IFERROR(__xludf.DUMMYFUNCTION("""COMPUTED_VALUE"""),"B")</f>
        <v>B</v>
      </c>
      <c r="E1917" s="80" t="str">
        <f ca="1">IFERROR(__xludf.DUMMYFUNCTION("""COMPUTED_VALUE"""),"F")</f>
        <v>F</v>
      </c>
      <c r="F1917" s="80" t="str">
        <f ca="1">IFERROR(__xludf.DUMMYFUNCTION("""COMPUTED_VALUE"""),"J")</f>
        <v>J</v>
      </c>
      <c r="G1917" s="80">
        <f ca="1">IFERROR(__xludf.DUMMYFUNCTION("""COMPUTED_VALUE"""),3)</f>
        <v>3</v>
      </c>
      <c r="H1917" s="80" t="str">
        <f ca="1">IFERROR(__xludf.DUMMYFUNCTION("""COMPUTED_VALUE"""),"SHR")</f>
        <v>SHR</v>
      </c>
      <c r="I1917" s="80">
        <f ca="1">IFERROR(__xludf.DUMMYFUNCTION("""COMPUTED_VALUE"""),3)</f>
        <v>3</v>
      </c>
      <c r="J1917" s="85">
        <f ca="1">IFERROR(__xludf.DUMMYFUNCTION("""COMPUTED_VALUE"""),2)</f>
        <v>2</v>
      </c>
      <c r="K1917" s="85">
        <f ca="1">IFERROR(__xludf.DUMMYFUNCTION("""COMPUTED_VALUE"""),53.25)</f>
        <v>53.25</v>
      </c>
      <c r="L1917" s="85">
        <f ca="1">IFERROR(__xludf.DUMMYFUNCTION("""COMPUTED_VALUE"""),0)</f>
        <v>0</v>
      </c>
      <c r="M1917" s="85"/>
      <c r="N1917" s="85">
        <f ca="1">IFERROR(__xludf.DUMMYFUNCTION("""COMPUTED_VALUE"""),0)</f>
        <v>0</v>
      </c>
      <c r="O1917" s="85"/>
      <c r="P1917" s="85">
        <f ca="1">IFERROR(__xludf.DUMMYFUNCTION("""COMPUTED_VALUE"""),0)</f>
        <v>0</v>
      </c>
      <c r="Q1917" s="85"/>
      <c r="R1917" s="85">
        <f ca="1">IFERROR(__xludf.DUMMYFUNCTION("""COMPUTED_VALUE"""),53.25)</f>
        <v>53.25</v>
      </c>
      <c r="S1917" s="85"/>
      <c r="T1917" s="85"/>
      <c r="U1917" s="82"/>
      <c r="V1917" s="82"/>
      <c r="W1917" s="83"/>
      <c r="X1917" s="83"/>
      <c r="Y1917" s="83"/>
    </row>
    <row r="1918" spans="1:25" ht="13.8">
      <c r="A1918" s="78" t="str">
        <f ca="1">IFERROR(__xludf.DUMMYFUNCTION("""COMPUTED_VALUE"""),"SHR")</f>
        <v>SHR</v>
      </c>
      <c r="B1918" s="79" t="str">
        <f ca="1">IFERROR(__xludf.DUMMYFUNCTION("""COMPUTED_VALUE"""),"Jack Ross")</f>
        <v>Jack Ross</v>
      </c>
      <c r="C1918" s="78">
        <f ca="1">IFERROR(__xludf.DUMMYFUNCTION("""COMPUTED_VALUE"""),5)</f>
        <v>5</v>
      </c>
      <c r="D1918" s="78" t="str">
        <f ca="1">IFERROR(__xludf.DUMMYFUNCTION("""COMPUTED_VALUE"""),"B")</f>
        <v>B</v>
      </c>
      <c r="E1918" s="80" t="str">
        <f ca="1">IFERROR(__xludf.DUMMYFUNCTION("""COMPUTED_VALUE"""),"F")</f>
        <v>F</v>
      </c>
      <c r="F1918" s="80" t="str">
        <f ca="1">IFERROR(__xludf.DUMMYFUNCTION("""COMPUTED_VALUE"""),"J")</f>
        <v>J</v>
      </c>
      <c r="G1918" s="80">
        <f ca="1">IFERROR(__xludf.DUMMYFUNCTION("""COMPUTED_VALUE"""),3)</f>
        <v>3</v>
      </c>
      <c r="H1918" s="80" t="str">
        <f ca="1">IFERROR(__xludf.DUMMYFUNCTION("""COMPUTED_VALUE"""),"SHR")</f>
        <v>SHR</v>
      </c>
      <c r="I1918" s="80">
        <f ca="1">IFERROR(__xludf.DUMMYFUNCTION("""COMPUTED_VALUE"""),3)</f>
        <v>3</v>
      </c>
      <c r="J1918" s="85">
        <f ca="1">IFERROR(__xludf.DUMMYFUNCTION("""COMPUTED_VALUE"""),0)</f>
        <v>0</v>
      </c>
      <c r="K1918" s="85">
        <f ca="1">IFERROR(__xludf.DUMMYFUNCTION("""COMPUTED_VALUE"""),0)</f>
        <v>0</v>
      </c>
      <c r="L1918" s="85">
        <f ca="1">IFERROR(__xludf.DUMMYFUNCTION("""COMPUTED_VALUE"""),0)</f>
        <v>0</v>
      </c>
      <c r="M1918" s="85"/>
      <c r="N1918" s="85">
        <f ca="1">IFERROR(__xludf.DUMMYFUNCTION("""COMPUTED_VALUE"""),0)</f>
        <v>0</v>
      </c>
      <c r="O1918" s="85"/>
      <c r="P1918" s="85">
        <f ca="1">IFERROR(__xludf.DUMMYFUNCTION("""COMPUTED_VALUE"""),0)</f>
        <v>0</v>
      </c>
      <c r="Q1918" s="85"/>
      <c r="R1918" s="85">
        <f ca="1">IFERROR(__xludf.DUMMYFUNCTION("""COMPUTED_VALUE"""),0)</f>
        <v>0</v>
      </c>
      <c r="S1918" s="85"/>
      <c r="T1918" s="85"/>
      <c r="U1918" s="82"/>
      <c r="V1918" s="82"/>
      <c r="W1918" s="83"/>
      <c r="X1918" s="83"/>
      <c r="Y1918" s="83"/>
    </row>
    <row r="1919" spans="1:25" ht="13.8">
      <c r="A1919" s="78" t="str">
        <f ca="1">IFERROR(__xludf.DUMMYFUNCTION("""COMPUTED_VALUE"""),"SHR")</f>
        <v>SHR</v>
      </c>
      <c r="B1919" s="79" t="str">
        <f ca="1">IFERROR(__xludf.DUMMYFUNCTION("""COMPUTED_VALUE"""),"Liam Ross")</f>
        <v>Liam Ross</v>
      </c>
      <c r="C1919" s="78">
        <f ca="1">IFERROR(__xludf.DUMMYFUNCTION("""COMPUTED_VALUE"""),7)</f>
        <v>7</v>
      </c>
      <c r="D1919" s="78" t="str">
        <f ca="1">IFERROR(__xludf.DUMMYFUNCTION("""COMPUTED_VALUE"""),"B")</f>
        <v>B</v>
      </c>
      <c r="E1919" s="80" t="str">
        <f ca="1">IFERROR(__xludf.DUMMYFUNCTION("""COMPUTED_VALUE"""),"F")</f>
        <v>F</v>
      </c>
      <c r="F1919" s="80" t="str">
        <f ca="1">IFERROR(__xludf.DUMMYFUNCTION("""COMPUTED_VALUE"""),"J")</f>
        <v>J</v>
      </c>
      <c r="G1919" s="80">
        <f ca="1">IFERROR(__xludf.DUMMYFUNCTION("""COMPUTED_VALUE"""),3)</f>
        <v>3</v>
      </c>
      <c r="H1919" s="80" t="str">
        <f ca="1">IFERROR(__xludf.DUMMYFUNCTION("""COMPUTED_VALUE"""),"SHR")</f>
        <v>SHR</v>
      </c>
      <c r="I1919" s="80">
        <f ca="1">IFERROR(__xludf.DUMMYFUNCTION("""COMPUTED_VALUE"""),3)</f>
        <v>3</v>
      </c>
      <c r="J1919" s="85">
        <f ca="1">IFERROR(__xludf.DUMMYFUNCTION("""COMPUTED_VALUE"""),4)</f>
        <v>4</v>
      </c>
      <c r="K1919" s="85">
        <f ca="1">IFERROR(__xludf.DUMMYFUNCTION("""COMPUTED_VALUE"""),58.8)</f>
        <v>58.8</v>
      </c>
      <c r="L1919" s="85">
        <f ca="1">IFERROR(__xludf.DUMMYFUNCTION("""COMPUTED_VALUE"""),57.35)</f>
        <v>57.35</v>
      </c>
      <c r="M1919" s="85"/>
      <c r="N1919" s="85">
        <f ca="1">IFERROR(__xludf.DUMMYFUNCTION("""COMPUTED_VALUE"""),0)</f>
        <v>0</v>
      </c>
      <c r="O1919" s="85"/>
      <c r="P1919" s="85">
        <f ca="1">IFERROR(__xludf.DUMMYFUNCTION("""COMPUTED_VALUE"""),52.85)</f>
        <v>52.85</v>
      </c>
      <c r="Q1919" s="85"/>
      <c r="R1919" s="85">
        <f ca="1">IFERROR(__xludf.DUMMYFUNCTION("""COMPUTED_VALUE"""),58.8)</f>
        <v>58.8</v>
      </c>
      <c r="S1919" s="85"/>
      <c r="T1919" s="85"/>
      <c r="U1919" s="82"/>
      <c r="V1919" s="82"/>
      <c r="W1919" s="83"/>
      <c r="X1919" s="83"/>
      <c r="Y1919" s="83"/>
    </row>
    <row r="1920" spans="1:25" ht="13.8">
      <c r="A1920" s="78" t="str">
        <f ca="1">IFERROR(__xludf.DUMMYFUNCTION("""COMPUTED_VALUE"""),"SHR")</f>
        <v>SHR</v>
      </c>
      <c r="B1920" s="79" t="str">
        <f ca="1">IFERROR(__xludf.DUMMYFUNCTION("""COMPUTED_VALUE"""),"Kai Sheriff")</f>
        <v>Kai Sheriff</v>
      </c>
      <c r="C1920" s="78">
        <f ca="1">IFERROR(__xludf.DUMMYFUNCTION("""COMPUTED_VALUE"""),8)</f>
        <v>8</v>
      </c>
      <c r="D1920" s="78" t="str">
        <f ca="1">IFERROR(__xludf.DUMMYFUNCTION("""COMPUTED_VALUE"""),"B")</f>
        <v>B</v>
      </c>
      <c r="E1920" s="80" t="str">
        <f ca="1">IFERROR(__xludf.DUMMYFUNCTION("""COMPUTED_VALUE"""),"F")</f>
        <v>F</v>
      </c>
      <c r="F1920" s="80" t="str">
        <f ca="1">IFERROR(__xludf.DUMMYFUNCTION("""COMPUTED_VALUE"""),"J")</f>
        <v>J</v>
      </c>
      <c r="G1920" s="80">
        <f ca="1">IFERROR(__xludf.DUMMYFUNCTION("""COMPUTED_VALUE"""),3)</f>
        <v>3</v>
      </c>
      <c r="H1920" s="80" t="str">
        <f ca="1">IFERROR(__xludf.DUMMYFUNCTION("""COMPUTED_VALUE"""),"SHR")</f>
        <v>SHR</v>
      </c>
      <c r="I1920" s="80">
        <f ca="1">IFERROR(__xludf.DUMMYFUNCTION("""COMPUTED_VALUE"""),3)</f>
        <v>3</v>
      </c>
      <c r="J1920" s="85">
        <f ca="1">IFERROR(__xludf.DUMMYFUNCTION("""COMPUTED_VALUE"""),5)</f>
        <v>5</v>
      </c>
      <c r="K1920" s="85">
        <f ca="1">IFERROR(__xludf.DUMMYFUNCTION("""COMPUTED_VALUE"""),53.85)</f>
        <v>53.85</v>
      </c>
      <c r="L1920" s="85">
        <f ca="1">IFERROR(__xludf.DUMMYFUNCTION("""COMPUTED_VALUE"""),48.1)</f>
        <v>48.1</v>
      </c>
      <c r="M1920" s="85"/>
      <c r="N1920" s="85">
        <f ca="1">IFERROR(__xludf.DUMMYFUNCTION("""COMPUTED_VALUE"""),53.85)</f>
        <v>53.85</v>
      </c>
      <c r="O1920" s="85"/>
      <c r="P1920" s="85">
        <f ca="1">IFERROR(__xludf.DUMMYFUNCTION("""COMPUTED_VALUE"""),51.7)</f>
        <v>51.7</v>
      </c>
      <c r="Q1920" s="85"/>
      <c r="R1920" s="85">
        <f ca="1">IFERROR(__xludf.DUMMYFUNCTION("""COMPUTED_VALUE"""),50.85)</f>
        <v>50.85</v>
      </c>
      <c r="S1920" s="85"/>
      <c r="T1920" s="85"/>
      <c r="U1920" s="82"/>
      <c r="V1920" s="82"/>
      <c r="W1920" s="83"/>
      <c r="X1920" s="83"/>
      <c r="Y1920" s="83"/>
    </row>
    <row r="1921" spans="1:25" ht="13.8">
      <c r="A1921" s="78" t="str">
        <f ca="1">IFERROR(__xludf.DUMMYFUNCTION("""COMPUTED_VALUE"""),"SHR")</f>
        <v>SHR</v>
      </c>
      <c r="B1921" s="79" t="str">
        <f ca="1">IFERROR(__xludf.DUMMYFUNCTION("""COMPUTED_VALUE"""),"Lucas Vida")</f>
        <v>Lucas Vida</v>
      </c>
      <c r="C1921" s="78">
        <f ca="1">IFERROR(__xludf.DUMMYFUNCTION("""COMPUTED_VALUE"""),8)</f>
        <v>8</v>
      </c>
      <c r="D1921" s="78" t="str">
        <f ca="1">IFERROR(__xludf.DUMMYFUNCTION("""COMPUTED_VALUE"""),"B")</f>
        <v>B</v>
      </c>
      <c r="E1921" s="80" t="str">
        <f ca="1">IFERROR(__xludf.DUMMYFUNCTION("""COMPUTED_VALUE"""),"F")</f>
        <v>F</v>
      </c>
      <c r="F1921" s="80" t="str">
        <f ca="1">IFERROR(__xludf.DUMMYFUNCTION("""COMPUTED_VALUE"""),"J")</f>
        <v>J</v>
      </c>
      <c r="G1921" s="80">
        <f ca="1">IFERROR(__xludf.DUMMYFUNCTION("""COMPUTED_VALUE"""),3)</f>
        <v>3</v>
      </c>
      <c r="H1921" s="80" t="str">
        <f ca="1">IFERROR(__xludf.DUMMYFUNCTION("""COMPUTED_VALUE"""),"SHR")</f>
        <v>SHR</v>
      </c>
      <c r="I1921" s="80">
        <f ca="1">IFERROR(__xludf.DUMMYFUNCTION("""COMPUTED_VALUE"""),3)</f>
        <v>3</v>
      </c>
      <c r="J1921" s="85">
        <f ca="1">IFERROR(__xludf.DUMMYFUNCTION("""COMPUTED_VALUE"""),3)</f>
        <v>3</v>
      </c>
      <c r="K1921" s="85">
        <f ca="1">IFERROR(__xludf.DUMMYFUNCTION("""COMPUTED_VALUE"""),55.25)</f>
        <v>55.25</v>
      </c>
      <c r="L1921" s="85">
        <f ca="1">IFERROR(__xludf.DUMMYFUNCTION("""COMPUTED_VALUE"""),0)</f>
        <v>0</v>
      </c>
      <c r="M1921" s="85"/>
      <c r="N1921" s="85">
        <f ca="1">IFERROR(__xludf.DUMMYFUNCTION("""COMPUTED_VALUE"""),0)</f>
        <v>0</v>
      </c>
      <c r="O1921" s="85"/>
      <c r="P1921" s="85">
        <f ca="1">IFERROR(__xludf.DUMMYFUNCTION("""COMPUTED_VALUE"""),47.55)</f>
        <v>47.55</v>
      </c>
      <c r="Q1921" s="85"/>
      <c r="R1921" s="85">
        <f ca="1">IFERROR(__xludf.DUMMYFUNCTION("""COMPUTED_VALUE"""),55.25)</f>
        <v>55.25</v>
      </c>
      <c r="S1921" s="85"/>
      <c r="T1921" s="85"/>
      <c r="U1921" s="82"/>
      <c r="V1921" s="82"/>
      <c r="W1921" s="83"/>
      <c r="X1921" s="83"/>
      <c r="Y1921" s="83"/>
    </row>
    <row r="1922" spans="1:25" ht="13.8">
      <c r="A1922" s="78" t="str">
        <f ca="1">IFERROR(__xludf.DUMMYFUNCTION("""COMPUTED_VALUE"""),"SHR")</f>
        <v>SHR</v>
      </c>
      <c r="B1922" s="79" t="str">
        <f ca="1">IFERROR(__xludf.DUMMYFUNCTION("""COMPUTED_VALUE"""),"John Waibel")</f>
        <v>John Waibel</v>
      </c>
      <c r="C1922" s="78">
        <f ca="1">IFERROR(__xludf.DUMMYFUNCTION("""COMPUTED_VALUE"""),7)</f>
        <v>7</v>
      </c>
      <c r="D1922" s="78" t="str">
        <f ca="1">IFERROR(__xludf.DUMMYFUNCTION("""COMPUTED_VALUE"""),"B")</f>
        <v>B</v>
      </c>
      <c r="E1922" s="80" t="str">
        <f ca="1">IFERROR(__xludf.DUMMYFUNCTION("""COMPUTED_VALUE"""),"F")</f>
        <v>F</v>
      </c>
      <c r="F1922" s="80" t="str">
        <f ca="1">IFERROR(__xludf.DUMMYFUNCTION("""COMPUTED_VALUE"""),"J")</f>
        <v>J</v>
      </c>
      <c r="G1922" s="80">
        <f ca="1">IFERROR(__xludf.DUMMYFUNCTION("""COMPUTED_VALUE"""),3)</f>
        <v>3</v>
      </c>
      <c r="H1922" s="80" t="str">
        <f ca="1">IFERROR(__xludf.DUMMYFUNCTION("""COMPUTED_VALUE"""),"SHR")</f>
        <v>SHR</v>
      </c>
      <c r="I1922" s="80">
        <f ca="1">IFERROR(__xludf.DUMMYFUNCTION("""COMPUTED_VALUE"""),3)</f>
        <v>3</v>
      </c>
      <c r="J1922" s="85">
        <f ca="1">IFERROR(__xludf.DUMMYFUNCTION("""COMPUTED_VALUE"""),1)</f>
        <v>1</v>
      </c>
      <c r="K1922" s="85">
        <f ca="1">IFERROR(__xludf.DUMMYFUNCTION("""COMPUTED_VALUE"""),0)</f>
        <v>0</v>
      </c>
      <c r="L1922" s="85">
        <f ca="1">IFERROR(__xludf.DUMMYFUNCTION("""COMPUTED_VALUE"""),0)</f>
        <v>0</v>
      </c>
      <c r="M1922" s="85"/>
      <c r="N1922" s="85">
        <f ca="1">IFERROR(__xludf.DUMMYFUNCTION("""COMPUTED_VALUE"""),0)</f>
        <v>0</v>
      </c>
      <c r="O1922" s="85"/>
      <c r="P1922" s="85">
        <f ca="1">IFERROR(__xludf.DUMMYFUNCTION("""COMPUTED_VALUE"""),0)</f>
        <v>0</v>
      </c>
      <c r="Q1922" s="85"/>
      <c r="R1922" s="85">
        <f ca="1">IFERROR(__xludf.DUMMYFUNCTION("""COMPUTED_VALUE"""),0)</f>
        <v>0</v>
      </c>
      <c r="S1922" s="85"/>
      <c r="T1922" s="85"/>
      <c r="U1922" s="82"/>
      <c r="V1922" s="82"/>
      <c r="W1922" s="83"/>
      <c r="X1922" s="83"/>
      <c r="Y1922" s="83"/>
    </row>
    <row r="1923" spans="1:25" ht="13.8">
      <c r="A1923" s="78" t="str">
        <f ca="1">IFERROR(__xludf.DUMMYFUNCTION("""COMPUTED_VALUE"""),"SHR")</f>
        <v>SHR</v>
      </c>
      <c r="B1923" s="79" t="str">
        <f ca="1">IFERROR(__xludf.DUMMYFUNCTION("""COMPUTED_VALUE"""),"Tripp Walter")</f>
        <v>Tripp Walter</v>
      </c>
      <c r="C1923" s="78">
        <f ca="1">IFERROR(__xludf.DUMMYFUNCTION("""COMPUTED_VALUE"""),6)</f>
        <v>6</v>
      </c>
      <c r="D1923" s="78" t="str">
        <f ca="1">IFERROR(__xludf.DUMMYFUNCTION("""COMPUTED_VALUE"""),"B")</f>
        <v>B</v>
      </c>
      <c r="E1923" s="80" t="str">
        <f ca="1">IFERROR(__xludf.DUMMYFUNCTION("""COMPUTED_VALUE"""),"F")</f>
        <v>F</v>
      </c>
      <c r="F1923" s="80" t="str">
        <f ca="1">IFERROR(__xludf.DUMMYFUNCTION("""COMPUTED_VALUE"""),"J")</f>
        <v>J</v>
      </c>
      <c r="G1923" s="80">
        <f ca="1">IFERROR(__xludf.DUMMYFUNCTION("""COMPUTED_VALUE"""),3)</f>
        <v>3</v>
      </c>
      <c r="H1923" s="80" t="str">
        <f ca="1">IFERROR(__xludf.DUMMYFUNCTION("""COMPUTED_VALUE"""),"SHR")</f>
        <v>SHR</v>
      </c>
      <c r="I1923" s="80">
        <f ca="1">IFERROR(__xludf.DUMMYFUNCTION("""COMPUTED_VALUE"""),3)</f>
        <v>3</v>
      </c>
      <c r="J1923" s="85">
        <f ca="1">IFERROR(__xludf.DUMMYFUNCTION("""COMPUTED_VALUE"""),1)</f>
        <v>1</v>
      </c>
      <c r="K1923" s="85">
        <f ca="1">IFERROR(__xludf.DUMMYFUNCTION("""COMPUTED_VALUE"""),0)</f>
        <v>0</v>
      </c>
      <c r="L1923" s="85">
        <f ca="1">IFERROR(__xludf.DUMMYFUNCTION("""COMPUTED_VALUE"""),0)</f>
        <v>0</v>
      </c>
      <c r="M1923" s="85"/>
      <c r="N1923" s="85">
        <f ca="1">IFERROR(__xludf.DUMMYFUNCTION("""COMPUTED_VALUE"""),0)</f>
        <v>0</v>
      </c>
      <c r="O1923" s="85"/>
      <c r="P1923" s="85">
        <f ca="1">IFERROR(__xludf.DUMMYFUNCTION("""COMPUTED_VALUE"""),0)</f>
        <v>0</v>
      </c>
      <c r="Q1923" s="85"/>
      <c r="R1923" s="85">
        <f ca="1">IFERROR(__xludf.DUMMYFUNCTION("""COMPUTED_VALUE"""),0)</f>
        <v>0</v>
      </c>
      <c r="S1923" s="85"/>
      <c r="T1923" s="85"/>
      <c r="U1923" s="82"/>
      <c r="V1923" s="82"/>
      <c r="W1923" s="83"/>
      <c r="X1923" s="83"/>
      <c r="Y1923" s="83"/>
    </row>
    <row r="1924" spans="1:25" ht="13.8">
      <c r="A1924" s="78" t="str">
        <f ca="1">IFERROR(__xludf.DUMMYFUNCTION("""COMPUTED_VALUE"""),"SHR")</f>
        <v>SHR</v>
      </c>
      <c r="B1924" s="79" t="str">
        <f ca="1">IFERROR(__xludf.DUMMYFUNCTION("""COMPUTED_VALUE"""),"Juliet Adye")</f>
        <v>Juliet Adye</v>
      </c>
      <c r="C1924" s="78">
        <f ca="1">IFERROR(__xludf.DUMMYFUNCTION("""COMPUTED_VALUE"""),12)</f>
        <v>12</v>
      </c>
      <c r="D1924" s="78" t="str">
        <f ca="1">IFERROR(__xludf.DUMMYFUNCTION("""COMPUTED_VALUE"""),"G")</f>
        <v>G</v>
      </c>
      <c r="E1924" s="80" t="str">
        <f ca="1">IFERROR(__xludf.DUMMYFUNCTION("""COMPUTED_VALUE"""),"J")</f>
        <v>J</v>
      </c>
      <c r="F1924" s="80" t="str">
        <f ca="1">IFERROR(__xludf.DUMMYFUNCTION("""COMPUTED_VALUE"""),"I")</f>
        <v>I</v>
      </c>
      <c r="G1924" s="80">
        <f ca="1">IFERROR(__xludf.DUMMYFUNCTION("""COMPUTED_VALUE"""),3)</f>
        <v>3</v>
      </c>
      <c r="H1924" s="80" t="str">
        <f ca="1">IFERROR(__xludf.DUMMYFUNCTION("""COMPUTED_VALUE"""),"SHR")</f>
        <v>SHR</v>
      </c>
      <c r="I1924" s="80">
        <f ca="1">IFERROR(__xludf.DUMMYFUNCTION("""COMPUTED_VALUE"""),4)</f>
        <v>4</v>
      </c>
      <c r="J1924" s="85">
        <f ca="1">IFERROR(__xludf.DUMMYFUNCTION("""COMPUTED_VALUE"""),0)</f>
        <v>0</v>
      </c>
      <c r="K1924" s="85">
        <f ca="1">IFERROR(__xludf.DUMMYFUNCTION("""COMPUTED_VALUE"""),0)</f>
        <v>0</v>
      </c>
      <c r="L1924" s="85">
        <f ca="1">IFERROR(__xludf.DUMMYFUNCTION("""COMPUTED_VALUE"""),0)</f>
        <v>0</v>
      </c>
      <c r="M1924" s="85"/>
      <c r="N1924" s="85">
        <f ca="1">IFERROR(__xludf.DUMMYFUNCTION("""COMPUTED_VALUE"""),0)</f>
        <v>0</v>
      </c>
      <c r="O1924" s="85"/>
      <c r="P1924" s="85">
        <f ca="1">IFERROR(__xludf.DUMMYFUNCTION("""COMPUTED_VALUE"""),0)</f>
        <v>0</v>
      </c>
      <c r="Q1924" s="85"/>
      <c r="R1924" s="85">
        <f ca="1">IFERROR(__xludf.DUMMYFUNCTION("""COMPUTED_VALUE"""),0)</f>
        <v>0</v>
      </c>
      <c r="S1924" s="85"/>
      <c r="T1924" s="85"/>
      <c r="U1924" s="82"/>
      <c r="V1924" s="82"/>
      <c r="W1924" s="83"/>
      <c r="X1924" s="83"/>
      <c r="Y1924" s="83"/>
    </row>
    <row r="1925" spans="1:25" ht="13.8">
      <c r="A1925" s="78" t="str">
        <f ca="1">IFERROR(__xludf.DUMMYFUNCTION("""COMPUTED_VALUE"""),"SHR")</f>
        <v>SHR</v>
      </c>
      <c r="B1925" s="79" t="str">
        <f ca="1">IFERROR(__xludf.DUMMYFUNCTION("""COMPUTED_VALUE"""),"Lucy Barker")</f>
        <v>Lucy Barker</v>
      </c>
      <c r="C1925" s="78">
        <f ca="1">IFERROR(__xludf.DUMMYFUNCTION("""COMPUTED_VALUE"""),11)</f>
        <v>11</v>
      </c>
      <c r="D1925" s="78" t="str">
        <f ca="1">IFERROR(__xludf.DUMMYFUNCTION("""COMPUTED_VALUE"""),"G")</f>
        <v>G</v>
      </c>
      <c r="E1925" s="80" t="str">
        <f ca="1">IFERROR(__xludf.DUMMYFUNCTION("""COMPUTED_VALUE"""),"J")</f>
        <v>J</v>
      </c>
      <c r="F1925" s="80" t="str">
        <f ca="1">IFERROR(__xludf.DUMMYFUNCTION("""COMPUTED_VALUE"""),"I")</f>
        <v>I</v>
      </c>
      <c r="G1925" s="80">
        <f ca="1">IFERROR(__xludf.DUMMYFUNCTION("""COMPUTED_VALUE"""),3)</f>
        <v>3</v>
      </c>
      <c r="H1925" s="80" t="str">
        <f ca="1">IFERROR(__xludf.DUMMYFUNCTION("""COMPUTED_VALUE"""),"SHR")</f>
        <v>SHR</v>
      </c>
      <c r="I1925" s="80">
        <f ca="1">IFERROR(__xludf.DUMMYFUNCTION("""COMPUTED_VALUE"""),4)</f>
        <v>4</v>
      </c>
      <c r="J1925" s="85">
        <f ca="1">IFERROR(__xludf.DUMMYFUNCTION("""COMPUTED_VALUE"""),0)</f>
        <v>0</v>
      </c>
      <c r="K1925" s="85">
        <f ca="1">IFERROR(__xludf.DUMMYFUNCTION("""COMPUTED_VALUE"""),0)</f>
        <v>0</v>
      </c>
      <c r="L1925" s="85">
        <f ca="1">IFERROR(__xludf.DUMMYFUNCTION("""COMPUTED_VALUE"""),0)</f>
        <v>0</v>
      </c>
      <c r="M1925" s="85"/>
      <c r="N1925" s="85">
        <f ca="1">IFERROR(__xludf.DUMMYFUNCTION("""COMPUTED_VALUE"""),0)</f>
        <v>0</v>
      </c>
      <c r="O1925" s="85"/>
      <c r="P1925" s="85">
        <f ca="1">IFERROR(__xludf.DUMMYFUNCTION("""COMPUTED_VALUE"""),0)</f>
        <v>0</v>
      </c>
      <c r="Q1925" s="85"/>
      <c r="R1925" s="85">
        <f ca="1">IFERROR(__xludf.DUMMYFUNCTION("""COMPUTED_VALUE"""),0)</f>
        <v>0</v>
      </c>
      <c r="S1925" s="85"/>
      <c r="T1925" s="85"/>
      <c r="U1925" s="82"/>
      <c r="V1925" s="82"/>
      <c r="W1925" s="83"/>
      <c r="X1925" s="83"/>
      <c r="Y1925" s="83"/>
    </row>
    <row r="1926" spans="1:25" ht="13.8">
      <c r="A1926" s="78" t="str">
        <f ca="1">IFERROR(__xludf.DUMMYFUNCTION("""COMPUTED_VALUE"""),"SHR")</f>
        <v>SHR</v>
      </c>
      <c r="B1926" s="79" t="str">
        <f ca="1">IFERROR(__xludf.DUMMYFUNCTION("""COMPUTED_VALUE"""),"Anna Fitzgerald")</f>
        <v>Anna Fitzgerald</v>
      </c>
      <c r="C1926" s="78">
        <f ca="1">IFERROR(__xludf.DUMMYFUNCTION("""COMPUTED_VALUE"""),12)</f>
        <v>12</v>
      </c>
      <c r="D1926" s="78" t="str">
        <f ca="1">IFERROR(__xludf.DUMMYFUNCTION("""COMPUTED_VALUE"""),"G")</f>
        <v>G</v>
      </c>
      <c r="E1926" s="80" t="str">
        <f ca="1">IFERROR(__xludf.DUMMYFUNCTION("""COMPUTED_VALUE"""),"J")</f>
        <v>J</v>
      </c>
      <c r="F1926" s="80" t="str">
        <f ca="1">IFERROR(__xludf.DUMMYFUNCTION("""COMPUTED_VALUE"""),"I")</f>
        <v>I</v>
      </c>
      <c r="G1926" s="80">
        <f ca="1">IFERROR(__xludf.DUMMYFUNCTION("""COMPUTED_VALUE"""),3)</f>
        <v>3</v>
      </c>
      <c r="H1926" s="80" t="str">
        <f ca="1">IFERROR(__xludf.DUMMYFUNCTION("""COMPUTED_VALUE"""),"SHR")</f>
        <v>SHR</v>
      </c>
      <c r="I1926" s="80">
        <f ca="1">IFERROR(__xludf.DUMMYFUNCTION("""COMPUTED_VALUE"""),4)</f>
        <v>4</v>
      </c>
      <c r="J1926" s="85">
        <f ca="1">IFERROR(__xludf.DUMMYFUNCTION("""COMPUTED_VALUE"""),5)</f>
        <v>5</v>
      </c>
      <c r="K1926" s="85">
        <f ca="1">IFERROR(__xludf.DUMMYFUNCTION("""COMPUTED_VALUE"""),98.85)</f>
        <v>98.85</v>
      </c>
      <c r="L1926" s="85">
        <f ca="1">IFERROR(__xludf.DUMMYFUNCTION("""COMPUTED_VALUE"""),88.9)</f>
        <v>88.9</v>
      </c>
      <c r="M1926" s="85"/>
      <c r="N1926" s="85">
        <f ca="1">IFERROR(__xludf.DUMMYFUNCTION("""COMPUTED_VALUE"""),93.75)</f>
        <v>93.75</v>
      </c>
      <c r="O1926" s="85"/>
      <c r="P1926" s="85">
        <f ca="1">IFERROR(__xludf.DUMMYFUNCTION("""COMPUTED_VALUE"""),92)</f>
        <v>92</v>
      </c>
      <c r="Q1926" s="85"/>
      <c r="R1926" s="85">
        <f ca="1">IFERROR(__xludf.DUMMYFUNCTION("""COMPUTED_VALUE"""),98.85)</f>
        <v>98.85</v>
      </c>
      <c r="S1926" s="85"/>
      <c r="T1926" s="85"/>
      <c r="U1926" s="82"/>
      <c r="V1926" s="82"/>
      <c r="W1926" s="83"/>
      <c r="X1926" s="83"/>
      <c r="Y1926" s="83"/>
    </row>
    <row r="1927" spans="1:25" ht="13.8">
      <c r="A1927" s="78" t="str">
        <f ca="1">IFERROR(__xludf.DUMMYFUNCTION("""COMPUTED_VALUE"""),"SHR")</f>
        <v>SHR</v>
      </c>
      <c r="B1927" s="79" t="str">
        <f ca="1">IFERROR(__xludf.DUMMYFUNCTION("""COMPUTED_VALUE"""),"Louise Fitzgerald")</f>
        <v>Louise Fitzgerald</v>
      </c>
      <c r="C1927" s="78">
        <f ca="1">IFERROR(__xludf.DUMMYFUNCTION("""COMPUTED_VALUE"""),12)</f>
        <v>12</v>
      </c>
      <c r="D1927" s="78" t="str">
        <f ca="1">IFERROR(__xludf.DUMMYFUNCTION("""COMPUTED_VALUE"""),"G")</f>
        <v>G</v>
      </c>
      <c r="E1927" s="80" t="str">
        <f ca="1">IFERROR(__xludf.DUMMYFUNCTION("""COMPUTED_VALUE"""),"J")</f>
        <v>J</v>
      </c>
      <c r="F1927" s="80" t="str">
        <f ca="1">IFERROR(__xludf.DUMMYFUNCTION("""COMPUTED_VALUE"""),"I")</f>
        <v>I</v>
      </c>
      <c r="G1927" s="80">
        <f ca="1">IFERROR(__xludf.DUMMYFUNCTION("""COMPUTED_VALUE"""),3)</f>
        <v>3</v>
      </c>
      <c r="H1927" s="80" t="str">
        <f ca="1">IFERROR(__xludf.DUMMYFUNCTION("""COMPUTED_VALUE"""),"SHR")</f>
        <v>SHR</v>
      </c>
      <c r="I1927" s="80">
        <f ca="1">IFERROR(__xludf.DUMMYFUNCTION("""COMPUTED_VALUE"""),4)</f>
        <v>4</v>
      </c>
      <c r="J1927" s="85">
        <f ca="1">IFERROR(__xludf.DUMMYFUNCTION("""COMPUTED_VALUE"""),5)</f>
        <v>5</v>
      </c>
      <c r="K1927" s="85">
        <f ca="1">IFERROR(__xludf.DUMMYFUNCTION("""COMPUTED_VALUE"""),80.9)</f>
        <v>80.900000000000006</v>
      </c>
      <c r="L1927" s="85">
        <f ca="1">IFERROR(__xludf.DUMMYFUNCTION("""COMPUTED_VALUE"""),80.9)</f>
        <v>80.900000000000006</v>
      </c>
      <c r="M1927" s="85"/>
      <c r="N1927" s="85">
        <f ca="1">IFERROR(__xludf.DUMMYFUNCTION("""COMPUTED_VALUE"""),80.9)</f>
        <v>80.900000000000006</v>
      </c>
      <c r="O1927" s="85"/>
      <c r="P1927" s="85">
        <f ca="1">IFERROR(__xludf.DUMMYFUNCTION("""COMPUTED_VALUE"""),80.35)</f>
        <v>80.349999999999994</v>
      </c>
      <c r="Q1927" s="85"/>
      <c r="R1927" s="85">
        <f ca="1">IFERROR(__xludf.DUMMYFUNCTION("""COMPUTED_VALUE"""),58.9)</f>
        <v>58.9</v>
      </c>
      <c r="S1927" s="85"/>
      <c r="T1927" s="85"/>
      <c r="U1927" s="82"/>
      <c r="V1927" s="82"/>
      <c r="W1927" s="83"/>
      <c r="X1927" s="83"/>
      <c r="Y1927" s="83"/>
    </row>
    <row r="1928" spans="1:25" ht="13.8">
      <c r="A1928" s="78" t="str">
        <f ca="1">IFERROR(__xludf.DUMMYFUNCTION("""COMPUTED_VALUE"""),"SHR")</f>
        <v>SHR</v>
      </c>
      <c r="B1928" s="79" t="str">
        <f ca="1">IFERROR(__xludf.DUMMYFUNCTION("""COMPUTED_VALUE"""),"Kalyn O'Hara")</f>
        <v>Kalyn O'Hara</v>
      </c>
      <c r="C1928" s="78">
        <f ca="1">IFERROR(__xludf.DUMMYFUNCTION("""COMPUTED_VALUE"""),11)</f>
        <v>11</v>
      </c>
      <c r="D1928" s="78" t="str">
        <f ca="1">IFERROR(__xludf.DUMMYFUNCTION("""COMPUTED_VALUE"""),"G")</f>
        <v>G</v>
      </c>
      <c r="E1928" s="80" t="str">
        <f ca="1">IFERROR(__xludf.DUMMYFUNCTION("""COMPUTED_VALUE"""),"J")</f>
        <v>J</v>
      </c>
      <c r="F1928" s="80" t="str">
        <f ca="1">IFERROR(__xludf.DUMMYFUNCTION("""COMPUTED_VALUE"""),"I")</f>
        <v>I</v>
      </c>
      <c r="G1928" s="80">
        <f ca="1">IFERROR(__xludf.DUMMYFUNCTION("""COMPUTED_VALUE"""),3)</f>
        <v>3</v>
      </c>
      <c r="H1928" s="80" t="str">
        <f ca="1">IFERROR(__xludf.DUMMYFUNCTION("""COMPUTED_VALUE"""),"SHR")</f>
        <v>SHR</v>
      </c>
      <c r="I1928" s="80">
        <f ca="1">IFERROR(__xludf.DUMMYFUNCTION("""COMPUTED_VALUE"""),4)</f>
        <v>4</v>
      </c>
      <c r="J1928" s="85">
        <f ca="1">IFERROR(__xludf.DUMMYFUNCTION("""COMPUTED_VALUE"""),5)</f>
        <v>5</v>
      </c>
      <c r="K1928" s="85">
        <f ca="1">IFERROR(__xludf.DUMMYFUNCTION("""COMPUTED_VALUE"""),98.55)</f>
        <v>98.55</v>
      </c>
      <c r="L1928" s="85">
        <f ca="1">IFERROR(__xludf.DUMMYFUNCTION("""COMPUTED_VALUE"""),95)</f>
        <v>95</v>
      </c>
      <c r="M1928" s="85"/>
      <c r="N1928" s="85">
        <f ca="1">IFERROR(__xludf.DUMMYFUNCTION("""COMPUTED_VALUE"""),93.2)</f>
        <v>93.2</v>
      </c>
      <c r="O1928" s="85"/>
      <c r="P1928" s="85">
        <f ca="1">IFERROR(__xludf.DUMMYFUNCTION("""COMPUTED_VALUE"""),96.9)</f>
        <v>96.9</v>
      </c>
      <c r="Q1928" s="85"/>
      <c r="R1928" s="85">
        <f ca="1">IFERROR(__xludf.DUMMYFUNCTION("""COMPUTED_VALUE"""),98.55)</f>
        <v>98.55</v>
      </c>
      <c r="S1928" s="85"/>
      <c r="T1928" s="85"/>
      <c r="U1928" s="82"/>
      <c r="V1928" s="82"/>
      <c r="W1928" s="83"/>
      <c r="X1928" s="83"/>
      <c r="Y1928" s="83"/>
    </row>
    <row r="1929" spans="1:25" ht="13.8">
      <c r="A1929" s="78" t="str">
        <f ca="1">IFERROR(__xludf.DUMMYFUNCTION("""COMPUTED_VALUE"""),"SHR")</f>
        <v>SHR</v>
      </c>
      <c r="B1929" s="79" t="str">
        <f ca="1">IFERROR(__xludf.DUMMYFUNCTION("""COMPUTED_VALUE"""),"Charlotte Smith")</f>
        <v>Charlotte Smith</v>
      </c>
      <c r="C1929" s="78">
        <f ca="1">IFERROR(__xludf.DUMMYFUNCTION("""COMPUTED_VALUE"""),11)</f>
        <v>11</v>
      </c>
      <c r="D1929" s="78" t="str">
        <f ca="1">IFERROR(__xludf.DUMMYFUNCTION("""COMPUTED_VALUE"""),"G")</f>
        <v>G</v>
      </c>
      <c r="E1929" s="80" t="str">
        <f ca="1">IFERROR(__xludf.DUMMYFUNCTION("""COMPUTED_VALUE"""),"J")</f>
        <v>J</v>
      </c>
      <c r="F1929" s="80" t="str">
        <f ca="1">IFERROR(__xludf.DUMMYFUNCTION("""COMPUTED_VALUE"""),"I")</f>
        <v>I</v>
      </c>
      <c r="G1929" s="80">
        <f ca="1">IFERROR(__xludf.DUMMYFUNCTION("""COMPUTED_VALUE"""),3)</f>
        <v>3</v>
      </c>
      <c r="H1929" s="80" t="str">
        <f ca="1">IFERROR(__xludf.DUMMYFUNCTION("""COMPUTED_VALUE"""),"SHR")</f>
        <v>SHR</v>
      </c>
      <c r="I1929" s="80">
        <f ca="1">IFERROR(__xludf.DUMMYFUNCTION("""COMPUTED_VALUE"""),4)</f>
        <v>4</v>
      </c>
      <c r="J1929" s="85">
        <f ca="1">IFERROR(__xludf.DUMMYFUNCTION("""COMPUTED_VALUE"""),2)</f>
        <v>2</v>
      </c>
      <c r="K1929" s="85">
        <f ca="1">IFERROR(__xludf.DUMMYFUNCTION("""COMPUTED_VALUE"""),92.45)</f>
        <v>92.45</v>
      </c>
      <c r="L1929" s="85">
        <f ca="1">IFERROR(__xludf.DUMMYFUNCTION("""COMPUTED_VALUE"""),0)</f>
        <v>0</v>
      </c>
      <c r="M1929" s="85"/>
      <c r="N1929" s="85">
        <f ca="1">IFERROR(__xludf.DUMMYFUNCTION("""COMPUTED_VALUE"""),0)</f>
        <v>0</v>
      </c>
      <c r="O1929" s="85"/>
      <c r="P1929" s="85">
        <f ca="1">IFERROR(__xludf.DUMMYFUNCTION("""COMPUTED_VALUE"""),0)</f>
        <v>0</v>
      </c>
      <c r="Q1929" s="85"/>
      <c r="R1929" s="85">
        <f ca="1">IFERROR(__xludf.DUMMYFUNCTION("""COMPUTED_VALUE"""),92.45)</f>
        <v>92.45</v>
      </c>
      <c r="S1929" s="85"/>
      <c r="T1929" s="85"/>
      <c r="U1929" s="82"/>
      <c r="V1929" s="82"/>
      <c r="W1929" s="83"/>
      <c r="X1929" s="83"/>
      <c r="Y1929" s="83"/>
    </row>
    <row r="1930" spans="1:25" ht="13.8">
      <c r="A1930" s="78" t="str">
        <f ca="1">IFERROR(__xludf.DUMMYFUNCTION("""COMPUTED_VALUE"""),"SHR")</f>
        <v>SHR</v>
      </c>
      <c r="B1930" s="79" t="str">
        <f ca="1">IFERROR(__xludf.DUMMYFUNCTION("""COMPUTED_VALUE"""),"Forest Archambault")</f>
        <v>Forest Archambault</v>
      </c>
      <c r="C1930" s="78">
        <f ca="1">IFERROR(__xludf.DUMMYFUNCTION("""COMPUTED_VALUE"""),12)</f>
        <v>12</v>
      </c>
      <c r="D1930" s="78" t="str">
        <f ca="1">IFERROR(__xludf.DUMMYFUNCTION("""COMPUTED_VALUE"""),"B")</f>
        <v>B</v>
      </c>
      <c r="E1930" s="80" t="str">
        <f ca="1">IFERROR(__xludf.DUMMYFUNCTION("""COMPUTED_VALUE"""),"J")</f>
        <v>J</v>
      </c>
      <c r="F1930" s="80" t="str">
        <f ca="1">IFERROR(__xludf.DUMMYFUNCTION("""COMPUTED_VALUE"""),"I")</f>
        <v>I</v>
      </c>
      <c r="G1930" s="80">
        <f ca="1">IFERROR(__xludf.DUMMYFUNCTION("""COMPUTED_VALUE"""),3)</f>
        <v>3</v>
      </c>
      <c r="H1930" s="80" t="str">
        <f ca="1">IFERROR(__xludf.DUMMYFUNCTION("""COMPUTED_VALUE"""),"SHR")</f>
        <v>SHR</v>
      </c>
      <c r="I1930" s="80">
        <f ca="1">IFERROR(__xludf.DUMMYFUNCTION("""COMPUTED_VALUE"""),5)</f>
        <v>5</v>
      </c>
      <c r="J1930" s="85">
        <f ca="1">IFERROR(__xludf.DUMMYFUNCTION("""COMPUTED_VALUE"""),4)</f>
        <v>4</v>
      </c>
      <c r="K1930" s="85">
        <f ca="1">IFERROR(__xludf.DUMMYFUNCTION("""COMPUTED_VALUE"""),0)</f>
        <v>0</v>
      </c>
      <c r="L1930" s="85">
        <f ca="1">IFERROR(__xludf.DUMMYFUNCTION("""COMPUTED_VALUE"""),-109.2)</f>
        <v>-109.2</v>
      </c>
      <c r="M1930" s="85"/>
      <c r="N1930" s="85">
        <f ca="1">IFERROR(__xludf.DUMMYFUNCTION("""COMPUTED_VALUE"""),0)</f>
        <v>0</v>
      </c>
      <c r="O1930" s="85"/>
      <c r="P1930" s="85">
        <f ca="1">IFERROR(__xludf.DUMMYFUNCTION("""COMPUTED_VALUE"""),-120.05)</f>
        <v>-120.05</v>
      </c>
      <c r="Q1930" s="85"/>
      <c r="R1930" s="85">
        <f ca="1">IFERROR(__xludf.DUMMYFUNCTION("""COMPUTED_VALUE"""),-120.05)</f>
        <v>-120.05</v>
      </c>
      <c r="S1930" s="85"/>
      <c r="T1930" s="85"/>
      <c r="U1930" s="82"/>
      <c r="V1930" s="82"/>
      <c r="W1930" s="83"/>
      <c r="X1930" s="83"/>
      <c r="Y1930" s="83"/>
    </row>
    <row r="1931" spans="1:25" ht="13.8">
      <c r="A1931" s="78" t="str">
        <f ca="1">IFERROR(__xludf.DUMMYFUNCTION("""COMPUTED_VALUE"""),"SHR")</f>
        <v>SHR</v>
      </c>
      <c r="B1931" s="79" t="str">
        <f ca="1">IFERROR(__xludf.DUMMYFUNCTION("""COMPUTED_VALUE"""),"Elijah Garces-Foley")</f>
        <v>Elijah Garces-Foley</v>
      </c>
      <c r="C1931" s="78">
        <f ca="1">IFERROR(__xludf.DUMMYFUNCTION("""COMPUTED_VALUE"""),12)</f>
        <v>12</v>
      </c>
      <c r="D1931" s="78" t="str">
        <f ca="1">IFERROR(__xludf.DUMMYFUNCTION("""COMPUTED_VALUE"""),"B")</f>
        <v>B</v>
      </c>
      <c r="E1931" s="80" t="str">
        <f ca="1">IFERROR(__xludf.DUMMYFUNCTION("""COMPUTED_VALUE"""),"J")</f>
        <v>J</v>
      </c>
      <c r="F1931" s="80" t="str">
        <f ca="1">IFERROR(__xludf.DUMMYFUNCTION("""COMPUTED_VALUE"""),"I")</f>
        <v>I</v>
      </c>
      <c r="G1931" s="80">
        <f ca="1">IFERROR(__xludf.DUMMYFUNCTION("""COMPUTED_VALUE"""),3)</f>
        <v>3</v>
      </c>
      <c r="H1931" s="80" t="str">
        <f ca="1">IFERROR(__xludf.DUMMYFUNCTION("""COMPUTED_VALUE"""),"SHR")</f>
        <v>SHR</v>
      </c>
      <c r="I1931" s="80">
        <f ca="1">IFERROR(__xludf.DUMMYFUNCTION("""COMPUTED_VALUE"""),5)</f>
        <v>5</v>
      </c>
      <c r="J1931" s="85">
        <f ca="1">IFERROR(__xludf.DUMMYFUNCTION("""COMPUTED_VALUE"""),4)</f>
        <v>4</v>
      </c>
      <c r="K1931" s="85">
        <f ca="1">IFERROR(__xludf.DUMMYFUNCTION("""COMPUTED_VALUE"""),99.4)</f>
        <v>99.4</v>
      </c>
      <c r="L1931" s="85">
        <f ca="1">IFERROR(__xludf.DUMMYFUNCTION("""COMPUTED_VALUE"""),97.2)</f>
        <v>97.2</v>
      </c>
      <c r="M1931" s="85"/>
      <c r="N1931" s="85">
        <f ca="1">IFERROR(__xludf.DUMMYFUNCTION("""COMPUTED_VALUE"""),76.65)</f>
        <v>76.650000000000006</v>
      </c>
      <c r="O1931" s="85"/>
      <c r="P1931" s="85">
        <f ca="1">IFERROR(__xludf.DUMMYFUNCTION("""COMPUTED_VALUE"""),98.15)</f>
        <v>98.15</v>
      </c>
      <c r="Q1931" s="85"/>
      <c r="R1931" s="85">
        <f ca="1">IFERROR(__xludf.DUMMYFUNCTION("""COMPUTED_VALUE"""),99.4)</f>
        <v>99.4</v>
      </c>
      <c r="S1931" s="85"/>
      <c r="T1931" s="85"/>
      <c r="U1931" s="82"/>
      <c r="V1931" s="82"/>
      <c r="W1931" s="83"/>
      <c r="X1931" s="83"/>
      <c r="Y1931" s="83"/>
    </row>
    <row r="1932" spans="1:25" ht="13.8">
      <c r="A1932" s="78" t="str">
        <f ca="1">IFERROR(__xludf.DUMMYFUNCTION("""COMPUTED_VALUE"""),"SHR")</f>
        <v>SHR</v>
      </c>
      <c r="B1932" s="79" t="str">
        <f ca="1">IFERROR(__xludf.DUMMYFUNCTION("""COMPUTED_VALUE"""),"Rhys Kowalczyk")</f>
        <v>Rhys Kowalczyk</v>
      </c>
      <c r="C1932" s="78">
        <f ca="1">IFERROR(__xludf.DUMMYFUNCTION("""COMPUTED_VALUE"""),12)</f>
        <v>12</v>
      </c>
      <c r="D1932" s="78" t="str">
        <f ca="1">IFERROR(__xludf.DUMMYFUNCTION("""COMPUTED_VALUE"""),"B")</f>
        <v>B</v>
      </c>
      <c r="E1932" s="80" t="str">
        <f ca="1">IFERROR(__xludf.DUMMYFUNCTION("""COMPUTED_VALUE"""),"J")</f>
        <v>J</v>
      </c>
      <c r="F1932" s="80" t="str">
        <f ca="1">IFERROR(__xludf.DUMMYFUNCTION("""COMPUTED_VALUE"""),"I")</f>
        <v>I</v>
      </c>
      <c r="G1932" s="80">
        <f ca="1">IFERROR(__xludf.DUMMYFUNCTION("""COMPUTED_VALUE"""),3)</f>
        <v>3</v>
      </c>
      <c r="H1932" s="80" t="str">
        <f ca="1">IFERROR(__xludf.DUMMYFUNCTION("""COMPUTED_VALUE"""),"SHR")</f>
        <v>SHR</v>
      </c>
      <c r="I1932" s="80">
        <f ca="1">IFERROR(__xludf.DUMMYFUNCTION("""COMPUTED_VALUE"""),5)</f>
        <v>5</v>
      </c>
      <c r="J1932" s="85">
        <f ca="1">IFERROR(__xludf.DUMMYFUNCTION("""COMPUTED_VALUE"""),3)</f>
        <v>3</v>
      </c>
      <c r="K1932" s="85">
        <f ca="1">IFERROR(__xludf.DUMMYFUNCTION("""COMPUTED_VALUE"""),69.1)</f>
        <v>69.099999999999994</v>
      </c>
      <c r="L1932" s="85">
        <f ca="1">IFERROR(__xludf.DUMMYFUNCTION("""COMPUTED_VALUE"""),0)</f>
        <v>0</v>
      </c>
      <c r="M1932" s="85"/>
      <c r="N1932" s="85">
        <f ca="1">IFERROR(__xludf.DUMMYFUNCTION("""COMPUTED_VALUE"""),0)</f>
        <v>0</v>
      </c>
      <c r="O1932" s="85"/>
      <c r="P1932" s="85">
        <f ca="1">IFERROR(__xludf.DUMMYFUNCTION("""COMPUTED_VALUE"""),69.1)</f>
        <v>69.099999999999994</v>
      </c>
      <c r="Q1932" s="85"/>
      <c r="R1932" s="85">
        <f ca="1">IFERROR(__xludf.DUMMYFUNCTION("""COMPUTED_VALUE"""),66.75)</f>
        <v>66.75</v>
      </c>
      <c r="S1932" s="85"/>
      <c r="T1932" s="85"/>
      <c r="U1932" s="82"/>
      <c r="V1932" s="82"/>
      <c r="W1932" s="83"/>
      <c r="X1932" s="83"/>
      <c r="Y1932" s="83"/>
    </row>
    <row r="1933" spans="1:25" ht="13.8">
      <c r="A1933" s="78" t="str">
        <f ca="1">IFERROR(__xludf.DUMMYFUNCTION("""COMPUTED_VALUE"""),"SHR")</f>
        <v>SHR</v>
      </c>
      <c r="B1933" s="79" t="str">
        <f ca="1">IFERROR(__xludf.DUMMYFUNCTION("""COMPUTED_VALUE"""),"Brody Schrecker")</f>
        <v>Brody Schrecker</v>
      </c>
      <c r="C1933" s="78">
        <f ca="1">IFERROR(__xludf.DUMMYFUNCTION("""COMPUTED_VALUE"""),12)</f>
        <v>12</v>
      </c>
      <c r="D1933" s="78" t="str">
        <f ca="1">IFERROR(__xludf.DUMMYFUNCTION("""COMPUTED_VALUE"""),"B")</f>
        <v>B</v>
      </c>
      <c r="E1933" s="80" t="str">
        <f ca="1">IFERROR(__xludf.DUMMYFUNCTION("""COMPUTED_VALUE"""),"J")</f>
        <v>J</v>
      </c>
      <c r="F1933" s="80" t="str">
        <f ca="1">IFERROR(__xludf.DUMMYFUNCTION("""COMPUTED_VALUE"""),"I")</f>
        <v>I</v>
      </c>
      <c r="G1933" s="80">
        <f ca="1">IFERROR(__xludf.DUMMYFUNCTION("""COMPUTED_VALUE"""),3)</f>
        <v>3</v>
      </c>
      <c r="H1933" s="80" t="str">
        <f ca="1">IFERROR(__xludf.DUMMYFUNCTION("""COMPUTED_VALUE"""),"SHR")</f>
        <v>SHR</v>
      </c>
      <c r="I1933" s="80">
        <f ca="1">IFERROR(__xludf.DUMMYFUNCTION("""COMPUTED_VALUE"""),5)</f>
        <v>5</v>
      </c>
      <c r="J1933" s="85">
        <f ca="1">IFERROR(__xludf.DUMMYFUNCTION("""COMPUTED_VALUE"""),3)</f>
        <v>3</v>
      </c>
      <c r="K1933" s="85">
        <f ca="1">IFERROR(__xludf.DUMMYFUNCTION("""COMPUTED_VALUE"""),99.35)</f>
        <v>99.35</v>
      </c>
      <c r="L1933" s="85">
        <f ca="1">IFERROR(__xludf.DUMMYFUNCTION("""COMPUTED_VALUE"""),94.7)</f>
        <v>94.7</v>
      </c>
      <c r="M1933" s="85"/>
      <c r="N1933" s="85">
        <f ca="1">IFERROR(__xludf.DUMMYFUNCTION("""COMPUTED_VALUE"""),98.5)</f>
        <v>98.5</v>
      </c>
      <c r="O1933" s="85"/>
      <c r="P1933" s="85">
        <f ca="1">IFERROR(__xludf.DUMMYFUNCTION("""COMPUTED_VALUE"""),99.35)</f>
        <v>99.35</v>
      </c>
      <c r="Q1933" s="85"/>
      <c r="R1933" s="85">
        <f ca="1">IFERROR(__xludf.DUMMYFUNCTION("""COMPUTED_VALUE"""),0)</f>
        <v>0</v>
      </c>
      <c r="S1933" s="85"/>
      <c r="T1933" s="85"/>
      <c r="U1933" s="82"/>
      <c r="V1933" s="82"/>
      <c r="W1933" s="83"/>
      <c r="X1933" s="83"/>
      <c r="Y1933" s="83"/>
    </row>
    <row r="1934" spans="1:25" ht="13.8">
      <c r="A1934" s="78" t="str">
        <f ca="1">IFERROR(__xludf.DUMMYFUNCTION("""COMPUTED_VALUE"""),"SHR")</f>
        <v>SHR</v>
      </c>
      <c r="B1934" s="79" t="str">
        <f ca="1">IFERROR(__xludf.DUMMYFUNCTION("""COMPUTED_VALUE"""),"CJ Silva")</f>
        <v>CJ Silva</v>
      </c>
      <c r="C1934" s="78">
        <f ca="1">IFERROR(__xludf.DUMMYFUNCTION("""COMPUTED_VALUE"""),11)</f>
        <v>11</v>
      </c>
      <c r="D1934" s="78" t="str">
        <f ca="1">IFERROR(__xludf.DUMMYFUNCTION("""COMPUTED_VALUE"""),"B")</f>
        <v>B</v>
      </c>
      <c r="E1934" s="80" t="str">
        <f ca="1">IFERROR(__xludf.DUMMYFUNCTION("""COMPUTED_VALUE"""),"J")</f>
        <v>J</v>
      </c>
      <c r="F1934" s="80" t="str">
        <f ca="1">IFERROR(__xludf.DUMMYFUNCTION("""COMPUTED_VALUE"""),"I")</f>
        <v>I</v>
      </c>
      <c r="G1934" s="80">
        <f ca="1">IFERROR(__xludf.DUMMYFUNCTION("""COMPUTED_VALUE"""),3)</f>
        <v>3</v>
      </c>
      <c r="H1934" s="80" t="str">
        <f ca="1">IFERROR(__xludf.DUMMYFUNCTION("""COMPUTED_VALUE"""),"SHR")</f>
        <v>SHR</v>
      </c>
      <c r="I1934" s="80">
        <f ca="1">IFERROR(__xludf.DUMMYFUNCTION("""COMPUTED_VALUE"""),5)</f>
        <v>5</v>
      </c>
      <c r="J1934" s="85">
        <f ca="1">IFERROR(__xludf.DUMMYFUNCTION("""COMPUTED_VALUE"""),4)</f>
        <v>4</v>
      </c>
      <c r="K1934" s="85">
        <f ca="1">IFERROR(__xludf.DUMMYFUNCTION("""COMPUTED_VALUE"""),91.85)</f>
        <v>91.85</v>
      </c>
      <c r="L1934" s="85">
        <f ca="1">IFERROR(__xludf.DUMMYFUNCTION("""COMPUTED_VALUE"""),91.85)</f>
        <v>91.85</v>
      </c>
      <c r="M1934" s="85"/>
      <c r="N1934" s="85">
        <f ca="1">IFERROR(__xludf.DUMMYFUNCTION("""COMPUTED_VALUE"""),83.15)</f>
        <v>83.15</v>
      </c>
      <c r="O1934" s="85"/>
      <c r="P1934" s="85">
        <f ca="1">IFERROR(__xludf.DUMMYFUNCTION("""COMPUTED_VALUE"""),82.05)</f>
        <v>82.05</v>
      </c>
      <c r="Q1934" s="85"/>
      <c r="R1934" s="85">
        <f ca="1">IFERROR(__xludf.DUMMYFUNCTION("""COMPUTED_VALUE"""),0)</f>
        <v>0</v>
      </c>
      <c r="S1934" s="85"/>
      <c r="T1934" s="85"/>
      <c r="U1934" s="82"/>
      <c r="V1934" s="82"/>
      <c r="W1934" s="83"/>
      <c r="X1934" s="83"/>
      <c r="Y1934" s="83"/>
    </row>
    <row r="1935" spans="1:25" ht="13.8">
      <c r="A1935" s="78" t="str">
        <f ca="1">IFERROR(__xludf.DUMMYFUNCTION("""COMPUTED_VALUE"""),"SHR")</f>
        <v>SHR</v>
      </c>
      <c r="B1935" s="79" t="str">
        <f ca="1">IFERROR(__xludf.DUMMYFUNCTION("""COMPUTED_VALUE"""),"Diego Syar")</f>
        <v>Diego Syar</v>
      </c>
      <c r="C1935" s="78">
        <f ca="1">IFERROR(__xludf.DUMMYFUNCTION("""COMPUTED_VALUE"""),12)</f>
        <v>12</v>
      </c>
      <c r="D1935" s="78" t="str">
        <f ca="1">IFERROR(__xludf.DUMMYFUNCTION("""COMPUTED_VALUE"""),"B")</f>
        <v>B</v>
      </c>
      <c r="E1935" s="80" t="str">
        <f ca="1">IFERROR(__xludf.DUMMYFUNCTION("""COMPUTED_VALUE"""),"J")</f>
        <v>J</v>
      </c>
      <c r="F1935" s="80" t="str">
        <f ca="1">IFERROR(__xludf.DUMMYFUNCTION("""COMPUTED_VALUE"""),"I")</f>
        <v>I</v>
      </c>
      <c r="G1935" s="80">
        <f ca="1">IFERROR(__xludf.DUMMYFUNCTION("""COMPUTED_VALUE"""),3)</f>
        <v>3</v>
      </c>
      <c r="H1935" s="80" t="str">
        <f ca="1">IFERROR(__xludf.DUMMYFUNCTION("""COMPUTED_VALUE"""),"SHR")</f>
        <v>SHR</v>
      </c>
      <c r="I1935" s="80">
        <f ca="1">IFERROR(__xludf.DUMMYFUNCTION("""COMPUTED_VALUE"""),5)</f>
        <v>5</v>
      </c>
      <c r="J1935" s="85">
        <f ca="1">IFERROR(__xludf.DUMMYFUNCTION("""COMPUTED_VALUE"""),1)</f>
        <v>1</v>
      </c>
      <c r="K1935" s="85">
        <f ca="1">IFERROR(__xludf.DUMMYFUNCTION("""COMPUTED_VALUE"""),86.9)</f>
        <v>86.9</v>
      </c>
      <c r="L1935" s="85">
        <f ca="1">IFERROR(__xludf.DUMMYFUNCTION("""COMPUTED_VALUE"""),0)</f>
        <v>0</v>
      </c>
      <c r="M1935" s="85"/>
      <c r="N1935" s="85">
        <f ca="1">IFERROR(__xludf.DUMMYFUNCTION("""COMPUTED_VALUE"""),0)</f>
        <v>0</v>
      </c>
      <c r="O1935" s="85"/>
      <c r="P1935" s="85">
        <f ca="1">IFERROR(__xludf.DUMMYFUNCTION("""COMPUTED_VALUE"""),86.9)</f>
        <v>86.9</v>
      </c>
      <c r="Q1935" s="85"/>
      <c r="R1935" s="85">
        <f ca="1">IFERROR(__xludf.DUMMYFUNCTION("""COMPUTED_VALUE"""),0)</f>
        <v>0</v>
      </c>
      <c r="S1935" s="85"/>
      <c r="T1935" s="85"/>
      <c r="U1935" s="82"/>
      <c r="V1935" s="82"/>
      <c r="W1935" s="83"/>
      <c r="X1935" s="83"/>
      <c r="Y1935" s="83"/>
    </row>
    <row r="1936" spans="1:25" ht="13.8">
      <c r="A1936" s="78" t="str">
        <f ca="1">IFERROR(__xludf.DUMMYFUNCTION("""COMPUTED_VALUE"""),"SHR")</f>
        <v>SHR</v>
      </c>
      <c r="B1936" s="79" t="str">
        <f ca="1">IFERROR(__xludf.DUMMYFUNCTION("""COMPUTED_VALUE"""),"Emerson Feeley")</f>
        <v>Emerson Feeley</v>
      </c>
      <c r="C1936" s="78">
        <f ca="1">IFERROR(__xludf.DUMMYFUNCTION("""COMPUTED_VALUE"""),13)</f>
        <v>13</v>
      </c>
      <c r="D1936" s="78" t="str">
        <f ca="1">IFERROR(__xludf.DUMMYFUNCTION("""COMPUTED_VALUE"""),"G")</f>
        <v>G</v>
      </c>
      <c r="E1936" s="80" t="str">
        <f ca="1">IFERROR(__xludf.DUMMYFUNCTION("""COMPUTED_VALUE"""),"I")</f>
        <v>I</v>
      </c>
      <c r="F1936" s="80" t="str">
        <f ca="1">IFERROR(__xludf.DUMMYFUNCTION("""COMPUTED_VALUE"""),"S")</f>
        <v>S</v>
      </c>
      <c r="G1936" s="80">
        <f ca="1">IFERROR(__xludf.DUMMYFUNCTION("""COMPUTED_VALUE"""),3)</f>
        <v>3</v>
      </c>
      <c r="H1936" s="80" t="str">
        <f ca="1">IFERROR(__xludf.DUMMYFUNCTION("""COMPUTED_VALUE"""),"SHR")</f>
        <v>SHR</v>
      </c>
      <c r="I1936" s="80">
        <f ca="1">IFERROR(__xludf.DUMMYFUNCTION("""COMPUTED_VALUE"""),6)</f>
        <v>6</v>
      </c>
      <c r="J1936" s="85">
        <f ca="1">IFERROR(__xludf.DUMMYFUNCTION("""COMPUTED_VALUE"""),0)</f>
        <v>0</v>
      </c>
      <c r="K1936" s="85">
        <f ca="1">IFERROR(__xludf.DUMMYFUNCTION("""COMPUTED_VALUE"""),0)</f>
        <v>0</v>
      </c>
      <c r="L1936" s="85">
        <f ca="1">IFERROR(__xludf.DUMMYFUNCTION("""COMPUTED_VALUE"""),0)</f>
        <v>0</v>
      </c>
      <c r="M1936" s="85"/>
      <c r="N1936" s="85">
        <f ca="1">IFERROR(__xludf.DUMMYFUNCTION("""COMPUTED_VALUE"""),0)</f>
        <v>0</v>
      </c>
      <c r="O1936" s="85"/>
      <c r="P1936" s="85">
        <f ca="1">IFERROR(__xludf.DUMMYFUNCTION("""COMPUTED_VALUE"""),0)</f>
        <v>0</v>
      </c>
      <c r="Q1936" s="85"/>
      <c r="R1936" s="85">
        <f ca="1">IFERROR(__xludf.DUMMYFUNCTION("""COMPUTED_VALUE"""),0)</f>
        <v>0</v>
      </c>
      <c r="S1936" s="85"/>
      <c r="T1936" s="85"/>
      <c r="U1936" s="82"/>
      <c r="V1936" s="82"/>
      <c r="W1936" s="83"/>
      <c r="X1936" s="83"/>
      <c r="Y1936" s="83"/>
    </row>
    <row r="1937" spans="1:25" ht="13.8">
      <c r="A1937" s="78" t="str">
        <f ca="1">IFERROR(__xludf.DUMMYFUNCTION("""COMPUTED_VALUE"""),"SHR")</f>
        <v>SHR</v>
      </c>
      <c r="B1937" s="79" t="str">
        <f ca="1">IFERROR(__xludf.DUMMYFUNCTION("""COMPUTED_VALUE"""),"Chloe Kowalczyk")</f>
        <v>Chloe Kowalczyk</v>
      </c>
      <c r="C1937" s="78">
        <f ca="1">IFERROR(__xludf.DUMMYFUNCTION("""COMPUTED_VALUE"""),14)</f>
        <v>14</v>
      </c>
      <c r="D1937" s="78" t="str">
        <f ca="1">IFERROR(__xludf.DUMMYFUNCTION("""COMPUTED_VALUE"""),"G")</f>
        <v>G</v>
      </c>
      <c r="E1937" s="80" t="str">
        <f ca="1">IFERROR(__xludf.DUMMYFUNCTION("""COMPUTED_VALUE"""),"I")</f>
        <v>I</v>
      </c>
      <c r="F1937" s="80" t="str">
        <f ca="1">IFERROR(__xludf.DUMMYFUNCTION("""COMPUTED_VALUE"""),"S")</f>
        <v>S</v>
      </c>
      <c r="G1937" s="80">
        <f ca="1">IFERROR(__xludf.DUMMYFUNCTION("""COMPUTED_VALUE"""),3)</f>
        <v>3</v>
      </c>
      <c r="H1937" s="80" t="str">
        <f ca="1">IFERROR(__xludf.DUMMYFUNCTION("""COMPUTED_VALUE"""),"SHR")</f>
        <v>SHR</v>
      </c>
      <c r="I1937" s="80">
        <f ca="1">IFERROR(__xludf.DUMMYFUNCTION("""COMPUTED_VALUE"""),6)</f>
        <v>6</v>
      </c>
      <c r="J1937" s="85">
        <f ca="1">IFERROR(__xludf.DUMMYFUNCTION("""COMPUTED_VALUE"""),3)</f>
        <v>3</v>
      </c>
      <c r="K1937" s="85">
        <f ca="1">IFERROR(__xludf.DUMMYFUNCTION("""COMPUTED_VALUE"""),116.8)</f>
        <v>116.8</v>
      </c>
      <c r="L1937" s="85">
        <f ca="1">IFERROR(__xludf.DUMMYFUNCTION("""COMPUTED_VALUE"""),86.95)</f>
        <v>86.95</v>
      </c>
      <c r="M1937" s="85"/>
      <c r="N1937" s="85">
        <f ca="1">IFERROR(__xludf.DUMMYFUNCTION("""COMPUTED_VALUE"""),0)</f>
        <v>0</v>
      </c>
      <c r="O1937" s="85"/>
      <c r="P1937" s="85">
        <f ca="1">IFERROR(__xludf.DUMMYFUNCTION("""COMPUTED_VALUE"""),106.8)</f>
        <v>106.8</v>
      </c>
      <c r="Q1937" s="85"/>
      <c r="R1937" s="85">
        <f ca="1">IFERROR(__xludf.DUMMYFUNCTION("""COMPUTED_VALUE"""),116.8)</f>
        <v>116.8</v>
      </c>
      <c r="S1937" s="85"/>
      <c r="T1937" s="85"/>
      <c r="U1937" s="82"/>
      <c r="V1937" s="82"/>
      <c r="W1937" s="83"/>
      <c r="X1937" s="83"/>
      <c r="Y1937" s="83"/>
    </row>
    <row r="1938" spans="1:25" ht="13.8">
      <c r="A1938" s="78" t="str">
        <f ca="1">IFERROR(__xludf.DUMMYFUNCTION("""COMPUTED_VALUE"""),"SHR")</f>
        <v>SHR</v>
      </c>
      <c r="B1938" s="79" t="str">
        <f ca="1">IFERROR(__xludf.DUMMYFUNCTION("""COMPUTED_VALUE"""),"Caeli McIntosh")</f>
        <v>Caeli McIntosh</v>
      </c>
      <c r="C1938" s="78">
        <f ca="1">IFERROR(__xludf.DUMMYFUNCTION("""COMPUTED_VALUE"""),13)</f>
        <v>13</v>
      </c>
      <c r="D1938" s="78" t="str">
        <f ca="1">IFERROR(__xludf.DUMMYFUNCTION("""COMPUTED_VALUE"""),"G")</f>
        <v>G</v>
      </c>
      <c r="E1938" s="80" t="str">
        <f ca="1">IFERROR(__xludf.DUMMYFUNCTION("""COMPUTED_VALUE"""),"I")</f>
        <v>I</v>
      </c>
      <c r="F1938" s="80" t="str">
        <f ca="1">IFERROR(__xludf.DUMMYFUNCTION("""COMPUTED_VALUE"""),"S")</f>
        <v>S</v>
      </c>
      <c r="G1938" s="80">
        <f ca="1">IFERROR(__xludf.DUMMYFUNCTION("""COMPUTED_VALUE"""),3)</f>
        <v>3</v>
      </c>
      <c r="H1938" s="80" t="str">
        <f ca="1">IFERROR(__xludf.DUMMYFUNCTION("""COMPUTED_VALUE"""),"SHR")</f>
        <v>SHR</v>
      </c>
      <c r="I1938" s="80">
        <f ca="1">IFERROR(__xludf.DUMMYFUNCTION("""COMPUTED_VALUE"""),6)</f>
        <v>6</v>
      </c>
      <c r="J1938" s="85">
        <f ca="1">IFERROR(__xludf.DUMMYFUNCTION("""COMPUTED_VALUE"""),4)</f>
        <v>4</v>
      </c>
      <c r="K1938" s="85">
        <f ca="1">IFERROR(__xludf.DUMMYFUNCTION("""COMPUTED_VALUE"""),104.5)</f>
        <v>104.5</v>
      </c>
      <c r="L1938" s="85">
        <f ca="1">IFERROR(__xludf.DUMMYFUNCTION("""COMPUTED_VALUE"""),91.35)</f>
        <v>91.35</v>
      </c>
      <c r="M1938" s="85"/>
      <c r="N1938" s="85">
        <f ca="1">IFERROR(__xludf.DUMMYFUNCTION("""COMPUTED_VALUE"""),83.85)</f>
        <v>83.85</v>
      </c>
      <c r="O1938" s="85"/>
      <c r="P1938" s="85">
        <f ca="1">IFERROR(__xludf.DUMMYFUNCTION("""COMPUTED_VALUE"""),104.5)</f>
        <v>104.5</v>
      </c>
      <c r="Q1938" s="85"/>
      <c r="R1938" s="85">
        <f ca="1">IFERROR(__xludf.DUMMYFUNCTION("""COMPUTED_VALUE"""),0)</f>
        <v>0</v>
      </c>
      <c r="S1938" s="85"/>
      <c r="T1938" s="85"/>
      <c r="U1938" s="82"/>
      <c r="V1938" s="82"/>
      <c r="W1938" s="83"/>
      <c r="X1938" s="83"/>
      <c r="Y1938" s="83"/>
    </row>
    <row r="1939" spans="1:25" ht="13.8">
      <c r="A1939" s="78" t="str">
        <f ca="1">IFERROR(__xludf.DUMMYFUNCTION("""COMPUTED_VALUE"""),"SHR")</f>
        <v>SHR</v>
      </c>
      <c r="B1939" s="79" t="str">
        <f ca="1">IFERROR(__xludf.DUMMYFUNCTION("""COMPUTED_VALUE"""),"Emma Redman")</f>
        <v>Emma Redman</v>
      </c>
      <c r="C1939" s="78">
        <f ca="1">IFERROR(__xludf.DUMMYFUNCTION("""COMPUTED_VALUE"""),14)</f>
        <v>14</v>
      </c>
      <c r="D1939" s="78" t="str">
        <f ca="1">IFERROR(__xludf.DUMMYFUNCTION("""COMPUTED_VALUE"""),"G")</f>
        <v>G</v>
      </c>
      <c r="E1939" s="80" t="str">
        <f ca="1">IFERROR(__xludf.DUMMYFUNCTION("""COMPUTED_VALUE"""),"I")</f>
        <v>I</v>
      </c>
      <c r="F1939" s="80" t="str">
        <f ca="1">IFERROR(__xludf.DUMMYFUNCTION("""COMPUTED_VALUE"""),"S")</f>
        <v>S</v>
      </c>
      <c r="G1939" s="80">
        <f ca="1">IFERROR(__xludf.DUMMYFUNCTION("""COMPUTED_VALUE"""),3)</f>
        <v>3</v>
      </c>
      <c r="H1939" s="80" t="str">
        <f ca="1">IFERROR(__xludf.DUMMYFUNCTION("""COMPUTED_VALUE"""),"SHR")</f>
        <v>SHR</v>
      </c>
      <c r="I1939" s="80">
        <f ca="1">IFERROR(__xludf.DUMMYFUNCTION("""COMPUTED_VALUE"""),6)</f>
        <v>6</v>
      </c>
      <c r="J1939" s="85">
        <f ca="1">IFERROR(__xludf.DUMMYFUNCTION("""COMPUTED_VALUE"""),3)</f>
        <v>3</v>
      </c>
      <c r="K1939" s="85">
        <f ca="1">IFERROR(__xludf.DUMMYFUNCTION("""COMPUTED_VALUE"""),142.15)</f>
        <v>142.15</v>
      </c>
      <c r="L1939" s="85">
        <f ca="1">IFERROR(__xludf.DUMMYFUNCTION("""COMPUTED_VALUE"""),0)</f>
        <v>0</v>
      </c>
      <c r="M1939" s="85"/>
      <c r="N1939" s="85">
        <f ca="1">IFERROR(__xludf.DUMMYFUNCTION("""COMPUTED_VALUE"""),0)</f>
        <v>0</v>
      </c>
      <c r="O1939" s="85"/>
      <c r="P1939" s="85">
        <f ca="1">IFERROR(__xludf.DUMMYFUNCTION("""COMPUTED_VALUE"""),142.15)</f>
        <v>142.15</v>
      </c>
      <c r="Q1939" s="85"/>
      <c r="R1939" s="85">
        <f ca="1">IFERROR(__xludf.DUMMYFUNCTION("""COMPUTED_VALUE"""),137.85)</f>
        <v>137.85</v>
      </c>
      <c r="S1939" s="85"/>
      <c r="T1939" s="85"/>
      <c r="U1939" s="82"/>
      <c r="V1939" s="82"/>
      <c r="W1939" s="83"/>
      <c r="X1939" s="83"/>
      <c r="Y1939" s="83"/>
    </row>
    <row r="1940" spans="1:25" ht="13.8">
      <c r="A1940" s="78" t="str">
        <f ca="1">IFERROR(__xludf.DUMMYFUNCTION("""COMPUTED_VALUE"""),"SHR")</f>
        <v>SHR</v>
      </c>
      <c r="B1940" s="79" t="str">
        <f ca="1">IFERROR(__xludf.DUMMYFUNCTION("""COMPUTED_VALUE"""),"Chloe Richards")</f>
        <v>Chloe Richards</v>
      </c>
      <c r="C1940" s="78">
        <f ca="1">IFERROR(__xludf.DUMMYFUNCTION("""COMPUTED_VALUE"""),14)</f>
        <v>14</v>
      </c>
      <c r="D1940" s="78" t="str">
        <f ca="1">IFERROR(__xludf.DUMMYFUNCTION("""COMPUTED_VALUE"""),"G")</f>
        <v>G</v>
      </c>
      <c r="E1940" s="80" t="str">
        <f ca="1">IFERROR(__xludf.DUMMYFUNCTION("""COMPUTED_VALUE"""),"I")</f>
        <v>I</v>
      </c>
      <c r="F1940" s="80" t="str">
        <f ca="1">IFERROR(__xludf.DUMMYFUNCTION("""COMPUTED_VALUE"""),"S")</f>
        <v>S</v>
      </c>
      <c r="G1940" s="80">
        <f ca="1">IFERROR(__xludf.DUMMYFUNCTION("""COMPUTED_VALUE"""),3)</f>
        <v>3</v>
      </c>
      <c r="H1940" s="80" t="str">
        <f ca="1">IFERROR(__xludf.DUMMYFUNCTION("""COMPUTED_VALUE"""),"SHR")</f>
        <v>SHR</v>
      </c>
      <c r="I1940" s="80">
        <f ca="1">IFERROR(__xludf.DUMMYFUNCTION("""COMPUTED_VALUE"""),6)</f>
        <v>6</v>
      </c>
      <c r="J1940" s="85">
        <f ca="1">IFERROR(__xludf.DUMMYFUNCTION("""COMPUTED_VALUE"""),3)</f>
        <v>3</v>
      </c>
      <c r="K1940" s="85">
        <f ca="1">IFERROR(__xludf.DUMMYFUNCTION("""COMPUTED_VALUE"""),137.4)</f>
        <v>137.4</v>
      </c>
      <c r="L1940" s="85">
        <f ca="1">IFERROR(__xludf.DUMMYFUNCTION("""COMPUTED_VALUE"""),135.3)</f>
        <v>135.30000000000001</v>
      </c>
      <c r="M1940" s="85"/>
      <c r="N1940" s="85">
        <f ca="1">IFERROR(__xludf.DUMMYFUNCTION("""COMPUTED_VALUE"""),0)</f>
        <v>0</v>
      </c>
      <c r="O1940" s="85"/>
      <c r="P1940" s="85">
        <f ca="1">IFERROR(__xludf.DUMMYFUNCTION("""COMPUTED_VALUE"""),137.4)</f>
        <v>137.4</v>
      </c>
      <c r="Q1940" s="85"/>
      <c r="R1940" s="85">
        <f ca="1">IFERROR(__xludf.DUMMYFUNCTION("""COMPUTED_VALUE"""),0)</f>
        <v>0</v>
      </c>
      <c r="S1940" s="85"/>
      <c r="T1940" s="85"/>
      <c r="U1940" s="82"/>
      <c r="V1940" s="82"/>
      <c r="W1940" s="83"/>
      <c r="X1940" s="83"/>
      <c r="Y1940" s="83"/>
    </row>
    <row r="1941" spans="1:25" ht="13.8">
      <c r="A1941" s="78" t="str">
        <f ca="1">IFERROR(__xludf.DUMMYFUNCTION("""COMPUTED_VALUE"""),"SHR")</f>
        <v>SHR</v>
      </c>
      <c r="B1941" s="79" t="str">
        <f ca="1">IFERROR(__xludf.DUMMYFUNCTION("""COMPUTED_VALUE"""),"Courtney Weldon")</f>
        <v>Courtney Weldon</v>
      </c>
      <c r="C1941" s="78">
        <f ca="1">IFERROR(__xludf.DUMMYFUNCTION("""COMPUTED_VALUE"""),13)</f>
        <v>13</v>
      </c>
      <c r="D1941" s="78" t="str">
        <f ca="1">IFERROR(__xludf.DUMMYFUNCTION("""COMPUTED_VALUE"""),"G")</f>
        <v>G</v>
      </c>
      <c r="E1941" s="80" t="str">
        <f ca="1">IFERROR(__xludf.DUMMYFUNCTION("""COMPUTED_VALUE"""),"I")</f>
        <v>I</v>
      </c>
      <c r="F1941" s="80" t="str">
        <f ca="1">IFERROR(__xludf.DUMMYFUNCTION("""COMPUTED_VALUE"""),"S")</f>
        <v>S</v>
      </c>
      <c r="G1941" s="80">
        <f ca="1">IFERROR(__xludf.DUMMYFUNCTION("""COMPUTED_VALUE"""),3)</f>
        <v>3</v>
      </c>
      <c r="H1941" s="80" t="str">
        <f ca="1">IFERROR(__xludf.DUMMYFUNCTION("""COMPUTED_VALUE"""),"SHR")</f>
        <v>SHR</v>
      </c>
      <c r="I1941" s="80">
        <f ca="1">IFERROR(__xludf.DUMMYFUNCTION("""COMPUTED_VALUE"""),6)</f>
        <v>6</v>
      </c>
      <c r="J1941" s="85">
        <f ca="1">IFERROR(__xludf.DUMMYFUNCTION("""COMPUTED_VALUE"""),5)</f>
        <v>5</v>
      </c>
      <c r="K1941" s="85">
        <f ca="1">IFERROR(__xludf.DUMMYFUNCTION("""COMPUTED_VALUE"""),102)</f>
        <v>102</v>
      </c>
      <c r="L1941" s="85">
        <f ca="1">IFERROR(__xludf.DUMMYFUNCTION("""COMPUTED_VALUE"""),90.2)</f>
        <v>90.2</v>
      </c>
      <c r="M1941" s="85"/>
      <c r="N1941" s="85">
        <f ca="1">IFERROR(__xludf.DUMMYFUNCTION("""COMPUTED_VALUE"""),88.85)</f>
        <v>88.85</v>
      </c>
      <c r="O1941" s="85"/>
      <c r="P1941" s="85">
        <f ca="1">IFERROR(__xludf.DUMMYFUNCTION("""COMPUTED_VALUE"""),102)</f>
        <v>102</v>
      </c>
      <c r="Q1941" s="85"/>
      <c r="R1941" s="85">
        <f ca="1">IFERROR(__xludf.DUMMYFUNCTION("""COMPUTED_VALUE"""),98.75)</f>
        <v>98.75</v>
      </c>
      <c r="S1941" s="85"/>
      <c r="T1941" s="85"/>
      <c r="U1941" s="82"/>
      <c r="V1941" s="82"/>
      <c r="W1941" s="83"/>
      <c r="X1941" s="83"/>
      <c r="Y1941" s="83"/>
    </row>
    <row r="1942" spans="1:25" ht="13.8">
      <c r="A1942" s="78" t="str">
        <f ca="1">IFERROR(__xludf.DUMMYFUNCTION("""COMPUTED_VALUE"""),"SHR")</f>
        <v>SHR</v>
      </c>
      <c r="B1942" s="79" t="str">
        <f ca="1">IFERROR(__xludf.DUMMYFUNCTION("""COMPUTED_VALUE"""),"Kyle Aylward")</f>
        <v>Kyle Aylward</v>
      </c>
      <c r="C1942" s="78">
        <f ca="1">IFERROR(__xludf.DUMMYFUNCTION("""COMPUTED_VALUE"""),13)</f>
        <v>13</v>
      </c>
      <c r="D1942" s="78" t="str">
        <f ca="1">IFERROR(__xludf.DUMMYFUNCTION("""COMPUTED_VALUE"""),"B")</f>
        <v>B</v>
      </c>
      <c r="E1942" s="80" t="str">
        <f ca="1">IFERROR(__xludf.DUMMYFUNCTION("""COMPUTED_VALUE"""),"I")</f>
        <v>I</v>
      </c>
      <c r="F1942" s="80" t="str">
        <f ca="1">IFERROR(__xludf.DUMMYFUNCTION("""COMPUTED_VALUE"""),"S")</f>
        <v>S</v>
      </c>
      <c r="G1942" s="80">
        <f ca="1">IFERROR(__xludf.DUMMYFUNCTION("""COMPUTED_VALUE"""),3)</f>
        <v>3</v>
      </c>
      <c r="H1942" s="80" t="str">
        <f ca="1">IFERROR(__xludf.DUMMYFUNCTION("""COMPUTED_VALUE"""),"SHR")</f>
        <v>SHR</v>
      </c>
      <c r="I1942" s="80">
        <f ca="1">IFERROR(__xludf.DUMMYFUNCTION("""COMPUTED_VALUE"""),7)</f>
        <v>7</v>
      </c>
      <c r="J1942" s="85">
        <f ca="1">IFERROR(__xludf.DUMMYFUNCTION("""COMPUTED_VALUE"""),4)</f>
        <v>4</v>
      </c>
      <c r="K1942" s="85">
        <f ca="1">IFERROR(__xludf.DUMMYFUNCTION("""COMPUTED_VALUE"""),98.65)</f>
        <v>98.65</v>
      </c>
      <c r="L1942" s="85">
        <f ca="1">IFERROR(__xludf.DUMMYFUNCTION("""COMPUTED_VALUE"""),0)</f>
        <v>0</v>
      </c>
      <c r="M1942" s="85"/>
      <c r="N1942" s="85">
        <f ca="1">IFERROR(__xludf.DUMMYFUNCTION("""COMPUTED_VALUE"""),77.9)</f>
        <v>77.900000000000006</v>
      </c>
      <c r="O1942" s="85"/>
      <c r="P1942" s="85">
        <f ca="1">IFERROR(__xludf.DUMMYFUNCTION("""COMPUTED_VALUE"""),92.2)</f>
        <v>92.2</v>
      </c>
      <c r="Q1942" s="85"/>
      <c r="R1942" s="85">
        <f ca="1">IFERROR(__xludf.DUMMYFUNCTION("""COMPUTED_VALUE"""),98.65)</f>
        <v>98.65</v>
      </c>
      <c r="S1942" s="85"/>
      <c r="T1942" s="85"/>
      <c r="U1942" s="82"/>
      <c r="V1942" s="82"/>
      <c r="W1942" s="83"/>
      <c r="X1942" s="83"/>
      <c r="Y1942" s="83"/>
    </row>
    <row r="1943" spans="1:25" ht="13.8">
      <c r="A1943" s="78" t="str">
        <f ca="1">IFERROR(__xludf.DUMMYFUNCTION("""COMPUTED_VALUE"""),"SHR")</f>
        <v>SHR</v>
      </c>
      <c r="B1943" s="79" t="str">
        <f ca="1">IFERROR(__xludf.DUMMYFUNCTION("""COMPUTED_VALUE"""),"Matthew Heim")</f>
        <v>Matthew Heim</v>
      </c>
      <c r="C1943" s="78">
        <f ca="1">IFERROR(__xludf.DUMMYFUNCTION("""COMPUTED_VALUE"""),13)</f>
        <v>13</v>
      </c>
      <c r="D1943" s="78" t="str">
        <f ca="1">IFERROR(__xludf.DUMMYFUNCTION("""COMPUTED_VALUE"""),"B")</f>
        <v>B</v>
      </c>
      <c r="E1943" s="80" t="str">
        <f ca="1">IFERROR(__xludf.DUMMYFUNCTION("""COMPUTED_VALUE"""),"I")</f>
        <v>I</v>
      </c>
      <c r="F1943" s="80" t="str">
        <f ca="1">IFERROR(__xludf.DUMMYFUNCTION("""COMPUTED_VALUE"""),"S")</f>
        <v>S</v>
      </c>
      <c r="G1943" s="80">
        <f ca="1">IFERROR(__xludf.DUMMYFUNCTION("""COMPUTED_VALUE"""),3)</f>
        <v>3</v>
      </c>
      <c r="H1943" s="80" t="str">
        <f ca="1">IFERROR(__xludf.DUMMYFUNCTION("""COMPUTED_VALUE"""),"SHR")</f>
        <v>SHR</v>
      </c>
      <c r="I1943" s="80">
        <f ca="1">IFERROR(__xludf.DUMMYFUNCTION("""COMPUTED_VALUE"""),7)</f>
        <v>7</v>
      </c>
      <c r="J1943" s="85">
        <f ca="1">IFERROR(__xludf.DUMMYFUNCTION("""COMPUTED_VALUE"""),3)</f>
        <v>3</v>
      </c>
      <c r="K1943" s="85">
        <f ca="1">IFERROR(__xludf.DUMMYFUNCTION("""COMPUTED_VALUE"""),118.15)</f>
        <v>118.15</v>
      </c>
      <c r="L1943" s="85">
        <f ca="1">IFERROR(__xludf.DUMMYFUNCTION("""COMPUTED_VALUE"""),0)</f>
        <v>0</v>
      </c>
      <c r="M1943" s="85"/>
      <c r="N1943" s="85">
        <f ca="1">IFERROR(__xludf.DUMMYFUNCTION("""COMPUTED_VALUE"""),0)</f>
        <v>0</v>
      </c>
      <c r="O1943" s="85"/>
      <c r="P1943" s="85">
        <f ca="1">IFERROR(__xludf.DUMMYFUNCTION("""COMPUTED_VALUE"""),117.5)</f>
        <v>117.5</v>
      </c>
      <c r="Q1943" s="85"/>
      <c r="R1943" s="85">
        <f ca="1">IFERROR(__xludf.DUMMYFUNCTION("""COMPUTED_VALUE"""),118.15)</f>
        <v>118.15</v>
      </c>
      <c r="S1943" s="85"/>
      <c r="T1943" s="85"/>
      <c r="U1943" s="82"/>
      <c r="V1943" s="82"/>
      <c r="W1943" s="83"/>
      <c r="X1943" s="83"/>
      <c r="Y1943" s="83"/>
    </row>
    <row r="1944" spans="1:25" ht="13.8">
      <c r="A1944" s="78" t="str">
        <f ca="1">IFERROR(__xludf.DUMMYFUNCTION("""COMPUTED_VALUE"""),"SHR")</f>
        <v>SHR</v>
      </c>
      <c r="B1944" s="79" t="str">
        <f ca="1">IFERROR(__xludf.DUMMYFUNCTION("""COMPUTED_VALUE"""),"Ocean Archambault")</f>
        <v>Ocean Archambault</v>
      </c>
      <c r="C1944" s="78">
        <f ca="1">IFERROR(__xludf.DUMMYFUNCTION("""COMPUTED_VALUE"""),15)</f>
        <v>15</v>
      </c>
      <c r="D1944" s="78" t="str">
        <f ca="1">IFERROR(__xludf.DUMMYFUNCTION("""COMPUTED_VALUE"""),"G")</f>
        <v>G</v>
      </c>
      <c r="E1944" s="80" t="str">
        <f ca="1">IFERROR(__xludf.DUMMYFUNCTION("""COMPUTED_VALUE"""),"S")</f>
        <v>S</v>
      </c>
      <c r="F1944" s="80" t="str">
        <f ca="1">IFERROR(__xludf.DUMMYFUNCTION("""COMPUTED_VALUE"""),"S")</f>
        <v>S</v>
      </c>
      <c r="G1944" s="80">
        <f ca="1">IFERROR(__xludf.DUMMYFUNCTION("""COMPUTED_VALUE"""),3)</f>
        <v>3</v>
      </c>
      <c r="H1944" s="80" t="str">
        <f ca="1">IFERROR(__xludf.DUMMYFUNCTION("""COMPUTED_VALUE"""),"SHR")</f>
        <v>SHR</v>
      </c>
      <c r="I1944" s="80">
        <f ca="1">IFERROR(__xludf.DUMMYFUNCTION("""COMPUTED_VALUE"""),8)</f>
        <v>8</v>
      </c>
      <c r="J1944" s="85">
        <f ca="1">IFERROR(__xludf.DUMMYFUNCTION("""COMPUTED_VALUE"""),5)</f>
        <v>5</v>
      </c>
      <c r="K1944" s="85">
        <f ca="1">IFERROR(__xludf.DUMMYFUNCTION("""COMPUTED_VALUE"""),180.65)</f>
        <v>180.65</v>
      </c>
      <c r="L1944" s="85">
        <f ca="1">IFERROR(__xludf.DUMMYFUNCTION("""COMPUTED_VALUE"""),154.55)</f>
        <v>154.55000000000001</v>
      </c>
      <c r="M1944" s="85"/>
      <c r="N1944" s="85">
        <f ca="1">IFERROR(__xludf.DUMMYFUNCTION("""COMPUTED_VALUE"""),146.4)</f>
        <v>146.4</v>
      </c>
      <c r="O1944" s="85"/>
      <c r="P1944" s="85">
        <f ca="1">IFERROR(__xludf.DUMMYFUNCTION("""COMPUTED_VALUE"""),174.45)</f>
        <v>174.45</v>
      </c>
      <c r="Q1944" s="85"/>
      <c r="R1944" s="85">
        <f ca="1">IFERROR(__xludf.DUMMYFUNCTION("""COMPUTED_VALUE"""),180.65)</f>
        <v>180.65</v>
      </c>
      <c r="S1944" s="85"/>
      <c r="T1944" s="85"/>
      <c r="U1944" s="82"/>
      <c r="V1944" s="82"/>
      <c r="W1944" s="83"/>
      <c r="X1944" s="83"/>
      <c r="Y1944" s="83"/>
    </row>
    <row r="1945" spans="1:25" ht="13.8">
      <c r="A1945" s="78" t="str">
        <f ca="1">IFERROR(__xludf.DUMMYFUNCTION("""COMPUTED_VALUE"""),"SHR")</f>
        <v>SHR</v>
      </c>
      <c r="B1945" s="79" t="str">
        <f ca="1">IFERROR(__xludf.DUMMYFUNCTION("""COMPUTED_VALUE"""),"Mia Korin")</f>
        <v>Mia Korin</v>
      </c>
      <c r="C1945" s="78">
        <f ca="1">IFERROR(__xludf.DUMMYFUNCTION("""COMPUTED_VALUE"""),15)</f>
        <v>15</v>
      </c>
      <c r="D1945" s="78" t="str">
        <f ca="1">IFERROR(__xludf.DUMMYFUNCTION("""COMPUTED_VALUE"""),"G")</f>
        <v>G</v>
      </c>
      <c r="E1945" s="80" t="str">
        <f ca="1">IFERROR(__xludf.DUMMYFUNCTION("""COMPUTED_VALUE"""),"S")</f>
        <v>S</v>
      </c>
      <c r="F1945" s="80" t="str">
        <f ca="1">IFERROR(__xludf.DUMMYFUNCTION("""COMPUTED_VALUE"""),"S")</f>
        <v>S</v>
      </c>
      <c r="G1945" s="80">
        <f ca="1">IFERROR(__xludf.DUMMYFUNCTION("""COMPUTED_VALUE"""),3)</f>
        <v>3</v>
      </c>
      <c r="H1945" s="80" t="str">
        <f ca="1">IFERROR(__xludf.DUMMYFUNCTION("""COMPUTED_VALUE"""),"SHR")</f>
        <v>SHR</v>
      </c>
      <c r="I1945" s="80">
        <f ca="1">IFERROR(__xludf.DUMMYFUNCTION("""COMPUTED_VALUE"""),8)</f>
        <v>8</v>
      </c>
      <c r="J1945" s="85">
        <f ca="1">IFERROR(__xludf.DUMMYFUNCTION("""COMPUTED_VALUE"""),5)</f>
        <v>5</v>
      </c>
      <c r="K1945" s="85">
        <f ca="1">IFERROR(__xludf.DUMMYFUNCTION("""COMPUTED_VALUE"""),151.5)</f>
        <v>151.5</v>
      </c>
      <c r="L1945" s="85">
        <f ca="1">IFERROR(__xludf.DUMMYFUNCTION("""COMPUTED_VALUE"""),128.95)</f>
        <v>128.94999999999999</v>
      </c>
      <c r="M1945" s="85"/>
      <c r="N1945" s="85">
        <f ca="1">IFERROR(__xludf.DUMMYFUNCTION("""COMPUTED_VALUE"""),131.7)</f>
        <v>131.69999999999999</v>
      </c>
      <c r="O1945" s="85"/>
      <c r="P1945" s="85">
        <f ca="1">IFERROR(__xludf.DUMMYFUNCTION("""COMPUTED_VALUE"""),149.1)</f>
        <v>149.1</v>
      </c>
      <c r="Q1945" s="85"/>
      <c r="R1945" s="85">
        <f ca="1">IFERROR(__xludf.DUMMYFUNCTION("""COMPUTED_VALUE"""),151.5)</f>
        <v>151.5</v>
      </c>
      <c r="S1945" s="85"/>
      <c r="T1945" s="85"/>
      <c r="U1945" s="82"/>
      <c r="V1945" s="82"/>
      <c r="W1945" s="83"/>
      <c r="X1945" s="83"/>
      <c r="Y1945" s="83"/>
    </row>
    <row r="1946" spans="1:25" ht="13.8">
      <c r="A1946" s="78" t="str">
        <f ca="1">IFERROR(__xludf.DUMMYFUNCTION("""COMPUTED_VALUE"""),"SHR")</f>
        <v>SHR</v>
      </c>
      <c r="B1946" s="79" t="str">
        <f ca="1">IFERROR(__xludf.DUMMYFUNCTION("""COMPUTED_VALUE"""),"Ginger Richards")</f>
        <v>Ginger Richards</v>
      </c>
      <c r="C1946" s="78">
        <f ca="1">IFERROR(__xludf.DUMMYFUNCTION("""COMPUTED_VALUE"""),16)</f>
        <v>16</v>
      </c>
      <c r="D1946" s="78" t="str">
        <f ca="1">IFERROR(__xludf.DUMMYFUNCTION("""COMPUTED_VALUE"""),"G")</f>
        <v>G</v>
      </c>
      <c r="E1946" s="80" t="str">
        <f ca="1">IFERROR(__xludf.DUMMYFUNCTION("""COMPUTED_VALUE"""),"S")</f>
        <v>S</v>
      </c>
      <c r="F1946" s="80" t="str">
        <f ca="1">IFERROR(__xludf.DUMMYFUNCTION("""COMPUTED_VALUE"""),"S")</f>
        <v>S</v>
      </c>
      <c r="G1946" s="80">
        <f ca="1">IFERROR(__xludf.DUMMYFUNCTION("""COMPUTED_VALUE"""),3)</f>
        <v>3</v>
      </c>
      <c r="H1946" s="80" t="str">
        <f ca="1">IFERROR(__xludf.DUMMYFUNCTION("""COMPUTED_VALUE"""),"SHR")</f>
        <v>SHR</v>
      </c>
      <c r="I1946" s="80">
        <f ca="1">IFERROR(__xludf.DUMMYFUNCTION("""COMPUTED_VALUE"""),8)</f>
        <v>8</v>
      </c>
      <c r="J1946" s="85">
        <f ca="1">IFERROR(__xludf.DUMMYFUNCTION("""COMPUTED_VALUE"""),3)</f>
        <v>3</v>
      </c>
      <c r="K1946" s="85">
        <f ca="1">IFERROR(__xludf.DUMMYFUNCTION("""COMPUTED_VALUE"""),205.3)</f>
        <v>205.3</v>
      </c>
      <c r="L1946" s="85">
        <f ca="1">IFERROR(__xludf.DUMMYFUNCTION("""COMPUTED_VALUE"""),178.3)</f>
        <v>178.3</v>
      </c>
      <c r="M1946" s="85"/>
      <c r="N1946" s="85">
        <f ca="1">IFERROR(__xludf.DUMMYFUNCTION("""COMPUTED_VALUE"""),0)</f>
        <v>0</v>
      </c>
      <c r="O1946" s="85"/>
      <c r="P1946" s="85">
        <f ca="1">IFERROR(__xludf.DUMMYFUNCTION("""COMPUTED_VALUE"""),205.3)</f>
        <v>205.3</v>
      </c>
      <c r="Q1946" s="85"/>
      <c r="R1946" s="85">
        <f ca="1">IFERROR(__xludf.DUMMYFUNCTION("""COMPUTED_VALUE"""),0)</f>
        <v>0</v>
      </c>
      <c r="S1946" s="85"/>
      <c r="T1946" s="85"/>
      <c r="U1946" s="82"/>
      <c r="V1946" s="82"/>
      <c r="W1946" s="83"/>
      <c r="X1946" s="83"/>
      <c r="Y1946" s="83"/>
    </row>
    <row r="1947" spans="1:25" ht="13.8">
      <c r="A1947" s="78" t="str">
        <f ca="1">IFERROR(__xludf.DUMMYFUNCTION("""COMPUTED_VALUE"""),"SHR")</f>
        <v>SHR</v>
      </c>
      <c r="B1947" s="79" t="str">
        <f ca="1">IFERROR(__xludf.DUMMYFUNCTION("""COMPUTED_VALUE"""),"Parker Rice")</f>
        <v>Parker Rice</v>
      </c>
      <c r="C1947" s="78">
        <f ca="1">IFERROR(__xludf.DUMMYFUNCTION("""COMPUTED_VALUE"""),15)</f>
        <v>15</v>
      </c>
      <c r="D1947" s="78" t="str">
        <f ca="1">IFERROR(__xludf.DUMMYFUNCTION("""COMPUTED_VALUE"""),"B")</f>
        <v>B</v>
      </c>
      <c r="E1947" s="80" t="str">
        <f ca="1">IFERROR(__xludf.DUMMYFUNCTION("""COMPUTED_VALUE"""),"S")</f>
        <v>S</v>
      </c>
      <c r="F1947" s="80" t="str">
        <f ca="1">IFERROR(__xludf.DUMMYFUNCTION("""COMPUTED_VALUE"""),"S")</f>
        <v>S</v>
      </c>
      <c r="G1947" s="80">
        <f ca="1">IFERROR(__xludf.DUMMYFUNCTION("""COMPUTED_VALUE"""),3)</f>
        <v>3</v>
      </c>
      <c r="H1947" s="80" t="str">
        <f ca="1">IFERROR(__xludf.DUMMYFUNCTION("""COMPUTED_VALUE"""),"SHR")</f>
        <v>SHR</v>
      </c>
      <c r="I1947" s="80">
        <f ca="1">IFERROR(__xludf.DUMMYFUNCTION("""COMPUTED_VALUE"""),9)</f>
        <v>9</v>
      </c>
      <c r="J1947" s="85">
        <f ca="1">IFERROR(__xludf.DUMMYFUNCTION("""COMPUTED_VALUE"""),5)</f>
        <v>5</v>
      </c>
      <c r="K1947" s="85">
        <f ca="1">IFERROR(__xludf.DUMMYFUNCTION("""COMPUTED_VALUE"""),158.65)</f>
        <v>158.65</v>
      </c>
      <c r="L1947" s="85">
        <f ca="1">IFERROR(__xludf.DUMMYFUNCTION("""COMPUTED_VALUE"""),158.65)</f>
        <v>158.65</v>
      </c>
      <c r="M1947" s="85"/>
      <c r="N1947" s="85">
        <f ca="1">IFERROR(__xludf.DUMMYFUNCTION("""COMPUTED_VALUE"""),132.2)</f>
        <v>132.19999999999999</v>
      </c>
      <c r="O1947" s="85"/>
      <c r="P1947" s="85">
        <f ca="1">IFERROR(__xludf.DUMMYFUNCTION("""COMPUTED_VALUE"""),153.4)</f>
        <v>153.4</v>
      </c>
      <c r="Q1947" s="85"/>
      <c r="R1947" s="85">
        <f ca="1">IFERROR(__xludf.DUMMYFUNCTION("""COMPUTED_VALUE"""),154.65)</f>
        <v>154.65</v>
      </c>
      <c r="S1947" s="85"/>
      <c r="T1947" s="85"/>
      <c r="U1947" s="82"/>
      <c r="V1947" s="82"/>
      <c r="W1947" s="83"/>
      <c r="X1947" s="83"/>
      <c r="Y1947" s="83"/>
    </row>
    <row r="1948" spans="1:25" ht="13.8">
      <c r="A1948" s="78" t="str">
        <f ca="1">IFERROR(__xludf.DUMMYFUNCTION("""COMPUTED_VALUE"""),"SR")</f>
        <v>SR</v>
      </c>
      <c r="B1948" s="79" t="str">
        <f ca="1">IFERROR(__xludf.DUMMYFUNCTION("""COMPUTED_VALUE"""),"Cora Bellomo")</f>
        <v>Cora Bellomo</v>
      </c>
      <c r="C1948" s="78">
        <f ca="1">IFERROR(__xludf.DUMMYFUNCTION("""COMPUTED_VALUE"""),8)</f>
        <v>8</v>
      </c>
      <c r="D1948" s="78" t="str">
        <f ca="1">IFERROR(__xludf.DUMMYFUNCTION("""COMPUTED_VALUE"""),"G")</f>
        <v>G</v>
      </c>
      <c r="E1948" s="80" t="str">
        <f ca="1">IFERROR(__xludf.DUMMYFUNCTION("""COMPUTED_VALUE"""),"F")</f>
        <v>F</v>
      </c>
      <c r="F1948" s="80" t="str">
        <f ca="1">IFERROR(__xludf.DUMMYFUNCTION("""COMPUTED_VALUE"""),"J")</f>
        <v>J</v>
      </c>
      <c r="G1948" s="80">
        <f ca="1">IFERROR(__xludf.DUMMYFUNCTION("""COMPUTED_VALUE"""),1)</f>
        <v>1</v>
      </c>
      <c r="H1948" s="80" t="str">
        <f ca="1">IFERROR(__xludf.DUMMYFUNCTION("""COMPUTED_VALUE"""),"SR")</f>
        <v>SR</v>
      </c>
      <c r="I1948" s="80">
        <f ca="1">IFERROR(__xludf.DUMMYFUNCTION("""COMPUTED_VALUE"""),2)</f>
        <v>2</v>
      </c>
      <c r="J1948" s="85">
        <f ca="1">IFERROR(__xludf.DUMMYFUNCTION("""COMPUTED_VALUE"""),5)</f>
        <v>5</v>
      </c>
      <c r="K1948" s="85">
        <f ca="1">IFERROR(__xludf.DUMMYFUNCTION("""COMPUTED_VALUE"""),50.35)</f>
        <v>50.35</v>
      </c>
      <c r="L1948" s="85">
        <f ca="1">IFERROR(__xludf.DUMMYFUNCTION("""COMPUTED_VALUE"""),45.9)</f>
        <v>45.9</v>
      </c>
      <c r="M1948" s="85"/>
      <c r="N1948" s="85">
        <f ca="1">IFERROR(__xludf.DUMMYFUNCTION("""COMPUTED_VALUE"""),42.05)</f>
        <v>42.05</v>
      </c>
      <c r="O1948" s="85"/>
      <c r="P1948" s="85">
        <f ca="1">IFERROR(__xludf.DUMMYFUNCTION("""COMPUTED_VALUE"""),43.75)</f>
        <v>43.75</v>
      </c>
      <c r="Q1948" s="85"/>
      <c r="R1948" s="85">
        <f ca="1">IFERROR(__xludf.DUMMYFUNCTION("""COMPUTED_VALUE"""),50.35)</f>
        <v>50.35</v>
      </c>
      <c r="S1948" s="85"/>
      <c r="T1948" s="85"/>
      <c r="U1948" s="82"/>
      <c r="V1948" s="82"/>
      <c r="W1948" s="83"/>
      <c r="X1948" s="83"/>
      <c r="Y1948" s="83"/>
    </row>
    <row r="1949" spans="1:25" ht="13.8">
      <c r="A1949" s="78" t="str">
        <f ca="1">IFERROR(__xludf.DUMMYFUNCTION("""COMPUTED_VALUE"""),"SR")</f>
        <v>SR</v>
      </c>
      <c r="B1949" s="79" t="str">
        <f ca="1">IFERROR(__xludf.DUMMYFUNCTION("""COMPUTED_VALUE"""),"Sarah Beth Cummings")</f>
        <v>Sarah Beth Cummings</v>
      </c>
      <c r="C1949" s="78">
        <f ca="1">IFERROR(__xludf.DUMMYFUNCTION("""COMPUTED_VALUE"""),8)</f>
        <v>8</v>
      </c>
      <c r="D1949" s="78" t="str">
        <f ca="1">IFERROR(__xludf.DUMMYFUNCTION("""COMPUTED_VALUE"""),"G")</f>
        <v>G</v>
      </c>
      <c r="E1949" s="80" t="str">
        <f ca="1">IFERROR(__xludf.DUMMYFUNCTION("""COMPUTED_VALUE"""),"F")</f>
        <v>F</v>
      </c>
      <c r="F1949" s="80" t="str">
        <f ca="1">IFERROR(__xludf.DUMMYFUNCTION("""COMPUTED_VALUE"""),"J")</f>
        <v>J</v>
      </c>
      <c r="G1949" s="80">
        <f ca="1">IFERROR(__xludf.DUMMYFUNCTION("""COMPUTED_VALUE"""),1)</f>
        <v>1</v>
      </c>
      <c r="H1949" s="80" t="str">
        <f ca="1">IFERROR(__xludf.DUMMYFUNCTION("""COMPUTED_VALUE"""),"SR")</f>
        <v>SR</v>
      </c>
      <c r="I1949" s="80">
        <f ca="1">IFERROR(__xludf.DUMMYFUNCTION("""COMPUTED_VALUE"""),2)</f>
        <v>2</v>
      </c>
      <c r="J1949" s="85">
        <f ca="1">IFERROR(__xludf.DUMMYFUNCTION("""COMPUTED_VALUE"""),2)</f>
        <v>2</v>
      </c>
      <c r="K1949" s="85">
        <f ca="1">IFERROR(__xludf.DUMMYFUNCTION("""COMPUTED_VALUE"""),26.95)</f>
        <v>26.95</v>
      </c>
      <c r="L1949" s="85">
        <f ca="1">IFERROR(__xludf.DUMMYFUNCTION("""COMPUTED_VALUE"""),0)</f>
        <v>0</v>
      </c>
      <c r="M1949" s="85"/>
      <c r="N1949" s="85">
        <f ca="1">IFERROR(__xludf.DUMMYFUNCTION("""COMPUTED_VALUE"""),0)</f>
        <v>0</v>
      </c>
      <c r="O1949" s="85"/>
      <c r="P1949" s="85">
        <f ca="1">IFERROR(__xludf.DUMMYFUNCTION("""COMPUTED_VALUE"""),0)</f>
        <v>0</v>
      </c>
      <c r="Q1949" s="85"/>
      <c r="R1949" s="85">
        <f ca="1">IFERROR(__xludf.DUMMYFUNCTION("""COMPUTED_VALUE"""),26.95)</f>
        <v>26.95</v>
      </c>
      <c r="S1949" s="85"/>
      <c r="T1949" s="85"/>
      <c r="U1949" s="82"/>
      <c r="V1949" s="82"/>
      <c r="W1949" s="83"/>
      <c r="X1949" s="83"/>
      <c r="Y1949" s="83"/>
    </row>
    <row r="1950" spans="1:25" ht="13.8">
      <c r="A1950" s="78" t="str">
        <f ca="1">IFERROR(__xludf.DUMMYFUNCTION("""COMPUTED_VALUE"""),"SR")</f>
        <v>SR</v>
      </c>
      <c r="B1950" s="79" t="str">
        <f ca="1">IFERROR(__xludf.DUMMYFUNCTION("""COMPUTED_VALUE"""),"Lydia Danielsen")</f>
        <v>Lydia Danielsen</v>
      </c>
      <c r="C1950" s="78">
        <f ca="1">IFERROR(__xludf.DUMMYFUNCTION("""COMPUTED_VALUE"""),7)</f>
        <v>7</v>
      </c>
      <c r="D1950" s="78" t="str">
        <f ca="1">IFERROR(__xludf.DUMMYFUNCTION("""COMPUTED_VALUE"""),"G")</f>
        <v>G</v>
      </c>
      <c r="E1950" s="80" t="str">
        <f ca="1">IFERROR(__xludf.DUMMYFUNCTION("""COMPUTED_VALUE"""),"F")</f>
        <v>F</v>
      </c>
      <c r="F1950" s="80" t="str">
        <f ca="1">IFERROR(__xludf.DUMMYFUNCTION("""COMPUTED_VALUE"""),"J")</f>
        <v>J</v>
      </c>
      <c r="G1950" s="80">
        <f ca="1">IFERROR(__xludf.DUMMYFUNCTION("""COMPUTED_VALUE"""),1)</f>
        <v>1</v>
      </c>
      <c r="H1950" s="80" t="str">
        <f ca="1">IFERROR(__xludf.DUMMYFUNCTION("""COMPUTED_VALUE"""),"SR")</f>
        <v>SR</v>
      </c>
      <c r="I1950" s="80">
        <f ca="1">IFERROR(__xludf.DUMMYFUNCTION("""COMPUTED_VALUE"""),2)</f>
        <v>2</v>
      </c>
      <c r="J1950" s="85">
        <f ca="1">IFERROR(__xludf.DUMMYFUNCTION("""COMPUTED_VALUE"""),3)</f>
        <v>3</v>
      </c>
      <c r="K1950" s="85">
        <f ca="1">IFERROR(__xludf.DUMMYFUNCTION("""COMPUTED_VALUE"""),40.85)</f>
        <v>40.85</v>
      </c>
      <c r="L1950" s="85">
        <f ca="1">IFERROR(__xludf.DUMMYFUNCTION("""COMPUTED_VALUE"""),40.85)</f>
        <v>40.85</v>
      </c>
      <c r="M1950" s="85"/>
      <c r="N1950" s="85">
        <f ca="1">IFERROR(__xludf.DUMMYFUNCTION("""COMPUTED_VALUE"""),36)</f>
        <v>36</v>
      </c>
      <c r="O1950" s="85"/>
      <c r="P1950" s="85">
        <f ca="1">IFERROR(__xludf.DUMMYFUNCTION("""COMPUTED_VALUE"""),27.25)</f>
        <v>27.25</v>
      </c>
      <c r="Q1950" s="85"/>
      <c r="R1950" s="85">
        <f ca="1">IFERROR(__xludf.DUMMYFUNCTION("""COMPUTED_VALUE"""),0)</f>
        <v>0</v>
      </c>
      <c r="S1950" s="85"/>
      <c r="T1950" s="85"/>
      <c r="U1950" s="82"/>
      <c r="V1950" s="82"/>
      <c r="W1950" s="83"/>
      <c r="X1950" s="83"/>
      <c r="Y1950" s="83"/>
    </row>
    <row r="1951" spans="1:25" ht="13.8">
      <c r="A1951" s="78" t="str">
        <f ca="1">IFERROR(__xludf.DUMMYFUNCTION("""COMPUTED_VALUE"""),"SR")</f>
        <v>SR</v>
      </c>
      <c r="B1951" s="79" t="str">
        <f ca="1">IFERROR(__xludf.DUMMYFUNCTION("""COMPUTED_VALUE"""),"Caroline Markey")</f>
        <v>Caroline Markey</v>
      </c>
      <c r="C1951" s="78">
        <f ca="1">IFERROR(__xludf.DUMMYFUNCTION("""COMPUTED_VALUE"""),7)</f>
        <v>7</v>
      </c>
      <c r="D1951" s="78" t="str">
        <f ca="1">IFERROR(__xludf.DUMMYFUNCTION("""COMPUTED_VALUE"""),"G")</f>
        <v>G</v>
      </c>
      <c r="E1951" s="80" t="str">
        <f ca="1">IFERROR(__xludf.DUMMYFUNCTION("""COMPUTED_VALUE"""),"F")</f>
        <v>F</v>
      </c>
      <c r="F1951" s="80" t="str">
        <f ca="1">IFERROR(__xludf.DUMMYFUNCTION("""COMPUTED_VALUE"""),"J")</f>
        <v>J</v>
      </c>
      <c r="G1951" s="80">
        <f ca="1">IFERROR(__xludf.DUMMYFUNCTION("""COMPUTED_VALUE"""),1)</f>
        <v>1</v>
      </c>
      <c r="H1951" s="80" t="str">
        <f ca="1">IFERROR(__xludf.DUMMYFUNCTION("""COMPUTED_VALUE"""),"SR")</f>
        <v>SR</v>
      </c>
      <c r="I1951" s="80">
        <f ca="1">IFERROR(__xludf.DUMMYFUNCTION("""COMPUTED_VALUE"""),2)</f>
        <v>2</v>
      </c>
      <c r="J1951" s="85">
        <f ca="1">IFERROR(__xludf.DUMMYFUNCTION("""COMPUTED_VALUE"""),2)</f>
        <v>2</v>
      </c>
      <c r="K1951" s="85">
        <f ca="1">IFERROR(__xludf.DUMMYFUNCTION("""COMPUTED_VALUE"""),23.25)</f>
        <v>23.25</v>
      </c>
      <c r="L1951" s="85">
        <f ca="1">IFERROR(__xludf.DUMMYFUNCTION("""COMPUTED_VALUE"""),0)</f>
        <v>0</v>
      </c>
      <c r="M1951" s="85"/>
      <c r="N1951" s="85">
        <f ca="1">IFERROR(__xludf.DUMMYFUNCTION("""COMPUTED_VALUE"""),23.25)</f>
        <v>23.25</v>
      </c>
      <c r="O1951" s="85"/>
      <c r="P1951" s="85">
        <f ca="1">IFERROR(__xludf.DUMMYFUNCTION("""COMPUTED_VALUE"""),14)</f>
        <v>14</v>
      </c>
      <c r="Q1951" s="85"/>
      <c r="R1951" s="85">
        <f ca="1">IFERROR(__xludf.DUMMYFUNCTION("""COMPUTED_VALUE"""),0)</f>
        <v>0</v>
      </c>
      <c r="S1951" s="85"/>
      <c r="T1951" s="85"/>
      <c r="U1951" s="82"/>
      <c r="V1951" s="82"/>
      <c r="W1951" s="83"/>
      <c r="X1951" s="83"/>
      <c r="Y1951" s="83"/>
    </row>
    <row r="1952" spans="1:25" ht="13.8">
      <c r="A1952" s="78" t="str">
        <f ca="1">IFERROR(__xludf.DUMMYFUNCTION("""COMPUTED_VALUE"""),"SR")</f>
        <v>SR</v>
      </c>
      <c r="B1952" s="79" t="str">
        <f ca="1">IFERROR(__xludf.DUMMYFUNCTION("""COMPUTED_VALUE"""),"Caroline Wilson")</f>
        <v>Caroline Wilson</v>
      </c>
      <c r="C1952" s="78">
        <f ca="1">IFERROR(__xludf.DUMMYFUNCTION("""COMPUTED_VALUE"""),6)</f>
        <v>6</v>
      </c>
      <c r="D1952" s="78" t="str">
        <f ca="1">IFERROR(__xludf.DUMMYFUNCTION("""COMPUTED_VALUE"""),"G")</f>
        <v>G</v>
      </c>
      <c r="E1952" s="80" t="str">
        <f ca="1">IFERROR(__xludf.DUMMYFUNCTION("""COMPUTED_VALUE"""),"F")</f>
        <v>F</v>
      </c>
      <c r="F1952" s="80" t="str">
        <f ca="1">IFERROR(__xludf.DUMMYFUNCTION("""COMPUTED_VALUE"""),"J")</f>
        <v>J</v>
      </c>
      <c r="G1952" s="80">
        <f ca="1">IFERROR(__xludf.DUMMYFUNCTION("""COMPUTED_VALUE"""),1)</f>
        <v>1</v>
      </c>
      <c r="H1952" s="80" t="str">
        <f ca="1">IFERROR(__xludf.DUMMYFUNCTION("""COMPUTED_VALUE"""),"SR")</f>
        <v>SR</v>
      </c>
      <c r="I1952" s="80">
        <f ca="1">IFERROR(__xludf.DUMMYFUNCTION("""COMPUTED_VALUE"""),2)</f>
        <v>2</v>
      </c>
      <c r="J1952" s="85">
        <f ca="1">IFERROR(__xludf.DUMMYFUNCTION("""COMPUTED_VALUE"""),3)</f>
        <v>3</v>
      </c>
      <c r="K1952" s="85">
        <f ca="1">IFERROR(__xludf.DUMMYFUNCTION("""COMPUTED_VALUE"""),28.75)</f>
        <v>28.75</v>
      </c>
      <c r="L1952" s="85">
        <f ca="1">IFERROR(__xludf.DUMMYFUNCTION("""COMPUTED_VALUE"""),0)</f>
        <v>0</v>
      </c>
      <c r="M1952" s="85"/>
      <c r="N1952" s="85">
        <f ca="1">IFERROR(__xludf.DUMMYFUNCTION("""COMPUTED_VALUE"""),28.75)</f>
        <v>28.75</v>
      </c>
      <c r="O1952" s="85"/>
      <c r="P1952" s="85">
        <f ca="1">IFERROR(__xludf.DUMMYFUNCTION("""COMPUTED_VALUE"""),24.75)</f>
        <v>24.75</v>
      </c>
      <c r="Q1952" s="85"/>
      <c r="R1952" s="85">
        <f ca="1">IFERROR(__xludf.DUMMYFUNCTION("""COMPUTED_VALUE"""),25.25)</f>
        <v>25.25</v>
      </c>
      <c r="S1952" s="85"/>
      <c r="T1952" s="85"/>
      <c r="U1952" s="82"/>
      <c r="V1952" s="82"/>
      <c r="W1952" s="83"/>
      <c r="X1952" s="83"/>
      <c r="Y1952" s="83"/>
    </row>
    <row r="1953" spans="1:25" ht="13.8">
      <c r="A1953" s="78" t="str">
        <f ca="1">IFERROR(__xludf.DUMMYFUNCTION("""COMPUTED_VALUE"""),"SR")</f>
        <v>SR</v>
      </c>
      <c r="B1953" s="79" t="str">
        <f ca="1">IFERROR(__xludf.DUMMYFUNCTION("""COMPUTED_VALUE"""),"Kendall Wilson")</f>
        <v>Kendall Wilson</v>
      </c>
      <c r="C1953" s="78">
        <f ca="1">IFERROR(__xludf.DUMMYFUNCTION("""COMPUTED_VALUE"""),8)</f>
        <v>8</v>
      </c>
      <c r="D1953" s="78" t="str">
        <f ca="1">IFERROR(__xludf.DUMMYFUNCTION("""COMPUTED_VALUE"""),"G")</f>
        <v>G</v>
      </c>
      <c r="E1953" s="80" t="str">
        <f ca="1">IFERROR(__xludf.DUMMYFUNCTION("""COMPUTED_VALUE"""),"F")</f>
        <v>F</v>
      </c>
      <c r="F1953" s="80" t="str">
        <f ca="1">IFERROR(__xludf.DUMMYFUNCTION("""COMPUTED_VALUE"""),"J")</f>
        <v>J</v>
      </c>
      <c r="G1953" s="80">
        <f ca="1">IFERROR(__xludf.DUMMYFUNCTION("""COMPUTED_VALUE"""),1)</f>
        <v>1</v>
      </c>
      <c r="H1953" s="80" t="str">
        <f ca="1">IFERROR(__xludf.DUMMYFUNCTION("""COMPUTED_VALUE"""),"SR")</f>
        <v>SR</v>
      </c>
      <c r="I1953" s="80">
        <f ca="1">IFERROR(__xludf.DUMMYFUNCTION("""COMPUTED_VALUE"""),2)</f>
        <v>2</v>
      </c>
      <c r="J1953" s="85">
        <f ca="1">IFERROR(__xludf.DUMMYFUNCTION("""COMPUTED_VALUE"""),4)</f>
        <v>4</v>
      </c>
      <c r="K1953" s="85">
        <f ca="1">IFERROR(__xludf.DUMMYFUNCTION("""COMPUTED_VALUE"""),50.7)</f>
        <v>50.7</v>
      </c>
      <c r="L1953" s="85">
        <f ca="1">IFERROR(__xludf.DUMMYFUNCTION("""COMPUTED_VALUE"""),50.7)</f>
        <v>50.7</v>
      </c>
      <c r="M1953" s="85"/>
      <c r="N1953" s="85">
        <f ca="1">IFERROR(__xludf.DUMMYFUNCTION("""COMPUTED_VALUE"""),41.7)</f>
        <v>41.7</v>
      </c>
      <c r="O1953" s="85"/>
      <c r="P1953" s="85">
        <f ca="1">IFERROR(__xludf.DUMMYFUNCTION("""COMPUTED_VALUE"""),33.9)</f>
        <v>33.9</v>
      </c>
      <c r="Q1953" s="85"/>
      <c r="R1953" s="85">
        <f ca="1">IFERROR(__xludf.DUMMYFUNCTION("""COMPUTED_VALUE"""),44.25)</f>
        <v>44.25</v>
      </c>
      <c r="S1953" s="85"/>
      <c r="T1953" s="85"/>
      <c r="U1953" s="82"/>
      <c r="V1953" s="82"/>
      <c r="W1953" s="83"/>
      <c r="X1953" s="83"/>
      <c r="Y1953" s="83"/>
    </row>
    <row r="1954" spans="1:25" ht="13.8">
      <c r="A1954" s="78" t="str">
        <f ca="1">IFERROR(__xludf.DUMMYFUNCTION("""COMPUTED_VALUE"""),"SR")</f>
        <v>SR</v>
      </c>
      <c r="B1954" s="79" t="str">
        <f ca="1">IFERROR(__xludf.DUMMYFUNCTION("""COMPUTED_VALUE"""),"William Cummings")</f>
        <v>William Cummings</v>
      </c>
      <c r="C1954" s="78">
        <f ca="1">IFERROR(__xludf.DUMMYFUNCTION("""COMPUTED_VALUE"""),10)</f>
        <v>10</v>
      </c>
      <c r="D1954" s="78" t="str">
        <f ca="1">IFERROR(__xludf.DUMMYFUNCTION("""COMPUTED_VALUE"""),"B")</f>
        <v>B</v>
      </c>
      <c r="E1954" s="80" t="str">
        <f ca="1">IFERROR(__xludf.DUMMYFUNCTION("""COMPUTED_VALUE"""),"F")</f>
        <v>F</v>
      </c>
      <c r="F1954" s="80" t="str">
        <f ca="1">IFERROR(__xludf.DUMMYFUNCTION("""COMPUTED_VALUE"""),"J")</f>
        <v>J</v>
      </c>
      <c r="G1954" s="80">
        <f ca="1">IFERROR(__xludf.DUMMYFUNCTION("""COMPUTED_VALUE"""),1)</f>
        <v>1</v>
      </c>
      <c r="H1954" s="80" t="str">
        <f ca="1">IFERROR(__xludf.DUMMYFUNCTION("""COMPUTED_VALUE"""),"SR")</f>
        <v>SR</v>
      </c>
      <c r="I1954" s="80">
        <f ca="1">IFERROR(__xludf.DUMMYFUNCTION("""COMPUTED_VALUE"""),3)</f>
        <v>3</v>
      </c>
      <c r="J1954" s="85">
        <f ca="1">IFERROR(__xludf.DUMMYFUNCTION("""COMPUTED_VALUE"""),0)</f>
        <v>0</v>
      </c>
      <c r="K1954" s="85">
        <f ca="1">IFERROR(__xludf.DUMMYFUNCTION("""COMPUTED_VALUE"""),0)</f>
        <v>0</v>
      </c>
      <c r="L1954" s="85">
        <f ca="1">IFERROR(__xludf.DUMMYFUNCTION("""COMPUTED_VALUE"""),0)</f>
        <v>0</v>
      </c>
      <c r="M1954" s="85"/>
      <c r="N1954" s="85">
        <f ca="1">IFERROR(__xludf.DUMMYFUNCTION("""COMPUTED_VALUE"""),0)</f>
        <v>0</v>
      </c>
      <c r="O1954" s="85"/>
      <c r="P1954" s="85">
        <f ca="1">IFERROR(__xludf.DUMMYFUNCTION("""COMPUTED_VALUE"""),0)</f>
        <v>0</v>
      </c>
      <c r="Q1954" s="85"/>
      <c r="R1954" s="85">
        <f ca="1">IFERROR(__xludf.DUMMYFUNCTION("""COMPUTED_VALUE"""),0)</f>
        <v>0</v>
      </c>
      <c r="S1954" s="85"/>
      <c r="T1954" s="85"/>
      <c r="U1954" s="82"/>
      <c r="V1954" s="82"/>
      <c r="W1954" s="83"/>
      <c r="X1954" s="83"/>
      <c r="Y1954" s="83"/>
    </row>
    <row r="1955" spans="1:25" ht="13.8">
      <c r="A1955" s="78" t="str">
        <f ca="1">IFERROR(__xludf.DUMMYFUNCTION("""COMPUTED_VALUE"""),"SR")</f>
        <v>SR</v>
      </c>
      <c r="B1955" s="79" t="str">
        <f ca="1">IFERROR(__xludf.DUMMYFUNCTION("""COMPUTED_VALUE"""),"Bryan Markey")</f>
        <v>Bryan Markey</v>
      </c>
      <c r="C1955" s="78">
        <f ca="1">IFERROR(__xludf.DUMMYFUNCTION("""COMPUTED_VALUE"""),10)</f>
        <v>10</v>
      </c>
      <c r="D1955" s="78" t="str">
        <f ca="1">IFERROR(__xludf.DUMMYFUNCTION("""COMPUTED_VALUE"""),"B")</f>
        <v>B</v>
      </c>
      <c r="E1955" s="80" t="str">
        <f ca="1">IFERROR(__xludf.DUMMYFUNCTION("""COMPUTED_VALUE"""),"F")</f>
        <v>F</v>
      </c>
      <c r="F1955" s="80" t="str">
        <f ca="1">IFERROR(__xludf.DUMMYFUNCTION("""COMPUTED_VALUE"""),"J")</f>
        <v>J</v>
      </c>
      <c r="G1955" s="80">
        <f ca="1">IFERROR(__xludf.DUMMYFUNCTION("""COMPUTED_VALUE"""),1)</f>
        <v>1</v>
      </c>
      <c r="H1955" s="80" t="str">
        <f ca="1">IFERROR(__xludf.DUMMYFUNCTION("""COMPUTED_VALUE"""),"SR")</f>
        <v>SR</v>
      </c>
      <c r="I1955" s="80">
        <f ca="1">IFERROR(__xludf.DUMMYFUNCTION("""COMPUTED_VALUE"""),3)</f>
        <v>3</v>
      </c>
      <c r="J1955" s="85">
        <f ca="1">IFERROR(__xludf.DUMMYFUNCTION("""COMPUTED_VALUE"""),2)</f>
        <v>2</v>
      </c>
      <c r="K1955" s="85">
        <f ca="1">IFERROR(__xludf.DUMMYFUNCTION("""COMPUTED_VALUE"""),52.4)</f>
        <v>52.4</v>
      </c>
      <c r="L1955" s="85">
        <f ca="1">IFERROR(__xludf.DUMMYFUNCTION("""COMPUTED_VALUE"""),0)</f>
        <v>0</v>
      </c>
      <c r="M1955" s="85"/>
      <c r="N1955" s="85">
        <f ca="1">IFERROR(__xludf.DUMMYFUNCTION("""COMPUTED_VALUE"""),0)</f>
        <v>0</v>
      </c>
      <c r="O1955" s="85"/>
      <c r="P1955" s="85">
        <f ca="1">IFERROR(__xludf.DUMMYFUNCTION("""COMPUTED_VALUE"""),43.15)</f>
        <v>43.15</v>
      </c>
      <c r="Q1955" s="85"/>
      <c r="R1955" s="85">
        <f ca="1">IFERROR(__xludf.DUMMYFUNCTION("""COMPUTED_VALUE"""),52.4)</f>
        <v>52.4</v>
      </c>
      <c r="S1955" s="85"/>
      <c r="T1955" s="85"/>
      <c r="U1955" s="82"/>
      <c r="V1955" s="82"/>
      <c r="W1955" s="83"/>
      <c r="X1955" s="83"/>
      <c r="Y1955" s="83"/>
    </row>
    <row r="1956" spans="1:25" ht="13.8">
      <c r="A1956" s="78" t="str">
        <f ca="1">IFERROR(__xludf.DUMMYFUNCTION("""COMPUTED_VALUE"""),"SR")</f>
        <v>SR</v>
      </c>
      <c r="B1956" s="79" t="str">
        <f ca="1">IFERROR(__xludf.DUMMYFUNCTION("""COMPUTED_VALUE"""),"Jackson Markey")</f>
        <v>Jackson Markey</v>
      </c>
      <c r="C1956" s="78">
        <f ca="1">IFERROR(__xludf.DUMMYFUNCTION("""COMPUTED_VALUE"""),6)</f>
        <v>6</v>
      </c>
      <c r="D1956" s="78" t="str">
        <f ca="1">IFERROR(__xludf.DUMMYFUNCTION("""COMPUTED_VALUE"""),"B")</f>
        <v>B</v>
      </c>
      <c r="E1956" s="80" t="str">
        <f ca="1">IFERROR(__xludf.DUMMYFUNCTION("""COMPUTED_VALUE"""),"F")</f>
        <v>F</v>
      </c>
      <c r="F1956" s="80" t="str">
        <f ca="1">IFERROR(__xludf.DUMMYFUNCTION("""COMPUTED_VALUE"""),"J")</f>
        <v>J</v>
      </c>
      <c r="G1956" s="80">
        <f ca="1">IFERROR(__xludf.DUMMYFUNCTION("""COMPUTED_VALUE"""),1)</f>
        <v>1</v>
      </c>
      <c r="H1956" s="80" t="str">
        <f ca="1">IFERROR(__xludf.DUMMYFUNCTION("""COMPUTED_VALUE"""),"SR")</f>
        <v>SR</v>
      </c>
      <c r="I1956" s="80">
        <f ca="1">IFERROR(__xludf.DUMMYFUNCTION("""COMPUTED_VALUE"""),3)</f>
        <v>3</v>
      </c>
      <c r="J1956" s="85">
        <f ca="1">IFERROR(__xludf.DUMMYFUNCTION("""COMPUTED_VALUE"""),0)</f>
        <v>0</v>
      </c>
      <c r="K1956" s="85">
        <f ca="1">IFERROR(__xludf.DUMMYFUNCTION("""COMPUTED_VALUE"""),0)</f>
        <v>0</v>
      </c>
      <c r="L1956" s="85">
        <f ca="1">IFERROR(__xludf.DUMMYFUNCTION("""COMPUTED_VALUE"""),0)</f>
        <v>0</v>
      </c>
      <c r="M1956" s="85"/>
      <c r="N1956" s="85">
        <f ca="1">IFERROR(__xludf.DUMMYFUNCTION("""COMPUTED_VALUE"""),0)</f>
        <v>0</v>
      </c>
      <c r="O1956" s="85"/>
      <c r="P1956" s="85">
        <f ca="1">IFERROR(__xludf.DUMMYFUNCTION("""COMPUTED_VALUE"""),0)</f>
        <v>0</v>
      </c>
      <c r="Q1956" s="85"/>
      <c r="R1956" s="85">
        <f ca="1">IFERROR(__xludf.DUMMYFUNCTION("""COMPUTED_VALUE"""),0)</f>
        <v>0</v>
      </c>
      <c r="S1956" s="85"/>
      <c r="T1956" s="85"/>
      <c r="U1956" s="82"/>
      <c r="V1956" s="82"/>
      <c r="W1956" s="83"/>
      <c r="X1956" s="83"/>
      <c r="Y1956" s="83"/>
    </row>
    <row r="1957" spans="1:25" ht="13.8">
      <c r="A1957" s="78" t="str">
        <f ca="1">IFERROR(__xludf.DUMMYFUNCTION("""COMPUTED_VALUE"""),"SR")</f>
        <v>SR</v>
      </c>
      <c r="B1957" s="79" t="str">
        <f ca="1">IFERROR(__xludf.DUMMYFUNCTION("""COMPUTED_VALUE"""),"Alden Meholic")</f>
        <v>Alden Meholic</v>
      </c>
      <c r="C1957" s="78">
        <f ca="1">IFERROR(__xludf.DUMMYFUNCTION("""COMPUTED_VALUE"""),10)</f>
        <v>10</v>
      </c>
      <c r="D1957" s="78" t="str">
        <f ca="1">IFERROR(__xludf.DUMMYFUNCTION("""COMPUTED_VALUE"""),"B")</f>
        <v>B</v>
      </c>
      <c r="E1957" s="80" t="str">
        <f ca="1">IFERROR(__xludf.DUMMYFUNCTION("""COMPUTED_VALUE"""),"F")</f>
        <v>F</v>
      </c>
      <c r="F1957" s="80" t="str">
        <f ca="1">IFERROR(__xludf.DUMMYFUNCTION("""COMPUTED_VALUE"""),"J")</f>
        <v>J</v>
      </c>
      <c r="G1957" s="80">
        <f ca="1">IFERROR(__xludf.DUMMYFUNCTION("""COMPUTED_VALUE"""),1)</f>
        <v>1</v>
      </c>
      <c r="H1957" s="80" t="str">
        <f ca="1">IFERROR(__xludf.DUMMYFUNCTION("""COMPUTED_VALUE"""),"SR")</f>
        <v>SR</v>
      </c>
      <c r="I1957" s="80">
        <f ca="1">IFERROR(__xludf.DUMMYFUNCTION("""COMPUTED_VALUE"""),3)</f>
        <v>3</v>
      </c>
      <c r="J1957" s="85">
        <f ca="1">IFERROR(__xludf.DUMMYFUNCTION("""COMPUTED_VALUE"""),3)</f>
        <v>3</v>
      </c>
      <c r="K1957" s="85">
        <f ca="1">IFERROR(__xludf.DUMMYFUNCTION("""COMPUTED_VALUE"""),49.4)</f>
        <v>49.4</v>
      </c>
      <c r="L1957" s="85">
        <f ca="1">IFERROR(__xludf.DUMMYFUNCTION("""COMPUTED_VALUE"""),0)</f>
        <v>0</v>
      </c>
      <c r="M1957" s="85"/>
      <c r="N1957" s="85">
        <f ca="1">IFERROR(__xludf.DUMMYFUNCTION("""COMPUTED_VALUE"""),49.4)</f>
        <v>49.4</v>
      </c>
      <c r="O1957" s="85"/>
      <c r="P1957" s="85">
        <f ca="1">IFERROR(__xludf.DUMMYFUNCTION("""COMPUTED_VALUE"""),42.2)</f>
        <v>42.2</v>
      </c>
      <c r="Q1957" s="85"/>
      <c r="R1957" s="85">
        <f ca="1">IFERROR(__xludf.DUMMYFUNCTION("""COMPUTED_VALUE"""),47.4)</f>
        <v>47.4</v>
      </c>
      <c r="S1957" s="85"/>
      <c r="T1957" s="85"/>
      <c r="U1957" s="82"/>
      <c r="V1957" s="82"/>
      <c r="W1957" s="83"/>
      <c r="X1957" s="83"/>
      <c r="Y1957" s="83"/>
    </row>
    <row r="1958" spans="1:25" ht="13.8">
      <c r="A1958" s="78" t="str">
        <f ca="1">IFERROR(__xludf.DUMMYFUNCTION("""COMPUTED_VALUE"""),"SR")</f>
        <v>SR</v>
      </c>
      <c r="B1958" s="79" t="str">
        <f ca="1">IFERROR(__xludf.DUMMYFUNCTION("""COMPUTED_VALUE"""),"Dylan Wilson")</f>
        <v>Dylan Wilson</v>
      </c>
      <c r="C1958" s="78">
        <f ca="1">IFERROR(__xludf.DUMMYFUNCTION("""COMPUTED_VALUE"""),10)</f>
        <v>10</v>
      </c>
      <c r="D1958" s="78" t="str">
        <f ca="1">IFERROR(__xludf.DUMMYFUNCTION("""COMPUTED_VALUE"""),"B")</f>
        <v>B</v>
      </c>
      <c r="E1958" s="80" t="str">
        <f ca="1">IFERROR(__xludf.DUMMYFUNCTION("""COMPUTED_VALUE"""),"F")</f>
        <v>F</v>
      </c>
      <c r="F1958" s="80" t="str">
        <f ca="1">IFERROR(__xludf.DUMMYFUNCTION("""COMPUTED_VALUE"""),"J")</f>
        <v>J</v>
      </c>
      <c r="G1958" s="80">
        <f ca="1">IFERROR(__xludf.DUMMYFUNCTION("""COMPUTED_VALUE"""),1)</f>
        <v>1</v>
      </c>
      <c r="H1958" s="80" t="str">
        <f ca="1">IFERROR(__xludf.DUMMYFUNCTION("""COMPUTED_VALUE"""),"SR")</f>
        <v>SR</v>
      </c>
      <c r="I1958" s="80">
        <f ca="1">IFERROR(__xludf.DUMMYFUNCTION("""COMPUTED_VALUE"""),3)</f>
        <v>3</v>
      </c>
      <c r="J1958" s="85">
        <f ca="1">IFERROR(__xludf.DUMMYFUNCTION("""COMPUTED_VALUE"""),4)</f>
        <v>4</v>
      </c>
      <c r="K1958" s="85">
        <f ca="1">IFERROR(__xludf.DUMMYFUNCTION("""COMPUTED_VALUE"""),68.2)</f>
        <v>68.2</v>
      </c>
      <c r="L1958" s="85">
        <f ca="1">IFERROR(__xludf.DUMMYFUNCTION("""COMPUTED_VALUE"""),68.2)</f>
        <v>68.2</v>
      </c>
      <c r="M1958" s="85"/>
      <c r="N1958" s="85">
        <f ca="1">IFERROR(__xludf.DUMMYFUNCTION("""COMPUTED_VALUE"""),56.8)</f>
        <v>56.8</v>
      </c>
      <c r="O1958" s="85"/>
      <c r="P1958" s="85">
        <f ca="1">IFERROR(__xludf.DUMMYFUNCTION("""COMPUTED_VALUE"""),55.55)</f>
        <v>55.55</v>
      </c>
      <c r="Q1958" s="85"/>
      <c r="R1958" s="85">
        <f ca="1">IFERROR(__xludf.DUMMYFUNCTION("""COMPUTED_VALUE"""),51.65)</f>
        <v>51.65</v>
      </c>
      <c r="S1958" s="85"/>
      <c r="T1958" s="85"/>
      <c r="U1958" s="82"/>
      <c r="V1958" s="82"/>
      <c r="W1958" s="83"/>
      <c r="X1958" s="83"/>
      <c r="Y1958" s="83"/>
    </row>
    <row r="1959" spans="1:25" ht="13.8">
      <c r="A1959" s="78" t="str">
        <f ca="1">IFERROR(__xludf.DUMMYFUNCTION("""COMPUTED_VALUE"""),"SR")</f>
        <v>SR</v>
      </c>
      <c r="B1959" s="79" t="str">
        <f ca="1">IFERROR(__xludf.DUMMYFUNCTION("""COMPUTED_VALUE"""),"Annie Keller")</f>
        <v>Annie Keller</v>
      </c>
      <c r="C1959" s="78">
        <f ca="1">IFERROR(__xludf.DUMMYFUNCTION("""COMPUTED_VALUE"""),12)</f>
        <v>12</v>
      </c>
      <c r="D1959" s="78" t="str">
        <f ca="1">IFERROR(__xludf.DUMMYFUNCTION("""COMPUTED_VALUE"""),"G")</f>
        <v>G</v>
      </c>
      <c r="E1959" s="80" t="str">
        <f ca="1">IFERROR(__xludf.DUMMYFUNCTION("""COMPUTED_VALUE"""),"J")</f>
        <v>J</v>
      </c>
      <c r="F1959" s="80" t="str">
        <f ca="1">IFERROR(__xludf.DUMMYFUNCTION("""COMPUTED_VALUE"""),"I")</f>
        <v>I</v>
      </c>
      <c r="G1959" s="80">
        <f ca="1">IFERROR(__xludf.DUMMYFUNCTION("""COMPUTED_VALUE"""),1)</f>
        <v>1</v>
      </c>
      <c r="H1959" s="80" t="str">
        <f ca="1">IFERROR(__xludf.DUMMYFUNCTION("""COMPUTED_VALUE"""),"SR")</f>
        <v>SR</v>
      </c>
      <c r="I1959" s="80">
        <f ca="1">IFERROR(__xludf.DUMMYFUNCTION("""COMPUTED_VALUE"""),4)</f>
        <v>4</v>
      </c>
      <c r="J1959" s="85">
        <f ca="1">IFERROR(__xludf.DUMMYFUNCTION("""COMPUTED_VALUE"""),0)</f>
        <v>0</v>
      </c>
      <c r="K1959" s="85">
        <f ca="1">IFERROR(__xludf.DUMMYFUNCTION("""COMPUTED_VALUE"""),0)</f>
        <v>0</v>
      </c>
      <c r="L1959" s="85">
        <f ca="1">IFERROR(__xludf.DUMMYFUNCTION("""COMPUTED_VALUE"""),0)</f>
        <v>0</v>
      </c>
      <c r="M1959" s="85"/>
      <c r="N1959" s="85">
        <f ca="1">IFERROR(__xludf.DUMMYFUNCTION("""COMPUTED_VALUE"""),0)</f>
        <v>0</v>
      </c>
      <c r="O1959" s="85"/>
      <c r="P1959" s="85">
        <f ca="1">IFERROR(__xludf.DUMMYFUNCTION("""COMPUTED_VALUE"""),0)</f>
        <v>0</v>
      </c>
      <c r="Q1959" s="85"/>
      <c r="R1959" s="85">
        <f ca="1">IFERROR(__xludf.DUMMYFUNCTION("""COMPUTED_VALUE"""),0)</f>
        <v>0</v>
      </c>
      <c r="S1959" s="85"/>
      <c r="T1959" s="85"/>
      <c r="U1959" s="82"/>
      <c r="V1959" s="82"/>
      <c r="W1959" s="83"/>
      <c r="X1959" s="83"/>
      <c r="Y1959" s="83"/>
    </row>
    <row r="1960" spans="1:25" ht="13.8">
      <c r="A1960" s="78" t="str">
        <f ca="1">IFERROR(__xludf.DUMMYFUNCTION("""COMPUTED_VALUE"""),"SR")</f>
        <v>SR</v>
      </c>
      <c r="B1960" s="79" t="str">
        <f ca="1">IFERROR(__xludf.DUMMYFUNCTION("""COMPUTED_VALUE"""),"Karly Proulx")</f>
        <v>Karly Proulx</v>
      </c>
      <c r="C1960" s="78">
        <f ca="1">IFERROR(__xludf.DUMMYFUNCTION("""COMPUTED_VALUE"""),12)</f>
        <v>12</v>
      </c>
      <c r="D1960" s="78" t="str">
        <f ca="1">IFERROR(__xludf.DUMMYFUNCTION("""COMPUTED_VALUE"""),"G")</f>
        <v>G</v>
      </c>
      <c r="E1960" s="80" t="str">
        <f ca="1">IFERROR(__xludf.DUMMYFUNCTION("""COMPUTED_VALUE"""),"J")</f>
        <v>J</v>
      </c>
      <c r="F1960" s="80" t="str">
        <f ca="1">IFERROR(__xludf.DUMMYFUNCTION("""COMPUTED_VALUE"""),"I")</f>
        <v>I</v>
      </c>
      <c r="G1960" s="80">
        <f ca="1">IFERROR(__xludf.DUMMYFUNCTION("""COMPUTED_VALUE"""),1)</f>
        <v>1</v>
      </c>
      <c r="H1960" s="80" t="str">
        <f ca="1">IFERROR(__xludf.DUMMYFUNCTION("""COMPUTED_VALUE"""),"SR")</f>
        <v>SR</v>
      </c>
      <c r="I1960" s="80">
        <f ca="1">IFERROR(__xludf.DUMMYFUNCTION("""COMPUTED_VALUE"""),4)</f>
        <v>4</v>
      </c>
      <c r="J1960" s="85">
        <f ca="1">IFERROR(__xludf.DUMMYFUNCTION("""COMPUTED_VALUE"""),2)</f>
        <v>2</v>
      </c>
      <c r="K1960" s="85">
        <f ca="1">IFERROR(__xludf.DUMMYFUNCTION("""COMPUTED_VALUE"""),72.75)</f>
        <v>72.75</v>
      </c>
      <c r="L1960" s="85">
        <f ca="1">IFERROR(__xludf.DUMMYFUNCTION("""COMPUTED_VALUE"""),0)</f>
        <v>0</v>
      </c>
      <c r="M1960" s="85"/>
      <c r="N1960" s="85">
        <f ca="1">IFERROR(__xludf.DUMMYFUNCTION("""COMPUTED_VALUE"""),0)</f>
        <v>0</v>
      </c>
      <c r="O1960" s="85"/>
      <c r="P1960" s="85">
        <f ca="1">IFERROR(__xludf.DUMMYFUNCTION("""COMPUTED_VALUE"""),72.75)</f>
        <v>72.75</v>
      </c>
      <c r="Q1960" s="85"/>
      <c r="R1960" s="85">
        <f ca="1">IFERROR(__xludf.DUMMYFUNCTION("""COMPUTED_VALUE"""),0)</f>
        <v>0</v>
      </c>
      <c r="S1960" s="85"/>
      <c r="T1960" s="85"/>
      <c r="U1960" s="82"/>
      <c r="V1960" s="82"/>
      <c r="W1960" s="83"/>
      <c r="X1960" s="83"/>
      <c r="Y1960" s="83"/>
    </row>
    <row r="1961" spans="1:25" ht="13.8">
      <c r="A1961" s="78" t="str">
        <f ca="1">IFERROR(__xludf.DUMMYFUNCTION("""COMPUTED_VALUE"""),"SR")</f>
        <v>SR</v>
      </c>
      <c r="B1961" s="79" t="str">
        <f ca="1">IFERROR(__xludf.DUMMYFUNCTION("""COMPUTED_VALUE"""),"Lincoln Novy")</f>
        <v>Lincoln Novy</v>
      </c>
      <c r="C1961" s="78">
        <f ca="1">IFERROR(__xludf.DUMMYFUNCTION("""COMPUTED_VALUE"""),12)</f>
        <v>12</v>
      </c>
      <c r="D1961" s="78" t="str">
        <f ca="1">IFERROR(__xludf.DUMMYFUNCTION("""COMPUTED_VALUE"""),"B")</f>
        <v>B</v>
      </c>
      <c r="E1961" s="80" t="str">
        <f ca="1">IFERROR(__xludf.DUMMYFUNCTION("""COMPUTED_VALUE"""),"J")</f>
        <v>J</v>
      </c>
      <c r="F1961" s="80" t="str">
        <f ca="1">IFERROR(__xludf.DUMMYFUNCTION("""COMPUTED_VALUE"""),"I")</f>
        <v>I</v>
      </c>
      <c r="G1961" s="80">
        <f ca="1">IFERROR(__xludf.DUMMYFUNCTION("""COMPUTED_VALUE"""),1)</f>
        <v>1</v>
      </c>
      <c r="H1961" s="80" t="str">
        <f ca="1">IFERROR(__xludf.DUMMYFUNCTION("""COMPUTED_VALUE"""),"SR")</f>
        <v>SR</v>
      </c>
      <c r="I1961" s="80">
        <f ca="1">IFERROR(__xludf.DUMMYFUNCTION("""COMPUTED_VALUE"""),5)</f>
        <v>5</v>
      </c>
      <c r="J1961" s="85">
        <f ca="1">IFERROR(__xludf.DUMMYFUNCTION("""COMPUTED_VALUE"""),0)</f>
        <v>0</v>
      </c>
      <c r="K1961" s="85">
        <f ca="1">IFERROR(__xludf.DUMMYFUNCTION("""COMPUTED_VALUE"""),0)</f>
        <v>0</v>
      </c>
      <c r="L1961" s="85">
        <f ca="1">IFERROR(__xludf.DUMMYFUNCTION("""COMPUTED_VALUE"""),0)</f>
        <v>0</v>
      </c>
      <c r="M1961" s="85"/>
      <c r="N1961" s="85">
        <f ca="1">IFERROR(__xludf.DUMMYFUNCTION("""COMPUTED_VALUE"""),0)</f>
        <v>0</v>
      </c>
      <c r="O1961" s="85"/>
      <c r="P1961" s="85">
        <f ca="1">IFERROR(__xludf.DUMMYFUNCTION("""COMPUTED_VALUE"""),0)</f>
        <v>0</v>
      </c>
      <c r="Q1961" s="85"/>
      <c r="R1961" s="85">
        <f ca="1">IFERROR(__xludf.DUMMYFUNCTION("""COMPUTED_VALUE"""),0)</f>
        <v>0</v>
      </c>
      <c r="S1961" s="85"/>
      <c r="T1961" s="85"/>
      <c r="U1961" s="82"/>
      <c r="V1961" s="82"/>
      <c r="W1961" s="83"/>
      <c r="X1961" s="83"/>
      <c r="Y1961" s="83"/>
    </row>
    <row r="1962" spans="1:25" ht="13.8">
      <c r="A1962" s="78" t="str">
        <f ca="1">IFERROR(__xludf.DUMMYFUNCTION("""COMPUTED_VALUE"""),"SR")</f>
        <v>SR</v>
      </c>
      <c r="B1962" s="79" t="str">
        <f ca="1">IFERROR(__xludf.DUMMYFUNCTION("""COMPUTED_VALUE"""),"Alyssa Proulx")</f>
        <v>Alyssa Proulx</v>
      </c>
      <c r="C1962" s="78">
        <f ca="1">IFERROR(__xludf.DUMMYFUNCTION("""COMPUTED_VALUE"""),14)</f>
        <v>14</v>
      </c>
      <c r="D1962" s="78" t="str">
        <f ca="1">IFERROR(__xludf.DUMMYFUNCTION("""COMPUTED_VALUE"""),"G")</f>
        <v>G</v>
      </c>
      <c r="E1962" s="80" t="str">
        <f ca="1">IFERROR(__xludf.DUMMYFUNCTION("""COMPUTED_VALUE"""),"I")</f>
        <v>I</v>
      </c>
      <c r="F1962" s="80" t="str">
        <f ca="1">IFERROR(__xludf.DUMMYFUNCTION("""COMPUTED_VALUE"""),"S")</f>
        <v>S</v>
      </c>
      <c r="G1962" s="80">
        <f ca="1">IFERROR(__xludf.DUMMYFUNCTION("""COMPUTED_VALUE"""),1)</f>
        <v>1</v>
      </c>
      <c r="H1962" s="80" t="str">
        <f ca="1">IFERROR(__xludf.DUMMYFUNCTION("""COMPUTED_VALUE"""),"SR")</f>
        <v>SR</v>
      </c>
      <c r="I1962" s="80">
        <f ca="1">IFERROR(__xludf.DUMMYFUNCTION("""COMPUTED_VALUE"""),6)</f>
        <v>6</v>
      </c>
      <c r="J1962" s="85">
        <f ca="1">IFERROR(__xludf.DUMMYFUNCTION("""COMPUTED_VALUE"""),4)</f>
        <v>4</v>
      </c>
      <c r="K1962" s="85">
        <f ca="1">IFERROR(__xludf.DUMMYFUNCTION("""COMPUTED_VALUE"""),133.8)</f>
        <v>133.80000000000001</v>
      </c>
      <c r="L1962" s="85">
        <f ca="1">IFERROR(__xludf.DUMMYFUNCTION("""COMPUTED_VALUE"""),131)</f>
        <v>131</v>
      </c>
      <c r="M1962" s="85"/>
      <c r="N1962" s="85">
        <f ca="1">IFERROR(__xludf.DUMMYFUNCTION("""COMPUTED_VALUE"""),128.35)</f>
        <v>128.35</v>
      </c>
      <c r="O1962" s="85"/>
      <c r="P1962" s="85">
        <f ca="1">IFERROR(__xludf.DUMMYFUNCTION("""COMPUTED_VALUE"""),133.8)</f>
        <v>133.80000000000001</v>
      </c>
      <c r="Q1962" s="85"/>
      <c r="R1962" s="85">
        <f ca="1">IFERROR(__xludf.DUMMYFUNCTION("""COMPUTED_VALUE"""),0)</f>
        <v>0</v>
      </c>
      <c r="S1962" s="85"/>
      <c r="T1962" s="85"/>
      <c r="U1962" s="82"/>
      <c r="V1962" s="82"/>
      <c r="W1962" s="83"/>
      <c r="X1962" s="83"/>
      <c r="Y1962" s="83"/>
    </row>
    <row r="1963" spans="1:25" ht="13.8">
      <c r="A1963" s="78" t="str">
        <f ca="1">IFERROR(__xludf.DUMMYFUNCTION("""COMPUTED_VALUE"""),"SR")</f>
        <v>SR</v>
      </c>
      <c r="B1963" s="79" t="str">
        <f ca="1">IFERROR(__xludf.DUMMYFUNCTION("""COMPUTED_VALUE"""),"Walker Littleton")</f>
        <v>Walker Littleton</v>
      </c>
      <c r="C1963" s="78">
        <f ca="1">IFERROR(__xludf.DUMMYFUNCTION("""COMPUTED_VALUE"""),13)</f>
        <v>13</v>
      </c>
      <c r="D1963" s="78" t="str">
        <f ca="1">IFERROR(__xludf.DUMMYFUNCTION("""COMPUTED_VALUE"""),"B")</f>
        <v>B</v>
      </c>
      <c r="E1963" s="80" t="str">
        <f ca="1">IFERROR(__xludf.DUMMYFUNCTION("""COMPUTED_VALUE"""),"I")</f>
        <v>I</v>
      </c>
      <c r="F1963" s="80" t="str">
        <f ca="1">IFERROR(__xludf.DUMMYFUNCTION("""COMPUTED_VALUE"""),"S")</f>
        <v>S</v>
      </c>
      <c r="G1963" s="80">
        <f ca="1">IFERROR(__xludf.DUMMYFUNCTION("""COMPUTED_VALUE"""),1)</f>
        <v>1</v>
      </c>
      <c r="H1963" s="80" t="str">
        <f ca="1">IFERROR(__xludf.DUMMYFUNCTION("""COMPUTED_VALUE"""),"SR")</f>
        <v>SR</v>
      </c>
      <c r="I1963" s="80">
        <f ca="1">IFERROR(__xludf.DUMMYFUNCTION("""COMPUTED_VALUE"""),7)</f>
        <v>7</v>
      </c>
      <c r="J1963" s="85">
        <f ca="1">IFERROR(__xludf.DUMMYFUNCTION("""COMPUTED_VALUE"""),3)</f>
        <v>3</v>
      </c>
      <c r="K1963" s="85">
        <f ca="1">IFERROR(__xludf.DUMMYFUNCTION("""COMPUTED_VALUE"""),119.35)</f>
        <v>119.35</v>
      </c>
      <c r="L1963" s="85">
        <f ca="1">IFERROR(__xludf.DUMMYFUNCTION("""COMPUTED_VALUE"""),110.45)</f>
        <v>110.45</v>
      </c>
      <c r="M1963" s="85"/>
      <c r="N1963" s="85">
        <f ca="1">IFERROR(__xludf.DUMMYFUNCTION("""COMPUTED_VALUE"""),119.35)</f>
        <v>119.35</v>
      </c>
      <c r="O1963" s="85"/>
      <c r="P1963" s="85">
        <f ca="1">IFERROR(__xludf.DUMMYFUNCTION("""COMPUTED_VALUE"""),63.5)</f>
        <v>63.5</v>
      </c>
      <c r="Q1963" s="85"/>
      <c r="R1963" s="85">
        <f ca="1">IFERROR(__xludf.DUMMYFUNCTION("""COMPUTED_VALUE"""),0)</f>
        <v>0</v>
      </c>
      <c r="S1963" s="85"/>
      <c r="T1963" s="85"/>
      <c r="U1963" s="82"/>
      <c r="V1963" s="82"/>
      <c r="W1963" s="83"/>
      <c r="X1963" s="83"/>
      <c r="Y1963" s="83"/>
    </row>
    <row r="1964" spans="1:25" ht="13.8">
      <c r="A1964" s="78" t="str">
        <f ca="1">IFERROR(__xludf.DUMMYFUNCTION("""COMPUTED_VALUE"""),"SR")</f>
        <v>SR</v>
      </c>
      <c r="B1964" s="79" t="str">
        <f ca="1">IFERROR(__xludf.DUMMYFUNCTION("""COMPUTED_VALUE"""),"Joseph Markey")</f>
        <v>Joseph Markey</v>
      </c>
      <c r="C1964" s="78">
        <f ca="1">IFERROR(__xludf.DUMMYFUNCTION("""COMPUTED_VALUE"""),13)</f>
        <v>13</v>
      </c>
      <c r="D1964" s="78" t="str">
        <f ca="1">IFERROR(__xludf.DUMMYFUNCTION("""COMPUTED_VALUE"""),"B")</f>
        <v>B</v>
      </c>
      <c r="E1964" s="80" t="str">
        <f ca="1">IFERROR(__xludf.DUMMYFUNCTION("""COMPUTED_VALUE"""),"I")</f>
        <v>I</v>
      </c>
      <c r="F1964" s="80" t="str">
        <f ca="1">IFERROR(__xludf.DUMMYFUNCTION("""COMPUTED_VALUE"""),"S")</f>
        <v>S</v>
      </c>
      <c r="G1964" s="80">
        <f ca="1">IFERROR(__xludf.DUMMYFUNCTION("""COMPUTED_VALUE"""),1)</f>
        <v>1</v>
      </c>
      <c r="H1964" s="80" t="str">
        <f ca="1">IFERROR(__xludf.DUMMYFUNCTION("""COMPUTED_VALUE"""),"SR")</f>
        <v>SR</v>
      </c>
      <c r="I1964" s="80">
        <f ca="1">IFERROR(__xludf.DUMMYFUNCTION("""COMPUTED_VALUE"""),7)</f>
        <v>7</v>
      </c>
      <c r="J1964" s="85">
        <f ca="1">IFERROR(__xludf.DUMMYFUNCTION("""COMPUTED_VALUE"""),4)</f>
        <v>4</v>
      </c>
      <c r="K1964" s="85">
        <f ca="1">IFERROR(__xludf.DUMMYFUNCTION("""COMPUTED_VALUE"""),88)</f>
        <v>88</v>
      </c>
      <c r="L1964" s="85">
        <f ca="1">IFERROR(__xludf.DUMMYFUNCTION("""COMPUTED_VALUE"""),88)</f>
        <v>88</v>
      </c>
      <c r="M1964" s="85"/>
      <c r="N1964" s="85">
        <f ca="1">IFERROR(__xludf.DUMMYFUNCTION("""COMPUTED_VALUE"""),85.3)</f>
        <v>85.3</v>
      </c>
      <c r="O1964" s="85"/>
      <c r="P1964" s="85">
        <f ca="1">IFERROR(__xludf.DUMMYFUNCTION("""COMPUTED_VALUE"""),53.15)</f>
        <v>53.15</v>
      </c>
      <c r="Q1964" s="85"/>
      <c r="R1964" s="85">
        <f ca="1">IFERROR(__xludf.DUMMYFUNCTION("""COMPUTED_VALUE"""),66.75)</f>
        <v>66.75</v>
      </c>
      <c r="S1964" s="85"/>
      <c r="T1964" s="85"/>
      <c r="U1964" s="82"/>
      <c r="V1964" s="82"/>
      <c r="W1964" s="83"/>
      <c r="X1964" s="83"/>
      <c r="Y1964" s="83"/>
    </row>
    <row r="1965" spans="1:25" ht="13.8">
      <c r="A1965" s="78" t="str">
        <f ca="1">IFERROR(__xludf.DUMMYFUNCTION("""COMPUTED_VALUE"""),"SR")</f>
        <v>SR</v>
      </c>
      <c r="B1965" s="79" t="str">
        <f ca="1">IFERROR(__xludf.DUMMYFUNCTION("""COMPUTED_VALUE"""),"Tyler Nelson")</f>
        <v>Tyler Nelson</v>
      </c>
      <c r="C1965" s="78">
        <f ca="1">IFERROR(__xludf.DUMMYFUNCTION("""COMPUTED_VALUE"""),14)</f>
        <v>14</v>
      </c>
      <c r="D1965" s="78" t="str">
        <f ca="1">IFERROR(__xludf.DUMMYFUNCTION("""COMPUTED_VALUE"""),"B")</f>
        <v>B</v>
      </c>
      <c r="E1965" s="80" t="str">
        <f ca="1">IFERROR(__xludf.DUMMYFUNCTION("""COMPUTED_VALUE"""),"I")</f>
        <v>I</v>
      </c>
      <c r="F1965" s="80" t="str">
        <f ca="1">IFERROR(__xludf.DUMMYFUNCTION("""COMPUTED_VALUE"""),"S")</f>
        <v>S</v>
      </c>
      <c r="G1965" s="80">
        <f ca="1">IFERROR(__xludf.DUMMYFUNCTION("""COMPUTED_VALUE"""),1)</f>
        <v>1</v>
      </c>
      <c r="H1965" s="80" t="str">
        <f ca="1">IFERROR(__xludf.DUMMYFUNCTION("""COMPUTED_VALUE"""),"SR")</f>
        <v>SR</v>
      </c>
      <c r="I1965" s="80">
        <f ca="1">IFERROR(__xludf.DUMMYFUNCTION("""COMPUTED_VALUE"""),7)</f>
        <v>7</v>
      </c>
      <c r="J1965" s="85">
        <f ca="1">IFERROR(__xludf.DUMMYFUNCTION("""COMPUTED_VALUE"""),2)</f>
        <v>2</v>
      </c>
      <c r="K1965" s="85">
        <f ca="1">IFERROR(__xludf.DUMMYFUNCTION("""COMPUTED_VALUE"""),88.4)</f>
        <v>88.4</v>
      </c>
      <c r="L1965" s="85">
        <f ca="1">IFERROR(__xludf.DUMMYFUNCTION("""COMPUTED_VALUE"""),0)</f>
        <v>0</v>
      </c>
      <c r="M1965" s="85"/>
      <c r="N1965" s="85">
        <f ca="1">IFERROR(__xludf.DUMMYFUNCTION("""COMPUTED_VALUE"""),88.4)</f>
        <v>88.4</v>
      </c>
      <c r="O1965" s="85"/>
      <c r="P1965" s="85">
        <f ca="1">IFERROR(__xludf.DUMMYFUNCTION("""COMPUTED_VALUE"""),72.2)</f>
        <v>72.2</v>
      </c>
      <c r="Q1965" s="85"/>
      <c r="R1965" s="85">
        <f ca="1">IFERROR(__xludf.DUMMYFUNCTION("""COMPUTED_VALUE"""),0)</f>
        <v>0</v>
      </c>
      <c r="S1965" s="85"/>
      <c r="T1965" s="85"/>
      <c r="U1965" s="82"/>
      <c r="V1965" s="82"/>
      <c r="W1965" s="83"/>
      <c r="X1965" s="83"/>
      <c r="Y1965" s="83"/>
    </row>
    <row r="1966" spans="1:25" ht="13.8">
      <c r="A1966" s="78" t="str">
        <f ca="1">IFERROR(__xludf.DUMMYFUNCTION("""COMPUTED_VALUE"""),"SR")</f>
        <v>SR</v>
      </c>
      <c r="B1966" s="79" t="str">
        <f ca="1">IFERROR(__xludf.DUMMYFUNCTION("""COMPUTED_VALUE"""),"Nicholas Shivik")</f>
        <v>Nicholas Shivik</v>
      </c>
      <c r="C1966" s="78">
        <f ca="1">IFERROR(__xludf.DUMMYFUNCTION("""COMPUTED_VALUE"""),13)</f>
        <v>13</v>
      </c>
      <c r="D1966" s="78" t="str">
        <f ca="1">IFERROR(__xludf.DUMMYFUNCTION("""COMPUTED_VALUE"""),"B")</f>
        <v>B</v>
      </c>
      <c r="E1966" s="80" t="str">
        <f ca="1">IFERROR(__xludf.DUMMYFUNCTION("""COMPUTED_VALUE"""),"I")</f>
        <v>I</v>
      </c>
      <c r="F1966" s="80" t="str">
        <f ca="1">IFERROR(__xludf.DUMMYFUNCTION("""COMPUTED_VALUE"""),"S")</f>
        <v>S</v>
      </c>
      <c r="G1966" s="80">
        <f ca="1">IFERROR(__xludf.DUMMYFUNCTION("""COMPUTED_VALUE"""),1)</f>
        <v>1</v>
      </c>
      <c r="H1966" s="80" t="str">
        <f ca="1">IFERROR(__xludf.DUMMYFUNCTION("""COMPUTED_VALUE"""),"SR")</f>
        <v>SR</v>
      </c>
      <c r="I1966" s="80">
        <f ca="1">IFERROR(__xludf.DUMMYFUNCTION("""COMPUTED_VALUE"""),7)</f>
        <v>7</v>
      </c>
      <c r="J1966" s="85">
        <f ca="1">IFERROR(__xludf.DUMMYFUNCTION("""COMPUTED_VALUE"""),3)</f>
        <v>3</v>
      </c>
      <c r="K1966" s="85">
        <f ca="1">IFERROR(__xludf.DUMMYFUNCTION("""COMPUTED_VALUE"""),152.15)</f>
        <v>152.15</v>
      </c>
      <c r="L1966" s="85">
        <f ca="1">IFERROR(__xludf.DUMMYFUNCTION("""COMPUTED_VALUE"""),152.15)</f>
        <v>152.15</v>
      </c>
      <c r="M1966" s="85"/>
      <c r="N1966" s="85">
        <f ca="1">IFERROR(__xludf.DUMMYFUNCTION("""COMPUTED_VALUE"""),122.3)</f>
        <v>122.3</v>
      </c>
      <c r="O1966" s="85"/>
      <c r="P1966" s="85">
        <f ca="1">IFERROR(__xludf.DUMMYFUNCTION("""COMPUTED_VALUE"""),0)</f>
        <v>0</v>
      </c>
      <c r="Q1966" s="85"/>
      <c r="R1966" s="85">
        <f ca="1">IFERROR(__xludf.DUMMYFUNCTION("""COMPUTED_VALUE"""),0)</f>
        <v>0</v>
      </c>
      <c r="S1966" s="85"/>
      <c r="T1966" s="85"/>
      <c r="U1966" s="82"/>
      <c r="V1966" s="82"/>
      <c r="W1966" s="83"/>
      <c r="X1966" s="83"/>
      <c r="Y1966" s="83"/>
    </row>
    <row r="1967" spans="1:25" ht="13.8">
      <c r="A1967" s="78" t="str">
        <f ca="1">IFERROR(__xludf.DUMMYFUNCTION("""COMPUTED_VALUE"""),"SR")</f>
        <v>SR</v>
      </c>
      <c r="B1967" s="79" t="str">
        <f ca="1">IFERROR(__xludf.DUMMYFUNCTION("""COMPUTED_VALUE"""),"Sean Walter")</f>
        <v>Sean Walter</v>
      </c>
      <c r="C1967" s="78">
        <f ca="1">IFERROR(__xludf.DUMMYFUNCTION("""COMPUTED_VALUE"""),14)</f>
        <v>14</v>
      </c>
      <c r="D1967" s="78" t="str">
        <f ca="1">IFERROR(__xludf.DUMMYFUNCTION("""COMPUTED_VALUE"""),"B")</f>
        <v>B</v>
      </c>
      <c r="E1967" s="80" t="str">
        <f ca="1">IFERROR(__xludf.DUMMYFUNCTION("""COMPUTED_VALUE"""),"I")</f>
        <v>I</v>
      </c>
      <c r="F1967" s="80" t="str">
        <f ca="1">IFERROR(__xludf.DUMMYFUNCTION("""COMPUTED_VALUE"""),"S")</f>
        <v>S</v>
      </c>
      <c r="G1967" s="80">
        <f ca="1">IFERROR(__xludf.DUMMYFUNCTION("""COMPUTED_VALUE"""),1)</f>
        <v>1</v>
      </c>
      <c r="H1967" s="80" t="str">
        <f ca="1">IFERROR(__xludf.DUMMYFUNCTION("""COMPUTED_VALUE"""),"SR")</f>
        <v>SR</v>
      </c>
      <c r="I1967" s="80">
        <f ca="1">IFERROR(__xludf.DUMMYFUNCTION("""COMPUTED_VALUE"""),7)</f>
        <v>7</v>
      </c>
      <c r="J1967" s="85">
        <f ca="1">IFERROR(__xludf.DUMMYFUNCTION("""COMPUTED_VALUE"""),4)</f>
        <v>4</v>
      </c>
      <c r="K1967" s="85">
        <f ca="1">IFERROR(__xludf.DUMMYFUNCTION("""COMPUTED_VALUE"""),94.85)</f>
        <v>94.85</v>
      </c>
      <c r="L1967" s="85">
        <f ca="1">IFERROR(__xludf.DUMMYFUNCTION("""COMPUTED_VALUE"""),87.1)</f>
        <v>87.1</v>
      </c>
      <c r="M1967" s="85"/>
      <c r="N1967" s="85">
        <f ca="1">IFERROR(__xludf.DUMMYFUNCTION("""COMPUTED_VALUE"""),94.85)</f>
        <v>94.85</v>
      </c>
      <c r="O1967" s="85"/>
      <c r="P1967" s="85">
        <f ca="1">IFERROR(__xludf.DUMMYFUNCTION("""COMPUTED_VALUE"""),52.7)</f>
        <v>52.7</v>
      </c>
      <c r="Q1967" s="85"/>
      <c r="R1967" s="85">
        <f ca="1">IFERROR(__xludf.DUMMYFUNCTION("""COMPUTED_VALUE"""),0)</f>
        <v>0</v>
      </c>
      <c r="S1967" s="85"/>
      <c r="T1967" s="85"/>
      <c r="U1967" s="82"/>
      <c r="V1967" s="82"/>
      <c r="W1967" s="83"/>
      <c r="X1967" s="83"/>
      <c r="Y1967" s="83"/>
    </row>
    <row r="1968" spans="1:25" ht="13.8">
      <c r="A1968" s="78" t="str">
        <f ca="1">IFERROR(__xludf.DUMMYFUNCTION("""COMPUTED_VALUE"""),"SR")</f>
        <v>SR</v>
      </c>
      <c r="B1968" s="79" t="str">
        <f ca="1">IFERROR(__xludf.DUMMYFUNCTION("""COMPUTED_VALUE"""),"Madeline Hitchcock")</f>
        <v>Madeline Hitchcock</v>
      </c>
      <c r="C1968" s="78">
        <f ca="1">IFERROR(__xludf.DUMMYFUNCTION("""COMPUTED_VALUE"""),17)</f>
        <v>17</v>
      </c>
      <c r="D1968" s="78" t="str">
        <f ca="1">IFERROR(__xludf.DUMMYFUNCTION("""COMPUTED_VALUE"""),"G")</f>
        <v>G</v>
      </c>
      <c r="E1968" s="80" t="str">
        <f ca="1">IFERROR(__xludf.DUMMYFUNCTION("""COMPUTED_VALUE"""),"S")</f>
        <v>S</v>
      </c>
      <c r="F1968" s="80" t="str">
        <f ca="1">IFERROR(__xludf.DUMMYFUNCTION("""COMPUTED_VALUE"""),"S")</f>
        <v>S</v>
      </c>
      <c r="G1968" s="80">
        <f ca="1">IFERROR(__xludf.DUMMYFUNCTION("""COMPUTED_VALUE"""),1)</f>
        <v>1</v>
      </c>
      <c r="H1968" s="80" t="str">
        <f ca="1">IFERROR(__xludf.DUMMYFUNCTION("""COMPUTED_VALUE"""),"SR")</f>
        <v>SR</v>
      </c>
      <c r="I1968" s="80">
        <f ca="1">IFERROR(__xludf.DUMMYFUNCTION("""COMPUTED_VALUE"""),8)</f>
        <v>8</v>
      </c>
      <c r="J1968" s="85">
        <f ca="1">IFERROR(__xludf.DUMMYFUNCTION("""COMPUTED_VALUE"""),3)</f>
        <v>3</v>
      </c>
      <c r="K1968" s="85">
        <f ca="1">IFERROR(__xludf.DUMMYFUNCTION("""COMPUTED_VALUE"""),173.2)</f>
        <v>173.2</v>
      </c>
      <c r="L1968" s="85">
        <f ca="1">IFERROR(__xludf.DUMMYFUNCTION("""COMPUTED_VALUE"""),0)</f>
        <v>0</v>
      </c>
      <c r="M1968" s="85"/>
      <c r="N1968" s="85">
        <f ca="1">IFERROR(__xludf.DUMMYFUNCTION("""COMPUTED_VALUE"""),171.35)</f>
        <v>171.35</v>
      </c>
      <c r="O1968" s="85"/>
      <c r="P1968" s="85">
        <f ca="1">IFERROR(__xludf.DUMMYFUNCTION("""COMPUTED_VALUE"""),0)</f>
        <v>0</v>
      </c>
      <c r="Q1968" s="85"/>
      <c r="R1968" s="85">
        <f ca="1">IFERROR(__xludf.DUMMYFUNCTION("""COMPUTED_VALUE"""),173.2)</f>
        <v>173.2</v>
      </c>
      <c r="S1968" s="85"/>
      <c r="T1968" s="85"/>
      <c r="U1968" s="82"/>
      <c r="V1968" s="82"/>
      <c r="W1968" s="83"/>
      <c r="X1968" s="83"/>
      <c r="Y1968" s="83"/>
    </row>
    <row r="1969" spans="1:25" ht="13.8">
      <c r="A1969" s="78" t="str">
        <f ca="1">IFERROR(__xludf.DUMMYFUNCTION("""COMPUTED_VALUE"""),"SR")</f>
        <v>SR</v>
      </c>
      <c r="B1969" s="79" t="str">
        <f ca="1">IFERROR(__xludf.DUMMYFUNCTION("""COMPUTED_VALUE"""),"Anna Littleton")</f>
        <v>Anna Littleton</v>
      </c>
      <c r="C1969" s="78">
        <f ca="1">IFERROR(__xludf.DUMMYFUNCTION("""COMPUTED_VALUE"""),15)</f>
        <v>15</v>
      </c>
      <c r="D1969" s="78" t="str">
        <f ca="1">IFERROR(__xludf.DUMMYFUNCTION("""COMPUTED_VALUE"""),"G")</f>
        <v>G</v>
      </c>
      <c r="E1969" s="80" t="str">
        <f ca="1">IFERROR(__xludf.DUMMYFUNCTION("""COMPUTED_VALUE"""),"S")</f>
        <v>S</v>
      </c>
      <c r="F1969" s="80" t="str">
        <f ca="1">IFERROR(__xludf.DUMMYFUNCTION("""COMPUTED_VALUE"""),"S")</f>
        <v>S</v>
      </c>
      <c r="G1969" s="80">
        <f ca="1">IFERROR(__xludf.DUMMYFUNCTION("""COMPUTED_VALUE"""),1)</f>
        <v>1</v>
      </c>
      <c r="H1969" s="80" t="str">
        <f ca="1">IFERROR(__xludf.DUMMYFUNCTION("""COMPUTED_VALUE"""),"SR")</f>
        <v>SR</v>
      </c>
      <c r="I1969" s="80">
        <f ca="1">IFERROR(__xludf.DUMMYFUNCTION("""COMPUTED_VALUE"""),8)</f>
        <v>8</v>
      </c>
      <c r="J1969" s="85">
        <f ca="1">IFERROR(__xludf.DUMMYFUNCTION("""COMPUTED_VALUE"""),5)</f>
        <v>5</v>
      </c>
      <c r="K1969" s="85">
        <f ca="1">IFERROR(__xludf.DUMMYFUNCTION("""COMPUTED_VALUE"""),134.3)</f>
        <v>134.30000000000001</v>
      </c>
      <c r="L1969" s="85">
        <f ca="1">IFERROR(__xludf.DUMMYFUNCTION("""COMPUTED_VALUE"""),134.3)</f>
        <v>134.30000000000001</v>
      </c>
      <c r="M1969" s="85"/>
      <c r="N1969" s="85">
        <f ca="1">IFERROR(__xludf.DUMMYFUNCTION("""COMPUTED_VALUE"""),130.15)</f>
        <v>130.15</v>
      </c>
      <c r="O1969" s="85"/>
      <c r="P1969" s="85">
        <f ca="1">IFERROR(__xludf.DUMMYFUNCTION("""COMPUTED_VALUE"""),134.15)</f>
        <v>134.15</v>
      </c>
      <c r="Q1969" s="85"/>
      <c r="R1969" s="85">
        <f ca="1">IFERROR(__xludf.DUMMYFUNCTION("""COMPUTED_VALUE"""),127.65)</f>
        <v>127.65</v>
      </c>
      <c r="S1969" s="85"/>
      <c r="T1969" s="85"/>
      <c r="U1969" s="82"/>
      <c r="V1969" s="82"/>
      <c r="W1969" s="83"/>
      <c r="X1969" s="83"/>
      <c r="Y1969" s="83"/>
    </row>
    <row r="1970" spans="1:25" ht="13.8">
      <c r="A1970" s="78" t="str">
        <f ca="1">IFERROR(__xludf.DUMMYFUNCTION("""COMPUTED_VALUE"""),"SR")</f>
        <v>SR</v>
      </c>
      <c r="B1970" s="79" t="str">
        <f ca="1">IFERROR(__xludf.DUMMYFUNCTION("""COMPUTED_VALUE"""),"Reagan McHugh")</f>
        <v>Reagan McHugh</v>
      </c>
      <c r="C1970" s="78">
        <f ca="1">IFERROR(__xludf.DUMMYFUNCTION("""COMPUTED_VALUE"""),19)</f>
        <v>19</v>
      </c>
      <c r="D1970" s="78" t="str">
        <f ca="1">IFERROR(__xludf.DUMMYFUNCTION("""COMPUTED_VALUE"""),"G")</f>
        <v>G</v>
      </c>
      <c r="E1970" s="80" t="str">
        <f ca="1">IFERROR(__xludf.DUMMYFUNCTION("""COMPUTED_VALUE"""),"S")</f>
        <v>S</v>
      </c>
      <c r="F1970" s="80" t="str">
        <f ca="1">IFERROR(__xludf.DUMMYFUNCTION("""COMPUTED_VALUE"""),"S")</f>
        <v>S</v>
      </c>
      <c r="G1970" s="80">
        <f ca="1">IFERROR(__xludf.DUMMYFUNCTION("""COMPUTED_VALUE"""),1)</f>
        <v>1</v>
      </c>
      <c r="H1970" s="80" t="str">
        <f ca="1">IFERROR(__xludf.DUMMYFUNCTION("""COMPUTED_VALUE"""),"SR")</f>
        <v>SR</v>
      </c>
      <c r="I1970" s="80">
        <f ca="1">IFERROR(__xludf.DUMMYFUNCTION("""COMPUTED_VALUE"""),8)</f>
        <v>8</v>
      </c>
      <c r="J1970" s="85">
        <f ca="1">IFERROR(__xludf.DUMMYFUNCTION("""COMPUTED_VALUE"""),5)</f>
        <v>5</v>
      </c>
      <c r="K1970" s="85">
        <f ca="1">IFERROR(__xludf.DUMMYFUNCTION("""COMPUTED_VALUE"""),145.05)</f>
        <v>145.05000000000001</v>
      </c>
      <c r="L1970" s="85">
        <f ca="1">IFERROR(__xludf.DUMMYFUNCTION("""COMPUTED_VALUE"""),145.05)</f>
        <v>145.05000000000001</v>
      </c>
      <c r="M1970" s="85"/>
      <c r="N1970" s="85">
        <f ca="1">IFERROR(__xludf.DUMMYFUNCTION("""COMPUTED_VALUE"""),140.9)</f>
        <v>140.9</v>
      </c>
      <c r="O1970" s="85"/>
      <c r="P1970" s="85">
        <f ca="1">IFERROR(__xludf.DUMMYFUNCTION("""COMPUTED_VALUE"""),99.75)</f>
        <v>99.75</v>
      </c>
      <c r="Q1970" s="85"/>
      <c r="R1970" s="85">
        <f ca="1">IFERROR(__xludf.DUMMYFUNCTION("""COMPUTED_VALUE"""),136.4)</f>
        <v>136.4</v>
      </c>
      <c r="S1970" s="85"/>
      <c r="T1970" s="85"/>
      <c r="U1970" s="82"/>
      <c r="V1970" s="82"/>
      <c r="W1970" s="83"/>
      <c r="X1970" s="83"/>
      <c r="Y1970" s="83"/>
    </row>
    <row r="1971" spans="1:25" ht="13.8">
      <c r="A1971" s="78" t="str">
        <f ca="1">IFERROR(__xludf.DUMMYFUNCTION("""COMPUTED_VALUE"""),"SR")</f>
        <v>SR</v>
      </c>
      <c r="B1971" s="79" t="str">
        <f ca="1">IFERROR(__xludf.DUMMYFUNCTION("""COMPUTED_VALUE"""),"Claire Scadron")</f>
        <v>Claire Scadron</v>
      </c>
      <c r="C1971" s="78">
        <f ca="1">IFERROR(__xludf.DUMMYFUNCTION("""COMPUTED_VALUE"""),18)</f>
        <v>18</v>
      </c>
      <c r="D1971" s="78" t="str">
        <f ca="1">IFERROR(__xludf.DUMMYFUNCTION("""COMPUTED_VALUE"""),"G")</f>
        <v>G</v>
      </c>
      <c r="E1971" s="80" t="str">
        <f ca="1">IFERROR(__xludf.DUMMYFUNCTION("""COMPUTED_VALUE"""),"S")</f>
        <v>S</v>
      </c>
      <c r="F1971" s="80" t="str">
        <f ca="1">IFERROR(__xludf.DUMMYFUNCTION("""COMPUTED_VALUE"""),"S")</f>
        <v>S</v>
      </c>
      <c r="G1971" s="80">
        <f ca="1">IFERROR(__xludf.DUMMYFUNCTION("""COMPUTED_VALUE"""),1)</f>
        <v>1</v>
      </c>
      <c r="H1971" s="80" t="str">
        <f ca="1">IFERROR(__xludf.DUMMYFUNCTION("""COMPUTED_VALUE"""),"SR")</f>
        <v>SR</v>
      </c>
      <c r="I1971" s="80">
        <f ca="1">IFERROR(__xludf.DUMMYFUNCTION("""COMPUTED_VALUE"""),8)</f>
        <v>8</v>
      </c>
      <c r="J1971" s="85">
        <f ca="1">IFERROR(__xludf.DUMMYFUNCTION("""COMPUTED_VALUE"""),0)</f>
        <v>0</v>
      </c>
      <c r="K1971" s="85">
        <f ca="1">IFERROR(__xludf.DUMMYFUNCTION("""COMPUTED_VALUE"""),0)</f>
        <v>0</v>
      </c>
      <c r="L1971" s="85">
        <f ca="1">IFERROR(__xludf.DUMMYFUNCTION("""COMPUTED_VALUE"""),0)</f>
        <v>0</v>
      </c>
      <c r="M1971" s="85"/>
      <c r="N1971" s="85">
        <f ca="1">IFERROR(__xludf.DUMMYFUNCTION("""COMPUTED_VALUE"""),0)</f>
        <v>0</v>
      </c>
      <c r="O1971" s="85"/>
      <c r="P1971" s="85">
        <f ca="1">IFERROR(__xludf.DUMMYFUNCTION("""COMPUTED_VALUE"""),0)</f>
        <v>0</v>
      </c>
      <c r="Q1971" s="85"/>
      <c r="R1971" s="85">
        <f ca="1">IFERROR(__xludf.DUMMYFUNCTION("""COMPUTED_VALUE"""),0)</f>
        <v>0</v>
      </c>
      <c r="S1971" s="85"/>
      <c r="T1971" s="85"/>
      <c r="U1971" s="82"/>
      <c r="V1971" s="82"/>
      <c r="W1971" s="83"/>
      <c r="X1971" s="83"/>
      <c r="Y1971" s="83"/>
    </row>
    <row r="1972" spans="1:25" ht="13.8">
      <c r="A1972" s="78" t="str">
        <f ca="1">IFERROR(__xludf.DUMMYFUNCTION("""COMPUTED_VALUE"""),"SR")</f>
        <v>SR</v>
      </c>
      <c r="B1972" s="79" t="str">
        <f ca="1">IFERROR(__xludf.DUMMYFUNCTION("""COMPUTED_VALUE"""),"Meghan Shivik")</f>
        <v>Meghan Shivik</v>
      </c>
      <c r="C1972" s="78">
        <f ca="1">IFERROR(__xludf.DUMMYFUNCTION("""COMPUTED_VALUE"""),15)</f>
        <v>15</v>
      </c>
      <c r="D1972" s="78" t="str">
        <f ca="1">IFERROR(__xludf.DUMMYFUNCTION("""COMPUTED_VALUE"""),"G")</f>
        <v>G</v>
      </c>
      <c r="E1972" s="80" t="str">
        <f ca="1">IFERROR(__xludf.DUMMYFUNCTION("""COMPUTED_VALUE"""),"S")</f>
        <v>S</v>
      </c>
      <c r="F1972" s="80" t="str">
        <f ca="1">IFERROR(__xludf.DUMMYFUNCTION("""COMPUTED_VALUE"""),"S")</f>
        <v>S</v>
      </c>
      <c r="G1972" s="80">
        <f ca="1">IFERROR(__xludf.DUMMYFUNCTION("""COMPUTED_VALUE"""),1)</f>
        <v>1</v>
      </c>
      <c r="H1972" s="80" t="str">
        <f ca="1">IFERROR(__xludf.DUMMYFUNCTION("""COMPUTED_VALUE"""),"SR")</f>
        <v>SR</v>
      </c>
      <c r="I1972" s="80">
        <f ca="1">IFERROR(__xludf.DUMMYFUNCTION("""COMPUTED_VALUE"""),8)</f>
        <v>8</v>
      </c>
      <c r="J1972" s="85">
        <f ca="1">IFERROR(__xludf.DUMMYFUNCTION("""COMPUTED_VALUE"""),3)</f>
        <v>3</v>
      </c>
      <c r="K1972" s="85">
        <f ca="1">IFERROR(__xludf.DUMMYFUNCTION("""COMPUTED_VALUE"""),159.3)</f>
        <v>159.30000000000001</v>
      </c>
      <c r="L1972" s="85">
        <f ca="1">IFERROR(__xludf.DUMMYFUNCTION("""COMPUTED_VALUE"""),0)</f>
        <v>0</v>
      </c>
      <c r="M1972" s="85"/>
      <c r="N1972" s="85">
        <f ca="1">IFERROR(__xludf.DUMMYFUNCTION("""COMPUTED_VALUE"""),142.05)</f>
        <v>142.05000000000001</v>
      </c>
      <c r="O1972" s="85"/>
      <c r="P1972" s="85">
        <f ca="1">IFERROR(__xludf.DUMMYFUNCTION("""COMPUTED_VALUE"""),159.3)</f>
        <v>159.30000000000001</v>
      </c>
      <c r="Q1972" s="85"/>
      <c r="R1972" s="85">
        <f ca="1">IFERROR(__xludf.DUMMYFUNCTION("""COMPUTED_VALUE"""),155.1)</f>
        <v>155.1</v>
      </c>
      <c r="S1972" s="85"/>
      <c r="T1972" s="85"/>
      <c r="U1972" s="82"/>
      <c r="V1972" s="82"/>
      <c r="W1972" s="83"/>
      <c r="X1972" s="83"/>
      <c r="Y1972" s="83"/>
    </row>
    <row r="1973" spans="1:25" ht="13.8">
      <c r="A1973" s="78" t="str">
        <f ca="1">IFERROR(__xludf.DUMMYFUNCTION("""COMPUTED_VALUE"""),"SR")</f>
        <v>SR</v>
      </c>
      <c r="B1973" s="79" t="str">
        <f ca="1">IFERROR(__xludf.DUMMYFUNCTION("""COMPUTED_VALUE"""),"Amanda Stalfort")</f>
        <v>Amanda Stalfort</v>
      </c>
      <c r="C1973" s="78">
        <f ca="1">IFERROR(__xludf.DUMMYFUNCTION("""COMPUTED_VALUE"""),16)</f>
        <v>16</v>
      </c>
      <c r="D1973" s="78" t="str">
        <f ca="1">IFERROR(__xludf.DUMMYFUNCTION("""COMPUTED_VALUE"""),"G")</f>
        <v>G</v>
      </c>
      <c r="E1973" s="80" t="str">
        <f ca="1">IFERROR(__xludf.DUMMYFUNCTION("""COMPUTED_VALUE"""),"S")</f>
        <v>S</v>
      </c>
      <c r="F1973" s="80" t="str">
        <f ca="1">IFERROR(__xludf.DUMMYFUNCTION("""COMPUTED_VALUE"""),"S")</f>
        <v>S</v>
      </c>
      <c r="G1973" s="80">
        <f ca="1">IFERROR(__xludf.DUMMYFUNCTION("""COMPUTED_VALUE"""),1)</f>
        <v>1</v>
      </c>
      <c r="H1973" s="80" t="str">
        <f ca="1">IFERROR(__xludf.DUMMYFUNCTION("""COMPUTED_VALUE"""),"SR")</f>
        <v>SR</v>
      </c>
      <c r="I1973" s="80">
        <f ca="1">IFERROR(__xludf.DUMMYFUNCTION("""COMPUTED_VALUE"""),8)</f>
        <v>8</v>
      </c>
      <c r="J1973" s="85">
        <f ca="1">IFERROR(__xludf.DUMMYFUNCTION("""COMPUTED_VALUE"""),4)</f>
        <v>4</v>
      </c>
      <c r="K1973" s="85">
        <f ca="1">IFERROR(__xludf.DUMMYFUNCTION("""COMPUTED_VALUE"""),272.75)</f>
        <v>272.75</v>
      </c>
      <c r="L1973" s="85">
        <f ca="1">IFERROR(__xludf.DUMMYFUNCTION("""COMPUTED_VALUE"""),256.55)</f>
        <v>256.55</v>
      </c>
      <c r="M1973" s="85"/>
      <c r="N1973" s="85">
        <f ca="1">IFERROR(__xludf.DUMMYFUNCTION("""COMPUTED_VALUE"""),0)</f>
        <v>0</v>
      </c>
      <c r="O1973" s="85"/>
      <c r="P1973" s="85">
        <f ca="1">IFERROR(__xludf.DUMMYFUNCTION("""COMPUTED_VALUE"""),272.75)</f>
        <v>272.75</v>
      </c>
      <c r="Q1973" s="85"/>
      <c r="R1973" s="85">
        <f ca="1">IFERROR(__xludf.DUMMYFUNCTION("""COMPUTED_VALUE"""),234.2)</f>
        <v>234.2</v>
      </c>
      <c r="S1973" s="85"/>
      <c r="T1973" s="85"/>
      <c r="U1973" s="82"/>
      <c r="V1973" s="82"/>
      <c r="W1973" s="83"/>
      <c r="X1973" s="83"/>
      <c r="Y1973" s="83"/>
    </row>
    <row r="1974" spans="1:25" ht="13.8">
      <c r="A1974" s="78" t="str">
        <f ca="1">IFERROR(__xludf.DUMMYFUNCTION("""COMPUTED_VALUE"""),"SR")</f>
        <v>SR</v>
      </c>
      <c r="B1974" s="79" t="str">
        <f ca="1">IFERROR(__xludf.DUMMYFUNCTION("""COMPUTED_VALUE"""),"Sam Flory")</f>
        <v>Sam Flory</v>
      </c>
      <c r="C1974" s="78">
        <f ca="1">IFERROR(__xludf.DUMMYFUNCTION("""COMPUTED_VALUE"""),18)</f>
        <v>18</v>
      </c>
      <c r="D1974" s="78" t="str">
        <f ca="1">IFERROR(__xludf.DUMMYFUNCTION("""COMPUTED_VALUE"""),"B")</f>
        <v>B</v>
      </c>
      <c r="E1974" s="80" t="str">
        <f ca="1">IFERROR(__xludf.DUMMYFUNCTION("""COMPUTED_VALUE"""),"S")</f>
        <v>S</v>
      </c>
      <c r="F1974" s="80" t="str">
        <f ca="1">IFERROR(__xludf.DUMMYFUNCTION("""COMPUTED_VALUE"""),"S")</f>
        <v>S</v>
      </c>
      <c r="G1974" s="80">
        <f ca="1">IFERROR(__xludf.DUMMYFUNCTION("""COMPUTED_VALUE"""),1)</f>
        <v>1</v>
      </c>
      <c r="H1974" s="80" t="str">
        <f ca="1">IFERROR(__xludf.DUMMYFUNCTION("""COMPUTED_VALUE"""),"SR")</f>
        <v>SR</v>
      </c>
      <c r="I1974" s="80">
        <f ca="1">IFERROR(__xludf.DUMMYFUNCTION("""COMPUTED_VALUE"""),9)</f>
        <v>9</v>
      </c>
      <c r="J1974" s="85">
        <f ca="1">IFERROR(__xludf.DUMMYFUNCTION("""COMPUTED_VALUE"""),4)</f>
        <v>4</v>
      </c>
      <c r="K1974" s="85">
        <f ca="1">IFERROR(__xludf.DUMMYFUNCTION("""COMPUTED_VALUE"""),299.2)</f>
        <v>299.2</v>
      </c>
      <c r="L1974" s="85">
        <f ca="1">IFERROR(__xludf.DUMMYFUNCTION("""COMPUTED_VALUE"""),299.2)</f>
        <v>299.2</v>
      </c>
      <c r="M1974" s="85"/>
      <c r="N1974" s="85">
        <f ca="1">IFERROR(__xludf.DUMMYFUNCTION("""COMPUTED_VALUE"""),0)</f>
        <v>0</v>
      </c>
      <c r="O1974" s="85"/>
      <c r="P1974" s="85">
        <f ca="1">IFERROR(__xludf.DUMMYFUNCTION("""COMPUTED_VALUE"""),222.5)</f>
        <v>222.5</v>
      </c>
      <c r="Q1974" s="85"/>
      <c r="R1974" s="85">
        <f ca="1">IFERROR(__xludf.DUMMYFUNCTION("""COMPUTED_VALUE"""),251.65)</f>
        <v>251.65</v>
      </c>
      <c r="S1974" s="85"/>
      <c r="T1974" s="85"/>
      <c r="U1974" s="82"/>
      <c r="V1974" s="82"/>
      <c r="W1974" s="83"/>
      <c r="X1974" s="83"/>
      <c r="Y1974" s="83"/>
    </row>
    <row r="1975" spans="1:25" ht="13.8">
      <c r="A1975" s="78" t="str">
        <f ca="1">IFERROR(__xludf.DUMMYFUNCTION("""COMPUTED_VALUE"""),"SR")</f>
        <v>SR</v>
      </c>
      <c r="B1975" s="79" t="str">
        <f ca="1">IFERROR(__xludf.DUMMYFUNCTION("""COMPUTED_VALUE"""),"Matthew Gelles")</f>
        <v>Matthew Gelles</v>
      </c>
      <c r="C1975" s="78">
        <f ca="1">IFERROR(__xludf.DUMMYFUNCTION("""COMPUTED_VALUE"""),17)</f>
        <v>17</v>
      </c>
      <c r="D1975" s="78" t="str">
        <f ca="1">IFERROR(__xludf.DUMMYFUNCTION("""COMPUTED_VALUE"""),"B")</f>
        <v>B</v>
      </c>
      <c r="E1975" s="80" t="str">
        <f ca="1">IFERROR(__xludf.DUMMYFUNCTION("""COMPUTED_VALUE"""),"S")</f>
        <v>S</v>
      </c>
      <c r="F1975" s="80" t="str">
        <f ca="1">IFERROR(__xludf.DUMMYFUNCTION("""COMPUTED_VALUE"""),"S")</f>
        <v>S</v>
      </c>
      <c r="G1975" s="80">
        <f ca="1">IFERROR(__xludf.DUMMYFUNCTION("""COMPUTED_VALUE"""),1)</f>
        <v>1</v>
      </c>
      <c r="H1975" s="80" t="str">
        <f ca="1">IFERROR(__xludf.DUMMYFUNCTION("""COMPUTED_VALUE"""),"SR")</f>
        <v>SR</v>
      </c>
      <c r="I1975" s="80">
        <f ca="1">IFERROR(__xludf.DUMMYFUNCTION("""COMPUTED_VALUE"""),9)</f>
        <v>9</v>
      </c>
      <c r="J1975" s="85">
        <f ca="1">IFERROR(__xludf.DUMMYFUNCTION("""COMPUTED_VALUE"""),5)</f>
        <v>5</v>
      </c>
      <c r="K1975" s="85">
        <f ca="1">IFERROR(__xludf.DUMMYFUNCTION("""COMPUTED_VALUE"""),189.95)</f>
        <v>189.95</v>
      </c>
      <c r="L1975" s="85">
        <f ca="1">IFERROR(__xludf.DUMMYFUNCTION("""COMPUTED_VALUE"""),189.95)</f>
        <v>189.95</v>
      </c>
      <c r="M1975" s="85"/>
      <c r="N1975" s="85">
        <f ca="1">IFERROR(__xludf.DUMMYFUNCTION("""COMPUTED_VALUE"""),175.95)</f>
        <v>175.95</v>
      </c>
      <c r="O1975" s="85"/>
      <c r="P1975" s="85">
        <f ca="1">IFERROR(__xludf.DUMMYFUNCTION("""COMPUTED_VALUE"""),127.2)</f>
        <v>127.2</v>
      </c>
      <c r="Q1975" s="85"/>
      <c r="R1975" s="85">
        <f ca="1">IFERROR(__xludf.DUMMYFUNCTION("""COMPUTED_VALUE"""),175.05)</f>
        <v>175.05</v>
      </c>
      <c r="S1975" s="85"/>
      <c r="T1975" s="85"/>
      <c r="U1975" s="82"/>
      <c r="V1975" s="82"/>
      <c r="W1975" s="83"/>
      <c r="X1975" s="83"/>
      <c r="Y1975" s="83"/>
    </row>
    <row r="1976" spans="1:25" ht="13.8">
      <c r="A1976" s="78" t="str">
        <f ca="1">IFERROR(__xludf.DUMMYFUNCTION("""COMPUTED_VALUE"""),"SR")</f>
        <v>SR</v>
      </c>
      <c r="B1976" s="79" t="str">
        <f ca="1">IFERROR(__xludf.DUMMYFUNCTION("""COMPUTED_VALUE"""),"Matthew Mitros")</f>
        <v>Matthew Mitros</v>
      </c>
      <c r="C1976" s="78">
        <f ca="1">IFERROR(__xludf.DUMMYFUNCTION("""COMPUTED_VALUE"""),18)</f>
        <v>18</v>
      </c>
      <c r="D1976" s="78" t="str">
        <f ca="1">IFERROR(__xludf.DUMMYFUNCTION("""COMPUTED_VALUE"""),"B")</f>
        <v>B</v>
      </c>
      <c r="E1976" s="80" t="str">
        <f ca="1">IFERROR(__xludf.DUMMYFUNCTION("""COMPUTED_VALUE"""),"S")</f>
        <v>S</v>
      </c>
      <c r="F1976" s="80" t="str">
        <f ca="1">IFERROR(__xludf.DUMMYFUNCTION("""COMPUTED_VALUE"""),"S")</f>
        <v>S</v>
      </c>
      <c r="G1976" s="80">
        <f ca="1">IFERROR(__xludf.DUMMYFUNCTION("""COMPUTED_VALUE"""),1)</f>
        <v>1</v>
      </c>
      <c r="H1976" s="80" t="str">
        <f ca="1">IFERROR(__xludf.DUMMYFUNCTION("""COMPUTED_VALUE"""),"SR")</f>
        <v>SR</v>
      </c>
      <c r="I1976" s="80">
        <f ca="1">IFERROR(__xludf.DUMMYFUNCTION("""COMPUTED_VALUE"""),9)</f>
        <v>9</v>
      </c>
      <c r="J1976" s="85">
        <f ca="1">IFERROR(__xludf.DUMMYFUNCTION("""COMPUTED_VALUE"""),5)</f>
        <v>5</v>
      </c>
      <c r="K1976" s="85">
        <f ca="1">IFERROR(__xludf.DUMMYFUNCTION("""COMPUTED_VALUE"""),170.25)</f>
        <v>170.25</v>
      </c>
      <c r="L1976" s="85">
        <f ca="1">IFERROR(__xludf.DUMMYFUNCTION("""COMPUTED_VALUE"""),140.05)</f>
        <v>140.05000000000001</v>
      </c>
      <c r="M1976" s="85"/>
      <c r="N1976" s="85">
        <f ca="1">IFERROR(__xludf.DUMMYFUNCTION("""COMPUTED_VALUE"""),131.55)</f>
        <v>131.55000000000001</v>
      </c>
      <c r="O1976" s="85"/>
      <c r="P1976" s="85">
        <f ca="1">IFERROR(__xludf.DUMMYFUNCTION("""COMPUTED_VALUE"""),106.55)</f>
        <v>106.55</v>
      </c>
      <c r="Q1976" s="85"/>
      <c r="R1976" s="85">
        <f ca="1">IFERROR(__xludf.DUMMYFUNCTION("""COMPUTED_VALUE"""),170.25)</f>
        <v>170.25</v>
      </c>
      <c r="S1976" s="85"/>
      <c r="T1976" s="85"/>
      <c r="U1976" s="82"/>
      <c r="V1976" s="82"/>
      <c r="W1976" s="83"/>
      <c r="X1976" s="83"/>
      <c r="Y1976" s="83"/>
    </row>
    <row r="1977" spans="1:25" ht="13.8">
      <c r="A1977" s="78" t="str">
        <f ca="1">IFERROR(__xludf.DUMMYFUNCTION("""COMPUTED_VALUE"""),"SR")</f>
        <v>SR</v>
      </c>
      <c r="B1977" s="79" t="str">
        <f ca="1">IFERROR(__xludf.DUMMYFUNCTION("""COMPUTED_VALUE"""),"Luke Shivik")</f>
        <v>Luke Shivik</v>
      </c>
      <c r="C1977" s="78">
        <f ca="1">IFERROR(__xludf.DUMMYFUNCTION("""COMPUTED_VALUE"""),17)</f>
        <v>17</v>
      </c>
      <c r="D1977" s="78" t="str">
        <f ca="1">IFERROR(__xludf.DUMMYFUNCTION("""COMPUTED_VALUE"""),"B")</f>
        <v>B</v>
      </c>
      <c r="E1977" s="80" t="str">
        <f ca="1">IFERROR(__xludf.DUMMYFUNCTION("""COMPUTED_VALUE"""),"S")</f>
        <v>S</v>
      </c>
      <c r="F1977" s="80" t="str">
        <f ca="1">IFERROR(__xludf.DUMMYFUNCTION("""COMPUTED_VALUE"""),"S")</f>
        <v>S</v>
      </c>
      <c r="G1977" s="80">
        <f ca="1">IFERROR(__xludf.DUMMYFUNCTION("""COMPUTED_VALUE"""),1)</f>
        <v>1</v>
      </c>
      <c r="H1977" s="80" t="str">
        <f ca="1">IFERROR(__xludf.DUMMYFUNCTION("""COMPUTED_VALUE"""),"SR")</f>
        <v>SR</v>
      </c>
      <c r="I1977" s="80">
        <f ca="1">IFERROR(__xludf.DUMMYFUNCTION("""COMPUTED_VALUE"""),9)</f>
        <v>9</v>
      </c>
      <c r="J1977" s="85">
        <f ca="1">IFERROR(__xludf.DUMMYFUNCTION("""COMPUTED_VALUE"""),4)</f>
        <v>4</v>
      </c>
      <c r="K1977" s="85">
        <f ca="1">IFERROR(__xludf.DUMMYFUNCTION("""COMPUTED_VALUE"""),203)</f>
        <v>203</v>
      </c>
      <c r="L1977" s="85">
        <f ca="1">IFERROR(__xludf.DUMMYFUNCTION("""COMPUTED_VALUE"""),203)</f>
        <v>203</v>
      </c>
      <c r="M1977" s="85"/>
      <c r="N1977" s="85">
        <f ca="1">IFERROR(__xludf.DUMMYFUNCTION("""COMPUTED_VALUE"""),193.55)</f>
        <v>193.55</v>
      </c>
      <c r="O1977" s="85"/>
      <c r="P1977" s="85">
        <f ca="1">IFERROR(__xludf.DUMMYFUNCTION("""COMPUTED_VALUE"""),0)</f>
        <v>0</v>
      </c>
      <c r="Q1977" s="85"/>
      <c r="R1977" s="85">
        <f ca="1">IFERROR(__xludf.DUMMYFUNCTION("""COMPUTED_VALUE"""),188.25)</f>
        <v>188.25</v>
      </c>
      <c r="S1977" s="85"/>
      <c r="T1977" s="85"/>
      <c r="U1977" s="82"/>
      <c r="V1977" s="82"/>
      <c r="W1977" s="83"/>
      <c r="X1977" s="83"/>
      <c r="Y1977" s="83"/>
    </row>
    <row r="1978" spans="1:25" ht="13.8">
      <c r="A1978" s="78" t="str">
        <f ca="1">IFERROR(__xludf.DUMMYFUNCTION("""COMPUTED_VALUE"""),"SR")</f>
        <v>SR</v>
      </c>
      <c r="B1978" s="79" t="str">
        <f ca="1">IFERROR(__xludf.DUMMYFUNCTION("""COMPUTED_VALUE"""),"Chris Suppa")</f>
        <v>Chris Suppa</v>
      </c>
      <c r="C1978" s="78">
        <f ca="1">IFERROR(__xludf.DUMMYFUNCTION("""COMPUTED_VALUE"""),19)</f>
        <v>19</v>
      </c>
      <c r="D1978" s="78" t="str">
        <f ca="1">IFERROR(__xludf.DUMMYFUNCTION("""COMPUTED_VALUE"""),"B")</f>
        <v>B</v>
      </c>
      <c r="E1978" s="80" t="str">
        <f ca="1">IFERROR(__xludf.DUMMYFUNCTION("""COMPUTED_VALUE"""),"S")</f>
        <v>S</v>
      </c>
      <c r="F1978" s="80" t="str">
        <f ca="1">IFERROR(__xludf.DUMMYFUNCTION("""COMPUTED_VALUE"""),"S")</f>
        <v>S</v>
      </c>
      <c r="G1978" s="80">
        <f ca="1">IFERROR(__xludf.DUMMYFUNCTION("""COMPUTED_VALUE"""),1)</f>
        <v>1</v>
      </c>
      <c r="H1978" s="80" t="str">
        <f ca="1">IFERROR(__xludf.DUMMYFUNCTION("""COMPUTED_VALUE"""),"SR")</f>
        <v>SR</v>
      </c>
      <c r="I1978" s="80">
        <f ca="1">IFERROR(__xludf.DUMMYFUNCTION("""COMPUTED_VALUE"""),9)</f>
        <v>9</v>
      </c>
      <c r="J1978" s="85">
        <f ca="1">IFERROR(__xludf.DUMMYFUNCTION("""COMPUTED_VALUE"""),5)</f>
        <v>5</v>
      </c>
      <c r="K1978" s="85">
        <f ca="1">IFERROR(__xludf.DUMMYFUNCTION("""COMPUTED_VALUE"""),210)</f>
        <v>210</v>
      </c>
      <c r="L1978" s="85">
        <f ca="1">IFERROR(__xludf.DUMMYFUNCTION("""COMPUTED_VALUE"""),210)</f>
        <v>210</v>
      </c>
      <c r="M1978" s="85"/>
      <c r="N1978" s="85">
        <f ca="1">IFERROR(__xludf.DUMMYFUNCTION("""COMPUTED_VALUE"""),164.55)</f>
        <v>164.55</v>
      </c>
      <c r="O1978" s="85"/>
      <c r="P1978" s="85">
        <f ca="1">IFERROR(__xludf.DUMMYFUNCTION("""COMPUTED_VALUE"""),176.9)</f>
        <v>176.9</v>
      </c>
      <c r="Q1978" s="85"/>
      <c r="R1978" s="85">
        <f ca="1">IFERROR(__xludf.DUMMYFUNCTION("""COMPUTED_VALUE"""),141.4)</f>
        <v>141.4</v>
      </c>
      <c r="S1978" s="85"/>
      <c r="T1978" s="85"/>
      <c r="U1978" s="82"/>
      <c r="V1978" s="82"/>
      <c r="W1978" s="83"/>
      <c r="X1978" s="83"/>
      <c r="Y1978" s="83"/>
    </row>
    <row r="1979" spans="1:25" ht="13.8">
      <c r="A1979" s="78" t="str">
        <f ca="1">IFERROR(__xludf.DUMMYFUNCTION("""COMPUTED_VALUE"""),"SRA")</f>
        <v>SRA</v>
      </c>
      <c r="B1979" s="79" t="str">
        <f ca="1">IFERROR(__xludf.DUMMYFUNCTION("""COMPUTED_VALUE"""),"Caroline Baker")</f>
        <v>Caroline Baker</v>
      </c>
      <c r="C1979" s="78">
        <f ca="1">IFERROR(__xludf.DUMMYFUNCTION("""COMPUTED_VALUE"""),6)</f>
        <v>6</v>
      </c>
      <c r="D1979" s="78" t="str">
        <f ca="1">IFERROR(__xludf.DUMMYFUNCTION("""COMPUTED_VALUE"""),"G")</f>
        <v>G</v>
      </c>
      <c r="E1979" s="80" t="str">
        <f ca="1">IFERROR(__xludf.DUMMYFUNCTION("""COMPUTED_VALUE"""),"F")</f>
        <v>F</v>
      </c>
      <c r="F1979" s="80" t="str">
        <f ca="1">IFERROR(__xludf.DUMMYFUNCTION("""COMPUTED_VALUE"""),"J")</f>
        <v>J</v>
      </c>
      <c r="G1979" s="80">
        <f ca="1">IFERROR(__xludf.DUMMYFUNCTION("""COMPUTED_VALUE"""),7)</f>
        <v>7</v>
      </c>
      <c r="H1979" s="80" t="str">
        <f ca="1">IFERROR(__xludf.DUMMYFUNCTION("""COMPUTED_VALUE"""),"SRA")</f>
        <v>SRA</v>
      </c>
      <c r="I1979" s="80">
        <f ca="1">IFERROR(__xludf.DUMMYFUNCTION("""COMPUTED_VALUE"""),2)</f>
        <v>2</v>
      </c>
      <c r="J1979" s="85">
        <f ca="1">IFERROR(__xludf.DUMMYFUNCTION("""COMPUTED_VALUE"""),0)</f>
        <v>0</v>
      </c>
      <c r="K1979" s="85">
        <f ca="1">IFERROR(__xludf.DUMMYFUNCTION("""COMPUTED_VALUE"""),0)</f>
        <v>0</v>
      </c>
      <c r="L1979" s="85">
        <f ca="1">IFERROR(__xludf.DUMMYFUNCTION("""COMPUTED_VALUE"""),0)</f>
        <v>0</v>
      </c>
      <c r="M1979" s="85"/>
      <c r="N1979" s="85">
        <f ca="1">IFERROR(__xludf.DUMMYFUNCTION("""COMPUTED_VALUE"""),0)</f>
        <v>0</v>
      </c>
      <c r="O1979" s="85"/>
      <c r="P1979" s="85">
        <f ca="1">IFERROR(__xludf.DUMMYFUNCTION("""COMPUTED_VALUE"""),0)</f>
        <v>0</v>
      </c>
      <c r="Q1979" s="85"/>
      <c r="R1979" s="85">
        <f ca="1">IFERROR(__xludf.DUMMYFUNCTION("""COMPUTED_VALUE"""),0)</f>
        <v>0</v>
      </c>
      <c r="S1979" s="85"/>
      <c r="T1979" s="85"/>
      <c r="U1979" s="82"/>
      <c r="V1979" s="82"/>
      <c r="W1979" s="83"/>
      <c r="X1979" s="83"/>
      <c r="Y1979" s="83"/>
    </row>
    <row r="1980" spans="1:25" ht="13.8">
      <c r="A1980" s="78" t="str">
        <f ca="1">IFERROR(__xludf.DUMMYFUNCTION("""COMPUTED_VALUE"""),"SRA")</f>
        <v>SRA</v>
      </c>
      <c r="B1980" s="79" t="str">
        <f ca="1">IFERROR(__xludf.DUMMYFUNCTION("""COMPUTED_VALUE"""),"Lena Berry")</f>
        <v>Lena Berry</v>
      </c>
      <c r="C1980" s="78">
        <f ca="1">IFERROR(__xludf.DUMMYFUNCTION("""COMPUTED_VALUE"""),10)</f>
        <v>10</v>
      </c>
      <c r="D1980" s="78" t="str">
        <f ca="1">IFERROR(__xludf.DUMMYFUNCTION("""COMPUTED_VALUE"""),"G")</f>
        <v>G</v>
      </c>
      <c r="E1980" s="80" t="str">
        <f ca="1">IFERROR(__xludf.DUMMYFUNCTION("""COMPUTED_VALUE"""),"F")</f>
        <v>F</v>
      </c>
      <c r="F1980" s="80" t="str">
        <f ca="1">IFERROR(__xludf.DUMMYFUNCTION("""COMPUTED_VALUE"""),"J")</f>
        <v>J</v>
      </c>
      <c r="G1980" s="80">
        <f ca="1">IFERROR(__xludf.DUMMYFUNCTION("""COMPUTED_VALUE"""),7)</f>
        <v>7</v>
      </c>
      <c r="H1980" s="80" t="str">
        <f ca="1">IFERROR(__xludf.DUMMYFUNCTION("""COMPUTED_VALUE"""),"SRA")</f>
        <v>SRA</v>
      </c>
      <c r="I1980" s="80">
        <f ca="1">IFERROR(__xludf.DUMMYFUNCTION("""COMPUTED_VALUE"""),2)</f>
        <v>2</v>
      </c>
      <c r="J1980" s="85">
        <f ca="1">IFERROR(__xludf.DUMMYFUNCTION("""COMPUTED_VALUE"""),3)</f>
        <v>3</v>
      </c>
      <c r="K1980" s="85">
        <f ca="1">IFERROR(__xludf.DUMMYFUNCTION("""COMPUTED_VALUE"""),56.55)</f>
        <v>56.55</v>
      </c>
      <c r="L1980" s="85">
        <f ca="1">IFERROR(__xludf.DUMMYFUNCTION("""COMPUTED_VALUE"""),28.7)</f>
        <v>28.7</v>
      </c>
      <c r="M1980" s="85"/>
      <c r="N1980" s="85">
        <f ca="1">IFERROR(__xludf.DUMMYFUNCTION("""COMPUTED_VALUE"""),0)</f>
        <v>0</v>
      </c>
      <c r="O1980" s="85"/>
      <c r="P1980" s="85">
        <f ca="1">IFERROR(__xludf.DUMMYFUNCTION("""COMPUTED_VALUE"""),0)</f>
        <v>0</v>
      </c>
      <c r="Q1980" s="85"/>
      <c r="R1980" s="85">
        <f ca="1">IFERROR(__xludf.DUMMYFUNCTION("""COMPUTED_VALUE"""),56.55)</f>
        <v>56.55</v>
      </c>
      <c r="S1980" s="85"/>
      <c r="T1980" s="85"/>
      <c r="U1980" s="82"/>
      <c r="V1980" s="82"/>
      <c r="W1980" s="83"/>
      <c r="X1980" s="83"/>
      <c r="Y1980" s="83"/>
    </row>
    <row r="1981" spans="1:25" ht="13.8">
      <c r="A1981" s="78" t="str">
        <f ca="1">IFERROR(__xludf.DUMMYFUNCTION("""COMPUTED_VALUE"""),"SRA")</f>
        <v>SRA</v>
      </c>
      <c r="B1981" s="79" t="str">
        <f ca="1">IFERROR(__xludf.DUMMYFUNCTION("""COMPUTED_VALUE"""),"Claire Cheney")</f>
        <v>Claire Cheney</v>
      </c>
      <c r="C1981" s="78">
        <f ca="1">IFERROR(__xludf.DUMMYFUNCTION("""COMPUTED_VALUE"""),10)</f>
        <v>10</v>
      </c>
      <c r="D1981" s="78" t="str">
        <f ca="1">IFERROR(__xludf.DUMMYFUNCTION("""COMPUTED_VALUE"""),"G")</f>
        <v>G</v>
      </c>
      <c r="E1981" s="80" t="str">
        <f ca="1">IFERROR(__xludf.DUMMYFUNCTION("""COMPUTED_VALUE"""),"F")</f>
        <v>F</v>
      </c>
      <c r="F1981" s="80" t="str">
        <f ca="1">IFERROR(__xludf.DUMMYFUNCTION("""COMPUTED_VALUE"""),"J")</f>
        <v>J</v>
      </c>
      <c r="G1981" s="80">
        <f ca="1">IFERROR(__xludf.DUMMYFUNCTION("""COMPUTED_VALUE"""),7)</f>
        <v>7</v>
      </c>
      <c r="H1981" s="80" t="str">
        <f ca="1">IFERROR(__xludf.DUMMYFUNCTION("""COMPUTED_VALUE"""),"SRA")</f>
        <v>SRA</v>
      </c>
      <c r="I1981" s="80">
        <f ca="1">IFERROR(__xludf.DUMMYFUNCTION("""COMPUTED_VALUE"""),2)</f>
        <v>2</v>
      </c>
      <c r="J1981" s="85">
        <f ca="1">IFERROR(__xludf.DUMMYFUNCTION("""COMPUTED_VALUE"""),0)</f>
        <v>0</v>
      </c>
      <c r="K1981" s="85">
        <f ca="1">IFERROR(__xludf.DUMMYFUNCTION("""COMPUTED_VALUE"""),0)</f>
        <v>0</v>
      </c>
      <c r="L1981" s="85">
        <f ca="1">IFERROR(__xludf.DUMMYFUNCTION("""COMPUTED_VALUE"""),0)</f>
        <v>0</v>
      </c>
      <c r="M1981" s="85"/>
      <c r="N1981" s="85">
        <f ca="1">IFERROR(__xludf.DUMMYFUNCTION("""COMPUTED_VALUE"""),0)</f>
        <v>0</v>
      </c>
      <c r="O1981" s="85"/>
      <c r="P1981" s="85">
        <f ca="1">IFERROR(__xludf.DUMMYFUNCTION("""COMPUTED_VALUE"""),0)</f>
        <v>0</v>
      </c>
      <c r="Q1981" s="85"/>
      <c r="R1981" s="85">
        <f ca="1">IFERROR(__xludf.DUMMYFUNCTION("""COMPUTED_VALUE"""),0)</f>
        <v>0</v>
      </c>
      <c r="S1981" s="85"/>
      <c r="T1981" s="85"/>
      <c r="U1981" s="82"/>
      <c r="V1981" s="82"/>
      <c r="W1981" s="83"/>
      <c r="X1981" s="83"/>
      <c r="Y1981" s="83"/>
    </row>
    <row r="1982" spans="1:25" ht="13.8">
      <c r="A1982" s="78" t="str">
        <f ca="1">IFERROR(__xludf.DUMMYFUNCTION("""COMPUTED_VALUE"""),"SRA")</f>
        <v>SRA</v>
      </c>
      <c r="B1982" s="79" t="str">
        <f ca="1">IFERROR(__xludf.DUMMYFUNCTION("""COMPUTED_VALUE"""),"Ellie Clark")</f>
        <v>Ellie Clark</v>
      </c>
      <c r="C1982" s="78">
        <f ca="1">IFERROR(__xludf.DUMMYFUNCTION("""COMPUTED_VALUE"""),7)</f>
        <v>7</v>
      </c>
      <c r="D1982" s="78" t="str">
        <f ca="1">IFERROR(__xludf.DUMMYFUNCTION("""COMPUTED_VALUE"""),"G")</f>
        <v>G</v>
      </c>
      <c r="E1982" s="80" t="str">
        <f ca="1">IFERROR(__xludf.DUMMYFUNCTION("""COMPUTED_VALUE"""),"F")</f>
        <v>F</v>
      </c>
      <c r="F1982" s="80" t="str">
        <f ca="1">IFERROR(__xludf.DUMMYFUNCTION("""COMPUTED_VALUE"""),"J")</f>
        <v>J</v>
      </c>
      <c r="G1982" s="80">
        <f ca="1">IFERROR(__xludf.DUMMYFUNCTION("""COMPUTED_VALUE"""),7)</f>
        <v>7</v>
      </c>
      <c r="H1982" s="80" t="str">
        <f ca="1">IFERROR(__xludf.DUMMYFUNCTION("""COMPUTED_VALUE"""),"SRA")</f>
        <v>SRA</v>
      </c>
      <c r="I1982" s="80">
        <f ca="1">IFERROR(__xludf.DUMMYFUNCTION("""COMPUTED_VALUE"""),2)</f>
        <v>2</v>
      </c>
      <c r="J1982" s="85">
        <f ca="1">IFERROR(__xludf.DUMMYFUNCTION("""COMPUTED_VALUE"""),0)</f>
        <v>0</v>
      </c>
      <c r="K1982" s="85">
        <f ca="1">IFERROR(__xludf.DUMMYFUNCTION("""COMPUTED_VALUE"""),0)</f>
        <v>0</v>
      </c>
      <c r="L1982" s="85">
        <f ca="1">IFERROR(__xludf.DUMMYFUNCTION("""COMPUTED_VALUE"""),0)</f>
        <v>0</v>
      </c>
      <c r="M1982" s="85"/>
      <c r="N1982" s="85">
        <f ca="1">IFERROR(__xludf.DUMMYFUNCTION("""COMPUTED_VALUE"""),0)</f>
        <v>0</v>
      </c>
      <c r="O1982" s="85"/>
      <c r="P1982" s="85">
        <f ca="1">IFERROR(__xludf.DUMMYFUNCTION("""COMPUTED_VALUE"""),0)</f>
        <v>0</v>
      </c>
      <c r="Q1982" s="85"/>
      <c r="R1982" s="85">
        <f ca="1">IFERROR(__xludf.DUMMYFUNCTION("""COMPUTED_VALUE"""),0)</f>
        <v>0</v>
      </c>
      <c r="S1982" s="85"/>
      <c r="T1982" s="85"/>
      <c r="U1982" s="82"/>
      <c r="V1982" s="82"/>
      <c r="W1982" s="83"/>
      <c r="X1982" s="83"/>
      <c r="Y1982" s="83"/>
    </row>
    <row r="1983" spans="1:25" ht="13.8">
      <c r="A1983" s="78" t="str">
        <f ca="1">IFERROR(__xludf.DUMMYFUNCTION("""COMPUTED_VALUE"""),"SRA")</f>
        <v>SRA</v>
      </c>
      <c r="B1983" s="79" t="str">
        <f ca="1">IFERROR(__xludf.DUMMYFUNCTION("""COMPUTED_VALUE"""),"Penny Cotter")</f>
        <v>Penny Cotter</v>
      </c>
      <c r="C1983" s="78">
        <f ca="1">IFERROR(__xludf.DUMMYFUNCTION("""COMPUTED_VALUE"""),7)</f>
        <v>7</v>
      </c>
      <c r="D1983" s="78" t="str">
        <f ca="1">IFERROR(__xludf.DUMMYFUNCTION("""COMPUTED_VALUE"""),"G")</f>
        <v>G</v>
      </c>
      <c r="E1983" s="80" t="str">
        <f ca="1">IFERROR(__xludf.DUMMYFUNCTION("""COMPUTED_VALUE"""),"F")</f>
        <v>F</v>
      </c>
      <c r="F1983" s="80" t="str">
        <f ca="1">IFERROR(__xludf.DUMMYFUNCTION("""COMPUTED_VALUE"""),"J")</f>
        <v>J</v>
      </c>
      <c r="G1983" s="80">
        <f ca="1">IFERROR(__xludf.DUMMYFUNCTION("""COMPUTED_VALUE"""),7)</f>
        <v>7</v>
      </c>
      <c r="H1983" s="80" t="str">
        <f ca="1">IFERROR(__xludf.DUMMYFUNCTION("""COMPUTED_VALUE"""),"SRA")</f>
        <v>SRA</v>
      </c>
      <c r="I1983" s="80">
        <f ca="1">IFERROR(__xludf.DUMMYFUNCTION("""COMPUTED_VALUE"""),2)</f>
        <v>2</v>
      </c>
      <c r="J1983" s="85">
        <f ca="1">IFERROR(__xludf.DUMMYFUNCTION("""COMPUTED_VALUE"""),2)</f>
        <v>2</v>
      </c>
      <c r="K1983" s="85">
        <f ca="1">IFERROR(__xludf.DUMMYFUNCTION("""COMPUTED_VALUE"""),22.8)</f>
        <v>22.8</v>
      </c>
      <c r="L1983" s="85">
        <f ca="1">IFERROR(__xludf.DUMMYFUNCTION("""COMPUTED_VALUE"""),0)</f>
        <v>0</v>
      </c>
      <c r="M1983" s="85"/>
      <c r="N1983" s="85">
        <f ca="1">IFERROR(__xludf.DUMMYFUNCTION("""COMPUTED_VALUE"""),22.8)</f>
        <v>22.8</v>
      </c>
      <c r="O1983" s="85"/>
      <c r="P1983" s="85">
        <f ca="1">IFERROR(__xludf.DUMMYFUNCTION("""COMPUTED_VALUE"""),0)</f>
        <v>0</v>
      </c>
      <c r="Q1983" s="85"/>
      <c r="R1983" s="85">
        <f ca="1">IFERROR(__xludf.DUMMYFUNCTION("""COMPUTED_VALUE"""),18.95)</f>
        <v>18.95</v>
      </c>
      <c r="S1983" s="85"/>
      <c r="T1983" s="85"/>
      <c r="U1983" s="82"/>
      <c r="V1983" s="82"/>
      <c r="W1983" s="83"/>
      <c r="X1983" s="83"/>
      <c r="Y1983" s="83"/>
    </row>
    <row r="1984" spans="1:25" ht="13.8">
      <c r="A1984" s="78" t="str">
        <f ca="1">IFERROR(__xludf.DUMMYFUNCTION("""COMPUTED_VALUE"""),"SRA")</f>
        <v>SRA</v>
      </c>
      <c r="B1984" s="79" t="str">
        <f ca="1">IFERROR(__xludf.DUMMYFUNCTION("""COMPUTED_VALUE"""),"Ellie Elder")</f>
        <v>Ellie Elder</v>
      </c>
      <c r="C1984" s="78">
        <f ca="1">IFERROR(__xludf.DUMMYFUNCTION("""COMPUTED_VALUE"""),9)</f>
        <v>9</v>
      </c>
      <c r="D1984" s="78" t="str">
        <f ca="1">IFERROR(__xludf.DUMMYFUNCTION("""COMPUTED_VALUE"""),"G")</f>
        <v>G</v>
      </c>
      <c r="E1984" s="80" t="str">
        <f ca="1">IFERROR(__xludf.DUMMYFUNCTION("""COMPUTED_VALUE"""),"F")</f>
        <v>F</v>
      </c>
      <c r="F1984" s="80" t="str">
        <f ca="1">IFERROR(__xludf.DUMMYFUNCTION("""COMPUTED_VALUE"""),"J")</f>
        <v>J</v>
      </c>
      <c r="G1984" s="80">
        <f ca="1">IFERROR(__xludf.DUMMYFUNCTION("""COMPUTED_VALUE"""),7)</f>
        <v>7</v>
      </c>
      <c r="H1984" s="80" t="str">
        <f ca="1">IFERROR(__xludf.DUMMYFUNCTION("""COMPUTED_VALUE"""),"SRA")</f>
        <v>SRA</v>
      </c>
      <c r="I1984" s="80">
        <f ca="1">IFERROR(__xludf.DUMMYFUNCTION("""COMPUTED_VALUE"""),2)</f>
        <v>2</v>
      </c>
      <c r="J1984" s="85">
        <f ca="1">IFERROR(__xludf.DUMMYFUNCTION("""COMPUTED_VALUE"""),2)</f>
        <v>2</v>
      </c>
      <c r="K1984" s="85">
        <f ca="1">IFERROR(__xludf.DUMMYFUNCTION("""COMPUTED_VALUE"""),49.5)</f>
        <v>49.5</v>
      </c>
      <c r="L1984" s="85">
        <f ca="1">IFERROR(__xludf.DUMMYFUNCTION("""COMPUTED_VALUE"""),0)</f>
        <v>0</v>
      </c>
      <c r="M1984" s="85"/>
      <c r="N1984" s="85">
        <f ca="1">IFERROR(__xludf.DUMMYFUNCTION("""COMPUTED_VALUE"""),0)</f>
        <v>0</v>
      </c>
      <c r="O1984" s="85"/>
      <c r="P1984" s="85">
        <f ca="1">IFERROR(__xludf.DUMMYFUNCTION("""COMPUTED_VALUE"""),0)</f>
        <v>0</v>
      </c>
      <c r="Q1984" s="85"/>
      <c r="R1984" s="85">
        <f ca="1">IFERROR(__xludf.DUMMYFUNCTION("""COMPUTED_VALUE"""),49.5)</f>
        <v>49.5</v>
      </c>
      <c r="S1984" s="85"/>
      <c r="T1984" s="85"/>
      <c r="U1984" s="82"/>
      <c r="V1984" s="82"/>
      <c r="W1984" s="83"/>
      <c r="X1984" s="83"/>
      <c r="Y1984" s="83"/>
    </row>
    <row r="1985" spans="1:25" ht="13.8">
      <c r="A1985" s="78" t="str">
        <f ca="1">IFERROR(__xludf.DUMMYFUNCTION("""COMPUTED_VALUE"""),"SRA")</f>
        <v>SRA</v>
      </c>
      <c r="B1985" s="79" t="str">
        <f ca="1">IFERROR(__xludf.DUMMYFUNCTION("""COMPUTED_VALUE"""),"Evie Ferguson")</f>
        <v>Evie Ferguson</v>
      </c>
      <c r="C1985" s="78">
        <f ca="1">IFERROR(__xludf.DUMMYFUNCTION("""COMPUTED_VALUE"""),7)</f>
        <v>7</v>
      </c>
      <c r="D1985" s="78" t="str">
        <f ca="1">IFERROR(__xludf.DUMMYFUNCTION("""COMPUTED_VALUE"""),"G")</f>
        <v>G</v>
      </c>
      <c r="E1985" s="80" t="str">
        <f ca="1">IFERROR(__xludf.DUMMYFUNCTION("""COMPUTED_VALUE"""),"F")</f>
        <v>F</v>
      </c>
      <c r="F1985" s="80" t="str">
        <f ca="1">IFERROR(__xludf.DUMMYFUNCTION("""COMPUTED_VALUE"""),"J")</f>
        <v>J</v>
      </c>
      <c r="G1985" s="80">
        <f ca="1">IFERROR(__xludf.DUMMYFUNCTION("""COMPUTED_VALUE"""),7)</f>
        <v>7</v>
      </c>
      <c r="H1985" s="80" t="str">
        <f ca="1">IFERROR(__xludf.DUMMYFUNCTION("""COMPUTED_VALUE"""),"SRA")</f>
        <v>SRA</v>
      </c>
      <c r="I1985" s="80">
        <f ca="1">IFERROR(__xludf.DUMMYFUNCTION("""COMPUTED_VALUE"""),2)</f>
        <v>2</v>
      </c>
      <c r="J1985" s="85">
        <f ca="1">IFERROR(__xludf.DUMMYFUNCTION("""COMPUTED_VALUE"""),2)</f>
        <v>2</v>
      </c>
      <c r="K1985" s="85">
        <f ca="1">IFERROR(__xludf.DUMMYFUNCTION("""COMPUTED_VALUE"""),32)</f>
        <v>32</v>
      </c>
      <c r="L1985" s="85">
        <f ca="1">IFERROR(__xludf.DUMMYFUNCTION("""COMPUTED_VALUE"""),0)</f>
        <v>0</v>
      </c>
      <c r="M1985" s="85"/>
      <c r="N1985" s="85">
        <f ca="1">IFERROR(__xludf.DUMMYFUNCTION("""COMPUTED_VALUE"""),20.2)</f>
        <v>20.2</v>
      </c>
      <c r="O1985" s="85"/>
      <c r="P1985" s="85">
        <f ca="1">IFERROR(__xludf.DUMMYFUNCTION("""COMPUTED_VALUE"""),0)</f>
        <v>0</v>
      </c>
      <c r="Q1985" s="85"/>
      <c r="R1985" s="85">
        <f ca="1">IFERROR(__xludf.DUMMYFUNCTION("""COMPUTED_VALUE"""),32)</f>
        <v>32</v>
      </c>
      <c r="S1985" s="85"/>
      <c r="T1985" s="85"/>
      <c r="U1985" s="82"/>
      <c r="V1985" s="82"/>
      <c r="W1985" s="83"/>
      <c r="X1985" s="83"/>
      <c r="Y1985" s="83"/>
    </row>
    <row r="1986" spans="1:25" ht="13.8">
      <c r="A1986" s="78" t="str">
        <f ca="1">IFERROR(__xludf.DUMMYFUNCTION("""COMPUTED_VALUE"""),"SRA")</f>
        <v>SRA</v>
      </c>
      <c r="B1986" s="79" t="str">
        <f ca="1">IFERROR(__xludf.DUMMYFUNCTION("""COMPUTED_VALUE"""),"Paige Finley")</f>
        <v>Paige Finley</v>
      </c>
      <c r="C1986" s="78">
        <f ca="1">IFERROR(__xludf.DUMMYFUNCTION("""COMPUTED_VALUE"""),10)</f>
        <v>10</v>
      </c>
      <c r="D1986" s="78" t="str">
        <f ca="1">IFERROR(__xludf.DUMMYFUNCTION("""COMPUTED_VALUE"""),"G")</f>
        <v>G</v>
      </c>
      <c r="E1986" s="80" t="str">
        <f ca="1">IFERROR(__xludf.DUMMYFUNCTION("""COMPUTED_VALUE"""),"F")</f>
        <v>F</v>
      </c>
      <c r="F1986" s="80" t="str">
        <f ca="1">IFERROR(__xludf.DUMMYFUNCTION("""COMPUTED_VALUE"""),"J")</f>
        <v>J</v>
      </c>
      <c r="G1986" s="80">
        <f ca="1">IFERROR(__xludf.DUMMYFUNCTION("""COMPUTED_VALUE"""),7)</f>
        <v>7</v>
      </c>
      <c r="H1986" s="80" t="str">
        <f ca="1">IFERROR(__xludf.DUMMYFUNCTION("""COMPUTED_VALUE"""),"SRA")</f>
        <v>SRA</v>
      </c>
      <c r="I1986" s="80">
        <f ca="1">IFERROR(__xludf.DUMMYFUNCTION("""COMPUTED_VALUE"""),2)</f>
        <v>2</v>
      </c>
      <c r="J1986" s="85">
        <f ca="1">IFERROR(__xludf.DUMMYFUNCTION("""COMPUTED_VALUE"""),5)</f>
        <v>5</v>
      </c>
      <c r="K1986" s="85">
        <f ca="1">IFERROR(__xludf.DUMMYFUNCTION("""COMPUTED_VALUE"""),52.75)</f>
        <v>52.75</v>
      </c>
      <c r="L1986" s="85">
        <f ca="1">IFERROR(__xludf.DUMMYFUNCTION("""COMPUTED_VALUE"""),41.9)</f>
        <v>41.9</v>
      </c>
      <c r="M1986" s="85"/>
      <c r="N1986" s="85">
        <f ca="1">IFERROR(__xludf.DUMMYFUNCTION("""COMPUTED_VALUE"""),52.75)</f>
        <v>52.75</v>
      </c>
      <c r="O1986" s="85"/>
      <c r="P1986" s="85">
        <f ca="1">IFERROR(__xludf.DUMMYFUNCTION("""COMPUTED_VALUE"""),42.45)</f>
        <v>42.45</v>
      </c>
      <c r="Q1986" s="85"/>
      <c r="R1986" s="85">
        <f ca="1">IFERROR(__xludf.DUMMYFUNCTION("""COMPUTED_VALUE"""),50.5)</f>
        <v>50.5</v>
      </c>
      <c r="S1986" s="85"/>
      <c r="T1986" s="85"/>
      <c r="U1986" s="82"/>
      <c r="V1986" s="82"/>
      <c r="W1986" s="83"/>
      <c r="X1986" s="83"/>
      <c r="Y1986" s="83"/>
    </row>
    <row r="1987" spans="1:25" ht="13.8">
      <c r="A1987" s="78" t="str">
        <f ca="1">IFERROR(__xludf.DUMMYFUNCTION("""COMPUTED_VALUE"""),"SRA")</f>
        <v>SRA</v>
      </c>
      <c r="B1987" s="79" t="str">
        <f ca="1">IFERROR(__xludf.DUMMYFUNCTION("""COMPUTED_VALUE"""),"Brooke Hanig")</f>
        <v>Brooke Hanig</v>
      </c>
      <c r="C1987" s="78">
        <f ca="1">IFERROR(__xludf.DUMMYFUNCTION("""COMPUTED_VALUE"""),6)</f>
        <v>6</v>
      </c>
      <c r="D1987" s="78" t="str">
        <f ca="1">IFERROR(__xludf.DUMMYFUNCTION("""COMPUTED_VALUE"""),"G")</f>
        <v>G</v>
      </c>
      <c r="E1987" s="80" t="str">
        <f ca="1">IFERROR(__xludf.DUMMYFUNCTION("""COMPUTED_VALUE"""),"F")</f>
        <v>F</v>
      </c>
      <c r="F1987" s="80" t="str">
        <f ca="1">IFERROR(__xludf.DUMMYFUNCTION("""COMPUTED_VALUE"""),"J")</f>
        <v>J</v>
      </c>
      <c r="G1987" s="80">
        <f ca="1">IFERROR(__xludf.DUMMYFUNCTION("""COMPUTED_VALUE"""),7)</f>
        <v>7</v>
      </c>
      <c r="H1987" s="80" t="str">
        <f ca="1">IFERROR(__xludf.DUMMYFUNCTION("""COMPUTED_VALUE"""),"SRA")</f>
        <v>SRA</v>
      </c>
      <c r="I1987" s="80">
        <f ca="1">IFERROR(__xludf.DUMMYFUNCTION("""COMPUTED_VALUE"""),2)</f>
        <v>2</v>
      </c>
      <c r="J1987" s="85">
        <f ca="1">IFERROR(__xludf.DUMMYFUNCTION("""COMPUTED_VALUE"""),0)</f>
        <v>0</v>
      </c>
      <c r="K1987" s="85">
        <f ca="1">IFERROR(__xludf.DUMMYFUNCTION("""COMPUTED_VALUE"""),0)</f>
        <v>0</v>
      </c>
      <c r="L1987" s="85">
        <f ca="1">IFERROR(__xludf.DUMMYFUNCTION("""COMPUTED_VALUE"""),0)</f>
        <v>0</v>
      </c>
      <c r="M1987" s="85"/>
      <c r="N1987" s="85">
        <f ca="1">IFERROR(__xludf.DUMMYFUNCTION("""COMPUTED_VALUE"""),0)</f>
        <v>0</v>
      </c>
      <c r="O1987" s="85"/>
      <c r="P1987" s="85">
        <f ca="1">IFERROR(__xludf.DUMMYFUNCTION("""COMPUTED_VALUE"""),0)</f>
        <v>0</v>
      </c>
      <c r="Q1987" s="85"/>
      <c r="R1987" s="85">
        <f ca="1">IFERROR(__xludf.DUMMYFUNCTION("""COMPUTED_VALUE"""),0)</f>
        <v>0</v>
      </c>
      <c r="S1987" s="85"/>
      <c r="T1987" s="85"/>
      <c r="U1987" s="82"/>
      <c r="V1987" s="82"/>
      <c r="W1987" s="83"/>
      <c r="X1987" s="83"/>
      <c r="Y1987" s="83"/>
    </row>
    <row r="1988" spans="1:25" ht="13.8">
      <c r="A1988" s="78" t="str">
        <f ca="1">IFERROR(__xludf.DUMMYFUNCTION("""COMPUTED_VALUE"""),"SRA")</f>
        <v>SRA</v>
      </c>
      <c r="B1988" s="79" t="str">
        <f ca="1">IFERROR(__xludf.DUMMYFUNCTION("""COMPUTED_VALUE"""),"Julia Rudolph")</f>
        <v>Julia Rudolph</v>
      </c>
      <c r="C1988" s="78">
        <f ca="1">IFERROR(__xludf.DUMMYFUNCTION("""COMPUTED_VALUE"""),6)</f>
        <v>6</v>
      </c>
      <c r="D1988" s="78" t="str">
        <f ca="1">IFERROR(__xludf.DUMMYFUNCTION("""COMPUTED_VALUE"""),"G")</f>
        <v>G</v>
      </c>
      <c r="E1988" s="80" t="str">
        <f ca="1">IFERROR(__xludf.DUMMYFUNCTION("""COMPUTED_VALUE"""),"F")</f>
        <v>F</v>
      </c>
      <c r="F1988" s="80" t="str">
        <f ca="1">IFERROR(__xludf.DUMMYFUNCTION("""COMPUTED_VALUE"""),"J")</f>
        <v>J</v>
      </c>
      <c r="G1988" s="80">
        <f ca="1">IFERROR(__xludf.DUMMYFUNCTION("""COMPUTED_VALUE"""),7)</f>
        <v>7</v>
      </c>
      <c r="H1988" s="80" t="str">
        <f ca="1">IFERROR(__xludf.DUMMYFUNCTION("""COMPUTED_VALUE"""),"SRA")</f>
        <v>SRA</v>
      </c>
      <c r="I1988" s="80">
        <f ca="1">IFERROR(__xludf.DUMMYFUNCTION("""COMPUTED_VALUE"""),2)</f>
        <v>2</v>
      </c>
      <c r="J1988" s="85">
        <f ca="1">IFERROR(__xludf.DUMMYFUNCTION("""COMPUTED_VALUE"""),1)</f>
        <v>1</v>
      </c>
      <c r="K1988" s="85">
        <f ca="1">IFERROR(__xludf.DUMMYFUNCTION("""COMPUTED_VALUE"""),14.8)</f>
        <v>14.8</v>
      </c>
      <c r="L1988" s="85">
        <f ca="1">IFERROR(__xludf.DUMMYFUNCTION("""COMPUTED_VALUE"""),0)</f>
        <v>0</v>
      </c>
      <c r="M1988" s="85"/>
      <c r="N1988" s="85">
        <f ca="1">IFERROR(__xludf.DUMMYFUNCTION("""COMPUTED_VALUE"""),0)</f>
        <v>0</v>
      </c>
      <c r="O1988" s="85"/>
      <c r="P1988" s="85">
        <f ca="1">IFERROR(__xludf.DUMMYFUNCTION("""COMPUTED_VALUE"""),0)</f>
        <v>0</v>
      </c>
      <c r="Q1988" s="85"/>
      <c r="R1988" s="85">
        <f ca="1">IFERROR(__xludf.DUMMYFUNCTION("""COMPUTED_VALUE"""),14.8)</f>
        <v>14.8</v>
      </c>
      <c r="S1988" s="85"/>
      <c r="T1988" s="85"/>
      <c r="U1988" s="82"/>
      <c r="V1988" s="82"/>
      <c r="W1988" s="83"/>
      <c r="X1988" s="83"/>
      <c r="Y1988" s="83"/>
    </row>
    <row r="1989" spans="1:25" ht="13.8">
      <c r="A1989" s="78" t="str">
        <f ca="1">IFERROR(__xludf.DUMMYFUNCTION("""COMPUTED_VALUE"""),"SRA")</f>
        <v>SRA</v>
      </c>
      <c r="B1989" s="79" t="str">
        <f ca="1">IFERROR(__xludf.DUMMYFUNCTION("""COMPUTED_VALUE"""),"Leah Staley")</f>
        <v>Leah Staley</v>
      </c>
      <c r="C1989" s="78">
        <f ca="1">IFERROR(__xludf.DUMMYFUNCTION("""COMPUTED_VALUE"""),9)</f>
        <v>9</v>
      </c>
      <c r="D1989" s="78" t="str">
        <f ca="1">IFERROR(__xludf.DUMMYFUNCTION("""COMPUTED_VALUE"""),"G")</f>
        <v>G</v>
      </c>
      <c r="E1989" s="80" t="str">
        <f ca="1">IFERROR(__xludf.DUMMYFUNCTION("""COMPUTED_VALUE"""),"F")</f>
        <v>F</v>
      </c>
      <c r="F1989" s="80" t="str">
        <f ca="1">IFERROR(__xludf.DUMMYFUNCTION("""COMPUTED_VALUE"""),"J")</f>
        <v>J</v>
      </c>
      <c r="G1989" s="80">
        <f ca="1">IFERROR(__xludf.DUMMYFUNCTION("""COMPUTED_VALUE"""),7)</f>
        <v>7</v>
      </c>
      <c r="H1989" s="80" t="str">
        <f ca="1">IFERROR(__xludf.DUMMYFUNCTION("""COMPUTED_VALUE"""),"SRA")</f>
        <v>SRA</v>
      </c>
      <c r="I1989" s="80">
        <f ca="1">IFERROR(__xludf.DUMMYFUNCTION("""COMPUTED_VALUE"""),2)</f>
        <v>2</v>
      </c>
      <c r="J1989" s="85">
        <f ca="1">IFERROR(__xludf.DUMMYFUNCTION("""COMPUTED_VALUE"""),0)</f>
        <v>0</v>
      </c>
      <c r="K1989" s="85">
        <f ca="1">IFERROR(__xludf.DUMMYFUNCTION("""COMPUTED_VALUE"""),0)</f>
        <v>0</v>
      </c>
      <c r="L1989" s="85">
        <f ca="1">IFERROR(__xludf.DUMMYFUNCTION("""COMPUTED_VALUE"""),0)</f>
        <v>0</v>
      </c>
      <c r="M1989" s="85"/>
      <c r="N1989" s="85">
        <f ca="1">IFERROR(__xludf.DUMMYFUNCTION("""COMPUTED_VALUE"""),0)</f>
        <v>0</v>
      </c>
      <c r="O1989" s="85"/>
      <c r="P1989" s="85">
        <f ca="1">IFERROR(__xludf.DUMMYFUNCTION("""COMPUTED_VALUE"""),0)</f>
        <v>0</v>
      </c>
      <c r="Q1989" s="85"/>
      <c r="R1989" s="85">
        <f ca="1">IFERROR(__xludf.DUMMYFUNCTION("""COMPUTED_VALUE"""),0)</f>
        <v>0</v>
      </c>
      <c r="S1989" s="85"/>
      <c r="T1989" s="85"/>
      <c r="U1989" s="82"/>
      <c r="V1989" s="82"/>
      <c r="W1989" s="83"/>
      <c r="X1989" s="83"/>
      <c r="Y1989" s="83"/>
    </row>
    <row r="1990" spans="1:25" ht="13.8">
      <c r="A1990" s="78" t="str">
        <f ca="1">IFERROR(__xludf.DUMMYFUNCTION("""COMPUTED_VALUE"""),"SRA")</f>
        <v>SRA</v>
      </c>
      <c r="B1990" s="79" t="str">
        <f ca="1">IFERROR(__xludf.DUMMYFUNCTION("""COMPUTED_VALUE"""),"Camille Upton")</f>
        <v>Camille Upton</v>
      </c>
      <c r="C1990" s="78">
        <f ca="1">IFERROR(__xludf.DUMMYFUNCTION("""COMPUTED_VALUE"""),8)</f>
        <v>8</v>
      </c>
      <c r="D1990" s="78" t="str">
        <f ca="1">IFERROR(__xludf.DUMMYFUNCTION("""COMPUTED_VALUE"""),"G")</f>
        <v>G</v>
      </c>
      <c r="E1990" s="80" t="str">
        <f ca="1">IFERROR(__xludf.DUMMYFUNCTION("""COMPUTED_VALUE"""),"F")</f>
        <v>F</v>
      </c>
      <c r="F1990" s="80" t="str">
        <f ca="1">IFERROR(__xludf.DUMMYFUNCTION("""COMPUTED_VALUE"""),"J")</f>
        <v>J</v>
      </c>
      <c r="G1990" s="80">
        <f ca="1">IFERROR(__xludf.DUMMYFUNCTION("""COMPUTED_VALUE"""),7)</f>
        <v>7</v>
      </c>
      <c r="H1990" s="80" t="str">
        <f ca="1">IFERROR(__xludf.DUMMYFUNCTION("""COMPUTED_VALUE"""),"SRA")</f>
        <v>SRA</v>
      </c>
      <c r="I1990" s="80">
        <f ca="1">IFERROR(__xludf.DUMMYFUNCTION("""COMPUTED_VALUE"""),2)</f>
        <v>2</v>
      </c>
      <c r="J1990" s="85">
        <f ca="1">IFERROR(__xludf.DUMMYFUNCTION("""COMPUTED_VALUE"""),4)</f>
        <v>4</v>
      </c>
      <c r="K1990" s="85">
        <f ca="1">IFERROR(__xludf.DUMMYFUNCTION("""COMPUTED_VALUE"""),54.6)</f>
        <v>54.6</v>
      </c>
      <c r="L1990" s="85">
        <f ca="1">IFERROR(__xludf.DUMMYFUNCTION("""COMPUTED_VALUE"""),40.9)</f>
        <v>40.9</v>
      </c>
      <c r="M1990" s="85"/>
      <c r="N1990" s="85">
        <f ca="1">IFERROR(__xludf.DUMMYFUNCTION("""COMPUTED_VALUE"""),54.6)</f>
        <v>54.6</v>
      </c>
      <c r="O1990" s="85"/>
      <c r="P1990" s="85">
        <f ca="1">IFERROR(__xludf.DUMMYFUNCTION("""COMPUTED_VALUE"""),0)</f>
        <v>0</v>
      </c>
      <c r="Q1990" s="85"/>
      <c r="R1990" s="85">
        <f ca="1">IFERROR(__xludf.DUMMYFUNCTION("""COMPUTED_VALUE"""),48.6)</f>
        <v>48.6</v>
      </c>
      <c r="S1990" s="85"/>
      <c r="T1990" s="85"/>
      <c r="U1990" s="82"/>
      <c r="V1990" s="82"/>
      <c r="W1990" s="83"/>
      <c r="X1990" s="83"/>
      <c r="Y1990" s="83"/>
    </row>
    <row r="1991" spans="1:25" ht="13.8">
      <c r="A1991" s="78" t="str">
        <f ca="1">IFERROR(__xludf.DUMMYFUNCTION("""COMPUTED_VALUE"""),"SRA")</f>
        <v>SRA</v>
      </c>
      <c r="B1991" s="79" t="str">
        <f ca="1">IFERROR(__xludf.DUMMYFUNCTION("""COMPUTED_VALUE"""),"Luke Bauer")</f>
        <v>Luke Bauer</v>
      </c>
      <c r="C1991" s="78">
        <f ca="1">IFERROR(__xludf.DUMMYFUNCTION("""COMPUTED_VALUE"""),7)</f>
        <v>7</v>
      </c>
      <c r="D1991" s="78" t="str">
        <f ca="1">IFERROR(__xludf.DUMMYFUNCTION("""COMPUTED_VALUE"""),"B")</f>
        <v>B</v>
      </c>
      <c r="E1991" s="80" t="str">
        <f ca="1">IFERROR(__xludf.DUMMYFUNCTION("""COMPUTED_VALUE"""),"F")</f>
        <v>F</v>
      </c>
      <c r="F1991" s="80" t="str">
        <f ca="1">IFERROR(__xludf.DUMMYFUNCTION("""COMPUTED_VALUE"""),"J")</f>
        <v>J</v>
      </c>
      <c r="G1991" s="80">
        <f ca="1">IFERROR(__xludf.DUMMYFUNCTION("""COMPUTED_VALUE"""),7)</f>
        <v>7</v>
      </c>
      <c r="H1991" s="80" t="str">
        <f ca="1">IFERROR(__xludf.DUMMYFUNCTION("""COMPUTED_VALUE"""),"SRA")</f>
        <v>SRA</v>
      </c>
      <c r="I1991" s="80">
        <f ca="1">IFERROR(__xludf.DUMMYFUNCTION("""COMPUTED_VALUE"""),3)</f>
        <v>3</v>
      </c>
      <c r="J1991" s="85">
        <f ca="1">IFERROR(__xludf.DUMMYFUNCTION("""COMPUTED_VALUE"""),0)</f>
        <v>0</v>
      </c>
      <c r="K1991" s="85">
        <f ca="1">IFERROR(__xludf.DUMMYFUNCTION("""COMPUTED_VALUE"""),0)</f>
        <v>0</v>
      </c>
      <c r="L1991" s="85">
        <f ca="1">IFERROR(__xludf.DUMMYFUNCTION("""COMPUTED_VALUE"""),0)</f>
        <v>0</v>
      </c>
      <c r="M1991" s="85"/>
      <c r="N1991" s="85">
        <f ca="1">IFERROR(__xludf.DUMMYFUNCTION("""COMPUTED_VALUE"""),0)</f>
        <v>0</v>
      </c>
      <c r="O1991" s="85"/>
      <c r="P1991" s="85">
        <f ca="1">IFERROR(__xludf.DUMMYFUNCTION("""COMPUTED_VALUE"""),0)</f>
        <v>0</v>
      </c>
      <c r="Q1991" s="85"/>
      <c r="R1991" s="85">
        <f ca="1">IFERROR(__xludf.DUMMYFUNCTION("""COMPUTED_VALUE"""),0)</f>
        <v>0</v>
      </c>
      <c r="S1991" s="85"/>
      <c r="T1991" s="85"/>
      <c r="U1991" s="82"/>
      <c r="V1991" s="82"/>
      <c r="W1991" s="83"/>
      <c r="X1991" s="83"/>
      <c r="Y1991" s="83"/>
    </row>
    <row r="1992" spans="1:25" ht="13.8">
      <c r="A1992" s="78" t="str">
        <f ca="1">IFERROR(__xludf.DUMMYFUNCTION("""COMPUTED_VALUE"""),"SRA")</f>
        <v>SRA</v>
      </c>
      <c r="B1992" s="79" t="str">
        <f ca="1">IFERROR(__xludf.DUMMYFUNCTION("""COMPUTED_VALUE"""),"McKay Boyer")</f>
        <v>McKay Boyer</v>
      </c>
      <c r="C1992" s="78">
        <f ca="1">IFERROR(__xludf.DUMMYFUNCTION("""COMPUTED_VALUE"""),8)</f>
        <v>8</v>
      </c>
      <c r="D1992" s="78" t="str">
        <f ca="1">IFERROR(__xludf.DUMMYFUNCTION("""COMPUTED_VALUE"""),"B")</f>
        <v>B</v>
      </c>
      <c r="E1992" s="80" t="str">
        <f ca="1">IFERROR(__xludf.DUMMYFUNCTION("""COMPUTED_VALUE"""),"F")</f>
        <v>F</v>
      </c>
      <c r="F1992" s="80" t="str">
        <f ca="1">IFERROR(__xludf.DUMMYFUNCTION("""COMPUTED_VALUE"""),"J")</f>
        <v>J</v>
      </c>
      <c r="G1992" s="80">
        <f ca="1">IFERROR(__xludf.DUMMYFUNCTION("""COMPUTED_VALUE"""),7)</f>
        <v>7</v>
      </c>
      <c r="H1992" s="80" t="str">
        <f ca="1">IFERROR(__xludf.DUMMYFUNCTION("""COMPUTED_VALUE"""),"SRA")</f>
        <v>SRA</v>
      </c>
      <c r="I1992" s="80">
        <f ca="1">IFERROR(__xludf.DUMMYFUNCTION("""COMPUTED_VALUE"""),3)</f>
        <v>3</v>
      </c>
      <c r="J1992" s="85">
        <f ca="1">IFERROR(__xludf.DUMMYFUNCTION("""COMPUTED_VALUE"""),0)</f>
        <v>0</v>
      </c>
      <c r="K1992" s="85">
        <f ca="1">IFERROR(__xludf.DUMMYFUNCTION("""COMPUTED_VALUE"""),0)</f>
        <v>0</v>
      </c>
      <c r="L1992" s="85">
        <f ca="1">IFERROR(__xludf.DUMMYFUNCTION("""COMPUTED_VALUE"""),0)</f>
        <v>0</v>
      </c>
      <c r="M1992" s="85"/>
      <c r="N1992" s="85">
        <f ca="1">IFERROR(__xludf.DUMMYFUNCTION("""COMPUTED_VALUE"""),0)</f>
        <v>0</v>
      </c>
      <c r="O1992" s="85"/>
      <c r="P1992" s="85">
        <f ca="1">IFERROR(__xludf.DUMMYFUNCTION("""COMPUTED_VALUE"""),0)</f>
        <v>0</v>
      </c>
      <c r="Q1992" s="85"/>
      <c r="R1992" s="85">
        <f ca="1">IFERROR(__xludf.DUMMYFUNCTION("""COMPUTED_VALUE"""),0)</f>
        <v>0</v>
      </c>
      <c r="S1992" s="85"/>
      <c r="T1992" s="85"/>
      <c r="U1992" s="82"/>
      <c r="V1992" s="82"/>
      <c r="W1992" s="83"/>
      <c r="X1992" s="83"/>
      <c r="Y1992" s="83"/>
    </row>
    <row r="1993" spans="1:25" ht="13.8">
      <c r="A1993" s="78" t="str">
        <f ca="1">IFERROR(__xludf.DUMMYFUNCTION("""COMPUTED_VALUE"""),"SRA")</f>
        <v>SRA</v>
      </c>
      <c r="B1993" s="79" t="str">
        <f ca="1">IFERROR(__xludf.DUMMYFUNCTION("""COMPUTED_VALUE"""),"Jacob Cheney")</f>
        <v>Jacob Cheney</v>
      </c>
      <c r="C1993" s="78">
        <f ca="1">IFERROR(__xludf.DUMMYFUNCTION("""COMPUTED_VALUE"""),7)</f>
        <v>7</v>
      </c>
      <c r="D1993" s="78" t="str">
        <f ca="1">IFERROR(__xludf.DUMMYFUNCTION("""COMPUTED_VALUE"""),"B")</f>
        <v>B</v>
      </c>
      <c r="E1993" s="80" t="str">
        <f ca="1">IFERROR(__xludf.DUMMYFUNCTION("""COMPUTED_VALUE"""),"F")</f>
        <v>F</v>
      </c>
      <c r="F1993" s="80" t="str">
        <f ca="1">IFERROR(__xludf.DUMMYFUNCTION("""COMPUTED_VALUE"""),"J")</f>
        <v>J</v>
      </c>
      <c r="G1993" s="80">
        <f ca="1">IFERROR(__xludf.DUMMYFUNCTION("""COMPUTED_VALUE"""),7)</f>
        <v>7</v>
      </c>
      <c r="H1993" s="80" t="str">
        <f ca="1">IFERROR(__xludf.DUMMYFUNCTION("""COMPUTED_VALUE"""),"SRA")</f>
        <v>SRA</v>
      </c>
      <c r="I1993" s="80">
        <f ca="1">IFERROR(__xludf.DUMMYFUNCTION("""COMPUTED_VALUE"""),3)</f>
        <v>3</v>
      </c>
      <c r="J1993" s="85">
        <f ca="1">IFERROR(__xludf.DUMMYFUNCTION("""COMPUTED_VALUE"""),0)</f>
        <v>0</v>
      </c>
      <c r="K1993" s="85">
        <f ca="1">IFERROR(__xludf.DUMMYFUNCTION("""COMPUTED_VALUE"""),0)</f>
        <v>0</v>
      </c>
      <c r="L1993" s="85">
        <f ca="1">IFERROR(__xludf.DUMMYFUNCTION("""COMPUTED_VALUE"""),0)</f>
        <v>0</v>
      </c>
      <c r="M1993" s="85"/>
      <c r="N1993" s="85">
        <f ca="1">IFERROR(__xludf.DUMMYFUNCTION("""COMPUTED_VALUE"""),0)</f>
        <v>0</v>
      </c>
      <c r="O1993" s="85"/>
      <c r="P1993" s="85">
        <f ca="1">IFERROR(__xludf.DUMMYFUNCTION("""COMPUTED_VALUE"""),0)</f>
        <v>0</v>
      </c>
      <c r="Q1993" s="85"/>
      <c r="R1993" s="85">
        <f ca="1">IFERROR(__xludf.DUMMYFUNCTION("""COMPUTED_VALUE"""),0)</f>
        <v>0</v>
      </c>
      <c r="S1993" s="85"/>
      <c r="T1993" s="85"/>
      <c r="U1993" s="82"/>
      <c r="V1993" s="82"/>
      <c r="W1993" s="83"/>
      <c r="X1993" s="83"/>
      <c r="Y1993" s="83"/>
    </row>
    <row r="1994" spans="1:25" ht="13.8">
      <c r="A1994" s="78" t="str">
        <f ca="1">IFERROR(__xludf.DUMMYFUNCTION("""COMPUTED_VALUE"""),"SRA")</f>
        <v>SRA</v>
      </c>
      <c r="B1994" s="79" t="str">
        <f ca="1">IFERROR(__xludf.DUMMYFUNCTION("""COMPUTED_VALUE"""),"Collin Christ")</f>
        <v>Collin Christ</v>
      </c>
      <c r="C1994" s="78">
        <f ca="1">IFERROR(__xludf.DUMMYFUNCTION("""COMPUTED_VALUE"""),8)</f>
        <v>8</v>
      </c>
      <c r="D1994" s="78" t="str">
        <f ca="1">IFERROR(__xludf.DUMMYFUNCTION("""COMPUTED_VALUE"""),"B")</f>
        <v>B</v>
      </c>
      <c r="E1994" s="80" t="str">
        <f ca="1">IFERROR(__xludf.DUMMYFUNCTION("""COMPUTED_VALUE"""),"F")</f>
        <v>F</v>
      </c>
      <c r="F1994" s="80" t="str">
        <f ca="1">IFERROR(__xludf.DUMMYFUNCTION("""COMPUTED_VALUE"""),"J")</f>
        <v>J</v>
      </c>
      <c r="G1994" s="80">
        <f ca="1">IFERROR(__xludf.DUMMYFUNCTION("""COMPUTED_VALUE"""),7)</f>
        <v>7</v>
      </c>
      <c r="H1994" s="80" t="str">
        <f ca="1">IFERROR(__xludf.DUMMYFUNCTION("""COMPUTED_VALUE"""),"SRA")</f>
        <v>SRA</v>
      </c>
      <c r="I1994" s="80">
        <f ca="1">IFERROR(__xludf.DUMMYFUNCTION("""COMPUTED_VALUE"""),3)</f>
        <v>3</v>
      </c>
      <c r="J1994" s="85">
        <f ca="1">IFERROR(__xludf.DUMMYFUNCTION("""COMPUTED_VALUE"""),3)</f>
        <v>3</v>
      </c>
      <c r="K1994" s="85">
        <f ca="1">IFERROR(__xludf.DUMMYFUNCTION("""COMPUTED_VALUE"""),47)</f>
        <v>47</v>
      </c>
      <c r="L1994" s="85">
        <f ca="1">IFERROR(__xludf.DUMMYFUNCTION("""COMPUTED_VALUE"""),42.65)</f>
        <v>42.65</v>
      </c>
      <c r="M1994" s="85"/>
      <c r="N1994" s="85">
        <f ca="1">IFERROR(__xludf.DUMMYFUNCTION("""COMPUTED_VALUE"""),47)</f>
        <v>47</v>
      </c>
      <c r="O1994" s="85"/>
      <c r="P1994" s="85">
        <f ca="1">IFERROR(__xludf.DUMMYFUNCTION("""COMPUTED_VALUE"""),40.05)</f>
        <v>40.049999999999997</v>
      </c>
      <c r="Q1994" s="85"/>
      <c r="R1994" s="85">
        <f ca="1">IFERROR(__xludf.DUMMYFUNCTION("""COMPUTED_VALUE"""),0)</f>
        <v>0</v>
      </c>
      <c r="S1994" s="85"/>
      <c r="T1994" s="85"/>
      <c r="U1994" s="82"/>
      <c r="V1994" s="82"/>
      <c r="W1994" s="83"/>
      <c r="X1994" s="83"/>
      <c r="Y1994" s="83"/>
    </row>
    <row r="1995" spans="1:25" ht="13.8">
      <c r="A1995" s="78" t="str">
        <f ca="1">IFERROR(__xludf.DUMMYFUNCTION("""COMPUTED_VALUE"""),"SRA")</f>
        <v>SRA</v>
      </c>
      <c r="B1995" s="79" t="str">
        <f ca="1">IFERROR(__xludf.DUMMYFUNCTION("""COMPUTED_VALUE"""),"Stuart Cox")</f>
        <v>Stuart Cox</v>
      </c>
      <c r="C1995" s="78">
        <f ca="1">IFERROR(__xludf.DUMMYFUNCTION("""COMPUTED_VALUE"""),8)</f>
        <v>8</v>
      </c>
      <c r="D1995" s="78" t="str">
        <f ca="1">IFERROR(__xludf.DUMMYFUNCTION("""COMPUTED_VALUE"""),"B")</f>
        <v>B</v>
      </c>
      <c r="E1995" s="80" t="str">
        <f ca="1">IFERROR(__xludf.DUMMYFUNCTION("""COMPUTED_VALUE"""),"F")</f>
        <v>F</v>
      </c>
      <c r="F1995" s="80" t="str">
        <f ca="1">IFERROR(__xludf.DUMMYFUNCTION("""COMPUTED_VALUE"""),"J")</f>
        <v>J</v>
      </c>
      <c r="G1995" s="80">
        <f ca="1">IFERROR(__xludf.DUMMYFUNCTION("""COMPUTED_VALUE"""),7)</f>
        <v>7</v>
      </c>
      <c r="H1995" s="80" t="str">
        <f ca="1">IFERROR(__xludf.DUMMYFUNCTION("""COMPUTED_VALUE"""),"SRA")</f>
        <v>SRA</v>
      </c>
      <c r="I1995" s="80">
        <f ca="1">IFERROR(__xludf.DUMMYFUNCTION("""COMPUTED_VALUE"""),3)</f>
        <v>3</v>
      </c>
      <c r="J1995" s="85">
        <f ca="1">IFERROR(__xludf.DUMMYFUNCTION("""COMPUTED_VALUE"""),2)</f>
        <v>2</v>
      </c>
      <c r="K1995" s="85">
        <f ca="1">IFERROR(__xludf.DUMMYFUNCTION("""COMPUTED_VALUE"""),37.1)</f>
        <v>37.1</v>
      </c>
      <c r="L1995" s="85">
        <f ca="1">IFERROR(__xludf.DUMMYFUNCTION("""COMPUTED_VALUE"""),33.45)</f>
        <v>33.450000000000003</v>
      </c>
      <c r="M1995" s="85"/>
      <c r="N1995" s="85">
        <f ca="1">IFERROR(__xludf.DUMMYFUNCTION("""COMPUTED_VALUE"""),37.1)</f>
        <v>37.1</v>
      </c>
      <c r="O1995" s="85"/>
      <c r="P1995" s="85">
        <f ca="1">IFERROR(__xludf.DUMMYFUNCTION("""COMPUTED_VALUE"""),0)</f>
        <v>0</v>
      </c>
      <c r="Q1995" s="85"/>
      <c r="R1995" s="85">
        <f ca="1">IFERROR(__xludf.DUMMYFUNCTION("""COMPUTED_VALUE"""),0)</f>
        <v>0</v>
      </c>
      <c r="S1995" s="85"/>
      <c r="T1995" s="85"/>
      <c r="U1995" s="82"/>
      <c r="V1995" s="82"/>
      <c r="W1995" s="83"/>
      <c r="X1995" s="83"/>
      <c r="Y1995" s="83"/>
    </row>
    <row r="1996" spans="1:25" ht="13.8">
      <c r="A1996" s="78" t="str">
        <f ca="1">IFERROR(__xludf.DUMMYFUNCTION("""COMPUTED_VALUE"""),"SRA")</f>
        <v>SRA</v>
      </c>
      <c r="B1996" s="79" t="str">
        <f ca="1">IFERROR(__xludf.DUMMYFUNCTION("""COMPUTED_VALUE"""),"Marco Fazio")</f>
        <v>Marco Fazio</v>
      </c>
      <c r="C1996" s="78">
        <f ca="1">IFERROR(__xludf.DUMMYFUNCTION("""COMPUTED_VALUE"""),6)</f>
        <v>6</v>
      </c>
      <c r="D1996" s="78" t="str">
        <f ca="1">IFERROR(__xludf.DUMMYFUNCTION("""COMPUTED_VALUE"""),"B")</f>
        <v>B</v>
      </c>
      <c r="E1996" s="80" t="str">
        <f ca="1">IFERROR(__xludf.DUMMYFUNCTION("""COMPUTED_VALUE"""),"F")</f>
        <v>F</v>
      </c>
      <c r="F1996" s="80" t="str">
        <f ca="1">IFERROR(__xludf.DUMMYFUNCTION("""COMPUTED_VALUE"""),"J")</f>
        <v>J</v>
      </c>
      <c r="G1996" s="80">
        <f ca="1">IFERROR(__xludf.DUMMYFUNCTION("""COMPUTED_VALUE"""),7)</f>
        <v>7</v>
      </c>
      <c r="H1996" s="80" t="str">
        <f ca="1">IFERROR(__xludf.DUMMYFUNCTION("""COMPUTED_VALUE"""),"SRA")</f>
        <v>SRA</v>
      </c>
      <c r="I1996" s="80">
        <f ca="1">IFERROR(__xludf.DUMMYFUNCTION("""COMPUTED_VALUE"""),3)</f>
        <v>3</v>
      </c>
      <c r="J1996" s="85">
        <f ca="1">IFERROR(__xludf.DUMMYFUNCTION("""COMPUTED_VALUE"""),0)</f>
        <v>0</v>
      </c>
      <c r="K1996" s="85">
        <f ca="1">IFERROR(__xludf.DUMMYFUNCTION("""COMPUTED_VALUE"""),0)</f>
        <v>0</v>
      </c>
      <c r="L1996" s="85">
        <f ca="1">IFERROR(__xludf.DUMMYFUNCTION("""COMPUTED_VALUE"""),0)</f>
        <v>0</v>
      </c>
      <c r="M1996" s="85"/>
      <c r="N1996" s="85">
        <f ca="1">IFERROR(__xludf.DUMMYFUNCTION("""COMPUTED_VALUE"""),0)</f>
        <v>0</v>
      </c>
      <c r="O1996" s="85"/>
      <c r="P1996" s="85">
        <f ca="1">IFERROR(__xludf.DUMMYFUNCTION("""COMPUTED_VALUE"""),0)</f>
        <v>0</v>
      </c>
      <c r="Q1996" s="85"/>
      <c r="R1996" s="85">
        <f ca="1">IFERROR(__xludf.DUMMYFUNCTION("""COMPUTED_VALUE"""),0)</f>
        <v>0</v>
      </c>
      <c r="S1996" s="85"/>
      <c r="T1996" s="85"/>
      <c r="U1996" s="82"/>
      <c r="V1996" s="82"/>
      <c r="W1996" s="83"/>
      <c r="X1996" s="83"/>
      <c r="Y1996" s="83"/>
    </row>
    <row r="1997" spans="1:25" ht="13.8">
      <c r="A1997" s="78" t="str">
        <f ca="1">IFERROR(__xludf.DUMMYFUNCTION("""COMPUTED_VALUE"""),"SRA")</f>
        <v>SRA</v>
      </c>
      <c r="B1997" s="79" t="str">
        <f ca="1">IFERROR(__xludf.DUMMYFUNCTION("""COMPUTED_VALUE"""),"Matteo Fazio")</f>
        <v>Matteo Fazio</v>
      </c>
      <c r="C1997" s="78">
        <f ca="1">IFERROR(__xludf.DUMMYFUNCTION("""COMPUTED_VALUE"""),10)</f>
        <v>10</v>
      </c>
      <c r="D1997" s="78" t="str">
        <f ca="1">IFERROR(__xludf.DUMMYFUNCTION("""COMPUTED_VALUE"""),"B")</f>
        <v>B</v>
      </c>
      <c r="E1997" s="80" t="str">
        <f ca="1">IFERROR(__xludf.DUMMYFUNCTION("""COMPUTED_VALUE"""),"F")</f>
        <v>F</v>
      </c>
      <c r="F1997" s="80" t="str">
        <f ca="1">IFERROR(__xludf.DUMMYFUNCTION("""COMPUTED_VALUE"""),"J")</f>
        <v>J</v>
      </c>
      <c r="G1997" s="80">
        <f ca="1">IFERROR(__xludf.DUMMYFUNCTION("""COMPUTED_VALUE"""),7)</f>
        <v>7</v>
      </c>
      <c r="H1997" s="80" t="str">
        <f ca="1">IFERROR(__xludf.DUMMYFUNCTION("""COMPUTED_VALUE"""),"SRA")</f>
        <v>SRA</v>
      </c>
      <c r="I1997" s="80">
        <f ca="1">IFERROR(__xludf.DUMMYFUNCTION("""COMPUTED_VALUE"""),3)</f>
        <v>3</v>
      </c>
      <c r="J1997" s="85">
        <f ca="1">IFERROR(__xludf.DUMMYFUNCTION("""COMPUTED_VALUE"""),3)</f>
        <v>3</v>
      </c>
      <c r="K1997" s="85">
        <f ca="1">IFERROR(__xludf.DUMMYFUNCTION("""COMPUTED_VALUE"""),46.75)</f>
        <v>46.75</v>
      </c>
      <c r="L1997" s="85">
        <f ca="1">IFERROR(__xludf.DUMMYFUNCTION("""COMPUTED_VALUE"""),40.45)</f>
        <v>40.450000000000003</v>
      </c>
      <c r="M1997" s="85"/>
      <c r="N1997" s="85">
        <f ca="1">IFERROR(__xludf.DUMMYFUNCTION("""COMPUTED_VALUE"""),46.75)</f>
        <v>46.75</v>
      </c>
      <c r="O1997" s="85"/>
      <c r="P1997" s="85">
        <f ca="1">IFERROR(__xludf.DUMMYFUNCTION("""COMPUTED_VALUE"""),30.2)</f>
        <v>30.2</v>
      </c>
      <c r="Q1997" s="85"/>
      <c r="R1997" s="85">
        <f ca="1">IFERROR(__xludf.DUMMYFUNCTION("""COMPUTED_VALUE"""),0)</f>
        <v>0</v>
      </c>
      <c r="S1997" s="85"/>
      <c r="T1997" s="85"/>
      <c r="U1997" s="82"/>
      <c r="V1997" s="82"/>
      <c r="W1997" s="83"/>
      <c r="X1997" s="83"/>
      <c r="Y1997" s="83"/>
    </row>
    <row r="1998" spans="1:25" ht="13.8">
      <c r="A1998" s="78" t="str">
        <f ca="1">IFERROR(__xludf.DUMMYFUNCTION("""COMPUTED_VALUE"""),"SRA")</f>
        <v>SRA</v>
      </c>
      <c r="B1998" s="79" t="str">
        <f ca="1">IFERROR(__xludf.DUMMYFUNCTION("""COMPUTED_VALUE"""),"Henry Foote")</f>
        <v>Henry Foote</v>
      </c>
      <c r="C1998" s="78">
        <f ca="1">IFERROR(__xludf.DUMMYFUNCTION("""COMPUTED_VALUE"""),10)</f>
        <v>10</v>
      </c>
      <c r="D1998" s="78" t="str">
        <f ca="1">IFERROR(__xludf.DUMMYFUNCTION("""COMPUTED_VALUE"""),"B")</f>
        <v>B</v>
      </c>
      <c r="E1998" s="80" t="str">
        <f ca="1">IFERROR(__xludf.DUMMYFUNCTION("""COMPUTED_VALUE"""),"F")</f>
        <v>F</v>
      </c>
      <c r="F1998" s="80" t="str">
        <f ca="1">IFERROR(__xludf.DUMMYFUNCTION("""COMPUTED_VALUE"""),"J")</f>
        <v>J</v>
      </c>
      <c r="G1998" s="80">
        <f ca="1">IFERROR(__xludf.DUMMYFUNCTION("""COMPUTED_VALUE"""),7)</f>
        <v>7</v>
      </c>
      <c r="H1998" s="80" t="str">
        <f ca="1">IFERROR(__xludf.DUMMYFUNCTION("""COMPUTED_VALUE"""),"SRA")</f>
        <v>SRA</v>
      </c>
      <c r="I1998" s="80">
        <f ca="1">IFERROR(__xludf.DUMMYFUNCTION("""COMPUTED_VALUE"""),3)</f>
        <v>3</v>
      </c>
      <c r="J1998" s="85">
        <f ca="1">IFERROR(__xludf.DUMMYFUNCTION("""COMPUTED_VALUE"""),0)</f>
        <v>0</v>
      </c>
      <c r="K1998" s="85">
        <f ca="1">IFERROR(__xludf.DUMMYFUNCTION("""COMPUTED_VALUE"""),0)</f>
        <v>0</v>
      </c>
      <c r="L1998" s="85">
        <f ca="1">IFERROR(__xludf.DUMMYFUNCTION("""COMPUTED_VALUE"""),0)</f>
        <v>0</v>
      </c>
      <c r="M1998" s="85"/>
      <c r="N1998" s="85">
        <f ca="1">IFERROR(__xludf.DUMMYFUNCTION("""COMPUTED_VALUE"""),0)</f>
        <v>0</v>
      </c>
      <c r="O1998" s="85"/>
      <c r="P1998" s="85">
        <f ca="1">IFERROR(__xludf.DUMMYFUNCTION("""COMPUTED_VALUE"""),0)</f>
        <v>0</v>
      </c>
      <c r="Q1998" s="85"/>
      <c r="R1998" s="85">
        <f ca="1">IFERROR(__xludf.DUMMYFUNCTION("""COMPUTED_VALUE"""),0)</f>
        <v>0</v>
      </c>
      <c r="S1998" s="85"/>
      <c r="T1998" s="85"/>
      <c r="U1998" s="82"/>
      <c r="V1998" s="82"/>
      <c r="W1998" s="83"/>
      <c r="X1998" s="83"/>
      <c r="Y1998" s="83"/>
    </row>
    <row r="1999" spans="1:25" ht="13.8">
      <c r="A1999" s="78" t="str">
        <f ca="1">IFERROR(__xludf.DUMMYFUNCTION("""COMPUTED_VALUE"""),"SRA")</f>
        <v>SRA</v>
      </c>
      <c r="B1999" s="79" t="str">
        <f ca="1">IFERROR(__xludf.DUMMYFUNCTION("""COMPUTED_VALUE"""),"JJ Froemke")</f>
        <v>JJ Froemke</v>
      </c>
      <c r="C1999" s="78">
        <f ca="1">IFERROR(__xludf.DUMMYFUNCTION("""COMPUTED_VALUE"""),10)</f>
        <v>10</v>
      </c>
      <c r="D1999" s="78" t="str">
        <f ca="1">IFERROR(__xludf.DUMMYFUNCTION("""COMPUTED_VALUE"""),"B")</f>
        <v>B</v>
      </c>
      <c r="E1999" s="80" t="str">
        <f ca="1">IFERROR(__xludf.DUMMYFUNCTION("""COMPUTED_VALUE"""),"F")</f>
        <v>F</v>
      </c>
      <c r="F1999" s="80" t="str">
        <f ca="1">IFERROR(__xludf.DUMMYFUNCTION("""COMPUTED_VALUE"""),"J")</f>
        <v>J</v>
      </c>
      <c r="G1999" s="80">
        <f ca="1">IFERROR(__xludf.DUMMYFUNCTION("""COMPUTED_VALUE"""),7)</f>
        <v>7</v>
      </c>
      <c r="H1999" s="80" t="str">
        <f ca="1">IFERROR(__xludf.DUMMYFUNCTION("""COMPUTED_VALUE"""),"SRA")</f>
        <v>SRA</v>
      </c>
      <c r="I1999" s="80">
        <f ca="1">IFERROR(__xludf.DUMMYFUNCTION("""COMPUTED_VALUE"""),3)</f>
        <v>3</v>
      </c>
      <c r="J1999" s="85">
        <f ca="1">IFERROR(__xludf.DUMMYFUNCTION("""COMPUTED_VALUE"""),0)</f>
        <v>0</v>
      </c>
      <c r="K1999" s="85">
        <f ca="1">IFERROR(__xludf.DUMMYFUNCTION("""COMPUTED_VALUE"""),0)</f>
        <v>0</v>
      </c>
      <c r="L1999" s="85">
        <f ca="1">IFERROR(__xludf.DUMMYFUNCTION("""COMPUTED_VALUE"""),0)</f>
        <v>0</v>
      </c>
      <c r="M1999" s="85"/>
      <c r="N1999" s="85">
        <f ca="1">IFERROR(__xludf.DUMMYFUNCTION("""COMPUTED_VALUE"""),0)</f>
        <v>0</v>
      </c>
      <c r="O1999" s="85"/>
      <c r="P1999" s="85">
        <f ca="1">IFERROR(__xludf.DUMMYFUNCTION("""COMPUTED_VALUE"""),0)</f>
        <v>0</v>
      </c>
      <c r="Q1999" s="85"/>
      <c r="R1999" s="85">
        <f ca="1">IFERROR(__xludf.DUMMYFUNCTION("""COMPUTED_VALUE"""),0)</f>
        <v>0</v>
      </c>
      <c r="S1999" s="85"/>
      <c r="T1999" s="85"/>
      <c r="U1999" s="82"/>
      <c r="V1999" s="82"/>
      <c r="W1999" s="83"/>
      <c r="X1999" s="83"/>
      <c r="Y1999" s="83"/>
    </row>
    <row r="2000" spans="1:25" ht="13.8">
      <c r="A2000" s="78" t="str">
        <f ca="1">IFERROR(__xludf.DUMMYFUNCTION("""COMPUTED_VALUE"""),"SRA")</f>
        <v>SRA</v>
      </c>
      <c r="B2000" s="79" t="str">
        <f ca="1">IFERROR(__xludf.DUMMYFUNCTION("""COMPUTED_VALUE"""),"Liam Ganci")</f>
        <v>Liam Ganci</v>
      </c>
      <c r="C2000" s="78">
        <f ca="1">IFERROR(__xludf.DUMMYFUNCTION("""COMPUTED_VALUE"""),9)</f>
        <v>9</v>
      </c>
      <c r="D2000" s="78" t="str">
        <f ca="1">IFERROR(__xludf.DUMMYFUNCTION("""COMPUTED_VALUE"""),"B")</f>
        <v>B</v>
      </c>
      <c r="E2000" s="80" t="str">
        <f ca="1">IFERROR(__xludf.DUMMYFUNCTION("""COMPUTED_VALUE"""),"F")</f>
        <v>F</v>
      </c>
      <c r="F2000" s="80" t="str">
        <f ca="1">IFERROR(__xludf.DUMMYFUNCTION("""COMPUTED_VALUE"""),"J")</f>
        <v>J</v>
      </c>
      <c r="G2000" s="80">
        <f ca="1">IFERROR(__xludf.DUMMYFUNCTION("""COMPUTED_VALUE"""),7)</f>
        <v>7</v>
      </c>
      <c r="H2000" s="80" t="str">
        <f ca="1">IFERROR(__xludf.DUMMYFUNCTION("""COMPUTED_VALUE"""),"SRA")</f>
        <v>SRA</v>
      </c>
      <c r="I2000" s="80">
        <f ca="1">IFERROR(__xludf.DUMMYFUNCTION("""COMPUTED_VALUE"""),3)</f>
        <v>3</v>
      </c>
      <c r="J2000" s="85">
        <f ca="1">IFERROR(__xludf.DUMMYFUNCTION("""COMPUTED_VALUE"""),3)</f>
        <v>3</v>
      </c>
      <c r="K2000" s="85">
        <f ca="1">IFERROR(__xludf.DUMMYFUNCTION("""COMPUTED_VALUE"""),54.7)</f>
        <v>54.7</v>
      </c>
      <c r="L2000" s="85">
        <f ca="1">IFERROR(__xludf.DUMMYFUNCTION("""COMPUTED_VALUE"""),43.3)</f>
        <v>43.3</v>
      </c>
      <c r="M2000" s="85"/>
      <c r="N2000" s="85">
        <f ca="1">IFERROR(__xludf.DUMMYFUNCTION("""COMPUTED_VALUE"""),54.7)</f>
        <v>54.7</v>
      </c>
      <c r="O2000" s="85"/>
      <c r="P2000" s="85">
        <f ca="1">IFERROR(__xludf.DUMMYFUNCTION("""COMPUTED_VALUE"""),42.35)</f>
        <v>42.35</v>
      </c>
      <c r="Q2000" s="85"/>
      <c r="R2000" s="85">
        <f ca="1">IFERROR(__xludf.DUMMYFUNCTION("""COMPUTED_VALUE"""),0)</f>
        <v>0</v>
      </c>
      <c r="S2000" s="85"/>
      <c r="T2000" s="85"/>
      <c r="U2000" s="82"/>
      <c r="V2000" s="82"/>
      <c r="W2000" s="83"/>
      <c r="X2000" s="83"/>
      <c r="Y2000" s="83"/>
    </row>
    <row r="2001" spans="1:25" ht="13.8">
      <c r="A2001" s="78" t="str">
        <f ca="1">IFERROR(__xludf.DUMMYFUNCTION("""COMPUTED_VALUE"""),"SRA")</f>
        <v>SRA</v>
      </c>
      <c r="B2001" s="79" t="str">
        <f ca="1">IFERROR(__xludf.DUMMYFUNCTION("""COMPUTED_VALUE"""),"John Hawkins")</f>
        <v>John Hawkins</v>
      </c>
      <c r="C2001" s="78">
        <f ca="1">IFERROR(__xludf.DUMMYFUNCTION("""COMPUTED_VALUE"""),7)</f>
        <v>7</v>
      </c>
      <c r="D2001" s="78" t="str">
        <f ca="1">IFERROR(__xludf.DUMMYFUNCTION("""COMPUTED_VALUE"""),"B")</f>
        <v>B</v>
      </c>
      <c r="E2001" s="80" t="str">
        <f ca="1">IFERROR(__xludf.DUMMYFUNCTION("""COMPUTED_VALUE"""),"F")</f>
        <v>F</v>
      </c>
      <c r="F2001" s="80" t="str">
        <f ca="1">IFERROR(__xludf.DUMMYFUNCTION("""COMPUTED_VALUE"""),"J")</f>
        <v>J</v>
      </c>
      <c r="G2001" s="80">
        <f ca="1">IFERROR(__xludf.DUMMYFUNCTION("""COMPUTED_VALUE"""),7)</f>
        <v>7</v>
      </c>
      <c r="H2001" s="80" t="str">
        <f ca="1">IFERROR(__xludf.DUMMYFUNCTION("""COMPUTED_VALUE"""),"SRA")</f>
        <v>SRA</v>
      </c>
      <c r="I2001" s="80">
        <f ca="1">IFERROR(__xludf.DUMMYFUNCTION("""COMPUTED_VALUE"""),3)</f>
        <v>3</v>
      </c>
      <c r="J2001" s="85">
        <f ca="1">IFERROR(__xludf.DUMMYFUNCTION("""COMPUTED_VALUE"""),0)</f>
        <v>0</v>
      </c>
      <c r="K2001" s="85">
        <f ca="1">IFERROR(__xludf.DUMMYFUNCTION("""COMPUTED_VALUE"""),0)</f>
        <v>0</v>
      </c>
      <c r="L2001" s="85">
        <f ca="1">IFERROR(__xludf.DUMMYFUNCTION("""COMPUTED_VALUE"""),0)</f>
        <v>0</v>
      </c>
      <c r="M2001" s="85"/>
      <c r="N2001" s="85">
        <f ca="1">IFERROR(__xludf.DUMMYFUNCTION("""COMPUTED_VALUE"""),0)</f>
        <v>0</v>
      </c>
      <c r="O2001" s="85"/>
      <c r="P2001" s="85">
        <f ca="1">IFERROR(__xludf.DUMMYFUNCTION("""COMPUTED_VALUE"""),0)</f>
        <v>0</v>
      </c>
      <c r="Q2001" s="85"/>
      <c r="R2001" s="85">
        <f ca="1">IFERROR(__xludf.DUMMYFUNCTION("""COMPUTED_VALUE"""),0)</f>
        <v>0</v>
      </c>
      <c r="S2001" s="85"/>
      <c r="T2001" s="85"/>
      <c r="U2001" s="82"/>
      <c r="V2001" s="82"/>
      <c r="W2001" s="83"/>
      <c r="X2001" s="83"/>
      <c r="Y2001" s="83"/>
    </row>
    <row r="2002" spans="1:25" ht="13.8">
      <c r="A2002" s="78" t="str">
        <f ca="1">IFERROR(__xludf.DUMMYFUNCTION("""COMPUTED_VALUE"""),"SRA")</f>
        <v>SRA</v>
      </c>
      <c r="B2002" s="79" t="str">
        <f ca="1">IFERROR(__xludf.DUMMYFUNCTION("""COMPUTED_VALUE"""),"Liam Hoffman")</f>
        <v>Liam Hoffman</v>
      </c>
      <c r="C2002" s="78">
        <f ca="1">IFERROR(__xludf.DUMMYFUNCTION("""COMPUTED_VALUE"""),10)</f>
        <v>10</v>
      </c>
      <c r="D2002" s="78" t="str">
        <f ca="1">IFERROR(__xludf.DUMMYFUNCTION("""COMPUTED_VALUE"""),"B")</f>
        <v>B</v>
      </c>
      <c r="E2002" s="80" t="str">
        <f ca="1">IFERROR(__xludf.DUMMYFUNCTION("""COMPUTED_VALUE"""),"F")</f>
        <v>F</v>
      </c>
      <c r="F2002" s="80" t="str">
        <f ca="1">IFERROR(__xludf.DUMMYFUNCTION("""COMPUTED_VALUE"""),"J")</f>
        <v>J</v>
      </c>
      <c r="G2002" s="80">
        <f ca="1">IFERROR(__xludf.DUMMYFUNCTION("""COMPUTED_VALUE"""),7)</f>
        <v>7</v>
      </c>
      <c r="H2002" s="80" t="str">
        <f ca="1">IFERROR(__xludf.DUMMYFUNCTION("""COMPUTED_VALUE"""),"SRA")</f>
        <v>SRA</v>
      </c>
      <c r="I2002" s="80">
        <f ca="1">IFERROR(__xludf.DUMMYFUNCTION("""COMPUTED_VALUE"""),3)</f>
        <v>3</v>
      </c>
      <c r="J2002" s="85">
        <f ca="1">IFERROR(__xludf.DUMMYFUNCTION("""COMPUTED_VALUE"""),0)</f>
        <v>0</v>
      </c>
      <c r="K2002" s="85">
        <f ca="1">IFERROR(__xludf.DUMMYFUNCTION("""COMPUTED_VALUE"""),0)</f>
        <v>0</v>
      </c>
      <c r="L2002" s="85">
        <f ca="1">IFERROR(__xludf.DUMMYFUNCTION("""COMPUTED_VALUE"""),0)</f>
        <v>0</v>
      </c>
      <c r="M2002" s="85"/>
      <c r="N2002" s="85">
        <f ca="1">IFERROR(__xludf.DUMMYFUNCTION("""COMPUTED_VALUE"""),0)</f>
        <v>0</v>
      </c>
      <c r="O2002" s="85"/>
      <c r="P2002" s="85">
        <f ca="1">IFERROR(__xludf.DUMMYFUNCTION("""COMPUTED_VALUE"""),0)</f>
        <v>0</v>
      </c>
      <c r="Q2002" s="85"/>
      <c r="R2002" s="85">
        <f ca="1">IFERROR(__xludf.DUMMYFUNCTION("""COMPUTED_VALUE"""),0)</f>
        <v>0</v>
      </c>
      <c r="S2002" s="85"/>
      <c r="T2002" s="85"/>
      <c r="U2002" s="82"/>
      <c r="V2002" s="82"/>
      <c r="W2002" s="83"/>
      <c r="X2002" s="83"/>
      <c r="Y2002" s="83"/>
    </row>
    <row r="2003" spans="1:25" ht="13.8">
      <c r="A2003" s="78" t="str">
        <f ca="1">IFERROR(__xludf.DUMMYFUNCTION("""COMPUTED_VALUE"""),"SRA")</f>
        <v>SRA</v>
      </c>
      <c r="B2003" s="79" t="str">
        <f ca="1">IFERROR(__xludf.DUMMYFUNCTION("""COMPUTED_VALUE"""),"Finn Jackson")</f>
        <v>Finn Jackson</v>
      </c>
      <c r="C2003" s="78">
        <f ca="1">IFERROR(__xludf.DUMMYFUNCTION("""COMPUTED_VALUE"""),6)</f>
        <v>6</v>
      </c>
      <c r="D2003" s="78" t="str">
        <f ca="1">IFERROR(__xludf.DUMMYFUNCTION("""COMPUTED_VALUE"""),"B")</f>
        <v>B</v>
      </c>
      <c r="E2003" s="80" t="str">
        <f ca="1">IFERROR(__xludf.DUMMYFUNCTION("""COMPUTED_VALUE"""),"F")</f>
        <v>F</v>
      </c>
      <c r="F2003" s="80" t="str">
        <f ca="1">IFERROR(__xludf.DUMMYFUNCTION("""COMPUTED_VALUE"""),"J")</f>
        <v>J</v>
      </c>
      <c r="G2003" s="80">
        <f ca="1">IFERROR(__xludf.DUMMYFUNCTION("""COMPUTED_VALUE"""),7)</f>
        <v>7</v>
      </c>
      <c r="H2003" s="80" t="str">
        <f ca="1">IFERROR(__xludf.DUMMYFUNCTION("""COMPUTED_VALUE"""),"SRA")</f>
        <v>SRA</v>
      </c>
      <c r="I2003" s="80">
        <f ca="1">IFERROR(__xludf.DUMMYFUNCTION("""COMPUTED_VALUE"""),3)</f>
        <v>3</v>
      </c>
      <c r="J2003" s="85">
        <f ca="1">IFERROR(__xludf.DUMMYFUNCTION("""COMPUTED_VALUE"""),1)</f>
        <v>1</v>
      </c>
      <c r="K2003" s="85">
        <f ca="1">IFERROR(__xludf.DUMMYFUNCTION("""COMPUTED_VALUE"""),24.05)</f>
        <v>24.05</v>
      </c>
      <c r="L2003" s="85">
        <f ca="1">IFERROR(__xludf.DUMMYFUNCTION("""COMPUTED_VALUE"""),24.05)</f>
        <v>24.05</v>
      </c>
      <c r="M2003" s="85"/>
      <c r="N2003" s="85">
        <f ca="1">IFERROR(__xludf.DUMMYFUNCTION("""COMPUTED_VALUE"""),0)</f>
        <v>0</v>
      </c>
      <c r="O2003" s="85"/>
      <c r="P2003" s="85">
        <f ca="1">IFERROR(__xludf.DUMMYFUNCTION("""COMPUTED_VALUE"""),0)</f>
        <v>0</v>
      </c>
      <c r="Q2003" s="85"/>
      <c r="R2003" s="85">
        <f ca="1">IFERROR(__xludf.DUMMYFUNCTION("""COMPUTED_VALUE"""),0)</f>
        <v>0</v>
      </c>
      <c r="S2003" s="85"/>
      <c r="T2003" s="85"/>
      <c r="U2003" s="82"/>
      <c r="V2003" s="82"/>
      <c r="W2003" s="83"/>
      <c r="X2003" s="83"/>
      <c r="Y2003" s="83"/>
    </row>
    <row r="2004" spans="1:25" ht="13.8">
      <c r="A2004" s="78" t="str">
        <f ca="1">IFERROR(__xludf.DUMMYFUNCTION("""COMPUTED_VALUE"""),"SRA")</f>
        <v>SRA</v>
      </c>
      <c r="B2004" s="79" t="str">
        <f ca="1">IFERROR(__xludf.DUMMYFUNCTION("""COMPUTED_VALUE"""),"Samuel Kenneally")</f>
        <v>Samuel Kenneally</v>
      </c>
      <c r="C2004" s="78">
        <f ca="1">IFERROR(__xludf.DUMMYFUNCTION("""COMPUTED_VALUE"""),6)</f>
        <v>6</v>
      </c>
      <c r="D2004" s="78" t="str">
        <f ca="1">IFERROR(__xludf.DUMMYFUNCTION("""COMPUTED_VALUE"""),"B")</f>
        <v>B</v>
      </c>
      <c r="E2004" s="80" t="str">
        <f ca="1">IFERROR(__xludf.DUMMYFUNCTION("""COMPUTED_VALUE"""),"F")</f>
        <v>F</v>
      </c>
      <c r="F2004" s="80" t="str">
        <f ca="1">IFERROR(__xludf.DUMMYFUNCTION("""COMPUTED_VALUE"""),"J")</f>
        <v>J</v>
      </c>
      <c r="G2004" s="80">
        <f ca="1">IFERROR(__xludf.DUMMYFUNCTION("""COMPUTED_VALUE"""),7)</f>
        <v>7</v>
      </c>
      <c r="H2004" s="80" t="str">
        <f ca="1">IFERROR(__xludf.DUMMYFUNCTION("""COMPUTED_VALUE"""),"SRA")</f>
        <v>SRA</v>
      </c>
      <c r="I2004" s="80">
        <f ca="1">IFERROR(__xludf.DUMMYFUNCTION("""COMPUTED_VALUE"""),3)</f>
        <v>3</v>
      </c>
      <c r="J2004" s="85">
        <f ca="1">IFERROR(__xludf.DUMMYFUNCTION("""COMPUTED_VALUE"""),0)</f>
        <v>0</v>
      </c>
      <c r="K2004" s="85">
        <f ca="1">IFERROR(__xludf.DUMMYFUNCTION("""COMPUTED_VALUE"""),0)</f>
        <v>0</v>
      </c>
      <c r="L2004" s="85">
        <f ca="1">IFERROR(__xludf.DUMMYFUNCTION("""COMPUTED_VALUE"""),0)</f>
        <v>0</v>
      </c>
      <c r="M2004" s="85"/>
      <c r="N2004" s="85">
        <f ca="1">IFERROR(__xludf.DUMMYFUNCTION("""COMPUTED_VALUE"""),0)</f>
        <v>0</v>
      </c>
      <c r="O2004" s="85"/>
      <c r="P2004" s="85">
        <f ca="1">IFERROR(__xludf.DUMMYFUNCTION("""COMPUTED_VALUE"""),0)</f>
        <v>0</v>
      </c>
      <c r="Q2004" s="85"/>
      <c r="R2004" s="85">
        <f ca="1">IFERROR(__xludf.DUMMYFUNCTION("""COMPUTED_VALUE"""),0)</f>
        <v>0</v>
      </c>
      <c r="S2004" s="85"/>
      <c r="T2004" s="85"/>
      <c r="U2004" s="82"/>
      <c r="V2004" s="82"/>
      <c r="W2004" s="83"/>
      <c r="X2004" s="83"/>
      <c r="Y2004" s="83"/>
    </row>
    <row r="2005" spans="1:25" ht="13.8">
      <c r="A2005" s="78" t="str">
        <f ca="1">IFERROR(__xludf.DUMMYFUNCTION("""COMPUTED_VALUE"""),"SRA")</f>
        <v>SRA</v>
      </c>
      <c r="B2005" s="79" t="str">
        <f ca="1">IFERROR(__xludf.DUMMYFUNCTION("""COMPUTED_VALUE"""),"William Lang")</f>
        <v>William Lang</v>
      </c>
      <c r="C2005" s="78">
        <f ca="1">IFERROR(__xludf.DUMMYFUNCTION("""COMPUTED_VALUE"""),10)</f>
        <v>10</v>
      </c>
      <c r="D2005" s="78" t="str">
        <f ca="1">IFERROR(__xludf.DUMMYFUNCTION("""COMPUTED_VALUE"""),"B")</f>
        <v>B</v>
      </c>
      <c r="E2005" s="80" t="str">
        <f ca="1">IFERROR(__xludf.DUMMYFUNCTION("""COMPUTED_VALUE"""),"F")</f>
        <v>F</v>
      </c>
      <c r="F2005" s="86" t="str">
        <f ca="1">IFERROR(__xludf.DUMMYFUNCTION("""COMPUTED_VALUE"""),"J")</f>
        <v>J</v>
      </c>
      <c r="G2005" s="86">
        <f ca="1">IFERROR(__xludf.DUMMYFUNCTION("""COMPUTED_VALUE"""),7)</f>
        <v>7</v>
      </c>
      <c r="H2005" s="86" t="str">
        <f ca="1">IFERROR(__xludf.DUMMYFUNCTION("""COMPUTED_VALUE"""),"SRA")</f>
        <v>SRA</v>
      </c>
      <c r="I2005" s="86">
        <f ca="1">IFERROR(__xludf.DUMMYFUNCTION("""COMPUTED_VALUE"""),3)</f>
        <v>3</v>
      </c>
      <c r="J2005" s="85">
        <f ca="1">IFERROR(__xludf.DUMMYFUNCTION("""COMPUTED_VALUE"""),5)</f>
        <v>5</v>
      </c>
      <c r="K2005" s="85">
        <f ca="1">IFERROR(__xludf.DUMMYFUNCTION("""COMPUTED_VALUE"""),49.5)</f>
        <v>49.5</v>
      </c>
      <c r="L2005" s="85">
        <f ca="1">IFERROR(__xludf.DUMMYFUNCTION("""COMPUTED_VALUE"""),22.5)</f>
        <v>22.5</v>
      </c>
      <c r="M2005" s="85"/>
      <c r="N2005" s="85">
        <f ca="1">IFERROR(__xludf.DUMMYFUNCTION("""COMPUTED_VALUE"""),49.5)</f>
        <v>49.5</v>
      </c>
      <c r="O2005" s="85"/>
      <c r="P2005" s="85">
        <f ca="1">IFERROR(__xludf.DUMMYFUNCTION("""COMPUTED_VALUE"""),39.4)</f>
        <v>39.4</v>
      </c>
      <c r="Q2005" s="85"/>
      <c r="R2005" s="85">
        <f ca="1">IFERROR(__xludf.DUMMYFUNCTION("""COMPUTED_VALUE"""),44.4)</f>
        <v>44.4</v>
      </c>
      <c r="S2005" s="85"/>
      <c r="T2005" s="85"/>
      <c r="U2005" s="82"/>
      <c r="V2005" s="82"/>
      <c r="W2005" s="83"/>
      <c r="X2005" s="83"/>
      <c r="Y2005" s="83"/>
    </row>
    <row r="2006" spans="1:25" ht="13.8">
      <c r="A2006" s="78" t="str">
        <f ca="1">IFERROR(__xludf.DUMMYFUNCTION("""COMPUTED_VALUE"""),"SRA")</f>
        <v>SRA</v>
      </c>
      <c r="B2006" s="79" t="str">
        <f ca="1">IFERROR(__xludf.DUMMYFUNCTION("""COMPUTED_VALUE"""),"Noah Moller")</f>
        <v>Noah Moller</v>
      </c>
      <c r="C2006" s="78">
        <f ca="1">IFERROR(__xludf.DUMMYFUNCTION("""COMPUTED_VALUE"""),7)</f>
        <v>7</v>
      </c>
      <c r="D2006" s="78" t="str">
        <f ca="1">IFERROR(__xludf.DUMMYFUNCTION("""COMPUTED_VALUE"""),"B")</f>
        <v>B</v>
      </c>
      <c r="E2006" s="80" t="str">
        <f ca="1">IFERROR(__xludf.DUMMYFUNCTION("""COMPUTED_VALUE"""),"F")</f>
        <v>F</v>
      </c>
      <c r="F2006" s="86" t="str">
        <f ca="1">IFERROR(__xludf.DUMMYFUNCTION("""COMPUTED_VALUE"""),"J")</f>
        <v>J</v>
      </c>
      <c r="G2006" s="86">
        <f ca="1">IFERROR(__xludf.DUMMYFUNCTION("""COMPUTED_VALUE"""),7)</f>
        <v>7</v>
      </c>
      <c r="H2006" s="86" t="str">
        <f ca="1">IFERROR(__xludf.DUMMYFUNCTION("""COMPUTED_VALUE"""),"SRA")</f>
        <v>SRA</v>
      </c>
      <c r="I2006" s="86">
        <f ca="1">IFERROR(__xludf.DUMMYFUNCTION("""COMPUTED_VALUE"""),3)</f>
        <v>3</v>
      </c>
      <c r="J2006" s="85">
        <f ca="1">IFERROR(__xludf.DUMMYFUNCTION("""COMPUTED_VALUE"""),0)</f>
        <v>0</v>
      </c>
      <c r="K2006" s="85">
        <f ca="1">IFERROR(__xludf.DUMMYFUNCTION("""COMPUTED_VALUE"""),0)</f>
        <v>0</v>
      </c>
      <c r="L2006" s="85">
        <f ca="1">IFERROR(__xludf.DUMMYFUNCTION("""COMPUTED_VALUE"""),0)</f>
        <v>0</v>
      </c>
      <c r="M2006" s="85"/>
      <c r="N2006" s="85">
        <f ca="1">IFERROR(__xludf.DUMMYFUNCTION("""COMPUTED_VALUE"""),0)</f>
        <v>0</v>
      </c>
      <c r="O2006" s="85"/>
      <c r="P2006" s="85">
        <f ca="1">IFERROR(__xludf.DUMMYFUNCTION("""COMPUTED_VALUE"""),0)</f>
        <v>0</v>
      </c>
      <c r="Q2006" s="85"/>
      <c r="R2006" s="85">
        <f ca="1">IFERROR(__xludf.DUMMYFUNCTION("""COMPUTED_VALUE"""),0)</f>
        <v>0</v>
      </c>
      <c r="S2006" s="85"/>
      <c r="T2006" s="85"/>
      <c r="U2006" s="82"/>
      <c r="V2006" s="82"/>
      <c r="W2006" s="83"/>
      <c r="X2006" s="83"/>
      <c r="Y2006" s="83"/>
    </row>
    <row r="2007" spans="1:25" ht="13.8">
      <c r="A2007" s="78" t="str">
        <f ca="1">IFERROR(__xludf.DUMMYFUNCTION("""COMPUTED_VALUE"""),"SRA")</f>
        <v>SRA</v>
      </c>
      <c r="B2007" s="79" t="str">
        <f ca="1">IFERROR(__xludf.DUMMYFUNCTION("""COMPUTED_VALUE"""),"Grayson Morrisette")</f>
        <v>Grayson Morrisette</v>
      </c>
      <c r="C2007" s="78">
        <f ca="1">IFERROR(__xludf.DUMMYFUNCTION("""COMPUTED_VALUE"""),10)</f>
        <v>10</v>
      </c>
      <c r="D2007" s="78" t="str">
        <f ca="1">IFERROR(__xludf.DUMMYFUNCTION("""COMPUTED_VALUE"""),"B")</f>
        <v>B</v>
      </c>
      <c r="E2007" s="80" t="str">
        <f ca="1">IFERROR(__xludf.DUMMYFUNCTION("""COMPUTED_VALUE"""),"F")</f>
        <v>F</v>
      </c>
      <c r="F2007" s="86" t="str">
        <f ca="1">IFERROR(__xludf.DUMMYFUNCTION("""COMPUTED_VALUE"""),"J")</f>
        <v>J</v>
      </c>
      <c r="G2007" s="86">
        <f ca="1">IFERROR(__xludf.DUMMYFUNCTION("""COMPUTED_VALUE"""),7)</f>
        <v>7</v>
      </c>
      <c r="H2007" s="86" t="str">
        <f ca="1">IFERROR(__xludf.DUMMYFUNCTION("""COMPUTED_VALUE"""),"SRA")</f>
        <v>SRA</v>
      </c>
      <c r="I2007" s="86">
        <f ca="1">IFERROR(__xludf.DUMMYFUNCTION("""COMPUTED_VALUE"""),3)</f>
        <v>3</v>
      </c>
      <c r="J2007" s="85">
        <f ca="1">IFERROR(__xludf.DUMMYFUNCTION("""COMPUTED_VALUE"""),3)</f>
        <v>3</v>
      </c>
      <c r="K2007" s="85">
        <f ca="1">IFERROR(__xludf.DUMMYFUNCTION("""COMPUTED_VALUE"""),35.35)</f>
        <v>35.35</v>
      </c>
      <c r="L2007" s="85">
        <f ca="1">IFERROR(__xludf.DUMMYFUNCTION("""COMPUTED_VALUE"""),0)</f>
        <v>0</v>
      </c>
      <c r="M2007" s="85"/>
      <c r="N2007" s="85">
        <f ca="1">IFERROR(__xludf.DUMMYFUNCTION("""COMPUTED_VALUE"""),0)</f>
        <v>0</v>
      </c>
      <c r="O2007" s="85"/>
      <c r="P2007" s="85">
        <f ca="1">IFERROR(__xludf.DUMMYFUNCTION("""COMPUTED_VALUE"""),31.8)</f>
        <v>31.8</v>
      </c>
      <c r="Q2007" s="85"/>
      <c r="R2007" s="85">
        <f ca="1">IFERROR(__xludf.DUMMYFUNCTION("""COMPUTED_VALUE"""),35.35)</f>
        <v>35.35</v>
      </c>
      <c r="S2007" s="85"/>
      <c r="T2007" s="85"/>
      <c r="U2007" s="82"/>
      <c r="V2007" s="82"/>
      <c r="W2007" s="83"/>
      <c r="X2007" s="83"/>
      <c r="Y2007" s="83"/>
    </row>
    <row r="2008" spans="1:25" ht="13.8">
      <c r="A2008" s="78" t="str">
        <f ca="1">IFERROR(__xludf.DUMMYFUNCTION("""COMPUTED_VALUE"""),"SRA")</f>
        <v>SRA</v>
      </c>
      <c r="B2008" s="79" t="str">
        <f ca="1">IFERROR(__xludf.DUMMYFUNCTION("""COMPUTED_VALUE"""),"Finn Price")</f>
        <v>Finn Price</v>
      </c>
      <c r="C2008" s="78">
        <f ca="1">IFERROR(__xludf.DUMMYFUNCTION("""COMPUTED_VALUE"""),7)</f>
        <v>7</v>
      </c>
      <c r="D2008" s="78" t="str">
        <f ca="1">IFERROR(__xludf.DUMMYFUNCTION("""COMPUTED_VALUE"""),"B")</f>
        <v>B</v>
      </c>
      <c r="E2008" s="80" t="str">
        <f ca="1">IFERROR(__xludf.DUMMYFUNCTION("""COMPUTED_VALUE"""),"F")</f>
        <v>F</v>
      </c>
      <c r="F2008" s="86" t="str">
        <f ca="1">IFERROR(__xludf.DUMMYFUNCTION("""COMPUTED_VALUE"""),"J")</f>
        <v>J</v>
      </c>
      <c r="G2008" s="86">
        <f ca="1">IFERROR(__xludf.DUMMYFUNCTION("""COMPUTED_VALUE"""),7)</f>
        <v>7</v>
      </c>
      <c r="H2008" s="86" t="str">
        <f ca="1">IFERROR(__xludf.DUMMYFUNCTION("""COMPUTED_VALUE"""),"SRA")</f>
        <v>SRA</v>
      </c>
      <c r="I2008" s="86">
        <f ca="1">IFERROR(__xludf.DUMMYFUNCTION("""COMPUTED_VALUE"""),3)</f>
        <v>3</v>
      </c>
      <c r="J2008" s="85">
        <f ca="1">IFERROR(__xludf.DUMMYFUNCTION("""COMPUTED_VALUE"""),5)</f>
        <v>5</v>
      </c>
      <c r="K2008" s="85">
        <f ca="1">IFERROR(__xludf.DUMMYFUNCTION("""COMPUTED_VALUE"""),25.2)</f>
        <v>25.2</v>
      </c>
      <c r="L2008" s="85">
        <f ca="1">IFERROR(__xludf.DUMMYFUNCTION("""COMPUTED_VALUE"""),13.85)</f>
        <v>13.85</v>
      </c>
      <c r="M2008" s="85"/>
      <c r="N2008" s="85">
        <f ca="1">IFERROR(__xludf.DUMMYFUNCTION("""COMPUTED_VALUE"""),25.2)</f>
        <v>25.2</v>
      </c>
      <c r="O2008" s="85"/>
      <c r="P2008" s="85">
        <f ca="1">IFERROR(__xludf.DUMMYFUNCTION("""COMPUTED_VALUE"""),18.2)</f>
        <v>18.2</v>
      </c>
      <c r="Q2008" s="85"/>
      <c r="R2008" s="85">
        <f ca="1">IFERROR(__xludf.DUMMYFUNCTION("""COMPUTED_VALUE"""),12.3)</f>
        <v>12.3</v>
      </c>
      <c r="S2008" s="85"/>
      <c r="T2008" s="85"/>
      <c r="U2008" s="82"/>
      <c r="V2008" s="82"/>
      <c r="W2008" s="83"/>
      <c r="X2008" s="83"/>
      <c r="Y2008" s="83"/>
    </row>
    <row r="2009" spans="1:25" ht="13.8">
      <c r="A2009" s="78" t="str">
        <f ca="1">IFERROR(__xludf.DUMMYFUNCTION("""COMPUTED_VALUE"""),"SRA")</f>
        <v>SRA</v>
      </c>
      <c r="B2009" s="79" t="str">
        <f ca="1">IFERROR(__xludf.DUMMYFUNCTION("""COMPUTED_VALUE"""),"Debbie Burke")</f>
        <v>Debbie Burke</v>
      </c>
      <c r="C2009" s="78">
        <f ca="1">IFERROR(__xludf.DUMMYFUNCTION("""COMPUTED_VALUE"""),12)</f>
        <v>12</v>
      </c>
      <c r="D2009" s="78" t="str">
        <f ca="1">IFERROR(__xludf.DUMMYFUNCTION("""COMPUTED_VALUE"""),"G")</f>
        <v>G</v>
      </c>
      <c r="E2009" s="80" t="str">
        <f ca="1">IFERROR(__xludf.DUMMYFUNCTION("""COMPUTED_VALUE"""),"J")</f>
        <v>J</v>
      </c>
      <c r="F2009" s="86" t="str">
        <f ca="1">IFERROR(__xludf.DUMMYFUNCTION("""COMPUTED_VALUE"""),"I")</f>
        <v>I</v>
      </c>
      <c r="G2009" s="86">
        <f ca="1">IFERROR(__xludf.DUMMYFUNCTION("""COMPUTED_VALUE"""),7)</f>
        <v>7</v>
      </c>
      <c r="H2009" s="86" t="str">
        <f ca="1">IFERROR(__xludf.DUMMYFUNCTION("""COMPUTED_VALUE"""),"SRA")</f>
        <v>SRA</v>
      </c>
      <c r="I2009" s="86">
        <f ca="1">IFERROR(__xludf.DUMMYFUNCTION("""COMPUTED_VALUE"""),4)</f>
        <v>4</v>
      </c>
      <c r="J2009" s="85">
        <f ca="1">IFERROR(__xludf.DUMMYFUNCTION("""COMPUTED_VALUE"""),5)</f>
        <v>5</v>
      </c>
      <c r="K2009" s="85">
        <f ca="1">IFERROR(__xludf.DUMMYFUNCTION("""COMPUTED_VALUE"""),79.15)</f>
        <v>79.150000000000006</v>
      </c>
      <c r="L2009" s="85">
        <f ca="1">IFERROR(__xludf.DUMMYFUNCTION("""COMPUTED_VALUE"""),-103.8)</f>
        <v>-103.8</v>
      </c>
      <c r="M2009" s="85"/>
      <c r="N2009" s="85">
        <f ca="1">IFERROR(__xludf.DUMMYFUNCTION("""COMPUTED_VALUE"""),-106.8)</f>
        <v>-106.8</v>
      </c>
      <c r="O2009" s="85"/>
      <c r="P2009" s="85">
        <f ca="1">IFERROR(__xludf.DUMMYFUNCTION("""COMPUTED_VALUE"""),79.15)</f>
        <v>79.150000000000006</v>
      </c>
      <c r="Q2009" s="85"/>
      <c r="R2009" s="85">
        <f ca="1">IFERROR(__xludf.DUMMYFUNCTION("""COMPUTED_VALUE"""),-112.3)</f>
        <v>-112.3</v>
      </c>
      <c r="S2009" s="85"/>
      <c r="T2009" s="85"/>
      <c r="U2009" s="82"/>
      <c r="V2009" s="82"/>
      <c r="W2009" s="83"/>
      <c r="X2009" s="83"/>
      <c r="Y2009" s="83"/>
    </row>
    <row r="2010" spans="1:25" ht="13.8">
      <c r="A2010" s="78" t="str">
        <f ca="1">IFERROR(__xludf.DUMMYFUNCTION("""COMPUTED_VALUE"""),"SRA")</f>
        <v>SRA</v>
      </c>
      <c r="B2010" s="79" t="str">
        <f ca="1">IFERROR(__xludf.DUMMYFUNCTION("""COMPUTED_VALUE"""),"Maggie Burke")</f>
        <v>Maggie Burke</v>
      </c>
      <c r="C2010" s="78">
        <f ca="1">IFERROR(__xludf.DUMMYFUNCTION("""COMPUTED_VALUE"""),11)</f>
        <v>11</v>
      </c>
      <c r="D2010" s="78" t="str">
        <f ca="1">IFERROR(__xludf.DUMMYFUNCTION("""COMPUTED_VALUE"""),"G")</f>
        <v>G</v>
      </c>
      <c r="E2010" s="80" t="str">
        <f ca="1">IFERROR(__xludf.DUMMYFUNCTION("""COMPUTED_VALUE"""),"J")</f>
        <v>J</v>
      </c>
      <c r="F2010" s="86" t="str">
        <f ca="1">IFERROR(__xludf.DUMMYFUNCTION("""COMPUTED_VALUE"""),"I")</f>
        <v>I</v>
      </c>
      <c r="G2010" s="86">
        <f ca="1">IFERROR(__xludf.DUMMYFUNCTION("""COMPUTED_VALUE"""),7)</f>
        <v>7</v>
      </c>
      <c r="H2010" s="86" t="str">
        <f ca="1">IFERROR(__xludf.DUMMYFUNCTION("""COMPUTED_VALUE"""),"SRA")</f>
        <v>SRA</v>
      </c>
      <c r="I2010" s="86">
        <f ca="1">IFERROR(__xludf.DUMMYFUNCTION("""COMPUTED_VALUE"""),4)</f>
        <v>4</v>
      </c>
      <c r="J2010" s="85">
        <f ca="1">IFERROR(__xludf.DUMMYFUNCTION("""COMPUTED_VALUE"""),5)</f>
        <v>5</v>
      </c>
      <c r="K2010" s="85">
        <f ca="1">IFERROR(__xludf.DUMMYFUNCTION("""COMPUTED_VALUE"""),75.95)</f>
        <v>75.95</v>
      </c>
      <c r="L2010" s="85">
        <f ca="1">IFERROR(__xludf.DUMMYFUNCTION("""COMPUTED_VALUE"""),55.8)</f>
        <v>55.8</v>
      </c>
      <c r="M2010" s="85"/>
      <c r="N2010" s="85">
        <f ca="1">IFERROR(__xludf.DUMMYFUNCTION("""COMPUTED_VALUE"""),75.95)</f>
        <v>75.95</v>
      </c>
      <c r="O2010" s="85"/>
      <c r="P2010" s="85">
        <f ca="1">IFERROR(__xludf.DUMMYFUNCTION("""COMPUTED_VALUE"""),66.45)</f>
        <v>66.45</v>
      </c>
      <c r="Q2010" s="85"/>
      <c r="R2010" s="85">
        <f ca="1">IFERROR(__xludf.DUMMYFUNCTION("""COMPUTED_VALUE"""),71.3)</f>
        <v>71.3</v>
      </c>
      <c r="S2010" s="85"/>
      <c r="T2010" s="85"/>
      <c r="U2010" s="82"/>
      <c r="V2010" s="82"/>
      <c r="W2010" s="83"/>
      <c r="X2010" s="83"/>
      <c r="Y2010" s="83"/>
    </row>
    <row r="2011" spans="1:25" ht="13.8">
      <c r="A2011" s="78" t="str">
        <f ca="1">IFERROR(__xludf.DUMMYFUNCTION("""COMPUTED_VALUE"""),"SRA")</f>
        <v>SRA</v>
      </c>
      <c r="B2011" s="79" t="str">
        <f ca="1">IFERROR(__xludf.DUMMYFUNCTION("""COMPUTED_VALUE"""),"Delaney Dean")</f>
        <v>Delaney Dean</v>
      </c>
      <c r="C2011" s="78">
        <f ca="1">IFERROR(__xludf.DUMMYFUNCTION("""COMPUTED_VALUE"""),12)</f>
        <v>12</v>
      </c>
      <c r="D2011" s="78" t="str">
        <f ca="1">IFERROR(__xludf.DUMMYFUNCTION("""COMPUTED_VALUE"""),"G")</f>
        <v>G</v>
      </c>
      <c r="E2011" s="80" t="str">
        <f ca="1">IFERROR(__xludf.DUMMYFUNCTION("""COMPUTED_VALUE"""),"J")</f>
        <v>J</v>
      </c>
      <c r="F2011" s="86" t="str">
        <f ca="1">IFERROR(__xludf.DUMMYFUNCTION("""COMPUTED_VALUE"""),"I")</f>
        <v>I</v>
      </c>
      <c r="G2011" s="86">
        <f ca="1">IFERROR(__xludf.DUMMYFUNCTION("""COMPUTED_VALUE"""),7)</f>
        <v>7</v>
      </c>
      <c r="H2011" s="86" t="str">
        <f ca="1">IFERROR(__xludf.DUMMYFUNCTION("""COMPUTED_VALUE"""),"SRA")</f>
        <v>SRA</v>
      </c>
      <c r="I2011" s="86">
        <f ca="1">IFERROR(__xludf.DUMMYFUNCTION("""COMPUTED_VALUE"""),4)</f>
        <v>4</v>
      </c>
      <c r="J2011" s="85">
        <f ca="1">IFERROR(__xludf.DUMMYFUNCTION("""COMPUTED_VALUE"""),4)</f>
        <v>4</v>
      </c>
      <c r="K2011" s="85">
        <f ca="1">IFERROR(__xludf.DUMMYFUNCTION("""COMPUTED_VALUE"""),77.45)</f>
        <v>77.45</v>
      </c>
      <c r="L2011" s="85">
        <f ca="1">IFERROR(__xludf.DUMMYFUNCTION("""COMPUTED_VALUE"""),67.45)</f>
        <v>67.45</v>
      </c>
      <c r="M2011" s="85"/>
      <c r="N2011" s="85">
        <f ca="1">IFERROR(__xludf.DUMMYFUNCTION("""COMPUTED_VALUE"""),73.3)</f>
        <v>73.3</v>
      </c>
      <c r="O2011" s="85"/>
      <c r="P2011" s="85">
        <f ca="1">IFERROR(__xludf.DUMMYFUNCTION("""COMPUTED_VALUE"""),-72.75)</f>
        <v>-72.75</v>
      </c>
      <c r="Q2011" s="85"/>
      <c r="R2011" s="85">
        <f ca="1">IFERROR(__xludf.DUMMYFUNCTION("""COMPUTED_VALUE"""),77.45)</f>
        <v>77.45</v>
      </c>
      <c r="S2011" s="85"/>
      <c r="T2011" s="85"/>
      <c r="U2011" s="82"/>
      <c r="V2011" s="82"/>
      <c r="W2011" s="83"/>
      <c r="X2011" s="83"/>
      <c r="Y2011" s="83"/>
    </row>
    <row r="2012" spans="1:25" ht="13.8">
      <c r="A2012" s="78" t="str">
        <f ca="1">IFERROR(__xludf.DUMMYFUNCTION("""COMPUTED_VALUE"""),"SRA")</f>
        <v>SRA</v>
      </c>
      <c r="B2012" s="79" t="str">
        <f ca="1">IFERROR(__xludf.DUMMYFUNCTION("""COMPUTED_VALUE"""),"Aysel El Bourini")</f>
        <v>Aysel El Bourini</v>
      </c>
      <c r="C2012" s="78">
        <f ca="1">IFERROR(__xludf.DUMMYFUNCTION("""COMPUTED_VALUE"""),11)</f>
        <v>11</v>
      </c>
      <c r="D2012" s="78" t="str">
        <f ca="1">IFERROR(__xludf.DUMMYFUNCTION("""COMPUTED_VALUE"""),"G")</f>
        <v>G</v>
      </c>
      <c r="E2012" s="80" t="str">
        <f ca="1">IFERROR(__xludf.DUMMYFUNCTION("""COMPUTED_VALUE"""),"J")</f>
        <v>J</v>
      </c>
      <c r="F2012" s="86" t="str">
        <f ca="1">IFERROR(__xludf.DUMMYFUNCTION("""COMPUTED_VALUE"""),"I")</f>
        <v>I</v>
      </c>
      <c r="G2012" s="86">
        <f ca="1">IFERROR(__xludf.DUMMYFUNCTION("""COMPUTED_VALUE"""),7)</f>
        <v>7</v>
      </c>
      <c r="H2012" s="86" t="str">
        <f ca="1">IFERROR(__xludf.DUMMYFUNCTION("""COMPUTED_VALUE"""),"SRA")</f>
        <v>SRA</v>
      </c>
      <c r="I2012" s="86">
        <f ca="1">IFERROR(__xludf.DUMMYFUNCTION("""COMPUTED_VALUE"""),4)</f>
        <v>4</v>
      </c>
      <c r="J2012" s="85">
        <f ca="1">IFERROR(__xludf.DUMMYFUNCTION("""COMPUTED_VALUE"""),2)</f>
        <v>2</v>
      </c>
      <c r="K2012" s="85">
        <f ca="1">IFERROR(__xludf.DUMMYFUNCTION("""COMPUTED_VALUE"""),49.85)</f>
        <v>49.85</v>
      </c>
      <c r="L2012" s="85">
        <f ca="1">IFERROR(__xludf.DUMMYFUNCTION("""COMPUTED_VALUE"""),0)</f>
        <v>0</v>
      </c>
      <c r="M2012" s="85"/>
      <c r="N2012" s="85">
        <f ca="1">IFERROR(__xludf.DUMMYFUNCTION("""COMPUTED_VALUE"""),49.85)</f>
        <v>49.85</v>
      </c>
      <c r="O2012" s="85"/>
      <c r="P2012" s="85">
        <f ca="1">IFERROR(__xludf.DUMMYFUNCTION("""COMPUTED_VALUE"""),46.3)</f>
        <v>46.3</v>
      </c>
      <c r="Q2012" s="85"/>
      <c r="R2012" s="85">
        <f ca="1">IFERROR(__xludf.DUMMYFUNCTION("""COMPUTED_VALUE"""),0)</f>
        <v>0</v>
      </c>
      <c r="S2012" s="85"/>
      <c r="T2012" s="85"/>
      <c r="U2012" s="82"/>
      <c r="V2012" s="82"/>
      <c r="W2012" s="83"/>
      <c r="X2012" s="83"/>
      <c r="Y2012" s="83"/>
    </row>
    <row r="2013" spans="1:25" ht="13.8">
      <c r="A2013" s="78" t="str">
        <f ca="1">IFERROR(__xludf.DUMMYFUNCTION("""COMPUTED_VALUE"""),"SRA")</f>
        <v>SRA</v>
      </c>
      <c r="B2013" s="79" t="str">
        <f ca="1">IFERROR(__xludf.DUMMYFUNCTION("""COMPUTED_VALUE"""),"Ellery Fjeld")</f>
        <v>Ellery Fjeld</v>
      </c>
      <c r="C2013" s="78">
        <f ca="1">IFERROR(__xludf.DUMMYFUNCTION("""COMPUTED_VALUE"""),11)</f>
        <v>11</v>
      </c>
      <c r="D2013" s="78" t="str">
        <f ca="1">IFERROR(__xludf.DUMMYFUNCTION("""COMPUTED_VALUE"""),"G")</f>
        <v>G</v>
      </c>
      <c r="E2013" s="80" t="str">
        <f ca="1">IFERROR(__xludf.DUMMYFUNCTION("""COMPUTED_VALUE"""),"J")</f>
        <v>J</v>
      </c>
      <c r="F2013" s="86" t="str">
        <f ca="1">IFERROR(__xludf.DUMMYFUNCTION("""COMPUTED_VALUE"""),"I")</f>
        <v>I</v>
      </c>
      <c r="G2013" s="86">
        <f ca="1">IFERROR(__xludf.DUMMYFUNCTION("""COMPUTED_VALUE"""),7)</f>
        <v>7</v>
      </c>
      <c r="H2013" s="86" t="str">
        <f ca="1">IFERROR(__xludf.DUMMYFUNCTION("""COMPUTED_VALUE"""),"SRA")</f>
        <v>SRA</v>
      </c>
      <c r="I2013" s="86">
        <f ca="1">IFERROR(__xludf.DUMMYFUNCTION("""COMPUTED_VALUE"""),4)</f>
        <v>4</v>
      </c>
      <c r="J2013" s="85">
        <f ca="1">IFERROR(__xludf.DUMMYFUNCTION("""COMPUTED_VALUE"""),0)</f>
        <v>0</v>
      </c>
      <c r="K2013" s="85">
        <f ca="1">IFERROR(__xludf.DUMMYFUNCTION("""COMPUTED_VALUE"""),0)</f>
        <v>0</v>
      </c>
      <c r="L2013" s="85">
        <f ca="1">IFERROR(__xludf.DUMMYFUNCTION("""COMPUTED_VALUE"""),0)</f>
        <v>0</v>
      </c>
      <c r="M2013" s="85"/>
      <c r="N2013" s="85">
        <f ca="1">IFERROR(__xludf.DUMMYFUNCTION("""COMPUTED_VALUE"""),0)</f>
        <v>0</v>
      </c>
      <c r="O2013" s="85"/>
      <c r="P2013" s="85">
        <f ca="1">IFERROR(__xludf.DUMMYFUNCTION("""COMPUTED_VALUE"""),0)</f>
        <v>0</v>
      </c>
      <c r="Q2013" s="85"/>
      <c r="R2013" s="85">
        <f ca="1">IFERROR(__xludf.DUMMYFUNCTION("""COMPUTED_VALUE"""),0)</f>
        <v>0</v>
      </c>
      <c r="S2013" s="85"/>
      <c r="T2013" s="85"/>
      <c r="U2013" s="82"/>
      <c r="V2013" s="82"/>
      <c r="W2013" s="83"/>
      <c r="X2013" s="83"/>
      <c r="Y2013" s="83"/>
    </row>
    <row r="2014" spans="1:25" ht="13.8">
      <c r="A2014" s="78" t="str">
        <f ca="1">IFERROR(__xludf.DUMMYFUNCTION("""COMPUTED_VALUE"""),"SRA")</f>
        <v>SRA</v>
      </c>
      <c r="B2014" s="79" t="str">
        <f ca="1">IFERROR(__xludf.DUMMYFUNCTION("""COMPUTED_VALUE"""),"Charlotte Garr")</f>
        <v>Charlotte Garr</v>
      </c>
      <c r="C2014" s="78">
        <f ca="1">IFERROR(__xludf.DUMMYFUNCTION("""COMPUTED_VALUE"""),11)</f>
        <v>11</v>
      </c>
      <c r="D2014" s="78" t="str">
        <f ca="1">IFERROR(__xludf.DUMMYFUNCTION("""COMPUTED_VALUE"""),"G")</f>
        <v>G</v>
      </c>
      <c r="E2014" s="80" t="str">
        <f ca="1">IFERROR(__xludf.DUMMYFUNCTION("""COMPUTED_VALUE"""),"J")</f>
        <v>J</v>
      </c>
      <c r="F2014" s="86" t="str">
        <f ca="1">IFERROR(__xludf.DUMMYFUNCTION("""COMPUTED_VALUE"""),"I")</f>
        <v>I</v>
      </c>
      <c r="G2014" s="86">
        <f ca="1">IFERROR(__xludf.DUMMYFUNCTION("""COMPUTED_VALUE"""),7)</f>
        <v>7</v>
      </c>
      <c r="H2014" s="86" t="str">
        <f ca="1">IFERROR(__xludf.DUMMYFUNCTION("""COMPUTED_VALUE"""),"SRA")</f>
        <v>SRA</v>
      </c>
      <c r="I2014" s="86">
        <f ca="1">IFERROR(__xludf.DUMMYFUNCTION("""COMPUTED_VALUE"""),4)</f>
        <v>4</v>
      </c>
      <c r="J2014" s="85">
        <f ca="1">IFERROR(__xludf.DUMMYFUNCTION("""COMPUTED_VALUE"""),2)</f>
        <v>2</v>
      </c>
      <c r="K2014" s="85">
        <f ca="1">IFERROR(__xludf.DUMMYFUNCTION("""COMPUTED_VALUE"""),81.15)</f>
        <v>81.150000000000006</v>
      </c>
      <c r="L2014" s="85">
        <f ca="1">IFERROR(__xludf.DUMMYFUNCTION("""COMPUTED_VALUE"""),64.15)</f>
        <v>64.150000000000006</v>
      </c>
      <c r="M2014" s="85"/>
      <c r="N2014" s="85">
        <f ca="1">IFERROR(__xludf.DUMMYFUNCTION("""COMPUTED_VALUE"""),81.15)</f>
        <v>81.150000000000006</v>
      </c>
      <c r="O2014" s="85"/>
      <c r="P2014" s="85">
        <f ca="1">IFERROR(__xludf.DUMMYFUNCTION("""COMPUTED_VALUE"""),0)</f>
        <v>0</v>
      </c>
      <c r="Q2014" s="85"/>
      <c r="R2014" s="85">
        <f ca="1">IFERROR(__xludf.DUMMYFUNCTION("""COMPUTED_VALUE"""),0)</f>
        <v>0</v>
      </c>
      <c r="S2014" s="85"/>
      <c r="T2014" s="85"/>
      <c r="U2014" s="82"/>
      <c r="V2014" s="82"/>
      <c r="W2014" s="83"/>
      <c r="X2014" s="83"/>
      <c r="Y2014" s="83"/>
    </row>
    <row r="2015" spans="1:25" ht="13.8">
      <c r="A2015" s="78" t="str">
        <f ca="1">IFERROR(__xludf.DUMMYFUNCTION("""COMPUTED_VALUE"""),"SRA")</f>
        <v>SRA</v>
      </c>
      <c r="B2015" s="79" t="str">
        <f ca="1">IFERROR(__xludf.DUMMYFUNCTION("""COMPUTED_VALUE"""),"Mackenzie Garr")</f>
        <v>Mackenzie Garr</v>
      </c>
      <c r="C2015" s="78">
        <f ca="1">IFERROR(__xludf.DUMMYFUNCTION("""COMPUTED_VALUE"""),11)</f>
        <v>11</v>
      </c>
      <c r="D2015" s="78" t="str">
        <f ca="1">IFERROR(__xludf.DUMMYFUNCTION("""COMPUTED_VALUE"""),"G")</f>
        <v>G</v>
      </c>
      <c r="E2015" s="80" t="str">
        <f ca="1">IFERROR(__xludf.DUMMYFUNCTION("""COMPUTED_VALUE"""),"J")</f>
        <v>J</v>
      </c>
      <c r="F2015" s="86" t="str">
        <f ca="1">IFERROR(__xludf.DUMMYFUNCTION("""COMPUTED_VALUE"""),"I")</f>
        <v>I</v>
      </c>
      <c r="G2015" s="86">
        <f ca="1">IFERROR(__xludf.DUMMYFUNCTION("""COMPUTED_VALUE"""),7)</f>
        <v>7</v>
      </c>
      <c r="H2015" s="86" t="str">
        <f ca="1">IFERROR(__xludf.DUMMYFUNCTION("""COMPUTED_VALUE"""),"SRA")</f>
        <v>SRA</v>
      </c>
      <c r="I2015" s="86">
        <f ca="1">IFERROR(__xludf.DUMMYFUNCTION("""COMPUTED_VALUE"""),4)</f>
        <v>4</v>
      </c>
      <c r="J2015" s="85">
        <f ca="1">IFERROR(__xludf.DUMMYFUNCTION("""COMPUTED_VALUE"""),2)</f>
        <v>2</v>
      </c>
      <c r="K2015" s="85">
        <f ca="1">IFERROR(__xludf.DUMMYFUNCTION("""COMPUTED_VALUE"""),85.2)</f>
        <v>85.2</v>
      </c>
      <c r="L2015" s="85">
        <f ca="1">IFERROR(__xludf.DUMMYFUNCTION("""COMPUTED_VALUE"""),65.25)</f>
        <v>65.25</v>
      </c>
      <c r="M2015" s="85"/>
      <c r="N2015" s="85">
        <f ca="1">IFERROR(__xludf.DUMMYFUNCTION("""COMPUTED_VALUE"""),85.2)</f>
        <v>85.2</v>
      </c>
      <c r="O2015" s="85"/>
      <c r="P2015" s="85">
        <f ca="1">IFERROR(__xludf.DUMMYFUNCTION("""COMPUTED_VALUE"""),0)</f>
        <v>0</v>
      </c>
      <c r="Q2015" s="85"/>
      <c r="R2015" s="85">
        <f ca="1">IFERROR(__xludf.DUMMYFUNCTION("""COMPUTED_VALUE"""),0)</f>
        <v>0</v>
      </c>
      <c r="S2015" s="85"/>
      <c r="T2015" s="85"/>
      <c r="U2015" s="82"/>
      <c r="V2015" s="82"/>
      <c r="W2015" s="83"/>
      <c r="X2015" s="83"/>
      <c r="Y2015" s="83"/>
    </row>
    <row r="2016" spans="1:25" ht="13.8">
      <c r="A2016" s="78" t="str">
        <f ca="1">IFERROR(__xludf.DUMMYFUNCTION("""COMPUTED_VALUE"""),"SRA")</f>
        <v>SRA</v>
      </c>
      <c r="B2016" s="79" t="str">
        <f ca="1">IFERROR(__xludf.DUMMYFUNCTION("""COMPUTED_VALUE"""),"Megan O'Dea")</f>
        <v>Megan O'Dea</v>
      </c>
      <c r="C2016" s="78">
        <f ca="1">IFERROR(__xludf.DUMMYFUNCTION("""COMPUTED_VALUE"""),12)</f>
        <v>12</v>
      </c>
      <c r="D2016" s="78" t="str">
        <f ca="1">IFERROR(__xludf.DUMMYFUNCTION("""COMPUTED_VALUE"""),"G")</f>
        <v>G</v>
      </c>
      <c r="E2016" s="80" t="str">
        <f ca="1">IFERROR(__xludf.DUMMYFUNCTION("""COMPUTED_VALUE"""),"J")</f>
        <v>J</v>
      </c>
      <c r="F2016" s="86" t="str">
        <f ca="1">IFERROR(__xludf.DUMMYFUNCTION("""COMPUTED_VALUE"""),"I")</f>
        <v>I</v>
      </c>
      <c r="G2016" s="86">
        <f ca="1">IFERROR(__xludf.DUMMYFUNCTION("""COMPUTED_VALUE"""),7)</f>
        <v>7</v>
      </c>
      <c r="H2016" s="86" t="str">
        <f ca="1">IFERROR(__xludf.DUMMYFUNCTION("""COMPUTED_VALUE"""),"SRA")</f>
        <v>SRA</v>
      </c>
      <c r="I2016" s="86">
        <f ca="1">IFERROR(__xludf.DUMMYFUNCTION("""COMPUTED_VALUE"""),4)</f>
        <v>4</v>
      </c>
      <c r="J2016" s="85">
        <f ca="1">IFERROR(__xludf.DUMMYFUNCTION("""COMPUTED_VALUE"""),0)</f>
        <v>0</v>
      </c>
      <c r="K2016" s="85">
        <f ca="1">IFERROR(__xludf.DUMMYFUNCTION("""COMPUTED_VALUE"""),0)</f>
        <v>0</v>
      </c>
      <c r="L2016" s="85">
        <f ca="1">IFERROR(__xludf.DUMMYFUNCTION("""COMPUTED_VALUE"""),0)</f>
        <v>0</v>
      </c>
      <c r="M2016" s="85"/>
      <c r="N2016" s="85">
        <f ca="1">IFERROR(__xludf.DUMMYFUNCTION("""COMPUTED_VALUE"""),0)</f>
        <v>0</v>
      </c>
      <c r="O2016" s="85"/>
      <c r="P2016" s="85">
        <f ca="1">IFERROR(__xludf.DUMMYFUNCTION("""COMPUTED_VALUE"""),0)</f>
        <v>0</v>
      </c>
      <c r="Q2016" s="85"/>
      <c r="R2016" s="85">
        <f ca="1">IFERROR(__xludf.DUMMYFUNCTION("""COMPUTED_VALUE"""),0)</f>
        <v>0</v>
      </c>
      <c r="S2016" s="85"/>
      <c r="T2016" s="85"/>
      <c r="U2016" s="82"/>
      <c r="V2016" s="82"/>
      <c r="W2016" s="83"/>
      <c r="X2016" s="83"/>
      <c r="Y2016" s="83"/>
    </row>
    <row r="2017" spans="1:25" ht="13.8">
      <c r="A2017" s="78" t="str">
        <f ca="1">IFERROR(__xludf.DUMMYFUNCTION("""COMPUTED_VALUE"""),"SRA")</f>
        <v>SRA</v>
      </c>
      <c r="B2017" s="79" t="str">
        <f ca="1">IFERROR(__xludf.DUMMYFUNCTION("""COMPUTED_VALUE"""),"Kayden Deitchman")</f>
        <v>Kayden Deitchman</v>
      </c>
      <c r="C2017" s="78">
        <f ca="1">IFERROR(__xludf.DUMMYFUNCTION("""COMPUTED_VALUE"""),12)</f>
        <v>12</v>
      </c>
      <c r="D2017" s="78" t="str">
        <f ca="1">IFERROR(__xludf.DUMMYFUNCTION("""COMPUTED_VALUE"""),"B")</f>
        <v>B</v>
      </c>
      <c r="E2017" s="80" t="str">
        <f ca="1">IFERROR(__xludf.DUMMYFUNCTION("""COMPUTED_VALUE"""),"J")</f>
        <v>J</v>
      </c>
      <c r="F2017" s="86" t="str">
        <f ca="1">IFERROR(__xludf.DUMMYFUNCTION("""COMPUTED_VALUE"""),"I")</f>
        <v>I</v>
      </c>
      <c r="G2017" s="86">
        <f ca="1">IFERROR(__xludf.DUMMYFUNCTION("""COMPUTED_VALUE"""),7)</f>
        <v>7</v>
      </c>
      <c r="H2017" s="86" t="str">
        <f ca="1">IFERROR(__xludf.DUMMYFUNCTION("""COMPUTED_VALUE"""),"SRA")</f>
        <v>SRA</v>
      </c>
      <c r="I2017" s="86">
        <f ca="1">IFERROR(__xludf.DUMMYFUNCTION("""COMPUTED_VALUE"""),5)</f>
        <v>5</v>
      </c>
      <c r="J2017" s="85">
        <f ca="1">IFERROR(__xludf.DUMMYFUNCTION("""COMPUTED_VALUE"""),0)</f>
        <v>0</v>
      </c>
      <c r="K2017" s="85">
        <f ca="1">IFERROR(__xludf.DUMMYFUNCTION("""COMPUTED_VALUE"""),0)</f>
        <v>0</v>
      </c>
      <c r="L2017" s="85">
        <f ca="1">IFERROR(__xludf.DUMMYFUNCTION("""COMPUTED_VALUE"""),0)</f>
        <v>0</v>
      </c>
      <c r="M2017" s="85"/>
      <c r="N2017" s="85">
        <f ca="1">IFERROR(__xludf.DUMMYFUNCTION("""COMPUTED_VALUE"""),0)</f>
        <v>0</v>
      </c>
      <c r="O2017" s="85"/>
      <c r="P2017" s="85">
        <f ca="1">IFERROR(__xludf.DUMMYFUNCTION("""COMPUTED_VALUE"""),0)</f>
        <v>0</v>
      </c>
      <c r="Q2017" s="85"/>
      <c r="R2017" s="85">
        <f ca="1">IFERROR(__xludf.DUMMYFUNCTION("""COMPUTED_VALUE"""),0)</f>
        <v>0</v>
      </c>
      <c r="S2017" s="85"/>
      <c r="T2017" s="85"/>
      <c r="U2017" s="82"/>
      <c r="V2017" s="82"/>
      <c r="W2017" s="83"/>
      <c r="X2017" s="83"/>
      <c r="Y2017" s="83"/>
    </row>
    <row r="2018" spans="1:25" ht="13.8">
      <c r="A2018" s="78" t="str">
        <f ca="1">IFERROR(__xludf.DUMMYFUNCTION("""COMPUTED_VALUE"""),"SRA")</f>
        <v>SRA</v>
      </c>
      <c r="B2018" s="79" t="str">
        <f ca="1">IFERROR(__xludf.DUMMYFUNCTION("""COMPUTED_VALUE"""),"Aelan Elder")</f>
        <v>Aelan Elder</v>
      </c>
      <c r="C2018" s="78">
        <f ca="1">IFERROR(__xludf.DUMMYFUNCTION("""COMPUTED_VALUE"""),12)</f>
        <v>12</v>
      </c>
      <c r="D2018" s="78" t="str">
        <f ca="1">IFERROR(__xludf.DUMMYFUNCTION("""COMPUTED_VALUE"""),"B")</f>
        <v>B</v>
      </c>
      <c r="E2018" s="80" t="str">
        <f ca="1">IFERROR(__xludf.DUMMYFUNCTION("""COMPUTED_VALUE"""),"J")</f>
        <v>J</v>
      </c>
      <c r="F2018" s="86" t="str">
        <f ca="1">IFERROR(__xludf.DUMMYFUNCTION("""COMPUTED_VALUE"""),"I")</f>
        <v>I</v>
      </c>
      <c r="G2018" s="86">
        <f ca="1">IFERROR(__xludf.DUMMYFUNCTION("""COMPUTED_VALUE"""),7)</f>
        <v>7</v>
      </c>
      <c r="H2018" s="86" t="str">
        <f ca="1">IFERROR(__xludf.DUMMYFUNCTION("""COMPUTED_VALUE"""),"SRA")</f>
        <v>SRA</v>
      </c>
      <c r="I2018" s="86">
        <f ca="1">IFERROR(__xludf.DUMMYFUNCTION("""COMPUTED_VALUE"""),5)</f>
        <v>5</v>
      </c>
      <c r="J2018" s="85">
        <f ca="1">IFERROR(__xludf.DUMMYFUNCTION("""COMPUTED_VALUE"""),5)</f>
        <v>5</v>
      </c>
      <c r="K2018" s="85">
        <f ca="1">IFERROR(__xludf.DUMMYFUNCTION("""COMPUTED_VALUE"""),94.05)</f>
        <v>94.05</v>
      </c>
      <c r="L2018" s="85">
        <f ca="1">IFERROR(__xludf.DUMMYFUNCTION("""COMPUTED_VALUE"""),78.4)</f>
        <v>78.400000000000006</v>
      </c>
      <c r="M2018" s="85"/>
      <c r="N2018" s="85">
        <f ca="1">IFERROR(__xludf.DUMMYFUNCTION("""COMPUTED_VALUE"""),94.05)</f>
        <v>94.05</v>
      </c>
      <c r="O2018" s="85"/>
      <c r="P2018" s="85">
        <f ca="1">IFERROR(__xludf.DUMMYFUNCTION("""COMPUTED_VALUE"""),67)</f>
        <v>67</v>
      </c>
      <c r="Q2018" s="85"/>
      <c r="R2018" s="85">
        <f ca="1">IFERROR(__xludf.DUMMYFUNCTION("""COMPUTED_VALUE"""),85.8)</f>
        <v>85.8</v>
      </c>
      <c r="S2018" s="85"/>
      <c r="T2018" s="85"/>
      <c r="U2018" s="82"/>
      <c r="V2018" s="82"/>
      <c r="W2018" s="83"/>
      <c r="X2018" s="83"/>
      <c r="Y2018" s="83"/>
    </row>
    <row r="2019" spans="1:25" ht="13.8">
      <c r="A2019" s="78" t="str">
        <f ca="1">IFERROR(__xludf.DUMMYFUNCTION("""COMPUTED_VALUE"""),"SRA")</f>
        <v>SRA</v>
      </c>
      <c r="B2019" s="79" t="str">
        <f ca="1">IFERROR(__xludf.DUMMYFUNCTION("""COMPUTED_VALUE"""),"Wesley Ferguson")</f>
        <v>Wesley Ferguson</v>
      </c>
      <c r="C2019" s="78">
        <f ca="1">IFERROR(__xludf.DUMMYFUNCTION("""COMPUTED_VALUE"""),12)</f>
        <v>12</v>
      </c>
      <c r="D2019" s="78" t="str">
        <f ca="1">IFERROR(__xludf.DUMMYFUNCTION("""COMPUTED_VALUE"""),"B")</f>
        <v>B</v>
      </c>
      <c r="E2019" s="80" t="str">
        <f ca="1">IFERROR(__xludf.DUMMYFUNCTION("""COMPUTED_VALUE"""),"J")</f>
        <v>J</v>
      </c>
      <c r="F2019" s="86" t="str">
        <f ca="1">IFERROR(__xludf.DUMMYFUNCTION("""COMPUTED_VALUE"""),"I")</f>
        <v>I</v>
      </c>
      <c r="G2019" s="86">
        <f ca="1">IFERROR(__xludf.DUMMYFUNCTION("""COMPUTED_VALUE"""),7)</f>
        <v>7</v>
      </c>
      <c r="H2019" s="86" t="str">
        <f ca="1">IFERROR(__xludf.DUMMYFUNCTION("""COMPUTED_VALUE"""),"SRA")</f>
        <v>SRA</v>
      </c>
      <c r="I2019" s="86">
        <f ca="1">IFERROR(__xludf.DUMMYFUNCTION("""COMPUTED_VALUE"""),5)</f>
        <v>5</v>
      </c>
      <c r="J2019" s="85">
        <f ca="1">IFERROR(__xludf.DUMMYFUNCTION("""COMPUTED_VALUE"""),3)</f>
        <v>3</v>
      </c>
      <c r="K2019" s="85">
        <f ca="1">IFERROR(__xludf.DUMMYFUNCTION("""COMPUTED_VALUE"""),62.8)</f>
        <v>62.8</v>
      </c>
      <c r="L2019" s="85">
        <f ca="1">IFERROR(__xludf.DUMMYFUNCTION("""COMPUTED_VALUE"""),0)</f>
        <v>0</v>
      </c>
      <c r="M2019" s="85"/>
      <c r="N2019" s="85">
        <f ca="1">IFERROR(__xludf.DUMMYFUNCTION("""COMPUTED_VALUE"""),0)</f>
        <v>0</v>
      </c>
      <c r="O2019" s="85"/>
      <c r="P2019" s="85">
        <f ca="1">IFERROR(__xludf.DUMMYFUNCTION("""COMPUTED_VALUE"""),44.6)</f>
        <v>44.6</v>
      </c>
      <c r="Q2019" s="85"/>
      <c r="R2019" s="85">
        <f ca="1">IFERROR(__xludf.DUMMYFUNCTION("""COMPUTED_VALUE"""),62.8)</f>
        <v>62.8</v>
      </c>
      <c r="S2019" s="85"/>
      <c r="T2019" s="85"/>
      <c r="U2019" s="82"/>
      <c r="V2019" s="82"/>
      <c r="W2019" s="83"/>
      <c r="X2019" s="83"/>
      <c r="Y2019" s="83"/>
    </row>
    <row r="2020" spans="1:25" ht="13.8">
      <c r="A2020" s="78" t="str">
        <f ca="1">IFERROR(__xludf.DUMMYFUNCTION("""COMPUTED_VALUE"""),"SRA")</f>
        <v>SRA</v>
      </c>
      <c r="B2020" s="79" t="str">
        <f ca="1">IFERROR(__xludf.DUMMYFUNCTION("""COMPUTED_VALUE"""),"Andrew O'Dea")</f>
        <v>Andrew O'Dea</v>
      </c>
      <c r="C2020" s="78">
        <f ca="1">IFERROR(__xludf.DUMMYFUNCTION("""COMPUTED_VALUE"""),11)</f>
        <v>11</v>
      </c>
      <c r="D2020" s="78" t="str">
        <f ca="1">IFERROR(__xludf.DUMMYFUNCTION("""COMPUTED_VALUE"""),"B")</f>
        <v>B</v>
      </c>
      <c r="E2020" s="80" t="str">
        <f ca="1">IFERROR(__xludf.DUMMYFUNCTION("""COMPUTED_VALUE"""),"J")</f>
        <v>J</v>
      </c>
      <c r="F2020" s="86" t="str">
        <f ca="1">IFERROR(__xludf.DUMMYFUNCTION("""COMPUTED_VALUE"""),"I")</f>
        <v>I</v>
      </c>
      <c r="G2020" s="86">
        <f ca="1">IFERROR(__xludf.DUMMYFUNCTION("""COMPUTED_VALUE"""),7)</f>
        <v>7</v>
      </c>
      <c r="H2020" s="86" t="str">
        <f ca="1">IFERROR(__xludf.DUMMYFUNCTION("""COMPUTED_VALUE"""),"SRA")</f>
        <v>SRA</v>
      </c>
      <c r="I2020" s="86">
        <f ca="1">IFERROR(__xludf.DUMMYFUNCTION("""COMPUTED_VALUE"""),5)</f>
        <v>5</v>
      </c>
      <c r="J2020" s="85">
        <f ca="1">IFERROR(__xludf.DUMMYFUNCTION("""COMPUTED_VALUE"""),0)</f>
        <v>0</v>
      </c>
      <c r="K2020" s="85">
        <f ca="1">IFERROR(__xludf.DUMMYFUNCTION("""COMPUTED_VALUE"""),0)</f>
        <v>0</v>
      </c>
      <c r="L2020" s="85">
        <f ca="1">IFERROR(__xludf.DUMMYFUNCTION("""COMPUTED_VALUE"""),0)</f>
        <v>0</v>
      </c>
      <c r="M2020" s="85"/>
      <c r="N2020" s="85">
        <f ca="1">IFERROR(__xludf.DUMMYFUNCTION("""COMPUTED_VALUE"""),0)</f>
        <v>0</v>
      </c>
      <c r="O2020" s="85"/>
      <c r="P2020" s="85">
        <f ca="1">IFERROR(__xludf.DUMMYFUNCTION("""COMPUTED_VALUE"""),0)</f>
        <v>0</v>
      </c>
      <c r="Q2020" s="85"/>
      <c r="R2020" s="85">
        <f ca="1">IFERROR(__xludf.DUMMYFUNCTION("""COMPUTED_VALUE"""),0)</f>
        <v>0</v>
      </c>
      <c r="S2020" s="85"/>
      <c r="T2020" s="85"/>
      <c r="U2020" s="82"/>
      <c r="V2020" s="82"/>
      <c r="W2020" s="83"/>
      <c r="X2020" s="83"/>
      <c r="Y2020" s="83"/>
    </row>
    <row r="2021" spans="1:25" ht="13.8">
      <c r="A2021" s="78" t="str">
        <f ca="1">IFERROR(__xludf.DUMMYFUNCTION("""COMPUTED_VALUE"""),"SRA")</f>
        <v>SRA</v>
      </c>
      <c r="B2021" s="79" t="str">
        <f ca="1">IFERROR(__xludf.DUMMYFUNCTION("""COMPUTED_VALUE"""),"Sophia Ary")</f>
        <v>Sophia Ary</v>
      </c>
      <c r="C2021" s="78">
        <f ca="1">IFERROR(__xludf.DUMMYFUNCTION("""COMPUTED_VALUE"""),13)</f>
        <v>13</v>
      </c>
      <c r="D2021" s="78" t="str">
        <f ca="1">IFERROR(__xludf.DUMMYFUNCTION("""COMPUTED_VALUE"""),"G")</f>
        <v>G</v>
      </c>
      <c r="E2021" s="80" t="str">
        <f ca="1">IFERROR(__xludf.DUMMYFUNCTION("""COMPUTED_VALUE"""),"I")</f>
        <v>I</v>
      </c>
      <c r="F2021" s="86" t="str">
        <f ca="1">IFERROR(__xludf.DUMMYFUNCTION("""COMPUTED_VALUE"""),"S")</f>
        <v>S</v>
      </c>
      <c r="G2021" s="86">
        <f ca="1">IFERROR(__xludf.DUMMYFUNCTION("""COMPUTED_VALUE"""),7)</f>
        <v>7</v>
      </c>
      <c r="H2021" s="86" t="str">
        <f ca="1">IFERROR(__xludf.DUMMYFUNCTION("""COMPUTED_VALUE"""),"SRA")</f>
        <v>SRA</v>
      </c>
      <c r="I2021" s="86">
        <f ca="1">IFERROR(__xludf.DUMMYFUNCTION("""COMPUTED_VALUE"""),6)</f>
        <v>6</v>
      </c>
      <c r="J2021" s="85">
        <f ca="1">IFERROR(__xludf.DUMMYFUNCTION("""COMPUTED_VALUE"""),0)</f>
        <v>0</v>
      </c>
      <c r="K2021" s="85">
        <f ca="1">IFERROR(__xludf.DUMMYFUNCTION("""COMPUTED_VALUE"""),0)</f>
        <v>0</v>
      </c>
      <c r="L2021" s="85">
        <f ca="1">IFERROR(__xludf.DUMMYFUNCTION("""COMPUTED_VALUE"""),0)</f>
        <v>0</v>
      </c>
      <c r="M2021" s="85"/>
      <c r="N2021" s="85">
        <f ca="1">IFERROR(__xludf.DUMMYFUNCTION("""COMPUTED_VALUE"""),0)</f>
        <v>0</v>
      </c>
      <c r="O2021" s="85"/>
      <c r="P2021" s="85">
        <f ca="1">IFERROR(__xludf.DUMMYFUNCTION("""COMPUTED_VALUE"""),0)</f>
        <v>0</v>
      </c>
      <c r="Q2021" s="85"/>
      <c r="R2021" s="85">
        <f ca="1">IFERROR(__xludf.DUMMYFUNCTION("""COMPUTED_VALUE"""),0)</f>
        <v>0</v>
      </c>
      <c r="S2021" s="85"/>
      <c r="T2021" s="85"/>
      <c r="U2021" s="82"/>
      <c r="V2021" s="82"/>
      <c r="W2021" s="83"/>
      <c r="X2021" s="83"/>
      <c r="Y2021" s="83"/>
    </row>
    <row r="2022" spans="1:25" ht="13.8">
      <c r="A2022" s="78" t="str">
        <f ca="1">IFERROR(__xludf.DUMMYFUNCTION("""COMPUTED_VALUE"""),"SRA")</f>
        <v>SRA</v>
      </c>
      <c r="B2022" s="79" t="str">
        <f ca="1">IFERROR(__xludf.DUMMYFUNCTION("""COMPUTED_VALUE"""),"Analia Boyer")</f>
        <v>Analia Boyer</v>
      </c>
      <c r="C2022" s="78">
        <f ca="1">IFERROR(__xludf.DUMMYFUNCTION("""COMPUTED_VALUE"""),14)</f>
        <v>14</v>
      </c>
      <c r="D2022" s="78" t="str">
        <f ca="1">IFERROR(__xludf.DUMMYFUNCTION("""COMPUTED_VALUE"""),"G")</f>
        <v>G</v>
      </c>
      <c r="E2022" s="80" t="str">
        <f ca="1">IFERROR(__xludf.DUMMYFUNCTION("""COMPUTED_VALUE"""),"I")</f>
        <v>I</v>
      </c>
      <c r="F2022" s="86" t="str">
        <f ca="1">IFERROR(__xludf.DUMMYFUNCTION("""COMPUTED_VALUE"""),"S")</f>
        <v>S</v>
      </c>
      <c r="G2022" s="86">
        <f ca="1">IFERROR(__xludf.DUMMYFUNCTION("""COMPUTED_VALUE"""),7)</f>
        <v>7</v>
      </c>
      <c r="H2022" s="86" t="str">
        <f ca="1">IFERROR(__xludf.DUMMYFUNCTION("""COMPUTED_VALUE"""),"SRA")</f>
        <v>SRA</v>
      </c>
      <c r="I2022" s="86">
        <f ca="1">IFERROR(__xludf.DUMMYFUNCTION("""COMPUTED_VALUE"""),6)</f>
        <v>6</v>
      </c>
      <c r="J2022" s="85">
        <f ca="1">IFERROR(__xludf.DUMMYFUNCTION("""COMPUTED_VALUE"""),0)</f>
        <v>0</v>
      </c>
      <c r="K2022" s="85">
        <f ca="1">IFERROR(__xludf.DUMMYFUNCTION("""COMPUTED_VALUE"""),0)</f>
        <v>0</v>
      </c>
      <c r="L2022" s="85">
        <f ca="1">IFERROR(__xludf.DUMMYFUNCTION("""COMPUTED_VALUE"""),0)</f>
        <v>0</v>
      </c>
      <c r="M2022" s="85"/>
      <c r="N2022" s="85">
        <f ca="1">IFERROR(__xludf.DUMMYFUNCTION("""COMPUTED_VALUE"""),0)</f>
        <v>0</v>
      </c>
      <c r="O2022" s="85"/>
      <c r="P2022" s="85">
        <f ca="1">IFERROR(__xludf.DUMMYFUNCTION("""COMPUTED_VALUE"""),0)</f>
        <v>0</v>
      </c>
      <c r="Q2022" s="85"/>
      <c r="R2022" s="85">
        <f ca="1">IFERROR(__xludf.DUMMYFUNCTION("""COMPUTED_VALUE"""),0)</f>
        <v>0</v>
      </c>
      <c r="S2022" s="85"/>
      <c r="T2022" s="85"/>
      <c r="U2022" s="82"/>
      <c r="V2022" s="82"/>
      <c r="W2022" s="83"/>
      <c r="X2022" s="83"/>
      <c r="Y2022" s="83"/>
    </row>
    <row r="2023" spans="1:25" ht="13.8">
      <c r="A2023" s="78" t="str">
        <f ca="1">IFERROR(__xludf.DUMMYFUNCTION("""COMPUTED_VALUE"""),"SRA")</f>
        <v>SRA</v>
      </c>
      <c r="B2023" s="79" t="str">
        <f ca="1">IFERROR(__xludf.DUMMYFUNCTION("""COMPUTED_VALUE"""),"Maya Boyer")</f>
        <v>Maya Boyer</v>
      </c>
      <c r="C2023" s="78">
        <f ca="1">IFERROR(__xludf.DUMMYFUNCTION("""COMPUTED_VALUE"""),13)</f>
        <v>13</v>
      </c>
      <c r="D2023" s="78" t="str">
        <f ca="1">IFERROR(__xludf.DUMMYFUNCTION("""COMPUTED_VALUE"""),"G")</f>
        <v>G</v>
      </c>
      <c r="E2023" s="80" t="str">
        <f ca="1">IFERROR(__xludf.DUMMYFUNCTION("""COMPUTED_VALUE"""),"I")</f>
        <v>I</v>
      </c>
      <c r="F2023" s="86" t="str">
        <f ca="1">IFERROR(__xludf.DUMMYFUNCTION("""COMPUTED_VALUE"""),"S")</f>
        <v>S</v>
      </c>
      <c r="G2023" s="86">
        <f ca="1">IFERROR(__xludf.DUMMYFUNCTION("""COMPUTED_VALUE"""),7)</f>
        <v>7</v>
      </c>
      <c r="H2023" s="86" t="str">
        <f ca="1">IFERROR(__xludf.DUMMYFUNCTION("""COMPUTED_VALUE"""),"SRA")</f>
        <v>SRA</v>
      </c>
      <c r="I2023" s="86">
        <f ca="1">IFERROR(__xludf.DUMMYFUNCTION("""COMPUTED_VALUE"""),6)</f>
        <v>6</v>
      </c>
      <c r="J2023" s="85">
        <f ca="1">IFERROR(__xludf.DUMMYFUNCTION("""COMPUTED_VALUE"""),0)</f>
        <v>0</v>
      </c>
      <c r="K2023" s="85">
        <f ca="1">IFERROR(__xludf.DUMMYFUNCTION("""COMPUTED_VALUE"""),0)</f>
        <v>0</v>
      </c>
      <c r="L2023" s="85">
        <f ca="1">IFERROR(__xludf.DUMMYFUNCTION("""COMPUTED_VALUE"""),0)</f>
        <v>0</v>
      </c>
      <c r="M2023" s="85"/>
      <c r="N2023" s="85">
        <f ca="1">IFERROR(__xludf.DUMMYFUNCTION("""COMPUTED_VALUE"""),0)</f>
        <v>0</v>
      </c>
      <c r="O2023" s="85"/>
      <c r="P2023" s="85">
        <f ca="1">IFERROR(__xludf.DUMMYFUNCTION("""COMPUTED_VALUE"""),0)</f>
        <v>0</v>
      </c>
      <c r="Q2023" s="85"/>
      <c r="R2023" s="85">
        <f ca="1">IFERROR(__xludf.DUMMYFUNCTION("""COMPUTED_VALUE"""),0)</f>
        <v>0</v>
      </c>
      <c r="S2023" s="85"/>
      <c r="T2023" s="85"/>
      <c r="U2023" s="82"/>
      <c r="V2023" s="82"/>
      <c r="W2023" s="83"/>
      <c r="X2023" s="83"/>
      <c r="Y2023" s="83"/>
    </row>
    <row r="2024" spans="1:25" ht="13.8">
      <c r="A2024" s="78" t="str">
        <f ca="1">IFERROR(__xludf.DUMMYFUNCTION("""COMPUTED_VALUE"""),"SRA")</f>
        <v>SRA</v>
      </c>
      <c r="B2024" s="79" t="str">
        <f ca="1">IFERROR(__xludf.DUMMYFUNCTION("""COMPUTED_VALUE"""),"Isabelle Fazio")</f>
        <v>Isabelle Fazio</v>
      </c>
      <c r="C2024" s="78">
        <f ca="1">IFERROR(__xludf.DUMMYFUNCTION("""COMPUTED_VALUE"""),13)</f>
        <v>13</v>
      </c>
      <c r="D2024" s="78" t="str">
        <f ca="1">IFERROR(__xludf.DUMMYFUNCTION("""COMPUTED_VALUE"""),"G")</f>
        <v>G</v>
      </c>
      <c r="E2024" s="80" t="str">
        <f ca="1">IFERROR(__xludf.DUMMYFUNCTION("""COMPUTED_VALUE"""),"I")</f>
        <v>I</v>
      </c>
      <c r="F2024" s="86" t="str">
        <f ca="1">IFERROR(__xludf.DUMMYFUNCTION("""COMPUTED_VALUE"""),"S")</f>
        <v>S</v>
      </c>
      <c r="G2024" s="86">
        <f ca="1">IFERROR(__xludf.DUMMYFUNCTION("""COMPUTED_VALUE"""),7)</f>
        <v>7</v>
      </c>
      <c r="H2024" s="86" t="str">
        <f ca="1">IFERROR(__xludf.DUMMYFUNCTION("""COMPUTED_VALUE"""),"SRA")</f>
        <v>SRA</v>
      </c>
      <c r="I2024" s="86">
        <f ca="1">IFERROR(__xludf.DUMMYFUNCTION("""COMPUTED_VALUE"""),6)</f>
        <v>6</v>
      </c>
      <c r="J2024" s="85">
        <f ca="1">IFERROR(__xludf.DUMMYFUNCTION("""COMPUTED_VALUE"""),0)</f>
        <v>0</v>
      </c>
      <c r="K2024" s="85">
        <f ca="1">IFERROR(__xludf.DUMMYFUNCTION("""COMPUTED_VALUE"""),0)</f>
        <v>0</v>
      </c>
      <c r="L2024" s="85">
        <f ca="1">IFERROR(__xludf.DUMMYFUNCTION("""COMPUTED_VALUE"""),0)</f>
        <v>0</v>
      </c>
      <c r="M2024" s="85"/>
      <c r="N2024" s="85">
        <f ca="1">IFERROR(__xludf.DUMMYFUNCTION("""COMPUTED_VALUE"""),0)</f>
        <v>0</v>
      </c>
      <c r="O2024" s="85"/>
      <c r="P2024" s="85">
        <f ca="1">IFERROR(__xludf.DUMMYFUNCTION("""COMPUTED_VALUE"""),0)</f>
        <v>0</v>
      </c>
      <c r="Q2024" s="85"/>
      <c r="R2024" s="85">
        <f ca="1">IFERROR(__xludf.DUMMYFUNCTION("""COMPUTED_VALUE"""),0)</f>
        <v>0</v>
      </c>
      <c r="S2024" s="85"/>
      <c r="T2024" s="85"/>
      <c r="U2024" s="82"/>
      <c r="V2024" s="82"/>
      <c r="W2024" s="83"/>
      <c r="X2024" s="83"/>
      <c r="Y2024" s="83"/>
    </row>
    <row r="2025" spans="1:25" ht="13.8">
      <c r="A2025" s="78" t="str">
        <f ca="1">IFERROR(__xludf.DUMMYFUNCTION("""COMPUTED_VALUE"""),"SRA")</f>
        <v>SRA</v>
      </c>
      <c r="B2025" s="79" t="str">
        <f ca="1">IFERROR(__xludf.DUMMYFUNCTION("""COMPUTED_VALUE"""),"Avery Garr")</f>
        <v>Avery Garr</v>
      </c>
      <c r="C2025" s="78">
        <f ca="1">IFERROR(__xludf.DUMMYFUNCTION("""COMPUTED_VALUE"""),13)</f>
        <v>13</v>
      </c>
      <c r="D2025" s="78" t="str">
        <f ca="1">IFERROR(__xludf.DUMMYFUNCTION("""COMPUTED_VALUE"""),"G")</f>
        <v>G</v>
      </c>
      <c r="E2025" s="80" t="str">
        <f ca="1">IFERROR(__xludf.DUMMYFUNCTION("""COMPUTED_VALUE"""),"I")</f>
        <v>I</v>
      </c>
      <c r="F2025" s="86" t="str">
        <f ca="1">IFERROR(__xludf.DUMMYFUNCTION("""COMPUTED_VALUE"""),"S")</f>
        <v>S</v>
      </c>
      <c r="G2025" s="86">
        <f ca="1">IFERROR(__xludf.DUMMYFUNCTION("""COMPUTED_VALUE"""),7)</f>
        <v>7</v>
      </c>
      <c r="H2025" s="86" t="str">
        <f ca="1">IFERROR(__xludf.DUMMYFUNCTION("""COMPUTED_VALUE"""),"SRA")</f>
        <v>SRA</v>
      </c>
      <c r="I2025" s="86">
        <f ca="1">IFERROR(__xludf.DUMMYFUNCTION("""COMPUTED_VALUE"""),6)</f>
        <v>6</v>
      </c>
      <c r="J2025" s="85">
        <f ca="1">IFERROR(__xludf.DUMMYFUNCTION("""COMPUTED_VALUE"""),2)</f>
        <v>2</v>
      </c>
      <c r="K2025" s="85">
        <f ca="1">IFERROR(__xludf.DUMMYFUNCTION("""COMPUTED_VALUE"""),96.15)</f>
        <v>96.15</v>
      </c>
      <c r="L2025" s="85">
        <f ca="1">IFERROR(__xludf.DUMMYFUNCTION("""COMPUTED_VALUE"""),0)</f>
        <v>0</v>
      </c>
      <c r="M2025" s="85"/>
      <c r="N2025" s="85">
        <f ca="1">IFERROR(__xludf.DUMMYFUNCTION("""COMPUTED_VALUE"""),96.15)</f>
        <v>96.15</v>
      </c>
      <c r="O2025" s="85"/>
      <c r="P2025" s="85">
        <f ca="1">IFERROR(__xludf.DUMMYFUNCTION("""COMPUTED_VALUE"""),84.75)</f>
        <v>84.75</v>
      </c>
      <c r="Q2025" s="85"/>
      <c r="R2025" s="85">
        <f ca="1">IFERROR(__xludf.DUMMYFUNCTION("""COMPUTED_VALUE"""),0)</f>
        <v>0</v>
      </c>
      <c r="S2025" s="85"/>
      <c r="T2025" s="85"/>
      <c r="U2025" s="82"/>
      <c r="V2025" s="82"/>
      <c r="W2025" s="83"/>
      <c r="X2025" s="83"/>
      <c r="Y2025" s="83"/>
    </row>
    <row r="2026" spans="1:25" ht="13.8">
      <c r="A2026" s="78" t="str">
        <f ca="1">IFERROR(__xludf.DUMMYFUNCTION("""COMPUTED_VALUE"""),"SRA")</f>
        <v>SRA</v>
      </c>
      <c r="B2026" s="79" t="str">
        <f ca="1">IFERROR(__xludf.DUMMYFUNCTION("""COMPUTED_VALUE"""),"Lily Ross")</f>
        <v>Lily Ross</v>
      </c>
      <c r="C2026" s="78">
        <f ca="1">IFERROR(__xludf.DUMMYFUNCTION("""COMPUTED_VALUE"""),13)</f>
        <v>13</v>
      </c>
      <c r="D2026" s="78" t="str">
        <f ca="1">IFERROR(__xludf.DUMMYFUNCTION("""COMPUTED_VALUE"""),"G")</f>
        <v>G</v>
      </c>
      <c r="E2026" s="80" t="str">
        <f ca="1">IFERROR(__xludf.DUMMYFUNCTION("""COMPUTED_VALUE"""),"I")</f>
        <v>I</v>
      </c>
      <c r="F2026" s="86" t="str">
        <f ca="1">IFERROR(__xludf.DUMMYFUNCTION("""COMPUTED_VALUE"""),"S")</f>
        <v>S</v>
      </c>
      <c r="G2026" s="86">
        <f ca="1">IFERROR(__xludf.DUMMYFUNCTION("""COMPUTED_VALUE"""),7)</f>
        <v>7</v>
      </c>
      <c r="H2026" s="86" t="str">
        <f ca="1">IFERROR(__xludf.DUMMYFUNCTION("""COMPUTED_VALUE"""),"SRA")</f>
        <v>SRA</v>
      </c>
      <c r="I2026" s="86">
        <f ca="1">IFERROR(__xludf.DUMMYFUNCTION("""COMPUTED_VALUE"""),6)</f>
        <v>6</v>
      </c>
      <c r="J2026" s="85">
        <f ca="1">IFERROR(__xludf.DUMMYFUNCTION("""COMPUTED_VALUE"""),4)</f>
        <v>4</v>
      </c>
      <c r="K2026" s="85">
        <f ca="1">IFERROR(__xludf.DUMMYFUNCTION("""COMPUTED_VALUE"""),105.2)</f>
        <v>105.2</v>
      </c>
      <c r="L2026" s="85">
        <f ca="1">IFERROR(__xludf.DUMMYFUNCTION("""COMPUTED_VALUE"""),0)</f>
        <v>0</v>
      </c>
      <c r="M2026" s="85"/>
      <c r="N2026" s="85">
        <f ca="1">IFERROR(__xludf.DUMMYFUNCTION("""COMPUTED_VALUE"""),98.65)</f>
        <v>98.65</v>
      </c>
      <c r="O2026" s="85"/>
      <c r="P2026" s="85">
        <f ca="1">IFERROR(__xludf.DUMMYFUNCTION("""COMPUTED_VALUE"""),100.15)</f>
        <v>100.15</v>
      </c>
      <c r="Q2026" s="85"/>
      <c r="R2026" s="85">
        <f ca="1">IFERROR(__xludf.DUMMYFUNCTION("""COMPUTED_VALUE"""),105.2)</f>
        <v>105.2</v>
      </c>
      <c r="S2026" s="85"/>
      <c r="T2026" s="85"/>
      <c r="U2026" s="82"/>
      <c r="V2026" s="82"/>
      <c r="W2026" s="83"/>
      <c r="X2026" s="83"/>
      <c r="Y2026" s="83"/>
    </row>
    <row r="2027" spans="1:25" ht="13.8">
      <c r="A2027" s="78" t="str">
        <f ca="1">IFERROR(__xludf.DUMMYFUNCTION("""COMPUTED_VALUE"""),"SRA")</f>
        <v>SRA</v>
      </c>
      <c r="B2027" s="79" t="str">
        <f ca="1">IFERROR(__xludf.DUMMYFUNCTION("""COMPUTED_VALUE"""),"Ryan Calligaro")</f>
        <v>Ryan Calligaro</v>
      </c>
      <c r="C2027" s="78">
        <f ca="1">IFERROR(__xludf.DUMMYFUNCTION("""COMPUTED_VALUE"""),13)</f>
        <v>13</v>
      </c>
      <c r="D2027" s="78" t="str">
        <f ca="1">IFERROR(__xludf.DUMMYFUNCTION("""COMPUTED_VALUE"""),"B")</f>
        <v>B</v>
      </c>
      <c r="E2027" s="80" t="str">
        <f ca="1">IFERROR(__xludf.DUMMYFUNCTION("""COMPUTED_VALUE"""),"I")</f>
        <v>I</v>
      </c>
      <c r="F2027" s="86" t="str">
        <f ca="1">IFERROR(__xludf.DUMMYFUNCTION("""COMPUTED_VALUE"""),"S")</f>
        <v>S</v>
      </c>
      <c r="G2027" s="86">
        <f ca="1">IFERROR(__xludf.DUMMYFUNCTION("""COMPUTED_VALUE"""),7)</f>
        <v>7</v>
      </c>
      <c r="H2027" s="86" t="str">
        <f ca="1">IFERROR(__xludf.DUMMYFUNCTION("""COMPUTED_VALUE"""),"SRA")</f>
        <v>SRA</v>
      </c>
      <c r="I2027" s="86">
        <f ca="1">IFERROR(__xludf.DUMMYFUNCTION("""COMPUTED_VALUE"""),7)</f>
        <v>7</v>
      </c>
      <c r="J2027" s="85">
        <f ca="1">IFERROR(__xludf.DUMMYFUNCTION("""COMPUTED_VALUE"""),4)</f>
        <v>4</v>
      </c>
      <c r="K2027" s="85">
        <f ca="1">IFERROR(__xludf.DUMMYFUNCTION("""COMPUTED_VALUE"""),119.6)</f>
        <v>119.6</v>
      </c>
      <c r="L2027" s="85">
        <f ca="1">IFERROR(__xludf.DUMMYFUNCTION("""COMPUTED_VALUE"""),109.25)</f>
        <v>109.25</v>
      </c>
      <c r="M2027" s="85"/>
      <c r="N2027" s="85">
        <f ca="1">IFERROR(__xludf.DUMMYFUNCTION("""COMPUTED_VALUE"""),0)</f>
        <v>0</v>
      </c>
      <c r="O2027" s="85"/>
      <c r="P2027" s="85">
        <f ca="1">IFERROR(__xludf.DUMMYFUNCTION("""COMPUTED_VALUE"""),119.6)</f>
        <v>119.6</v>
      </c>
      <c r="Q2027" s="85"/>
      <c r="R2027" s="85">
        <f ca="1">IFERROR(__xludf.DUMMYFUNCTION("""COMPUTED_VALUE"""),112.05)</f>
        <v>112.05</v>
      </c>
      <c r="S2027" s="85"/>
      <c r="T2027" s="85"/>
      <c r="U2027" s="82"/>
      <c r="V2027" s="82"/>
      <c r="W2027" s="83"/>
      <c r="X2027" s="83"/>
      <c r="Y2027" s="83"/>
    </row>
    <row r="2028" spans="1:25" ht="13.8">
      <c r="A2028" s="78" t="str">
        <f ca="1">IFERROR(__xludf.DUMMYFUNCTION("""COMPUTED_VALUE"""),"SRA")</f>
        <v>SRA</v>
      </c>
      <c r="B2028" s="79" t="str">
        <f ca="1">IFERROR(__xludf.DUMMYFUNCTION("""COMPUTED_VALUE"""),"Allison Ary")</f>
        <v>Allison Ary</v>
      </c>
      <c r="C2028" s="78">
        <f ca="1">IFERROR(__xludf.DUMMYFUNCTION("""COMPUTED_VALUE"""),15)</f>
        <v>15</v>
      </c>
      <c r="D2028" s="78" t="str">
        <f ca="1">IFERROR(__xludf.DUMMYFUNCTION("""COMPUTED_VALUE"""),"G")</f>
        <v>G</v>
      </c>
      <c r="E2028" s="80" t="str">
        <f ca="1">IFERROR(__xludf.DUMMYFUNCTION("""COMPUTED_VALUE"""),"S")</f>
        <v>S</v>
      </c>
      <c r="F2028" s="86" t="str">
        <f ca="1">IFERROR(__xludf.DUMMYFUNCTION("""COMPUTED_VALUE"""),"S")</f>
        <v>S</v>
      </c>
      <c r="G2028" s="86">
        <f ca="1">IFERROR(__xludf.DUMMYFUNCTION("""COMPUTED_VALUE"""),7)</f>
        <v>7</v>
      </c>
      <c r="H2028" s="86" t="str">
        <f ca="1">IFERROR(__xludf.DUMMYFUNCTION("""COMPUTED_VALUE"""),"SRA")</f>
        <v>SRA</v>
      </c>
      <c r="I2028" s="86">
        <f ca="1">IFERROR(__xludf.DUMMYFUNCTION("""COMPUTED_VALUE"""),8)</f>
        <v>8</v>
      </c>
      <c r="J2028" s="85">
        <f ca="1">IFERROR(__xludf.DUMMYFUNCTION("""COMPUTED_VALUE"""),5)</f>
        <v>5</v>
      </c>
      <c r="K2028" s="85">
        <f ca="1">IFERROR(__xludf.DUMMYFUNCTION("""COMPUTED_VALUE"""),143.75)</f>
        <v>143.75</v>
      </c>
      <c r="L2028" s="85">
        <f ca="1">IFERROR(__xludf.DUMMYFUNCTION("""COMPUTED_VALUE"""),123.55)</f>
        <v>123.55</v>
      </c>
      <c r="M2028" s="85"/>
      <c r="N2028" s="85">
        <f ca="1">IFERROR(__xludf.DUMMYFUNCTION("""COMPUTED_VALUE"""),124.8)</f>
        <v>124.8</v>
      </c>
      <c r="O2028" s="85"/>
      <c r="P2028" s="85">
        <f ca="1">IFERROR(__xludf.DUMMYFUNCTION("""COMPUTED_VALUE"""),131.3)</f>
        <v>131.30000000000001</v>
      </c>
      <c r="Q2028" s="85"/>
      <c r="R2028" s="85">
        <f ca="1">IFERROR(__xludf.DUMMYFUNCTION("""COMPUTED_VALUE"""),143.75)</f>
        <v>143.75</v>
      </c>
      <c r="S2028" s="85"/>
      <c r="T2028" s="85"/>
      <c r="U2028" s="82"/>
      <c r="V2028" s="82"/>
      <c r="W2028" s="83"/>
      <c r="X2028" s="83"/>
      <c r="Y2028" s="83"/>
    </row>
    <row r="2029" spans="1:25" ht="13.8">
      <c r="A2029" s="78" t="str">
        <f ca="1">IFERROR(__xludf.DUMMYFUNCTION("""COMPUTED_VALUE"""),"SRA")</f>
        <v>SRA</v>
      </c>
      <c r="B2029" s="79" t="str">
        <f ca="1">IFERROR(__xludf.DUMMYFUNCTION("""COMPUTED_VALUE"""),"Sarah Fleming")</f>
        <v>Sarah Fleming</v>
      </c>
      <c r="C2029" s="78">
        <f ca="1">IFERROR(__xludf.DUMMYFUNCTION("""COMPUTED_VALUE"""),17)</f>
        <v>17</v>
      </c>
      <c r="D2029" s="78" t="str">
        <f ca="1">IFERROR(__xludf.DUMMYFUNCTION("""COMPUTED_VALUE"""),"G")</f>
        <v>G</v>
      </c>
      <c r="E2029" s="80" t="str">
        <f ca="1">IFERROR(__xludf.DUMMYFUNCTION("""COMPUTED_VALUE"""),"S")</f>
        <v>S</v>
      </c>
      <c r="F2029" s="86" t="str">
        <f ca="1">IFERROR(__xludf.DUMMYFUNCTION("""COMPUTED_VALUE"""),"S")</f>
        <v>S</v>
      </c>
      <c r="G2029" s="86">
        <f ca="1">IFERROR(__xludf.DUMMYFUNCTION("""COMPUTED_VALUE"""),7)</f>
        <v>7</v>
      </c>
      <c r="H2029" s="86" t="str">
        <f ca="1">IFERROR(__xludf.DUMMYFUNCTION("""COMPUTED_VALUE"""),"SRA")</f>
        <v>SRA</v>
      </c>
      <c r="I2029" s="86">
        <f ca="1">IFERROR(__xludf.DUMMYFUNCTION("""COMPUTED_VALUE"""),8)</f>
        <v>8</v>
      </c>
      <c r="J2029" s="85">
        <f ca="1">IFERROR(__xludf.DUMMYFUNCTION("""COMPUTED_VALUE"""),4)</f>
        <v>4</v>
      </c>
      <c r="K2029" s="85">
        <f ca="1">IFERROR(__xludf.DUMMYFUNCTION("""COMPUTED_VALUE"""),140.3)</f>
        <v>140.30000000000001</v>
      </c>
      <c r="L2029" s="85">
        <f ca="1">IFERROR(__xludf.DUMMYFUNCTION("""COMPUTED_VALUE"""),0)</f>
        <v>0</v>
      </c>
      <c r="M2029" s="85"/>
      <c r="N2029" s="85">
        <f ca="1">IFERROR(__xludf.DUMMYFUNCTION("""COMPUTED_VALUE"""),135.35)</f>
        <v>135.35</v>
      </c>
      <c r="O2029" s="85"/>
      <c r="P2029" s="85">
        <f ca="1">IFERROR(__xludf.DUMMYFUNCTION("""COMPUTED_VALUE"""),136)</f>
        <v>136</v>
      </c>
      <c r="Q2029" s="85"/>
      <c r="R2029" s="85">
        <f ca="1">IFERROR(__xludf.DUMMYFUNCTION("""COMPUTED_VALUE"""),140.3)</f>
        <v>140.30000000000001</v>
      </c>
      <c r="S2029" s="85"/>
      <c r="T2029" s="85"/>
      <c r="U2029" s="82"/>
      <c r="V2029" s="82"/>
      <c r="W2029" s="83"/>
      <c r="X2029" s="83"/>
      <c r="Y2029" s="83"/>
    </row>
    <row r="2030" spans="1:25" ht="13.8">
      <c r="A2030" s="78" t="str">
        <f ca="1">IFERROR(__xludf.DUMMYFUNCTION("""COMPUTED_VALUE"""),"SRA")</f>
        <v>SRA</v>
      </c>
      <c r="B2030" s="79" t="str">
        <f ca="1">IFERROR(__xludf.DUMMYFUNCTION("""COMPUTED_VALUE"""),"Amanda Kendrick")</f>
        <v>Amanda Kendrick</v>
      </c>
      <c r="C2030" s="78">
        <f ca="1">IFERROR(__xludf.DUMMYFUNCTION("""COMPUTED_VALUE"""),17)</f>
        <v>17</v>
      </c>
      <c r="D2030" s="78" t="str">
        <f ca="1">IFERROR(__xludf.DUMMYFUNCTION("""COMPUTED_VALUE"""),"G")</f>
        <v>G</v>
      </c>
      <c r="E2030" s="80" t="str">
        <f ca="1">IFERROR(__xludf.DUMMYFUNCTION("""COMPUTED_VALUE"""),"S")</f>
        <v>S</v>
      </c>
      <c r="F2030" s="86" t="str">
        <f ca="1">IFERROR(__xludf.DUMMYFUNCTION("""COMPUTED_VALUE"""),"S")</f>
        <v>S</v>
      </c>
      <c r="G2030" s="86">
        <f ca="1">IFERROR(__xludf.DUMMYFUNCTION("""COMPUTED_VALUE"""),7)</f>
        <v>7</v>
      </c>
      <c r="H2030" s="86" t="str">
        <f ca="1">IFERROR(__xludf.DUMMYFUNCTION("""COMPUTED_VALUE"""),"SRA")</f>
        <v>SRA</v>
      </c>
      <c r="I2030" s="86">
        <f ca="1">IFERROR(__xludf.DUMMYFUNCTION("""COMPUTED_VALUE"""),8)</f>
        <v>8</v>
      </c>
      <c r="J2030" s="85">
        <f ca="1">IFERROR(__xludf.DUMMYFUNCTION("""COMPUTED_VALUE"""),4)</f>
        <v>4</v>
      </c>
      <c r="K2030" s="85">
        <f ca="1">IFERROR(__xludf.DUMMYFUNCTION("""COMPUTED_VALUE"""),126.95)</f>
        <v>126.95</v>
      </c>
      <c r="L2030" s="85">
        <f ca="1">IFERROR(__xludf.DUMMYFUNCTION("""COMPUTED_VALUE"""),114)</f>
        <v>114</v>
      </c>
      <c r="M2030" s="85"/>
      <c r="N2030" s="85">
        <f ca="1">IFERROR(__xludf.DUMMYFUNCTION("""COMPUTED_VALUE"""),126.95)</f>
        <v>126.95</v>
      </c>
      <c r="O2030" s="85"/>
      <c r="P2030" s="85">
        <f ca="1">IFERROR(__xludf.DUMMYFUNCTION("""COMPUTED_VALUE"""),125)</f>
        <v>125</v>
      </c>
      <c r="Q2030" s="85"/>
      <c r="R2030" s="85">
        <f ca="1">IFERROR(__xludf.DUMMYFUNCTION("""COMPUTED_VALUE"""),0)</f>
        <v>0</v>
      </c>
      <c r="S2030" s="85"/>
      <c r="T2030" s="85"/>
      <c r="U2030" s="82"/>
      <c r="V2030" s="82"/>
      <c r="W2030" s="83"/>
      <c r="X2030" s="83"/>
      <c r="Y2030" s="83"/>
    </row>
    <row r="2031" spans="1:25" ht="13.8">
      <c r="A2031" s="78" t="str">
        <f ca="1">IFERROR(__xludf.DUMMYFUNCTION("""COMPUTED_VALUE"""),"SRA")</f>
        <v>SRA</v>
      </c>
      <c r="B2031" s="79" t="str">
        <f ca="1">IFERROR(__xludf.DUMMYFUNCTION("""COMPUTED_VALUE"""),"Maddi Ross")</f>
        <v>Maddi Ross</v>
      </c>
      <c r="C2031" s="78">
        <f ca="1">IFERROR(__xludf.DUMMYFUNCTION("""COMPUTED_VALUE"""),16)</f>
        <v>16</v>
      </c>
      <c r="D2031" s="78" t="str">
        <f ca="1">IFERROR(__xludf.DUMMYFUNCTION("""COMPUTED_VALUE"""),"G")</f>
        <v>G</v>
      </c>
      <c r="E2031" s="80" t="str">
        <f ca="1">IFERROR(__xludf.DUMMYFUNCTION("""COMPUTED_VALUE"""),"S")</f>
        <v>S</v>
      </c>
      <c r="F2031" s="86" t="str">
        <f ca="1">IFERROR(__xludf.DUMMYFUNCTION("""COMPUTED_VALUE"""),"S")</f>
        <v>S</v>
      </c>
      <c r="G2031" s="86">
        <f ca="1">IFERROR(__xludf.DUMMYFUNCTION("""COMPUTED_VALUE"""),7)</f>
        <v>7</v>
      </c>
      <c r="H2031" s="86" t="str">
        <f ca="1">IFERROR(__xludf.DUMMYFUNCTION("""COMPUTED_VALUE"""),"SRA")</f>
        <v>SRA</v>
      </c>
      <c r="I2031" s="86">
        <f ca="1">IFERROR(__xludf.DUMMYFUNCTION("""COMPUTED_VALUE"""),8)</f>
        <v>8</v>
      </c>
      <c r="J2031" s="85">
        <f ca="1">IFERROR(__xludf.DUMMYFUNCTION("""COMPUTED_VALUE"""),5)</f>
        <v>5</v>
      </c>
      <c r="K2031" s="85">
        <f ca="1">IFERROR(__xludf.DUMMYFUNCTION("""COMPUTED_VALUE"""),136.1)</f>
        <v>136.1</v>
      </c>
      <c r="L2031" s="85">
        <f ca="1">IFERROR(__xludf.DUMMYFUNCTION("""COMPUTED_VALUE"""),132.15)</f>
        <v>132.15</v>
      </c>
      <c r="M2031" s="85"/>
      <c r="N2031" s="85">
        <f ca="1">IFERROR(__xludf.DUMMYFUNCTION("""COMPUTED_VALUE"""),136.1)</f>
        <v>136.1</v>
      </c>
      <c r="O2031" s="85"/>
      <c r="P2031" s="85">
        <f ca="1">IFERROR(__xludf.DUMMYFUNCTION("""COMPUTED_VALUE"""),131.75)</f>
        <v>131.75</v>
      </c>
      <c r="Q2031" s="85"/>
      <c r="R2031" s="85">
        <f ca="1">IFERROR(__xludf.DUMMYFUNCTION("""COMPUTED_VALUE"""),128.5)</f>
        <v>128.5</v>
      </c>
      <c r="S2031" s="85"/>
      <c r="T2031" s="85"/>
      <c r="U2031" s="82"/>
      <c r="V2031" s="82"/>
      <c r="W2031" s="83"/>
      <c r="X2031" s="83"/>
      <c r="Y2031" s="83"/>
    </row>
    <row r="2032" spans="1:25" ht="13.8">
      <c r="A2032" s="78" t="str">
        <f ca="1">IFERROR(__xludf.DUMMYFUNCTION("""COMPUTED_VALUE"""),"SRA")</f>
        <v>SRA</v>
      </c>
      <c r="B2032" s="79" t="str">
        <f ca="1">IFERROR(__xludf.DUMMYFUNCTION("""COMPUTED_VALUE"""),"John Dinkel")</f>
        <v>John Dinkel</v>
      </c>
      <c r="C2032" s="78">
        <f ca="1">IFERROR(__xludf.DUMMYFUNCTION("""COMPUTED_VALUE"""),18)</f>
        <v>18</v>
      </c>
      <c r="D2032" s="78" t="str">
        <f ca="1">IFERROR(__xludf.DUMMYFUNCTION("""COMPUTED_VALUE"""),"B")</f>
        <v>B</v>
      </c>
      <c r="E2032" s="80" t="str">
        <f ca="1">IFERROR(__xludf.DUMMYFUNCTION("""COMPUTED_VALUE"""),"S")</f>
        <v>S</v>
      </c>
      <c r="F2032" s="86" t="str">
        <f ca="1">IFERROR(__xludf.DUMMYFUNCTION("""COMPUTED_VALUE"""),"S")</f>
        <v>S</v>
      </c>
      <c r="G2032" s="86">
        <f ca="1">IFERROR(__xludf.DUMMYFUNCTION("""COMPUTED_VALUE"""),7)</f>
        <v>7</v>
      </c>
      <c r="H2032" s="86" t="str">
        <f ca="1">IFERROR(__xludf.DUMMYFUNCTION("""COMPUTED_VALUE"""),"SRA")</f>
        <v>SRA</v>
      </c>
      <c r="I2032" s="86">
        <f ca="1">IFERROR(__xludf.DUMMYFUNCTION("""COMPUTED_VALUE"""),9)</f>
        <v>9</v>
      </c>
      <c r="J2032" s="85">
        <f ca="1">IFERROR(__xludf.DUMMYFUNCTION("""COMPUTED_VALUE"""),2)</f>
        <v>2</v>
      </c>
      <c r="K2032" s="85">
        <f ca="1">IFERROR(__xludf.DUMMYFUNCTION("""COMPUTED_VALUE"""),175.1)</f>
        <v>175.1</v>
      </c>
      <c r="L2032" s="85">
        <f ca="1">IFERROR(__xludf.DUMMYFUNCTION("""COMPUTED_VALUE"""),0)</f>
        <v>0</v>
      </c>
      <c r="M2032" s="85"/>
      <c r="N2032" s="85">
        <f ca="1">IFERROR(__xludf.DUMMYFUNCTION("""COMPUTED_VALUE"""),0)</f>
        <v>0</v>
      </c>
      <c r="O2032" s="85"/>
      <c r="P2032" s="85">
        <f ca="1">IFERROR(__xludf.DUMMYFUNCTION("""COMPUTED_VALUE"""),175.1)</f>
        <v>175.1</v>
      </c>
      <c r="Q2032" s="85"/>
      <c r="R2032" s="85">
        <f ca="1">IFERROR(__xludf.DUMMYFUNCTION("""COMPUTED_VALUE"""),0)</f>
        <v>0</v>
      </c>
      <c r="S2032" s="85"/>
      <c r="T2032" s="85"/>
      <c r="U2032" s="82"/>
      <c r="V2032" s="82"/>
      <c r="W2032" s="83"/>
      <c r="X2032" s="83"/>
      <c r="Y2032" s="83"/>
    </row>
    <row r="2033" spans="1:25" ht="13.8">
      <c r="A2033" s="78" t="str">
        <f ca="1">IFERROR(__xludf.DUMMYFUNCTION("""COMPUTED_VALUE"""),"SRA")</f>
        <v>SRA</v>
      </c>
      <c r="B2033" s="79" t="str">
        <f ca="1">IFERROR(__xludf.DUMMYFUNCTION("""COMPUTED_VALUE"""),"Kevin Dinkel")</f>
        <v>Kevin Dinkel</v>
      </c>
      <c r="C2033" s="78">
        <f ca="1">IFERROR(__xludf.DUMMYFUNCTION("""COMPUTED_VALUE"""),18)</f>
        <v>18</v>
      </c>
      <c r="D2033" s="78" t="str">
        <f ca="1">IFERROR(__xludf.DUMMYFUNCTION("""COMPUTED_VALUE"""),"B")</f>
        <v>B</v>
      </c>
      <c r="E2033" s="80" t="str">
        <f ca="1">IFERROR(__xludf.DUMMYFUNCTION("""COMPUTED_VALUE"""),"S")</f>
        <v>S</v>
      </c>
      <c r="F2033" s="86" t="str">
        <f ca="1">IFERROR(__xludf.DUMMYFUNCTION("""COMPUTED_VALUE"""),"S")</f>
        <v>S</v>
      </c>
      <c r="G2033" s="86">
        <f ca="1">IFERROR(__xludf.DUMMYFUNCTION("""COMPUTED_VALUE"""),7)</f>
        <v>7</v>
      </c>
      <c r="H2033" s="86" t="str">
        <f ca="1">IFERROR(__xludf.DUMMYFUNCTION("""COMPUTED_VALUE"""),"SRA")</f>
        <v>SRA</v>
      </c>
      <c r="I2033" s="86">
        <f ca="1">IFERROR(__xludf.DUMMYFUNCTION("""COMPUTED_VALUE"""),9)</f>
        <v>9</v>
      </c>
      <c r="J2033" s="85">
        <f ca="1">IFERROR(__xludf.DUMMYFUNCTION("""COMPUTED_VALUE"""),5)</f>
        <v>5</v>
      </c>
      <c r="K2033" s="85">
        <f ca="1">IFERROR(__xludf.DUMMYFUNCTION("""COMPUTED_VALUE"""),220.8)</f>
        <v>220.8</v>
      </c>
      <c r="L2033" s="85">
        <f ca="1">IFERROR(__xludf.DUMMYFUNCTION("""COMPUTED_VALUE"""),172.35)</f>
        <v>172.35</v>
      </c>
      <c r="M2033" s="85"/>
      <c r="N2033" s="85">
        <f ca="1">IFERROR(__xludf.DUMMYFUNCTION("""COMPUTED_VALUE"""),183.3)</f>
        <v>183.3</v>
      </c>
      <c r="O2033" s="85"/>
      <c r="P2033" s="85">
        <f ca="1">IFERROR(__xludf.DUMMYFUNCTION("""COMPUTED_VALUE"""),204.9)</f>
        <v>204.9</v>
      </c>
      <c r="Q2033" s="85"/>
      <c r="R2033" s="85">
        <f ca="1">IFERROR(__xludf.DUMMYFUNCTION("""COMPUTED_VALUE"""),220.8)</f>
        <v>220.8</v>
      </c>
      <c r="S2033" s="85"/>
      <c r="T2033" s="85"/>
      <c r="U2033" s="82"/>
      <c r="V2033" s="82"/>
      <c r="W2033" s="83"/>
      <c r="X2033" s="83"/>
      <c r="Y2033" s="83"/>
    </row>
    <row r="2034" spans="1:25" ht="13.8">
      <c r="A2034" s="78" t="str">
        <f ca="1">IFERROR(__xludf.DUMMYFUNCTION("""COMPUTED_VALUE"""),"SRA")</f>
        <v>SRA</v>
      </c>
      <c r="B2034" s="79" t="str">
        <f ca="1">IFERROR(__xludf.DUMMYFUNCTION("""COMPUTED_VALUE"""),"Boede Offringa")</f>
        <v>Boede Offringa</v>
      </c>
      <c r="C2034" s="78">
        <f ca="1">IFERROR(__xludf.DUMMYFUNCTION("""COMPUTED_VALUE"""),17)</f>
        <v>17</v>
      </c>
      <c r="D2034" s="78" t="str">
        <f ca="1">IFERROR(__xludf.DUMMYFUNCTION("""COMPUTED_VALUE"""),"B")</f>
        <v>B</v>
      </c>
      <c r="E2034" s="80" t="str">
        <f ca="1">IFERROR(__xludf.DUMMYFUNCTION("""COMPUTED_VALUE"""),"S")</f>
        <v>S</v>
      </c>
      <c r="F2034" s="86" t="str">
        <f ca="1">IFERROR(__xludf.DUMMYFUNCTION("""COMPUTED_VALUE"""),"S")</f>
        <v>S</v>
      </c>
      <c r="G2034" s="86">
        <f ca="1">IFERROR(__xludf.DUMMYFUNCTION("""COMPUTED_VALUE"""),7)</f>
        <v>7</v>
      </c>
      <c r="H2034" s="86" t="str">
        <f ca="1">IFERROR(__xludf.DUMMYFUNCTION("""COMPUTED_VALUE"""),"SRA")</f>
        <v>SRA</v>
      </c>
      <c r="I2034" s="86">
        <f ca="1">IFERROR(__xludf.DUMMYFUNCTION("""COMPUTED_VALUE"""),9)</f>
        <v>9</v>
      </c>
      <c r="J2034" s="85">
        <f ca="1">IFERROR(__xludf.DUMMYFUNCTION("""COMPUTED_VALUE"""),5)</f>
        <v>5</v>
      </c>
      <c r="K2034" s="85">
        <f ca="1">IFERROR(__xludf.DUMMYFUNCTION("""COMPUTED_VALUE"""),212.5)</f>
        <v>212.5</v>
      </c>
      <c r="L2034" s="85">
        <f ca="1">IFERROR(__xludf.DUMMYFUNCTION("""COMPUTED_VALUE"""),186.15)</f>
        <v>186.15</v>
      </c>
      <c r="M2034" s="85"/>
      <c r="N2034" s="85">
        <f ca="1">IFERROR(__xludf.DUMMYFUNCTION("""COMPUTED_VALUE"""),191.15)</f>
        <v>191.15</v>
      </c>
      <c r="O2034" s="85"/>
      <c r="P2034" s="85">
        <f ca="1">IFERROR(__xludf.DUMMYFUNCTION("""COMPUTED_VALUE"""),207.55)</f>
        <v>207.55</v>
      </c>
      <c r="Q2034" s="85"/>
      <c r="R2034" s="85">
        <f ca="1">IFERROR(__xludf.DUMMYFUNCTION("""COMPUTED_VALUE"""),212.5)</f>
        <v>212.5</v>
      </c>
      <c r="S2034" s="85"/>
      <c r="T2034" s="85"/>
      <c r="U2034" s="82"/>
      <c r="V2034" s="82"/>
      <c r="W2034" s="83"/>
      <c r="X2034" s="83"/>
      <c r="Y2034" s="83"/>
    </row>
    <row r="2035" spans="1:25" ht="13.8">
      <c r="A2035" s="78" t="str">
        <f ca="1">IFERROR(__xludf.DUMMYFUNCTION("""COMPUTED_VALUE"""),"SRA")</f>
        <v>SRA</v>
      </c>
      <c r="B2035" s="79" t="str">
        <f ca="1">IFERROR(__xludf.DUMMYFUNCTION("""COMPUTED_VALUE"""),"Dillon Wirth")</f>
        <v>Dillon Wirth</v>
      </c>
      <c r="C2035" s="78">
        <f ca="1">IFERROR(__xludf.DUMMYFUNCTION("""COMPUTED_VALUE"""),18)</f>
        <v>18</v>
      </c>
      <c r="D2035" s="78" t="str">
        <f ca="1">IFERROR(__xludf.DUMMYFUNCTION("""COMPUTED_VALUE"""),"B")</f>
        <v>B</v>
      </c>
      <c r="E2035" s="80" t="str">
        <f ca="1">IFERROR(__xludf.DUMMYFUNCTION("""COMPUTED_VALUE"""),"S")</f>
        <v>S</v>
      </c>
      <c r="F2035" s="86" t="str">
        <f ca="1">IFERROR(__xludf.DUMMYFUNCTION("""COMPUTED_VALUE"""),"S")</f>
        <v>S</v>
      </c>
      <c r="G2035" s="86">
        <f ca="1">IFERROR(__xludf.DUMMYFUNCTION("""COMPUTED_VALUE"""),7)</f>
        <v>7</v>
      </c>
      <c r="H2035" s="86" t="str">
        <f ca="1">IFERROR(__xludf.DUMMYFUNCTION("""COMPUTED_VALUE"""),"SRA")</f>
        <v>SRA</v>
      </c>
      <c r="I2035" s="86">
        <f ca="1">IFERROR(__xludf.DUMMYFUNCTION("""COMPUTED_VALUE"""),9)</f>
        <v>9</v>
      </c>
      <c r="J2035" s="85">
        <f ca="1">IFERROR(__xludf.DUMMYFUNCTION("""COMPUTED_VALUE"""),4)</f>
        <v>4</v>
      </c>
      <c r="K2035" s="85">
        <f ca="1">IFERROR(__xludf.DUMMYFUNCTION("""COMPUTED_VALUE"""),139)</f>
        <v>139</v>
      </c>
      <c r="L2035" s="85">
        <f ca="1">IFERROR(__xludf.DUMMYFUNCTION("""COMPUTED_VALUE"""),127.7)</f>
        <v>127.7</v>
      </c>
      <c r="M2035" s="85"/>
      <c r="N2035" s="85">
        <f ca="1">IFERROR(__xludf.DUMMYFUNCTION("""COMPUTED_VALUE"""),0)</f>
        <v>0</v>
      </c>
      <c r="O2035" s="85"/>
      <c r="P2035" s="85">
        <f ca="1">IFERROR(__xludf.DUMMYFUNCTION("""COMPUTED_VALUE"""),139)</f>
        <v>139</v>
      </c>
      <c r="Q2035" s="85"/>
      <c r="R2035" s="85">
        <f ca="1">IFERROR(__xludf.DUMMYFUNCTION("""COMPUTED_VALUE"""),122.35)</f>
        <v>122.35</v>
      </c>
      <c r="S2035" s="85"/>
      <c r="T2035" s="85"/>
      <c r="U2035" s="82"/>
      <c r="V2035" s="82"/>
      <c r="W2035" s="83"/>
      <c r="X2035" s="83"/>
      <c r="Y2035" s="83"/>
    </row>
    <row r="2036" spans="1:25" ht="13.8">
      <c r="A2036" s="78" t="str">
        <f ca="1">IFERROR(__xludf.DUMMYFUNCTION("""COMPUTED_VALUE"""),"T")</f>
        <v>T</v>
      </c>
      <c r="B2036" s="79" t="str">
        <f ca="1">IFERROR(__xludf.DUMMYFUNCTION("""COMPUTED_VALUE"""),"Leah Bailey")</f>
        <v>Leah Bailey</v>
      </c>
      <c r="C2036" s="78">
        <f ca="1">IFERROR(__xludf.DUMMYFUNCTION("""COMPUTED_VALUE"""),9)</f>
        <v>9</v>
      </c>
      <c r="D2036" s="78" t="str">
        <f ca="1">IFERROR(__xludf.DUMMYFUNCTION("""COMPUTED_VALUE"""),"G")</f>
        <v>G</v>
      </c>
      <c r="E2036" s="80" t="str">
        <f ca="1">IFERROR(__xludf.DUMMYFUNCTION("""COMPUTED_VALUE"""),"F")</f>
        <v>F</v>
      </c>
      <c r="F2036" s="86" t="str">
        <f ca="1">IFERROR(__xludf.DUMMYFUNCTION("""COMPUTED_VALUE"""),"J")</f>
        <v>J</v>
      </c>
      <c r="G2036" s="86">
        <f ca="1">IFERROR(__xludf.DUMMYFUNCTION("""COMPUTED_VALUE"""),4)</f>
        <v>4</v>
      </c>
      <c r="H2036" s="86" t="str">
        <f ca="1">IFERROR(__xludf.DUMMYFUNCTION("""COMPUTED_VALUE"""),"T")</f>
        <v>T</v>
      </c>
      <c r="I2036" s="86">
        <f ca="1">IFERROR(__xludf.DUMMYFUNCTION("""COMPUTED_VALUE"""),2)</f>
        <v>2</v>
      </c>
      <c r="J2036" s="85">
        <f ca="1">IFERROR(__xludf.DUMMYFUNCTION("""COMPUTED_VALUE"""),5)</f>
        <v>5</v>
      </c>
      <c r="K2036" s="85">
        <f ca="1">IFERROR(__xludf.DUMMYFUNCTION("""COMPUTED_VALUE"""),64.85)</f>
        <v>64.849999999999994</v>
      </c>
      <c r="L2036" s="85">
        <f ca="1">IFERROR(__xludf.DUMMYFUNCTION("""COMPUTED_VALUE"""),58.4)</f>
        <v>58.4</v>
      </c>
      <c r="M2036" s="85"/>
      <c r="N2036" s="85">
        <f ca="1">IFERROR(__xludf.DUMMYFUNCTION("""COMPUTED_VALUE"""),51.9)</f>
        <v>51.9</v>
      </c>
      <c r="O2036" s="85"/>
      <c r="P2036" s="85">
        <f ca="1">IFERROR(__xludf.DUMMYFUNCTION("""COMPUTED_VALUE"""),64.85)</f>
        <v>64.849999999999994</v>
      </c>
      <c r="Q2036" s="85"/>
      <c r="R2036" s="85">
        <f ca="1">IFERROR(__xludf.DUMMYFUNCTION("""COMPUTED_VALUE"""),49.5)</f>
        <v>49.5</v>
      </c>
      <c r="S2036" s="85"/>
      <c r="T2036" s="85"/>
      <c r="U2036" s="82"/>
      <c r="V2036" s="82"/>
      <c r="W2036" s="83"/>
      <c r="X2036" s="83"/>
      <c r="Y2036" s="83"/>
    </row>
    <row r="2037" spans="1:25" ht="13.8">
      <c r="A2037" s="78" t="str">
        <f ca="1">IFERROR(__xludf.DUMMYFUNCTION("""COMPUTED_VALUE"""),"T")</f>
        <v>T</v>
      </c>
      <c r="B2037" s="79" t="str">
        <f ca="1">IFERROR(__xludf.DUMMYFUNCTION("""COMPUTED_VALUE"""),"Julia Clopper")</f>
        <v>Julia Clopper</v>
      </c>
      <c r="C2037" s="78">
        <f ca="1">IFERROR(__xludf.DUMMYFUNCTION("""COMPUTED_VALUE"""),6)</f>
        <v>6</v>
      </c>
      <c r="D2037" s="78" t="str">
        <f ca="1">IFERROR(__xludf.DUMMYFUNCTION("""COMPUTED_VALUE"""),"G")</f>
        <v>G</v>
      </c>
      <c r="E2037" s="80" t="str">
        <f ca="1">IFERROR(__xludf.DUMMYFUNCTION("""COMPUTED_VALUE"""),"F")</f>
        <v>F</v>
      </c>
      <c r="F2037" s="86" t="str">
        <f ca="1">IFERROR(__xludf.DUMMYFUNCTION("""COMPUTED_VALUE"""),"J")</f>
        <v>J</v>
      </c>
      <c r="G2037" s="86">
        <f ca="1">IFERROR(__xludf.DUMMYFUNCTION("""COMPUTED_VALUE"""),4)</f>
        <v>4</v>
      </c>
      <c r="H2037" s="86" t="str">
        <f ca="1">IFERROR(__xludf.DUMMYFUNCTION("""COMPUTED_VALUE"""),"T")</f>
        <v>T</v>
      </c>
      <c r="I2037" s="86">
        <f ca="1">IFERROR(__xludf.DUMMYFUNCTION("""COMPUTED_VALUE"""),2)</f>
        <v>2</v>
      </c>
      <c r="J2037" s="85">
        <f ca="1">IFERROR(__xludf.DUMMYFUNCTION("""COMPUTED_VALUE"""),0)</f>
        <v>0</v>
      </c>
      <c r="K2037" s="85">
        <f ca="1">IFERROR(__xludf.DUMMYFUNCTION("""COMPUTED_VALUE"""),0)</f>
        <v>0</v>
      </c>
      <c r="L2037" s="85">
        <f ca="1">IFERROR(__xludf.DUMMYFUNCTION("""COMPUTED_VALUE"""),0)</f>
        <v>0</v>
      </c>
      <c r="M2037" s="85"/>
      <c r="N2037" s="85">
        <f ca="1">IFERROR(__xludf.DUMMYFUNCTION("""COMPUTED_VALUE"""),0)</f>
        <v>0</v>
      </c>
      <c r="O2037" s="85"/>
      <c r="P2037" s="85">
        <f ca="1">IFERROR(__xludf.DUMMYFUNCTION("""COMPUTED_VALUE"""),0)</f>
        <v>0</v>
      </c>
      <c r="Q2037" s="85"/>
      <c r="R2037" s="85">
        <f ca="1">IFERROR(__xludf.DUMMYFUNCTION("""COMPUTED_VALUE"""),0)</f>
        <v>0</v>
      </c>
      <c r="S2037" s="85"/>
      <c r="T2037" s="85"/>
      <c r="U2037" s="82"/>
      <c r="V2037" s="82"/>
      <c r="W2037" s="83"/>
      <c r="X2037" s="83"/>
      <c r="Y2037" s="83"/>
    </row>
    <row r="2038" spans="1:25" ht="13.8">
      <c r="A2038" s="78" t="str">
        <f ca="1">IFERROR(__xludf.DUMMYFUNCTION("""COMPUTED_VALUE"""),"T")</f>
        <v>T</v>
      </c>
      <c r="B2038" s="79" t="str">
        <f ca="1">IFERROR(__xludf.DUMMYFUNCTION("""COMPUTED_VALUE"""),"Lauren Clopper")</f>
        <v>Lauren Clopper</v>
      </c>
      <c r="C2038" s="78">
        <f ca="1">IFERROR(__xludf.DUMMYFUNCTION("""COMPUTED_VALUE"""),8)</f>
        <v>8</v>
      </c>
      <c r="D2038" s="78" t="str">
        <f ca="1">IFERROR(__xludf.DUMMYFUNCTION("""COMPUTED_VALUE"""),"G")</f>
        <v>G</v>
      </c>
      <c r="E2038" s="80" t="str">
        <f ca="1">IFERROR(__xludf.DUMMYFUNCTION("""COMPUTED_VALUE"""),"F")</f>
        <v>F</v>
      </c>
      <c r="F2038" s="86" t="str">
        <f ca="1">IFERROR(__xludf.DUMMYFUNCTION("""COMPUTED_VALUE"""),"J")</f>
        <v>J</v>
      </c>
      <c r="G2038" s="86">
        <f ca="1">IFERROR(__xludf.DUMMYFUNCTION("""COMPUTED_VALUE"""),4)</f>
        <v>4</v>
      </c>
      <c r="H2038" s="86" t="str">
        <f ca="1">IFERROR(__xludf.DUMMYFUNCTION("""COMPUTED_VALUE"""),"T")</f>
        <v>T</v>
      </c>
      <c r="I2038" s="86">
        <f ca="1">IFERROR(__xludf.DUMMYFUNCTION("""COMPUTED_VALUE"""),2)</f>
        <v>2</v>
      </c>
      <c r="J2038" s="85">
        <f ca="1">IFERROR(__xludf.DUMMYFUNCTION("""COMPUTED_VALUE"""),0)</f>
        <v>0</v>
      </c>
      <c r="K2038" s="85">
        <f ca="1">IFERROR(__xludf.DUMMYFUNCTION("""COMPUTED_VALUE"""),0)</f>
        <v>0</v>
      </c>
      <c r="L2038" s="85">
        <f ca="1">IFERROR(__xludf.DUMMYFUNCTION("""COMPUTED_VALUE"""),0)</f>
        <v>0</v>
      </c>
      <c r="M2038" s="85"/>
      <c r="N2038" s="85">
        <f ca="1">IFERROR(__xludf.DUMMYFUNCTION("""COMPUTED_VALUE"""),0)</f>
        <v>0</v>
      </c>
      <c r="O2038" s="85"/>
      <c r="P2038" s="85">
        <f ca="1">IFERROR(__xludf.DUMMYFUNCTION("""COMPUTED_VALUE"""),0)</f>
        <v>0</v>
      </c>
      <c r="Q2038" s="85"/>
      <c r="R2038" s="85">
        <f ca="1">IFERROR(__xludf.DUMMYFUNCTION("""COMPUTED_VALUE"""),0)</f>
        <v>0</v>
      </c>
      <c r="S2038" s="85"/>
      <c r="T2038" s="85"/>
      <c r="U2038" s="82"/>
      <c r="V2038" s="82"/>
      <c r="W2038" s="83"/>
      <c r="X2038" s="83"/>
      <c r="Y2038" s="83"/>
    </row>
    <row r="2039" spans="1:25" ht="13.8">
      <c r="A2039" s="78" t="str">
        <f ca="1">IFERROR(__xludf.DUMMYFUNCTION("""COMPUTED_VALUE"""),"T")</f>
        <v>T</v>
      </c>
      <c r="B2039" s="79" t="str">
        <f ca="1">IFERROR(__xludf.DUMMYFUNCTION("""COMPUTED_VALUE"""),"Ella Conradt")</f>
        <v>Ella Conradt</v>
      </c>
      <c r="C2039" s="78">
        <f ca="1">IFERROR(__xludf.DUMMYFUNCTION("""COMPUTED_VALUE"""),10)</f>
        <v>10</v>
      </c>
      <c r="D2039" s="78" t="str">
        <f ca="1">IFERROR(__xludf.DUMMYFUNCTION("""COMPUTED_VALUE"""),"G")</f>
        <v>G</v>
      </c>
      <c r="E2039" s="80" t="str">
        <f ca="1">IFERROR(__xludf.DUMMYFUNCTION("""COMPUTED_VALUE"""),"F")</f>
        <v>F</v>
      </c>
      <c r="F2039" s="86" t="str">
        <f ca="1">IFERROR(__xludf.DUMMYFUNCTION("""COMPUTED_VALUE"""),"J")</f>
        <v>J</v>
      </c>
      <c r="G2039" s="86">
        <f ca="1">IFERROR(__xludf.DUMMYFUNCTION("""COMPUTED_VALUE"""),4)</f>
        <v>4</v>
      </c>
      <c r="H2039" s="86" t="str">
        <f ca="1">IFERROR(__xludf.DUMMYFUNCTION("""COMPUTED_VALUE"""),"T")</f>
        <v>T</v>
      </c>
      <c r="I2039" s="86">
        <f ca="1">IFERROR(__xludf.DUMMYFUNCTION("""COMPUTED_VALUE"""),2)</f>
        <v>2</v>
      </c>
      <c r="J2039" s="85">
        <f ca="1">IFERROR(__xludf.DUMMYFUNCTION("""COMPUTED_VALUE"""),0)</f>
        <v>0</v>
      </c>
      <c r="K2039" s="85">
        <f ca="1">IFERROR(__xludf.DUMMYFUNCTION("""COMPUTED_VALUE"""),0)</f>
        <v>0</v>
      </c>
      <c r="L2039" s="85">
        <f ca="1">IFERROR(__xludf.DUMMYFUNCTION("""COMPUTED_VALUE"""),0)</f>
        <v>0</v>
      </c>
      <c r="M2039" s="85"/>
      <c r="N2039" s="85">
        <f ca="1">IFERROR(__xludf.DUMMYFUNCTION("""COMPUTED_VALUE"""),0)</f>
        <v>0</v>
      </c>
      <c r="O2039" s="85"/>
      <c r="P2039" s="85">
        <f ca="1">IFERROR(__xludf.DUMMYFUNCTION("""COMPUTED_VALUE"""),0)</f>
        <v>0</v>
      </c>
      <c r="Q2039" s="85"/>
      <c r="R2039" s="85">
        <f ca="1">IFERROR(__xludf.DUMMYFUNCTION("""COMPUTED_VALUE"""),0)</f>
        <v>0</v>
      </c>
      <c r="S2039" s="85"/>
      <c r="T2039" s="85"/>
      <c r="U2039" s="82"/>
      <c r="V2039" s="82"/>
      <c r="W2039" s="83"/>
      <c r="X2039" s="83"/>
      <c r="Y2039" s="83"/>
    </row>
    <row r="2040" spans="1:25" ht="13.8">
      <c r="A2040" s="78" t="str">
        <f ca="1">IFERROR(__xludf.DUMMYFUNCTION("""COMPUTED_VALUE"""),"T")</f>
        <v>T</v>
      </c>
      <c r="B2040" s="79" t="str">
        <f ca="1">IFERROR(__xludf.DUMMYFUNCTION("""COMPUTED_VALUE"""),"Eve Fath")</f>
        <v>Eve Fath</v>
      </c>
      <c r="C2040" s="78">
        <f ca="1">IFERROR(__xludf.DUMMYFUNCTION("""COMPUTED_VALUE"""),6)</f>
        <v>6</v>
      </c>
      <c r="D2040" s="78" t="str">
        <f ca="1">IFERROR(__xludf.DUMMYFUNCTION("""COMPUTED_VALUE"""),"G")</f>
        <v>G</v>
      </c>
      <c r="E2040" s="80" t="str">
        <f ca="1">IFERROR(__xludf.DUMMYFUNCTION("""COMPUTED_VALUE"""),"F")</f>
        <v>F</v>
      </c>
      <c r="F2040" s="86" t="str">
        <f ca="1">IFERROR(__xludf.DUMMYFUNCTION("""COMPUTED_VALUE"""),"J")</f>
        <v>J</v>
      </c>
      <c r="G2040" s="86">
        <f ca="1">IFERROR(__xludf.DUMMYFUNCTION("""COMPUTED_VALUE"""),4)</f>
        <v>4</v>
      </c>
      <c r="H2040" s="86" t="str">
        <f ca="1">IFERROR(__xludf.DUMMYFUNCTION("""COMPUTED_VALUE"""),"T")</f>
        <v>T</v>
      </c>
      <c r="I2040" s="86">
        <f ca="1">IFERROR(__xludf.DUMMYFUNCTION("""COMPUTED_VALUE"""),2)</f>
        <v>2</v>
      </c>
      <c r="J2040" s="85">
        <f ca="1">IFERROR(__xludf.DUMMYFUNCTION("""COMPUTED_VALUE"""),0)</f>
        <v>0</v>
      </c>
      <c r="K2040" s="85">
        <f ca="1">IFERROR(__xludf.DUMMYFUNCTION("""COMPUTED_VALUE"""),0)</f>
        <v>0</v>
      </c>
      <c r="L2040" s="85">
        <f ca="1">IFERROR(__xludf.DUMMYFUNCTION("""COMPUTED_VALUE"""),0)</f>
        <v>0</v>
      </c>
      <c r="M2040" s="85"/>
      <c r="N2040" s="85">
        <f ca="1">IFERROR(__xludf.DUMMYFUNCTION("""COMPUTED_VALUE"""),0)</f>
        <v>0</v>
      </c>
      <c r="O2040" s="85"/>
      <c r="P2040" s="85">
        <f ca="1">IFERROR(__xludf.DUMMYFUNCTION("""COMPUTED_VALUE"""),0)</f>
        <v>0</v>
      </c>
      <c r="Q2040" s="85"/>
      <c r="R2040" s="85">
        <f ca="1">IFERROR(__xludf.DUMMYFUNCTION("""COMPUTED_VALUE"""),0)</f>
        <v>0</v>
      </c>
      <c r="S2040" s="85"/>
      <c r="T2040" s="85"/>
      <c r="U2040" s="82"/>
      <c r="V2040" s="82"/>
      <c r="W2040" s="83"/>
      <c r="X2040" s="83"/>
      <c r="Y2040" s="83"/>
    </row>
    <row r="2041" spans="1:25" ht="13.8">
      <c r="A2041" s="78" t="str">
        <f ca="1">IFERROR(__xludf.DUMMYFUNCTION("""COMPUTED_VALUE"""),"T")</f>
        <v>T</v>
      </c>
      <c r="B2041" s="79" t="str">
        <f ca="1">IFERROR(__xludf.DUMMYFUNCTION("""COMPUTED_VALUE"""),"Lola Fontana")</f>
        <v>Lola Fontana</v>
      </c>
      <c r="C2041" s="78">
        <f ca="1">IFERROR(__xludf.DUMMYFUNCTION("""COMPUTED_VALUE"""),8)</f>
        <v>8</v>
      </c>
      <c r="D2041" s="78" t="str">
        <f ca="1">IFERROR(__xludf.DUMMYFUNCTION("""COMPUTED_VALUE"""),"G")</f>
        <v>G</v>
      </c>
      <c r="E2041" s="80" t="str">
        <f ca="1">IFERROR(__xludf.DUMMYFUNCTION("""COMPUTED_VALUE"""),"F")</f>
        <v>F</v>
      </c>
      <c r="F2041" s="86" t="str">
        <f ca="1">IFERROR(__xludf.DUMMYFUNCTION("""COMPUTED_VALUE"""),"J")</f>
        <v>J</v>
      </c>
      <c r="G2041" s="86">
        <f ca="1">IFERROR(__xludf.DUMMYFUNCTION("""COMPUTED_VALUE"""),4)</f>
        <v>4</v>
      </c>
      <c r="H2041" s="86" t="str">
        <f ca="1">IFERROR(__xludf.DUMMYFUNCTION("""COMPUTED_VALUE"""),"T")</f>
        <v>T</v>
      </c>
      <c r="I2041" s="86">
        <f ca="1">IFERROR(__xludf.DUMMYFUNCTION("""COMPUTED_VALUE"""),2)</f>
        <v>2</v>
      </c>
      <c r="J2041" s="85">
        <f ca="1">IFERROR(__xludf.DUMMYFUNCTION("""COMPUTED_VALUE"""),0)</f>
        <v>0</v>
      </c>
      <c r="K2041" s="85">
        <f ca="1">IFERROR(__xludf.DUMMYFUNCTION("""COMPUTED_VALUE"""),0)</f>
        <v>0</v>
      </c>
      <c r="L2041" s="85">
        <f ca="1">IFERROR(__xludf.DUMMYFUNCTION("""COMPUTED_VALUE"""),0)</f>
        <v>0</v>
      </c>
      <c r="M2041" s="85"/>
      <c r="N2041" s="85">
        <f ca="1">IFERROR(__xludf.DUMMYFUNCTION("""COMPUTED_VALUE"""),0)</f>
        <v>0</v>
      </c>
      <c r="O2041" s="85"/>
      <c r="P2041" s="85">
        <f ca="1">IFERROR(__xludf.DUMMYFUNCTION("""COMPUTED_VALUE"""),0)</f>
        <v>0</v>
      </c>
      <c r="Q2041" s="85"/>
      <c r="R2041" s="85">
        <f ca="1">IFERROR(__xludf.DUMMYFUNCTION("""COMPUTED_VALUE"""),0)</f>
        <v>0</v>
      </c>
      <c r="S2041" s="85"/>
      <c r="T2041" s="85"/>
      <c r="U2041" s="82"/>
      <c r="V2041" s="82"/>
      <c r="W2041" s="83"/>
      <c r="X2041" s="83"/>
      <c r="Y2041" s="83"/>
    </row>
    <row r="2042" spans="1:25" ht="13.8">
      <c r="A2042" s="78" t="str">
        <f ca="1">IFERROR(__xludf.DUMMYFUNCTION("""COMPUTED_VALUE"""),"T")</f>
        <v>T</v>
      </c>
      <c r="B2042" s="79" t="str">
        <f ca="1">IFERROR(__xludf.DUMMYFUNCTION("""COMPUTED_VALUE"""),"Nora Hall")</f>
        <v>Nora Hall</v>
      </c>
      <c r="C2042" s="78">
        <f ca="1">IFERROR(__xludf.DUMMYFUNCTION("""COMPUTED_VALUE"""),8)</f>
        <v>8</v>
      </c>
      <c r="D2042" s="78" t="str">
        <f ca="1">IFERROR(__xludf.DUMMYFUNCTION("""COMPUTED_VALUE"""),"G")</f>
        <v>G</v>
      </c>
      <c r="E2042" s="80" t="str">
        <f ca="1">IFERROR(__xludf.DUMMYFUNCTION("""COMPUTED_VALUE"""),"F")</f>
        <v>F</v>
      </c>
      <c r="F2042" s="86" t="str">
        <f ca="1">IFERROR(__xludf.DUMMYFUNCTION("""COMPUTED_VALUE"""),"J")</f>
        <v>J</v>
      </c>
      <c r="G2042" s="86">
        <f ca="1">IFERROR(__xludf.DUMMYFUNCTION("""COMPUTED_VALUE"""),4)</f>
        <v>4</v>
      </c>
      <c r="H2042" s="86" t="str">
        <f ca="1">IFERROR(__xludf.DUMMYFUNCTION("""COMPUTED_VALUE"""),"T")</f>
        <v>T</v>
      </c>
      <c r="I2042" s="86">
        <f ca="1">IFERROR(__xludf.DUMMYFUNCTION("""COMPUTED_VALUE"""),2)</f>
        <v>2</v>
      </c>
      <c r="J2042" s="85">
        <f ca="1">IFERROR(__xludf.DUMMYFUNCTION("""COMPUTED_VALUE"""),2)</f>
        <v>2</v>
      </c>
      <c r="K2042" s="85">
        <f ca="1">IFERROR(__xludf.DUMMYFUNCTION("""COMPUTED_VALUE"""),50.95)</f>
        <v>50.95</v>
      </c>
      <c r="L2042" s="85">
        <f ca="1">IFERROR(__xludf.DUMMYFUNCTION("""COMPUTED_VALUE"""),0)</f>
        <v>0</v>
      </c>
      <c r="M2042" s="85"/>
      <c r="N2042" s="85">
        <f ca="1">IFERROR(__xludf.DUMMYFUNCTION("""COMPUTED_VALUE"""),0)</f>
        <v>0</v>
      </c>
      <c r="O2042" s="85"/>
      <c r="P2042" s="85">
        <f ca="1">IFERROR(__xludf.DUMMYFUNCTION("""COMPUTED_VALUE"""),43.2)</f>
        <v>43.2</v>
      </c>
      <c r="Q2042" s="85"/>
      <c r="R2042" s="85">
        <f ca="1">IFERROR(__xludf.DUMMYFUNCTION("""COMPUTED_VALUE"""),50.95)</f>
        <v>50.95</v>
      </c>
      <c r="S2042" s="85"/>
      <c r="T2042" s="85"/>
      <c r="U2042" s="82"/>
      <c r="V2042" s="82"/>
      <c r="W2042" s="83"/>
      <c r="X2042" s="83"/>
      <c r="Y2042" s="83"/>
    </row>
    <row r="2043" spans="1:25" ht="13.8">
      <c r="A2043" s="78" t="str">
        <f ca="1">IFERROR(__xludf.DUMMYFUNCTION("""COMPUTED_VALUE"""),"T")</f>
        <v>T</v>
      </c>
      <c r="B2043" s="79" t="str">
        <f ca="1">IFERROR(__xludf.DUMMYFUNCTION("""COMPUTED_VALUE"""),"Allegra Han")</f>
        <v>Allegra Han</v>
      </c>
      <c r="C2043" s="78">
        <f ca="1">IFERROR(__xludf.DUMMYFUNCTION("""COMPUTED_VALUE"""),8)</f>
        <v>8</v>
      </c>
      <c r="D2043" s="78" t="str">
        <f ca="1">IFERROR(__xludf.DUMMYFUNCTION("""COMPUTED_VALUE"""),"G")</f>
        <v>G</v>
      </c>
      <c r="E2043" s="80" t="str">
        <f ca="1">IFERROR(__xludf.DUMMYFUNCTION("""COMPUTED_VALUE"""),"F")</f>
        <v>F</v>
      </c>
      <c r="F2043" s="86" t="str">
        <f ca="1">IFERROR(__xludf.DUMMYFUNCTION("""COMPUTED_VALUE"""),"J")</f>
        <v>J</v>
      </c>
      <c r="G2043" s="86">
        <f ca="1">IFERROR(__xludf.DUMMYFUNCTION("""COMPUTED_VALUE"""),4)</f>
        <v>4</v>
      </c>
      <c r="H2043" s="86" t="str">
        <f ca="1">IFERROR(__xludf.DUMMYFUNCTION("""COMPUTED_VALUE"""),"T")</f>
        <v>T</v>
      </c>
      <c r="I2043" s="86">
        <f ca="1">IFERROR(__xludf.DUMMYFUNCTION("""COMPUTED_VALUE"""),2)</f>
        <v>2</v>
      </c>
      <c r="J2043" s="85">
        <f ca="1">IFERROR(__xludf.DUMMYFUNCTION("""COMPUTED_VALUE"""),0)</f>
        <v>0</v>
      </c>
      <c r="K2043" s="85">
        <f ca="1">IFERROR(__xludf.DUMMYFUNCTION("""COMPUTED_VALUE"""),0)</f>
        <v>0</v>
      </c>
      <c r="L2043" s="85">
        <f ca="1">IFERROR(__xludf.DUMMYFUNCTION("""COMPUTED_VALUE"""),0)</f>
        <v>0</v>
      </c>
      <c r="M2043" s="85"/>
      <c r="N2043" s="85">
        <f ca="1">IFERROR(__xludf.DUMMYFUNCTION("""COMPUTED_VALUE"""),0)</f>
        <v>0</v>
      </c>
      <c r="O2043" s="85"/>
      <c r="P2043" s="85">
        <f ca="1">IFERROR(__xludf.DUMMYFUNCTION("""COMPUTED_VALUE"""),0)</f>
        <v>0</v>
      </c>
      <c r="Q2043" s="85"/>
      <c r="R2043" s="85">
        <f ca="1">IFERROR(__xludf.DUMMYFUNCTION("""COMPUTED_VALUE"""),0)</f>
        <v>0</v>
      </c>
      <c r="S2043" s="85"/>
      <c r="T2043" s="85"/>
      <c r="U2043" s="82"/>
      <c r="V2043" s="82"/>
      <c r="W2043" s="83"/>
      <c r="X2043" s="83"/>
      <c r="Y2043" s="83"/>
    </row>
    <row r="2044" spans="1:25" ht="13.8">
      <c r="A2044" s="78" t="str">
        <f ca="1">IFERROR(__xludf.DUMMYFUNCTION("""COMPUTED_VALUE"""),"T")</f>
        <v>T</v>
      </c>
      <c r="B2044" s="79" t="str">
        <f ca="1">IFERROR(__xludf.DUMMYFUNCTION("""COMPUTED_VALUE"""),"Francesca Hernandez")</f>
        <v>Francesca Hernandez</v>
      </c>
      <c r="C2044" s="78">
        <f ca="1">IFERROR(__xludf.DUMMYFUNCTION("""COMPUTED_VALUE"""),8)</f>
        <v>8</v>
      </c>
      <c r="D2044" s="78" t="str">
        <f ca="1">IFERROR(__xludf.DUMMYFUNCTION("""COMPUTED_VALUE"""),"G")</f>
        <v>G</v>
      </c>
      <c r="E2044" s="80" t="str">
        <f ca="1">IFERROR(__xludf.DUMMYFUNCTION("""COMPUTED_VALUE"""),"F")</f>
        <v>F</v>
      </c>
      <c r="F2044" s="86" t="str">
        <f ca="1">IFERROR(__xludf.DUMMYFUNCTION("""COMPUTED_VALUE"""),"J")</f>
        <v>J</v>
      </c>
      <c r="G2044" s="86">
        <f ca="1">IFERROR(__xludf.DUMMYFUNCTION("""COMPUTED_VALUE"""),4)</f>
        <v>4</v>
      </c>
      <c r="H2044" s="86" t="str">
        <f ca="1">IFERROR(__xludf.DUMMYFUNCTION("""COMPUTED_VALUE"""),"T")</f>
        <v>T</v>
      </c>
      <c r="I2044" s="86">
        <f ca="1">IFERROR(__xludf.DUMMYFUNCTION("""COMPUTED_VALUE"""),2)</f>
        <v>2</v>
      </c>
      <c r="J2044" s="85">
        <f ca="1">IFERROR(__xludf.DUMMYFUNCTION("""COMPUTED_VALUE"""),0)</f>
        <v>0</v>
      </c>
      <c r="K2044" s="85">
        <f ca="1">IFERROR(__xludf.DUMMYFUNCTION("""COMPUTED_VALUE"""),0)</f>
        <v>0</v>
      </c>
      <c r="L2044" s="85">
        <f ca="1">IFERROR(__xludf.DUMMYFUNCTION("""COMPUTED_VALUE"""),0)</f>
        <v>0</v>
      </c>
      <c r="M2044" s="85"/>
      <c r="N2044" s="85">
        <f ca="1">IFERROR(__xludf.DUMMYFUNCTION("""COMPUTED_VALUE"""),0)</f>
        <v>0</v>
      </c>
      <c r="O2044" s="85"/>
      <c r="P2044" s="85">
        <f ca="1">IFERROR(__xludf.DUMMYFUNCTION("""COMPUTED_VALUE"""),0)</f>
        <v>0</v>
      </c>
      <c r="Q2044" s="85"/>
      <c r="R2044" s="85">
        <f ca="1">IFERROR(__xludf.DUMMYFUNCTION("""COMPUTED_VALUE"""),0)</f>
        <v>0</v>
      </c>
      <c r="S2044" s="85"/>
      <c r="T2044" s="85"/>
      <c r="U2044" s="82"/>
      <c r="V2044" s="82"/>
      <c r="W2044" s="83"/>
      <c r="X2044" s="83"/>
      <c r="Y2044" s="83"/>
    </row>
    <row r="2045" spans="1:25" ht="13.8">
      <c r="A2045" s="78" t="str">
        <f ca="1">IFERROR(__xludf.DUMMYFUNCTION("""COMPUTED_VALUE"""),"T")</f>
        <v>T</v>
      </c>
      <c r="B2045" s="79" t="str">
        <f ca="1">IFERROR(__xludf.DUMMYFUNCTION("""COMPUTED_VALUE"""),"Ava Howery")</f>
        <v>Ava Howery</v>
      </c>
      <c r="C2045" s="78">
        <f ca="1">IFERROR(__xludf.DUMMYFUNCTION("""COMPUTED_VALUE"""),8)</f>
        <v>8</v>
      </c>
      <c r="D2045" s="78" t="str">
        <f ca="1">IFERROR(__xludf.DUMMYFUNCTION("""COMPUTED_VALUE"""),"G")</f>
        <v>G</v>
      </c>
      <c r="E2045" s="80" t="str">
        <f ca="1">IFERROR(__xludf.DUMMYFUNCTION("""COMPUTED_VALUE"""),"F")</f>
        <v>F</v>
      </c>
      <c r="F2045" s="86" t="str">
        <f ca="1">IFERROR(__xludf.DUMMYFUNCTION("""COMPUTED_VALUE"""),"J")</f>
        <v>J</v>
      </c>
      <c r="G2045" s="86">
        <f ca="1">IFERROR(__xludf.DUMMYFUNCTION("""COMPUTED_VALUE"""),4)</f>
        <v>4</v>
      </c>
      <c r="H2045" s="86" t="str">
        <f ca="1">IFERROR(__xludf.DUMMYFUNCTION("""COMPUTED_VALUE"""),"T")</f>
        <v>T</v>
      </c>
      <c r="I2045" s="86">
        <f ca="1">IFERROR(__xludf.DUMMYFUNCTION("""COMPUTED_VALUE"""),2)</f>
        <v>2</v>
      </c>
      <c r="J2045" s="85">
        <f ca="1">IFERROR(__xludf.DUMMYFUNCTION("""COMPUTED_VALUE"""),0)</f>
        <v>0</v>
      </c>
      <c r="K2045" s="85">
        <f ca="1">IFERROR(__xludf.DUMMYFUNCTION("""COMPUTED_VALUE"""),0)</f>
        <v>0</v>
      </c>
      <c r="L2045" s="85">
        <f ca="1">IFERROR(__xludf.DUMMYFUNCTION("""COMPUTED_VALUE"""),0)</f>
        <v>0</v>
      </c>
      <c r="M2045" s="85"/>
      <c r="N2045" s="85">
        <f ca="1">IFERROR(__xludf.DUMMYFUNCTION("""COMPUTED_VALUE"""),0)</f>
        <v>0</v>
      </c>
      <c r="O2045" s="85"/>
      <c r="P2045" s="85">
        <f ca="1">IFERROR(__xludf.DUMMYFUNCTION("""COMPUTED_VALUE"""),0)</f>
        <v>0</v>
      </c>
      <c r="Q2045" s="85"/>
      <c r="R2045" s="85">
        <f ca="1">IFERROR(__xludf.DUMMYFUNCTION("""COMPUTED_VALUE"""),0)</f>
        <v>0</v>
      </c>
      <c r="S2045" s="85"/>
      <c r="T2045" s="85"/>
      <c r="U2045" s="82"/>
      <c r="V2045" s="82"/>
      <c r="W2045" s="83"/>
      <c r="X2045" s="83"/>
      <c r="Y2045" s="83"/>
    </row>
    <row r="2046" spans="1:25" ht="13.8">
      <c r="A2046" s="78" t="str">
        <f ca="1">IFERROR(__xludf.DUMMYFUNCTION("""COMPUTED_VALUE"""),"T")</f>
        <v>T</v>
      </c>
      <c r="B2046" s="79" t="str">
        <f ca="1">IFERROR(__xludf.DUMMYFUNCTION("""COMPUTED_VALUE"""),"Isabella McFeely")</f>
        <v>Isabella McFeely</v>
      </c>
      <c r="C2046" s="78">
        <f ca="1">IFERROR(__xludf.DUMMYFUNCTION("""COMPUTED_VALUE"""),7)</f>
        <v>7</v>
      </c>
      <c r="D2046" s="78" t="str">
        <f ca="1">IFERROR(__xludf.DUMMYFUNCTION("""COMPUTED_VALUE"""),"G")</f>
        <v>G</v>
      </c>
      <c r="E2046" s="80" t="str">
        <f ca="1">IFERROR(__xludf.DUMMYFUNCTION("""COMPUTED_VALUE"""),"F")</f>
        <v>F</v>
      </c>
      <c r="F2046" s="86" t="str">
        <f ca="1">IFERROR(__xludf.DUMMYFUNCTION("""COMPUTED_VALUE"""),"J")</f>
        <v>J</v>
      </c>
      <c r="G2046" s="86">
        <f ca="1">IFERROR(__xludf.DUMMYFUNCTION("""COMPUTED_VALUE"""),4)</f>
        <v>4</v>
      </c>
      <c r="H2046" s="86" t="str">
        <f ca="1">IFERROR(__xludf.DUMMYFUNCTION("""COMPUTED_VALUE"""),"T")</f>
        <v>T</v>
      </c>
      <c r="I2046" s="86">
        <f ca="1">IFERROR(__xludf.DUMMYFUNCTION("""COMPUTED_VALUE"""),2)</f>
        <v>2</v>
      </c>
      <c r="J2046" s="85">
        <f ca="1">IFERROR(__xludf.DUMMYFUNCTION("""COMPUTED_VALUE"""),0)</f>
        <v>0</v>
      </c>
      <c r="K2046" s="85">
        <f ca="1">IFERROR(__xludf.DUMMYFUNCTION("""COMPUTED_VALUE"""),0)</f>
        <v>0</v>
      </c>
      <c r="L2046" s="85">
        <f ca="1">IFERROR(__xludf.DUMMYFUNCTION("""COMPUTED_VALUE"""),0)</f>
        <v>0</v>
      </c>
      <c r="M2046" s="85"/>
      <c r="N2046" s="85">
        <f ca="1">IFERROR(__xludf.DUMMYFUNCTION("""COMPUTED_VALUE"""),0)</f>
        <v>0</v>
      </c>
      <c r="O2046" s="85"/>
      <c r="P2046" s="85">
        <f ca="1">IFERROR(__xludf.DUMMYFUNCTION("""COMPUTED_VALUE"""),0)</f>
        <v>0</v>
      </c>
      <c r="Q2046" s="85"/>
      <c r="R2046" s="85">
        <f ca="1">IFERROR(__xludf.DUMMYFUNCTION("""COMPUTED_VALUE"""),0)</f>
        <v>0</v>
      </c>
      <c r="S2046" s="85"/>
      <c r="T2046" s="85"/>
      <c r="U2046" s="82"/>
      <c r="V2046" s="82"/>
      <c r="W2046" s="83"/>
      <c r="X2046" s="83"/>
      <c r="Y2046" s="83"/>
    </row>
    <row r="2047" spans="1:25" ht="13.8">
      <c r="A2047" s="78" t="str">
        <f ca="1">IFERROR(__xludf.DUMMYFUNCTION("""COMPUTED_VALUE"""),"T")</f>
        <v>T</v>
      </c>
      <c r="B2047" s="79" t="str">
        <f ca="1">IFERROR(__xludf.DUMMYFUNCTION("""COMPUTED_VALUE"""),"Julia McFeely")</f>
        <v>Julia McFeely</v>
      </c>
      <c r="C2047" s="78">
        <f ca="1">IFERROR(__xludf.DUMMYFUNCTION("""COMPUTED_VALUE"""),7)</f>
        <v>7</v>
      </c>
      <c r="D2047" s="78" t="str">
        <f ca="1">IFERROR(__xludf.DUMMYFUNCTION("""COMPUTED_VALUE"""),"G")</f>
        <v>G</v>
      </c>
      <c r="E2047" s="80" t="str">
        <f ca="1">IFERROR(__xludf.DUMMYFUNCTION("""COMPUTED_VALUE"""),"F")</f>
        <v>F</v>
      </c>
      <c r="F2047" s="86" t="str">
        <f ca="1">IFERROR(__xludf.DUMMYFUNCTION("""COMPUTED_VALUE"""),"J")</f>
        <v>J</v>
      </c>
      <c r="G2047" s="86">
        <f ca="1">IFERROR(__xludf.DUMMYFUNCTION("""COMPUTED_VALUE"""),4)</f>
        <v>4</v>
      </c>
      <c r="H2047" s="86" t="str">
        <f ca="1">IFERROR(__xludf.DUMMYFUNCTION("""COMPUTED_VALUE"""),"T")</f>
        <v>T</v>
      </c>
      <c r="I2047" s="86">
        <f ca="1">IFERROR(__xludf.DUMMYFUNCTION("""COMPUTED_VALUE"""),2)</f>
        <v>2</v>
      </c>
      <c r="J2047" s="85">
        <f ca="1">IFERROR(__xludf.DUMMYFUNCTION("""COMPUTED_VALUE"""),0)</f>
        <v>0</v>
      </c>
      <c r="K2047" s="85">
        <f ca="1">IFERROR(__xludf.DUMMYFUNCTION("""COMPUTED_VALUE"""),0)</f>
        <v>0</v>
      </c>
      <c r="L2047" s="85">
        <f ca="1">IFERROR(__xludf.DUMMYFUNCTION("""COMPUTED_VALUE"""),0)</f>
        <v>0</v>
      </c>
      <c r="M2047" s="85"/>
      <c r="N2047" s="85">
        <f ca="1">IFERROR(__xludf.DUMMYFUNCTION("""COMPUTED_VALUE"""),0)</f>
        <v>0</v>
      </c>
      <c r="O2047" s="85"/>
      <c r="P2047" s="85">
        <f ca="1">IFERROR(__xludf.DUMMYFUNCTION("""COMPUTED_VALUE"""),0)</f>
        <v>0</v>
      </c>
      <c r="Q2047" s="85"/>
      <c r="R2047" s="85">
        <f ca="1">IFERROR(__xludf.DUMMYFUNCTION("""COMPUTED_VALUE"""),0)</f>
        <v>0</v>
      </c>
      <c r="S2047" s="85"/>
      <c r="T2047" s="85"/>
      <c r="U2047" s="82"/>
      <c r="V2047" s="82"/>
      <c r="W2047" s="83"/>
      <c r="X2047" s="83"/>
      <c r="Y2047" s="83"/>
    </row>
    <row r="2048" spans="1:25" ht="13.8">
      <c r="A2048" s="78" t="str">
        <f ca="1">IFERROR(__xludf.DUMMYFUNCTION("""COMPUTED_VALUE"""),"T")</f>
        <v>T</v>
      </c>
      <c r="B2048" s="79" t="str">
        <f ca="1">IFERROR(__xludf.DUMMYFUNCTION("""COMPUTED_VALUE"""),"Zoe Misitzis")</f>
        <v>Zoe Misitzis</v>
      </c>
      <c r="C2048" s="78">
        <f ca="1">IFERROR(__xludf.DUMMYFUNCTION("""COMPUTED_VALUE"""),9)</f>
        <v>9</v>
      </c>
      <c r="D2048" s="78" t="str">
        <f ca="1">IFERROR(__xludf.DUMMYFUNCTION("""COMPUTED_VALUE"""),"G")</f>
        <v>G</v>
      </c>
      <c r="E2048" s="80" t="str">
        <f ca="1">IFERROR(__xludf.DUMMYFUNCTION("""COMPUTED_VALUE"""),"F")</f>
        <v>F</v>
      </c>
      <c r="F2048" s="86" t="str">
        <f ca="1">IFERROR(__xludf.DUMMYFUNCTION("""COMPUTED_VALUE"""),"J")</f>
        <v>J</v>
      </c>
      <c r="G2048" s="86">
        <f ca="1">IFERROR(__xludf.DUMMYFUNCTION("""COMPUTED_VALUE"""),4)</f>
        <v>4</v>
      </c>
      <c r="H2048" s="86" t="str">
        <f ca="1">IFERROR(__xludf.DUMMYFUNCTION("""COMPUTED_VALUE"""),"T")</f>
        <v>T</v>
      </c>
      <c r="I2048" s="86">
        <f ca="1">IFERROR(__xludf.DUMMYFUNCTION("""COMPUTED_VALUE"""),2)</f>
        <v>2</v>
      </c>
      <c r="J2048" s="85">
        <f ca="1">IFERROR(__xludf.DUMMYFUNCTION("""COMPUTED_VALUE"""),0)</f>
        <v>0</v>
      </c>
      <c r="K2048" s="85">
        <f ca="1">IFERROR(__xludf.DUMMYFUNCTION("""COMPUTED_VALUE"""),0)</f>
        <v>0</v>
      </c>
      <c r="L2048" s="85">
        <f ca="1">IFERROR(__xludf.DUMMYFUNCTION("""COMPUTED_VALUE"""),0)</f>
        <v>0</v>
      </c>
      <c r="M2048" s="85"/>
      <c r="N2048" s="85">
        <f ca="1">IFERROR(__xludf.DUMMYFUNCTION("""COMPUTED_VALUE"""),0)</f>
        <v>0</v>
      </c>
      <c r="O2048" s="85"/>
      <c r="P2048" s="85">
        <f ca="1">IFERROR(__xludf.DUMMYFUNCTION("""COMPUTED_VALUE"""),0)</f>
        <v>0</v>
      </c>
      <c r="Q2048" s="85"/>
      <c r="R2048" s="85">
        <f ca="1">IFERROR(__xludf.DUMMYFUNCTION("""COMPUTED_VALUE"""),0)</f>
        <v>0</v>
      </c>
      <c r="S2048" s="85"/>
      <c r="T2048" s="85"/>
      <c r="U2048" s="82"/>
      <c r="V2048" s="82"/>
      <c r="W2048" s="83"/>
      <c r="X2048" s="83"/>
      <c r="Y2048" s="83"/>
    </row>
    <row r="2049" spans="1:25" ht="13.8">
      <c r="A2049" s="78" t="str">
        <f ca="1">IFERROR(__xludf.DUMMYFUNCTION("""COMPUTED_VALUE"""),"T")</f>
        <v>T</v>
      </c>
      <c r="B2049" s="79" t="str">
        <f ca="1">IFERROR(__xludf.DUMMYFUNCTION("""COMPUTED_VALUE"""),"Annika Patel")</f>
        <v>Annika Patel</v>
      </c>
      <c r="C2049" s="78">
        <f ca="1">IFERROR(__xludf.DUMMYFUNCTION("""COMPUTED_VALUE"""),10)</f>
        <v>10</v>
      </c>
      <c r="D2049" s="78" t="str">
        <f ca="1">IFERROR(__xludf.DUMMYFUNCTION("""COMPUTED_VALUE"""),"G")</f>
        <v>G</v>
      </c>
      <c r="E2049" s="80" t="str">
        <f ca="1">IFERROR(__xludf.DUMMYFUNCTION("""COMPUTED_VALUE"""),"F")</f>
        <v>F</v>
      </c>
      <c r="F2049" s="86" t="str">
        <f ca="1">IFERROR(__xludf.DUMMYFUNCTION("""COMPUTED_VALUE"""),"J")</f>
        <v>J</v>
      </c>
      <c r="G2049" s="86">
        <f ca="1">IFERROR(__xludf.DUMMYFUNCTION("""COMPUTED_VALUE"""),4)</f>
        <v>4</v>
      </c>
      <c r="H2049" s="86" t="str">
        <f ca="1">IFERROR(__xludf.DUMMYFUNCTION("""COMPUTED_VALUE"""),"T")</f>
        <v>T</v>
      </c>
      <c r="I2049" s="86">
        <f ca="1">IFERROR(__xludf.DUMMYFUNCTION("""COMPUTED_VALUE"""),2)</f>
        <v>2</v>
      </c>
      <c r="J2049" s="85">
        <f ca="1">IFERROR(__xludf.DUMMYFUNCTION("""COMPUTED_VALUE"""),0)</f>
        <v>0</v>
      </c>
      <c r="K2049" s="85">
        <f ca="1">IFERROR(__xludf.DUMMYFUNCTION("""COMPUTED_VALUE"""),0)</f>
        <v>0</v>
      </c>
      <c r="L2049" s="85">
        <f ca="1">IFERROR(__xludf.DUMMYFUNCTION("""COMPUTED_VALUE"""),0)</f>
        <v>0</v>
      </c>
      <c r="M2049" s="85"/>
      <c r="N2049" s="85">
        <f ca="1">IFERROR(__xludf.DUMMYFUNCTION("""COMPUTED_VALUE"""),0)</f>
        <v>0</v>
      </c>
      <c r="O2049" s="85"/>
      <c r="P2049" s="85">
        <f ca="1">IFERROR(__xludf.DUMMYFUNCTION("""COMPUTED_VALUE"""),0)</f>
        <v>0</v>
      </c>
      <c r="Q2049" s="85"/>
      <c r="R2049" s="85">
        <f ca="1">IFERROR(__xludf.DUMMYFUNCTION("""COMPUTED_VALUE"""),0)</f>
        <v>0</v>
      </c>
      <c r="S2049" s="85"/>
      <c r="T2049" s="85"/>
      <c r="U2049" s="82"/>
      <c r="V2049" s="82"/>
      <c r="W2049" s="83"/>
      <c r="X2049" s="83"/>
      <c r="Y2049" s="83"/>
    </row>
    <row r="2050" spans="1:25" ht="13.8">
      <c r="A2050" s="78" t="str">
        <f ca="1">IFERROR(__xludf.DUMMYFUNCTION("""COMPUTED_VALUE"""),"T")</f>
        <v>T</v>
      </c>
      <c r="B2050" s="79" t="str">
        <f ca="1">IFERROR(__xludf.DUMMYFUNCTION("""COMPUTED_VALUE"""),"Rayna Patel")</f>
        <v>Rayna Patel</v>
      </c>
      <c r="C2050" s="78">
        <f ca="1">IFERROR(__xludf.DUMMYFUNCTION("""COMPUTED_VALUE"""),10)</f>
        <v>10</v>
      </c>
      <c r="D2050" s="78" t="str">
        <f ca="1">IFERROR(__xludf.DUMMYFUNCTION("""COMPUTED_VALUE"""),"G")</f>
        <v>G</v>
      </c>
      <c r="E2050" s="80" t="str">
        <f ca="1">IFERROR(__xludf.DUMMYFUNCTION("""COMPUTED_VALUE"""),"F")</f>
        <v>F</v>
      </c>
      <c r="F2050" s="86" t="str">
        <f ca="1">IFERROR(__xludf.DUMMYFUNCTION("""COMPUTED_VALUE"""),"J")</f>
        <v>J</v>
      </c>
      <c r="G2050" s="86">
        <f ca="1">IFERROR(__xludf.DUMMYFUNCTION("""COMPUTED_VALUE"""),4)</f>
        <v>4</v>
      </c>
      <c r="H2050" s="86" t="str">
        <f ca="1">IFERROR(__xludf.DUMMYFUNCTION("""COMPUTED_VALUE"""),"T")</f>
        <v>T</v>
      </c>
      <c r="I2050" s="86">
        <f ca="1">IFERROR(__xludf.DUMMYFUNCTION("""COMPUTED_VALUE"""),2)</f>
        <v>2</v>
      </c>
      <c r="J2050" s="85">
        <f ca="1">IFERROR(__xludf.DUMMYFUNCTION("""COMPUTED_VALUE"""),0)</f>
        <v>0</v>
      </c>
      <c r="K2050" s="85">
        <f ca="1">IFERROR(__xludf.DUMMYFUNCTION("""COMPUTED_VALUE"""),0)</f>
        <v>0</v>
      </c>
      <c r="L2050" s="85">
        <f ca="1">IFERROR(__xludf.DUMMYFUNCTION("""COMPUTED_VALUE"""),0)</f>
        <v>0</v>
      </c>
      <c r="M2050" s="85"/>
      <c r="N2050" s="85">
        <f ca="1">IFERROR(__xludf.DUMMYFUNCTION("""COMPUTED_VALUE"""),0)</f>
        <v>0</v>
      </c>
      <c r="O2050" s="85"/>
      <c r="P2050" s="85">
        <f ca="1">IFERROR(__xludf.DUMMYFUNCTION("""COMPUTED_VALUE"""),0)</f>
        <v>0</v>
      </c>
      <c r="Q2050" s="85"/>
      <c r="R2050" s="85">
        <f ca="1">IFERROR(__xludf.DUMMYFUNCTION("""COMPUTED_VALUE"""),0)</f>
        <v>0</v>
      </c>
      <c r="S2050" s="85"/>
      <c r="T2050" s="85"/>
      <c r="U2050" s="82"/>
      <c r="V2050" s="82"/>
      <c r="W2050" s="83"/>
      <c r="X2050" s="83"/>
      <c r="Y2050" s="83"/>
    </row>
    <row r="2051" spans="1:25" ht="13.8">
      <c r="A2051" s="78" t="str">
        <f ca="1">IFERROR(__xludf.DUMMYFUNCTION("""COMPUTED_VALUE"""),"T")</f>
        <v>T</v>
      </c>
      <c r="B2051" s="79" t="str">
        <f ca="1">IFERROR(__xludf.DUMMYFUNCTION("""COMPUTED_VALUE"""),"Sophie Paz")</f>
        <v>Sophie Paz</v>
      </c>
      <c r="C2051" s="78">
        <f ca="1">IFERROR(__xludf.DUMMYFUNCTION("""COMPUTED_VALUE"""),9)</f>
        <v>9</v>
      </c>
      <c r="D2051" s="78" t="str">
        <f ca="1">IFERROR(__xludf.DUMMYFUNCTION("""COMPUTED_VALUE"""),"G")</f>
        <v>G</v>
      </c>
      <c r="E2051" s="80" t="str">
        <f ca="1">IFERROR(__xludf.DUMMYFUNCTION("""COMPUTED_VALUE"""),"F")</f>
        <v>F</v>
      </c>
      <c r="F2051" s="86" t="str">
        <f ca="1">IFERROR(__xludf.DUMMYFUNCTION("""COMPUTED_VALUE"""),"J")</f>
        <v>J</v>
      </c>
      <c r="G2051" s="86">
        <f ca="1">IFERROR(__xludf.DUMMYFUNCTION("""COMPUTED_VALUE"""),4)</f>
        <v>4</v>
      </c>
      <c r="H2051" s="86" t="str">
        <f ca="1">IFERROR(__xludf.DUMMYFUNCTION("""COMPUTED_VALUE"""),"T")</f>
        <v>T</v>
      </c>
      <c r="I2051" s="86">
        <f ca="1">IFERROR(__xludf.DUMMYFUNCTION("""COMPUTED_VALUE"""),2)</f>
        <v>2</v>
      </c>
      <c r="J2051" s="85">
        <f ca="1">IFERROR(__xludf.DUMMYFUNCTION("""COMPUTED_VALUE"""),0)</f>
        <v>0</v>
      </c>
      <c r="K2051" s="85">
        <f ca="1">IFERROR(__xludf.DUMMYFUNCTION("""COMPUTED_VALUE"""),0)</f>
        <v>0</v>
      </c>
      <c r="L2051" s="85">
        <f ca="1">IFERROR(__xludf.DUMMYFUNCTION("""COMPUTED_VALUE"""),0)</f>
        <v>0</v>
      </c>
      <c r="M2051" s="85"/>
      <c r="N2051" s="85">
        <f ca="1">IFERROR(__xludf.DUMMYFUNCTION("""COMPUTED_VALUE"""),0)</f>
        <v>0</v>
      </c>
      <c r="O2051" s="85"/>
      <c r="P2051" s="85">
        <f ca="1">IFERROR(__xludf.DUMMYFUNCTION("""COMPUTED_VALUE"""),0)</f>
        <v>0</v>
      </c>
      <c r="Q2051" s="85"/>
      <c r="R2051" s="85">
        <f ca="1">IFERROR(__xludf.DUMMYFUNCTION("""COMPUTED_VALUE"""),0)</f>
        <v>0</v>
      </c>
      <c r="S2051" s="85"/>
      <c r="T2051" s="85"/>
      <c r="U2051" s="82"/>
      <c r="V2051" s="82"/>
      <c r="W2051" s="83"/>
      <c r="X2051" s="83"/>
      <c r="Y2051" s="83"/>
    </row>
    <row r="2052" spans="1:25" ht="13.8">
      <c r="A2052" s="78" t="str">
        <f ca="1">IFERROR(__xludf.DUMMYFUNCTION("""COMPUTED_VALUE"""),"T")</f>
        <v>T</v>
      </c>
      <c r="B2052" s="79" t="str">
        <f ca="1">IFERROR(__xludf.DUMMYFUNCTION("""COMPUTED_VALUE"""),"Nikitha Rajesh")</f>
        <v>Nikitha Rajesh</v>
      </c>
      <c r="C2052" s="78">
        <f ca="1">IFERROR(__xludf.DUMMYFUNCTION("""COMPUTED_VALUE"""),10)</f>
        <v>10</v>
      </c>
      <c r="D2052" s="78" t="str">
        <f ca="1">IFERROR(__xludf.DUMMYFUNCTION("""COMPUTED_VALUE"""),"G")</f>
        <v>G</v>
      </c>
      <c r="E2052" s="80" t="str">
        <f ca="1">IFERROR(__xludf.DUMMYFUNCTION("""COMPUTED_VALUE"""),"F")</f>
        <v>F</v>
      </c>
      <c r="F2052" s="86" t="str">
        <f ca="1">IFERROR(__xludf.DUMMYFUNCTION("""COMPUTED_VALUE"""),"J")</f>
        <v>J</v>
      </c>
      <c r="G2052" s="86">
        <f ca="1">IFERROR(__xludf.DUMMYFUNCTION("""COMPUTED_VALUE"""),4)</f>
        <v>4</v>
      </c>
      <c r="H2052" s="86" t="str">
        <f ca="1">IFERROR(__xludf.DUMMYFUNCTION("""COMPUTED_VALUE"""),"T")</f>
        <v>T</v>
      </c>
      <c r="I2052" s="86">
        <f ca="1">IFERROR(__xludf.DUMMYFUNCTION("""COMPUTED_VALUE"""),2)</f>
        <v>2</v>
      </c>
      <c r="J2052" s="85">
        <f ca="1">IFERROR(__xludf.DUMMYFUNCTION("""COMPUTED_VALUE"""),4)</f>
        <v>4</v>
      </c>
      <c r="K2052" s="85">
        <f ca="1">IFERROR(__xludf.DUMMYFUNCTION("""COMPUTED_VALUE"""),62.05)</f>
        <v>62.05</v>
      </c>
      <c r="L2052" s="85">
        <f ca="1">IFERROR(__xludf.DUMMYFUNCTION("""COMPUTED_VALUE"""),62.05)</f>
        <v>62.05</v>
      </c>
      <c r="M2052" s="85"/>
      <c r="N2052" s="85">
        <f ca="1">IFERROR(__xludf.DUMMYFUNCTION("""COMPUTED_VALUE"""),53.3)</f>
        <v>53.3</v>
      </c>
      <c r="O2052" s="85"/>
      <c r="P2052" s="85">
        <f ca="1">IFERROR(__xludf.DUMMYFUNCTION("""COMPUTED_VALUE"""),0)</f>
        <v>0</v>
      </c>
      <c r="Q2052" s="85"/>
      <c r="R2052" s="85">
        <f ca="1">IFERROR(__xludf.DUMMYFUNCTION("""COMPUTED_VALUE"""),46.75)</f>
        <v>46.75</v>
      </c>
      <c r="S2052" s="85"/>
      <c r="T2052" s="85"/>
      <c r="U2052" s="82"/>
      <c r="V2052" s="82"/>
      <c r="W2052" s="83"/>
      <c r="X2052" s="83"/>
      <c r="Y2052" s="83"/>
    </row>
    <row r="2053" spans="1:25" ht="13.8">
      <c r="A2053" s="78" t="str">
        <f ca="1">IFERROR(__xludf.DUMMYFUNCTION("""COMPUTED_VALUE"""),"T")</f>
        <v>T</v>
      </c>
      <c r="B2053" s="79" t="str">
        <f ca="1">IFERROR(__xludf.DUMMYFUNCTION("""COMPUTED_VALUE"""),"Luci Reynolds")</f>
        <v>Luci Reynolds</v>
      </c>
      <c r="C2053" s="78">
        <f ca="1">IFERROR(__xludf.DUMMYFUNCTION("""COMPUTED_VALUE"""),7)</f>
        <v>7</v>
      </c>
      <c r="D2053" s="78" t="str">
        <f ca="1">IFERROR(__xludf.DUMMYFUNCTION("""COMPUTED_VALUE"""),"G")</f>
        <v>G</v>
      </c>
      <c r="E2053" s="80" t="str">
        <f ca="1">IFERROR(__xludf.DUMMYFUNCTION("""COMPUTED_VALUE"""),"F")</f>
        <v>F</v>
      </c>
      <c r="F2053" s="86" t="str">
        <f ca="1">IFERROR(__xludf.DUMMYFUNCTION("""COMPUTED_VALUE"""),"J")</f>
        <v>J</v>
      </c>
      <c r="G2053" s="86">
        <f ca="1">IFERROR(__xludf.DUMMYFUNCTION("""COMPUTED_VALUE"""),4)</f>
        <v>4</v>
      </c>
      <c r="H2053" s="86" t="str">
        <f ca="1">IFERROR(__xludf.DUMMYFUNCTION("""COMPUTED_VALUE"""),"T")</f>
        <v>T</v>
      </c>
      <c r="I2053" s="86">
        <f ca="1">IFERROR(__xludf.DUMMYFUNCTION("""COMPUTED_VALUE"""),2)</f>
        <v>2</v>
      </c>
      <c r="J2053" s="85">
        <f ca="1">IFERROR(__xludf.DUMMYFUNCTION("""COMPUTED_VALUE"""),0)</f>
        <v>0</v>
      </c>
      <c r="K2053" s="85">
        <f ca="1">IFERROR(__xludf.DUMMYFUNCTION("""COMPUTED_VALUE"""),0)</f>
        <v>0</v>
      </c>
      <c r="L2053" s="85">
        <f ca="1">IFERROR(__xludf.DUMMYFUNCTION("""COMPUTED_VALUE"""),0)</f>
        <v>0</v>
      </c>
      <c r="M2053" s="85"/>
      <c r="N2053" s="85">
        <f ca="1">IFERROR(__xludf.DUMMYFUNCTION("""COMPUTED_VALUE"""),0)</f>
        <v>0</v>
      </c>
      <c r="O2053" s="85"/>
      <c r="P2053" s="85">
        <f ca="1">IFERROR(__xludf.DUMMYFUNCTION("""COMPUTED_VALUE"""),0)</f>
        <v>0</v>
      </c>
      <c r="Q2053" s="85"/>
      <c r="R2053" s="85">
        <f ca="1">IFERROR(__xludf.DUMMYFUNCTION("""COMPUTED_VALUE"""),0)</f>
        <v>0</v>
      </c>
      <c r="S2053" s="85"/>
      <c r="T2053" s="85"/>
      <c r="U2053" s="82"/>
      <c r="V2053" s="82"/>
      <c r="W2053" s="83"/>
      <c r="X2053" s="83"/>
      <c r="Y2053" s="83"/>
    </row>
    <row r="2054" spans="1:25" ht="13.8">
      <c r="A2054" s="78" t="str">
        <f ca="1">IFERROR(__xludf.DUMMYFUNCTION("""COMPUTED_VALUE"""),"T")</f>
        <v>T</v>
      </c>
      <c r="B2054" s="79" t="str">
        <f ca="1">IFERROR(__xludf.DUMMYFUNCTION("""COMPUTED_VALUE"""),"Gabi Rodriguez")</f>
        <v>Gabi Rodriguez</v>
      </c>
      <c r="C2054" s="78">
        <f ca="1">IFERROR(__xludf.DUMMYFUNCTION("""COMPUTED_VALUE"""),9)</f>
        <v>9</v>
      </c>
      <c r="D2054" s="78" t="str">
        <f ca="1">IFERROR(__xludf.DUMMYFUNCTION("""COMPUTED_VALUE"""),"G")</f>
        <v>G</v>
      </c>
      <c r="E2054" s="80" t="str">
        <f ca="1">IFERROR(__xludf.DUMMYFUNCTION("""COMPUTED_VALUE"""),"F")</f>
        <v>F</v>
      </c>
      <c r="F2054" s="86" t="str">
        <f ca="1">IFERROR(__xludf.DUMMYFUNCTION("""COMPUTED_VALUE"""),"J")</f>
        <v>J</v>
      </c>
      <c r="G2054" s="86">
        <f ca="1">IFERROR(__xludf.DUMMYFUNCTION("""COMPUTED_VALUE"""),4)</f>
        <v>4</v>
      </c>
      <c r="H2054" s="86" t="str">
        <f ca="1">IFERROR(__xludf.DUMMYFUNCTION("""COMPUTED_VALUE"""),"T")</f>
        <v>T</v>
      </c>
      <c r="I2054" s="86">
        <f ca="1">IFERROR(__xludf.DUMMYFUNCTION("""COMPUTED_VALUE"""),2)</f>
        <v>2</v>
      </c>
      <c r="J2054" s="85">
        <f ca="1">IFERROR(__xludf.DUMMYFUNCTION("""COMPUTED_VALUE"""),0)</f>
        <v>0</v>
      </c>
      <c r="K2054" s="85">
        <f ca="1">IFERROR(__xludf.DUMMYFUNCTION("""COMPUTED_VALUE"""),0)</f>
        <v>0</v>
      </c>
      <c r="L2054" s="85">
        <f ca="1">IFERROR(__xludf.DUMMYFUNCTION("""COMPUTED_VALUE"""),0)</f>
        <v>0</v>
      </c>
      <c r="M2054" s="85"/>
      <c r="N2054" s="85">
        <f ca="1">IFERROR(__xludf.DUMMYFUNCTION("""COMPUTED_VALUE"""),0)</f>
        <v>0</v>
      </c>
      <c r="O2054" s="85"/>
      <c r="P2054" s="85">
        <f ca="1">IFERROR(__xludf.DUMMYFUNCTION("""COMPUTED_VALUE"""),0)</f>
        <v>0</v>
      </c>
      <c r="Q2054" s="85"/>
      <c r="R2054" s="85">
        <f ca="1">IFERROR(__xludf.DUMMYFUNCTION("""COMPUTED_VALUE"""),0)</f>
        <v>0</v>
      </c>
      <c r="S2054" s="85"/>
      <c r="T2054" s="85"/>
      <c r="U2054" s="82"/>
      <c r="V2054" s="82"/>
      <c r="W2054" s="83"/>
      <c r="X2054" s="83"/>
      <c r="Y2054" s="83"/>
    </row>
    <row r="2055" spans="1:25" ht="13.8">
      <c r="A2055" s="78" t="str">
        <f ca="1">IFERROR(__xludf.DUMMYFUNCTION("""COMPUTED_VALUE"""),"T")</f>
        <v>T</v>
      </c>
      <c r="B2055" s="79" t="str">
        <f ca="1">IFERROR(__xludf.DUMMYFUNCTION("""COMPUTED_VALUE"""),"Chaaya Springer")</f>
        <v>Chaaya Springer</v>
      </c>
      <c r="C2055" s="78">
        <f ca="1">IFERROR(__xludf.DUMMYFUNCTION("""COMPUTED_VALUE"""),9)</f>
        <v>9</v>
      </c>
      <c r="D2055" s="78" t="str">
        <f ca="1">IFERROR(__xludf.DUMMYFUNCTION("""COMPUTED_VALUE"""),"G")</f>
        <v>G</v>
      </c>
      <c r="E2055" s="80" t="str">
        <f ca="1">IFERROR(__xludf.DUMMYFUNCTION("""COMPUTED_VALUE"""),"F")</f>
        <v>F</v>
      </c>
      <c r="F2055" s="86" t="str">
        <f ca="1">IFERROR(__xludf.DUMMYFUNCTION("""COMPUTED_VALUE"""),"J")</f>
        <v>J</v>
      </c>
      <c r="G2055" s="86">
        <f ca="1">IFERROR(__xludf.DUMMYFUNCTION("""COMPUTED_VALUE"""),4)</f>
        <v>4</v>
      </c>
      <c r="H2055" s="86" t="str">
        <f ca="1">IFERROR(__xludf.DUMMYFUNCTION("""COMPUTED_VALUE"""),"T")</f>
        <v>T</v>
      </c>
      <c r="I2055" s="86">
        <f ca="1">IFERROR(__xludf.DUMMYFUNCTION("""COMPUTED_VALUE"""),2)</f>
        <v>2</v>
      </c>
      <c r="J2055" s="85">
        <f ca="1">IFERROR(__xludf.DUMMYFUNCTION("""COMPUTED_VALUE"""),5)</f>
        <v>5</v>
      </c>
      <c r="K2055" s="85">
        <f ca="1">IFERROR(__xludf.DUMMYFUNCTION("""COMPUTED_VALUE"""),69.35)</f>
        <v>69.349999999999994</v>
      </c>
      <c r="L2055" s="85">
        <f ca="1">IFERROR(__xludf.DUMMYFUNCTION("""COMPUTED_VALUE"""),69.35)</f>
        <v>69.349999999999994</v>
      </c>
      <c r="M2055" s="85"/>
      <c r="N2055" s="85">
        <f ca="1">IFERROR(__xludf.DUMMYFUNCTION("""COMPUTED_VALUE"""),58.4)</f>
        <v>58.4</v>
      </c>
      <c r="O2055" s="85"/>
      <c r="P2055" s="85">
        <f ca="1">IFERROR(__xludf.DUMMYFUNCTION("""COMPUTED_VALUE"""),66.3)</f>
        <v>66.3</v>
      </c>
      <c r="Q2055" s="85"/>
      <c r="R2055" s="85">
        <f ca="1">IFERROR(__xludf.DUMMYFUNCTION("""COMPUTED_VALUE"""),64.85)</f>
        <v>64.849999999999994</v>
      </c>
      <c r="S2055" s="85"/>
      <c r="T2055" s="85"/>
      <c r="U2055" s="82"/>
      <c r="V2055" s="82"/>
      <c r="W2055" s="83"/>
      <c r="X2055" s="83"/>
      <c r="Y2055" s="83"/>
    </row>
    <row r="2056" spans="1:25" ht="13.8">
      <c r="A2056" s="78" t="str">
        <f ca="1">IFERROR(__xludf.DUMMYFUNCTION("""COMPUTED_VALUE"""),"T")</f>
        <v>T</v>
      </c>
      <c r="B2056" s="79" t="str">
        <f ca="1">IFERROR(__xludf.DUMMYFUNCTION("""COMPUTED_VALUE"""),"Emily Upp")</f>
        <v>Emily Upp</v>
      </c>
      <c r="C2056" s="78">
        <f ca="1">IFERROR(__xludf.DUMMYFUNCTION("""COMPUTED_VALUE"""),10)</f>
        <v>10</v>
      </c>
      <c r="D2056" s="78" t="str">
        <f ca="1">IFERROR(__xludf.DUMMYFUNCTION("""COMPUTED_VALUE"""),"G")</f>
        <v>G</v>
      </c>
      <c r="E2056" s="80" t="str">
        <f ca="1">IFERROR(__xludf.DUMMYFUNCTION("""COMPUTED_VALUE"""),"F")</f>
        <v>F</v>
      </c>
      <c r="F2056" s="86" t="str">
        <f ca="1">IFERROR(__xludf.DUMMYFUNCTION("""COMPUTED_VALUE"""),"J")</f>
        <v>J</v>
      </c>
      <c r="G2056" s="86">
        <f ca="1">IFERROR(__xludf.DUMMYFUNCTION("""COMPUTED_VALUE"""),4)</f>
        <v>4</v>
      </c>
      <c r="H2056" s="86" t="str">
        <f ca="1">IFERROR(__xludf.DUMMYFUNCTION("""COMPUTED_VALUE"""),"T")</f>
        <v>T</v>
      </c>
      <c r="I2056" s="86">
        <f ca="1">IFERROR(__xludf.DUMMYFUNCTION("""COMPUTED_VALUE"""),2)</f>
        <v>2</v>
      </c>
      <c r="J2056" s="85">
        <f ca="1">IFERROR(__xludf.DUMMYFUNCTION("""COMPUTED_VALUE"""),4)</f>
        <v>4</v>
      </c>
      <c r="K2056" s="85">
        <f ca="1">IFERROR(__xludf.DUMMYFUNCTION("""COMPUTED_VALUE"""),57.9)</f>
        <v>57.9</v>
      </c>
      <c r="L2056" s="85">
        <f ca="1">IFERROR(__xludf.DUMMYFUNCTION("""COMPUTED_VALUE"""),0)</f>
        <v>0</v>
      </c>
      <c r="M2056" s="85"/>
      <c r="N2056" s="85">
        <f ca="1">IFERROR(__xludf.DUMMYFUNCTION("""COMPUTED_VALUE"""),53)</f>
        <v>53</v>
      </c>
      <c r="O2056" s="85"/>
      <c r="P2056" s="85">
        <f ca="1">IFERROR(__xludf.DUMMYFUNCTION("""COMPUTED_VALUE"""),57.9)</f>
        <v>57.9</v>
      </c>
      <c r="Q2056" s="85"/>
      <c r="R2056" s="85">
        <f ca="1">IFERROR(__xludf.DUMMYFUNCTION("""COMPUTED_VALUE"""),39.85)</f>
        <v>39.85</v>
      </c>
      <c r="S2056" s="85"/>
      <c r="T2056" s="85"/>
      <c r="U2056" s="82"/>
      <c r="V2056" s="82"/>
      <c r="W2056" s="83"/>
      <c r="X2056" s="83"/>
      <c r="Y2056" s="83"/>
    </row>
    <row r="2057" spans="1:25" ht="13.8">
      <c r="A2057" s="78" t="str">
        <f ca="1">IFERROR(__xludf.DUMMYFUNCTION("""COMPUTED_VALUE"""),"T")</f>
        <v>T</v>
      </c>
      <c r="B2057" s="79" t="str">
        <f ca="1">IFERROR(__xludf.DUMMYFUNCTION("""COMPUTED_VALUE"""),"Vicki Waisberg")</f>
        <v>Vicki Waisberg</v>
      </c>
      <c r="C2057" s="78">
        <f ca="1">IFERROR(__xludf.DUMMYFUNCTION("""COMPUTED_VALUE"""),10)</f>
        <v>10</v>
      </c>
      <c r="D2057" s="78" t="str">
        <f ca="1">IFERROR(__xludf.DUMMYFUNCTION("""COMPUTED_VALUE"""),"G")</f>
        <v>G</v>
      </c>
      <c r="E2057" s="80" t="str">
        <f ca="1">IFERROR(__xludf.DUMMYFUNCTION("""COMPUTED_VALUE"""),"F")</f>
        <v>F</v>
      </c>
      <c r="F2057" s="86" t="str">
        <f ca="1">IFERROR(__xludf.DUMMYFUNCTION("""COMPUTED_VALUE"""),"J")</f>
        <v>J</v>
      </c>
      <c r="G2057" s="86">
        <f ca="1">IFERROR(__xludf.DUMMYFUNCTION("""COMPUTED_VALUE"""),4)</f>
        <v>4</v>
      </c>
      <c r="H2057" s="86" t="str">
        <f ca="1">IFERROR(__xludf.DUMMYFUNCTION("""COMPUTED_VALUE"""),"T")</f>
        <v>T</v>
      </c>
      <c r="I2057" s="86">
        <f ca="1">IFERROR(__xludf.DUMMYFUNCTION("""COMPUTED_VALUE"""),2)</f>
        <v>2</v>
      </c>
      <c r="J2057" s="85">
        <f ca="1">IFERROR(__xludf.DUMMYFUNCTION("""COMPUTED_VALUE"""),1)</f>
        <v>1</v>
      </c>
      <c r="K2057" s="85">
        <f ca="1">IFERROR(__xludf.DUMMYFUNCTION("""COMPUTED_VALUE"""),0)</f>
        <v>0</v>
      </c>
      <c r="L2057" s="85">
        <f ca="1">IFERROR(__xludf.DUMMYFUNCTION("""COMPUTED_VALUE"""),0)</f>
        <v>0</v>
      </c>
      <c r="M2057" s="85"/>
      <c r="N2057" s="85">
        <f ca="1">IFERROR(__xludf.DUMMYFUNCTION("""COMPUTED_VALUE"""),0)</f>
        <v>0</v>
      </c>
      <c r="O2057" s="85"/>
      <c r="P2057" s="85">
        <f ca="1">IFERROR(__xludf.DUMMYFUNCTION("""COMPUTED_VALUE"""),0)</f>
        <v>0</v>
      </c>
      <c r="Q2057" s="85"/>
      <c r="R2057" s="85">
        <f ca="1">IFERROR(__xludf.DUMMYFUNCTION("""COMPUTED_VALUE"""),0)</f>
        <v>0</v>
      </c>
      <c r="S2057" s="85"/>
      <c r="T2057" s="85"/>
      <c r="U2057" s="82"/>
      <c r="V2057" s="82"/>
      <c r="W2057" s="83"/>
      <c r="X2057" s="83"/>
      <c r="Y2057" s="83"/>
    </row>
    <row r="2058" spans="1:25" ht="13.8">
      <c r="A2058" s="78" t="str">
        <f ca="1">IFERROR(__xludf.DUMMYFUNCTION("""COMPUTED_VALUE"""),"T")</f>
        <v>T</v>
      </c>
      <c r="B2058" s="79" t="str">
        <f ca="1">IFERROR(__xludf.DUMMYFUNCTION("""COMPUTED_VALUE"""),"Emily Zellers")</f>
        <v>Emily Zellers</v>
      </c>
      <c r="C2058" s="78">
        <f ca="1">IFERROR(__xludf.DUMMYFUNCTION("""COMPUTED_VALUE"""),10)</f>
        <v>10</v>
      </c>
      <c r="D2058" s="78" t="str">
        <f ca="1">IFERROR(__xludf.DUMMYFUNCTION("""COMPUTED_VALUE"""),"G")</f>
        <v>G</v>
      </c>
      <c r="E2058" s="80" t="str">
        <f ca="1">IFERROR(__xludf.DUMMYFUNCTION("""COMPUTED_VALUE"""),"F")</f>
        <v>F</v>
      </c>
      <c r="F2058" s="86" t="str">
        <f ca="1">IFERROR(__xludf.DUMMYFUNCTION("""COMPUTED_VALUE"""),"J")</f>
        <v>J</v>
      </c>
      <c r="G2058" s="86">
        <f ca="1">IFERROR(__xludf.DUMMYFUNCTION("""COMPUTED_VALUE"""),4)</f>
        <v>4</v>
      </c>
      <c r="H2058" s="86" t="str">
        <f ca="1">IFERROR(__xludf.DUMMYFUNCTION("""COMPUTED_VALUE"""),"T")</f>
        <v>T</v>
      </c>
      <c r="I2058" s="86">
        <f ca="1">IFERROR(__xludf.DUMMYFUNCTION("""COMPUTED_VALUE"""),2)</f>
        <v>2</v>
      </c>
      <c r="J2058" s="85">
        <f ca="1">IFERROR(__xludf.DUMMYFUNCTION("""COMPUTED_VALUE"""),0)</f>
        <v>0</v>
      </c>
      <c r="K2058" s="85">
        <f ca="1">IFERROR(__xludf.DUMMYFUNCTION("""COMPUTED_VALUE"""),0)</f>
        <v>0</v>
      </c>
      <c r="L2058" s="85">
        <f ca="1">IFERROR(__xludf.DUMMYFUNCTION("""COMPUTED_VALUE"""),0)</f>
        <v>0</v>
      </c>
      <c r="M2058" s="85"/>
      <c r="N2058" s="85">
        <f ca="1">IFERROR(__xludf.DUMMYFUNCTION("""COMPUTED_VALUE"""),0)</f>
        <v>0</v>
      </c>
      <c r="O2058" s="85"/>
      <c r="P2058" s="85">
        <f ca="1">IFERROR(__xludf.DUMMYFUNCTION("""COMPUTED_VALUE"""),0)</f>
        <v>0</v>
      </c>
      <c r="Q2058" s="85"/>
      <c r="R2058" s="85">
        <f ca="1">IFERROR(__xludf.DUMMYFUNCTION("""COMPUTED_VALUE"""),0)</f>
        <v>0</v>
      </c>
      <c r="S2058" s="85"/>
      <c r="T2058" s="85"/>
      <c r="U2058" s="82"/>
      <c r="V2058" s="82"/>
      <c r="W2058" s="83"/>
      <c r="X2058" s="83"/>
      <c r="Y2058" s="83"/>
    </row>
    <row r="2059" spans="1:25" ht="13.8">
      <c r="A2059" s="78" t="str">
        <f ca="1">IFERROR(__xludf.DUMMYFUNCTION("""COMPUTED_VALUE"""),"T")</f>
        <v>T</v>
      </c>
      <c r="B2059" s="79" t="str">
        <f ca="1">IFERROR(__xludf.DUMMYFUNCTION("""COMPUTED_VALUE"""),"Julia Zellers")</f>
        <v>Julia Zellers</v>
      </c>
      <c r="C2059" s="78">
        <f ca="1">IFERROR(__xludf.DUMMYFUNCTION("""COMPUTED_VALUE"""),7)</f>
        <v>7</v>
      </c>
      <c r="D2059" s="78" t="str">
        <f ca="1">IFERROR(__xludf.DUMMYFUNCTION("""COMPUTED_VALUE"""),"G")</f>
        <v>G</v>
      </c>
      <c r="E2059" s="80" t="str">
        <f ca="1">IFERROR(__xludf.DUMMYFUNCTION("""COMPUTED_VALUE"""),"F")</f>
        <v>F</v>
      </c>
      <c r="F2059" s="86" t="str">
        <f ca="1">IFERROR(__xludf.DUMMYFUNCTION("""COMPUTED_VALUE"""),"J")</f>
        <v>J</v>
      </c>
      <c r="G2059" s="86">
        <f ca="1">IFERROR(__xludf.DUMMYFUNCTION("""COMPUTED_VALUE"""),4)</f>
        <v>4</v>
      </c>
      <c r="H2059" s="86" t="str">
        <f ca="1">IFERROR(__xludf.DUMMYFUNCTION("""COMPUTED_VALUE"""),"T")</f>
        <v>T</v>
      </c>
      <c r="I2059" s="86">
        <f ca="1">IFERROR(__xludf.DUMMYFUNCTION("""COMPUTED_VALUE"""),2)</f>
        <v>2</v>
      </c>
      <c r="J2059" s="85">
        <f ca="1">IFERROR(__xludf.DUMMYFUNCTION("""COMPUTED_VALUE"""),0)</f>
        <v>0</v>
      </c>
      <c r="K2059" s="85">
        <f ca="1">IFERROR(__xludf.DUMMYFUNCTION("""COMPUTED_VALUE"""),0)</f>
        <v>0</v>
      </c>
      <c r="L2059" s="85">
        <f ca="1">IFERROR(__xludf.DUMMYFUNCTION("""COMPUTED_VALUE"""),0)</f>
        <v>0</v>
      </c>
      <c r="M2059" s="85"/>
      <c r="N2059" s="85">
        <f ca="1">IFERROR(__xludf.DUMMYFUNCTION("""COMPUTED_VALUE"""),0)</f>
        <v>0</v>
      </c>
      <c r="O2059" s="85"/>
      <c r="P2059" s="85">
        <f ca="1">IFERROR(__xludf.DUMMYFUNCTION("""COMPUTED_VALUE"""),0)</f>
        <v>0</v>
      </c>
      <c r="Q2059" s="85"/>
      <c r="R2059" s="85">
        <f ca="1">IFERROR(__xludf.DUMMYFUNCTION("""COMPUTED_VALUE"""),0)</f>
        <v>0</v>
      </c>
      <c r="S2059" s="85"/>
      <c r="T2059" s="85"/>
      <c r="U2059" s="82"/>
      <c r="V2059" s="82"/>
      <c r="W2059" s="83"/>
      <c r="X2059" s="83"/>
      <c r="Y2059" s="83"/>
    </row>
    <row r="2060" spans="1:25" ht="13.8">
      <c r="A2060" s="78" t="str">
        <f ca="1">IFERROR(__xludf.DUMMYFUNCTION("""COMPUTED_VALUE"""),"T")</f>
        <v>T</v>
      </c>
      <c r="B2060" s="79" t="str">
        <f ca="1">IFERROR(__xludf.DUMMYFUNCTION("""COMPUTED_VALUE"""),"Aidan Eagan")</f>
        <v>Aidan Eagan</v>
      </c>
      <c r="C2060" s="78">
        <f ca="1">IFERROR(__xludf.DUMMYFUNCTION("""COMPUTED_VALUE"""),9)</f>
        <v>9</v>
      </c>
      <c r="D2060" s="78" t="str">
        <f ca="1">IFERROR(__xludf.DUMMYFUNCTION("""COMPUTED_VALUE"""),"B")</f>
        <v>B</v>
      </c>
      <c r="E2060" s="80" t="str">
        <f ca="1">IFERROR(__xludf.DUMMYFUNCTION("""COMPUTED_VALUE"""),"F")</f>
        <v>F</v>
      </c>
      <c r="F2060" s="86" t="str">
        <f ca="1">IFERROR(__xludf.DUMMYFUNCTION("""COMPUTED_VALUE"""),"J")</f>
        <v>J</v>
      </c>
      <c r="G2060" s="86">
        <f ca="1">IFERROR(__xludf.DUMMYFUNCTION("""COMPUTED_VALUE"""),4)</f>
        <v>4</v>
      </c>
      <c r="H2060" s="86" t="str">
        <f ca="1">IFERROR(__xludf.DUMMYFUNCTION("""COMPUTED_VALUE"""),"T")</f>
        <v>T</v>
      </c>
      <c r="I2060" s="86">
        <f ca="1">IFERROR(__xludf.DUMMYFUNCTION("""COMPUTED_VALUE"""),3)</f>
        <v>3</v>
      </c>
      <c r="J2060" s="85">
        <f ca="1">IFERROR(__xludf.DUMMYFUNCTION("""COMPUTED_VALUE"""),0)</f>
        <v>0</v>
      </c>
      <c r="K2060" s="85">
        <f ca="1">IFERROR(__xludf.DUMMYFUNCTION("""COMPUTED_VALUE"""),0)</f>
        <v>0</v>
      </c>
      <c r="L2060" s="85">
        <f ca="1">IFERROR(__xludf.DUMMYFUNCTION("""COMPUTED_VALUE"""),0)</f>
        <v>0</v>
      </c>
      <c r="M2060" s="85"/>
      <c r="N2060" s="85">
        <f ca="1">IFERROR(__xludf.DUMMYFUNCTION("""COMPUTED_VALUE"""),0)</f>
        <v>0</v>
      </c>
      <c r="O2060" s="85"/>
      <c r="P2060" s="85">
        <f ca="1">IFERROR(__xludf.DUMMYFUNCTION("""COMPUTED_VALUE"""),0)</f>
        <v>0</v>
      </c>
      <c r="Q2060" s="85"/>
      <c r="R2060" s="85">
        <f ca="1">IFERROR(__xludf.DUMMYFUNCTION("""COMPUTED_VALUE"""),0)</f>
        <v>0</v>
      </c>
      <c r="S2060" s="85"/>
      <c r="T2060" s="85"/>
      <c r="U2060" s="82"/>
      <c r="V2060" s="82"/>
      <c r="W2060" s="83"/>
      <c r="X2060" s="83"/>
      <c r="Y2060" s="83"/>
    </row>
    <row r="2061" spans="1:25" ht="13.8">
      <c r="A2061" s="78" t="str">
        <f ca="1">IFERROR(__xludf.DUMMYFUNCTION("""COMPUTED_VALUE"""),"T")</f>
        <v>T</v>
      </c>
      <c r="B2061" s="79" t="str">
        <f ca="1">IFERROR(__xludf.DUMMYFUNCTION("""COMPUTED_VALUE"""),"Benny Edelson")</f>
        <v>Benny Edelson</v>
      </c>
      <c r="C2061" s="78">
        <f ca="1">IFERROR(__xludf.DUMMYFUNCTION("""COMPUTED_VALUE"""),7)</f>
        <v>7</v>
      </c>
      <c r="D2061" s="78" t="str">
        <f ca="1">IFERROR(__xludf.DUMMYFUNCTION("""COMPUTED_VALUE"""),"B")</f>
        <v>B</v>
      </c>
      <c r="E2061" s="80" t="str">
        <f ca="1">IFERROR(__xludf.DUMMYFUNCTION("""COMPUTED_VALUE"""),"F")</f>
        <v>F</v>
      </c>
      <c r="F2061" s="86" t="str">
        <f ca="1">IFERROR(__xludf.DUMMYFUNCTION("""COMPUTED_VALUE"""),"J")</f>
        <v>J</v>
      </c>
      <c r="G2061" s="86">
        <f ca="1">IFERROR(__xludf.DUMMYFUNCTION("""COMPUTED_VALUE"""),4)</f>
        <v>4</v>
      </c>
      <c r="H2061" s="86" t="str">
        <f ca="1">IFERROR(__xludf.DUMMYFUNCTION("""COMPUTED_VALUE"""),"T")</f>
        <v>T</v>
      </c>
      <c r="I2061" s="86">
        <f ca="1">IFERROR(__xludf.DUMMYFUNCTION("""COMPUTED_VALUE"""),3)</f>
        <v>3</v>
      </c>
      <c r="J2061" s="85">
        <f ca="1">IFERROR(__xludf.DUMMYFUNCTION("""COMPUTED_VALUE"""),0)</f>
        <v>0</v>
      </c>
      <c r="K2061" s="85">
        <f ca="1">IFERROR(__xludf.DUMMYFUNCTION("""COMPUTED_VALUE"""),0)</f>
        <v>0</v>
      </c>
      <c r="L2061" s="85">
        <f ca="1">IFERROR(__xludf.DUMMYFUNCTION("""COMPUTED_VALUE"""),0)</f>
        <v>0</v>
      </c>
      <c r="M2061" s="85"/>
      <c r="N2061" s="85">
        <f ca="1">IFERROR(__xludf.DUMMYFUNCTION("""COMPUTED_VALUE"""),0)</f>
        <v>0</v>
      </c>
      <c r="O2061" s="85"/>
      <c r="P2061" s="85">
        <f ca="1">IFERROR(__xludf.DUMMYFUNCTION("""COMPUTED_VALUE"""),0)</f>
        <v>0</v>
      </c>
      <c r="Q2061" s="85"/>
      <c r="R2061" s="85">
        <f ca="1">IFERROR(__xludf.DUMMYFUNCTION("""COMPUTED_VALUE"""),0)</f>
        <v>0</v>
      </c>
      <c r="S2061" s="85"/>
      <c r="T2061" s="85"/>
      <c r="U2061" s="82"/>
      <c r="V2061" s="82"/>
      <c r="W2061" s="83"/>
      <c r="X2061" s="83"/>
      <c r="Y2061" s="83"/>
    </row>
    <row r="2062" spans="1:25" ht="13.8">
      <c r="A2062" s="78" t="str">
        <f ca="1">IFERROR(__xludf.DUMMYFUNCTION("""COMPUTED_VALUE"""),"T")</f>
        <v>T</v>
      </c>
      <c r="B2062" s="79" t="str">
        <f ca="1">IFERROR(__xludf.DUMMYFUNCTION("""COMPUTED_VALUE"""),"Josh Edelson")</f>
        <v>Josh Edelson</v>
      </c>
      <c r="C2062" s="78">
        <f ca="1">IFERROR(__xludf.DUMMYFUNCTION("""COMPUTED_VALUE"""),10)</f>
        <v>10</v>
      </c>
      <c r="D2062" s="78" t="str">
        <f ca="1">IFERROR(__xludf.DUMMYFUNCTION("""COMPUTED_VALUE"""),"B")</f>
        <v>B</v>
      </c>
      <c r="E2062" s="80" t="str">
        <f ca="1">IFERROR(__xludf.DUMMYFUNCTION("""COMPUTED_VALUE"""),"F")</f>
        <v>F</v>
      </c>
      <c r="F2062" s="86" t="str">
        <f ca="1">IFERROR(__xludf.DUMMYFUNCTION("""COMPUTED_VALUE"""),"J")</f>
        <v>J</v>
      </c>
      <c r="G2062" s="86">
        <f ca="1">IFERROR(__xludf.DUMMYFUNCTION("""COMPUTED_VALUE"""),4)</f>
        <v>4</v>
      </c>
      <c r="H2062" s="86" t="str">
        <f ca="1">IFERROR(__xludf.DUMMYFUNCTION("""COMPUTED_VALUE"""),"T")</f>
        <v>T</v>
      </c>
      <c r="I2062" s="86">
        <f ca="1">IFERROR(__xludf.DUMMYFUNCTION("""COMPUTED_VALUE"""),3)</f>
        <v>3</v>
      </c>
      <c r="J2062" s="85">
        <f ca="1">IFERROR(__xludf.DUMMYFUNCTION("""COMPUTED_VALUE"""),1)</f>
        <v>1</v>
      </c>
      <c r="K2062" s="85">
        <f ca="1">IFERROR(__xludf.DUMMYFUNCTION("""COMPUTED_VALUE"""),45.35)</f>
        <v>45.35</v>
      </c>
      <c r="L2062" s="85">
        <f ca="1">IFERROR(__xludf.DUMMYFUNCTION("""COMPUTED_VALUE"""),45.35)</f>
        <v>45.35</v>
      </c>
      <c r="M2062" s="85"/>
      <c r="N2062" s="85">
        <f ca="1">IFERROR(__xludf.DUMMYFUNCTION("""COMPUTED_VALUE"""),0)</f>
        <v>0</v>
      </c>
      <c r="O2062" s="85"/>
      <c r="P2062" s="85">
        <f ca="1">IFERROR(__xludf.DUMMYFUNCTION("""COMPUTED_VALUE"""),0)</f>
        <v>0</v>
      </c>
      <c r="Q2062" s="85"/>
      <c r="R2062" s="85">
        <f ca="1">IFERROR(__xludf.DUMMYFUNCTION("""COMPUTED_VALUE"""),0)</f>
        <v>0</v>
      </c>
      <c r="S2062" s="85"/>
      <c r="T2062" s="85"/>
      <c r="U2062" s="82"/>
      <c r="V2062" s="82"/>
      <c r="W2062" s="83"/>
      <c r="X2062" s="83"/>
      <c r="Y2062" s="83"/>
    </row>
    <row r="2063" spans="1:25" ht="13.8">
      <c r="A2063" s="78" t="str">
        <f ca="1">IFERROR(__xludf.DUMMYFUNCTION("""COMPUTED_VALUE"""),"T")</f>
        <v>T</v>
      </c>
      <c r="B2063" s="79" t="str">
        <f ca="1">IFERROR(__xludf.DUMMYFUNCTION("""COMPUTED_VALUE"""),"Ben Engola")</f>
        <v>Ben Engola</v>
      </c>
      <c r="C2063" s="78">
        <f ca="1">IFERROR(__xludf.DUMMYFUNCTION("""COMPUTED_VALUE"""),10)</f>
        <v>10</v>
      </c>
      <c r="D2063" s="78" t="str">
        <f ca="1">IFERROR(__xludf.DUMMYFUNCTION("""COMPUTED_VALUE"""),"B")</f>
        <v>B</v>
      </c>
      <c r="E2063" s="80" t="str">
        <f ca="1">IFERROR(__xludf.DUMMYFUNCTION("""COMPUTED_VALUE"""),"F")</f>
        <v>F</v>
      </c>
      <c r="F2063" s="86" t="str">
        <f ca="1">IFERROR(__xludf.DUMMYFUNCTION("""COMPUTED_VALUE"""),"J")</f>
        <v>J</v>
      </c>
      <c r="G2063" s="86">
        <f ca="1">IFERROR(__xludf.DUMMYFUNCTION("""COMPUTED_VALUE"""),4)</f>
        <v>4</v>
      </c>
      <c r="H2063" s="86" t="str">
        <f ca="1">IFERROR(__xludf.DUMMYFUNCTION("""COMPUTED_VALUE"""),"T")</f>
        <v>T</v>
      </c>
      <c r="I2063" s="86">
        <f ca="1">IFERROR(__xludf.DUMMYFUNCTION("""COMPUTED_VALUE"""),3)</f>
        <v>3</v>
      </c>
      <c r="J2063" s="85">
        <f ca="1">IFERROR(__xludf.DUMMYFUNCTION("""COMPUTED_VALUE"""),3)</f>
        <v>3</v>
      </c>
      <c r="K2063" s="85">
        <f ca="1">IFERROR(__xludf.DUMMYFUNCTION("""COMPUTED_VALUE"""),53.25)</f>
        <v>53.25</v>
      </c>
      <c r="L2063" s="85">
        <f ca="1">IFERROR(__xludf.DUMMYFUNCTION("""COMPUTED_VALUE"""),53.25)</f>
        <v>53.25</v>
      </c>
      <c r="M2063" s="85"/>
      <c r="N2063" s="85">
        <f ca="1">IFERROR(__xludf.DUMMYFUNCTION("""COMPUTED_VALUE"""),0)</f>
        <v>0</v>
      </c>
      <c r="O2063" s="85"/>
      <c r="P2063" s="85">
        <f ca="1">IFERROR(__xludf.DUMMYFUNCTION("""COMPUTED_VALUE"""),42.85)</f>
        <v>42.85</v>
      </c>
      <c r="Q2063" s="85"/>
      <c r="R2063" s="85">
        <f ca="1">IFERROR(__xludf.DUMMYFUNCTION("""COMPUTED_VALUE"""),52.55)</f>
        <v>52.55</v>
      </c>
      <c r="S2063" s="85"/>
      <c r="T2063" s="85"/>
      <c r="U2063" s="82"/>
      <c r="V2063" s="82"/>
      <c r="W2063" s="83"/>
      <c r="X2063" s="83"/>
      <c r="Y2063" s="83"/>
    </row>
    <row r="2064" spans="1:25" ht="13.8">
      <c r="A2064" s="78" t="str">
        <f ca="1">IFERROR(__xludf.DUMMYFUNCTION("""COMPUTED_VALUE"""),"T")</f>
        <v>T</v>
      </c>
      <c r="B2064" s="79" t="str">
        <f ca="1">IFERROR(__xludf.DUMMYFUNCTION("""COMPUTED_VALUE"""),"Isaac Fonner")</f>
        <v>Isaac Fonner</v>
      </c>
      <c r="C2064" s="78">
        <f ca="1">IFERROR(__xludf.DUMMYFUNCTION("""COMPUTED_VALUE"""),10)</f>
        <v>10</v>
      </c>
      <c r="D2064" s="78" t="str">
        <f ca="1">IFERROR(__xludf.DUMMYFUNCTION("""COMPUTED_VALUE"""),"B")</f>
        <v>B</v>
      </c>
      <c r="E2064" s="80" t="str">
        <f ca="1">IFERROR(__xludf.DUMMYFUNCTION("""COMPUTED_VALUE"""),"F")</f>
        <v>F</v>
      </c>
      <c r="F2064" s="86" t="str">
        <f ca="1">IFERROR(__xludf.DUMMYFUNCTION("""COMPUTED_VALUE"""),"J")</f>
        <v>J</v>
      </c>
      <c r="G2064" s="86">
        <f ca="1">IFERROR(__xludf.DUMMYFUNCTION("""COMPUTED_VALUE"""),4)</f>
        <v>4</v>
      </c>
      <c r="H2064" s="86" t="str">
        <f ca="1">IFERROR(__xludf.DUMMYFUNCTION("""COMPUTED_VALUE"""),"T")</f>
        <v>T</v>
      </c>
      <c r="I2064" s="86">
        <f ca="1">IFERROR(__xludf.DUMMYFUNCTION("""COMPUTED_VALUE"""),3)</f>
        <v>3</v>
      </c>
      <c r="J2064" s="85">
        <f ca="1">IFERROR(__xludf.DUMMYFUNCTION("""COMPUTED_VALUE"""),4)</f>
        <v>4</v>
      </c>
      <c r="K2064" s="85">
        <f ca="1">IFERROR(__xludf.DUMMYFUNCTION("""COMPUTED_VALUE"""),50.55)</f>
        <v>50.55</v>
      </c>
      <c r="L2064" s="85">
        <f ca="1">IFERROR(__xludf.DUMMYFUNCTION("""COMPUTED_VALUE"""),47.65)</f>
        <v>47.65</v>
      </c>
      <c r="M2064" s="85"/>
      <c r="N2064" s="85">
        <f ca="1">IFERROR(__xludf.DUMMYFUNCTION("""COMPUTED_VALUE"""),0)</f>
        <v>0</v>
      </c>
      <c r="O2064" s="85"/>
      <c r="P2064" s="85">
        <f ca="1">IFERROR(__xludf.DUMMYFUNCTION("""COMPUTED_VALUE"""),50.55)</f>
        <v>50.55</v>
      </c>
      <c r="Q2064" s="85"/>
      <c r="R2064" s="85">
        <f ca="1">IFERROR(__xludf.DUMMYFUNCTION("""COMPUTED_VALUE"""),46.95)</f>
        <v>46.95</v>
      </c>
      <c r="S2064" s="85"/>
      <c r="T2064" s="85"/>
      <c r="U2064" s="82"/>
      <c r="V2064" s="82"/>
      <c r="W2064" s="83"/>
      <c r="X2064" s="83"/>
      <c r="Y2064" s="83"/>
    </row>
    <row r="2065" spans="1:25" ht="13.8">
      <c r="A2065" s="78" t="str">
        <f ca="1">IFERROR(__xludf.DUMMYFUNCTION("""COMPUTED_VALUE"""),"T")</f>
        <v>T</v>
      </c>
      <c r="B2065" s="79" t="str">
        <f ca="1">IFERROR(__xludf.DUMMYFUNCTION("""COMPUTED_VALUE"""),"Nico Gaeta")</f>
        <v>Nico Gaeta</v>
      </c>
      <c r="C2065" s="78">
        <f ca="1">IFERROR(__xludf.DUMMYFUNCTION("""COMPUTED_VALUE"""),7)</f>
        <v>7</v>
      </c>
      <c r="D2065" s="78" t="str">
        <f ca="1">IFERROR(__xludf.DUMMYFUNCTION("""COMPUTED_VALUE"""),"B")</f>
        <v>B</v>
      </c>
      <c r="E2065" s="80" t="str">
        <f ca="1">IFERROR(__xludf.DUMMYFUNCTION("""COMPUTED_VALUE"""),"F")</f>
        <v>F</v>
      </c>
      <c r="F2065" s="86" t="str">
        <f ca="1">IFERROR(__xludf.DUMMYFUNCTION("""COMPUTED_VALUE"""),"J")</f>
        <v>J</v>
      </c>
      <c r="G2065" s="86">
        <f ca="1">IFERROR(__xludf.DUMMYFUNCTION("""COMPUTED_VALUE"""),4)</f>
        <v>4</v>
      </c>
      <c r="H2065" s="86" t="str">
        <f ca="1">IFERROR(__xludf.DUMMYFUNCTION("""COMPUTED_VALUE"""),"T")</f>
        <v>T</v>
      </c>
      <c r="I2065" s="86">
        <f ca="1">IFERROR(__xludf.DUMMYFUNCTION("""COMPUTED_VALUE"""),3)</f>
        <v>3</v>
      </c>
      <c r="J2065" s="85">
        <f ca="1">IFERROR(__xludf.DUMMYFUNCTION("""COMPUTED_VALUE"""),0)</f>
        <v>0</v>
      </c>
      <c r="K2065" s="85">
        <f ca="1">IFERROR(__xludf.DUMMYFUNCTION("""COMPUTED_VALUE"""),0)</f>
        <v>0</v>
      </c>
      <c r="L2065" s="85">
        <f ca="1">IFERROR(__xludf.DUMMYFUNCTION("""COMPUTED_VALUE"""),0)</f>
        <v>0</v>
      </c>
      <c r="M2065" s="85"/>
      <c r="N2065" s="85">
        <f ca="1">IFERROR(__xludf.DUMMYFUNCTION("""COMPUTED_VALUE"""),0)</f>
        <v>0</v>
      </c>
      <c r="O2065" s="85"/>
      <c r="P2065" s="85">
        <f ca="1">IFERROR(__xludf.DUMMYFUNCTION("""COMPUTED_VALUE"""),0)</f>
        <v>0</v>
      </c>
      <c r="Q2065" s="85"/>
      <c r="R2065" s="85">
        <f ca="1">IFERROR(__xludf.DUMMYFUNCTION("""COMPUTED_VALUE"""),0)</f>
        <v>0</v>
      </c>
      <c r="S2065" s="85"/>
      <c r="T2065" s="85"/>
      <c r="U2065" s="82"/>
      <c r="V2065" s="82"/>
      <c r="W2065" s="83"/>
      <c r="X2065" s="83"/>
      <c r="Y2065" s="83"/>
    </row>
    <row r="2066" spans="1:25" ht="13.8">
      <c r="A2066" s="78" t="str">
        <f ca="1">IFERROR(__xludf.DUMMYFUNCTION("""COMPUTED_VALUE"""),"T")</f>
        <v>T</v>
      </c>
      <c r="B2066" s="79" t="str">
        <f ca="1">IFERROR(__xludf.DUMMYFUNCTION("""COMPUTED_VALUE"""),"Owen Glasser")</f>
        <v>Owen Glasser</v>
      </c>
      <c r="C2066" s="78">
        <f ca="1">IFERROR(__xludf.DUMMYFUNCTION("""COMPUTED_VALUE"""),8)</f>
        <v>8</v>
      </c>
      <c r="D2066" s="78" t="str">
        <f ca="1">IFERROR(__xludf.DUMMYFUNCTION("""COMPUTED_VALUE"""),"B")</f>
        <v>B</v>
      </c>
      <c r="E2066" s="80" t="str">
        <f ca="1">IFERROR(__xludf.DUMMYFUNCTION("""COMPUTED_VALUE"""),"F")</f>
        <v>F</v>
      </c>
      <c r="F2066" s="86" t="str">
        <f ca="1">IFERROR(__xludf.DUMMYFUNCTION("""COMPUTED_VALUE"""),"J")</f>
        <v>J</v>
      </c>
      <c r="G2066" s="86">
        <f ca="1">IFERROR(__xludf.DUMMYFUNCTION("""COMPUTED_VALUE"""),4)</f>
        <v>4</v>
      </c>
      <c r="H2066" s="86" t="str">
        <f ca="1">IFERROR(__xludf.DUMMYFUNCTION("""COMPUTED_VALUE"""),"T")</f>
        <v>T</v>
      </c>
      <c r="I2066" s="86">
        <f ca="1">IFERROR(__xludf.DUMMYFUNCTION("""COMPUTED_VALUE"""),3)</f>
        <v>3</v>
      </c>
      <c r="J2066" s="85">
        <f ca="1">IFERROR(__xludf.DUMMYFUNCTION("""COMPUTED_VALUE"""),3)</f>
        <v>3</v>
      </c>
      <c r="K2066" s="85">
        <f ca="1">IFERROR(__xludf.DUMMYFUNCTION("""COMPUTED_VALUE"""),53.7)</f>
        <v>53.7</v>
      </c>
      <c r="L2066" s="85">
        <f ca="1">IFERROR(__xludf.DUMMYFUNCTION("""COMPUTED_VALUE"""),0)</f>
        <v>0</v>
      </c>
      <c r="M2066" s="85"/>
      <c r="N2066" s="85">
        <f ca="1">IFERROR(__xludf.DUMMYFUNCTION("""COMPUTED_VALUE"""),53.7)</f>
        <v>53.7</v>
      </c>
      <c r="O2066" s="85"/>
      <c r="P2066" s="85">
        <f ca="1">IFERROR(__xludf.DUMMYFUNCTION("""COMPUTED_VALUE"""),0)</f>
        <v>0</v>
      </c>
      <c r="Q2066" s="85"/>
      <c r="R2066" s="85">
        <f ca="1">IFERROR(__xludf.DUMMYFUNCTION("""COMPUTED_VALUE"""),49)</f>
        <v>49</v>
      </c>
      <c r="S2066" s="85"/>
      <c r="T2066" s="85"/>
      <c r="U2066" s="82"/>
      <c r="V2066" s="82"/>
      <c r="W2066" s="83"/>
      <c r="X2066" s="83"/>
      <c r="Y2066" s="83"/>
    </row>
    <row r="2067" spans="1:25" ht="13.8">
      <c r="A2067" s="78" t="str">
        <f ca="1">IFERROR(__xludf.DUMMYFUNCTION("""COMPUTED_VALUE"""),"T")</f>
        <v>T</v>
      </c>
      <c r="B2067" s="79" t="str">
        <f ca="1">IFERROR(__xludf.DUMMYFUNCTION("""COMPUTED_VALUE"""),"Artemiy Hartingh")</f>
        <v>Artemiy Hartingh</v>
      </c>
      <c r="C2067" s="78">
        <f ca="1">IFERROR(__xludf.DUMMYFUNCTION("""COMPUTED_VALUE"""),10)</f>
        <v>10</v>
      </c>
      <c r="D2067" s="78" t="str">
        <f ca="1">IFERROR(__xludf.DUMMYFUNCTION("""COMPUTED_VALUE"""),"B")</f>
        <v>B</v>
      </c>
      <c r="E2067" s="80" t="str">
        <f ca="1">IFERROR(__xludf.DUMMYFUNCTION("""COMPUTED_VALUE"""),"F")</f>
        <v>F</v>
      </c>
      <c r="F2067" s="86" t="str">
        <f ca="1">IFERROR(__xludf.DUMMYFUNCTION("""COMPUTED_VALUE"""),"J")</f>
        <v>J</v>
      </c>
      <c r="G2067" s="86">
        <f ca="1">IFERROR(__xludf.DUMMYFUNCTION("""COMPUTED_VALUE"""),4)</f>
        <v>4</v>
      </c>
      <c r="H2067" s="86" t="str">
        <f ca="1">IFERROR(__xludf.DUMMYFUNCTION("""COMPUTED_VALUE"""),"T")</f>
        <v>T</v>
      </c>
      <c r="I2067" s="86">
        <f ca="1">IFERROR(__xludf.DUMMYFUNCTION("""COMPUTED_VALUE"""),3)</f>
        <v>3</v>
      </c>
      <c r="J2067" s="85">
        <f ca="1">IFERROR(__xludf.DUMMYFUNCTION("""COMPUTED_VALUE"""),0)</f>
        <v>0</v>
      </c>
      <c r="K2067" s="85">
        <f ca="1">IFERROR(__xludf.DUMMYFUNCTION("""COMPUTED_VALUE"""),0)</f>
        <v>0</v>
      </c>
      <c r="L2067" s="85">
        <f ca="1">IFERROR(__xludf.DUMMYFUNCTION("""COMPUTED_VALUE"""),0)</f>
        <v>0</v>
      </c>
      <c r="M2067" s="85"/>
      <c r="N2067" s="85">
        <f ca="1">IFERROR(__xludf.DUMMYFUNCTION("""COMPUTED_VALUE"""),0)</f>
        <v>0</v>
      </c>
      <c r="O2067" s="85"/>
      <c r="P2067" s="85">
        <f ca="1">IFERROR(__xludf.DUMMYFUNCTION("""COMPUTED_VALUE"""),0)</f>
        <v>0</v>
      </c>
      <c r="Q2067" s="85"/>
      <c r="R2067" s="85">
        <f ca="1">IFERROR(__xludf.DUMMYFUNCTION("""COMPUTED_VALUE"""),0)</f>
        <v>0</v>
      </c>
      <c r="S2067" s="85"/>
      <c r="T2067" s="85"/>
      <c r="U2067" s="82"/>
      <c r="V2067" s="82"/>
      <c r="W2067" s="83"/>
      <c r="X2067" s="83"/>
      <c r="Y2067" s="83"/>
    </row>
    <row r="2068" spans="1:25" ht="13.8">
      <c r="A2068" s="78" t="str">
        <f ca="1">IFERROR(__xludf.DUMMYFUNCTION("""COMPUTED_VALUE"""),"T")</f>
        <v>T</v>
      </c>
      <c r="B2068" s="79" t="str">
        <f ca="1">IFERROR(__xludf.DUMMYFUNCTION("""COMPUTED_VALUE"""),"Aaron Howery")</f>
        <v>Aaron Howery</v>
      </c>
      <c r="C2068" s="78">
        <f ca="1">IFERROR(__xludf.DUMMYFUNCTION("""COMPUTED_VALUE"""),6)</f>
        <v>6</v>
      </c>
      <c r="D2068" s="78" t="str">
        <f ca="1">IFERROR(__xludf.DUMMYFUNCTION("""COMPUTED_VALUE"""),"B")</f>
        <v>B</v>
      </c>
      <c r="E2068" s="80" t="str">
        <f ca="1">IFERROR(__xludf.DUMMYFUNCTION("""COMPUTED_VALUE"""),"F")</f>
        <v>F</v>
      </c>
      <c r="F2068" s="86" t="str">
        <f ca="1">IFERROR(__xludf.DUMMYFUNCTION("""COMPUTED_VALUE"""),"J")</f>
        <v>J</v>
      </c>
      <c r="G2068" s="86">
        <f ca="1">IFERROR(__xludf.DUMMYFUNCTION("""COMPUTED_VALUE"""),4)</f>
        <v>4</v>
      </c>
      <c r="H2068" s="86" t="str">
        <f ca="1">IFERROR(__xludf.DUMMYFUNCTION("""COMPUTED_VALUE"""),"T")</f>
        <v>T</v>
      </c>
      <c r="I2068" s="86">
        <f ca="1">IFERROR(__xludf.DUMMYFUNCTION("""COMPUTED_VALUE"""),3)</f>
        <v>3</v>
      </c>
      <c r="J2068" s="85">
        <f ca="1">IFERROR(__xludf.DUMMYFUNCTION("""COMPUTED_VALUE"""),0)</f>
        <v>0</v>
      </c>
      <c r="K2068" s="85">
        <f ca="1">IFERROR(__xludf.DUMMYFUNCTION("""COMPUTED_VALUE"""),0)</f>
        <v>0</v>
      </c>
      <c r="L2068" s="85">
        <f ca="1">IFERROR(__xludf.DUMMYFUNCTION("""COMPUTED_VALUE"""),0)</f>
        <v>0</v>
      </c>
      <c r="M2068" s="85"/>
      <c r="N2068" s="85">
        <f ca="1">IFERROR(__xludf.DUMMYFUNCTION("""COMPUTED_VALUE"""),0)</f>
        <v>0</v>
      </c>
      <c r="O2068" s="85"/>
      <c r="P2068" s="85">
        <f ca="1">IFERROR(__xludf.DUMMYFUNCTION("""COMPUTED_VALUE"""),0)</f>
        <v>0</v>
      </c>
      <c r="Q2068" s="85"/>
      <c r="R2068" s="85">
        <f ca="1">IFERROR(__xludf.DUMMYFUNCTION("""COMPUTED_VALUE"""),0)</f>
        <v>0</v>
      </c>
      <c r="S2068" s="85"/>
      <c r="T2068" s="85"/>
      <c r="U2068" s="82"/>
      <c r="V2068" s="82"/>
      <c r="W2068" s="83"/>
      <c r="X2068" s="83"/>
      <c r="Y2068" s="83"/>
    </row>
    <row r="2069" spans="1:25" ht="13.8">
      <c r="A2069" s="78" t="str">
        <f ca="1">IFERROR(__xludf.DUMMYFUNCTION("""COMPUTED_VALUE"""),"T")</f>
        <v>T</v>
      </c>
      <c r="B2069" s="79" t="str">
        <f ca="1">IFERROR(__xludf.DUMMYFUNCTION("""COMPUTED_VALUE"""),"Calian Johnson")</f>
        <v>Calian Johnson</v>
      </c>
      <c r="C2069" s="78">
        <f ca="1">IFERROR(__xludf.DUMMYFUNCTION("""COMPUTED_VALUE"""),9)</f>
        <v>9</v>
      </c>
      <c r="D2069" s="78" t="str">
        <f ca="1">IFERROR(__xludf.DUMMYFUNCTION("""COMPUTED_VALUE"""),"B")</f>
        <v>B</v>
      </c>
      <c r="E2069" s="80" t="str">
        <f ca="1">IFERROR(__xludf.DUMMYFUNCTION("""COMPUTED_VALUE"""),"F")</f>
        <v>F</v>
      </c>
      <c r="F2069" s="86" t="str">
        <f ca="1">IFERROR(__xludf.DUMMYFUNCTION("""COMPUTED_VALUE"""),"J")</f>
        <v>J</v>
      </c>
      <c r="G2069" s="86">
        <f ca="1">IFERROR(__xludf.DUMMYFUNCTION("""COMPUTED_VALUE"""),4)</f>
        <v>4</v>
      </c>
      <c r="H2069" s="86" t="str">
        <f ca="1">IFERROR(__xludf.DUMMYFUNCTION("""COMPUTED_VALUE"""),"T")</f>
        <v>T</v>
      </c>
      <c r="I2069" s="86">
        <f ca="1">IFERROR(__xludf.DUMMYFUNCTION("""COMPUTED_VALUE"""),3)</f>
        <v>3</v>
      </c>
      <c r="J2069" s="85">
        <f ca="1">IFERROR(__xludf.DUMMYFUNCTION("""COMPUTED_VALUE"""),0)</f>
        <v>0</v>
      </c>
      <c r="K2069" s="85">
        <f ca="1">IFERROR(__xludf.DUMMYFUNCTION("""COMPUTED_VALUE"""),0)</f>
        <v>0</v>
      </c>
      <c r="L2069" s="85">
        <f ca="1">IFERROR(__xludf.DUMMYFUNCTION("""COMPUTED_VALUE"""),0)</f>
        <v>0</v>
      </c>
      <c r="M2069" s="85"/>
      <c r="N2069" s="85">
        <f ca="1">IFERROR(__xludf.DUMMYFUNCTION("""COMPUTED_VALUE"""),0)</f>
        <v>0</v>
      </c>
      <c r="O2069" s="85"/>
      <c r="P2069" s="85">
        <f ca="1">IFERROR(__xludf.DUMMYFUNCTION("""COMPUTED_VALUE"""),0)</f>
        <v>0</v>
      </c>
      <c r="Q2069" s="85"/>
      <c r="R2069" s="85">
        <f ca="1">IFERROR(__xludf.DUMMYFUNCTION("""COMPUTED_VALUE"""),0)</f>
        <v>0</v>
      </c>
      <c r="S2069" s="85"/>
      <c r="T2069" s="85"/>
      <c r="U2069" s="82"/>
      <c r="V2069" s="82"/>
      <c r="W2069" s="83"/>
      <c r="X2069" s="83"/>
      <c r="Y2069" s="83"/>
    </row>
    <row r="2070" spans="1:25" ht="13.8">
      <c r="A2070" s="78" t="str">
        <f ca="1">IFERROR(__xludf.DUMMYFUNCTION("""COMPUTED_VALUE"""),"T")</f>
        <v>T</v>
      </c>
      <c r="B2070" s="79" t="str">
        <f ca="1">IFERROR(__xludf.DUMMYFUNCTION("""COMPUTED_VALUE"""),"Northe Johnson")</f>
        <v>Northe Johnson</v>
      </c>
      <c r="C2070" s="78">
        <f ca="1">IFERROR(__xludf.DUMMYFUNCTION("""COMPUTED_VALUE"""),8)</f>
        <v>8</v>
      </c>
      <c r="D2070" s="78" t="str">
        <f ca="1">IFERROR(__xludf.DUMMYFUNCTION("""COMPUTED_VALUE"""),"B")</f>
        <v>B</v>
      </c>
      <c r="E2070" s="80" t="str">
        <f ca="1">IFERROR(__xludf.DUMMYFUNCTION("""COMPUTED_VALUE"""),"F")</f>
        <v>F</v>
      </c>
      <c r="F2070" s="86" t="str">
        <f ca="1">IFERROR(__xludf.DUMMYFUNCTION("""COMPUTED_VALUE"""),"J")</f>
        <v>J</v>
      </c>
      <c r="G2070" s="86">
        <f ca="1">IFERROR(__xludf.DUMMYFUNCTION("""COMPUTED_VALUE"""),4)</f>
        <v>4</v>
      </c>
      <c r="H2070" s="86" t="str">
        <f ca="1">IFERROR(__xludf.DUMMYFUNCTION("""COMPUTED_VALUE"""),"T")</f>
        <v>T</v>
      </c>
      <c r="I2070" s="86">
        <f ca="1">IFERROR(__xludf.DUMMYFUNCTION("""COMPUTED_VALUE"""),3)</f>
        <v>3</v>
      </c>
      <c r="J2070" s="85">
        <f ca="1">IFERROR(__xludf.DUMMYFUNCTION("""COMPUTED_VALUE"""),1)</f>
        <v>1</v>
      </c>
      <c r="K2070" s="85">
        <f ca="1">IFERROR(__xludf.DUMMYFUNCTION("""COMPUTED_VALUE"""),35.45)</f>
        <v>35.450000000000003</v>
      </c>
      <c r="L2070" s="85">
        <f ca="1">IFERROR(__xludf.DUMMYFUNCTION("""COMPUTED_VALUE"""),0)</f>
        <v>0</v>
      </c>
      <c r="M2070" s="85"/>
      <c r="N2070" s="85">
        <f ca="1">IFERROR(__xludf.DUMMYFUNCTION("""COMPUTED_VALUE"""),35.45)</f>
        <v>35.450000000000003</v>
      </c>
      <c r="O2070" s="85"/>
      <c r="P2070" s="85">
        <f ca="1">IFERROR(__xludf.DUMMYFUNCTION("""COMPUTED_VALUE"""),0)</f>
        <v>0</v>
      </c>
      <c r="Q2070" s="85"/>
      <c r="R2070" s="85">
        <f ca="1">IFERROR(__xludf.DUMMYFUNCTION("""COMPUTED_VALUE"""),0)</f>
        <v>0</v>
      </c>
      <c r="S2070" s="85"/>
      <c r="T2070" s="85"/>
      <c r="U2070" s="82"/>
      <c r="V2070" s="82"/>
      <c r="W2070" s="83"/>
      <c r="X2070" s="83"/>
      <c r="Y2070" s="83"/>
    </row>
    <row r="2071" spans="1:25" ht="13.8">
      <c r="A2071" s="78" t="str">
        <f ca="1">IFERROR(__xludf.DUMMYFUNCTION("""COMPUTED_VALUE"""),"T")</f>
        <v>T</v>
      </c>
      <c r="B2071" s="79" t="str">
        <f ca="1">IFERROR(__xludf.DUMMYFUNCTION("""COMPUTED_VALUE"""),"Oliver Katz")</f>
        <v>Oliver Katz</v>
      </c>
      <c r="C2071" s="78">
        <f ca="1">IFERROR(__xludf.DUMMYFUNCTION("""COMPUTED_VALUE"""),9)</f>
        <v>9</v>
      </c>
      <c r="D2071" s="78" t="str">
        <f ca="1">IFERROR(__xludf.DUMMYFUNCTION("""COMPUTED_VALUE"""),"B")</f>
        <v>B</v>
      </c>
      <c r="E2071" s="80" t="str">
        <f ca="1">IFERROR(__xludf.DUMMYFUNCTION("""COMPUTED_VALUE"""),"F")</f>
        <v>F</v>
      </c>
      <c r="F2071" s="86" t="str">
        <f ca="1">IFERROR(__xludf.DUMMYFUNCTION("""COMPUTED_VALUE"""),"J")</f>
        <v>J</v>
      </c>
      <c r="G2071" s="86">
        <f ca="1">IFERROR(__xludf.DUMMYFUNCTION("""COMPUTED_VALUE"""),4)</f>
        <v>4</v>
      </c>
      <c r="H2071" s="86" t="str">
        <f ca="1">IFERROR(__xludf.DUMMYFUNCTION("""COMPUTED_VALUE"""),"T")</f>
        <v>T</v>
      </c>
      <c r="I2071" s="86">
        <f ca="1">IFERROR(__xludf.DUMMYFUNCTION("""COMPUTED_VALUE"""),3)</f>
        <v>3</v>
      </c>
      <c r="J2071" s="85">
        <f ca="1">IFERROR(__xludf.DUMMYFUNCTION("""COMPUTED_VALUE"""),0)</f>
        <v>0</v>
      </c>
      <c r="K2071" s="85">
        <f ca="1">IFERROR(__xludf.DUMMYFUNCTION("""COMPUTED_VALUE"""),0)</f>
        <v>0</v>
      </c>
      <c r="L2071" s="85">
        <f ca="1">IFERROR(__xludf.DUMMYFUNCTION("""COMPUTED_VALUE"""),0)</f>
        <v>0</v>
      </c>
      <c r="M2071" s="85"/>
      <c r="N2071" s="85">
        <f ca="1">IFERROR(__xludf.DUMMYFUNCTION("""COMPUTED_VALUE"""),0)</f>
        <v>0</v>
      </c>
      <c r="O2071" s="85"/>
      <c r="P2071" s="85">
        <f ca="1">IFERROR(__xludf.DUMMYFUNCTION("""COMPUTED_VALUE"""),0)</f>
        <v>0</v>
      </c>
      <c r="Q2071" s="85"/>
      <c r="R2071" s="85">
        <f ca="1">IFERROR(__xludf.DUMMYFUNCTION("""COMPUTED_VALUE"""),0)</f>
        <v>0</v>
      </c>
      <c r="S2071" s="85"/>
      <c r="T2071" s="85"/>
      <c r="U2071" s="82"/>
      <c r="V2071" s="82"/>
      <c r="W2071" s="83"/>
      <c r="X2071" s="83"/>
      <c r="Y2071" s="83"/>
    </row>
    <row r="2072" spans="1:25" ht="13.8">
      <c r="A2072" s="78" t="str">
        <f ca="1">IFERROR(__xludf.DUMMYFUNCTION("""COMPUTED_VALUE"""),"T")</f>
        <v>T</v>
      </c>
      <c r="B2072" s="79" t="str">
        <f ca="1">IFERROR(__xludf.DUMMYFUNCTION("""COMPUTED_VALUE"""),"Duncan Kimmett")</f>
        <v>Duncan Kimmett</v>
      </c>
      <c r="C2072" s="78">
        <f ca="1">IFERROR(__xludf.DUMMYFUNCTION("""COMPUTED_VALUE"""),9)</f>
        <v>9</v>
      </c>
      <c r="D2072" s="78" t="str">
        <f ca="1">IFERROR(__xludf.DUMMYFUNCTION("""COMPUTED_VALUE"""),"B")</f>
        <v>B</v>
      </c>
      <c r="E2072" s="80" t="str">
        <f ca="1">IFERROR(__xludf.DUMMYFUNCTION("""COMPUTED_VALUE"""),"F")</f>
        <v>F</v>
      </c>
      <c r="F2072" s="86" t="str">
        <f ca="1">IFERROR(__xludf.DUMMYFUNCTION("""COMPUTED_VALUE"""),"J")</f>
        <v>J</v>
      </c>
      <c r="G2072" s="86">
        <f ca="1">IFERROR(__xludf.DUMMYFUNCTION("""COMPUTED_VALUE"""),4)</f>
        <v>4</v>
      </c>
      <c r="H2072" s="86" t="str">
        <f ca="1">IFERROR(__xludf.DUMMYFUNCTION("""COMPUTED_VALUE"""),"T")</f>
        <v>T</v>
      </c>
      <c r="I2072" s="86">
        <f ca="1">IFERROR(__xludf.DUMMYFUNCTION("""COMPUTED_VALUE"""),3)</f>
        <v>3</v>
      </c>
      <c r="J2072" s="85">
        <f ca="1">IFERROR(__xludf.DUMMYFUNCTION("""COMPUTED_VALUE"""),0)</f>
        <v>0</v>
      </c>
      <c r="K2072" s="85">
        <f ca="1">IFERROR(__xludf.DUMMYFUNCTION("""COMPUTED_VALUE"""),0)</f>
        <v>0</v>
      </c>
      <c r="L2072" s="85">
        <f ca="1">IFERROR(__xludf.DUMMYFUNCTION("""COMPUTED_VALUE"""),0)</f>
        <v>0</v>
      </c>
      <c r="M2072" s="85"/>
      <c r="N2072" s="85">
        <f ca="1">IFERROR(__xludf.DUMMYFUNCTION("""COMPUTED_VALUE"""),0)</f>
        <v>0</v>
      </c>
      <c r="O2072" s="85"/>
      <c r="P2072" s="85">
        <f ca="1">IFERROR(__xludf.DUMMYFUNCTION("""COMPUTED_VALUE"""),0)</f>
        <v>0</v>
      </c>
      <c r="Q2072" s="85"/>
      <c r="R2072" s="85">
        <f ca="1">IFERROR(__xludf.DUMMYFUNCTION("""COMPUTED_VALUE"""),0)</f>
        <v>0</v>
      </c>
      <c r="S2072" s="85"/>
      <c r="T2072" s="85"/>
      <c r="U2072" s="82"/>
      <c r="V2072" s="82"/>
      <c r="W2072" s="83"/>
      <c r="X2072" s="83"/>
      <c r="Y2072" s="83"/>
    </row>
    <row r="2073" spans="1:25" ht="13.8">
      <c r="A2073" s="78" t="str">
        <f ca="1">IFERROR(__xludf.DUMMYFUNCTION("""COMPUTED_VALUE"""),"T")</f>
        <v>T</v>
      </c>
      <c r="B2073" s="79" t="str">
        <f ca="1">IFERROR(__xludf.DUMMYFUNCTION("""COMPUTED_VALUE"""),"Aiden McFeely")</f>
        <v>Aiden McFeely</v>
      </c>
      <c r="C2073" s="78">
        <f ca="1">IFERROR(__xludf.DUMMYFUNCTION("""COMPUTED_VALUE"""),5)</f>
        <v>5</v>
      </c>
      <c r="D2073" s="78" t="str">
        <f ca="1">IFERROR(__xludf.DUMMYFUNCTION("""COMPUTED_VALUE"""),"B")</f>
        <v>B</v>
      </c>
      <c r="E2073" s="80" t="str">
        <f ca="1">IFERROR(__xludf.DUMMYFUNCTION("""COMPUTED_VALUE"""),"F")</f>
        <v>F</v>
      </c>
      <c r="F2073" s="86" t="str">
        <f ca="1">IFERROR(__xludf.DUMMYFUNCTION("""COMPUTED_VALUE"""),"J")</f>
        <v>J</v>
      </c>
      <c r="G2073" s="86">
        <f ca="1">IFERROR(__xludf.DUMMYFUNCTION("""COMPUTED_VALUE"""),4)</f>
        <v>4</v>
      </c>
      <c r="H2073" s="86" t="str">
        <f ca="1">IFERROR(__xludf.DUMMYFUNCTION("""COMPUTED_VALUE"""),"T")</f>
        <v>T</v>
      </c>
      <c r="I2073" s="86">
        <f ca="1">IFERROR(__xludf.DUMMYFUNCTION("""COMPUTED_VALUE"""),3)</f>
        <v>3</v>
      </c>
      <c r="J2073" s="85">
        <f ca="1">IFERROR(__xludf.DUMMYFUNCTION("""COMPUTED_VALUE"""),0)</f>
        <v>0</v>
      </c>
      <c r="K2073" s="85">
        <f ca="1">IFERROR(__xludf.DUMMYFUNCTION("""COMPUTED_VALUE"""),0)</f>
        <v>0</v>
      </c>
      <c r="L2073" s="85">
        <f ca="1">IFERROR(__xludf.DUMMYFUNCTION("""COMPUTED_VALUE"""),0)</f>
        <v>0</v>
      </c>
      <c r="M2073" s="85"/>
      <c r="N2073" s="85">
        <f ca="1">IFERROR(__xludf.DUMMYFUNCTION("""COMPUTED_VALUE"""),0)</f>
        <v>0</v>
      </c>
      <c r="O2073" s="85"/>
      <c r="P2073" s="85">
        <f ca="1">IFERROR(__xludf.DUMMYFUNCTION("""COMPUTED_VALUE"""),0)</f>
        <v>0</v>
      </c>
      <c r="Q2073" s="85"/>
      <c r="R2073" s="85">
        <f ca="1">IFERROR(__xludf.DUMMYFUNCTION("""COMPUTED_VALUE"""),0)</f>
        <v>0</v>
      </c>
      <c r="S2073" s="85"/>
      <c r="T2073" s="85"/>
      <c r="U2073" s="82"/>
      <c r="V2073" s="82"/>
      <c r="W2073" s="83"/>
      <c r="X2073" s="83"/>
      <c r="Y2073" s="83"/>
    </row>
    <row r="2074" spans="1:25" ht="13.8">
      <c r="A2074" s="78" t="str">
        <f ca="1">IFERROR(__xludf.DUMMYFUNCTION("""COMPUTED_VALUE"""),"T")</f>
        <v>T</v>
      </c>
      <c r="B2074" s="79" t="str">
        <f ca="1">IFERROR(__xludf.DUMMYFUNCTION("""COMPUTED_VALUE"""),"Aleko Misitzis")</f>
        <v>Aleko Misitzis</v>
      </c>
      <c r="C2074" s="78">
        <f ca="1">IFERROR(__xludf.DUMMYFUNCTION("""COMPUTED_VALUE"""),7)</f>
        <v>7</v>
      </c>
      <c r="D2074" s="78" t="str">
        <f ca="1">IFERROR(__xludf.DUMMYFUNCTION("""COMPUTED_VALUE"""),"B")</f>
        <v>B</v>
      </c>
      <c r="E2074" s="80" t="str">
        <f ca="1">IFERROR(__xludf.DUMMYFUNCTION("""COMPUTED_VALUE"""),"F")</f>
        <v>F</v>
      </c>
      <c r="F2074" s="86" t="str">
        <f ca="1">IFERROR(__xludf.DUMMYFUNCTION("""COMPUTED_VALUE"""),"J")</f>
        <v>J</v>
      </c>
      <c r="G2074" s="86">
        <f ca="1">IFERROR(__xludf.DUMMYFUNCTION("""COMPUTED_VALUE"""),4)</f>
        <v>4</v>
      </c>
      <c r="H2074" s="86" t="str">
        <f ca="1">IFERROR(__xludf.DUMMYFUNCTION("""COMPUTED_VALUE"""),"T")</f>
        <v>T</v>
      </c>
      <c r="I2074" s="86">
        <f ca="1">IFERROR(__xludf.DUMMYFUNCTION("""COMPUTED_VALUE"""),3)</f>
        <v>3</v>
      </c>
      <c r="J2074" s="85">
        <f ca="1">IFERROR(__xludf.DUMMYFUNCTION("""COMPUTED_VALUE"""),0)</f>
        <v>0</v>
      </c>
      <c r="K2074" s="85">
        <f ca="1">IFERROR(__xludf.DUMMYFUNCTION("""COMPUTED_VALUE"""),0)</f>
        <v>0</v>
      </c>
      <c r="L2074" s="85">
        <f ca="1">IFERROR(__xludf.DUMMYFUNCTION("""COMPUTED_VALUE"""),0)</f>
        <v>0</v>
      </c>
      <c r="M2074" s="85"/>
      <c r="N2074" s="85">
        <f ca="1">IFERROR(__xludf.DUMMYFUNCTION("""COMPUTED_VALUE"""),0)</f>
        <v>0</v>
      </c>
      <c r="O2074" s="85"/>
      <c r="P2074" s="85">
        <f ca="1">IFERROR(__xludf.DUMMYFUNCTION("""COMPUTED_VALUE"""),0)</f>
        <v>0</v>
      </c>
      <c r="Q2074" s="85"/>
      <c r="R2074" s="85">
        <f ca="1">IFERROR(__xludf.DUMMYFUNCTION("""COMPUTED_VALUE"""),0)</f>
        <v>0</v>
      </c>
      <c r="S2074" s="85"/>
      <c r="T2074" s="85"/>
      <c r="U2074" s="82"/>
      <c r="V2074" s="82"/>
      <c r="W2074" s="83"/>
      <c r="X2074" s="83"/>
      <c r="Y2074" s="83"/>
    </row>
    <row r="2075" spans="1:25" ht="13.8">
      <c r="A2075" s="78" t="str">
        <f ca="1">IFERROR(__xludf.DUMMYFUNCTION("""COMPUTED_VALUE"""),"T")</f>
        <v>T</v>
      </c>
      <c r="B2075" s="79" t="str">
        <f ca="1">IFERROR(__xludf.DUMMYFUNCTION("""COMPUTED_VALUE"""),"Madison Regulski")</f>
        <v>Madison Regulski</v>
      </c>
      <c r="C2075" s="78">
        <f ca="1">IFERROR(__xludf.DUMMYFUNCTION("""COMPUTED_VALUE"""),10)</f>
        <v>10</v>
      </c>
      <c r="D2075" s="78" t="str">
        <f ca="1">IFERROR(__xludf.DUMMYFUNCTION("""COMPUTED_VALUE"""),"B")</f>
        <v>B</v>
      </c>
      <c r="E2075" s="80" t="str">
        <f ca="1">IFERROR(__xludf.DUMMYFUNCTION("""COMPUTED_VALUE"""),"F")</f>
        <v>F</v>
      </c>
      <c r="F2075" s="86" t="str">
        <f ca="1">IFERROR(__xludf.DUMMYFUNCTION("""COMPUTED_VALUE"""),"J")</f>
        <v>J</v>
      </c>
      <c r="G2075" s="86">
        <f ca="1">IFERROR(__xludf.DUMMYFUNCTION("""COMPUTED_VALUE"""),4)</f>
        <v>4</v>
      </c>
      <c r="H2075" s="86" t="str">
        <f ca="1">IFERROR(__xludf.DUMMYFUNCTION("""COMPUTED_VALUE"""),"T")</f>
        <v>T</v>
      </c>
      <c r="I2075" s="86">
        <f ca="1">IFERROR(__xludf.DUMMYFUNCTION("""COMPUTED_VALUE"""),3)</f>
        <v>3</v>
      </c>
      <c r="J2075" s="85">
        <f ca="1">IFERROR(__xludf.DUMMYFUNCTION("""COMPUTED_VALUE"""),0)</f>
        <v>0</v>
      </c>
      <c r="K2075" s="85">
        <f ca="1">IFERROR(__xludf.DUMMYFUNCTION("""COMPUTED_VALUE"""),0)</f>
        <v>0</v>
      </c>
      <c r="L2075" s="85">
        <f ca="1">IFERROR(__xludf.DUMMYFUNCTION("""COMPUTED_VALUE"""),0)</f>
        <v>0</v>
      </c>
      <c r="M2075" s="85"/>
      <c r="N2075" s="85">
        <f ca="1">IFERROR(__xludf.DUMMYFUNCTION("""COMPUTED_VALUE"""),0)</f>
        <v>0</v>
      </c>
      <c r="O2075" s="85"/>
      <c r="P2075" s="85">
        <f ca="1">IFERROR(__xludf.DUMMYFUNCTION("""COMPUTED_VALUE"""),0)</f>
        <v>0</v>
      </c>
      <c r="Q2075" s="85"/>
      <c r="R2075" s="85">
        <f ca="1">IFERROR(__xludf.DUMMYFUNCTION("""COMPUTED_VALUE"""),0)</f>
        <v>0</v>
      </c>
      <c r="S2075" s="85"/>
      <c r="T2075" s="85"/>
      <c r="U2075" s="82"/>
      <c r="V2075" s="82"/>
      <c r="W2075" s="83"/>
      <c r="X2075" s="83"/>
      <c r="Y2075" s="83"/>
    </row>
    <row r="2076" spans="1:25" ht="13.8">
      <c r="A2076" s="78" t="str">
        <f ca="1">IFERROR(__xludf.DUMMYFUNCTION("""COMPUTED_VALUE"""),"T")</f>
        <v>T</v>
      </c>
      <c r="B2076" s="79" t="str">
        <f ca="1">IFERROR(__xludf.DUMMYFUNCTION("""COMPUTED_VALUE"""),"Victor Rodriguez")</f>
        <v>Victor Rodriguez</v>
      </c>
      <c r="C2076" s="78">
        <f ca="1">IFERROR(__xludf.DUMMYFUNCTION("""COMPUTED_VALUE"""),7)</f>
        <v>7</v>
      </c>
      <c r="D2076" s="78" t="str">
        <f ca="1">IFERROR(__xludf.DUMMYFUNCTION("""COMPUTED_VALUE"""),"B")</f>
        <v>B</v>
      </c>
      <c r="E2076" s="80" t="str">
        <f ca="1">IFERROR(__xludf.DUMMYFUNCTION("""COMPUTED_VALUE"""),"F")</f>
        <v>F</v>
      </c>
      <c r="F2076" s="86" t="str">
        <f ca="1">IFERROR(__xludf.DUMMYFUNCTION("""COMPUTED_VALUE"""),"J")</f>
        <v>J</v>
      </c>
      <c r="G2076" s="86">
        <f ca="1">IFERROR(__xludf.DUMMYFUNCTION("""COMPUTED_VALUE"""),4)</f>
        <v>4</v>
      </c>
      <c r="H2076" s="86" t="str">
        <f ca="1">IFERROR(__xludf.DUMMYFUNCTION("""COMPUTED_VALUE"""),"T")</f>
        <v>T</v>
      </c>
      <c r="I2076" s="86">
        <f ca="1">IFERROR(__xludf.DUMMYFUNCTION("""COMPUTED_VALUE"""),3)</f>
        <v>3</v>
      </c>
      <c r="J2076" s="85">
        <f ca="1">IFERROR(__xludf.DUMMYFUNCTION("""COMPUTED_VALUE"""),0)</f>
        <v>0</v>
      </c>
      <c r="K2076" s="85">
        <f ca="1">IFERROR(__xludf.DUMMYFUNCTION("""COMPUTED_VALUE"""),0)</f>
        <v>0</v>
      </c>
      <c r="L2076" s="85">
        <f ca="1">IFERROR(__xludf.DUMMYFUNCTION("""COMPUTED_VALUE"""),0)</f>
        <v>0</v>
      </c>
      <c r="M2076" s="85"/>
      <c r="N2076" s="85">
        <f ca="1">IFERROR(__xludf.DUMMYFUNCTION("""COMPUTED_VALUE"""),0)</f>
        <v>0</v>
      </c>
      <c r="O2076" s="85"/>
      <c r="P2076" s="85">
        <f ca="1">IFERROR(__xludf.DUMMYFUNCTION("""COMPUTED_VALUE"""),0)</f>
        <v>0</v>
      </c>
      <c r="Q2076" s="85"/>
      <c r="R2076" s="85">
        <f ca="1">IFERROR(__xludf.DUMMYFUNCTION("""COMPUTED_VALUE"""),0)</f>
        <v>0</v>
      </c>
      <c r="S2076" s="85"/>
      <c r="T2076" s="85"/>
      <c r="U2076" s="82"/>
      <c r="V2076" s="82"/>
      <c r="W2076" s="83"/>
      <c r="X2076" s="83"/>
      <c r="Y2076" s="83"/>
    </row>
    <row r="2077" spans="1:25" ht="13.8">
      <c r="A2077" s="78" t="str">
        <f ca="1">IFERROR(__xludf.DUMMYFUNCTION("""COMPUTED_VALUE"""),"T")</f>
        <v>T</v>
      </c>
      <c r="B2077" s="79" t="str">
        <f ca="1">IFERROR(__xludf.DUMMYFUNCTION("""COMPUTED_VALUE"""),"Bo Shinskie")</f>
        <v>Bo Shinskie</v>
      </c>
      <c r="C2077" s="78">
        <f ca="1">IFERROR(__xludf.DUMMYFUNCTION("""COMPUTED_VALUE"""),6)</f>
        <v>6</v>
      </c>
      <c r="D2077" s="78" t="str">
        <f ca="1">IFERROR(__xludf.DUMMYFUNCTION("""COMPUTED_VALUE"""),"B")</f>
        <v>B</v>
      </c>
      <c r="E2077" s="80" t="str">
        <f ca="1">IFERROR(__xludf.DUMMYFUNCTION("""COMPUTED_VALUE"""),"F")</f>
        <v>F</v>
      </c>
      <c r="F2077" s="86" t="str">
        <f ca="1">IFERROR(__xludf.DUMMYFUNCTION("""COMPUTED_VALUE"""),"J")</f>
        <v>J</v>
      </c>
      <c r="G2077" s="86">
        <f ca="1">IFERROR(__xludf.DUMMYFUNCTION("""COMPUTED_VALUE"""),4)</f>
        <v>4</v>
      </c>
      <c r="H2077" s="86" t="str">
        <f ca="1">IFERROR(__xludf.DUMMYFUNCTION("""COMPUTED_VALUE"""),"T")</f>
        <v>T</v>
      </c>
      <c r="I2077" s="86">
        <f ca="1">IFERROR(__xludf.DUMMYFUNCTION("""COMPUTED_VALUE"""),3)</f>
        <v>3</v>
      </c>
      <c r="J2077" s="85">
        <f ca="1">IFERROR(__xludf.DUMMYFUNCTION("""COMPUTED_VALUE"""),1)</f>
        <v>1</v>
      </c>
      <c r="K2077" s="85">
        <f ca="1">IFERROR(__xludf.DUMMYFUNCTION("""COMPUTED_VALUE"""),43.6)</f>
        <v>43.6</v>
      </c>
      <c r="L2077" s="85">
        <f ca="1">IFERROR(__xludf.DUMMYFUNCTION("""COMPUTED_VALUE"""),0)</f>
        <v>0</v>
      </c>
      <c r="M2077" s="85"/>
      <c r="N2077" s="85">
        <f ca="1">IFERROR(__xludf.DUMMYFUNCTION("""COMPUTED_VALUE"""),0)</f>
        <v>0</v>
      </c>
      <c r="O2077" s="85"/>
      <c r="P2077" s="85">
        <f ca="1">IFERROR(__xludf.DUMMYFUNCTION("""COMPUTED_VALUE"""),0)</f>
        <v>0</v>
      </c>
      <c r="Q2077" s="85"/>
      <c r="R2077" s="85">
        <f ca="1">IFERROR(__xludf.DUMMYFUNCTION("""COMPUTED_VALUE"""),43.6)</f>
        <v>43.6</v>
      </c>
      <c r="S2077" s="85"/>
      <c r="T2077" s="85"/>
      <c r="U2077" s="82"/>
      <c r="V2077" s="82"/>
      <c r="W2077" s="83"/>
      <c r="X2077" s="83"/>
      <c r="Y2077" s="83"/>
    </row>
    <row r="2078" spans="1:25" ht="13.8">
      <c r="A2078" s="78" t="str">
        <f ca="1">IFERROR(__xludf.DUMMYFUNCTION("""COMPUTED_VALUE"""),"T")</f>
        <v>T</v>
      </c>
      <c r="B2078" s="79" t="str">
        <f ca="1">IFERROR(__xludf.DUMMYFUNCTION("""COMPUTED_VALUE"""),"Isaac Shinskie")</f>
        <v>Isaac Shinskie</v>
      </c>
      <c r="C2078" s="78">
        <f ca="1">IFERROR(__xludf.DUMMYFUNCTION("""COMPUTED_VALUE"""),9)</f>
        <v>9</v>
      </c>
      <c r="D2078" s="78" t="str">
        <f ca="1">IFERROR(__xludf.DUMMYFUNCTION("""COMPUTED_VALUE"""),"B")</f>
        <v>B</v>
      </c>
      <c r="E2078" s="80" t="str">
        <f ca="1">IFERROR(__xludf.DUMMYFUNCTION("""COMPUTED_VALUE"""),"F")</f>
        <v>F</v>
      </c>
      <c r="F2078" s="86" t="str">
        <f ca="1">IFERROR(__xludf.DUMMYFUNCTION("""COMPUTED_VALUE"""),"J")</f>
        <v>J</v>
      </c>
      <c r="G2078" s="86">
        <f ca="1">IFERROR(__xludf.DUMMYFUNCTION("""COMPUTED_VALUE"""),4)</f>
        <v>4</v>
      </c>
      <c r="H2078" s="86" t="str">
        <f ca="1">IFERROR(__xludf.DUMMYFUNCTION("""COMPUTED_VALUE"""),"T")</f>
        <v>T</v>
      </c>
      <c r="I2078" s="86">
        <f ca="1">IFERROR(__xludf.DUMMYFUNCTION("""COMPUTED_VALUE"""),3)</f>
        <v>3</v>
      </c>
      <c r="J2078" s="85">
        <f ca="1">IFERROR(__xludf.DUMMYFUNCTION("""COMPUTED_VALUE"""),3)</f>
        <v>3</v>
      </c>
      <c r="K2078" s="85">
        <f ca="1">IFERROR(__xludf.DUMMYFUNCTION("""COMPUTED_VALUE"""),47.25)</f>
        <v>47.25</v>
      </c>
      <c r="L2078" s="85">
        <f ca="1">IFERROR(__xludf.DUMMYFUNCTION("""COMPUTED_VALUE"""),0)</f>
        <v>0</v>
      </c>
      <c r="M2078" s="85"/>
      <c r="N2078" s="85">
        <f ca="1">IFERROR(__xludf.DUMMYFUNCTION("""COMPUTED_VALUE"""),36.55)</f>
        <v>36.549999999999997</v>
      </c>
      <c r="O2078" s="85"/>
      <c r="P2078" s="85">
        <f ca="1">IFERROR(__xludf.DUMMYFUNCTION("""COMPUTED_VALUE"""),47.25)</f>
        <v>47.25</v>
      </c>
      <c r="Q2078" s="85"/>
      <c r="R2078" s="85">
        <f ca="1">IFERROR(__xludf.DUMMYFUNCTION("""COMPUTED_VALUE"""),36.9)</f>
        <v>36.9</v>
      </c>
      <c r="S2078" s="85"/>
      <c r="T2078" s="85"/>
      <c r="U2078" s="82"/>
      <c r="V2078" s="82"/>
      <c r="W2078" s="83"/>
      <c r="X2078" s="83"/>
      <c r="Y2078" s="83"/>
    </row>
    <row r="2079" spans="1:25" ht="13.8">
      <c r="A2079" s="78" t="str">
        <f ca="1">IFERROR(__xludf.DUMMYFUNCTION("""COMPUTED_VALUE"""),"T")</f>
        <v>T</v>
      </c>
      <c r="B2079" s="79" t="str">
        <f ca="1">IFERROR(__xludf.DUMMYFUNCTION("""COMPUTED_VALUE"""),"Parker Smith")</f>
        <v>Parker Smith</v>
      </c>
      <c r="C2079" s="78">
        <f ca="1">IFERROR(__xludf.DUMMYFUNCTION("""COMPUTED_VALUE"""),9)</f>
        <v>9</v>
      </c>
      <c r="D2079" s="78" t="str">
        <f ca="1">IFERROR(__xludf.DUMMYFUNCTION("""COMPUTED_VALUE"""),"B")</f>
        <v>B</v>
      </c>
      <c r="E2079" s="80" t="str">
        <f ca="1">IFERROR(__xludf.DUMMYFUNCTION("""COMPUTED_VALUE"""),"F")</f>
        <v>F</v>
      </c>
      <c r="F2079" s="86" t="str">
        <f ca="1">IFERROR(__xludf.DUMMYFUNCTION("""COMPUTED_VALUE"""),"J")</f>
        <v>J</v>
      </c>
      <c r="G2079" s="86">
        <f ca="1">IFERROR(__xludf.DUMMYFUNCTION("""COMPUTED_VALUE"""),4)</f>
        <v>4</v>
      </c>
      <c r="H2079" s="86" t="str">
        <f ca="1">IFERROR(__xludf.DUMMYFUNCTION("""COMPUTED_VALUE"""),"T")</f>
        <v>T</v>
      </c>
      <c r="I2079" s="86">
        <f ca="1">IFERROR(__xludf.DUMMYFUNCTION("""COMPUTED_VALUE"""),3)</f>
        <v>3</v>
      </c>
      <c r="J2079" s="85">
        <f ca="1">IFERROR(__xludf.DUMMYFUNCTION("""COMPUTED_VALUE"""),0)</f>
        <v>0</v>
      </c>
      <c r="K2079" s="85">
        <f ca="1">IFERROR(__xludf.DUMMYFUNCTION("""COMPUTED_VALUE"""),0)</f>
        <v>0</v>
      </c>
      <c r="L2079" s="85">
        <f ca="1">IFERROR(__xludf.DUMMYFUNCTION("""COMPUTED_VALUE"""),0)</f>
        <v>0</v>
      </c>
      <c r="M2079" s="85"/>
      <c r="N2079" s="85">
        <f ca="1">IFERROR(__xludf.DUMMYFUNCTION("""COMPUTED_VALUE"""),0)</f>
        <v>0</v>
      </c>
      <c r="O2079" s="85"/>
      <c r="P2079" s="85">
        <f ca="1">IFERROR(__xludf.DUMMYFUNCTION("""COMPUTED_VALUE"""),0)</f>
        <v>0</v>
      </c>
      <c r="Q2079" s="85"/>
      <c r="R2079" s="85">
        <f ca="1">IFERROR(__xludf.DUMMYFUNCTION("""COMPUTED_VALUE"""),0)</f>
        <v>0</v>
      </c>
      <c r="S2079" s="85"/>
      <c r="T2079" s="85"/>
      <c r="U2079" s="82"/>
      <c r="V2079" s="82"/>
      <c r="W2079" s="83"/>
      <c r="X2079" s="83"/>
      <c r="Y2079" s="83"/>
    </row>
    <row r="2080" spans="1:25" ht="13.8">
      <c r="A2080" s="78" t="str">
        <f ca="1">IFERROR(__xludf.DUMMYFUNCTION("""COMPUTED_VALUE"""),"T")</f>
        <v>T</v>
      </c>
      <c r="B2080" s="79" t="str">
        <f ca="1">IFERROR(__xludf.DUMMYFUNCTION("""COMPUTED_VALUE"""),"Vahn Springer")</f>
        <v>Vahn Springer</v>
      </c>
      <c r="C2080" s="78">
        <f ca="1">IFERROR(__xludf.DUMMYFUNCTION("""COMPUTED_VALUE"""),7)</f>
        <v>7</v>
      </c>
      <c r="D2080" s="78" t="str">
        <f ca="1">IFERROR(__xludf.DUMMYFUNCTION("""COMPUTED_VALUE"""),"B")</f>
        <v>B</v>
      </c>
      <c r="E2080" s="80" t="str">
        <f ca="1">IFERROR(__xludf.DUMMYFUNCTION("""COMPUTED_VALUE"""),"F")</f>
        <v>F</v>
      </c>
      <c r="F2080" s="86" t="str">
        <f ca="1">IFERROR(__xludf.DUMMYFUNCTION("""COMPUTED_VALUE"""),"J")</f>
        <v>J</v>
      </c>
      <c r="G2080" s="86">
        <f ca="1">IFERROR(__xludf.DUMMYFUNCTION("""COMPUTED_VALUE"""),4)</f>
        <v>4</v>
      </c>
      <c r="H2080" s="86" t="str">
        <f ca="1">IFERROR(__xludf.DUMMYFUNCTION("""COMPUTED_VALUE"""),"T")</f>
        <v>T</v>
      </c>
      <c r="I2080" s="86">
        <f ca="1">IFERROR(__xludf.DUMMYFUNCTION("""COMPUTED_VALUE"""),3)</f>
        <v>3</v>
      </c>
      <c r="J2080" s="85">
        <f ca="1">IFERROR(__xludf.DUMMYFUNCTION("""COMPUTED_VALUE"""),0)</f>
        <v>0</v>
      </c>
      <c r="K2080" s="85">
        <f ca="1">IFERROR(__xludf.DUMMYFUNCTION("""COMPUTED_VALUE"""),0)</f>
        <v>0</v>
      </c>
      <c r="L2080" s="85">
        <f ca="1">IFERROR(__xludf.DUMMYFUNCTION("""COMPUTED_VALUE"""),0)</f>
        <v>0</v>
      </c>
      <c r="M2080" s="85"/>
      <c r="N2080" s="85">
        <f ca="1">IFERROR(__xludf.DUMMYFUNCTION("""COMPUTED_VALUE"""),0)</f>
        <v>0</v>
      </c>
      <c r="O2080" s="85"/>
      <c r="P2080" s="85">
        <f ca="1">IFERROR(__xludf.DUMMYFUNCTION("""COMPUTED_VALUE"""),0)</f>
        <v>0</v>
      </c>
      <c r="Q2080" s="85"/>
      <c r="R2080" s="85">
        <f ca="1">IFERROR(__xludf.DUMMYFUNCTION("""COMPUTED_VALUE"""),0)</f>
        <v>0</v>
      </c>
      <c r="S2080" s="85"/>
      <c r="T2080" s="85"/>
      <c r="U2080" s="82"/>
      <c r="V2080" s="82"/>
      <c r="W2080" s="83"/>
      <c r="X2080" s="83"/>
      <c r="Y2080" s="83"/>
    </row>
    <row r="2081" spans="1:25" ht="13.8">
      <c r="A2081" s="78" t="str">
        <f ca="1">IFERROR(__xludf.DUMMYFUNCTION("""COMPUTED_VALUE"""),"T")</f>
        <v>T</v>
      </c>
      <c r="B2081" s="79" t="str">
        <f ca="1">IFERROR(__xludf.DUMMYFUNCTION("""COMPUTED_VALUE"""),"Max Waisberg")</f>
        <v>Max Waisberg</v>
      </c>
      <c r="C2081" s="78">
        <f ca="1">IFERROR(__xludf.DUMMYFUNCTION("""COMPUTED_VALUE"""),7)</f>
        <v>7</v>
      </c>
      <c r="D2081" s="78" t="str">
        <f ca="1">IFERROR(__xludf.DUMMYFUNCTION("""COMPUTED_VALUE"""),"B")</f>
        <v>B</v>
      </c>
      <c r="E2081" s="80" t="str">
        <f ca="1">IFERROR(__xludf.DUMMYFUNCTION("""COMPUTED_VALUE"""),"F")</f>
        <v>F</v>
      </c>
      <c r="F2081" s="86" t="str">
        <f ca="1">IFERROR(__xludf.DUMMYFUNCTION("""COMPUTED_VALUE"""),"J")</f>
        <v>J</v>
      </c>
      <c r="G2081" s="86">
        <f ca="1">IFERROR(__xludf.DUMMYFUNCTION("""COMPUTED_VALUE"""),4)</f>
        <v>4</v>
      </c>
      <c r="H2081" s="86" t="str">
        <f ca="1">IFERROR(__xludf.DUMMYFUNCTION("""COMPUTED_VALUE"""),"T")</f>
        <v>T</v>
      </c>
      <c r="I2081" s="86">
        <f ca="1">IFERROR(__xludf.DUMMYFUNCTION("""COMPUTED_VALUE"""),3)</f>
        <v>3</v>
      </c>
      <c r="J2081" s="85">
        <f ca="1">IFERROR(__xludf.DUMMYFUNCTION("""COMPUTED_VALUE"""),0)</f>
        <v>0</v>
      </c>
      <c r="K2081" s="85">
        <f ca="1">IFERROR(__xludf.DUMMYFUNCTION("""COMPUTED_VALUE"""),0)</f>
        <v>0</v>
      </c>
      <c r="L2081" s="85">
        <f ca="1">IFERROR(__xludf.DUMMYFUNCTION("""COMPUTED_VALUE"""),0)</f>
        <v>0</v>
      </c>
      <c r="M2081" s="85"/>
      <c r="N2081" s="85">
        <f ca="1">IFERROR(__xludf.DUMMYFUNCTION("""COMPUTED_VALUE"""),0)</f>
        <v>0</v>
      </c>
      <c r="O2081" s="85"/>
      <c r="P2081" s="85">
        <f ca="1">IFERROR(__xludf.DUMMYFUNCTION("""COMPUTED_VALUE"""),0)</f>
        <v>0</v>
      </c>
      <c r="Q2081" s="85"/>
      <c r="R2081" s="85">
        <f ca="1">IFERROR(__xludf.DUMMYFUNCTION("""COMPUTED_VALUE"""),0)</f>
        <v>0</v>
      </c>
      <c r="S2081" s="85"/>
      <c r="T2081" s="85"/>
      <c r="U2081" s="82"/>
      <c r="V2081" s="82"/>
      <c r="W2081" s="83"/>
      <c r="X2081" s="83"/>
      <c r="Y2081" s="83"/>
    </row>
    <row r="2082" spans="1:25" ht="13.8">
      <c r="A2082" s="78" t="str">
        <f ca="1">IFERROR(__xludf.DUMMYFUNCTION("""COMPUTED_VALUE"""),"T")</f>
        <v>T</v>
      </c>
      <c r="B2082" s="79" t="str">
        <f ca="1">IFERROR(__xludf.DUMMYFUNCTION("""COMPUTED_VALUE"""),"Oliver Waisberg")</f>
        <v>Oliver Waisberg</v>
      </c>
      <c r="C2082" s="78">
        <f ca="1">IFERROR(__xludf.DUMMYFUNCTION("""COMPUTED_VALUE"""),7)</f>
        <v>7</v>
      </c>
      <c r="D2082" s="78" t="str">
        <f ca="1">IFERROR(__xludf.DUMMYFUNCTION("""COMPUTED_VALUE"""),"B")</f>
        <v>B</v>
      </c>
      <c r="E2082" s="80" t="str">
        <f ca="1">IFERROR(__xludf.DUMMYFUNCTION("""COMPUTED_VALUE"""),"F")</f>
        <v>F</v>
      </c>
      <c r="F2082" s="86" t="str">
        <f ca="1">IFERROR(__xludf.DUMMYFUNCTION("""COMPUTED_VALUE"""),"J")</f>
        <v>J</v>
      </c>
      <c r="G2082" s="86">
        <f ca="1">IFERROR(__xludf.DUMMYFUNCTION("""COMPUTED_VALUE"""),4)</f>
        <v>4</v>
      </c>
      <c r="H2082" s="86" t="str">
        <f ca="1">IFERROR(__xludf.DUMMYFUNCTION("""COMPUTED_VALUE"""),"T")</f>
        <v>T</v>
      </c>
      <c r="I2082" s="86">
        <f ca="1">IFERROR(__xludf.DUMMYFUNCTION("""COMPUTED_VALUE"""),3)</f>
        <v>3</v>
      </c>
      <c r="J2082" s="85">
        <f ca="1">IFERROR(__xludf.DUMMYFUNCTION("""COMPUTED_VALUE"""),0)</f>
        <v>0</v>
      </c>
      <c r="K2082" s="85">
        <f ca="1">IFERROR(__xludf.DUMMYFUNCTION("""COMPUTED_VALUE"""),0)</f>
        <v>0</v>
      </c>
      <c r="L2082" s="85">
        <f ca="1">IFERROR(__xludf.DUMMYFUNCTION("""COMPUTED_VALUE"""),0)</f>
        <v>0</v>
      </c>
      <c r="M2082" s="85"/>
      <c r="N2082" s="85">
        <f ca="1">IFERROR(__xludf.DUMMYFUNCTION("""COMPUTED_VALUE"""),0)</f>
        <v>0</v>
      </c>
      <c r="O2082" s="85"/>
      <c r="P2082" s="85">
        <f ca="1">IFERROR(__xludf.DUMMYFUNCTION("""COMPUTED_VALUE"""),0)</f>
        <v>0</v>
      </c>
      <c r="Q2082" s="85"/>
      <c r="R2082" s="85">
        <f ca="1">IFERROR(__xludf.DUMMYFUNCTION("""COMPUTED_VALUE"""),0)</f>
        <v>0</v>
      </c>
      <c r="S2082" s="85"/>
      <c r="T2082" s="85"/>
      <c r="U2082" s="82"/>
      <c r="V2082" s="82"/>
      <c r="W2082" s="83"/>
      <c r="X2082" s="83"/>
      <c r="Y2082" s="83"/>
    </row>
    <row r="2083" spans="1:25" ht="13.8">
      <c r="A2083" s="78" t="str">
        <f ca="1">IFERROR(__xludf.DUMMYFUNCTION("""COMPUTED_VALUE"""),"T")</f>
        <v>T</v>
      </c>
      <c r="B2083" s="79" t="str">
        <f ca="1">IFERROR(__xludf.DUMMYFUNCTION("""COMPUTED_VALUE"""),"Jaidyn Buday")</f>
        <v>Jaidyn Buday</v>
      </c>
      <c r="C2083" s="78">
        <f ca="1">IFERROR(__xludf.DUMMYFUNCTION("""COMPUTED_VALUE"""),12)</f>
        <v>12</v>
      </c>
      <c r="D2083" s="78" t="str">
        <f ca="1">IFERROR(__xludf.DUMMYFUNCTION("""COMPUTED_VALUE"""),"G")</f>
        <v>G</v>
      </c>
      <c r="E2083" s="80" t="str">
        <f ca="1">IFERROR(__xludf.DUMMYFUNCTION("""COMPUTED_VALUE"""),"J")</f>
        <v>J</v>
      </c>
      <c r="F2083" s="86" t="str">
        <f ca="1">IFERROR(__xludf.DUMMYFUNCTION("""COMPUTED_VALUE"""),"I")</f>
        <v>I</v>
      </c>
      <c r="G2083" s="86">
        <f ca="1">IFERROR(__xludf.DUMMYFUNCTION("""COMPUTED_VALUE"""),4)</f>
        <v>4</v>
      </c>
      <c r="H2083" s="86" t="str">
        <f ca="1">IFERROR(__xludf.DUMMYFUNCTION("""COMPUTED_VALUE"""),"T")</f>
        <v>T</v>
      </c>
      <c r="I2083" s="86">
        <f ca="1">IFERROR(__xludf.DUMMYFUNCTION("""COMPUTED_VALUE"""),4)</f>
        <v>4</v>
      </c>
      <c r="J2083" s="85">
        <f ca="1">IFERROR(__xludf.DUMMYFUNCTION("""COMPUTED_VALUE"""),1)</f>
        <v>1</v>
      </c>
      <c r="K2083" s="85">
        <f ca="1">IFERROR(__xludf.DUMMYFUNCTION("""COMPUTED_VALUE"""),76.45)</f>
        <v>76.45</v>
      </c>
      <c r="L2083" s="85">
        <f ca="1">IFERROR(__xludf.DUMMYFUNCTION("""COMPUTED_VALUE"""),0)</f>
        <v>0</v>
      </c>
      <c r="M2083" s="85"/>
      <c r="N2083" s="85">
        <f ca="1">IFERROR(__xludf.DUMMYFUNCTION("""COMPUTED_VALUE"""),0)</f>
        <v>0</v>
      </c>
      <c r="O2083" s="85"/>
      <c r="P2083" s="85">
        <f ca="1">IFERROR(__xludf.DUMMYFUNCTION("""COMPUTED_VALUE"""),0)</f>
        <v>0</v>
      </c>
      <c r="Q2083" s="85"/>
      <c r="R2083" s="85">
        <f ca="1">IFERROR(__xludf.DUMMYFUNCTION("""COMPUTED_VALUE"""),76.45)</f>
        <v>76.45</v>
      </c>
      <c r="S2083" s="85"/>
      <c r="T2083" s="85"/>
      <c r="U2083" s="82"/>
      <c r="V2083" s="82"/>
      <c r="W2083" s="83"/>
      <c r="X2083" s="83"/>
      <c r="Y2083" s="83"/>
    </row>
    <row r="2084" spans="1:25" ht="13.8">
      <c r="A2084" s="78" t="str">
        <f ca="1">IFERROR(__xludf.DUMMYFUNCTION("""COMPUTED_VALUE"""),"T")</f>
        <v>T</v>
      </c>
      <c r="B2084" s="79" t="str">
        <f ca="1">IFERROR(__xludf.DUMMYFUNCTION("""COMPUTED_VALUE"""),"Erin McGeehan")</f>
        <v>Erin McGeehan</v>
      </c>
      <c r="C2084" s="78">
        <f ca="1">IFERROR(__xludf.DUMMYFUNCTION("""COMPUTED_VALUE"""),12)</f>
        <v>12</v>
      </c>
      <c r="D2084" s="78" t="str">
        <f ca="1">IFERROR(__xludf.DUMMYFUNCTION("""COMPUTED_VALUE"""),"G")</f>
        <v>G</v>
      </c>
      <c r="E2084" s="80" t="str">
        <f ca="1">IFERROR(__xludf.DUMMYFUNCTION("""COMPUTED_VALUE"""),"J")</f>
        <v>J</v>
      </c>
      <c r="F2084" s="86" t="str">
        <f ca="1">IFERROR(__xludf.DUMMYFUNCTION("""COMPUTED_VALUE"""),"I")</f>
        <v>I</v>
      </c>
      <c r="G2084" s="86">
        <f ca="1">IFERROR(__xludf.DUMMYFUNCTION("""COMPUTED_VALUE"""),4)</f>
        <v>4</v>
      </c>
      <c r="H2084" s="86" t="str">
        <f ca="1">IFERROR(__xludf.DUMMYFUNCTION("""COMPUTED_VALUE"""),"T")</f>
        <v>T</v>
      </c>
      <c r="I2084" s="86">
        <f ca="1">IFERROR(__xludf.DUMMYFUNCTION("""COMPUTED_VALUE"""),4)</f>
        <v>4</v>
      </c>
      <c r="J2084" s="85">
        <f ca="1">IFERROR(__xludf.DUMMYFUNCTION("""COMPUTED_VALUE"""),0)</f>
        <v>0</v>
      </c>
      <c r="K2084" s="85">
        <f ca="1">IFERROR(__xludf.DUMMYFUNCTION("""COMPUTED_VALUE"""),0)</f>
        <v>0</v>
      </c>
      <c r="L2084" s="85">
        <f ca="1">IFERROR(__xludf.DUMMYFUNCTION("""COMPUTED_VALUE"""),0)</f>
        <v>0</v>
      </c>
      <c r="M2084" s="85"/>
      <c r="N2084" s="85">
        <f ca="1">IFERROR(__xludf.DUMMYFUNCTION("""COMPUTED_VALUE"""),0)</f>
        <v>0</v>
      </c>
      <c r="O2084" s="85"/>
      <c r="P2084" s="85">
        <f ca="1">IFERROR(__xludf.DUMMYFUNCTION("""COMPUTED_VALUE"""),0)</f>
        <v>0</v>
      </c>
      <c r="Q2084" s="85"/>
      <c r="R2084" s="85">
        <f ca="1">IFERROR(__xludf.DUMMYFUNCTION("""COMPUTED_VALUE"""),0)</f>
        <v>0</v>
      </c>
      <c r="S2084" s="85"/>
      <c r="T2084" s="85"/>
      <c r="U2084" s="82"/>
      <c r="V2084" s="82"/>
      <c r="W2084" s="83"/>
      <c r="X2084" s="83"/>
      <c r="Y2084" s="83"/>
    </row>
    <row r="2085" spans="1:25" ht="13.8">
      <c r="A2085" s="78" t="str">
        <f ca="1">IFERROR(__xludf.DUMMYFUNCTION("""COMPUTED_VALUE"""),"T")</f>
        <v>T</v>
      </c>
      <c r="B2085" s="79" t="str">
        <f ca="1">IFERROR(__xludf.DUMMYFUNCTION("""COMPUTED_VALUE"""),"Maddie Riccardi")</f>
        <v>Maddie Riccardi</v>
      </c>
      <c r="C2085" s="78">
        <f ca="1">IFERROR(__xludf.DUMMYFUNCTION("""COMPUTED_VALUE"""),12)</f>
        <v>12</v>
      </c>
      <c r="D2085" s="78" t="str">
        <f ca="1">IFERROR(__xludf.DUMMYFUNCTION("""COMPUTED_VALUE"""),"G")</f>
        <v>G</v>
      </c>
      <c r="E2085" s="80" t="str">
        <f ca="1">IFERROR(__xludf.DUMMYFUNCTION("""COMPUTED_VALUE"""),"J")</f>
        <v>J</v>
      </c>
      <c r="F2085" s="86" t="str">
        <f ca="1">IFERROR(__xludf.DUMMYFUNCTION("""COMPUTED_VALUE"""),"I")</f>
        <v>I</v>
      </c>
      <c r="G2085" s="86">
        <f ca="1">IFERROR(__xludf.DUMMYFUNCTION("""COMPUTED_VALUE"""),4)</f>
        <v>4</v>
      </c>
      <c r="H2085" s="86" t="str">
        <f ca="1">IFERROR(__xludf.DUMMYFUNCTION("""COMPUTED_VALUE"""),"T")</f>
        <v>T</v>
      </c>
      <c r="I2085" s="86">
        <f ca="1">IFERROR(__xludf.DUMMYFUNCTION("""COMPUTED_VALUE"""),4)</f>
        <v>4</v>
      </c>
      <c r="J2085" s="85">
        <f ca="1">IFERROR(__xludf.DUMMYFUNCTION("""COMPUTED_VALUE"""),0)</f>
        <v>0</v>
      </c>
      <c r="K2085" s="85">
        <f ca="1">IFERROR(__xludf.DUMMYFUNCTION("""COMPUTED_VALUE"""),0)</f>
        <v>0</v>
      </c>
      <c r="L2085" s="85">
        <f ca="1">IFERROR(__xludf.DUMMYFUNCTION("""COMPUTED_VALUE"""),0)</f>
        <v>0</v>
      </c>
      <c r="M2085" s="85"/>
      <c r="N2085" s="85">
        <f ca="1">IFERROR(__xludf.DUMMYFUNCTION("""COMPUTED_VALUE"""),0)</f>
        <v>0</v>
      </c>
      <c r="O2085" s="85"/>
      <c r="P2085" s="85">
        <f ca="1">IFERROR(__xludf.DUMMYFUNCTION("""COMPUTED_VALUE"""),0)</f>
        <v>0</v>
      </c>
      <c r="Q2085" s="85"/>
      <c r="R2085" s="85">
        <f ca="1">IFERROR(__xludf.DUMMYFUNCTION("""COMPUTED_VALUE"""),0)</f>
        <v>0</v>
      </c>
      <c r="S2085" s="85"/>
      <c r="T2085" s="85"/>
      <c r="U2085" s="82"/>
      <c r="V2085" s="82"/>
      <c r="W2085" s="83"/>
      <c r="X2085" s="83"/>
      <c r="Y2085" s="83"/>
    </row>
    <row r="2086" spans="1:25" ht="13.8">
      <c r="A2086" s="78" t="str">
        <f ca="1">IFERROR(__xludf.DUMMYFUNCTION("""COMPUTED_VALUE"""),"T")</f>
        <v>T</v>
      </c>
      <c r="B2086" s="79" t="str">
        <f ca="1">IFERROR(__xludf.DUMMYFUNCTION("""COMPUTED_VALUE"""),"Kate Walters")</f>
        <v>Kate Walters</v>
      </c>
      <c r="C2086" s="78">
        <f ca="1">IFERROR(__xludf.DUMMYFUNCTION("""COMPUTED_VALUE"""),11)</f>
        <v>11</v>
      </c>
      <c r="D2086" s="78" t="str">
        <f ca="1">IFERROR(__xludf.DUMMYFUNCTION("""COMPUTED_VALUE"""),"G")</f>
        <v>G</v>
      </c>
      <c r="E2086" s="80" t="str">
        <f ca="1">IFERROR(__xludf.DUMMYFUNCTION("""COMPUTED_VALUE"""),"J")</f>
        <v>J</v>
      </c>
      <c r="F2086" s="86" t="str">
        <f ca="1">IFERROR(__xludf.DUMMYFUNCTION("""COMPUTED_VALUE"""),"I")</f>
        <v>I</v>
      </c>
      <c r="G2086" s="86">
        <f ca="1">IFERROR(__xludf.DUMMYFUNCTION("""COMPUTED_VALUE"""),4)</f>
        <v>4</v>
      </c>
      <c r="H2086" s="86" t="str">
        <f ca="1">IFERROR(__xludf.DUMMYFUNCTION("""COMPUTED_VALUE"""),"T")</f>
        <v>T</v>
      </c>
      <c r="I2086" s="86">
        <f ca="1">IFERROR(__xludf.DUMMYFUNCTION("""COMPUTED_VALUE"""),4)</f>
        <v>4</v>
      </c>
      <c r="J2086" s="85">
        <f ca="1">IFERROR(__xludf.DUMMYFUNCTION("""COMPUTED_VALUE"""),0)</f>
        <v>0</v>
      </c>
      <c r="K2086" s="85">
        <f ca="1">IFERROR(__xludf.DUMMYFUNCTION("""COMPUTED_VALUE"""),0)</f>
        <v>0</v>
      </c>
      <c r="L2086" s="85">
        <f ca="1">IFERROR(__xludf.DUMMYFUNCTION("""COMPUTED_VALUE"""),0)</f>
        <v>0</v>
      </c>
      <c r="M2086" s="85"/>
      <c r="N2086" s="85">
        <f ca="1">IFERROR(__xludf.DUMMYFUNCTION("""COMPUTED_VALUE"""),0)</f>
        <v>0</v>
      </c>
      <c r="O2086" s="85"/>
      <c r="P2086" s="85">
        <f ca="1">IFERROR(__xludf.DUMMYFUNCTION("""COMPUTED_VALUE"""),0)</f>
        <v>0</v>
      </c>
      <c r="Q2086" s="85"/>
      <c r="R2086" s="85">
        <f ca="1">IFERROR(__xludf.DUMMYFUNCTION("""COMPUTED_VALUE"""),0)</f>
        <v>0</v>
      </c>
      <c r="S2086" s="85"/>
      <c r="T2086" s="85"/>
      <c r="U2086" s="82"/>
      <c r="V2086" s="82"/>
      <c r="W2086" s="83"/>
      <c r="X2086" s="83"/>
      <c r="Y2086" s="83"/>
    </row>
    <row r="2087" spans="1:25" ht="13.8">
      <c r="A2087" s="78" t="str">
        <f ca="1">IFERROR(__xludf.DUMMYFUNCTION("""COMPUTED_VALUE"""),"T")</f>
        <v>T</v>
      </c>
      <c r="B2087" s="79" t="str">
        <f ca="1">IFERROR(__xludf.DUMMYFUNCTION("""COMPUTED_VALUE"""),"Joslyn Workman")</f>
        <v>Joslyn Workman</v>
      </c>
      <c r="C2087" s="78">
        <f ca="1">IFERROR(__xludf.DUMMYFUNCTION("""COMPUTED_VALUE"""),11)</f>
        <v>11</v>
      </c>
      <c r="D2087" s="78" t="str">
        <f ca="1">IFERROR(__xludf.DUMMYFUNCTION("""COMPUTED_VALUE"""),"G")</f>
        <v>G</v>
      </c>
      <c r="E2087" s="80" t="str">
        <f ca="1">IFERROR(__xludf.DUMMYFUNCTION("""COMPUTED_VALUE"""),"J")</f>
        <v>J</v>
      </c>
      <c r="F2087" s="86" t="str">
        <f ca="1">IFERROR(__xludf.DUMMYFUNCTION("""COMPUTED_VALUE"""),"I")</f>
        <v>I</v>
      </c>
      <c r="G2087" s="86">
        <f ca="1">IFERROR(__xludf.DUMMYFUNCTION("""COMPUTED_VALUE"""),4)</f>
        <v>4</v>
      </c>
      <c r="H2087" s="86" t="str">
        <f ca="1">IFERROR(__xludf.DUMMYFUNCTION("""COMPUTED_VALUE"""),"T")</f>
        <v>T</v>
      </c>
      <c r="I2087" s="86">
        <f ca="1">IFERROR(__xludf.DUMMYFUNCTION("""COMPUTED_VALUE"""),4)</f>
        <v>4</v>
      </c>
      <c r="J2087" s="85">
        <f ca="1">IFERROR(__xludf.DUMMYFUNCTION("""COMPUTED_VALUE"""),3)</f>
        <v>3</v>
      </c>
      <c r="K2087" s="85">
        <f ca="1">IFERROR(__xludf.DUMMYFUNCTION("""COMPUTED_VALUE"""),93.1)</f>
        <v>93.1</v>
      </c>
      <c r="L2087" s="85">
        <f ca="1">IFERROR(__xludf.DUMMYFUNCTION("""COMPUTED_VALUE"""),0)</f>
        <v>0</v>
      </c>
      <c r="M2087" s="85"/>
      <c r="N2087" s="85">
        <f ca="1">IFERROR(__xludf.DUMMYFUNCTION("""COMPUTED_VALUE"""),85.35)</f>
        <v>85.35</v>
      </c>
      <c r="O2087" s="85"/>
      <c r="P2087" s="85">
        <f ca="1">IFERROR(__xludf.DUMMYFUNCTION("""COMPUTED_VALUE"""),0)</f>
        <v>0</v>
      </c>
      <c r="Q2087" s="85"/>
      <c r="R2087" s="85">
        <f ca="1">IFERROR(__xludf.DUMMYFUNCTION("""COMPUTED_VALUE"""),93.1)</f>
        <v>93.1</v>
      </c>
      <c r="S2087" s="85"/>
      <c r="T2087" s="85"/>
      <c r="U2087" s="82"/>
      <c r="V2087" s="82"/>
      <c r="W2087" s="83"/>
      <c r="X2087" s="83"/>
      <c r="Y2087" s="83"/>
    </row>
    <row r="2088" spans="1:25" ht="13.8">
      <c r="A2088" s="78" t="str">
        <f ca="1">IFERROR(__xludf.DUMMYFUNCTION("""COMPUTED_VALUE"""),"T")</f>
        <v>T</v>
      </c>
      <c r="B2088" s="79" t="str">
        <f ca="1">IFERROR(__xludf.DUMMYFUNCTION("""COMPUTED_VALUE"""),"Teddy Angelides")</f>
        <v>Teddy Angelides</v>
      </c>
      <c r="C2088" s="78">
        <f ca="1">IFERROR(__xludf.DUMMYFUNCTION("""COMPUTED_VALUE"""),12)</f>
        <v>12</v>
      </c>
      <c r="D2088" s="78" t="str">
        <f ca="1">IFERROR(__xludf.DUMMYFUNCTION("""COMPUTED_VALUE"""),"B")</f>
        <v>B</v>
      </c>
      <c r="E2088" s="80" t="str">
        <f ca="1">IFERROR(__xludf.DUMMYFUNCTION("""COMPUTED_VALUE"""),"J")</f>
        <v>J</v>
      </c>
      <c r="F2088" s="86" t="str">
        <f ca="1">IFERROR(__xludf.DUMMYFUNCTION("""COMPUTED_VALUE"""),"I")</f>
        <v>I</v>
      </c>
      <c r="G2088" s="86">
        <f ca="1">IFERROR(__xludf.DUMMYFUNCTION("""COMPUTED_VALUE"""),4)</f>
        <v>4</v>
      </c>
      <c r="H2088" s="86" t="str">
        <f ca="1">IFERROR(__xludf.DUMMYFUNCTION("""COMPUTED_VALUE"""),"T")</f>
        <v>T</v>
      </c>
      <c r="I2088" s="86">
        <f ca="1">IFERROR(__xludf.DUMMYFUNCTION("""COMPUTED_VALUE"""),5)</f>
        <v>5</v>
      </c>
      <c r="J2088" s="85">
        <f ca="1">IFERROR(__xludf.DUMMYFUNCTION("""COMPUTED_VALUE"""),3)</f>
        <v>3</v>
      </c>
      <c r="K2088" s="85">
        <f ca="1">IFERROR(__xludf.DUMMYFUNCTION("""COMPUTED_VALUE"""),84.7)</f>
        <v>84.7</v>
      </c>
      <c r="L2088" s="85">
        <f ca="1">IFERROR(__xludf.DUMMYFUNCTION("""COMPUTED_VALUE"""),0)</f>
        <v>0</v>
      </c>
      <c r="M2088" s="85"/>
      <c r="N2088" s="85">
        <f ca="1">IFERROR(__xludf.DUMMYFUNCTION("""COMPUTED_VALUE"""),68.6)</f>
        <v>68.599999999999994</v>
      </c>
      <c r="O2088" s="85"/>
      <c r="P2088" s="85">
        <f ca="1">IFERROR(__xludf.DUMMYFUNCTION("""COMPUTED_VALUE"""),84.7)</f>
        <v>84.7</v>
      </c>
      <c r="Q2088" s="85"/>
      <c r="R2088" s="85">
        <f ca="1">IFERROR(__xludf.DUMMYFUNCTION("""COMPUTED_VALUE"""),83.6)</f>
        <v>83.6</v>
      </c>
      <c r="S2088" s="85"/>
      <c r="T2088" s="85"/>
      <c r="U2088" s="82"/>
      <c r="V2088" s="82"/>
      <c r="W2088" s="83"/>
      <c r="X2088" s="83"/>
      <c r="Y2088" s="83"/>
    </row>
    <row r="2089" spans="1:25" ht="13.8">
      <c r="A2089" s="78" t="str">
        <f ca="1">IFERROR(__xludf.DUMMYFUNCTION("""COMPUTED_VALUE"""),"T")</f>
        <v>T</v>
      </c>
      <c r="B2089" s="79" t="str">
        <f ca="1">IFERROR(__xludf.DUMMYFUNCTION("""COMPUTED_VALUE"""),"Jacob Hall")</f>
        <v>Jacob Hall</v>
      </c>
      <c r="C2089" s="78">
        <f ca="1">IFERROR(__xludf.DUMMYFUNCTION("""COMPUTED_VALUE"""),11)</f>
        <v>11</v>
      </c>
      <c r="D2089" s="78" t="str">
        <f ca="1">IFERROR(__xludf.DUMMYFUNCTION("""COMPUTED_VALUE"""),"B")</f>
        <v>B</v>
      </c>
      <c r="E2089" s="80" t="str">
        <f ca="1">IFERROR(__xludf.DUMMYFUNCTION("""COMPUTED_VALUE"""),"J")</f>
        <v>J</v>
      </c>
      <c r="F2089" s="86" t="str">
        <f ca="1">IFERROR(__xludf.DUMMYFUNCTION("""COMPUTED_VALUE"""),"I")</f>
        <v>I</v>
      </c>
      <c r="G2089" s="86">
        <f ca="1">IFERROR(__xludf.DUMMYFUNCTION("""COMPUTED_VALUE"""),4)</f>
        <v>4</v>
      </c>
      <c r="H2089" s="86" t="str">
        <f ca="1">IFERROR(__xludf.DUMMYFUNCTION("""COMPUTED_VALUE"""),"T")</f>
        <v>T</v>
      </c>
      <c r="I2089" s="86">
        <f ca="1">IFERROR(__xludf.DUMMYFUNCTION("""COMPUTED_VALUE"""),5)</f>
        <v>5</v>
      </c>
      <c r="J2089" s="85">
        <f ca="1">IFERROR(__xludf.DUMMYFUNCTION("""COMPUTED_VALUE"""),1)</f>
        <v>1</v>
      </c>
      <c r="K2089" s="85">
        <f ca="1">IFERROR(__xludf.DUMMYFUNCTION("""COMPUTED_VALUE"""),34.45)</f>
        <v>34.450000000000003</v>
      </c>
      <c r="L2089" s="85">
        <f ca="1">IFERROR(__xludf.DUMMYFUNCTION("""COMPUTED_VALUE"""),0)</f>
        <v>0</v>
      </c>
      <c r="M2089" s="85"/>
      <c r="N2089" s="85">
        <f ca="1">IFERROR(__xludf.DUMMYFUNCTION("""COMPUTED_VALUE"""),0)</f>
        <v>0</v>
      </c>
      <c r="O2089" s="85"/>
      <c r="P2089" s="85">
        <f ca="1">IFERROR(__xludf.DUMMYFUNCTION("""COMPUTED_VALUE"""),0)</f>
        <v>0</v>
      </c>
      <c r="Q2089" s="85"/>
      <c r="R2089" s="85">
        <f ca="1">IFERROR(__xludf.DUMMYFUNCTION("""COMPUTED_VALUE"""),34.45)</f>
        <v>34.450000000000003</v>
      </c>
      <c r="S2089" s="85"/>
      <c r="T2089" s="85"/>
      <c r="U2089" s="82"/>
      <c r="V2089" s="82"/>
      <c r="W2089" s="83"/>
      <c r="X2089" s="83"/>
      <c r="Y2089" s="83"/>
    </row>
    <row r="2090" spans="1:25" ht="13.8">
      <c r="A2090" s="78" t="str">
        <f ca="1">IFERROR(__xludf.DUMMYFUNCTION("""COMPUTED_VALUE"""),"T")</f>
        <v>T</v>
      </c>
      <c r="B2090" s="79" t="str">
        <f ca="1">IFERROR(__xludf.DUMMYFUNCTION("""COMPUTED_VALUE"""),"Austen Kimmett")</f>
        <v>Austen Kimmett</v>
      </c>
      <c r="C2090" s="78">
        <f ca="1">IFERROR(__xludf.DUMMYFUNCTION("""COMPUTED_VALUE"""),12)</f>
        <v>12</v>
      </c>
      <c r="D2090" s="78" t="str">
        <f ca="1">IFERROR(__xludf.DUMMYFUNCTION("""COMPUTED_VALUE"""),"B")</f>
        <v>B</v>
      </c>
      <c r="E2090" s="80" t="str">
        <f ca="1">IFERROR(__xludf.DUMMYFUNCTION("""COMPUTED_VALUE"""),"J")</f>
        <v>J</v>
      </c>
      <c r="F2090" s="86" t="str">
        <f ca="1">IFERROR(__xludf.DUMMYFUNCTION("""COMPUTED_VALUE"""),"I")</f>
        <v>I</v>
      </c>
      <c r="G2090" s="86">
        <f ca="1">IFERROR(__xludf.DUMMYFUNCTION("""COMPUTED_VALUE"""),4)</f>
        <v>4</v>
      </c>
      <c r="H2090" s="86" t="str">
        <f ca="1">IFERROR(__xludf.DUMMYFUNCTION("""COMPUTED_VALUE"""),"T")</f>
        <v>T</v>
      </c>
      <c r="I2090" s="86">
        <f ca="1">IFERROR(__xludf.DUMMYFUNCTION("""COMPUTED_VALUE"""),5)</f>
        <v>5</v>
      </c>
      <c r="J2090" s="85">
        <f ca="1">IFERROR(__xludf.DUMMYFUNCTION("""COMPUTED_VALUE"""),0)</f>
        <v>0</v>
      </c>
      <c r="K2090" s="85">
        <f ca="1">IFERROR(__xludf.DUMMYFUNCTION("""COMPUTED_VALUE"""),0)</f>
        <v>0</v>
      </c>
      <c r="L2090" s="85">
        <f ca="1">IFERROR(__xludf.DUMMYFUNCTION("""COMPUTED_VALUE"""),0)</f>
        <v>0</v>
      </c>
      <c r="M2090" s="85"/>
      <c r="N2090" s="85">
        <f ca="1">IFERROR(__xludf.DUMMYFUNCTION("""COMPUTED_VALUE"""),0)</f>
        <v>0</v>
      </c>
      <c r="O2090" s="85"/>
      <c r="P2090" s="85">
        <f ca="1">IFERROR(__xludf.DUMMYFUNCTION("""COMPUTED_VALUE"""),0)</f>
        <v>0</v>
      </c>
      <c r="Q2090" s="85"/>
      <c r="R2090" s="85">
        <f ca="1">IFERROR(__xludf.DUMMYFUNCTION("""COMPUTED_VALUE"""),0)</f>
        <v>0</v>
      </c>
      <c r="S2090" s="85"/>
      <c r="T2090" s="85"/>
      <c r="U2090" s="82"/>
      <c r="V2090" s="82"/>
      <c r="W2090" s="83"/>
      <c r="X2090" s="83"/>
      <c r="Y2090" s="83"/>
    </row>
    <row r="2091" spans="1:25" ht="13.8">
      <c r="A2091" s="78" t="str">
        <f ca="1">IFERROR(__xludf.DUMMYFUNCTION("""COMPUTED_VALUE"""),"T")</f>
        <v>T</v>
      </c>
      <c r="B2091" s="79" t="str">
        <f ca="1">IFERROR(__xludf.DUMMYFUNCTION("""COMPUTED_VALUE"""),"Bruce McIntyre")</f>
        <v>Bruce McIntyre</v>
      </c>
      <c r="C2091" s="78">
        <f ca="1">IFERROR(__xludf.DUMMYFUNCTION("""COMPUTED_VALUE"""),11)</f>
        <v>11</v>
      </c>
      <c r="D2091" s="78" t="str">
        <f ca="1">IFERROR(__xludf.DUMMYFUNCTION("""COMPUTED_VALUE"""),"B")</f>
        <v>B</v>
      </c>
      <c r="E2091" s="80" t="str">
        <f ca="1">IFERROR(__xludf.DUMMYFUNCTION("""COMPUTED_VALUE"""),"J")</f>
        <v>J</v>
      </c>
      <c r="F2091" s="86" t="str">
        <f ca="1">IFERROR(__xludf.DUMMYFUNCTION("""COMPUTED_VALUE"""),"I")</f>
        <v>I</v>
      </c>
      <c r="G2091" s="86">
        <f ca="1">IFERROR(__xludf.DUMMYFUNCTION("""COMPUTED_VALUE"""),4)</f>
        <v>4</v>
      </c>
      <c r="H2091" s="86" t="str">
        <f ca="1">IFERROR(__xludf.DUMMYFUNCTION("""COMPUTED_VALUE"""),"T")</f>
        <v>T</v>
      </c>
      <c r="I2091" s="86">
        <f ca="1">IFERROR(__xludf.DUMMYFUNCTION("""COMPUTED_VALUE"""),5)</f>
        <v>5</v>
      </c>
      <c r="J2091" s="85">
        <f ca="1">IFERROR(__xludf.DUMMYFUNCTION("""COMPUTED_VALUE"""),0)</f>
        <v>0</v>
      </c>
      <c r="K2091" s="85">
        <f ca="1">IFERROR(__xludf.DUMMYFUNCTION("""COMPUTED_VALUE"""),0)</f>
        <v>0</v>
      </c>
      <c r="L2091" s="85">
        <f ca="1">IFERROR(__xludf.DUMMYFUNCTION("""COMPUTED_VALUE"""),0)</f>
        <v>0</v>
      </c>
      <c r="M2091" s="85"/>
      <c r="N2091" s="85">
        <f ca="1">IFERROR(__xludf.DUMMYFUNCTION("""COMPUTED_VALUE"""),0)</f>
        <v>0</v>
      </c>
      <c r="O2091" s="85"/>
      <c r="P2091" s="85">
        <f ca="1">IFERROR(__xludf.DUMMYFUNCTION("""COMPUTED_VALUE"""),0)</f>
        <v>0</v>
      </c>
      <c r="Q2091" s="85"/>
      <c r="R2091" s="85">
        <f ca="1">IFERROR(__xludf.DUMMYFUNCTION("""COMPUTED_VALUE"""),0)</f>
        <v>0</v>
      </c>
      <c r="S2091" s="85"/>
      <c r="T2091" s="85"/>
      <c r="U2091" s="82"/>
      <c r="V2091" s="82"/>
      <c r="W2091" s="83"/>
      <c r="X2091" s="83"/>
      <c r="Y2091" s="83"/>
    </row>
    <row r="2092" spans="1:25" ht="13.8">
      <c r="A2092" s="78" t="str">
        <f ca="1">IFERROR(__xludf.DUMMYFUNCTION("""COMPUTED_VALUE"""),"T")</f>
        <v>T</v>
      </c>
      <c r="B2092" s="79" t="str">
        <f ca="1">IFERROR(__xludf.DUMMYFUNCTION("""COMPUTED_VALUE"""),"Alex Paz")</f>
        <v>Alex Paz</v>
      </c>
      <c r="C2092" s="78">
        <f ca="1">IFERROR(__xludf.DUMMYFUNCTION("""COMPUTED_VALUE"""),11)</f>
        <v>11</v>
      </c>
      <c r="D2092" s="78" t="str">
        <f ca="1">IFERROR(__xludf.DUMMYFUNCTION("""COMPUTED_VALUE"""),"B")</f>
        <v>B</v>
      </c>
      <c r="E2092" s="80" t="str">
        <f ca="1">IFERROR(__xludf.DUMMYFUNCTION("""COMPUTED_VALUE"""),"J")</f>
        <v>J</v>
      </c>
      <c r="F2092" s="86" t="str">
        <f ca="1">IFERROR(__xludf.DUMMYFUNCTION("""COMPUTED_VALUE"""),"I")</f>
        <v>I</v>
      </c>
      <c r="G2092" s="86">
        <f ca="1">IFERROR(__xludf.DUMMYFUNCTION("""COMPUTED_VALUE"""),4)</f>
        <v>4</v>
      </c>
      <c r="H2092" s="86" t="str">
        <f ca="1">IFERROR(__xludf.DUMMYFUNCTION("""COMPUTED_VALUE"""),"T")</f>
        <v>T</v>
      </c>
      <c r="I2092" s="86">
        <f ca="1">IFERROR(__xludf.DUMMYFUNCTION("""COMPUTED_VALUE"""),5)</f>
        <v>5</v>
      </c>
      <c r="J2092" s="85">
        <f ca="1">IFERROR(__xludf.DUMMYFUNCTION("""COMPUTED_VALUE"""),0)</f>
        <v>0</v>
      </c>
      <c r="K2092" s="85">
        <f ca="1">IFERROR(__xludf.DUMMYFUNCTION("""COMPUTED_VALUE"""),0)</f>
        <v>0</v>
      </c>
      <c r="L2092" s="85">
        <f ca="1">IFERROR(__xludf.DUMMYFUNCTION("""COMPUTED_VALUE"""),0)</f>
        <v>0</v>
      </c>
      <c r="M2092" s="85"/>
      <c r="N2092" s="85">
        <f ca="1">IFERROR(__xludf.DUMMYFUNCTION("""COMPUTED_VALUE"""),0)</f>
        <v>0</v>
      </c>
      <c r="O2092" s="85"/>
      <c r="P2092" s="85">
        <f ca="1">IFERROR(__xludf.DUMMYFUNCTION("""COMPUTED_VALUE"""),0)</f>
        <v>0</v>
      </c>
      <c r="Q2092" s="85"/>
      <c r="R2092" s="85">
        <f ca="1">IFERROR(__xludf.DUMMYFUNCTION("""COMPUTED_VALUE"""),0)</f>
        <v>0</v>
      </c>
      <c r="S2092" s="85"/>
      <c r="T2092" s="85"/>
      <c r="U2092" s="82"/>
      <c r="V2092" s="82"/>
      <c r="W2092" s="83"/>
      <c r="X2092" s="83"/>
      <c r="Y2092" s="83"/>
    </row>
    <row r="2093" spans="1:25" ht="13.8">
      <c r="A2093" s="78" t="str">
        <f ca="1">IFERROR(__xludf.DUMMYFUNCTION("""COMPUTED_VALUE"""),"T")</f>
        <v>T</v>
      </c>
      <c r="B2093" s="79" t="str">
        <f ca="1">IFERROR(__xludf.DUMMYFUNCTION("""COMPUTED_VALUE"""),"Jacob Regulski")</f>
        <v>Jacob Regulski</v>
      </c>
      <c r="C2093" s="78">
        <f ca="1">IFERROR(__xludf.DUMMYFUNCTION("""COMPUTED_VALUE"""),12)</f>
        <v>12</v>
      </c>
      <c r="D2093" s="78" t="str">
        <f ca="1">IFERROR(__xludf.DUMMYFUNCTION("""COMPUTED_VALUE"""),"B")</f>
        <v>B</v>
      </c>
      <c r="E2093" s="80" t="str">
        <f ca="1">IFERROR(__xludf.DUMMYFUNCTION("""COMPUTED_VALUE"""),"J")</f>
        <v>J</v>
      </c>
      <c r="F2093" s="86" t="str">
        <f ca="1">IFERROR(__xludf.DUMMYFUNCTION("""COMPUTED_VALUE"""),"I")</f>
        <v>I</v>
      </c>
      <c r="G2093" s="86">
        <f ca="1">IFERROR(__xludf.DUMMYFUNCTION("""COMPUTED_VALUE"""),4)</f>
        <v>4</v>
      </c>
      <c r="H2093" s="86" t="str">
        <f ca="1">IFERROR(__xludf.DUMMYFUNCTION("""COMPUTED_VALUE"""),"T")</f>
        <v>T</v>
      </c>
      <c r="I2093" s="86">
        <f ca="1">IFERROR(__xludf.DUMMYFUNCTION("""COMPUTED_VALUE"""),5)</f>
        <v>5</v>
      </c>
      <c r="J2093" s="85">
        <f ca="1">IFERROR(__xludf.DUMMYFUNCTION("""COMPUTED_VALUE"""),0)</f>
        <v>0</v>
      </c>
      <c r="K2093" s="85">
        <f ca="1">IFERROR(__xludf.DUMMYFUNCTION("""COMPUTED_VALUE"""),0)</f>
        <v>0</v>
      </c>
      <c r="L2093" s="85">
        <f ca="1">IFERROR(__xludf.DUMMYFUNCTION("""COMPUTED_VALUE"""),0)</f>
        <v>0</v>
      </c>
      <c r="M2093" s="85"/>
      <c r="N2093" s="85">
        <f ca="1">IFERROR(__xludf.DUMMYFUNCTION("""COMPUTED_VALUE"""),0)</f>
        <v>0</v>
      </c>
      <c r="O2093" s="85"/>
      <c r="P2093" s="85">
        <f ca="1">IFERROR(__xludf.DUMMYFUNCTION("""COMPUTED_VALUE"""),0)</f>
        <v>0</v>
      </c>
      <c r="Q2093" s="85"/>
      <c r="R2093" s="85">
        <f ca="1">IFERROR(__xludf.DUMMYFUNCTION("""COMPUTED_VALUE"""),0)</f>
        <v>0</v>
      </c>
      <c r="S2093" s="85"/>
      <c r="T2093" s="85"/>
      <c r="U2093" s="82"/>
      <c r="V2093" s="82"/>
      <c r="W2093" s="83"/>
      <c r="X2093" s="83"/>
      <c r="Y2093" s="83"/>
    </row>
    <row r="2094" spans="1:25" ht="13.8">
      <c r="A2094" s="78" t="str">
        <f ca="1">IFERROR(__xludf.DUMMYFUNCTION("""COMPUTED_VALUE"""),"T")</f>
        <v>T</v>
      </c>
      <c r="B2094" s="79" t="str">
        <f ca="1">IFERROR(__xludf.DUMMYFUNCTION("""COMPUTED_VALUE"""),"Henry Sanford")</f>
        <v>Henry Sanford</v>
      </c>
      <c r="C2094" s="78">
        <f ca="1">IFERROR(__xludf.DUMMYFUNCTION("""COMPUTED_VALUE"""),11)</f>
        <v>11</v>
      </c>
      <c r="D2094" s="78" t="str">
        <f ca="1">IFERROR(__xludf.DUMMYFUNCTION("""COMPUTED_VALUE"""),"B")</f>
        <v>B</v>
      </c>
      <c r="E2094" s="80" t="str">
        <f ca="1">IFERROR(__xludf.DUMMYFUNCTION("""COMPUTED_VALUE"""),"J")</f>
        <v>J</v>
      </c>
      <c r="F2094" s="86" t="str">
        <f ca="1">IFERROR(__xludf.DUMMYFUNCTION("""COMPUTED_VALUE"""),"I")</f>
        <v>I</v>
      </c>
      <c r="G2094" s="86">
        <f ca="1">IFERROR(__xludf.DUMMYFUNCTION("""COMPUTED_VALUE"""),4)</f>
        <v>4</v>
      </c>
      <c r="H2094" s="86" t="str">
        <f ca="1">IFERROR(__xludf.DUMMYFUNCTION("""COMPUTED_VALUE"""),"T")</f>
        <v>T</v>
      </c>
      <c r="I2094" s="86">
        <f ca="1">IFERROR(__xludf.DUMMYFUNCTION("""COMPUTED_VALUE"""),5)</f>
        <v>5</v>
      </c>
      <c r="J2094" s="85">
        <f ca="1">IFERROR(__xludf.DUMMYFUNCTION("""COMPUTED_VALUE"""),0)</f>
        <v>0</v>
      </c>
      <c r="K2094" s="85">
        <f ca="1">IFERROR(__xludf.DUMMYFUNCTION("""COMPUTED_VALUE"""),0)</f>
        <v>0</v>
      </c>
      <c r="L2094" s="85">
        <f ca="1">IFERROR(__xludf.DUMMYFUNCTION("""COMPUTED_VALUE"""),0)</f>
        <v>0</v>
      </c>
      <c r="M2094" s="85"/>
      <c r="N2094" s="85">
        <f ca="1">IFERROR(__xludf.DUMMYFUNCTION("""COMPUTED_VALUE"""),0)</f>
        <v>0</v>
      </c>
      <c r="O2094" s="85"/>
      <c r="P2094" s="85">
        <f ca="1">IFERROR(__xludf.DUMMYFUNCTION("""COMPUTED_VALUE"""),0)</f>
        <v>0</v>
      </c>
      <c r="Q2094" s="85"/>
      <c r="R2094" s="85">
        <f ca="1">IFERROR(__xludf.DUMMYFUNCTION("""COMPUTED_VALUE"""),0)</f>
        <v>0</v>
      </c>
      <c r="S2094" s="85"/>
      <c r="T2094" s="85"/>
      <c r="U2094" s="82"/>
      <c r="V2094" s="82"/>
      <c r="W2094" s="83"/>
      <c r="X2094" s="83"/>
      <c r="Y2094" s="83"/>
    </row>
    <row r="2095" spans="1:25" ht="13.8">
      <c r="A2095" s="78" t="str">
        <f ca="1">IFERROR(__xludf.DUMMYFUNCTION("""COMPUTED_VALUE"""),"T")</f>
        <v>T</v>
      </c>
      <c r="B2095" s="79" t="str">
        <f ca="1">IFERROR(__xludf.DUMMYFUNCTION("""COMPUTED_VALUE"""),"Harrison Schneider")</f>
        <v>Harrison Schneider</v>
      </c>
      <c r="C2095" s="78">
        <f ca="1">IFERROR(__xludf.DUMMYFUNCTION("""COMPUTED_VALUE"""),11)</f>
        <v>11</v>
      </c>
      <c r="D2095" s="78" t="str">
        <f ca="1">IFERROR(__xludf.DUMMYFUNCTION("""COMPUTED_VALUE"""),"B")</f>
        <v>B</v>
      </c>
      <c r="E2095" s="80" t="str">
        <f ca="1">IFERROR(__xludf.DUMMYFUNCTION("""COMPUTED_VALUE"""),"J")</f>
        <v>J</v>
      </c>
      <c r="F2095" s="86" t="str">
        <f ca="1">IFERROR(__xludf.DUMMYFUNCTION("""COMPUTED_VALUE"""),"I")</f>
        <v>I</v>
      </c>
      <c r="G2095" s="86">
        <f ca="1">IFERROR(__xludf.DUMMYFUNCTION("""COMPUTED_VALUE"""),4)</f>
        <v>4</v>
      </c>
      <c r="H2095" s="86" t="str">
        <f ca="1">IFERROR(__xludf.DUMMYFUNCTION("""COMPUTED_VALUE"""),"T")</f>
        <v>T</v>
      </c>
      <c r="I2095" s="86">
        <f ca="1">IFERROR(__xludf.DUMMYFUNCTION("""COMPUTED_VALUE"""),5)</f>
        <v>5</v>
      </c>
      <c r="J2095" s="85">
        <f ca="1">IFERROR(__xludf.DUMMYFUNCTION("""COMPUTED_VALUE"""),0)</f>
        <v>0</v>
      </c>
      <c r="K2095" s="85">
        <f ca="1">IFERROR(__xludf.DUMMYFUNCTION("""COMPUTED_VALUE"""),0)</f>
        <v>0</v>
      </c>
      <c r="L2095" s="85">
        <f ca="1">IFERROR(__xludf.DUMMYFUNCTION("""COMPUTED_VALUE"""),0)</f>
        <v>0</v>
      </c>
      <c r="M2095" s="85"/>
      <c r="N2095" s="85">
        <f ca="1">IFERROR(__xludf.DUMMYFUNCTION("""COMPUTED_VALUE"""),0)</f>
        <v>0</v>
      </c>
      <c r="O2095" s="85"/>
      <c r="P2095" s="85">
        <f ca="1">IFERROR(__xludf.DUMMYFUNCTION("""COMPUTED_VALUE"""),0)</f>
        <v>0</v>
      </c>
      <c r="Q2095" s="85"/>
      <c r="R2095" s="85">
        <f ca="1">IFERROR(__xludf.DUMMYFUNCTION("""COMPUTED_VALUE"""),0)</f>
        <v>0</v>
      </c>
      <c r="S2095" s="85"/>
      <c r="T2095" s="85"/>
      <c r="U2095" s="82"/>
      <c r="V2095" s="82"/>
      <c r="W2095" s="83"/>
      <c r="X2095" s="83"/>
      <c r="Y2095" s="83"/>
    </row>
    <row r="2096" spans="1:25" ht="13.8">
      <c r="A2096" s="78" t="str">
        <f ca="1">IFERROR(__xludf.DUMMYFUNCTION("""COMPUTED_VALUE"""),"T")</f>
        <v>T</v>
      </c>
      <c r="B2096" s="79" t="str">
        <f ca="1">IFERROR(__xludf.DUMMYFUNCTION("""COMPUTED_VALUE"""),"Jackson Thomas")</f>
        <v>Jackson Thomas</v>
      </c>
      <c r="C2096" s="78">
        <f ca="1">IFERROR(__xludf.DUMMYFUNCTION("""COMPUTED_VALUE"""),11)</f>
        <v>11</v>
      </c>
      <c r="D2096" s="78" t="str">
        <f ca="1">IFERROR(__xludf.DUMMYFUNCTION("""COMPUTED_VALUE"""),"B")</f>
        <v>B</v>
      </c>
      <c r="E2096" s="80" t="str">
        <f ca="1">IFERROR(__xludf.DUMMYFUNCTION("""COMPUTED_VALUE"""),"J")</f>
        <v>J</v>
      </c>
      <c r="F2096" s="86" t="str">
        <f ca="1">IFERROR(__xludf.DUMMYFUNCTION("""COMPUTED_VALUE"""),"I")</f>
        <v>I</v>
      </c>
      <c r="G2096" s="86">
        <f ca="1">IFERROR(__xludf.DUMMYFUNCTION("""COMPUTED_VALUE"""),4)</f>
        <v>4</v>
      </c>
      <c r="H2096" s="86" t="str">
        <f ca="1">IFERROR(__xludf.DUMMYFUNCTION("""COMPUTED_VALUE"""),"T")</f>
        <v>T</v>
      </c>
      <c r="I2096" s="86">
        <f ca="1">IFERROR(__xludf.DUMMYFUNCTION("""COMPUTED_VALUE"""),5)</f>
        <v>5</v>
      </c>
      <c r="J2096" s="85">
        <f ca="1">IFERROR(__xludf.DUMMYFUNCTION("""COMPUTED_VALUE"""),5)</f>
        <v>5</v>
      </c>
      <c r="K2096" s="85">
        <f ca="1">IFERROR(__xludf.DUMMYFUNCTION("""COMPUTED_VALUE"""),130.7)</f>
        <v>130.69999999999999</v>
      </c>
      <c r="L2096" s="85">
        <f ca="1">IFERROR(__xludf.DUMMYFUNCTION("""COMPUTED_VALUE"""),114.95)</f>
        <v>114.95</v>
      </c>
      <c r="M2096" s="85"/>
      <c r="N2096" s="85">
        <f ca="1">IFERROR(__xludf.DUMMYFUNCTION("""COMPUTED_VALUE"""),115.4)</f>
        <v>115.4</v>
      </c>
      <c r="O2096" s="85"/>
      <c r="P2096" s="85">
        <f ca="1">IFERROR(__xludf.DUMMYFUNCTION("""COMPUTED_VALUE"""),127.15)</f>
        <v>127.15</v>
      </c>
      <c r="Q2096" s="85"/>
      <c r="R2096" s="85">
        <f ca="1">IFERROR(__xludf.DUMMYFUNCTION("""COMPUTED_VALUE"""),130.7)</f>
        <v>130.69999999999999</v>
      </c>
      <c r="S2096" s="85"/>
      <c r="T2096" s="85"/>
      <c r="U2096" s="82"/>
      <c r="V2096" s="82"/>
      <c r="W2096" s="83"/>
      <c r="X2096" s="83"/>
      <c r="Y2096" s="83"/>
    </row>
    <row r="2097" spans="1:25" ht="13.8">
      <c r="A2097" s="78" t="str">
        <f ca="1">IFERROR(__xludf.DUMMYFUNCTION("""COMPUTED_VALUE"""),"T")</f>
        <v>T</v>
      </c>
      <c r="B2097" s="79" t="str">
        <f ca="1">IFERROR(__xludf.DUMMYFUNCTION("""COMPUTED_VALUE"""),"Lincoln Tillemann")</f>
        <v>Lincoln Tillemann</v>
      </c>
      <c r="C2097" s="78">
        <f ca="1">IFERROR(__xludf.DUMMYFUNCTION("""COMPUTED_VALUE"""),11)</f>
        <v>11</v>
      </c>
      <c r="D2097" s="78" t="str">
        <f ca="1">IFERROR(__xludf.DUMMYFUNCTION("""COMPUTED_VALUE"""),"B")</f>
        <v>B</v>
      </c>
      <c r="E2097" s="80" t="str">
        <f ca="1">IFERROR(__xludf.DUMMYFUNCTION("""COMPUTED_VALUE"""),"J")</f>
        <v>J</v>
      </c>
      <c r="F2097" s="86" t="str">
        <f ca="1">IFERROR(__xludf.DUMMYFUNCTION("""COMPUTED_VALUE"""),"I")</f>
        <v>I</v>
      </c>
      <c r="G2097" s="86">
        <f ca="1">IFERROR(__xludf.DUMMYFUNCTION("""COMPUTED_VALUE"""),4)</f>
        <v>4</v>
      </c>
      <c r="H2097" s="86" t="str">
        <f ca="1">IFERROR(__xludf.DUMMYFUNCTION("""COMPUTED_VALUE"""),"T")</f>
        <v>T</v>
      </c>
      <c r="I2097" s="86">
        <f ca="1">IFERROR(__xludf.DUMMYFUNCTION("""COMPUTED_VALUE"""),5)</f>
        <v>5</v>
      </c>
      <c r="J2097" s="85">
        <f ca="1">IFERROR(__xludf.DUMMYFUNCTION("""COMPUTED_VALUE"""),0)</f>
        <v>0</v>
      </c>
      <c r="K2097" s="85">
        <f ca="1">IFERROR(__xludf.DUMMYFUNCTION("""COMPUTED_VALUE"""),0)</f>
        <v>0</v>
      </c>
      <c r="L2097" s="85">
        <f ca="1">IFERROR(__xludf.DUMMYFUNCTION("""COMPUTED_VALUE"""),0)</f>
        <v>0</v>
      </c>
      <c r="M2097" s="85"/>
      <c r="N2097" s="85">
        <f ca="1">IFERROR(__xludf.DUMMYFUNCTION("""COMPUTED_VALUE"""),0)</f>
        <v>0</v>
      </c>
      <c r="O2097" s="85"/>
      <c r="P2097" s="85">
        <f ca="1">IFERROR(__xludf.DUMMYFUNCTION("""COMPUTED_VALUE"""),0)</f>
        <v>0</v>
      </c>
      <c r="Q2097" s="85"/>
      <c r="R2097" s="85">
        <f ca="1">IFERROR(__xludf.DUMMYFUNCTION("""COMPUTED_VALUE"""),0)</f>
        <v>0</v>
      </c>
      <c r="S2097" s="85"/>
      <c r="T2097" s="85"/>
      <c r="U2097" s="82"/>
      <c r="V2097" s="82"/>
      <c r="W2097" s="83"/>
      <c r="X2097" s="83"/>
      <c r="Y2097" s="83"/>
    </row>
    <row r="2098" spans="1:25" ht="13.8">
      <c r="A2098" s="78" t="str">
        <f ca="1">IFERROR(__xludf.DUMMYFUNCTION("""COMPUTED_VALUE"""),"T")</f>
        <v>T</v>
      </c>
      <c r="B2098" s="79" t="str">
        <f ca="1">IFERROR(__xludf.DUMMYFUNCTION("""COMPUTED_VALUE"""),"Jakob Workman")</f>
        <v>Jakob Workman</v>
      </c>
      <c r="C2098" s="78">
        <f ca="1">IFERROR(__xludf.DUMMYFUNCTION("""COMPUTED_VALUE"""),11)</f>
        <v>11</v>
      </c>
      <c r="D2098" s="78" t="str">
        <f ca="1">IFERROR(__xludf.DUMMYFUNCTION("""COMPUTED_VALUE"""),"B")</f>
        <v>B</v>
      </c>
      <c r="E2098" s="80" t="str">
        <f ca="1">IFERROR(__xludf.DUMMYFUNCTION("""COMPUTED_VALUE"""),"J")</f>
        <v>J</v>
      </c>
      <c r="F2098" s="86" t="str">
        <f ca="1">IFERROR(__xludf.DUMMYFUNCTION("""COMPUTED_VALUE"""),"I")</f>
        <v>I</v>
      </c>
      <c r="G2098" s="86">
        <f ca="1">IFERROR(__xludf.DUMMYFUNCTION("""COMPUTED_VALUE"""),4)</f>
        <v>4</v>
      </c>
      <c r="H2098" s="86" t="str">
        <f ca="1">IFERROR(__xludf.DUMMYFUNCTION("""COMPUTED_VALUE"""),"T")</f>
        <v>T</v>
      </c>
      <c r="I2098" s="86">
        <f ca="1">IFERROR(__xludf.DUMMYFUNCTION("""COMPUTED_VALUE"""),5)</f>
        <v>5</v>
      </c>
      <c r="J2098" s="85">
        <f ca="1">IFERROR(__xludf.DUMMYFUNCTION("""COMPUTED_VALUE"""),4)</f>
        <v>4</v>
      </c>
      <c r="K2098" s="85">
        <f ca="1">IFERROR(__xludf.DUMMYFUNCTION("""COMPUTED_VALUE"""),75.95)</f>
        <v>75.95</v>
      </c>
      <c r="L2098" s="85">
        <f ca="1">IFERROR(__xludf.DUMMYFUNCTION("""COMPUTED_VALUE"""),0)</f>
        <v>0</v>
      </c>
      <c r="M2098" s="85"/>
      <c r="N2098" s="85">
        <f ca="1">IFERROR(__xludf.DUMMYFUNCTION("""COMPUTED_VALUE"""),68.95)</f>
        <v>68.95</v>
      </c>
      <c r="O2098" s="85"/>
      <c r="P2098" s="85">
        <f ca="1">IFERROR(__xludf.DUMMYFUNCTION("""COMPUTED_VALUE"""),69.6)</f>
        <v>69.599999999999994</v>
      </c>
      <c r="Q2098" s="85"/>
      <c r="R2098" s="85">
        <f ca="1">IFERROR(__xludf.DUMMYFUNCTION("""COMPUTED_VALUE"""),75.95)</f>
        <v>75.95</v>
      </c>
      <c r="S2098" s="85"/>
      <c r="T2098" s="85"/>
      <c r="U2098" s="82"/>
      <c r="V2098" s="82"/>
      <c r="W2098" s="83"/>
      <c r="X2098" s="83"/>
      <c r="Y2098" s="83"/>
    </row>
    <row r="2099" spans="1:25" ht="13.8">
      <c r="A2099" s="78" t="str">
        <f ca="1">IFERROR(__xludf.DUMMYFUNCTION("""COMPUTED_VALUE"""),"T")</f>
        <v>T</v>
      </c>
      <c r="B2099" s="79" t="str">
        <f ca="1">IFERROR(__xludf.DUMMYFUNCTION("""COMPUTED_VALUE"""),"Grace D'Alessandris")</f>
        <v>Grace D'Alessandris</v>
      </c>
      <c r="C2099" s="78">
        <f ca="1">IFERROR(__xludf.DUMMYFUNCTION("""COMPUTED_VALUE"""),13)</f>
        <v>13</v>
      </c>
      <c r="D2099" s="78" t="str">
        <f ca="1">IFERROR(__xludf.DUMMYFUNCTION("""COMPUTED_VALUE"""),"G")</f>
        <v>G</v>
      </c>
      <c r="E2099" s="80" t="str">
        <f ca="1">IFERROR(__xludf.DUMMYFUNCTION("""COMPUTED_VALUE"""),"I")</f>
        <v>I</v>
      </c>
      <c r="F2099" s="86" t="str">
        <f ca="1">IFERROR(__xludf.DUMMYFUNCTION("""COMPUTED_VALUE"""),"S")</f>
        <v>S</v>
      </c>
      <c r="G2099" s="86">
        <f ca="1">IFERROR(__xludf.DUMMYFUNCTION("""COMPUTED_VALUE"""),4)</f>
        <v>4</v>
      </c>
      <c r="H2099" s="86" t="str">
        <f ca="1">IFERROR(__xludf.DUMMYFUNCTION("""COMPUTED_VALUE"""),"T")</f>
        <v>T</v>
      </c>
      <c r="I2099" s="86">
        <f ca="1">IFERROR(__xludf.DUMMYFUNCTION("""COMPUTED_VALUE"""),6)</f>
        <v>6</v>
      </c>
      <c r="J2099" s="85">
        <f ca="1">IFERROR(__xludf.DUMMYFUNCTION("""COMPUTED_VALUE"""),0)</f>
        <v>0</v>
      </c>
      <c r="K2099" s="85">
        <f ca="1">IFERROR(__xludf.DUMMYFUNCTION("""COMPUTED_VALUE"""),0)</f>
        <v>0</v>
      </c>
      <c r="L2099" s="85">
        <f ca="1">IFERROR(__xludf.DUMMYFUNCTION("""COMPUTED_VALUE"""),0)</f>
        <v>0</v>
      </c>
      <c r="M2099" s="85"/>
      <c r="N2099" s="85">
        <f ca="1">IFERROR(__xludf.DUMMYFUNCTION("""COMPUTED_VALUE"""),0)</f>
        <v>0</v>
      </c>
      <c r="O2099" s="85"/>
      <c r="P2099" s="85">
        <f ca="1">IFERROR(__xludf.DUMMYFUNCTION("""COMPUTED_VALUE"""),0)</f>
        <v>0</v>
      </c>
      <c r="Q2099" s="85"/>
      <c r="R2099" s="85">
        <f ca="1">IFERROR(__xludf.DUMMYFUNCTION("""COMPUTED_VALUE"""),0)</f>
        <v>0</v>
      </c>
      <c r="S2099" s="85"/>
      <c r="T2099" s="85"/>
      <c r="U2099" s="82"/>
      <c r="V2099" s="82"/>
      <c r="W2099" s="83"/>
      <c r="X2099" s="83"/>
      <c r="Y2099" s="83"/>
    </row>
    <row r="2100" spans="1:25" ht="13.8">
      <c r="A2100" s="78" t="str">
        <f ca="1">IFERROR(__xludf.DUMMYFUNCTION("""COMPUTED_VALUE"""),"T")</f>
        <v>T</v>
      </c>
      <c r="B2100" s="79" t="str">
        <f ca="1">IFERROR(__xludf.DUMMYFUNCTION("""COMPUTED_VALUE"""),"Libby Hall")</f>
        <v>Libby Hall</v>
      </c>
      <c r="C2100" s="78">
        <f ca="1">IFERROR(__xludf.DUMMYFUNCTION("""COMPUTED_VALUE"""),14)</f>
        <v>14</v>
      </c>
      <c r="D2100" s="78" t="str">
        <f ca="1">IFERROR(__xludf.DUMMYFUNCTION("""COMPUTED_VALUE"""),"G")</f>
        <v>G</v>
      </c>
      <c r="E2100" s="80" t="str">
        <f ca="1">IFERROR(__xludf.DUMMYFUNCTION("""COMPUTED_VALUE"""),"I")</f>
        <v>I</v>
      </c>
      <c r="F2100" s="86" t="str">
        <f ca="1">IFERROR(__xludf.DUMMYFUNCTION("""COMPUTED_VALUE"""),"S")</f>
        <v>S</v>
      </c>
      <c r="G2100" s="86">
        <f ca="1">IFERROR(__xludf.DUMMYFUNCTION("""COMPUTED_VALUE"""),4)</f>
        <v>4</v>
      </c>
      <c r="H2100" s="86" t="str">
        <f ca="1">IFERROR(__xludf.DUMMYFUNCTION("""COMPUTED_VALUE"""),"T")</f>
        <v>T</v>
      </c>
      <c r="I2100" s="86">
        <f ca="1">IFERROR(__xludf.DUMMYFUNCTION("""COMPUTED_VALUE"""),6)</f>
        <v>6</v>
      </c>
      <c r="J2100" s="85">
        <f ca="1">IFERROR(__xludf.DUMMYFUNCTION("""COMPUTED_VALUE"""),5)</f>
        <v>5</v>
      </c>
      <c r="K2100" s="85">
        <f ca="1">IFERROR(__xludf.DUMMYFUNCTION("""COMPUTED_VALUE"""),144.4)</f>
        <v>144.4</v>
      </c>
      <c r="L2100" s="85">
        <f ca="1">IFERROR(__xludf.DUMMYFUNCTION("""COMPUTED_VALUE"""),-157.75)</f>
        <v>-157.75</v>
      </c>
      <c r="M2100" s="85"/>
      <c r="N2100" s="85">
        <f ca="1">IFERROR(__xludf.DUMMYFUNCTION("""COMPUTED_VALUE"""),135.7)</f>
        <v>135.69999999999999</v>
      </c>
      <c r="O2100" s="85"/>
      <c r="P2100" s="85">
        <f ca="1">IFERROR(__xludf.DUMMYFUNCTION("""COMPUTED_VALUE"""),144.4)</f>
        <v>144.4</v>
      </c>
      <c r="Q2100" s="85"/>
      <c r="R2100" s="85">
        <f ca="1">IFERROR(__xludf.DUMMYFUNCTION("""COMPUTED_VALUE"""),140)</f>
        <v>140</v>
      </c>
      <c r="S2100" s="85"/>
      <c r="T2100" s="85"/>
      <c r="U2100" s="82"/>
      <c r="V2100" s="82"/>
      <c r="W2100" s="83"/>
      <c r="X2100" s="83"/>
      <c r="Y2100" s="83"/>
    </row>
    <row r="2101" spans="1:25" ht="13.8">
      <c r="A2101" s="78" t="str">
        <f ca="1">IFERROR(__xludf.DUMMYFUNCTION("""COMPUTED_VALUE"""),"T")</f>
        <v>T</v>
      </c>
      <c r="B2101" s="79" t="str">
        <f ca="1">IFERROR(__xludf.DUMMYFUNCTION("""COMPUTED_VALUE"""),"Chloe Harrington")</f>
        <v>Chloe Harrington</v>
      </c>
      <c r="C2101" s="78">
        <f ca="1">IFERROR(__xludf.DUMMYFUNCTION("""COMPUTED_VALUE"""),13)</f>
        <v>13</v>
      </c>
      <c r="D2101" s="78" t="str">
        <f ca="1">IFERROR(__xludf.DUMMYFUNCTION("""COMPUTED_VALUE"""),"G")</f>
        <v>G</v>
      </c>
      <c r="E2101" s="80" t="str">
        <f ca="1">IFERROR(__xludf.DUMMYFUNCTION("""COMPUTED_VALUE"""),"I")</f>
        <v>I</v>
      </c>
      <c r="F2101" s="86" t="str">
        <f ca="1">IFERROR(__xludf.DUMMYFUNCTION("""COMPUTED_VALUE"""),"S")</f>
        <v>S</v>
      </c>
      <c r="G2101" s="86">
        <f ca="1">IFERROR(__xludf.DUMMYFUNCTION("""COMPUTED_VALUE"""),4)</f>
        <v>4</v>
      </c>
      <c r="H2101" s="86" t="str">
        <f ca="1">IFERROR(__xludf.DUMMYFUNCTION("""COMPUTED_VALUE"""),"T")</f>
        <v>T</v>
      </c>
      <c r="I2101" s="86">
        <f ca="1">IFERROR(__xludf.DUMMYFUNCTION("""COMPUTED_VALUE"""),6)</f>
        <v>6</v>
      </c>
      <c r="J2101" s="85">
        <f ca="1">IFERROR(__xludf.DUMMYFUNCTION("""COMPUTED_VALUE"""),2)</f>
        <v>2</v>
      </c>
      <c r="K2101" s="85">
        <f ca="1">IFERROR(__xludf.DUMMYFUNCTION("""COMPUTED_VALUE"""),125.05)</f>
        <v>125.05</v>
      </c>
      <c r="L2101" s="85">
        <f ca="1">IFERROR(__xludf.DUMMYFUNCTION("""COMPUTED_VALUE"""),119)</f>
        <v>119</v>
      </c>
      <c r="M2101" s="85"/>
      <c r="N2101" s="85">
        <f ca="1">IFERROR(__xludf.DUMMYFUNCTION("""COMPUTED_VALUE"""),125.05)</f>
        <v>125.05</v>
      </c>
      <c r="O2101" s="85"/>
      <c r="P2101" s="85">
        <f ca="1">IFERROR(__xludf.DUMMYFUNCTION("""COMPUTED_VALUE"""),0)</f>
        <v>0</v>
      </c>
      <c r="Q2101" s="85"/>
      <c r="R2101" s="85">
        <f ca="1">IFERROR(__xludf.DUMMYFUNCTION("""COMPUTED_VALUE"""),0)</f>
        <v>0</v>
      </c>
      <c r="S2101" s="85"/>
      <c r="T2101" s="85"/>
      <c r="U2101" s="82"/>
      <c r="V2101" s="82"/>
      <c r="W2101" s="83"/>
      <c r="X2101" s="83"/>
      <c r="Y2101" s="83"/>
    </row>
    <row r="2102" spans="1:25" ht="13.8">
      <c r="A2102" s="78" t="str">
        <f ca="1">IFERROR(__xludf.DUMMYFUNCTION("""COMPUTED_VALUE"""),"T")</f>
        <v>T</v>
      </c>
      <c r="B2102" s="79" t="str">
        <f ca="1">IFERROR(__xludf.DUMMYFUNCTION("""COMPUTED_VALUE"""),"Callie Kimmett")</f>
        <v>Callie Kimmett</v>
      </c>
      <c r="C2102" s="78">
        <f ca="1">IFERROR(__xludf.DUMMYFUNCTION("""COMPUTED_VALUE"""),13)</f>
        <v>13</v>
      </c>
      <c r="D2102" s="78" t="str">
        <f ca="1">IFERROR(__xludf.DUMMYFUNCTION("""COMPUTED_VALUE"""),"G")</f>
        <v>G</v>
      </c>
      <c r="E2102" s="80" t="str">
        <f ca="1">IFERROR(__xludf.DUMMYFUNCTION("""COMPUTED_VALUE"""),"I")</f>
        <v>I</v>
      </c>
      <c r="F2102" s="86" t="str">
        <f ca="1">IFERROR(__xludf.DUMMYFUNCTION("""COMPUTED_VALUE"""),"S")</f>
        <v>S</v>
      </c>
      <c r="G2102" s="86">
        <f ca="1">IFERROR(__xludf.DUMMYFUNCTION("""COMPUTED_VALUE"""),4)</f>
        <v>4</v>
      </c>
      <c r="H2102" s="86" t="str">
        <f ca="1">IFERROR(__xludf.DUMMYFUNCTION("""COMPUTED_VALUE"""),"T")</f>
        <v>T</v>
      </c>
      <c r="I2102" s="86">
        <f ca="1">IFERROR(__xludf.DUMMYFUNCTION("""COMPUTED_VALUE"""),6)</f>
        <v>6</v>
      </c>
      <c r="J2102" s="85">
        <f ca="1">IFERROR(__xludf.DUMMYFUNCTION("""COMPUTED_VALUE"""),0)</f>
        <v>0</v>
      </c>
      <c r="K2102" s="85">
        <f ca="1">IFERROR(__xludf.DUMMYFUNCTION("""COMPUTED_VALUE"""),0)</f>
        <v>0</v>
      </c>
      <c r="L2102" s="85">
        <f ca="1">IFERROR(__xludf.DUMMYFUNCTION("""COMPUTED_VALUE"""),0)</f>
        <v>0</v>
      </c>
      <c r="M2102" s="85"/>
      <c r="N2102" s="85">
        <f ca="1">IFERROR(__xludf.DUMMYFUNCTION("""COMPUTED_VALUE"""),0)</f>
        <v>0</v>
      </c>
      <c r="O2102" s="85"/>
      <c r="P2102" s="85">
        <f ca="1">IFERROR(__xludf.DUMMYFUNCTION("""COMPUTED_VALUE"""),0)</f>
        <v>0</v>
      </c>
      <c r="Q2102" s="85"/>
      <c r="R2102" s="85">
        <f ca="1">IFERROR(__xludf.DUMMYFUNCTION("""COMPUTED_VALUE"""),0)</f>
        <v>0</v>
      </c>
      <c r="S2102" s="85"/>
      <c r="T2102" s="85"/>
      <c r="U2102" s="82"/>
      <c r="V2102" s="82"/>
      <c r="W2102" s="83"/>
      <c r="X2102" s="83"/>
      <c r="Y2102" s="83"/>
    </row>
    <row r="2103" spans="1:25" ht="13.8">
      <c r="A2103" s="78" t="str">
        <f ca="1">IFERROR(__xludf.DUMMYFUNCTION("""COMPUTED_VALUE"""),"T")</f>
        <v>T</v>
      </c>
      <c r="B2103" s="79" t="str">
        <f ca="1">IFERROR(__xludf.DUMMYFUNCTION("""COMPUTED_VALUE"""),"Maura Leonard")</f>
        <v>Maura Leonard</v>
      </c>
      <c r="C2103" s="78">
        <f ca="1">IFERROR(__xludf.DUMMYFUNCTION("""COMPUTED_VALUE"""),13)</f>
        <v>13</v>
      </c>
      <c r="D2103" s="78" t="str">
        <f ca="1">IFERROR(__xludf.DUMMYFUNCTION("""COMPUTED_VALUE"""),"G")</f>
        <v>G</v>
      </c>
      <c r="E2103" s="80" t="str">
        <f ca="1">IFERROR(__xludf.DUMMYFUNCTION("""COMPUTED_VALUE"""),"I")</f>
        <v>I</v>
      </c>
      <c r="F2103" s="86" t="str">
        <f ca="1">IFERROR(__xludf.DUMMYFUNCTION("""COMPUTED_VALUE"""),"S")</f>
        <v>S</v>
      </c>
      <c r="G2103" s="86">
        <f ca="1">IFERROR(__xludf.DUMMYFUNCTION("""COMPUTED_VALUE"""),4)</f>
        <v>4</v>
      </c>
      <c r="H2103" s="86" t="str">
        <f ca="1">IFERROR(__xludf.DUMMYFUNCTION("""COMPUTED_VALUE"""),"T")</f>
        <v>T</v>
      </c>
      <c r="I2103" s="86">
        <f ca="1">IFERROR(__xludf.DUMMYFUNCTION("""COMPUTED_VALUE"""),6)</f>
        <v>6</v>
      </c>
      <c r="J2103" s="85">
        <f ca="1">IFERROR(__xludf.DUMMYFUNCTION("""COMPUTED_VALUE"""),4)</f>
        <v>4</v>
      </c>
      <c r="K2103" s="85">
        <f ca="1">IFERROR(__xludf.DUMMYFUNCTION("""COMPUTED_VALUE"""),135.9)</f>
        <v>135.9</v>
      </c>
      <c r="L2103" s="85">
        <f ca="1">IFERROR(__xludf.DUMMYFUNCTION("""COMPUTED_VALUE"""),130.25)</f>
        <v>130.25</v>
      </c>
      <c r="M2103" s="85"/>
      <c r="N2103" s="85">
        <f ca="1">IFERROR(__xludf.DUMMYFUNCTION("""COMPUTED_VALUE"""),128.25)</f>
        <v>128.25</v>
      </c>
      <c r="O2103" s="85"/>
      <c r="P2103" s="85">
        <f ca="1">IFERROR(__xludf.DUMMYFUNCTION("""COMPUTED_VALUE"""),0)</f>
        <v>0</v>
      </c>
      <c r="Q2103" s="85"/>
      <c r="R2103" s="85">
        <f ca="1">IFERROR(__xludf.DUMMYFUNCTION("""COMPUTED_VALUE"""),135.9)</f>
        <v>135.9</v>
      </c>
      <c r="S2103" s="85"/>
      <c r="T2103" s="85"/>
      <c r="U2103" s="82"/>
      <c r="V2103" s="82"/>
      <c r="W2103" s="83"/>
      <c r="X2103" s="83"/>
      <c r="Y2103" s="83"/>
    </row>
    <row r="2104" spans="1:25" ht="13.8">
      <c r="A2104" s="78" t="str">
        <f ca="1">IFERROR(__xludf.DUMMYFUNCTION("""COMPUTED_VALUE"""),"T")</f>
        <v>T</v>
      </c>
      <c r="B2104" s="79" t="str">
        <f ca="1">IFERROR(__xludf.DUMMYFUNCTION("""COMPUTED_VALUE"""),"Sandi Schneider")</f>
        <v>Sandi Schneider</v>
      </c>
      <c r="C2104" s="78">
        <f ca="1">IFERROR(__xludf.DUMMYFUNCTION("""COMPUTED_VALUE"""),13)</f>
        <v>13</v>
      </c>
      <c r="D2104" s="78" t="str">
        <f ca="1">IFERROR(__xludf.DUMMYFUNCTION("""COMPUTED_VALUE"""),"G")</f>
        <v>G</v>
      </c>
      <c r="E2104" s="80" t="str">
        <f ca="1">IFERROR(__xludf.DUMMYFUNCTION("""COMPUTED_VALUE"""),"I")</f>
        <v>I</v>
      </c>
      <c r="F2104" s="86" t="str">
        <f ca="1">IFERROR(__xludf.DUMMYFUNCTION("""COMPUTED_VALUE"""),"S")</f>
        <v>S</v>
      </c>
      <c r="G2104" s="86">
        <f ca="1">IFERROR(__xludf.DUMMYFUNCTION("""COMPUTED_VALUE"""),4)</f>
        <v>4</v>
      </c>
      <c r="H2104" s="86" t="str">
        <f ca="1">IFERROR(__xludf.DUMMYFUNCTION("""COMPUTED_VALUE"""),"T")</f>
        <v>T</v>
      </c>
      <c r="I2104" s="86">
        <f ca="1">IFERROR(__xludf.DUMMYFUNCTION("""COMPUTED_VALUE"""),6)</f>
        <v>6</v>
      </c>
      <c r="J2104" s="85">
        <f ca="1">IFERROR(__xludf.DUMMYFUNCTION("""COMPUTED_VALUE"""),0)</f>
        <v>0</v>
      </c>
      <c r="K2104" s="85">
        <f ca="1">IFERROR(__xludf.DUMMYFUNCTION("""COMPUTED_VALUE"""),0)</f>
        <v>0</v>
      </c>
      <c r="L2104" s="85">
        <f ca="1">IFERROR(__xludf.DUMMYFUNCTION("""COMPUTED_VALUE"""),0)</f>
        <v>0</v>
      </c>
      <c r="M2104" s="85"/>
      <c r="N2104" s="85">
        <f ca="1">IFERROR(__xludf.DUMMYFUNCTION("""COMPUTED_VALUE"""),0)</f>
        <v>0</v>
      </c>
      <c r="O2104" s="85"/>
      <c r="P2104" s="85">
        <f ca="1">IFERROR(__xludf.DUMMYFUNCTION("""COMPUTED_VALUE"""),0)</f>
        <v>0</v>
      </c>
      <c r="Q2104" s="85"/>
      <c r="R2104" s="85">
        <f ca="1">IFERROR(__xludf.DUMMYFUNCTION("""COMPUTED_VALUE"""),0)</f>
        <v>0</v>
      </c>
      <c r="S2104" s="85"/>
      <c r="T2104" s="85"/>
      <c r="U2104" s="82"/>
      <c r="V2104" s="82"/>
      <c r="W2104" s="83"/>
      <c r="X2104" s="83"/>
      <c r="Y2104" s="83"/>
    </row>
    <row r="2105" spans="1:25" ht="13.8">
      <c r="A2105" s="78" t="str">
        <f ca="1">IFERROR(__xludf.DUMMYFUNCTION("""COMPUTED_VALUE"""),"T")</f>
        <v>T</v>
      </c>
      <c r="B2105" s="79" t="str">
        <f ca="1">IFERROR(__xludf.DUMMYFUNCTION("""COMPUTED_VALUE"""),"Mateo Carranza")</f>
        <v>Mateo Carranza</v>
      </c>
      <c r="C2105" s="78">
        <f ca="1">IFERROR(__xludf.DUMMYFUNCTION("""COMPUTED_VALUE"""),13)</f>
        <v>13</v>
      </c>
      <c r="D2105" s="78" t="str">
        <f ca="1">IFERROR(__xludf.DUMMYFUNCTION("""COMPUTED_VALUE"""),"B")</f>
        <v>B</v>
      </c>
      <c r="E2105" s="80" t="str">
        <f ca="1">IFERROR(__xludf.DUMMYFUNCTION("""COMPUTED_VALUE"""),"I")</f>
        <v>I</v>
      </c>
      <c r="F2105" s="86" t="str">
        <f ca="1">IFERROR(__xludf.DUMMYFUNCTION("""COMPUTED_VALUE"""),"S")</f>
        <v>S</v>
      </c>
      <c r="G2105" s="86">
        <f ca="1">IFERROR(__xludf.DUMMYFUNCTION("""COMPUTED_VALUE"""),4)</f>
        <v>4</v>
      </c>
      <c r="H2105" s="86" t="str">
        <f ca="1">IFERROR(__xludf.DUMMYFUNCTION("""COMPUTED_VALUE"""),"T")</f>
        <v>T</v>
      </c>
      <c r="I2105" s="86">
        <f ca="1">IFERROR(__xludf.DUMMYFUNCTION("""COMPUTED_VALUE"""),7)</f>
        <v>7</v>
      </c>
      <c r="J2105" s="85">
        <f ca="1">IFERROR(__xludf.DUMMYFUNCTION("""COMPUTED_VALUE"""),0)</f>
        <v>0</v>
      </c>
      <c r="K2105" s="85">
        <f ca="1">IFERROR(__xludf.DUMMYFUNCTION("""COMPUTED_VALUE"""),0)</f>
        <v>0</v>
      </c>
      <c r="L2105" s="85">
        <f ca="1">IFERROR(__xludf.DUMMYFUNCTION("""COMPUTED_VALUE"""),0)</f>
        <v>0</v>
      </c>
      <c r="M2105" s="85"/>
      <c r="N2105" s="85">
        <f ca="1">IFERROR(__xludf.DUMMYFUNCTION("""COMPUTED_VALUE"""),0)</f>
        <v>0</v>
      </c>
      <c r="O2105" s="85"/>
      <c r="P2105" s="85">
        <f ca="1">IFERROR(__xludf.DUMMYFUNCTION("""COMPUTED_VALUE"""),0)</f>
        <v>0</v>
      </c>
      <c r="Q2105" s="85"/>
      <c r="R2105" s="85">
        <f ca="1">IFERROR(__xludf.DUMMYFUNCTION("""COMPUTED_VALUE"""),0)</f>
        <v>0</v>
      </c>
      <c r="S2105" s="85"/>
      <c r="T2105" s="85"/>
      <c r="U2105" s="82"/>
      <c r="V2105" s="82"/>
      <c r="W2105" s="83"/>
      <c r="X2105" s="83"/>
      <c r="Y2105" s="83"/>
    </row>
    <row r="2106" spans="1:25" ht="13.8">
      <c r="A2106" s="78" t="str">
        <f ca="1">IFERROR(__xludf.DUMMYFUNCTION("""COMPUTED_VALUE"""),"T")</f>
        <v>T</v>
      </c>
      <c r="B2106" s="79" t="str">
        <f ca="1">IFERROR(__xludf.DUMMYFUNCTION("""COMPUTED_VALUE"""),"Ryan Clopper")</f>
        <v>Ryan Clopper</v>
      </c>
      <c r="C2106" s="78">
        <f ca="1">IFERROR(__xludf.DUMMYFUNCTION("""COMPUTED_VALUE"""),13)</f>
        <v>13</v>
      </c>
      <c r="D2106" s="78" t="str">
        <f ca="1">IFERROR(__xludf.DUMMYFUNCTION("""COMPUTED_VALUE"""),"B")</f>
        <v>B</v>
      </c>
      <c r="E2106" s="80" t="str">
        <f ca="1">IFERROR(__xludf.DUMMYFUNCTION("""COMPUTED_VALUE"""),"I")</f>
        <v>I</v>
      </c>
      <c r="F2106" s="86" t="str">
        <f ca="1">IFERROR(__xludf.DUMMYFUNCTION("""COMPUTED_VALUE"""),"S")</f>
        <v>S</v>
      </c>
      <c r="G2106" s="86">
        <f ca="1">IFERROR(__xludf.DUMMYFUNCTION("""COMPUTED_VALUE"""),4)</f>
        <v>4</v>
      </c>
      <c r="H2106" s="86" t="str">
        <f ca="1">IFERROR(__xludf.DUMMYFUNCTION("""COMPUTED_VALUE"""),"T")</f>
        <v>T</v>
      </c>
      <c r="I2106" s="86">
        <f ca="1">IFERROR(__xludf.DUMMYFUNCTION("""COMPUTED_VALUE"""),7)</f>
        <v>7</v>
      </c>
      <c r="J2106" s="85">
        <f ca="1">IFERROR(__xludf.DUMMYFUNCTION("""COMPUTED_VALUE"""),0)</f>
        <v>0</v>
      </c>
      <c r="K2106" s="85">
        <f ca="1">IFERROR(__xludf.DUMMYFUNCTION("""COMPUTED_VALUE"""),0)</f>
        <v>0</v>
      </c>
      <c r="L2106" s="85">
        <f ca="1">IFERROR(__xludf.DUMMYFUNCTION("""COMPUTED_VALUE"""),0)</f>
        <v>0</v>
      </c>
      <c r="M2106" s="85"/>
      <c r="N2106" s="85">
        <f ca="1">IFERROR(__xludf.DUMMYFUNCTION("""COMPUTED_VALUE"""),0)</f>
        <v>0</v>
      </c>
      <c r="O2106" s="85"/>
      <c r="P2106" s="85">
        <f ca="1">IFERROR(__xludf.DUMMYFUNCTION("""COMPUTED_VALUE"""),0)</f>
        <v>0</v>
      </c>
      <c r="Q2106" s="85"/>
      <c r="R2106" s="85">
        <f ca="1">IFERROR(__xludf.DUMMYFUNCTION("""COMPUTED_VALUE"""),0)</f>
        <v>0</v>
      </c>
      <c r="S2106" s="85"/>
      <c r="T2106" s="85"/>
      <c r="U2106" s="82"/>
      <c r="V2106" s="82"/>
      <c r="W2106" s="83"/>
      <c r="X2106" s="83"/>
      <c r="Y2106" s="83"/>
    </row>
    <row r="2107" spans="1:25" ht="13.8">
      <c r="A2107" s="78" t="str">
        <f ca="1">IFERROR(__xludf.DUMMYFUNCTION("""COMPUTED_VALUE"""),"T")</f>
        <v>T</v>
      </c>
      <c r="B2107" s="79" t="str">
        <f ca="1">IFERROR(__xludf.DUMMYFUNCTION("""COMPUTED_VALUE"""),"Austin Conradt")</f>
        <v>Austin Conradt</v>
      </c>
      <c r="C2107" s="78">
        <f ca="1">IFERROR(__xludf.DUMMYFUNCTION("""COMPUTED_VALUE"""),13)</f>
        <v>13</v>
      </c>
      <c r="D2107" s="78" t="str">
        <f ca="1">IFERROR(__xludf.DUMMYFUNCTION("""COMPUTED_VALUE"""),"B")</f>
        <v>B</v>
      </c>
      <c r="E2107" s="80" t="str">
        <f ca="1">IFERROR(__xludf.DUMMYFUNCTION("""COMPUTED_VALUE"""),"I")</f>
        <v>I</v>
      </c>
      <c r="F2107" s="86" t="str">
        <f ca="1">IFERROR(__xludf.DUMMYFUNCTION("""COMPUTED_VALUE"""),"S")</f>
        <v>S</v>
      </c>
      <c r="G2107" s="86">
        <f ca="1">IFERROR(__xludf.DUMMYFUNCTION("""COMPUTED_VALUE"""),4)</f>
        <v>4</v>
      </c>
      <c r="H2107" s="86" t="str">
        <f ca="1">IFERROR(__xludf.DUMMYFUNCTION("""COMPUTED_VALUE"""),"T")</f>
        <v>T</v>
      </c>
      <c r="I2107" s="86">
        <f ca="1">IFERROR(__xludf.DUMMYFUNCTION("""COMPUTED_VALUE"""),7)</f>
        <v>7</v>
      </c>
      <c r="J2107" s="85">
        <f ca="1">IFERROR(__xludf.DUMMYFUNCTION("""COMPUTED_VALUE"""),0)</f>
        <v>0</v>
      </c>
      <c r="K2107" s="85">
        <f ca="1">IFERROR(__xludf.DUMMYFUNCTION("""COMPUTED_VALUE"""),0)</f>
        <v>0</v>
      </c>
      <c r="L2107" s="85">
        <f ca="1">IFERROR(__xludf.DUMMYFUNCTION("""COMPUTED_VALUE"""),0)</f>
        <v>0</v>
      </c>
      <c r="M2107" s="85"/>
      <c r="N2107" s="85">
        <f ca="1">IFERROR(__xludf.DUMMYFUNCTION("""COMPUTED_VALUE"""),0)</f>
        <v>0</v>
      </c>
      <c r="O2107" s="85"/>
      <c r="P2107" s="85">
        <f ca="1">IFERROR(__xludf.DUMMYFUNCTION("""COMPUTED_VALUE"""),0)</f>
        <v>0</v>
      </c>
      <c r="Q2107" s="85"/>
      <c r="R2107" s="85">
        <f ca="1">IFERROR(__xludf.DUMMYFUNCTION("""COMPUTED_VALUE"""),0)</f>
        <v>0</v>
      </c>
      <c r="S2107" s="85"/>
      <c r="T2107" s="85"/>
      <c r="U2107" s="82"/>
      <c r="V2107" s="82"/>
      <c r="W2107" s="83"/>
      <c r="X2107" s="83"/>
      <c r="Y2107" s="83"/>
    </row>
    <row r="2108" spans="1:25" ht="13.8">
      <c r="A2108" s="78" t="str">
        <f ca="1">IFERROR(__xludf.DUMMYFUNCTION("""COMPUTED_VALUE"""),"T")</f>
        <v>T</v>
      </c>
      <c r="B2108" s="79" t="str">
        <f ca="1">IFERROR(__xludf.DUMMYFUNCTION("""COMPUTED_VALUE"""),"Jaiden Saran")</f>
        <v>Jaiden Saran</v>
      </c>
      <c r="C2108" s="78">
        <f ca="1">IFERROR(__xludf.DUMMYFUNCTION("""COMPUTED_VALUE"""),13)</f>
        <v>13</v>
      </c>
      <c r="D2108" s="78" t="str">
        <f ca="1">IFERROR(__xludf.DUMMYFUNCTION("""COMPUTED_VALUE"""),"B")</f>
        <v>B</v>
      </c>
      <c r="E2108" s="80" t="str">
        <f ca="1">IFERROR(__xludf.DUMMYFUNCTION("""COMPUTED_VALUE"""),"I")</f>
        <v>I</v>
      </c>
      <c r="F2108" s="86" t="str">
        <f ca="1">IFERROR(__xludf.DUMMYFUNCTION("""COMPUTED_VALUE"""),"S")</f>
        <v>S</v>
      </c>
      <c r="G2108" s="86">
        <f ca="1">IFERROR(__xludf.DUMMYFUNCTION("""COMPUTED_VALUE"""),4)</f>
        <v>4</v>
      </c>
      <c r="H2108" s="86" t="str">
        <f ca="1">IFERROR(__xludf.DUMMYFUNCTION("""COMPUTED_VALUE"""),"T")</f>
        <v>T</v>
      </c>
      <c r="I2108" s="86">
        <f ca="1">IFERROR(__xludf.DUMMYFUNCTION("""COMPUTED_VALUE"""),7)</f>
        <v>7</v>
      </c>
      <c r="J2108" s="85">
        <f ca="1">IFERROR(__xludf.DUMMYFUNCTION("""COMPUTED_VALUE"""),5)</f>
        <v>5</v>
      </c>
      <c r="K2108" s="85">
        <f ca="1">IFERROR(__xludf.DUMMYFUNCTION("""COMPUTED_VALUE"""),127.75)</f>
        <v>127.75</v>
      </c>
      <c r="L2108" s="85">
        <f ca="1">IFERROR(__xludf.DUMMYFUNCTION("""COMPUTED_VALUE"""),112.35)</f>
        <v>112.35</v>
      </c>
      <c r="M2108" s="85"/>
      <c r="N2108" s="85">
        <f ca="1">IFERROR(__xludf.DUMMYFUNCTION("""COMPUTED_VALUE"""),109.35)</f>
        <v>109.35</v>
      </c>
      <c r="O2108" s="85"/>
      <c r="P2108" s="85">
        <f ca="1">IFERROR(__xludf.DUMMYFUNCTION("""COMPUTED_VALUE"""),127.75)</f>
        <v>127.75</v>
      </c>
      <c r="Q2108" s="85"/>
      <c r="R2108" s="85">
        <f ca="1">IFERROR(__xludf.DUMMYFUNCTION("""COMPUTED_VALUE"""),123.55)</f>
        <v>123.55</v>
      </c>
      <c r="S2108" s="85"/>
      <c r="T2108" s="85"/>
      <c r="U2108" s="82"/>
      <c r="V2108" s="82"/>
      <c r="W2108" s="83"/>
      <c r="X2108" s="83"/>
      <c r="Y2108" s="83"/>
    </row>
    <row r="2109" spans="1:25" ht="13.8">
      <c r="A2109" s="78" t="str">
        <f ca="1">IFERROR(__xludf.DUMMYFUNCTION("""COMPUTED_VALUE"""),"T")</f>
        <v>T</v>
      </c>
      <c r="B2109" s="79" t="str">
        <f ca="1">IFERROR(__xludf.DUMMYFUNCTION("""COMPUTED_VALUE"""),"Justin Upp")</f>
        <v>Justin Upp</v>
      </c>
      <c r="C2109" s="78">
        <f ca="1">IFERROR(__xludf.DUMMYFUNCTION("""COMPUTED_VALUE"""),13)</f>
        <v>13</v>
      </c>
      <c r="D2109" s="78" t="str">
        <f ca="1">IFERROR(__xludf.DUMMYFUNCTION("""COMPUTED_VALUE"""),"B")</f>
        <v>B</v>
      </c>
      <c r="E2109" s="80" t="str">
        <f ca="1">IFERROR(__xludf.DUMMYFUNCTION("""COMPUTED_VALUE"""),"I")</f>
        <v>I</v>
      </c>
      <c r="F2109" s="86" t="str">
        <f ca="1">IFERROR(__xludf.DUMMYFUNCTION("""COMPUTED_VALUE"""),"S")</f>
        <v>S</v>
      </c>
      <c r="G2109" s="86">
        <f ca="1">IFERROR(__xludf.DUMMYFUNCTION("""COMPUTED_VALUE"""),4)</f>
        <v>4</v>
      </c>
      <c r="H2109" s="86" t="str">
        <f ca="1">IFERROR(__xludf.DUMMYFUNCTION("""COMPUTED_VALUE"""),"T")</f>
        <v>T</v>
      </c>
      <c r="I2109" s="86">
        <f ca="1">IFERROR(__xludf.DUMMYFUNCTION("""COMPUTED_VALUE"""),7)</f>
        <v>7</v>
      </c>
      <c r="J2109" s="85">
        <f ca="1">IFERROR(__xludf.DUMMYFUNCTION("""COMPUTED_VALUE"""),5)</f>
        <v>5</v>
      </c>
      <c r="K2109" s="85">
        <f ca="1">IFERROR(__xludf.DUMMYFUNCTION("""COMPUTED_VALUE"""),143.85)</f>
        <v>143.85</v>
      </c>
      <c r="L2109" s="85">
        <f ca="1">IFERROR(__xludf.DUMMYFUNCTION("""COMPUTED_VALUE"""),112.75)</f>
        <v>112.75</v>
      </c>
      <c r="M2109" s="85"/>
      <c r="N2109" s="85">
        <f ca="1">IFERROR(__xludf.DUMMYFUNCTION("""COMPUTED_VALUE"""),123.3)</f>
        <v>123.3</v>
      </c>
      <c r="O2109" s="85"/>
      <c r="P2109" s="85">
        <f ca="1">IFERROR(__xludf.DUMMYFUNCTION("""COMPUTED_VALUE"""),143.85)</f>
        <v>143.85</v>
      </c>
      <c r="Q2109" s="85"/>
      <c r="R2109" s="85">
        <f ca="1">IFERROR(__xludf.DUMMYFUNCTION("""COMPUTED_VALUE"""),114.2)</f>
        <v>114.2</v>
      </c>
      <c r="S2109" s="85"/>
      <c r="T2109" s="85"/>
      <c r="U2109" s="82"/>
      <c r="V2109" s="82"/>
      <c r="W2109" s="83"/>
      <c r="X2109" s="83"/>
      <c r="Y2109" s="83"/>
    </row>
    <row r="2110" spans="1:25" ht="13.8">
      <c r="A2110" s="78" t="str">
        <f ca="1">IFERROR(__xludf.DUMMYFUNCTION("""COMPUTED_VALUE"""),"T")</f>
        <v>T</v>
      </c>
      <c r="B2110" s="79" t="str">
        <f ca="1">IFERROR(__xludf.DUMMYFUNCTION("""COMPUTED_VALUE"""),"Riya Saran")</f>
        <v>Riya Saran</v>
      </c>
      <c r="C2110" s="78">
        <f ca="1">IFERROR(__xludf.DUMMYFUNCTION("""COMPUTED_VALUE"""),18)</f>
        <v>18</v>
      </c>
      <c r="D2110" s="78" t="str">
        <f ca="1">IFERROR(__xludf.DUMMYFUNCTION("""COMPUTED_VALUE"""),"G")</f>
        <v>G</v>
      </c>
      <c r="E2110" s="80" t="str">
        <f ca="1">IFERROR(__xludf.DUMMYFUNCTION("""COMPUTED_VALUE"""),"S")</f>
        <v>S</v>
      </c>
      <c r="F2110" s="86" t="str">
        <f ca="1">IFERROR(__xludf.DUMMYFUNCTION("""COMPUTED_VALUE"""),"S")</f>
        <v>S</v>
      </c>
      <c r="G2110" s="86">
        <f ca="1">IFERROR(__xludf.DUMMYFUNCTION("""COMPUTED_VALUE"""),4)</f>
        <v>4</v>
      </c>
      <c r="H2110" s="86" t="str">
        <f ca="1">IFERROR(__xludf.DUMMYFUNCTION("""COMPUTED_VALUE"""),"T")</f>
        <v>T</v>
      </c>
      <c r="I2110" s="86">
        <f ca="1">IFERROR(__xludf.DUMMYFUNCTION("""COMPUTED_VALUE"""),8)</f>
        <v>8</v>
      </c>
      <c r="J2110" s="85">
        <f ca="1">IFERROR(__xludf.DUMMYFUNCTION("""COMPUTED_VALUE"""),5)</f>
        <v>5</v>
      </c>
      <c r="K2110" s="85">
        <f ca="1">IFERROR(__xludf.DUMMYFUNCTION("""COMPUTED_VALUE"""),185.15)</f>
        <v>185.15</v>
      </c>
      <c r="L2110" s="85">
        <f ca="1">IFERROR(__xludf.DUMMYFUNCTION("""COMPUTED_VALUE"""),176.5)</f>
        <v>176.5</v>
      </c>
      <c r="M2110" s="85"/>
      <c r="N2110" s="85">
        <f ca="1">IFERROR(__xludf.DUMMYFUNCTION("""COMPUTED_VALUE"""),164.35)</f>
        <v>164.35</v>
      </c>
      <c r="O2110" s="85"/>
      <c r="P2110" s="85">
        <f ca="1">IFERROR(__xludf.DUMMYFUNCTION("""COMPUTED_VALUE"""),185.15)</f>
        <v>185.15</v>
      </c>
      <c r="Q2110" s="85"/>
      <c r="R2110" s="85">
        <f ca="1">IFERROR(__xludf.DUMMYFUNCTION("""COMPUTED_VALUE"""),168.45)</f>
        <v>168.45</v>
      </c>
      <c r="S2110" s="85"/>
      <c r="T2110" s="85"/>
      <c r="U2110" s="82"/>
      <c r="V2110" s="82"/>
      <c r="W2110" s="83"/>
      <c r="X2110" s="83"/>
      <c r="Y2110" s="83"/>
    </row>
    <row r="2111" spans="1:25" ht="13.8">
      <c r="A2111" s="78" t="str">
        <f ca="1">IFERROR(__xludf.DUMMYFUNCTION("""COMPUTED_VALUE"""),"T")</f>
        <v>T</v>
      </c>
      <c r="B2111" s="79" t="str">
        <f ca="1">IFERROR(__xludf.DUMMYFUNCTION("""COMPUTED_VALUE"""),"Sarina Saran")</f>
        <v>Sarina Saran</v>
      </c>
      <c r="C2111" s="78">
        <f ca="1">IFERROR(__xludf.DUMMYFUNCTION("""COMPUTED_VALUE"""),16)</f>
        <v>16</v>
      </c>
      <c r="D2111" s="78" t="str">
        <f ca="1">IFERROR(__xludf.DUMMYFUNCTION("""COMPUTED_VALUE"""),"G")</f>
        <v>G</v>
      </c>
      <c r="E2111" s="80" t="str">
        <f ca="1">IFERROR(__xludf.DUMMYFUNCTION("""COMPUTED_VALUE"""),"S")</f>
        <v>S</v>
      </c>
      <c r="F2111" s="86" t="str">
        <f ca="1">IFERROR(__xludf.DUMMYFUNCTION("""COMPUTED_VALUE"""),"S")</f>
        <v>S</v>
      </c>
      <c r="G2111" s="86">
        <f ca="1">IFERROR(__xludf.DUMMYFUNCTION("""COMPUTED_VALUE"""),4)</f>
        <v>4</v>
      </c>
      <c r="H2111" s="86" t="str">
        <f ca="1">IFERROR(__xludf.DUMMYFUNCTION("""COMPUTED_VALUE"""),"T")</f>
        <v>T</v>
      </c>
      <c r="I2111" s="86">
        <f ca="1">IFERROR(__xludf.DUMMYFUNCTION("""COMPUTED_VALUE"""),8)</f>
        <v>8</v>
      </c>
      <c r="J2111" s="85">
        <f ca="1">IFERROR(__xludf.DUMMYFUNCTION("""COMPUTED_VALUE"""),3)</f>
        <v>3</v>
      </c>
      <c r="K2111" s="85">
        <f ca="1">IFERROR(__xludf.DUMMYFUNCTION("""COMPUTED_VALUE"""),176.65)</f>
        <v>176.65</v>
      </c>
      <c r="L2111" s="85">
        <f ca="1">IFERROR(__xludf.DUMMYFUNCTION("""COMPUTED_VALUE"""),0)</f>
        <v>0</v>
      </c>
      <c r="M2111" s="85"/>
      <c r="N2111" s="85">
        <f ca="1">IFERROR(__xludf.DUMMYFUNCTION("""COMPUTED_VALUE"""),155)</f>
        <v>155</v>
      </c>
      <c r="O2111" s="85"/>
      <c r="P2111" s="85">
        <f ca="1">IFERROR(__xludf.DUMMYFUNCTION("""COMPUTED_VALUE"""),176.65)</f>
        <v>176.65</v>
      </c>
      <c r="Q2111" s="85"/>
      <c r="R2111" s="85">
        <f ca="1">IFERROR(__xludf.DUMMYFUNCTION("""COMPUTED_VALUE"""),150)</f>
        <v>150</v>
      </c>
      <c r="S2111" s="85"/>
      <c r="T2111" s="85"/>
      <c r="U2111" s="82"/>
      <c r="V2111" s="82"/>
      <c r="W2111" s="83"/>
      <c r="X2111" s="83"/>
      <c r="Y2111" s="83"/>
    </row>
    <row r="2112" spans="1:25" ht="13.8">
      <c r="A2112" s="78" t="str">
        <f ca="1">IFERROR(__xludf.DUMMYFUNCTION("""COMPUTED_VALUE"""),"T")</f>
        <v>T</v>
      </c>
      <c r="B2112" s="79" t="str">
        <f ca="1">IFERROR(__xludf.DUMMYFUNCTION("""COMPUTED_VALUE"""),"Alex Glassman")</f>
        <v>Alex Glassman</v>
      </c>
      <c r="C2112" s="78">
        <f ca="1">IFERROR(__xludf.DUMMYFUNCTION("""COMPUTED_VALUE"""),19)</f>
        <v>19</v>
      </c>
      <c r="D2112" s="78" t="str">
        <f ca="1">IFERROR(__xludf.DUMMYFUNCTION("""COMPUTED_VALUE"""),"B")</f>
        <v>B</v>
      </c>
      <c r="E2112" s="80" t="str">
        <f ca="1">IFERROR(__xludf.DUMMYFUNCTION("""COMPUTED_VALUE"""),"S")</f>
        <v>S</v>
      </c>
      <c r="F2112" s="86" t="str">
        <f ca="1">IFERROR(__xludf.DUMMYFUNCTION("""COMPUTED_VALUE"""),"S")</f>
        <v>S</v>
      </c>
      <c r="G2112" s="86">
        <f ca="1">IFERROR(__xludf.DUMMYFUNCTION("""COMPUTED_VALUE"""),4)</f>
        <v>4</v>
      </c>
      <c r="H2112" s="86" t="str">
        <f ca="1">IFERROR(__xludf.DUMMYFUNCTION("""COMPUTED_VALUE"""),"T")</f>
        <v>T</v>
      </c>
      <c r="I2112" s="86">
        <f ca="1">IFERROR(__xludf.DUMMYFUNCTION("""COMPUTED_VALUE"""),9)</f>
        <v>9</v>
      </c>
      <c r="J2112" s="85">
        <f ca="1">IFERROR(__xludf.DUMMYFUNCTION("""COMPUTED_VALUE"""),4)</f>
        <v>4</v>
      </c>
      <c r="K2112" s="85">
        <f ca="1">IFERROR(__xludf.DUMMYFUNCTION("""COMPUTED_VALUE"""),260.3)</f>
        <v>260.3</v>
      </c>
      <c r="L2112" s="85">
        <f ca="1">IFERROR(__xludf.DUMMYFUNCTION("""COMPUTED_VALUE"""),260.3)</f>
        <v>260.3</v>
      </c>
      <c r="M2112" s="85"/>
      <c r="N2112" s="85">
        <f ca="1">IFERROR(__xludf.DUMMYFUNCTION("""COMPUTED_VALUE"""),228.5)</f>
        <v>228.5</v>
      </c>
      <c r="O2112" s="85"/>
      <c r="P2112" s="85">
        <f ca="1">IFERROR(__xludf.DUMMYFUNCTION("""COMPUTED_VALUE"""),0)</f>
        <v>0</v>
      </c>
      <c r="Q2112" s="85"/>
      <c r="R2112" s="85">
        <f ca="1">IFERROR(__xludf.DUMMYFUNCTION("""COMPUTED_VALUE"""),237.4)</f>
        <v>237.4</v>
      </c>
      <c r="S2112" s="85"/>
      <c r="T2112" s="85"/>
      <c r="U2112" s="82"/>
      <c r="V2112" s="82"/>
      <c r="W2112" s="83"/>
      <c r="X2112" s="83"/>
      <c r="Y2112" s="83"/>
    </row>
    <row r="2113" spans="1:25" ht="13.8">
      <c r="A2113" s="78" t="str">
        <f ca="1">IFERROR(__xludf.DUMMYFUNCTION("""COMPUTED_VALUE"""),"T")</f>
        <v>T</v>
      </c>
      <c r="B2113" s="79" t="str">
        <f ca="1">IFERROR(__xludf.DUMMYFUNCTION("""COMPUTED_VALUE"""),"Justin Un")</f>
        <v>Justin Un</v>
      </c>
      <c r="C2113" s="78">
        <f ca="1">IFERROR(__xludf.DUMMYFUNCTION("""COMPUTED_VALUE"""),17)</f>
        <v>17</v>
      </c>
      <c r="D2113" s="78" t="str">
        <f ca="1">IFERROR(__xludf.DUMMYFUNCTION("""COMPUTED_VALUE"""),"B")</f>
        <v>B</v>
      </c>
      <c r="E2113" s="80" t="str">
        <f ca="1">IFERROR(__xludf.DUMMYFUNCTION("""COMPUTED_VALUE"""),"S")</f>
        <v>S</v>
      </c>
      <c r="F2113" s="86" t="str">
        <f ca="1">IFERROR(__xludf.DUMMYFUNCTION("""COMPUTED_VALUE"""),"S")</f>
        <v>S</v>
      </c>
      <c r="G2113" s="86">
        <f ca="1">IFERROR(__xludf.DUMMYFUNCTION("""COMPUTED_VALUE"""),4)</f>
        <v>4</v>
      </c>
      <c r="H2113" s="86" t="str">
        <f ca="1">IFERROR(__xludf.DUMMYFUNCTION("""COMPUTED_VALUE"""),"T")</f>
        <v>T</v>
      </c>
      <c r="I2113" s="86">
        <f ca="1">IFERROR(__xludf.DUMMYFUNCTION("""COMPUTED_VALUE"""),9)</f>
        <v>9</v>
      </c>
      <c r="J2113" s="85">
        <f ca="1">IFERROR(__xludf.DUMMYFUNCTION("""COMPUTED_VALUE"""),0)</f>
        <v>0</v>
      </c>
      <c r="K2113" s="85">
        <f ca="1">IFERROR(__xludf.DUMMYFUNCTION("""COMPUTED_VALUE"""),0)</f>
        <v>0</v>
      </c>
      <c r="L2113" s="85">
        <f ca="1">IFERROR(__xludf.DUMMYFUNCTION("""COMPUTED_VALUE"""),0)</f>
        <v>0</v>
      </c>
      <c r="M2113" s="85"/>
      <c r="N2113" s="85">
        <f ca="1">IFERROR(__xludf.DUMMYFUNCTION("""COMPUTED_VALUE"""),0)</f>
        <v>0</v>
      </c>
      <c r="O2113" s="85"/>
      <c r="P2113" s="85">
        <f ca="1">IFERROR(__xludf.DUMMYFUNCTION("""COMPUTED_VALUE"""),0)</f>
        <v>0</v>
      </c>
      <c r="Q2113" s="85"/>
      <c r="R2113" s="85">
        <f ca="1">IFERROR(__xludf.DUMMYFUNCTION("""COMPUTED_VALUE"""),0)</f>
        <v>0</v>
      </c>
      <c r="S2113" s="85"/>
      <c r="T2113" s="85"/>
      <c r="U2113" s="82"/>
      <c r="V2113" s="82"/>
      <c r="W2113" s="83"/>
      <c r="X2113" s="83"/>
      <c r="Y2113" s="83"/>
    </row>
    <row r="2114" spans="1:25" ht="13.8">
      <c r="A2114" s="78" t="str">
        <f ca="1">IFERROR(__xludf.DUMMYFUNCTION("""COMPUTED_VALUE"""),"THA")</f>
        <v>THA</v>
      </c>
      <c r="B2114" s="79" t="str">
        <f ca="1">IFERROR(__xludf.DUMMYFUNCTION("""COMPUTED_VALUE"""),"Eleanor Albosta")</f>
        <v>Eleanor Albosta</v>
      </c>
      <c r="C2114" s="78">
        <f ca="1">IFERROR(__xludf.DUMMYFUNCTION("""COMPUTED_VALUE"""),8)</f>
        <v>8</v>
      </c>
      <c r="D2114" s="78" t="str">
        <f ca="1">IFERROR(__xludf.DUMMYFUNCTION("""COMPUTED_VALUE"""),"G")</f>
        <v>G</v>
      </c>
      <c r="E2114" s="80" t="str">
        <f ca="1">IFERROR(__xludf.DUMMYFUNCTION("""COMPUTED_VALUE"""),"F")</f>
        <v>F</v>
      </c>
      <c r="F2114" s="86" t="str">
        <f ca="1">IFERROR(__xludf.DUMMYFUNCTION("""COMPUTED_VALUE"""),"J")</f>
        <v>J</v>
      </c>
      <c r="G2114" s="86">
        <f ca="1">IFERROR(__xludf.DUMMYFUNCTION("""COMPUTED_VALUE"""),1)</f>
        <v>1</v>
      </c>
      <c r="H2114" s="86" t="str">
        <f ca="1">IFERROR(__xludf.DUMMYFUNCTION("""COMPUTED_VALUE"""),"THA")</f>
        <v>THA</v>
      </c>
      <c r="I2114" s="86">
        <f ca="1">IFERROR(__xludf.DUMMYFUNCTION("""COMPUTED_VALUE"""),2)</f>
        <v>2</v>
      </c>
      <c r="J2114" s="85">
        <f ca="1">IFERROR(__xludf.DUMMYFUNCTION("""COMPUTED_VALUE"""),3)</f>
        <v>3</v>
      </c>
      <c r="K2114" s="85">
        <f ca="1">IFERROR(__xludf.DUMMYFUNCTION("""COMPUTED_VALUE"""),32.95)</f>
        <v>32.950000000000003</v>
      </c>
      <c r="L2114" s="85">
        <f ca="1">IFERROR(__xludf.DUMMYFUNCTION("""COMPUTED_VALUE"""),0)</f>
        <v>0</v>
      </c>
      <c r="M2114" s="85"/>
      <c r="N2114" s="85">
        <f ca="1">IFERROR(__xludf.DUMMYFUNCTION("""COMPUTED_VALUE"""),31.8)</f>
        <v>31.8</v>
      </c>
      <c r="O2114" s="85"/>
      <c r="P2114" s="85">
        <f ca="1">IFERROR(__xludf.DUMMYFUNCTION("""COMPUTED_VALUE"""),32.95)</f>
        <v>32.950000000000003</v>
      </c>
      <c r="Q2114" s="85"/>
      <c r="R2114" s="85">
        <f ca="1">IFERROR(__xludf.DUMMYFUNCTION("""COMPUTED_VALUE"""),0)</f>
        <v>0</v>
      </c>
      <c r="S2114" s="85"/>
      <c r="T2114" s="85"/>
      <c r="U2114" s="82"/>
      <c r="V2114" s="82"/>
      <c r="W2114" s="83"/>
      <c r="X2114" s="83"/>
      <c r="Y2114" s="83"/>
    </row>
    <row r="2115" spans="1:25" ht="13.8">
      <c r="A2115" s="78" t="str">
        <f ca="1">IFERROR(__xludf.DUMMYFUNCTION("""COMPUTED_VALUE"""),"THA")</f>
        <v>THA</v>
      </c>
      <c r="B2115" s="79" t="str">
        <f ca="1">IFERROR(__xludf.DUMMYFUNCTION("""COMPUTED_VALUE"""),"Sofia Dalilaltojari")</f>
        <v>Sofia Dalilaltojari</v>
      </c>
      <c r="C2115" s="78">
        <f ca="1">IFERROR(__xludf.DUMMYFUNCTION("""COMPUTED_VALUE"""),7)</f>
        <v>7</v>
      </c>
      <c r="D2115" s="78" t="str">
        <f ca="1">IFERROR(__xludf.DUMMYFUNCTION("""COMPUTED_VALUE"""),"G")</f>
        <v>G</v>
      </c>
      <c r="E2115" s="80" t="str">
        <f ca="1">IFERROR(__xludf.DUMMYFUNCTION("""COMPUTED_VALUE"""),"F")</f>
        <v>F</v>
      </c>
      <c r="F2115" s="86" t="str">
        <f ca="1">IFERROR(__xludf.DUMMYFUNCTION("""COMPUTED_VALUE"""),"J")</f>
        <v>J</v>
      </c>
      <c r="G2115" s="86">
        <f ca="1">IFERROR(__xludf.DUMMYFUNCTION("""COMPUTED_VALUE"""),1)</f>
        <v>1</v>
      </c>
      <c r="H2115" s="86" t="str">
        <f ca="1">IFERROR(__xludf.DUMMYFUNCTION("""COMPUTED_VALUE"""),"THA")</f>
        <v>THA</v>
      </c>
      <c r="I2115" s="86">
        <f ca="1">IFERROR(__xludf.DUMMYFUNCTION("""COMPUTED_VALUE"""),2)</f>
        <v>2</v>
      </c>
      <c r="J2115" s="85">
        <f ca="1">IFERROR(__xludf.DUMMYFUNCTION("""COMPUTED_VALUE"""),3)</f>
        <v>3</v>
      </c>
      <c r="K2115" s="85">
        <f ca="1">IFERROR(__xludf.DUMMYFUNCTION("""COMPUTED_VALUE"""),29.65)</f>
        <v>29.65</v>
      </c>
      <c r="L2115" s="85">
        <f ca="1">IFERROR(__xludf.DUMMYFUNCTION("""COMPUTED_VALUE"""),0)</f>
        <v>0</v>
      </c>
      <c r="M2115" s="85"/>
      <c r="N2115" s="85">
        <f ca="1">IFERROR(__xludf.DUMMYFUNCTION("""COMPUTED_VALUE"""),0)</f>
        <v>0</v>
      </c>
      <c r="O2115" s="85"/>
      <c r="P2115" s="85">
        <f ca="1">IFERROR(__xludf.DUMMYFUNCTION("""COMPUTED_VALUE"""),24.05)</f>
        <v>24.05</v>
      </c>
      <c r="Q2115" s="85"/>
      <c r="R2115" s="85">
        <f ca="1">IFERROR(__xludf.DUMMYFUNCTION("""COMPUTED_VALUE"""),29.65)</f>
        <v>29.65</v>
      </c>
      <c r="S2115" s="85"/>
      <c r="T2115" s="85"/>
      <c r="U2115" s="82"/>
      <c r="V2115" s="82"/>
      <c r="W2115" s="83"/>
      <c r="X2115" s="83"/>
      <c r="Y2115" s="83"/>
    </row>
    <row r="2116" spans="1:25" ht="13.8">
      <c r="A2116" s="78" t="str">
        <f ca="1">IFERROR(__xludf.DUMMYFUNCTION("""COMPUTED_VALUE"""),"THA")</f>
        <v>THA</v>
      </c>
      <c r="B2116" s="79" t="str">
        <f ca="1">IFERROR(__xludf.DUMMYFUNCTION("""COMPUTED_VALUE"""),"Vivienne Easmunt")</f>
        <v>Vivienne Easmunt</v>
      </c>
      <c r="C2116" s="78">
        <f ca="1">IFERROR(__xludf.DUMMYFUNCTION("""COMPUTED_VALUE"""),10)</f>
        <v>10</v>
      </c>
      <c r="D2116" s="78" t="str">
        <f ca="1">IFERROR(__xludf.DUMMYFUNCTION("""COMPUTED_VALUE"""),"G")</f>
        <v>G</v>
      </c>
      <c r="E2116" s="80" t="str">
        <f ca="1">IFERROR(__xludf.DUMMYFUNCTION("""COMPUTED_VALUE"""),"F")</f>
        <v>F</v>
      </c>
      <c r="F2116" s="86" t="str">
        <f ca="1">IFERROR(__xludf.DUMMYFUNCTION("""COMPUTED_VALUE"""),"J")</f>
        <v>J</v>
      </c>
      <c r="G2116" s="86">
        <f ca="1">IFERROR(__xludf.DUMMYFUNCTION("""COMPUTED_VALUE"""),1)</f>
        <v>1</v>
      </c>
      <c r="H2116" s="86" t="str">
        <f ca="1">IFERROR(__xludf.DUMMYFUNCTION("""COMPUTED_VALUE"""),"THA")</f>
        <v>THA</v>
      </c>
      <c r="I2116" s="86">
        <f ca="1">IFERROR(__xludf.DUMMYFUNCTION("""COMPUTED_VALUE"""),2)</f>
        <v>2</v>
      </c>
      <c r="J2116" s="85">
        <f ca="1">IFERROR(__xludf.DUMMYFUNCTION("""COMPUTED_VALUE"""),0)</f>
        <v>0</v>
      </c>
      <c r="K2116" s="85">
        <f ca="1">IFERROR(__xludf.DUMMYFUNCTION("""COMPUTED_VALUE"""),0)</f>
        <v>0</v>
      </c>
      <c r="L2116" s="85">
        <f ca="1">IFERROR(__xludf.DUMMYFUNCTION("""COMPUTED_VALUE"""),0)</f>
        <v>0</v>
      </c>
      <c r="M2116" s="85"/>
      <c r="N2116" s="85">
        <f ca="1">IFERROR(__xludf.DUMMYFUNCTION("""COMPUTED_VALUE"""),0)</f>
        <v>0</v>
      </c>
      <c r="O2116" s="85"/>
      <c r="P2116" s="85">
        <f ca="1">IFERROR(__xludf.DUMMYFUNCTION("""COMPUTED_VALUE"""),0)</f>
        <v>0</v>
      </c>
      <c r="Q2116" s="85"/>
      <c r="R2116" s="85">
        <f ca="1">IFERROR(__xludf.DUMMYFUNCTION("""COMPUTED_VALUE"""),0)</f>
        <v>0</v>
      </c>
      <c r="S2116" s="85"/>
      <c r="T2116" s="85"/>
      <c r="U2116" s="82"/>
      <c r="V2116" s="82"/>
      <c r="W2116" s="83"/>
      <c r="X2116" s="83"/>
      <c r="Y2116" s="83"/>
    </row>
    <row r="2117" spans="1:25" ht="13.8">
      <c r="A2117" s="78" t="str">
        <f ca="1">IFERROR(__xludf.DUMMYFUNCTION("""COMPUTED_VALUE"""),"THA")</f>
        <v>THA</v>
      </c>
      <c r="B2117" s="79" t="str">
        <f ca="1">IFERROR(__xludf.DUMMYFUNCTION("""COMPUTED_VALUE"""),"Ainslee Girard")</f>
        <v>Ainslee Girard</v>
      </c>
      <c r="C2117" s="78">
        <f ca="1">IFERROR(__xludf.DUMMYFUNCTION("""COMPUTED_VALUE"""),10)</f>
        <v>10</v>
      </c>
      <c r="D2117" s="78" t="str">
        <f ca="1">IFERROR(__xludf.DUMMYFUNCTION("""COMPUTED_VALUE"""),"G")</f>
        <v>G</v>
      </c>
      <c r="E2117" s="80" t="str">
        <f ca="1">IFERROR(__xludf.DUMMYFUNCTION("""COMPUTED_VALUE"""),"F")</f>
        <v>F</v>
      </c>
      <c r="F2117" s="86" t="str">
        <f ca="1">IFERROR(__xludf.DUMMYFUNCTION("""COMPUTED_VALUE"""),"J")</f>
        <v>J</v>
      </c>
      <c r="G2117" s="86">
        <f ca="1">IFERROR(__xludf.DUMMYFUNCTION("""COMPUTED_VALUE"""),1)</f>
        <v>1</v>
      </c>
      <c r="H2117" s="86" t="str">
        <f ca="1">IFERROR(__xludf.DUMMYFUNCTION("""COMPUTED_VALUE"""),"THA")</f>
        <v>THA</v>
      </c>
      <c r="I2117" s="86">
        <f ca="1">IFERROR(__xludf.DUMMYFUNCTION("""COMPUTED_VALUE"""),2)</f>
        <v>2</v>
      </c>
      <c r="J2117" s="85">
        <f ca="1">IFERROR(__xludf.DUMMYFUNCTION("""COMPUTED_VALUE"""),5)</f>
        <v>5</v>
      </c>
      <c r="K2117" s="85">
        <f ca="1">IFERROR(__xludf.DUMMYFUNCTION("""COMPUTED_VALUE"""),58.9)</f>
        <v>58.9</v>
      </c>
      <c r="L2117" s="85">
        <f ca="1">IFERROR(__xludf.DUMMYFUNCTION("""COMPUTED_VALUE"""),35.5)</f>
        <v>35.5</v>
      </c>
      <c r="M2117" s="85"/>
      <c r="N2117" s="85">
        <f ca="1">IFERROR(__xludf.DUMMYFUNCTION("""COMPUTED_VALUE"""),58.9)</f>
        <v>58.9</v>
      </c>
      <c r="O2117" s="85"/>
      <c r="P2117" s="85">
        <f ca="1">IFERROR(__xludf.DUMMYFUNCTION("""COMPUTED_VALUE"""),49.3)</f>
        <v>49.3</v>
      </c>
      <c r="Q2117" s="85"/>
      <c r="R2117" s="85">
        <f ca="1">IFERROR(__xludf.DUMMYFUNCTION("""COMPUTED_VALUE"""),49.25)</f>
        <v>49.25</v>
      </c>
      <c r="S2117" s="85"/>
      <c r="T2117" s="85"/>
      <c r="U2117" s="82"/>
      <c r="V2117" s="82"/>
      <c r="W2117" s="83"/>
      <c r="X2117" s="83"/>
      <c r="Y2117" s="83"/>
    </row>
    <row r="2118" spans="1:25" ht="13.8">
      <c r="A2118" s="78" t="str">
        <f ca="1">IFERROR(__xludf.DUMMYFUNCTION("""COMPUTED_VALUE"""),"THA")</f>
        <v>THA</v>
      </c>
      <c r="B2118" s="79" t="str">
        <f ca="1">IFERROR(__xludf.DUMMYFUNCTION("""COMPUTED_VALUE"""),"Reilly McBride")</f>
        <v>Reilly McBride</v>
      </c>
      <c r="C2118" s="78">
        <f ca="1">IFERROR(__xludf.DUMMYFUNCTION("""COMPUTED_VALUE"""),6)</f>
        <v>6</v>
      </c>
      <c r="D2118" s="78" t="str">
        <f ca="1">IFERROR(__xludf.DUMMYFUNCTION("""COMPUTED_VALUE"""),"G")</f>
        <v>G</v>
      </c>
      <c r="E2118" s="80" t="str">
        <f ca="1">IFERROR(__xludf.DUMMYFUNCTION("""COMPUTED_VALUE"""),"F")</f>
        <v>F</v>
      </c>
      <c r="F2118" s="86" t="str">
        <f ca="1">IFERROR(__xludf.DUMMYFUNCTION("""COMPUTED_VALUE"""),"J")</f>
        <v>J</v>
      </c>
      <c r="G2118" s="86">
        <f ca="1">IFERROR(__xludf.DUMMYFUNCTION("""COMPUTED_VALUE"""),1)</f>
        <v>1</v>
      </c>
      <c r="H2118" s="86" t="str">
        <f ca="1">IFERROR(__xludf.DUMMYFUNCTION("""COMPUTED_VALUE"""),"THA")</f>
        <v>THA</v>
      </c>
      <c r="I2118" s="86">
        <f ca="1">IFERROR(__xludf.DUMMYFUNCTION("""COMPUTED_VALUE"""),2)</f>
        <v>2</v>
      </c>
      <c r="J2118" s="85">
        <f ca="1">IFERROR(__xludf.DUMMYFUNCTION("""COMPUTED_VALUE"""),0)</f>
        <v>0</v>
      </c>
      <c r="K2118" s="85">
        <f ca="1">IFERROR(__xludf.DUMMYFUNCTION("""COMPUTED_VALUE"""),0)</f>
        <v>0</v>
      </c>
      <c r="L2118" s="85">
        <f ca="1">IFERROR(__xludf.DUMMYFUNCTION("""COMPUTED_VALUE"""),0)</f>
        <v>0</v>
      </c>
      <c r="M2118" s="85"/>
      <c r="N2118" s="85">
        <f ca="1">IFERROR(__xludf.DUMMYFUNCTION("""COMPUTED_VALUE"""),0)</f>
        <v>0</v>
      </c>
      <c r="O2118" s="85"/>
      <c r="P2118" s="85">
        <f ca="1">IFERROR(__xludf.DUMMYFUNCTION("""COMPUTED_VALUE"""),0)</f>
        <v>0</v>
      </c>
      <c r="Q2118" s="85"/>
      <c r="R2118" s="85">
        <f ca="1">IFERROR(__xludf.DUMMYFUNCTION("""COMPUTED_VALUE"""),0)</f>
        <v>0</v>
      </c>
      <c r="S2118" s="85"/>
      <c r="T2118" s="85"/>
      <c r="U2118" s="82"/>
      <c r="V2118" s="82"/>
      <c r="W2118" s="83"/>
      <c r="X2118" s="83"/>
      <c r="Y2118" s="83"/>
    </row>
    <row r="2119" spans="1:25" ht="13.8">
      <c r="A2119" s="78" t="str">
        <f ca="1">IFERROR(__xludf.DUMMYFUNCTION("""COMPUTED_VALUE"""),"THA")</f>
        <v>THA</v>
      </c>
      <c r="B2119" s="79" t="str">
        <f ca="1">IFERROR(__xludf.DUMMYFUNCTION("""COMPUTED_VALUE"""),"Ava McKeever")</f>
        <v>Ava McKeever</v>
      </c>
      <c r="C2119" s="78">
        <f ca="1">IFERROR(__xludf.DUMMYFUNCTION("""COMPUTED_VALUE"""),10)</f>
        <v>10</v>
      </c>
      <c r="D2119" s="78" t="str">
        <f ca="1">IFERROR(__xludf.DUMMYFUNCTION("""COMPUTED_VALUE"""),"G")</f>
        <v>G</v>
      </c>
      <c r="E2119" s="80" t="str">
        <f ca="1">IFERROR(__xludf.DUMMYFUNCTION("""COMPUTED_VALUE"""),"F")</f>
        <v>F</v>
      </c>
      <c r="F2119" s="86" t="str">
        <f ca="1">IFERROR(__xludf.DUMMYFUNCTION("""COMPUTED_VALUE"""),"J")</f>
        <v>J</v>
      </c>
      <c r="G2119" s="86">
        <f ca="1">IFERROR(__xludf.DUMMYFUNCTION("""COMPUTED_VALUE"""),1)</f>
        <v>1</v>
      </c>
      <c r="H2119" s="86" t="str">
        <f ca="1">IFERROR(__xludf.DUMMYFUNCTION("""COMPUTED_VALUE"""),"THA")</f>
        <v>THA</v>
      </c>
      <c r="I2119" s="86">
        <f ca="1">IFERROR(__xludf.DUMMYFUNCTION("""COMPUTED_VALUE"""),2)</f>
        <v>2</v>
      </c>
      <c r="J2119" s="85">
        <f ca="1">IFERROR(__xludf.DUMMYFUNCTION("""COMPUTED_VALUE"""),5)</f>
        <v>5</v>
      </c>
      <c r="K2119" s="85">
        <f ca="1">IFERROR(__xludf.DUMMYFUNCTION("""COMPUTED_VALUE"""),37.25)</f>
        <v>37.25</v>
      </c>
      <c r="L2119" s="85">
        <f ca="1">IFERROR(__xludf.DUMMYFUNCTION("""COMPUTED_VALUE"""),31.95)</f>
        <v>31.95</v>
      </c>
      <c r="M2119" s="85"/>
      <c r="N2119" s="85">
        <f ca="1">IFERROR(__xludf.DUMMYFUNCTION("""COMPUTED_VALUE"""),33.2)</f>
        <v>33.200000000000003</v>
      </c>
      <c r="O2119" s="85"/>
      <c r="P2119" s="85">
        <f ca="1">IFERROR(__xludf.DUMMYFUNCTION("""COMPUTED_VALUE"""),29.55)</f>
        <v>29.55</v>
      </c>
      <c r="Q2119" s="85"/>
      <c r="R2119" s="85">
        <f ca="1">IFERROR(__xludf.DUMMYFUNCTION("""COMPUTED_VALUE"""),37.25)</f>
        <v>37.25</v>
      </c>
      <c r="S2119" s="85"/>
      <c r="T2119" s="85"/>
      <c r="U2119" s="82"/>
      <c r="V2119" s="82"/>
      <c r="W2119" s="83"/>
      <c r="X2119" s="83"/>
      <c r="Y2119" s="83"/>
    </row>
    <row r="2120" spans="1:25" ht="13.8">
      <c r="A2120" s="78" t="str">
        <f ca="1">IFERROR(__xludf.DUMMYFUNCTION("""COMPUTED_VALUE"""),"THA")</f>
        <v>THA</v>
      </c>
      <c r="B2120" s="79" t="str">
        <f ca="1">IFERROR(__xludf.DUMMYFUNCTION("""COMPUTED_VALUE"""),"Georgina McKeever")</f>
        <v>Georgina McKeever</v>
      </c>
      <c r="C2120" s="78">
        <f ca="1">IFERROR(__xludf.DUMMYFUNCTION("""COMPUTED_VALUE"""),10)</f>
        <v>10</v>
      </c>
      <c r="D2120" s="78" t="str">
        <f ca="1">IFERROR(__xludf.DUMMYFUNCTION("""COMPUTED_VALUE"""),"G")</f>
        <v>G</v>
      </c>
      <c r="E2120" s="80" t="str">
        <f ca="1">IFERROR(__xludf.DUMMYFUNCTION("""COMPUTED_VALUE"""),"F")</f>
        <v>F</v>
      </c>
      <c r="F2120" s="86" t="str">
        <f ca="1">IFERROR(__xludf.DUMMYFUNCTION("""COMPUTED_VALUE"""),"J")</f>
        <v>J</v>
      </c>
      <c r="G2120" s="86">
        <f ca="1">IFERROR(__xludf.DUMMYFUNCTION("""COMPUTED_VALUE"""),1)</f>
        <v>1</v>
      </c>
      <c r="H2120" s="86" t="str">
        <f ca="1">IFERROR(__xludf.DUMMYFUNCTION("""COMPUTED_VALUE"""),"THA")</f>
        <v>THA</v>
      </c>
      <c r="I2120" s="86">
        <f ca="1">IFERROR(__xludf.DUMMYFUNCTION("""COMPUTED_VALUE"""),2)</f>
        <v>2</v>
      </c>
      <c r="J2120" s="85">
        <f ca="1">IFERROR(__xludf.DUMMYFUNCTION("""COMPUTED_VALUE"""),0)</f>
        <v>0</v>
      </c>
      <c r="K2120" s="85">
        <f ca="1">IFERROR(__xludf.DUMMYFUNCTION("""COMPUTED_VALUE"""),0)</f>
        <v>0</v>
      </c>
      <c r="L2120" s="85">
        <f ca="1">IFERROR(__xludf.DUMMYFUNCTION("""COMPUTED_VALUE"""),0)</f>
        <v>0</v>
      </c>
      <c r="M2120" s="85"/>
      <c r="N2120" s="85">
        <f ca="1">IFERROR(__xludf.DUMMYFUNCTION("""COMPUTED_VALUE"""),0)</f>
        <v>0</v>
      </c>
      <c r="O2120" s="85"/>
      <c r="P2120" s="85">
        <f ca="1">IFERROR(__xludf.DUMMYFUNCTION("""COMPUTED_VALUE"""),0)</f>
        <v>0</v>
      </c>
      <c r="Q2120" s="85"/>
      <c r="R2120" s="85">
        <f ca="1">IFERROR(__xludf.DUMMYFUNCTION("""COMPUTED_VALUE"""),0)</f>
        <v>0</v>
      </c>
      <c r="S2120" s="85"/>
      <c r="T2120" s="85"/>
      <c r="U2120" s="82"/>
      <c r="V2120" s="82"/>
      <c r="W2120" s="83"/>
      <c r="X2120" s="83"/>
      <c r="Y2120" s="83"/>
    </row>
    <row r="2121" spans="1:25" ht="13.8">
      <c r="A2121" s="78" t="str">
        <f ca="1">IFERROR(__xludf.DUMMYFUNCTION("""COMPUTED_VALUE"""),"THA")</f>
        <v>THA</v>
      </c>
      <c r="B2121" s="79" t="str">
        <f ca="1">IFERROR(__xludf.DUMMYFUNCTION("""COMPUTED_VALUE"""),"Lily Robinson")</f>
        <v>Lily Robinson</v>
      </c>
      <c r="C2121" s="78">
        <f ca="1">IFERROR(__xludf.DUMMYFUNCTION("""COMPUTED_VALUE"""),9)</f>
        <v>9</v>
      </c>
      <c r="D2121" s="78" t="str">
        <f ca="1">IFERROR(__xludf.DUMMYFUNCTION("""COMPUTED_VALUE"""),"G")</f>
        <v>G</v>
      </c>
      <c r="E2121" s="80" t="str">
        <f ca="1">IFERROR(__xludf.DUMMYFUNCTION("""COMPUTED_VALUE"""),"F")</f>
        <v>F</v>
      </c>
      <c r="F2121" s="86" t="str">
        <f ca="1">IFERROR(__xludf.DUMMYFUNCTION("""COMPUTED_VALUE"""),"J")</f>
        <v>J</v>
      </c>
      <c r="G2121" s="86">
        <f ca="1">IFERROR(__xludf.DUMMYFUNCTION("""COMPUTED_VALUE"""),1)</f>
        <v>1</v>
      </c>
      <c r="H2121" s="86" t="str">
        <f ca="1">IFERROR(__xludf.DUMMYFUNCTION("""COMPUTED_VALUE"""),"THA")</f>
        <v>THA</v>
      </c>
      <c r="I2121" s="86">
        <f ca="1">IFERROR(__xludf.DUMMYFUNCTION("""COMPUTED_VALUE"""),2)</f>
        <v>2</v>
      </c>
      <c r="J2121" s="85">
        <f ca="1">IFERROR(__xludf.DUMMYFUNCTION("""COMPUTED_VALUE"""),5)</f>
        <v>5</v>
      </c>
      <c r="K2121" s="85">
        <f ca="1">IFERROR(__xludf.DUMMYFUNCTION("""COMPUTED_VALUE"""),33.95)</f>
        <v>33.950000000000003</v>
      </c>
      <c r="L2121" s="85">
        <f ca="1">IFERROR(__xludf.DUMMYFUNCTION("""COMPUTED_VALUE"""),24.45)</f>
        <v>24.45</v>
      </c>
      <c r="M2121" s="85"/>
      <c r="N2121" s="85">
        <f ca="1">IFERROR(__xludf.DUMMYFUNCTION("""COMPUTED_VALUE"""),27.85)</f>
        <v>27.85</v>
      </c>
      <c r="O2121" s="85"/>
      <c r="P2121" s="85">
        <f ca="1">IFERROR(__xludf.DUMMYFUNCTION("""COMPUTED_VALUE"""),28.05)</f>
        <v>28.05</v>
      </c>
      <c r="Q2121" s="85"/>
      <c r="R2121" s="85">
        <f ca="1">IFERROR(__xludf.DUMMYFUNCTION("""COMPUTED_VALUE"""),33.95)</f>
        <v>33.950000000000003</v>
      </c>
      <c r="S2121" s="85"/>
      <c r="T2121" s="85"/>
      <c r="U2121" s="82"/>
      <c r="V2121" s="82"/>
      <c r="W2121" s="83"/>
      <c r="X2121" s="83"/>
      <c r="Y2121" s="83"/>
    </row>
    <row r="2122" spans="1:25" ht="13.8">
      <c r="A2122" s="78" t="str">
        <f ca="1">IFERROR(__xludf.DUMMYFUNCTION("""COMPUTED_VALUE"""),"THA")</f>
        <v>THA</v>
      </c>
      <c r="B2122" s="79" t="str">
        <f ca="1">IFERROR(__xludf.DUMMYFUNCTION("""COMPUTED_VALUE"""),"Audrey Shifflett")</f>
        <v>Audrey Shifflett</v>
      </c>
      <c r="C2122" s="78">
        <f ca="1">IFERROR(__xludf.DUMMYFUNCTION("""COMPUTED_VALUE"""),10)</f>
        <v>10</v>
      </c>
      <c r="D2122" s="78" t="str">
        <f ca="1">IFERROR(__xludf.DUMMYFUNCTION("""COMPUTED_VALUE"""),"G")</f>
        <v>G</v>
      </c>
      <c r="E2122" s="80" t="str">
        <f ca="1">IFERROR(__xludf.DUMMYFUNCTION("""COMPUTED_VALUE"""),"F")</f>
        <v>F</v>
      </c>
      <c r="F2122" s="86" t="str">
        <f ca="1">IFERROR(__xludf.DUMMYFUNCTION("""COMPUTED_VALUE"""),"J")</f>
        <v>J</v>
      </c>
      <c r="G2122" s="86">
        <f ca="1">IFERROR(__xludf.DUMMYFUNCTION("""COMPUTED_VALUE"""),1)</f>
        <v>1</v>
      </c>
      <c r="H2122" s="86" t="str">
        <f ca="1">IFERROR(__xludf.DUMMYFUNCTION("""COMPUTED_VALUE"""),"THA")</f>
        <v>THA</v>
      </c>
      <c r="I2122" s="86">
        <f ca="1">IFERROR(__xludf.DUMMYFUNCTION("""COMPUTED_VALUE"""),2)</f>
        <v>2</v>
      </c>
      <c r="J2122" s="85">
        <f ca="1">IFERROR(__xludf.DUMMYFUNCTION("""COMPUTED_VALUE"""),0)</f>
        <v>0</v>
      </c>
      <c r="K2122" s="85">
        <f ca="1">IFERROR(__xludf.DUMMYFUNCTION("""COMPUTED_VALUE"""),0)</f>
        <v>0</v>
      </c>
      <c r="L2122" s="85">
        <f ca="1">IFERROR(__xludf.DUMMYFUNCTION("""COMPUTED_VALUE"""),0)</f>
        <v>0</v>
      </c>
      <c r="M2122" s="85"/>
      <c r="N2122" s="85">
        <f ca="1">IFERROR(__xludf.DUMMYFUNCTION("""COMPUTED_VALUE"""),0)</f>
        <v>0</v>
      </c>
      <c r="O2122" s="85"/>
      <c r="P2122" s="85">
        <f ca="1">IFERROR(__xludf.DUMMYFUNCTION("""COMPUTED_VALUE"""),0)</f>
        <v>0</v>
      </c>
      <c r="Q2122" s="85"/>
      <c r="R2122" s="85">
        <f ca="1">IFERROR(__xludf.DUMMYFUNCTION("""COMPUTED_VALUE"""),0)</f>
        <v>0</v>
      </c>
      <c r="S2122" s="85"/>
      <c r="T2122" s="85"/>
      <c r="U2122" s="82"/>
      <c r="V2122" s="82"/>
      <c r="W2122" s="83"/>
      <c r="X2122" s="83"/>
      <c r="Y2122" s="83"/>
    </row>
    <row r="2123" spans="1:25" ht="13.8">
      <c r="A2123" s="78" t="str">
        <f ca="1">IFERROR(__xludf.DUMMYFUNCTION("""COMPUTED_VALUE"""),"THA")</f>
        <v>THA</v>
      </c>
      <c r="B2123" s="79" t="str">
        <f ca="1">IFERROR(__xludf.DUMMYFUNCTION("""COMPUTED_VALUE"""),"Gabopha So")</f>
        <v>Gabopha So</v>
      </c>
      <c r="C2123" s="78">
        <f ca="1">IFERROR(__xludf.DUMMYFUNCTION("""COMPUTED_VALUE"""),10)</f>
        <v>10</v>
      </c>
      <c r="D2123" s="78" t="str">
        <f ca="1">IFERROR(__xludf.DUMMYFUNCTION("""COMPUTED_VALUE"""),"G")</f>
        <v>G</v>
      </c>
      <c r="E2123" s="80" t="str">
        <f ca="1">IFERROR(__xludf.DUMMYFUNCTION("""COMPUTED_VALUE"""),"F")</f>
        <v>F</v>
      </c>
      <c r="F2123" s="86" t="str">
        <f ca="1">IFERROR(__xludf.DUMMYFUNCTION("""COMPUTED_VALUE"""),"J")</f>
        <v>J</v>
      </c>
      <c r="G2123" s="86">
        <f ca="1">IFERROR(__xludf.DUMMYFUNCTION("""COMPUTED_VALUE"""),1)</f>
        <v>1</v>
      </c>
      <c r="H2123" s="86" t="str">
        <f ca="1">IFERROR(__xludf.DUMMYFUNCTION("""COMPUTED_VALUE"""),"THA")</f>
        <v>THA</v>
      </c>
      <c r="I2123" s="86">
        <f ca="1">IFERROR(__xludf.DUMMYFUNCTION("""COMPUTED_VALUE"""),2)</f>
        <v>2</v>
      </c>
      <c r="J2123" s="85">
        <f ca="1">IFERROR(__xludf.DUMMYFUNCTION("""COMPUTED_VALUE"""),5)</f>
        <v>5</v>
      </c>
      <c r="K2123" s="85">
        <f ca="1">IFERROR(__xludf.DUMMYFUNCTION("""COMPUTED_VALUE"""),64)</f>
        <v>64</v>
      </c>
      <c r="L2123" s="85">
        <f ca="1">IFERROR(__xludf.DUMMYFUNCTION("""COMPUTED_VALUE"""),30.45)</f>
        <v>30.45</v>
      </c>
      <c r="M2123" s="85"/>
      <c r="N2123" s="85">
        <f ca="1">IFERROR(__xludf.DUMMYFUNCTION("""COMPUTED_VALUE"""),41.2)</f>
        <v>41.2</v>
      </c>
      <c r="O2123" s="85"/>
      <c r="P2123" s="85">
        <f ca="1">IFERROR(__xludf.DUMMYFUNCTION("""COMPUTED_VALUE"""),45.35)</f>
        <v>45.35</v>
      </c>
      <c r="Q2123" s="85"/>
      <c r="R2123" s="85">
        <f ca="1">IFERROR(__xludf.DUMMYFUNCTION("""COMPUTED_VALUE"""),64)</f>
        <v>64</v>
      </c>
      <c r="S2123" s="85"/>
      <c r="T2123" s="85"/>
      <c r="U2123" s="82"/>
      <c r="V2123" s="82"/>
      <c r="W2123" s="83"/>
      <c r="X2123" s="83"/>
      <c r="Y2123" s="83"/>
    </row>
    <row r="2124" spans="1:25" ht="13.8">
      <c r="A2124" s="78" t="str">
        <f ca="1">IFERROR(__xludf.DUMMYFUNCTION("""COMPUTED_VALUE"""),"THA")</f>
        <v>THA</v>
      </c>
      <c r="B2124" s="79" t="str">
        <f ca="1">IFERROR(__xludf.DUMMYFUNCTION("""COMPUTED_VALUE"""),"Jasper Eng")</f>
        <v>Jasper Eng</v>
      </c>
      <c r="C2124" s="78">
        <f ca="1">IFERROR(__xludf.DUMMYFUNCTION("""COMPUTED_VALUE"""),10)</f>
        <v>10</v>
      </c>
      <c r="D2124" s="78" t="str">
        <f ca="1">IFERROR(__xludf.DUMMYFUNCTION("""COMPUTED_VALUE"""),"B")</f>
        <v>B</v>
      </c>
      <c r="E2124" s="80" t="str">
        <f ca="1">IFERROR(__xludf.DUMMYFUNCTION("""COMPUTED_VALUE"""),"F")</f>
        <v>F</v>
      </c>
      <c r="F2124" s="86" t="str">
        <f ca="1">IFERROR(__xludf.DUMMYFUNCTION("""COMPUTED_VALUE"""),"J")</f>
        <v>J</v>
      </c>
      <c r="G2124" s="86">
        <f ca="1">IFERROR(__xludf.DUMMYFUNCTION("""COMPUTED_VALUE"""),1)</f>
        <v>1</v>
      </c>
      <c r="H2124" s="86" t="str">
        <f ca="1">IFERROR(__xludf.DUMMYFUNCTION("""COMPUTED_VALUE"""),"THA")</f>
        <v>THA</v>
      </c>
      <c r="I2124" s="86">
        <f ca="1">IFERROR(__xludf.DUMMYFUNCTION("""COMPUTED_VALUE"""),3)</f>
        <v>3</v>
      </c>
      <c r="J2124" s="85">
        <f ca="1">IFERROR(__xludf.DUMMYFUNCTION("""COMPUTED_VALUE"""),4)</f>
        <v>4</v>
      </c>
      <c r="K2124" s="85">
        <f ca="1">IFERROR(__xludf.DUMMYFUNCTION("""COMPUTED_VALUE"""),52.35)</f>
        <v>52.35</v>
      </c>
      <c r="L2124" s="85">
        <f ca="1">IFERROR(__xludf.DUMMYFUNCTION("""COMPUTED_VALUE"""),0)</f>
        <v>0</v>
      </c>
      <c r="M2124" s="85"/>
      <c r="N2124" s="85">
        <f ca="1">IFERROR(__xludf.DUMMYFUNCTION("""COMPUTED_VALUE"""),17.6)</f>
        <v>17.600000000000001</v>
      </c>
      <c r="O2124" s="85"/>
      <c r="P2124" s="85">
        <f ca="1">IFERROR(__xludf.DUMMYFUNCTION("""COMPUTED_VALUE"""),44.35)</f>
        <v>44.35</v>
      </c>
      <c r="Q2124" s="85"/>
      <c r="R2124" s="85">
        <f ca="1">IFERROR(__xludf.DUMMYFUNCTION("""COMPUTED_VALUE"""),52.35)</f>
        <v>52.35</v>
      </c>
      <c r="S2124" s="85"/>
      <c r="T2124" s="85"/>
      <c r="U2124" s="82"/>
      <c r="V2124" s="82"/>
      <c r="W2124" s="83"/>
      <c r="X2124" s="83"/>
      <c r="Y2124" s="83"/>
    </row>
    <row r="2125" spans="1:25" ht="13.8">
      <c r="A2125" s="78" t="str">
        <f ca="1">IFERROR(__xludf.DUMMYFUNCTION("""COMPUTED_VALUE"""),"THA")</f>
        <v>THA</v>
      </c>
      <c r="B2125" s="79" t="str">
        <f ca="1">IFERROR(__xludf.DUMMYFUNCTION("""COMPUTED_VALUE"""),"Daniel Gardner")</f>
        <v>Daniel Gardner</v>
      </c>
      <c r="C2125" s="78">
        <f ca="1">IFERROR(__xludf.DUMMYFUNCTION("""COMPUTED_VALUE"""),7)</f>
        <v>7</v>
      </c>
      <c r="D2125" s="78" t="str">
        <f ca="1">IFERROR(__xludf.DUMMYFUNCTION("""COMPUTED_VALUE"""),"B")</f>
        <v>B</v>
      </c>
      <c r="E2125" s="80" t="str">
        <f ca="1">IFERROR(__xludf.DUMMYFUNCTION("""COMPUTED_VALUE"""),"F")</f>
        <v>F</v>
      </c>
      <c r="F2125" s="86" t="str">
        <f ca="1">IFERROR(__xludf.DUMMYFUNCTION("""COMPUTED_VALUE"""),"J")</f>
        <v>J</v>
      </c>
      <c r="G2125" s="86">
        <f ca="1">IFERROR(__xludf.DUMMYFUNCTION("""COMPUTED_VALUE"""),1)</f>
        <v>1</v>
      </c>
      <c r="H2125" s="86" t="str">
        <f ca="1">IFERROR(__xludf.DUMMYFUNCTION("""COMPUTED_VALUE"""),"THA")</f>
        <v>THA</v>
      </c>
      <c r="I2125" s="86">
        <f ca="1">IFERROR(__xludf.DUMMYFUNCTION("""COMPUTED_VALUE"""),3)</f>
        <v>3</v>
      </c>
      <c r="J2125" s="85">
        <f ca="1">IFERROR(__xludf.DUMMYFUNCTION("""COMPUTED_VALUE"""),3)</f>
        <v>3</v>
      </c>
      <c r="K2125" s="85">
        <f ca="1">IFERROR(__xludf.DUMMYFUNCTION("""COMPUTED_VALUE"""),24.3)</f>
        <v>24.3</v>
      </c>
      <c r="L2125" s="85">
        <f ca="1">IFERROR(__xludf.DUMMYFUNCTION("""COMPUTED_VALUE"""),0)</f>
        <v>0</v>
      </c>
      <c r="M2125" s="85"/>
      <c r="N2125" s="85">
        <f ca="1">IFERROR(__xludf.DUMMYFUNCTION("""COMPUTED_VALUE"""),19.25)</f>
        <v>19.25</v>
      </c>
      <c r="O2125" s="85"/>
      <c r="P2125" s="85">
        <f ca="1">IFERROR(__xludf.DUMMYFUNCTION("""COMPUTED_VALUE"""),0)</f>
        <v>0</v>
      </c>
      <c r="Q2125" s="85"/>
      <c r="R2125" s="85">
        <f ca="1">IFERROR(__xludf.DUMMYFUNCTION("""COMPUTED_VALUE"""),24.3)</f>
        <v>24.3</v>
      </c>
      <c r="S2125" s="85"/>
      <c r="T2125" s="85"/>
      <c r="U2125" s="82"/>
      <c r="V2125" s="82"/>
      <c r="W2125" s="83"/>
      <c r="X2125" s="83"/>
      <c r="Y2125" s="83"/>
    </row>
    <row r="2126" spans="1:25" ht="13.8">
      <c r="A2126" s="78" t="str">
        <f ca="1">IFERROR(__xludf.DUMMYFUNCTION("""COMPUTED_VALUE"""),"THA")</f>
        <v>THA</v>
      </c>
      <c r="B2126" s="79" t="str">
        <f ca="1">IFERROR(__xludf.DUMMYFUNCTION("""COMPUTED_VALUE"""),"Matthew Gardner")</f>
        <v>Matthew Gardner</v>
      </c>
      <c r="C2126" s="78">
        <f ca="1">IFERROR(__xludf.DUMMYFUNCTION("""COMPUTED_VALUE"""),5)</f>
        <v>5</v>
      </c>
      <c r="D2126" s="78" t="str">
        <f ca="1">IFERROR(__xludf.DUMMYFUNCTION("""COMPUTED_VALUE"""),"B")</f>
        <v>B</v>
      </c>
      <c r="E2126" s="80" t="str">
        <f ca="1">IFERROR(__xludf.DUMMYFUNCTION("""COMPUTED_VALUE"""),"F")</f>
        <v>F</v>
      </c>
      <c r="F2126" s="86" t="str">
        <f ca="1">IFERROR(__xludf.DUMMYFUNCTION("""COMPUTED_VALUE"""),"J")</f>
        <v>J</v>
      </c>
      <c r="G2126" s="86">
        <f ca="1">IFERROR(__xludf.DUMMYFUNCTION("""COMPUTED_VALUE"""),1)</f>
        <v>1</v>
      </c>
      <c r="H2126" s="86" t="str">
        <f ca="1">IFERROR(__xludf.DUMMYFUNCTION("""COMPUTED_VALUE"""),"THA")</f>
        <v>THA</v>
      </c>
      <c r="I2126" s="86">
        <f ca="1">IFERROR(__xludf.DUMMYFUNCTION("""COMPUTED_VALUE"""),3)</f>
        <v>3</v>
      </c>
      <c r="J2126" s="85">
        <f ca="1">IFERROR(__xludf.DUMMYFUNCTION("""COMPUTED_VALUE"""),0)</f>
        <v>0</v>
      </c>
      <c r="K2126" s="85">
        <f ca="1">IFERROR(__xludf.DUMMYFUNCTION("""COMPUTED_VALUE"""),0)</f>
        <v>0</v>
      </c>
      <c r="L2126" s="85">
        <f ca="1">IFERROR(__xludf.DUMMYFUNCTION("""COMPUTED_VALUE"""),0)</f>
        <v>0</v>
      </c>
      <c r="M2126" s="85"/>
      <c r="N2126" s="85">
        <f ca="1">IFERROR(__xludf.DUMMYFUNCTION("""COMPUTED_VALUE"""),0)</f>
        <v>0</v>
      </c>
      <c r="O2126" s="85"/>
      <c r="P2126" s="85">
        <f ca="1">IFERROR(__xludf.DUMMYFUNCTION("""COMPUTED_VALUE"""),0)</f>
        <v>0</v>
      </c>
      <c r="Q2126" s="85"/>
      <c r="R2126" s="85">
        <f ca="1">IFERROR(__xludf.DUMMYFUNCTION("""COMPUTED_VALUE"""),0)</f>
        <v>0</v>
      </c>
      <c r="S2126" s="85"/>
      <c r="T2126" s="85"/>
      <c r="U2126" s="82"/>
      <c r="V2126" s="82"/>
      <c r="W2126" s="83"/>
      <c r="X2126" s="83"/>
      <c r="Y2126" s="83"/>
    </row>
    <row r="2127" spans="1:25" ht="13.8">
      <c r="A2127" s="78" t="str">
        <f ca="1">IFERROR(__xludf.DUMMYFUNCTION("""COMPUTED_VALUE"""),"THA")</f>
        <v>THA</v>
      </c>
      <c r="B2127" s="79" t="str">
        <f ca="1">IFERROR(__xludf.DUMMYFUNCTION("""COMPUTED_VALUE"""),"Ewan Girard")</f>
        <v>Ewan Girard</v>
      </c>
      <c r="C2127" s="78">
        <f ca="1">IFERROR(__xludf.DUMMYFUNCTION("""COMPUTED_VALUE"""),8)</f>
        <v>8</v>
      </c>
      <c r="D2127" s="78" t="str">
        <f ca="1">IFERROR(__xludf.DUMMYFUNCTION("""COMPUTED_VALUE"""),"B")</f>
        <v>B</v>
      </c>
      <c r="E2127" s="80" t="str">
        <f ca="1">IFERROR(__xludf.DUMMYFUNCTION("""COMPUTED_VALUE"""),"F")</f>
        <v>F</v>
      </c>
      <c r="F2127" s="86" t="str">
        <f ca="1">IFERROR(__xludf.DUMMYFUNCTION("""COMPUTED_VALUE"""),"J")</f>
        <v>J</v>
      </c>
      <c r="G2127" s="86">
        <f ca="1">IFERROR(__xludf.DUMMYFUNCTION("""COMPUTED_VALUE"""),1)</f>
        <v>1</v>
      </c>
      <c r="H2127" s="86" t="str">
        <f ca="1">IFERROR(__xludf.DUMMYFUNCTION("""COMPUTED_VALUE"""),"THA")</f>
        <v>THA</v>
      </c>
      <c r="I2127" s="86">
        <f ca="1">IFERROR(__xludf.DUMMYFUNCTION("""COMPUTED_VALUE"""),3)</f>
        <v>3</v>
      </c>
      <c r="J2127" s="85">
        <f ca="1">IFERROR(__xludf.DUMMYFUNCTION("""COMPUTED_VALUE"""),5)</f>
        <v>5</v>
      </c>
      <c r="K2127" s="85">
        <f ca="1">IFERROR(__xludf.DUMMYFUNCTION("""COMPUTED_VALUE"""),39.15)</f>
        <v>39.15</v>
      </c>
      <c r="L2127" s="85">
        <f ca="1">IFERROR(__xludf.DUMMYFUNCTION("""COMPUTED_VALUE"""),23.65)</f>
        <v>23.65</v>
      </c>
      <c r="M2127" s="85"/>
      <c r="N2127" s="85">
        <f ca="1">IFERROR(__xludf.DUMMYFUNCTION("""COMPUTED_VALUE"""),30.45)</f>
        <v>30.45</v>
      </c>
      <c r="O2127" s="85"/>
      <c r="P2127" s="85">
        <f ca="1">IFERROR(__xludf.DUMMYFUNCTION("""COMPUTED_VALUE"""),26.95)</f>
        <v>26.95</v>
      </c>
      <c r="Q2127" s="85"/>
      <c r="R2127" s="85">
        <f ca="1">IFERROR(__xludf.DUMMYFUNCTION("""COMPUTED_VALUE"""),39.15)</f>
        <v>39.15</v>
      </c>
      <c r="S2127" s="85"/>
      <c r="T2127" s="85"/>
      <c r="U2127" s="82"/>
      <c r="V2127" s="82"/>
      <c r="W2127" s="83"/>
      <c r="X2127" s="83"/>
      <c r="Y2127" s="83"/>
    </row>
    <row r="2128" spans="1:25" ht="13.8">
      <c r="A2128" s="78" t="str">
        <f ca="1">IFERROR(__xludf.DUMMYFUNCTION("""COMPUTED_VALUE"""),"THA")</f>
        <v>THA</v>
      </c>
      <c r="B2128" s="79" t="str">
        <f ca="1">IFERROR(__xludf.DUMMYFUNCTION("""COMPUTED_VALUE"""),"Lucas Hanlon")</f>
        <v>Lucas Hanlon</v>
      </c>
      <c r="C2128" s="78">
        <f ca="1">IFERROR(__xludf.DUMMYFUNCTION("""COMPUTED_VALUE"""),9)</f>
        <v>9</v>
      </c>
      <c r="D2128" s="78" t="str">
        <f ca="1">IFERROR(__xludf.DUMMYFUNCTION("""COMPUTED_VALUE"""),"B")</f>
        <v>B</v>
      </c>
      <c r="E2128" s="80" t="str">
        <f ca="1">IFERROR(__xludf.DUMMYFUNCTION("""COMPUTED_VALUE"""),"F")</f>
        <v>F</v>
      </c>
      <c r="F2128" s="86" t="str">
        <f ca="1">IFERROR(__xludf.DUMMYFUNCTION("""COMPUTED_VALUE"""),"J")</f>
        <v>J</v>
      </c>
      <c r="G2128" s="86">
        <f ca="1">IFERROR(__xludf.DUMMYFUNCTION("""COMPUTED_VALUE"""),1)</f>
        <v>1</v>
      </c>
      <c r="H2128" s="86" t="str">
        <f ca="1">IFERROR(__xludf.DUMMYFUNCTION("""COMPUTED_VALUE"""),"THA")</f>
        <v>THA</v>
      </c>
      <c r="I2128" s="86">
        <f ca="1">IFERROR(__xludf.DUMMYFUNCTION("""COMPUTED_VALUE"""),3)</f>
        <v>3</v>
      </c>
      <c r="J2128" s="85">
        <f ca="1">IFERROR(__xludf.DUMMYFUNCTION("""COMPUTED_VALUE"""),0)</f>
        <v>0</v>
      </c>
      <c r="K2128" s="85">
        <f ca="1">IFERROR(__xludf.DUMMYFUNCTION("""COMPUTED_VALUE"""),0)</f>
        <v>0</v>
      </c>
      <c r="L2128" s="85">
        <f ca="1">IFERROR(__xludf.DUMMYFUNCTION("""COMPUTED_VALUE"""),0)</f>
        <v>0</v>
      </c>
      <c r="M2128" s="85"/>
      <c r="N2128" s="85">
        <f ca="1">IFERROR(__xludf.DUMMYFUNCTION("""COMPUTED_VALUE"""),0)</f>
        <v>0</v>
      </c>
      <c r="O2128" s="85"/>
      <c r="P2128" s="85">
        <f ca="1">IFERROR(__xludf.DUMMYFUNCTION("""COMPUTED_VALUE"""),0)</f>
        <v>0</v>
      </c>
      <c r="Q2128" s="85"/>
      <c r="R2128" s="85">
        <f ca="1">IFERROR(__xludf.DUMMYFUNCTION("""COMPUTED_VALUE"""),0)</f>
        <v>0</v>
      </c>
      <c r="S2128" s="85"/>
      <c r="T2128" s="85"/>
      <c r="U2128" s="82"/>
      <c r="V2128" s="82"/>
      <c r="W2128" s="83"/>
      <c r="X2128" s="83"/>
      <c r="Y2128" s="83"/>
    </row>
    <row r="2129" spans="1:25" ht="13.8">
      <c r="A2129" s="78" t="str">
        <f ca="1">IFERROR(__xludf.DUMMYFUNCTION("""COMPUTED_VALUE"""),"THA")</f>
        <v>THA</v>
      </c>
      <c r="B2129" s="79" t="str">
        <f ca="1">IFERROR(__xludf.DUMMYFUNCTION("""COMPUTED_VALUE"""),"Luke Kieffer")</f>
        <v>Luke Kieffer</v>
      </c>
      <c r="C2129" s="78">
        <f ca="1">IFERROR(__xludf.DUMMYFUNCTION("""COMPUTED_VALUE"""),8)</f>
        <v>8</v>
      </c>
      <c r="D2129" s="78" t="str">
        <f ca="1">IFERROR(__xludf.DUMMYFUNCTION("""COMPUTED_VALUE"""),"B")</f>
        <v>B</v>
      </c>
      <c r="E2129" s="80" t="str">
        <f ca="1">IFERROR(__xludf.DUMMYFUNCTION("""COMPUTED_VALUE"""),"F")</f>
        <v>F</v>
      </c>
      <c r="F2129" s="86" t="str">
        <f ca="1">IFERROR(__xludf.DUMMYFUNCTION("""COMPUTED_VALUE"""),"J")</f>
        <v>J</v>
      </c>
      <c r="G2129" s="86">
        <f ca="1">IFERROR(__xludf.DUMMYFUNCTION("""COMPUTED_VALUE"""),1)</f>
        <v>1</v>
      </c>
      <c r="H2129" s="86" t="str">
        <f ca="1">IFERROR(__xludf.DUMMYFUNCTION("""COMPUTED_VALUE"""),"THA")</f>
        <v>THA</v>
      </c>
      <c r="I2129" s="86">
        <f ca="1">IFERROR(__xludf.DUMMYFUNCTION("""COMPUTED_VALUE"""),3)</f>
        <v>3</v>
      </c>
      <c r="J2129" s="85">
        <f ca="1">IFERROR(__xludf.DUMMYFUNCTION("""COMPUTED_VALUE"""),3)</f>
        <v>3</v>
      </c>
      <c r="K2129" s="85">
        <f ca="1">IFERROR(__xludf.DUMMYFUNCTION("""COMPUTED_VALUE"""),37.1)</f>
        <v>37.1</v>
      </c>
      <c r="L2129" s="85">
        <f ca="1">IFERROR(__xludf.DUMMYFUNCTION("""COMPUTED_VALUE"""),0)</f>
        <v>0</v>
      </c>
      <c r="M2129" s="85"/>
      <c r="N2129" s="85">
        <f ca="1">IFERROR(__xludf.DUMMYFUNCTION("""COMPUTED_VALUE"""),34.25)</f>
        <v>34.25</v>
      </c>
      <c r="O2129" s="85"/>
      <c r="P2129" s="85">
        <f ca="1">IFERROR(__xludf.DUMMYFUNCTION("""COMPUTED_VALUE"""),0)</f>
        <v>0</v>
      </c>
      <c r="Q2129" s="85"/>
      <c r="R2129" s="85">
        <f ca="1">IFERROR(__xludf.DUMMYFUNCTION("""COMPUTED_VALUE"""),37.1)</f>
        <v>37.1</v>
      </c>
      <c r="S2129" s="85"/>
      <c r="T2129" s="85"/>
      <c r="U2129" s="82"/>
      <c r="V2129" s="82"/>
      <c r="W2129" s="83"/>
      <c r="X2129" s="83"/>
      <c r="Y2129" s="83"/>
    </row>
    <row r="2130" spans="1:25" ht="13.8">
      <c r="A2130" s="78" t="str">
        <f ca="1">IFERROR(__xludf.DUMMYFUNCTION("""COMPUTED_VALUE"""),"THA")</f>
        <v>THA</v>
      </c>
      <c r="B2130" s="79" t="str">
        <f ca="1">IFERROR(__xludf.DUMMYFUNCTION("""COMPUTED_VALUE"""),"Peter Lucado")</f>
        <v>Peter Lucado</v>
      </c>
      <c r="C2130" s="78">
        <f ca="1">IFERROR(__xludf.DUMMYFUNCTION("""COMPUTED_VALUE"""),10)</f>
        <v>10</v>
      </c>
      <c r="D2130" s="78" t="str">
        <f ca="1">IFERROR(__xludf.DUMMYFUNCTION("""COMPUTED_VALUE"""),"B")</f>
        <v>B</v>
      </c>
      <c r="E2130" s="80" t="str">
        <f ca="1">IFERROR(__xludf.DUMMYFUNCTION("""COMPUTED_VALUE"""),"F")</f>
        <v>F</v>
      </c>
      <c r="F2130" s="86" t="str">
        <f ca="1">IFERROR(__xludf.DUMMYFUNCTION("""COMPUTED_VALUE"""),"J")</f>
        <v>J</v>
      </c>
      <c r="G2130" s="86">
        <f ca="1">IFERROR(__xludf.DUMMYFUNCTION("""COMPUTED_VALUE"""),1)</f>
        <v>1</v>
      </c>
      <c r="H2130" s="86" t="str">
        <f ca="1">IFERROR(__xludf.DUMMYFUNCTION("""COMPUTED_VALUE"""),"THA")</f>
        <v>THA</v>
      </c>
      <c r="I2130" s="86">
        <f ca="1">IFERROR(__xludf.DUMMYFUNCTION("""COMPUTED_VALUE"""),3)</f>
        <v>3</v>
      </c>
      <c r="J2130" s="85">
        <f ca="1">IFERROR(__xludf.DUMMYFUNCTION("""COMPUTED_VALUE"""),5)</f>
        <v>5</v>
      </c>
      <c r="K2130" s="85">
        <f ca="1">IFERROR(__xludf.DUMMYFUNCTION("""COMPUTED_VALUE"""),59.45)</f>
        <v>59.45</v>
      </c>
      <c r="L2130" s="85">
        <f ca="1">IFERROR(__xludf.DUMMYFUNCTION("""COMPUTED_VALUE"""),53.1)</f>
        <v>53.1</v>
      </c>
      <c r="M2130" s="85"/>
      <c r="N2130" s="85">
        <f ca="1">IFERROR(__xludf.DUMMYFUNCTION("""COMPUTED_VALUE"""),59.45)</f>
        <v>59.45</v>
      </c>
      <c r="O2130" s="85"/>
      <c r="P2130" s="85">
        <f ca="1">IFERROR(__xludf.DUMMYFUNCTION("""COMPUTED_VALUE"""),52.05)</f>
        <v>52.05</v>
      </c>
      <c r="Q2130" s="85"/>
      <c r="R2130" s="85">
        <f ca="1">IFERROR(__xludf.DUMMYFUNCTION("""COMPUTED_VALUE"""),42.65)</f>
        <v>42.65</v>
      </c>
      <c r="S2130" s="85"/>
      <c r="T2130" s="85"/>
      <c r="U2130" s="82"/>
      <c r="V2130" s="82"/>
      <c r="W2130" s="83"/>
      <c r="X2130" s="83"/>
      <c r="Y2130" s="83"/>
    </row>
    <row r="2131" spans="1:25" ht="13.8">
      <c r="A2131" s="78" t="str">
        <f ca="1">IFERROR(__xludf.DUMMYFUNCTION("""COMPUTED_VALUE"""),"THA")</f>
        <v>THA</v>
      </c>
      <c r="B2131" s="79" t="str">
        <f ca="1">IFERROR(__xludf.DUMMYFUNCTION("""COMPUTED_VALUE"""),"Owen McKeever")</f>
        <v>Owen McKeever</v>
      </c>
      <c r="C2131" s="78">
        <f ca="1">IFERROR(__xludf.DUMMYFUNCTION("""COMPUTED_VALUE"""),7)</f>
        <v>7</v>
      </c>
      <c r="D2131" s="78" t="str">
        <f ca="1">IFERROR(__xludf.DUMMYFUNCTION("""COMPUTED_VALUE"""),"B")</f>
        <v>B</v>
      </c>
      <c r="E2131" s="80" t="str">
        <f ca="1">IFERROR(__xludf.DUMMYFUNCTION("""COMPUTED_VALUE"""),"F")</f>
        <v>F</v>
      </c>
      <c r="F2131" s="86" t="str">
        <f ca="1">IFERROR(__xludf.DUMMYFUNCTION("""COMPUTED_VALUE"""),"J")</f>
        <v>J</v>
      </c>
      <c r="G2131" s="86">
        <f ca="1">IFERROR(__xludf.DUMMYFUNCTION("""COMPUTED_VALUE"""),1)</f>
        <v>1</v>
      </c>
      <c r="H2131" s="86" t="str">
        <f ca="1">IFERROR(__xludf.DUMMYFUNCTION("""COMPUTED_VALUE"""),"THA")</f>
        <v>THA</v>
      </c>
      <c r="I2131" s="86">
        <f ca="1">IFERROR(__xludf.DUMMYFUNCTION("""COMPUTED_VALUE"""),3)</f>
        <v>3</v>
      </c>
      <c r="J2131" s="85">
        <f ca="1">IFERROR(__xludf.DUMMYFUNCTION("""COMPUTED_VALUE"""),3)</f>
        <v>3</v>
      </c>
      <c r="K2131" s="85">
        <f ca="1">IFERROR(__xludf.DUMMYFUNCTION("""COMPUTED_VALUE"""),21.4)</f>
        <v>21.4</v>
      </c>
      <c r="L2131" s="85">
        <f ca="1">IFERROR(__xludf.DUMMYFUNCTION("""COMPUTED_VALUE"""),21.4)</f>
        <v>21.4</v>
      </c>
      <c r="M2131" s="85"/>
      <c r="N2131" s="85">
        <f ca="1">IFERROR(__xludf.DUMMYFUNCTION("""COMPUTED_VALUE"""),20.6)</f>
        <v>20.6</v>
      </c>
      <c r="O2131" s="85"/>
      <c r="P2131" s="85">
        <f ca="1">IFERROR(__xludf.DUMMYFUNCTION("""COMPUTED_VALUE"""),19.85)</f>
        <v>19.850000000000001</v>
      </c>
      <c r="Q2131" s="85"/>
      <c r="R2131" s="85">
        <f ca="1">IFERROR(__xludf.DUMMYFUNCTION("""COMPUTED_VALUE"""),0)</f>
        <v>0</v>
      </c>
      <c r="S2131" s="85"/>
      <c r="T2131" s="85"/>
      <c r="U2131" s="82"/>
      <c r="V2131" s="82"/>
      <c r="W2131" s="83"/>
      <c r="X2131" s="83"/>
      <c r="Y2131" s="83"/>
    </row>
    <row r="2132" spans="1:25" ht="13.8">
      <c r="A2132" s="78" t="str">
        <f ca="1">IFERROR(__xludf.DUMMYFUNCTION("""COMPUTED_VALUE"""),"THA")</f>
        <v>THA</v>
      </c>
      <c r="B2132" s="79" t="str">
        <f ca="1">IFERROR(__xludf.DUMMYFUNCTION("""COMPUTED_VALUE"""),"Callum Pitera")</f>
        <v>Callum Pitera</v>
      </c>
      <c r="C2132" s="78">
        <f ca="1">IFERROR(__xludf.DUMMYFUNCTION("""COMPUTED_VALUE"""),7)</f>
        <v>7</v>
      </c>
      <c r="D2132" s="78" t="str">
        <f ca="1">IFERROR(__xludf.DUMMYFUNCTION("""COMPUTED_VALUE"""),"B")</f>
        <v>B</v>
      </c>
      <c r="E2132" s="80" t="str">
        <f ca="1">IFERROR(__xludf.DUMMYFUNCTION("""COMPUTED_VALUE"""),"F")</f>
        <v>F</v>
      </c>
      <c r="F2132" s="86" t="str">
        <f ca="1">IFERROR(__xludf.DUMMYFUNCTION("""COMPUTED_VALUE"""),"J")</f>
        <v>J</v>
      </c>
      <c r="G2132" s="86">
        <f ca="1">IFERROR(__xludf.DUMMYFUNCTION("""COMPUTED_VALUE"""),1)</f>
        <v>1</v>
      </c>
      <c r="H2132" s="86" t="str">
        <f ca="1">IFERROR(__xludf.DUMMYFUNCTION("""COMPUTED_VALUE"""),"THA")</f>
        <v>THA</v>
      </c>
      <c r="I2132" s="86">
        <f ca="1">IFERROR(__xludf.DUMMYFUNCTION("""COMPUTED_VALUE"""),3)</f>
        <v>3</v>
      </c>
      <c r="J2132" s="85">
        <f ca="1">IFERROR(__xludf.DUMMYFUNCTION("""COMPUTED_VALUE"""),0)</f>
        <v>0</v>
      </c>
      <c r="K2132" s="85">
        <f ca="1">IFERROR(__xludf.DUMMYFUNCTION("""COMPUTED_VALUE"""),0)</f>
        <v>0</v>
      </c>
      <c r="L2132" s="85">
        <f ca="1">IFERROR(__xludf.DUMMYFUNCTION("""COMPUTED_VALUE"""),0)</f>
        <v>0</v>
      </c>
      <c r="M2132" s="85"/>
      <c r="N2132" s="85">
        <f ca="1">IFERROR(__xludf.DUMMYFUNCTION("""COMPUTED_VALUE"""),0)</f>
        <v>0</v>
      </c>
      <c r="O2132" s="85"/>
      <c r="P2132" s="85">
        <f ca="1">IFERROR(__xludf.DUMMYFUNCTION("""COMPUTED_VALUE"""),0)</f>
        <v>0</v>
      </c>
      <c r="Q2132" s="85"/>
      <c r="R2132" s="85">
        <f ca="1">IFERROR(__xludf.DUMMYFUNCTION("""COMPUTED_VALUE"""),0)</f>
        <v>0</v>
      </c>
      <c r="S2132" s="85"/>
      <c r="T2132" s="85"/>
      <c r="U2132" s="82"/>
      <c r="V2132" s="82"/>
      <c r="W2132" s="83"/>
      <c r="X2132" s="83"/>
      <c r="Y2132" s="83"/>
    </row>
    <row r="2133" spans="1:25" ht="13.8">
      <c r="A2133" s="78" t="str">
        <f ca="1">IFERROR(__xludf.DUMMYFUNCTION("""COMPUTED_VALUE"""),"THA")</f>
        <v>THA</v>
      </c>
      <c r="B2133" s="79" t="str">
        <f ca="1">IFERROR(__xludf.DUMMYFUNCTION("""COMPUTED_VALUE"""),"Cameron Pitera")</f>
        <v>Cameron Pitera</v>
      </c>
      <c r="C2133" s="78">
        <f ca="1">IFERROR(__xludf.DUMMYFUNCTION("""COMPUTED_VALUE"""),8)</f>
        <v>8</v>
      </c>
      <c r="D2133" s="78" t="str">
        <f ca="1">IFERROR(__xludf.DUMMYFUNCTION("""COMPUTED_VALUE"""),"B")</f>
        <v>B</v>
      </c>
      <c r="E2133" s="80" t="str">
        <f ca="1">IFERROR(__xludf.DUMMYFUNCTION("""COMPUTED_VALUE"""),"F")</f>
        <v>F</v>
      </c>
      <c r="F2133" s="86" t="str">
        <f ca="1">IFERROR(__xludf.DUMMYFUNCTION("""COMPUTED_VALUE"""),"J")</f>
        <v>J</v>
      </c>
      <c r="G2133" s="86">
        <f ca="1">IFERROR(__xludf.DUMMYFUNCTION("""COMPUTED_VALUE"""),1)</f>
        <v>1</v>
      </c>
      <c r="H2133" s="86" t="str">
        <f ca="1">IFERROR(__xludf.DUMMYFUNCTION("""COMPUTED_VALUE"""),"THA")</f>
        <v>THA</v>
      </c>
      <c r="I2133" s="86">
        <f ca="1">IFERROR(__xludf.DUMMYFUNCTION("""COMPUTED_VALUE"""),3)</f>
        <v>3</v>
      </c>
      <c r="J2133" s="85">
        <f ca="1">IFERROR(__xludf.DUMMYFUNCTION("""COMPUTED_VALUE"""),0)</f>
        <v>0</v>
      </c>
      <c r="K2133" s="85">
        <f ca="1">IFERROR(__xludf.DUMMYFUNCTION("""COMPUTED_VALUE"""),0)</f>
        <v>0</v>
      </c>
      <c r="L2133" s="85">
        <f ca="1">IFERROR(__xludf.DUMMYFUNCTION("""COMPUTED_VALUE"""),0)</f>
        <v>0</v>
      </c>
      <c r="M2133" s="85"/>
      <c r="N2133" s="85">
        <f ca="1">IFERROR(__xludf.DUMMYFUNCTION("""COMPUTED_VALUE"""),0)</f>
        <v>0</v>
      </c>
      <c r="O2133" s="85"/>
      <c r="P2133" s="85">
        <f ca="1">IFERROR(__xludf.DUMMYFUNCTION("""COMPUTED_VALUE"""),0)</f>
        <v>0</v>
      </c>
      <c r="Q2133" s="85"/>
      <c r="R2133" s="85">
        <f ca="1">IFERROR(__xludf.DUMMYFUNCTION("""COMPUTED_VALUE"""),0)</f>
        <v>0</v>
      </c>
      <c r="S2133" s="85"/>
      <c r="T2133" s="85"/>
      <c r="U2133" s="82"/>
      <c r="V2133" s="82"/>
      <c r="W2133" s="83"/>
      <c r="X2133" s="83"/>
      <c r="Y2133" s="83"/>
    </row>
    <row r="2134" spans="1:25" ht="13.8">
      <c r="A2134" s="78" t="str">
        <f ca="1">IFERROR(__xludf.DUMMYFUNCTION("""COMPUTED_VALUE"""),"THA")</f>
        <v>THA</v>
      </c>
      <c r="B2134" s="79" t="str">
        <f ca="1">IFERROR(__xludf.DUMMYFUNCTION("""COMPUTED_VALUE"""),"Finlay Sandberg")</f>
        <v>Finlay Sandberg</v>
      </c>
      <c r="C2134" s="78">
        <f ca="1">IFERROR(__xludf.DUMMYFUNCTION("""COMPUTED_VALUE"""),9)</f>
        <v>9</v>
      </c>
      <c r="D2134" s="78" t="str">
        <f ca="1">IFERROR(__xludf.DUMMYFUNCTION("""COMPUTED_VALUE"""),"B")</f>
        <v>B</v>
      </c>
      <c r="E2134" s="80" t="str">
        <f ca="1">IFERROR(__xludf.DUMMYFUNCTION("""COMPUTED_VALUE"""),"F")</f>
        <v>F</v>
      </c>
      <c r="F2134" s="86" t="str">
        <f ca="1">IFERROR(__xludf.DUMMYFUNCTION("""COMPUTED_VALUE"""),"J")</f>
        <v>J</v>
      </c>
      <c r="G2134" s="86">
        <f ca="1">IFERROR(__xludf.DUMMYFUNCTION("""COMPUTED_VALUE"""),1)</f>
        <v>1</v>
      </c>
      <c r="H2134" s="86" t="str">
        <f ca="1">IFERROR(__xludf.DUMMYFUNCTION("""COMPUTED_VALUE"""),"THA")</f>
        <v>THA</v>
      </c>
      <c r="I2134" s="86">
        <f ca="1">IFERROR(__xludf.DUMMYFUNCTION("""COMPUTED_VALUE"""),3)</f>
        <v>3</v>
      </c>
      <c r="J2134" s="85">
        <f ca="1">IFERROR(__xludf.DUMMYFUNCTION("""COMPUTED_VALUE"""),1)</f>
        <v>1</v>
      </c>
      <c r="K2134" s="85">
        <f ca="1">IFERROR(__xludf.DUMMYFUNCTION("""COMPUTED_VALUE"""),32.6)</f>
        <v>32.6</v>
      </c>
      <c r="L2134" s="85">
        <f ca="1">IFERROR(__xludf.DUMMYFUNCTION("""COMPUTED_VALUE"""),0)</f>
        <v>0</v>
      </c>
      <c r="M2134" s="85"/>
      <c r="N2134" s="85">
        <f ca="1">IFERROR(__xludf.DUMMYFUNCTION("""COMPUTED_VALUE"""),0)</f>
        <v>0</v>
      </c>
      <c r="O2134" s="85"/>
      <c r="P2134" s="85">
        <f ca="1">IFERROR(__xludf.DUMMYFUNCTION("""COMPUTED_VALUE"""),0)</f>
        <v>0</v>
      </c>
      <c r="Q2134" s="85"/>
      <c r="R2134" s="85">
        <f ca="1">IFERROR(__xludf.DUMMYFUNCTION("""COMPUTED_VALUE"""),32.6)</f>
        <v>32.6</v>
      </c>
      <c r="S2134" s="85"/>
      <c r="T2134" s="85"/>
      <c r="U2134" s="82"/>
      <c r="V2134" s="82"/>
      <c r="W2134" s="83"/>
      <c r="X2134" s="83"/>
      <c r="Y2134" s="83"/>
    </row>
    <row r="2135" spans="1:25" ht="13.8">
      <c r="A2135" s="78" t="str">
        <f ca="1">IFERROR(__xludf.DUMMYFUNCTION("""COMPUTED_VALUE"""),"THA")</f>
        <v>THA</v>
      </c>
      <c r="B2135" s="79" t="str">
        <f ca="1">IFERROR(__xludf.DUMMYFUNCTION("""COMPUTED_VALUE"""),"Daniel Shang")</f>
        <v>Daniel Shang</v>
      </c>
      <c r="C2135" s="78">
        <f ca="1">IFERROR(__xludf.DUMMYFUNCTION("""COMPUTED_VALUE"""),7)</f>
        <v>7</v>
      </c>
      <c r="D2135" s="78" t="str">
        <f ca="1">IFERROR(__xludf.DUMMYFUNCTION("""COMPUTED_VALUE"""),"B")</f>
        <v>B</v>
      </c>
      <c r="E2135" s="80" t="str">
        <f ca="1">IFERROR(__xludf.DUMMYFUNCTION("""COMPUTED_VALUE"""),"F")</f>
        <v>F</v>
      </c>
      <c r="F2135" s="86" t="str">
        <f ca="1">IFERROR(__xludf.DUMMYFUNCTION("""COMPUTED_VALUE"""),"J")</f>
        <v>J</v>
      </c>
      <c r="G2135" s="86">
        <f ca="1">IFERROR(__xludf.DUMMYFUNCTION("""COMPUTED_VALUE"""),1)</f>
        <v>1</v>
      </c>
      <c r="H2135" s="86" t="str">
        <f ca="1">IFERROR(__xludf.DUMMYFUNCTION("""COMPUTED_VALUE"""),"THA")</f>
        <v>THA</v>
      </c>
      <c r="I2135" s="86">
        <f ca="1">IFERROR(__xludf.DUMMYFUNCTION("""COMPUTED_VALUE"""),3)</f>
        <v>3</v>
      </c>
      <c r="J2135" s="85">
        <f ca="1">IFERROR(__xludf.DUMMYFUNCTION("""COMPUTED_VALUE"""),0)</f>
        <v>0</v>
      </c>
      <c r="K2135" s="85">
        <f ca="1">IFERROR(__xludf.DUMMYFUNCTION("""COMPUTED_VALUE"""),0)</f>
        <v>0</v>
      </c>
      <c r="L2135" s="85">
        <f ca="1">IFERROR(__xludf.DUMMYFUNCTION("""COMPUTED_VALUE"""),0)</f>
        <v>0</v>
      </c>
      <c r="M2135" s="85"/>
      <c r="N2135" s="85">
        <f ca="1">IFERROR(__xludf.DUMMYFUNCTION("""COMPUTED_VALUE"""),0)</f>
        <v>0</v>
      </c>
      <c r="O2135" s="85"/>
      <c r="P2135" s="85">
        <f ca="1">IFERROR(__xludf.DUMMYFUNCTION("""COMPUTED_VALUE"""),0)</f>
        <v>0</v>
      </c>
      <c r="Q2135" s="85"/>
      <c r="R2135" s="85">
        <f ca="1">IFERROR(__xludf.DUMMYFUNCTION("""COMPUTED_VALUE"""),0)</f>
        <v>0</v>
      </c>
      <c r="S2135" s="85"/>
      <c r="T2135" s="85"/>
      <c r="U2135" s="82"/>
      <c r="V2135" s="82"/>
      <c r="W2135" s="83"/>
      <c r="X2135" s="83"/>
      <c r="Y2135" s="83"/>
    </row>
    <row r="2136" spans="1:25" ht="13.8">
      <c r="A2136" s="78" t="str">
        <f ca="1">IFERROR(__xludf.DUMMYFUNCTION("""COMPUTED_VALUE"""),"THA")</f>
        <v>THA</v>
      </c>
      <c r="B2136" s="79" t="str">
        <f ca="1">IFERROR(__xludf.DUMMYFUNCTION("""COMPUTED_VALUE"""),"Charlotte Albosta")</f>
        <v>Charlotte Albosta</v>
      </c>
      <c r="C2136" s="78">
        <f ca="1">IFERROR(__xludf.DUMMYFUNCTION("""COMPUTED_VALUE"""),11)</f>
        <v>11</v>
      </c>
      <c r="D2136" s="78" t="str">
        <f ca="1">IFERROR(__xludf.DUMMYFUNCTION("""COMPUTED_VALUE"""),"G")</f>
        <v>G</v>
      </c>
      <c r="E2136" s="80" t="str">
        <f ca="1">IFERROR(__xludf.DUMMYFUNCTION("""COMPUTED_VALUE"""),"J")</f>
        <v>J</v>
      </c>
      <c r="F2136" s="86" t="str">
        <f ca="1">IFERROR(__xludf.DUMMYFUNCTION("""COMPUTED_VALUE"""),"I")</f>
        <v>I</v>
      </c>
      <c r="G2136" s="86">
        <f ca="1">IFERROR(__xludf.DUMMYFUNCTION("""COMPUTED_VALUE"""),1)</f>
        <v>1</v>
      </c>
      <c r="H2136" s="86" t="str">
        <f ca="1">IFERROR(__xludf.DUMMYFUNCTION("""COMPUTED_VALUE"""),"THA")</f>
        <v>THA</v>
      </c>
      <c r="I2136" s="86">
        <f ca="1">IFERROR(__xludf.DUMMYFUNCTION("""COMPUTED_VALUE"""),4)</f>
        <v>4</v>
      </c>
      <c r="J2136" s="85">
        <f ca="1">IFERROR(__xludf.DUMMYFUNCTION("""COMPUTED_VALUE"""),0)</f>
        <v>0</v>
      </c>
      <c r="K2136" s="85">
        <f ca="1">IFERROR(__xludf.DUMMYFUNCTION("""COMPUTED_VALUE"""),0)</f>
        <v>0</v>
      </c>
      <c r="L2136" s="85">
        <f ca="1">IFERROR(__xludf.DUMMYFUNCTION("""COMPUTED_VALUE"""),0)</f>
        <v>0</v>
      </c>
      <c r="M2136" s="85"/>
      <c r="N2136" s="85">
        <f ca="1">IFERROR(__xludf.DUMMYFUNCTION("""COMPUTED_VALUE"""),0)</f>
        <v>0</v>
      </c>
      <c r="O2136" s="85"/>
      <c r="P2136" s="85">
        <f ca="1">IFERROR(__xludf.DUMMYFUNCTION("""COMPUTED_VALUE"""),0)</f>
        <v>0</v>
      </c>
      <c r="Q2136" s="85"/>
      <c r="R2136" s="85">
        <f ca="1">IFERROR(__xludf.DUMMYFUNCTION("""COMPUTED_VALUE"""),0)</f>
        <v>0</v>
      </c>
      <c r="S2136" s="85"/>
      <c r="T2136" s="85"/>
      <c r="U2136" s="82"/>
      <c r="V2136" s="82"/>
      <c r="W2136" s="83"/>
      <c r="X2136" s="83"/>
      <c r="Y2136" s="83"/>
    </row>
    <row r="2137" spans="1:25" ht="13.8">
      <c r="A2137" s="78" t="str">
        <f ca="1">IFERROR(__xludf.DUMMYFUNCTION("""COMPUTED_VALUE"""),"THA")</f>
        <v>THA</v>
      </c>
      <c r="B2137" s="79" t="str">
        <f ca="1">IFERROR(__xludf.DUMMYFUNCTION("""COMPUTED_VALUE"""),"Elsa Barzilai")</f>
        <v>Elsa Barzilai</v>
      </c>
      <c r="C2137" s="78">
        <f ca="1">IFERROR(__xludf.DUMMYFUNCTION("""COMPUTED_VALUE"""),12)</f>
        <v>12</v>
      </c>
      <c r="D2137" s="78" t="str">
        <f ca="1">IFERROR(__xludf.DUMMYFUNCTION("""COMPUTED_VALUE"""),"G")</f>
        <v>G</v>
      </c>
      <c r="E2137" s="80" t="str">
        <f ca="1">IFERROR(__xludf.DUMMYFUNCTION("""COMPUTED_VALUE"""),"J")</f>
        <v>J</v>
      </c>
      <c r="F2137" s="86" t="str">
        <f ca="1">IFERROR(__xludf.DUMMYFUNCTION("""COMPUTED_VALUE"""),"I")</f>
        <v>I</v>
      </c>
      <c r="G2137" s="86">
        <f ca="1">IFERROR(__xludf.DUMMYFUNCTION("""COMPUTED_VALUE"""),1)</f>
        <v>1</v>
      </c>
      <c r="H2137" s="86" t="str">
        <f ca="1">IFERROR(__xludf.DUMMYFUNCTION("""COMPUTED_VALUE"""),"THA")</f>
        <v>THA</v>
      </c>
      <c r="I2137" s="86">
        <f ca="1">IFERROR(__xludf.DUMMYFUNCTION("""COMPUTED_VALUE"""),4)</f>
        <v>4</v>
      </c>
      <c r="J2137" s="85">
        <f ca="1">IFERROR(__xludf.DUMMYFUNCTION("""COMPUTED_VALUE"""),4)</f>
        <v>4</v>
      </c>
      <c r="K2137" s="85">
        <f ca="1">IFERROR(__xludf.DUMMYFUNCTION("""COMPUTED_VALUE"""),57.7)</f>
        <v>57.7</v>
      </c>
      <c r="L2137" s="85">
        <f ca="1">IFERROR(__xludf.DUMMYFUNCTION("""COMPUTED_VALUE"""),53)</f>
        <v>53</v>
      </c>
      <c r="M2137" s="85"/>
      <c r="N2137" s="85">
        <f ca="1">IFERROR(__xludf.DUMMYFUNCTION("""COMPUTED_VALUE"""),0)</f>
        <v>0</v>
      </c>
      <c r="O2137" s="85"/>
      <c r="P2137" s="85">
        <f ca="1">IFERROR(__xludf.DUMMYFUNCTION("""COMPUTED_VALUE"""),56.85)</f>
        <v>56.85</v>
      </c>
      <c r="Q2137" s="85"/>
      <c r="R2137" s="85">
        <f ca="1">IFERROR(__xludf.DUMMYFUNCTION("""COMPUTED_VALUE"""),57.7)</f>
        <v>57.7</v>
      </c>
      <c r="S2137" s="85"/>
      <c r="T2137" s="85"/>
      <c r="U2137" s="82"/>
      <c r="V2137" s="82"/>
      <c r="W2137" s="83"/>
      <c r="X2137" s="83"/>
      <c r="Y2137" s="83"/>
    </row>
    <row r="2138" spans="1:25" ht="13.8">
      <c r="A2138" s="78" t="str">
        <f ca="1">IFERROR(__xludf.DUMMYFUNCTION("""COMPUTED_VALUE"""),"THA")</f>
        <v>THA</v>
      </c>
      <c r="B2138" s="79" t="str">
        <f ca="1">IFERROR(__xludf.DUMMYFUNCTION("""COMPUTED_VALUE"""),"Bryce Burton")</f>
        <v>Bryce Burton</v>
      </c>
      <c r="C2138" s="78">
        <f ca="1">IFERROR(__xludf.DUMMYFUNCTION("""COMPUTED_VALUE"""),12)</f>
        <v>12</v>
      </c>
      <c r="D2138" s="78" t="str">
        <f ca="1">IFERROR(__xludf.DUMMYFUNCTION("""COMPUTED_VALUE"""),"G")</f>
        <v>G</v>
      </c>
      <c r="E2138" s="80" t="str">
        <f ca="1">IFERROR(__xludf.DUMMYFUNCTION("""COMPUTED_VALUE"""),"J")</f>
        <v>J</v>
      </c>
      <c r="F2138" s="86" t="str">
        <f ca="1">IFERROR(__xludf.DUMMYFUNCTION("""COMPUTED_VALUE"""),"I")</f>
        <v>I</v>
      </c>
      <c r="G2138" s="86">
        <f ca="1">IFERROR(__xludf.DUMMYFUNCTION("""COMPUTED_VALUE"""),1)</f>
        <v>1</v>
      </c>
      <c r="H2138" s="86" t="str">
        <f ca="1">IFERROR(__xludf.DUMMYFUNCTION("""COMPUTED_VALUE"""),"THA")</f>
        <v>THA</v>
      </c>
      <c r="I2138" s="86">
        <f ca="1">IFERROR(__xludf.DUMMYFUNCTION("""COMPUTED_VALUE"""),4)</f>
        <v>4</v>
      </c>
      <c r="J2138" s="85">
        <f ca="1">IFERROR(__xludf.DUMMYFUNCTION("""COMPUTED_VALUE"""),4)</f>
        <v>4</v>
      </c>
      <c r="K2138" s="85">
        <f ca="1">IFERROR(__xludf.DUMMYFUNCTION("""COMPUTED_VALUE"""),75.3)</f>
        <v>75.3</v>
      </c>
      <c r="L2138" s="85">
        <f ca="1">IFERROR(__xludf.DUMMYFUNCTION("""COMPUTED_VALUE"""),63.45)</f>
        <v>63.45</v>
      </c>
      <c r="M2138" s="85"/>
      <c r="N2138" s="85">
        <f ca="1">IFERROR(__xludf.DUMMYFUNCTION("""COMPUTED_VALUE"""),75.3)</f>
        <v>75.3</v>
      </c>
      <c r="O2138" s="85"/>
      <c r="P2138" s="85">
        <f ca="1">IFERROR(__xludf.DUMMYFUNCTION("""COMPUTED_VALUE"""),74.9)</f>
        <v>74.900000000000006</v>
      </c>
      <c r="Q2138" s="85"/>
      <c r="R2138" s="85">
        <f ca="1">IFERROR(__xludf.DUMMYFUNCTION("""COMPUTED_VALUE"""),0)</f>
        <v>0</v>
      </c>
      <c r="S2138" s="85"/>
      <c r="T2138" s="85"/>
      <c r="U2138" s="82"/>
      <c r="V2138" s="82"/>
      <c r="W2138" s="83"/>
      <c r="X2138" s="83"/>
      <c r="Y2138" s="83"/>
    </row>
    <row r="2139" spans="1:25" ht="13.8">
      <c r="A2139" s="78" t="str">
        <f ca="1">IFERROR(__xludf.DUMMYFUNCTION("""COMPUTED_VALUE"""),"THA")</f>
        <v>THA</v>
      </c>
      <c r="B2139" s="79" t="str">
        <f ca="1">IFERROR(__xludf.DUMMYFUNCTION("""COMPUTED_VALUE"""),"Celeste Lucado")</f>
        <v>Celeste Lucado</v>
      </c>
      <c r="C2139" s="78">
        <f ca="1">IFERROR(__xludf.DUMMYFUNCTION("""COMPUTED_VALUE"""),12)</f>
        <v>12</v>
      </c>
      <c r="D2139" s="78" t="str">
        <f ca="1">IFERROR(__xludf.DUMMYFUNCTION("""COMPUTED_VALUE"""),"G")</f>
        <v>G</v>
      </c>
      <c r="E2139" s="80" t="str">
        <f ca="1">IFERROR(__xludf.DUMMYFUNCTION("""COMPUTED_VALUE"""),"J")</f>
        <v>J</v>
      </c>
      <c r="F2139" s="86" t="str">
        <f ca="1">IFERROR(__xludf.DUMMYFUNCTION("""COMPUTED_VALUE"""),"I")</f>
        <v>I</v>
      </c>
      <c r="G2139" s="86">
        <f ca="1">IFERROR(__xludf.DUMMYFUNCTION("""COMPUTED_VALUE"""),1)</f>
        <v>1</v>
      </c>
      <c r="H2139" s="86" t="str">
        <f ca="1">IFERROR(__xludf.DUMMYFUNCTION("""COMPUTED_VALUE"""),"THA")</f>
        <v>THA</v>
      </c>
      <c r="I2139" s="86">
        <f ca="1">IFERROR(__xludf.DUMMYFUNCTION("""COMPUTED_VALUE"""),4)</f>
        <v>4</v>
      </c>
      <c r="J2139" s="85">
        <f ca="1">IFERROR(__xludf.DUMMYFUNCTION("""COMPUTED_VALUE"""),5)</f>
        <v>5</v>
      </c>
      <c r="K2139" s="85">
        <f ca="1">IFERROR(__xludf.DUMMYFUNCTION("""COMPUTED_VALUE"""),81.25)</f>
        <v>81.25</v>
      </c>
      <c r="L2139" s="85">
        <f ca="1">IFERROR(__xludf.DUMMYFUNCTION("""COMPUTED_VALUE"""),73.5)</f>
        <v>73.5</v>
      </c>
      <c r="M2139" s="85"/>
      <c r="N2139" s="85">
        <f ca="1">IFERROR(__xludf.DUMMYFUNCTION("""COMPUTED_VALUE"""),-92.6)</f>
        <v>-92.6</v>
      </c>
      <c r="O2139" s="85"/>
      <c r="P2139" s="85">
        <f ca="1">IFERROR(__xludf.DUMMYFUNCTION("""COMPUTED_VALUE"""),-101)</f>
        <v>-101</v>
      </c>
      <c r="Q2139" s="85"/>
      <c r="R2139" s="85">
        <f ca="1">IFERROR(__xludf.DUMMYFUNCTION("""COMPUTED_VALUE"""),81.25)</f>
        <v>81.25</v>
      </c>
      <c r="S2139" s="85"/>
      <c r="T2139" s="85"/>
      <c r="U2139" s="82"/>
      <c r="V2139" s="82"/>
      <c r="W2139" s="83"/>
      <c r="X2139" s="83"/>
      <c r="Y2139" s="83"/>
    </row>
    <row r="2140" spans="1:25" ht="13.8">
      <c r="A2140" s="78" t="str">
        <f ca="1">IFERROR(__xludf.DUMMYFUNCTION("""COMPUTED_VALUE"""),"THA")</f>
        <v>THA</v>
      </c>
      <c r="B2140" s="79" t="str">
        <f ca="1">IFERROR(__xludf.DUMMYFUNCTION("""COMPUTED_VALUE"""),"Jake Hedrick")</f>
        <v>Jake Hedrick</v>
      </c>
      <c r="C2140" s="78">
        <f ca="1">IFERROR(__xludf.DUMMYFUNCTION("""COMPUTED_VALUE"""),11)</f>
        <v>11</v>
      </c>
      <c r="D2140" s="78" t="str">
        <f ca="1">IFERROR(__xludf.DUMMYFUNCTION("""COMPUTED_VALUE"""),"B")</f>
        <v>B</v>
      </c>
      <c r="E2140" s="80" t="str">
        <f ca="1">IFERROR(__xludf.DUMMYFUNCTION("""COMPUTED_VALUE"""),"J")</f>
        <v>J</v>
      </c>
      <c r="F2140" s="86" t="str">
        <f ca="1">IFERROR(__xludf.DUMMYFUNCTION("""COMPUTED_VALUE"""),"I")</f>
        <v>I</v>
      </c>
      <c r="G2140" s="86">
        <f ca="1">IFERROR(__xludf.DUMMYFUNCTION("""COMPUTED_VALUE"""),1)</f>
        <v>1</v>
      </c>
      <c r="H2140" s="86" t="str">
        <f ca="1">IFERROR(__xludf.DUMMYFUNCTION("""COMPUTED_VALUE"""),"THA")</f>
        <v>THA</v>
      </c>
      <c r="I2140" s="86">
        <f ca="1">IFERROR(__xludf.DUMMYFUNCTION("""COMPUTED_VALUE"""),5)</f>
        <v>5</v>
      </c>
      <c r="J2140" s="85">
        <f ca="1">IFERROR(__xludf.DUMMYFUNCTION("""COMPUTED_VALUE"""),5)</f>
        <v>5</v>
      </c>
      <c r="K2140" s="85">
        <f ca="1">IFERROR(__xludf.DUMMYFUNCTION("""COMPUTED_VALUE"""),68.75)</f>
        <v>68.75</v>
      </c>
      <c r="L2140" s="85">
        <f ca="1">IFERROR(__xludf.DUMMYFUNCTION("""COMPUTED_VALUE"""),67.95)</f>
        <v>67.95</v>
      </c>
      <c r="M2140" s="85"/>
      <c r="N2140" s="85">
        <f ca="1">IFERROR(__xludf.DUMMYFUNCTION("""COMPUTED_VALUE"""),68.75)</f>
        <v>68.75</v>
      </c>
      <c r="O2140" s="85"/>
      <c r="P2140" s="85">
        <f ca="1">IFERROR(__xludf.DUMMYFUNCTION("""COMPUTED_VALUE"""),66.6)</f>
        <v>66.599999999999994</v>
      </c>
      <c r="Q2140" s="85"/>
      <c r="R2140" s="85">
        <f ca="1">IFERROR(__xludf.DUMMYFUNCTION("""COMPUTED_VALUE"""),57.3)</f>
        <v>57.3</v>
      </c>
      <c r="S2140" s="85"/>
      <c r="T2140" s="85"/>
      <c r="U2140" s="82"/>
      <c r="V2140" s="82"/>
      <c r="W2140" s="83"/>
      <c r="X2140" s="83"/>
      <c r="Y2140" s="83"/>
    </row>
    <row r="2141" spans="1:25" ht="13.8">
      <c r="A2141" s="78" t="str">
        <f ca="1">IFERROR(__xludf.DUMMYFUNCTION("""COMPUTED_VALUE"""),"THA")</f>
        <v>THA</v>
      </c>
      <c r="B2141" s="79" t="str">
        <f ca="1">IFERROR(__xludf.DUMMYFUNCTION("""COMPUTED_VALUE"""),"Spencer Hughes")</f>
        <v>Spencer Hughes</v>
      </c>
      <c r="C2141" s="78">
        <f ca="1">IFERROR(__xludf.DUMMYFUNCTION("""COMPUTED_VALUE"""),11)</f>
        <v>11</v>
      </c>
      <c r="D2141" s="78" t="str">
        <f ca="1">IFERROR(__xludf.DUMMYFUNCTION("""COMPUTED_VALUE"""),"B")</f>
        <v>B</v>
      </c>
      <c r="E2141" s="80" t="str">
        <f ca="1">IFERROR(__xludf.DUMMYFUNCTION("""COMPUTED_VALUE"""),"J")</f>
        <v>J</v>
      </c>
      <c r="F2141" s="86" t="str">
        <f ca="1">IFERROR(__xludf.DUMMYFUNCTION("""COMPUTED_VALUE"""),"I")</f>
        <v>I</v>
      </c>
      <c r="G2141" s="86">
        <f ca="1">IFERROR(__xludf.DUMMYFUNCTION("""COMPUTED_VALUE"""),1)</f>
        <v>1</v>
      </c>
      <c r="H2141" s="86" t="str">
        <f ca="1">IFERROR(__xludf.DUMMYFUNCTION("""COMPUTED_VALUE"""),"THA")</f>
        <v>THA</v>
      </c>
      <c r="I2141" s="86">
        <f ca="1">IFERROR(__xludf.DUMMYFUNCTION("""COMPUTED_VALUE"""),5)</f>
        <v>5</v>
      </c>
      <c r="J2141" s="85">
        <f ca="1">IFERROR(__xludf.DUMMYFUNCTION("""COMPUTED_VALUE"""),0)</f>
        <v>0</v>
      </c>
      <c r="K2141" s="85">
        <f ca="1">IFERROR(__xludf.DUMMYFUNCTION("""COMPUTED_VALUE"""),0)</f>
        <v>0</v>
      </c>
      <c r="L2141" s="85">
        <f ca="1">IFERROR(__xludf.DUMMYFUNCTION("""COMPUTED_VALUE"""),0)</f>
        <v>0</v>
      </c>
      <c r="M2141" s="85"/>
      <c r="N2141" s="85">
        <f ca="1">IFERROR(__xludf.DUMMYFUNCTION("""COMPUTED_VALUE"""),0)</f>
        <v>0</v>
      </c>
      <c r="O2141" s="85"/>
      <c r="P2141" s="85">
        <f ca="1">IFERROR(__xludf.DUMMYFUNCTION("""COMPUTED_VALUE"""),0)</f>
        <v>0</v>
      </c>
      <c r="Q2141" s="85"/>
      <c r="R2141" s="85">
        <f ca="1">IFERROR(__xludf.DUMMYFUNCTION("""COMPUTED_VALUE"""),0)</f>
        <v>0</v>
      </c>
      <c r="S2141" s="85"/>
      <c r="T2141" s="85"/>
      <c r="U2141" s="82"/>
      <c r="V2141" s="82"/>
      <c r="W2141" s="83"/>
      <c r="X2141" s="83"/>
      <c r="Y2141" s="83"/>
    </row>
    <row r="2142" spans="1:25" ht="13.8">
      <c r="A2142" s="78" t="str">
        <f ca="1">IFERROR(__xludf.DUMMYFUNCTION("""COMPUTED_VALUE"""),"THA")</f>
        <v>THA</v>
      </c>
      <c r="B2142" s="79" t="str">
        <f ca="1">IFERROR(__xludf.DUMMYFUNCTION("""COMPUTED_VALUE"""),"Brady Lynch")</f>
        <v>Brady Lynch</v>
      </c>
      <c r="C2142" s="78">
        <f ca="1">IFERROR(__xludf.DUMMYFUNCTION("""COMPUTED_VALUE"""),11)</f>
        <v>11</v>
      </c>
      <c r="D2142" s="78" t="str">
        <f ca="1">IFERROR(__xludf.DUMMYFUNCTION("""COMPUTED_VALUE"""),"B")</f>
        <v>B</v>
      </c>
      <c r="E2142" s="80" t="str">
        <f ca="1">IFERROR(__xludf.DUMMYFUNCTION("""COMPUTED_VALUE"""),"J")</f>
        <v>J</v>
      </c>
      <c r="F2142" s="86" t="str">
        <f ca="1">IFERROR(__xludf.DUMMYFUNCTION("""COMPUTED_VALUE"""),"I")</f>
        <v>I</v>
      </c>
      <c r="G2142" s="86">
        <f ca="1">IFERROR(__xludf.DUMMYFUNCTION("""COMPUTED_VALUE"""),1)</f>
        <v>1</v>
      </c>
      <c r="H2142" s="86" t="str">
        <f ca="1">IFERROR(__xludf.DUMMYFUNCTION("""COMPUTED_VALUE"""),"THA")</f>
        <v>THA</v>
      </c>
      <c r="I2142" s="86">
        <f ca="1">IFERROR(__xludf.DUMMYFUNCTION("""COMPUTED_VALUE"""),5)</f>
        <v>5</v>
      </c>
      <c r="J2142" s="85">
        <f ca="1">IFERROR(__xludf.DUMMYFUNCTION("""COMPUTED_VALUE"""),3)</f>
        <v>3</v>
      </c>
      <c r="K2142" s="85">
        <f ca="1">IFERROR(__xludf.DUMMYFUNCTION("""COMPUTED_VALUE"""),61.05)</f>
        <v>61.05</v>
      </c>
      <c r="L2142" s="85">
        <f ca="1">IFERROR(__xludf.DUMMYFUNCTION("""COMPUTED_VALUE"""),0)</f>
        <v>0</v>
      </c>
      <c r="M2142" s="85"/>
      <c r="N2142" s="85">
        <f ca="1">IFERROR(__xludf.DUMMYFUNCTION("""COMPUTED_VALUE"""),61.05)</f>
        <v>61.05</v>
      </c>
      <c r="O2142" s="85"/>
      <c r="P2142" s="85">
        <f ca="1">IFERROR(__xludf.DUMMYFUNCTION("""COMPUTED_VALUE"""),-86.05)</f>
        <v>-86.05</v>
      </c>
      <c r="Q2142" s="85"/>
      <c r="R2142" s="85">
        <f ca="1">IFERROR(__xludf.DUMMYFUNCTION("""COMPUTED_VALUE"""),0)</f>
        <v>0</v>
      </c>
      <c r="S2142" s="85"/>
      <c r="T2142" s="85"/>
      <c r="U2142" s="82"/>
      <c r="V2142" s="82"/>
      <c r="W2142" s="83"/>
      <c r="X2142" s="83"/>
      <c r="Y2142" s="83"/>
    </row>
    <row r="2143" spans="1:25" ht="13.8">
      <c r="A2143" s="78" t="str">
        <f ca="1">IFERROR(__xludf.DUMMYFUNCTION("""COMPUTED_VALUE"""),"THA")</f>
        <v>THA</v>
      </c>
      <c r="B2143" s="79" t="str">
        <f ca="1">IFERROR(__xludf.DUMMYFUNCTION("""COMPUTED_VALUE"""),"Joseph Mangan")</f>
        <v>Joseph Mangan</v>
      </c>
      <c r="C2143" s="78">
        <f ca="1">IFERROR(__xludf.DUMMYFUNCTION("""COMPUTED_VALUE"""),12)</f>
        <v>12</v>
      </c>
      <c r="D2143" s="78" t="str">
        <f ca="1">IFERROR(__xludf.DUMMYFUNCTION("""COMPUTED_VALUE"""),"B")</f>
        <v>B</v>
      </c>
      <c r="E2143" s="80" t="str">
        <f ca="1">IFERROR(__xludf.DUMMYFUNCTION("""COMPUTED_VALUE"""),"J")</f>
        <v>J</v>
      </c>
      <c r="F2143" s="86" t="str">
        <f ca="1">IFERROR(__xludf.DUMMYFUNCTION("""COMPUTED_VALUE"""),"I")</f>
        <v>I</v>
      </c>
      <c r="G2143" s="86">
        <f ca="1">IFERROR(__xludf.DUMMYFUNCTION("""COMPUTED_VALUE"""),1)</f>
        <v>1</v>
      </c>
      <c r="H2143" s="86" t="str">
        <f ca="1">IFERROR(__xludf.DUMMYFUNCTION("""COMPUTED_VALUE"""),"THA")</f>
        <v>THA</v>
      </c>
      <c r="I2143" s="86">
        <f ca="1">IFERROR(__xludf.DUMMYFUNCTION("""COMPUTED_VALUE"""),5)</f>
        <v>5</v>
      </c>
      <c r="J2143" s="85">
        <f ca="1">IFERROR(__xludf.DUMMYFUNCTION("""COMPUTED_VALUE"""),5)</f>
        <v>5</v>
      </c>
      <c r="K2143" s="85">
        <f ca="1">IFERROR(__xludf.DUMMYFUNCTION("""COMPUTED_VALUE"""),90.8)</f>
        <v>90.8</v>
      </c>
      <c r="L2143" s="85">
        <f ca="1">IFERROR(__xludf.DUMMYFUNCTION("""COMPUTED_VALUE"""),77.55)</f>
        <v>77.55</v>
      </c>
      <c r="M2143" s="85"/>
      <c r="N2143" s="85">
        <f ca="1">IFERROR(__xludf.DUMMYFUNCTION("""COMPUTED_VALUE"""),90.8)</f>
        <v>90.8</v>
      </c>
      <c r="O2143" s="85"/>
      <c r="P2143" s="85">
        <f ca="1">IFERROR(__xludf.DUMMYFUNCTION("""COMPUTED_VALUE"""),87.3)</f>
        <v>87.3</v>
      </c>
      <c r="Q2143" s="85"/>
      <c r="R2143" s="85">
        <f ca="1">IFERROR(__xludf.DUMMYFUNCTION("""COMPUTED_VALUE"""),86.75)</f>
        <v>86.75</v>
      </c>
      <c r="S2143" s="85"/>
      <c r="T2143" s="85"/>
      <c r="U2143" s="82"/>
      <c r="V2143" s="82"/>
      <c r="W2143" s="83"/>
      <c r="X2143" s="83"/>
      <c r="Y2143" s="83"/>
    </row>
    <row r="2144" spans="1:25" ht="13.8">
      <c r="A2144" s="78" t="str">
        <f ca="1">IFERROR(__xludf.DUMMYFUNCTION("""COMPUTED_VALUE"""),"THA")</f>
        <v>THA</v>
      </c>
      <c r="B2144" s="79" t="str">
        <f ca="1">IFERROR(__xludf.DUMMYFUNCTION("""COMPUTED_VALUE"""),"Kierin McBride")</f>
        <v>Kierin McBride</v>
      </c>
      <c r="C2144" s="78">
        <f ca="1">IFERROR(__xludf.DUMMYFUNCTION("""COMPUTED_VALUE"""),12)</f>
        <v>12</v>
      </c>
      <c r="D2144" s="78" t="str">
        <f ca="1">IFERROR(__xludf.DUMMYFUNCTION("""COMPUTED_VALUE"""),"B")</f>
        <v>B</v>
      </c>
      <c r="E2144" s="80" t="str">
        <f ca="1">IFERROR(__xludf.DUMMYFUNCTION("""COMPUTED_VALUE"""),"J")</f>
        <v>J</v>
      </c>
      <c r="F2144" s="86" t="str">
        <f ca="1">IFERROR(__xludf.DUMMYFUNCTION("""COMPUTED_VALUE"""),"I")</f>
        <v>I</v>
      </c>
      <c r="G2144" s="86">
        <f ca="1">IFERROR(__xludf.DUMMYFUNCTION("""COMPUTED_VALUE"""),1)</f>
        <v>1</v>
      </c>
      <c r="H2144" s="86" t="str">
        <f ca="1">IFERROR(__xludf.DUMMYFUNCTION("""COMPUTED_VALUE"""),"THA")</f>
        <v>THA</v>
      </c>
      <c r="I2144" s="86">
        <f ca="1">IFERROR(__xludf.DUMMYFUNCTION("""COMPUTED_VALUE"""),5)</f>
        <v>5</v>
      </c>
      <c r="J2144" s="85">
        <f ca="1">IFERROR(__xludf.DUMMYFUNCTION("""COMPUTED_VALUE"""),0)</f>
        <v>0</v>
      </c>
      <c r="K2144" s="85">
        <f ca="1">IFERROR(__xludf.DUMMYFUNCTION("""COMPUTED_VALUE"""),0)</f>
        <v>0</v>
      </c>
      <c r="L2144" s="85">
        <f ca="1">IFERROR(__xludf.DUMMYFUNCTION("""COMPUTED_VALUE"""),0)</f>
        <v>0</v>
      </c>
      <c r="M2144" s="85"/>
      <c r="N2144" s="85">
        <f ca="1">IFERROR(__xludf.DUMMYFUNCTION("""COMPUTED_VALUE"""),0)</f>
        <v>0</v>
      </c>
      <c r="O2144" s="85"/>
      <c r="P2144" s="85">
        <f ca="1">IFERROR(__xludf.DUMMYFUNCTION("""COMPUTED_VALUE"""),0)</f>
        <v>0</v>
      </c>
      <c r="Q2144" s="85"/>
      <c r="R2144" s="85">
        <f ca="1">IFERROR(__xludf.DUMMYFUNCTION("""COMPUTED_VALUE"""),0)</f>
        <v>0</v>
      </c>
      <c r="S2144" s="85"/>
      <c r="T2144" s="85"/>
      <c r="U2144" s="82"/>
      <c r="V2144" s="82"/>
      <c r="W2144" s="83"/>
      <c r="X2144" s="83"/>
      <c r="Y2144" s="83"/>
    </row>
    <row r="2145" spans="1:25" ht="13.8">
      <c r="A2145" s="78" t="str">
        <f ca="1">IFERROR(__xludf.DUMMYFUNCTION("""COMPUTED_VALUE"""),"THA")</f>
        <v>THA</v>
      </c>
      <c r="B2145" s="79" t="str">
        <f ca="1">IFERROR(__xludf.DUMMYFUNCTION("""COMPUTED_VALUE"""),"Madison Worthington")</f>
        <v>Madison Worthington</v>
      </c>
      <c r="C2145" s="78">
        <f ca="1">IFERROR(__xludf.DUMMYFUNCTION("""COMPUTED_VALUE"""),11)</f>
        <v>11</v>
      </c>
      <c r="D2145" s="78" t="str">
        <f ca="1">IFERROR(__xludf.DUMMYFUNCTION("""COMPUTED_VALUE"""),"B")</f>
        <v>B</v>
      </c>
      <c r="E2145" s="80" t="str">
        <f ca="1">IFERROR(__xludf.DUMMYFUNCTION("""COMPUTED_VALUE"""),"J")</f>
        <v>J</v>
      </c>
      <c r="F2145" s="86" t="str">
        <f ca="1">IFERROR(__xludf.DUMMYFUNCTION("""COMPUTED_VALUE"""),"I")</f>
        <v>I</v>
      </c>
      <c r="G2145" s="86">
        <f ca="1">IFERROR(__xludf.DUMMYFUNCTION("""COMPUTED_VALUE"""),1)</f>
        <v>1</v>
      </c>
      <c r="H2145" s="86" t="str">
        <f ca="1">IFERROR(__xludf.DUMMYFUNCTION("""COMPUTED_VALUE"""),"THA")</f>
        <v>THA</v>
      </c>
      <c r="I2145" s="86">
        <f ca="1">IFERROR(__xludf.DUMMYFUNCTION("""COMPUTED_VALUE"""),5)</f>
        <v>5</v>
      </c>
      <c r="J2145" s="85">
        <f ca="1">IFERROR(__xludf.DUMMYFUNCTION("""COMPUTED_VALUE"""),4)</f>
        <v>4</v>
      </c>
      <c r="K2145" s="85">
        <f ca="1">IFERROR(__xludf.DUMMYFUNCTION("""COMPUTED_VALUE"""),93.45)</f>
        <v>93.45</v>
      </c>
      <c r="L2145" s="85">
        <f ca="1">IFERROR(__xludf.DUMMYFUNCTION("""COMPUTED_VALUE"""),0)</f>
        <v>0</v>
      </c>
      <c r="M2145" s="85"/>
      <c r="N2145" s="85">
        <f ca="1">IFERROR(__xludf.DUMMYFUNCTION("""COMPUTED_VALUE"""),72.2)</f>
        <v>72.2</v>
      </c>
      <c r="O2145" s="85"/>
      <c r="P2145" s="85">
        <f ca="1">IFERROR(__xludf.DUMMYFUNCTION("""COMPUTED_VALUE"""),93.45)</f>
        <v>93.45</v>
      </c>
      <c r="Q2145" s="85"/>
      <c r="R2145" s="85">
        <f ca="1">IFERROR(__xludf.DUMMYFUNCTION("""COMPUTED_VALUE"""),85.5)</f>
        <v>85.5</v>
      </c>
      <c r="S2145" s="85"/>
      <c r="T2145" s="85"/>
      <c r="U2145" s="82"/>
      <c r="V2145" s="82"/>
      <c r="W2145" s="83"/>
      <c r="X2145" s="83"/>
      <c r="Y2145" s="83"/>
    </row>
    <row r="2146" spans="1:25" ht="13.8">
      <c r="A2146" s="78" t="str">
        <f ca="1">IFERROR(__xludf.DUMMYFUNCTION("""COMPUTED_VALUE"""),"THA")</f>
        <v>THA</v>
      </c>
      <c r="B2146" s="79" t="str">
        <f ca="1">IFERROR(__xludf.DUMMYFUNCTION("""COMPUTED_VALUE"""),"Noah Hedrick")</f>
        <v>Noah Hedrick</v>
      </c>
      <c r="C2146" s="78">
        <f ca="1">IFERROR(__xludf.DUMMYFUNCTION("""COMPUTED_VALUE"""),13)</f>
        <v>13</v>
      </c>
      <c r="D2146" s="78" t="str">
        <f ca="1">IFERROR(__xludf.DUMMYFUNCTION("""COMPUTED_VALUE"""),"B")</f>
        <v>B</v>
      </c>
      <c r="E2146" s="80" t="str">
        <f ca="1">IFERROR(__xludf.DUMMYFUNCTION("""COMPUTED_VALUE"""),"I")</f>
        <v>I</v>
      </c>
      <c r="F2146" s="86" t="str">
        <f ca="1">IFERROR(__xludf.DUMMYFUNCTION("""COMPUTED_VALUE"""),"S")</f>
        <v>S</v>
      </c>
      <c r="G2146" s="86">
        <f ca="1">IFERROR(__xludf.DUMMYFUNCTION("""COMPUTED_VALUE"""),1)</f>
        <v>1</v>
      </c>
      <c r="H2146" s="86" t="str">
        <f ca="1">IFERROR(__xludf.DUMMYFUNCTION("""COMPUTED_VALUE"""),"THA")</f>
        <v>THA</v>
      </c>
      <c r="I2146" s="86">
        <f ca="1">IFERROR(__xludf.DUMMYFUNCTION("""COMPUTED_VALUE"""),7)</f>
        <v>7</v>
      </c>
      <c r="J2146" s="85">
        <f ca="1">IFERROR(__xludf.DUMMYFUNCTION("""COMPUTED_VALUE"""),0)</f>
        <v>0</v>
      </c>
      <c r="K2146" s="85">
        <f ca="1">IFERROR(__xludf.DUMMYFUNCTION("""COMPUTED_VALUE"""),0)</f>
        <v>0</v>
      </c>
      <c r="L2146" s="85">
        <f ca="1">IFERROR(__xludf.DUMMYFUNCTION("""COMPUTED_VALUE"""),0)</f>
        <v>0</v>
      </c>
      <c r="M2146" s="85"/>
      <c r="N2146" s="85">
        <f ca="1">IFERROR(__xludf.DUMMYFUNCTION("""COMPUTED_VALUE"""),0)</f>
        <v>0</v>
      </c>
      <c r="O2146" s="85"/>
      <c r="P2146" s="85">
        <f ca="1">IFERROR(__xludf.DUMMYFUNCTION("""COMPUTED_VALUE"""),0)</f>
        <v>0</v>
      </c>
      <c r="Q2146" s="85"/>
      <c r="R2146" s="85">
        <f ca="1">IFERROR(__xludf.DUMMYFUNCTION("""COMPUTED_VALUE"""),0)</f>
        <v>0</v>
      </c>
      <c r="S2146" s="85"/>
      <c r="T2146" s="85"/>
      <c r="U2146" s="82"/>
      <c r="V2146" s="82"/>
      <c r="W2146" s="83"/>
      <c r="X2146" s="83"/>
      <c r="Y2146" s="83"/>
    </row>
    <row r="2147" spans="1:25" ht="13.8">
      <c r="A2147" s="78" t="str">
        <f ca="1">IFERROR(__xludf.DUMMYFUNCTION("""COMPUTED_VALUE"""),"THA")</f>
        <v>THA</v>
      </c>
      <c r="B2147" s="79" t="str">
        <f ca="1">IFERROR(__xludf.DUMMYFUNCTION("""COMPUTED_VALUE"""),"Marek Raynal")</f>
        <v>Marek Raynal</v>
      </c>
      <c r="C2147" s="78">
        <f ca="1">IFERROR(__xludf.DUMMYFUNCTION("""COMPUTED_VALUE"""),13)</f>
        <v>13</v>
      </c>
      <c r="D2147" s="78" t="str">
        <f ca="1">IFERROR(__xludf.DUMMYFUNCTION("""COMPUTED_VALUE"""),"B")</f>
        <v>B</v>
      </c>
      <c r="E2147" s="80" t="str">
        <f ca="1">IFERROR(__xludf.DUMMYFUNCTION("""COMPUTED_VALUE"""),"I")</f>
        <v>I</v>
      </c>
      <c r="F2147" s="86" t="str">
        <f ca="1">IFERROR(__xludf.DUMMYFUNCTION("""COMPUTED_VALUE"""),"S")</f>
        <v>S</v>
      </c>
      <c r="G2147" s="86">
        <f ca="1">IFERROR(__xludf.DUMMYFUNCTION("""COMPUTED_VALUE"""),1)</f>
        <v>1</v>
      </c>
      <c r="H2147" s="86" t="str">
        <f ca="1">IFERROR(__xludf.DUMMYFUNCTION("""COMPUTED_VALUE"""),"THA")</f>
        <v>THA</v>
      </c>
      <c r="I2147" s="86">
        <f ca="1">IFERROR(__xludf.DUMMYFUNCTION("""COMPUTED_VALUE"""),7)</f>
        <v>7</v>
      </c>
      <c r="J2147" s="85">
        <f ca="1">IFERROR(__xludf.DUMMYFUNCTION("""COMPUTED_VALUE"""),0)</f>
        <v>0</v>
      </c>
      <c r="K2147" s="85">
        <f ca="1">IFERROR(__xludf.DUMMYFUNCTION("""COMPUTED_VALUE"""),0)</f>
        <v>0</v>
      </c>
      <c r="L2147" s="85">
        <f ca="1">IFERROR(__xludf.DUMMYFUNCTION("""COMPUTED_VALUE"""),0)</f>
        <v>0</v>
      </c>
      <c r="M2147" s="85"/>
      <c r="N2147" s="85">
        <f ca="1">IFERROR(__xludf.DUMMYFUNCTION("""COMPUTED_VALUE"""),0)</f>
        <v>0</v>
      </c>
      <c r="O2147" s="85"/>
      <c r="P2147" s="85">
        <f ca="1">IFERROR(__xludf.DUMMYFUNCTION("""COMPUTED_VALUE"""),0)</f>
        <v>0</v>
      </c>
      <c r="Q2147" s="85"/>
      <c r="R2147" s="85">
        <f ca="1">IFERROR(__xludf.DUMMYFUNCTION("""COMPUTED_VALUE"""),0)</f>
        <v>0</v>
      </c>
      <c r="S2147" s="85"/>
      <c r="T2147" s="85"/>
      <c r="U2147" s="82"/>
      <c r="V2147" s="82"/>
      <c r="W2147" s="83"/>
      <c r="X2147" s="83"/>
      <c r="Y2147" s="83"/>
    </row>
    <row r="2148" spans="1:25" ht="13.8">
      <c r="A2148" s="78" t="str">
        <f ca="1">IFERROR(__xludf.DUMMYFUNCTION("""COMPUTED_VALUE"""),"THA")</f>
        <v>THA</v>
      </c>
      <c r="B2148" s="79" t="str">
        <f ca="1">IFERROR(__xludf.DUMMYFUNCTION("""COMPUTED_VALUE"""),"Ray Rivera")</f>
        <v>Ray Rivera</v>
      </c>
      <c r="C2148" s="78">
        <f ca="1">IFERROR(__xludf.DUMMYFUNCTION("""COMPUTED_VALUE"""),13)</f>
        <v>13</v>
      </c>
      <c r="D2148" s="78" t="str">
        <f ca="1">IFERROR(__xludf.DUMMYFUNCTION("""COMPUTED_VALUE"""),"B")</f>
        <v>B</v>
      </c>
      <c r="E2148" s="80" t="str">
        <f ca="1">IFERROR(__xludf.DUMMYFUNCTION("""COMPUTED_VALUE"""),"I")</f>
        <v>I</v>
      </c>
      <c r="F2148" s="86" t="str">
        <f ca="1">IFERROR(__xludf.DUMMYFUNCTION("""COMPUTED_VALUE"""),"S")</f>
        <v>S</v>
      </c>
      <c r="G2148" s="86">
        <f ca="1">IFERROR(__xludf.DUMMYFUNCTION("""COMPUTED_VALUE"""),1)</f>
        <v>1</v>
      </c>
      <c r="H2148" s="86" t="str">
        <f ca="1">IFERROR(__xludf.DUMMYFUNCTION("""COMPUTED_VALUE"""),"THA")</f>
        <v>THA</v>
      </c>
      <c r="I2148" s="86">
        <f ca="1">IFERROR(__xludf.DUMMYFUNCTION("""COMPUTED_VALUE"""),7)</f>
        <v>7</v>
      </c>
      <c r="J2148" s="85">
        <f ca="1">IFERROR(__xludf.DUMMYFUNCTION("""COMPUTED_VALUE"""),1)</f>
        <v>1</v>
      </c>
      <c r="K2148" s="85">
        <f ca="1">IFERROR(__xludf.DUMMYFUNCTION("""COMPUTED_VALUE"""),89.6)</f>
        <v>89.6</v>
      </c>
      <c r="L2148" s="85">
        <f ca="1">IFERROR(__xludf.DUMMYFUNCTION("""COMPUTED_VALUE"""),0)</f>
        <v>0</v>
      </c>
      <c r="M2148" s="85"/>
      <c r="N2148" s="85">
        <f ca="1">IFERROR(__xludf.DUMMYFUNCTION("""COMPUTED_VALUE"""),0)</f>
        <v>0</v>
      </c>
      <c r="O2148" s="85"/>
      <c r="P2148" s="85">
        <f ca="1">IFERROR(__xludf.DUMMYFUNCTION("""COMPUTED_VALUE"""),0)</f>
        <v>0</v>
      </c>
      <c r="Q2148" s="85"/>
      <c r="R2148" s="85">
        <f ca="1">IFERROR(__xludf.DUMMYFUNCTION("""COMPUTED_VALUE"""),89.6)</f>
        <v>89.6</v>
      </c>
      <c r="S2148" s="85"/>
      <c r="T2148" s="85"/>
      <c r="U2148" s="82"/>
      <c r="V2148" s="82"/>
      <c r="W2148" s="83"/>
      <c r="X2148" s="83"/>
      <c r="Y2148" s="83"/>
    </row>
    <row r="2149" spans="1:25" ht="13.8">
      <c r="A2149" s="78" t="str">
        <f ca="1">IFERROR(__xludf.DUMMYFUNCTION("""COMPUTED_VALUE"""),"THA")</f>
        <v>THA</v>
      </c>
      <c r="B2149" s="79" t="str">
        <f ca="1">IFERROR(__xludf.DUMMYFUNCTION("""COMPUTED_VALUE"""),"Rem Turatbekov")</f>
        <v>Rem Turatbekov</v>
      </c>
      <c r="C2149" s="78">
        <f ca="1">IFERROR(__xludf.DUMMYFUNCTION("""COMPUTED_VALUE"""),13)</f>
        <v>13</v>
      </c>
      <c r="D2149" s="78" t="str">
        <f ca="1">IFERROR(__xludf.DUMMYFUNCTION("""COMPUTED_VALUE"""),"B")</f>
        <v>B</v>
      </c>
      <c r="E2149" s="80" t="str">
        <f ca="1">IFERROR(__xludf.DUMMYFUNCTION("""COMPUTED_VALUE"""),"I")</f>
        <v>I</v>
      </c>
      <c r="F2149" s="86" t="str">
        <f ca="1">IFERROR(__xludf.DUMMYFUNCTION("""COMPUTED_VALUE"""),"S")</f>
        <v>S</v>
      </c>
      <c r="G2149" s="86">
        <f ca="1">IFERROR(__xludf.DUMMYFUNCTION("""COMPUTED_VALUE"""),1)</f>
        <v>1</v>
      </c>
      <c r="H2149" s="86" t="str">
        <f ca="1">IFERROR(__xludf.DUMMYFUNCTION("""COMPUTED_VALUE"""),"THA")</f>
        <v>THA</v>
      </c>
      <c r="I2149" s="86">
        <f ca="1">IFERROR(__xludf.DUMMYFUNCTION("""COMPUTED_VALUE"""),7)</f>
        <v>7</v>
      </c>
      <c r="J2149" s="85">
        <f ca="1">IFERROR(__xludf.DUMMYFUNCTION("""COMPUTED_VALUE"""),5)</f>
        <v>5</v>
      </c>
      <c r="K2149" s="85">
        <f ca="1">IFERROR(__xludf.DUMMYFUNCTION("""COMPUTED_VALUE"""),193.35)</f>
        <v>193.35</v>
      </c>
      <c r="L2149" s="85">
        <f ca="1">IFERROR(__xludf.DUMMYFUNCTION("""COMPUTED_VALUE"""),193.35)</f>
        <v>193.35</v>
      </c>
      <c r="M2149" s="85"/>
      <c r="N2149" s="85">
        <f ca="1">IFERROR(__xludf.DUMMYFUNCTION("""COMPUTED_VALUE"""),157.1)</f>
        <v>157.1</v>
      </c>
      <c r="O2149" s="85"/>
      <c r="P2149" s="85">
        <f ca="1">IFERROR(__xludf.DUMMYFUNCTION("""COMPUTED_VALUE"""),180.1)</f>
        <v>180.1</v>
      </c>
      <c r="Q2149" s="85"/>
      <c r="R2149" s="85">
        <f ca="1">IFERROR(__xludf.DUMMYFUNCTION("""COMPUTED_VALUE"""),153.15)</f>
        <v>153.15</v>
      </c>
      <c r="S2149" s="85"/>
      <c r="T2149" s="85"/>
      <c r="U2149" s="82"/>
      <c r="V2149" s="82"/>
      <c r="W2149" s="83"/>
      <c r="X2149" s="83"/>
      <c r="Y2149" s="83"/>
    </row>
    <row r="2150" spans="1:25" ht="13.8">
      <c r="A2150" s="78" t="str">
        <f ca="1">IFERROR(__xludf.DUMMYFUNCTION("""COMPUTED_VALUE"""),"THA")</f>
        <v>THA</v>
      </c>
      <c r="B2150" s="79" t="str">
        <f ca="1">IFERROR(__xludf.DUMMYFUNCTION("""COMPUTED_VALUE"""),"Minh Donnell")</f>
        <v>Minh Donnell</v>
      </c>
      <c r="C2150" s="78">
        <f ca="1">IFERROR(__xludf.DUMMYFUNCTION("""COMPUTED_VALUE"""),18)</f>
        <v>18</v>
      </c>
      <c r="D2150" s="78" t="str">
        <f ca="1">IFERROR(__xludf.DUMMYFUNCTION("""COMPUTED_VALUE"""),"G")</f>
        <v>G</v>
      </c>
      <c r="E2150" s="80" t="str">
        <f ca="1">IFERROR(__xludf.DUMMYFUNCTION("""COMPUTED_VALUE"""),"S")</f>
        <v>S</v>
      </c>
      <c r="F2150" s="86" t="str">
        <f ca="1">IFERROR(__xludf.DUMMYFUNCTION("""COMPUTED_VALUE"""),"S")</f>
        <v>S</v>
      </c>
      <c r="G2150" s="86">
        <f ca="1">IFERROR(__xludf.DUMMYFUNCTION("""COMPUTED_VALUE"""),1)</f>
        <v>1</v>
      </c>
      <c r="H2150" s="86" t="str">
        <f ca="1">IFERROR(__xludf.DUMMYFUNCTION("""COMPUTED_VALUE"""),"THA")</f>
        <v>THA</v>
      </c>
      <c r="I2150" s="86">
        <f ca="1">IFERROR(__xludf.DUMMYFUNCTION("""COMPUTED_VALUE"""),8)</f>
        <v>8</v>
      </c>
      <c r="J2150" s="85">
        <f ca="1">IFERROR(__xludf.DUMMYFUNCTION("""COMPUTED_VALUE"""),1)</f>
        <v>1</v>
      </c>
      <c r="K2150" s="85">
        <f ca="1">IFERROR(__xludf.DUMMYFUNCTION("""COMPUTED_VALUE"""),231.25)</f>
        <v>231.25</v>
      </c>
      <c r="L2150" s="85">
        <f ca="1">IFERROR(__xludf.DUMMYFUNCTION("""COMPUTED_VALUE"""),231.25)</f>
        <v>231.25</v>
      </c>
      <c r="M2150" s="85"/>
      <c r="N2150" s="85">
        <f ca="1">IFERROR(__xludf.DUMMYFUNCTION("""COMPUTED_VALUE"""),0)</f>
        <v>0</v>
      </c>
      <c r="O2150" s="85"/>
      <c r="P2150" s="85">
        <f ca="1">IFERROR(__xludf.DUMMYFUNCTION("""COMPUTED_VALUE"""),0)</f>
        <v>0</v>
      </c>
      <c r="Q2150" s="85"/>
      <c r="R2150" s="85">
        <f ca="1">IFERROR(__xludf.DUMMYFUNCTION("""COMPUTED_VALUE"""),0)</f>
        <v>0</v>
      </c>
      <c r="S2150" s="85"/>
      <c r="T2150" s="85"/>
      <c r="U2150" s="82"/>
      <c r="V2150" s="82"/>
      <c r="W2150" s="83"/>
      <c r="X2150" s="83"/>
      <c r="Y2150" s="83"/>
    </row>
    <row r="2151" spans="1:25" ht="13.8">
      <c r="A2151" s="78" t="str">
        <f ca="1">IFERROR(__xludf.DUMMYFUNCTION("""COMPUTED_VALUE"""),"THA")</f>
        <v>THA</v>
      </c>
      <c r="B2151" s="79" t="str">
        <f ca="1">IFERROR(__xludf.DUMMYFUNCTION("""COMPUTED_VALUE"""),"Ava Dunn")</f>
        <v>Ava Dunn</v>
      </c>
      <c r="C2151" s="78">
        <f ca="1">IFERROR(__xludf.DUMMYFUNCTION("""COMPUTED_VALUE"""),16)</f>
        <v>16</v>
      </c>
      <c r="D2151" s="78" t="str">
        <f ca="1">IFERROR(__xludf.DUMMYFUNCTION("""COMPUTED_VALUE"""),"G")</f>
        <v>G</v>
      </c>
      <c r="E2151" s="80" t="str">
        <f ca="1">IFERROR(__xludf.DUMMYFUNCTION("""COMPUTED_VALUE"""),"S")</f>
        <v>S</v>
      </c>
      <c r="F2151" s="86" t="str">
        <f ca="1">IFERROR(__xludf.DUMMYFUNCTION("""COMPUTED_VALUE"""),"S")</f>
        <v>S</v>
      </c>
      <c r="G2151" s="86">
        <f ca="1">IFERROR(__xludf.DUMMYFUNCTION("""COMPUTED_VALUE"""),1)</f>
        <v>1</v>
      </c>
      <c r="H2151" s="86" t="str">
        <f ca="1">IFERROR(__xludf.DUMMYFUNCTION("""COMPUTED_VALUE"""),"THA")</f>
        <v>THA</v>
      </c>
      <c r="I2151" s="86">
        <f ca="1">IFERROR(__xludf.DUMMYFUNCTION("""COMPUTED_VALUE"""),8)</f>
        <v>8</v>
      </c>
      <c r="J2151" s="85">
        <f ca="1">IFERROR(__xludf.DUMMYFUNCTION("""COMPUTED_VALUE"""),5)</f>
        <v>5</v>
      </c>
      <c r="K2151" s="85">
        <f ca="1">IFERROR(__xludf.DUMMYFUNCTION("""COMPUTED_VALUE"""),219.55)</f>
        <v>219.55</v>
      </c>
      <c r="L2151" s="85">
        <f ca="1">IFERROR(__xludf.DUMMYFUNCTION("""COMPUTED_VALUE"""),201.2)</f>
        <v>201.2</v>
      </c>
      <c r="M2151" s="85"/>
      <c r="N2151" s="85">
        <f ca="1">IFERROR(__xludf.DUMMYFUNCTION("""COMPUTED_VALUE"""),199.95)</f>
        <v>199.95</v>
      </c>
      <c r="O2151" s="85"/>
      <c r="P2151" s="85">
        <f ca="1">IFERROR(__xludf.DUMMYFUNCTION("""COMPUTED_VALUE"""),219.55)</f>
        <v>219.55</v>
      </c>
      <c r="Q2151" s="85"/>
      <c r="R2151" s="85">
        <f ca="1">IFERROR(__xludf.DUMMYFUNCTION("""COMPUTED_VALUE"""),204.75)</f>
        <v>204.75</v>
      </c>
      <c r="S2151" s="85"/>
      <c r="T2151" s="85"/>
      <c r="U2151" s="82"/>
      <c r="V2151" s="82"/>
      <c r="W2151" s="83"/>
      <c r="X2151" s="83"/>
      <c r="Y2151" s="83"/>
    </row>
    <row r="2152" spans="1:25" ht="13.8">
      <c r="A2152" s="78" t="str">
        <f ca="1">IFERROR(__xludf.DUMMYFUNCTION("""COMPUTED_VALUE"""),"THA")</f>
        <v>THA</v>
      </c>
      <c r="B2152" s="79" t="str">
        <f ca="1">IFERROR(__xludf.DUMMYFUNCTION("""COMPUTED_VALUE"""),"Emily Gamber")</f>
        <v>Emily Gamber</v>
      </c>
      <c r="C2152" s="78">
        <f ca="1">IFERROR(__xludf.DUMMYFUNCTION("""COMPUTED_VALUE"""),16)</f>
        <v>16</v>
      </c>
      <c r="D2152" s="78" t="str">
        <f ca="1">IFERROR(__xludf.DUMMYFUNCTION("""COMPUTED_VALUE"""),"G")</f>
        <v>G</v>
      </c>
      <c r="E2152" s="80" t="str">
        <f ca="1">IFERROR(__xludf.DUMMYFUNCTION("""COMPUTED_VALUE"""),"S")</f>
        <v>S</v>
      </c>
      <c r="F2152" s="86" t="str">
        <f ca="1">IFERROR(__xludf.DUMMYFUNCTION("""COMPUTED_VALUE"""),"S")</f>
        <v>S</v>
      </c>
      <c r="G2152" s="86">
        <f ca="1">IFERROR(__xludf.DUMMYFUNCTION("""COMPUTED_VALUE"""),1)</f>
        <v>1</v>
      </c>
      <c r="H2152" s="86" t="str">
        <f ca="1">IFERROR(__xludf.DUMMYFUNCTION("""COMPUTED_VALUE"""),"THA")</f>
        <v>THA</v>
      </c>
      <c r="I2152" s="86">
        <f ca="1">IFERROR(__xludf.DUMMYFUNCTION("""COMPUTED_VALUE"""),8)</f>
        <v>8</v>
      </c>
      <c r="J2152" s="85">
        <f ca="1">IFERROR(__xludf.DUMMYFUNCTION("""COMPUTED_VALUE"""),3)</f>
        <v>3</v>
      </c>
      <c r="K2152" s="85">
        <f ca="1">IFERROR(__xludf.DUMMYFUNCTION("""COMPUTED_VALUE"""),133.9)</f>
        <v>133.9</v>
      </c>
      <c r="L2152" s="85">
        <f ca="1">IFERROR(__xludf.DUMMYFUNCTION("""COMPUTED_VALUE"""),0)</f>
        <v>0</v>
      </c>
      <c r="M2152" s="85"/>
      <c r="N2152" s="85">
        <f ca="1">IFERROR(__xludf.DUMMYFUNCTION("""COMPUTED_VALUE"""),133.05)</f>
        <v>133.05000000000001</v>
      </c>
      <c r="O2152" s="85"/>
      <c r="P2152" s="85">
        <f ca="1">IFERROR(__xludf.DUMMYFUNCTION("""COMPUTED_VALUE"""),120.2)</f>
        <v>120.2</v>
      </c>
      <c r="Q2152" s="85"/>
      <c r="R2152" s="85">
        <f ca="1">IFERROR(__xludf.DUMMYFUNCTION("""COMPUTED_VALUE"""),133.9)</f>
        <v>133.9</v>
      </c>
      <c r="S2152" s="85"/>
      <c r="T2152" s="85"/>
      <c r="U2152" s="82"/>
      <c r="V2152" s="82"/>
      <c r="W2152" s="83"/>
      <c r="X2152" s="83"/>
      <c r="Y2152" s="83"/>
    </row>
    <row r="2153" spans="1:25" ht="13.8">
      <c r="A2153" s="78" t="str">
        <f ca="1">IFERROR(__xludf.DUMMYFUNCTION("""COMPUTED_VALUE"""),"THA")</f>
        <v>THA</v>
      </c>
      <c r="B2153" s="79" t="str">
        <f ca="1">IFERROR(__xludf.DUMMYFUNCTION("""COMPUTED_VALUE"""),"Batyr Turatbekov")</f>
        <v>Batyr Turatbekov</v>
      </c>
      <c r="C2153" s="78">
        <f ca="1">IFERROR(__xludf.DUMMYFUNCTION("""COMPUTED_VALUE"""),15)</f>
        <v>15</v>
      </c>
      <c r="D2153" s="78" t="str">
        <f ca="1">IFERROR(__xludf.DUMMYFUNCTION("""COMPUTED_VALUE"""),"B")</f>
        <v>B</v>
      </c>
      <c r="E2153" s="80" t="str">
        <f ca="1">IFERROR(__xludf.DUMMYFUNCTION("""COMPUTED_VALUE"""),"S")</f>
        <v>S</v>
      </c>
      <c r="F2153" s="86" t="str">
        <f ca="1">IFERROR(__xludf.DUMMYFUNCTION("""COMPUTED_VALUE"""),"S")</f>
        <v>S</v>
      </c>
      <c r="G2153" s="86">
        <f ca="1">IFERROR(__xludf.DUMMYFUNCTION("""COMPUTED_VALUE"""),1)</f>
        <v>1</v>
      </c>
      <c r="H2153" s="86" t="str">
        <f ca="1">IFERROR(__xludf.DUMMYFUNCTION("""COMPUTED_VALUE"""),"THA")</f>
        <v>THA</v>
      </c>
      <c r="I2153" s="86">
        <f ca="1">IFERROR(__xludf.DUMMYFUNCTION("""COMPUTED_VALUE"""),9)</f>
        <v>9</v>
      </c>
      <c r="J2153" s="85">
        <f ca="1">IFERROR(__xludf.DUMMYFUNCTION("""COMPUTED_VALUE"""),5)</f>
        <v>5</v>
      </c>
      <c r="K2153" s="85">
        <f ca="1">IFERROR(__xludf.DUMMYFUNCTION("""COMPUTED_VALUE"""),153.25)</f>
        <v>153.25</v>
      </c>
      <c r="L2153" s="85">
        <f ca="1">IFERROR(__xludf.DUMMYFUNCTION("""COMPUTED_VALUE"""),153.25)</f>
        <v>153.25</v>
      </c>
      <c r="M2153" s="85"/>
      <c r="N2153" s="85">
        <f ca="1">IFERROR(__xludf.DUMMYFUNCTION("""COMPUTED_VALUE"""),152.4)</f>
        <v>152.4</v>
      </c>
      <c r="O2153" s="85"/>
      <c r="P2153" s="85">
        <f ca="1">IFERROR(__xludf.DUMMYFUNCTION("""COMPUTED_VALUE"""),149.55)</f>
        <v>149.55000000000001</v>
      </c>
      <c r="Q2153" s="85"/>
      <c r="R2153" s="85">
        <f ca="1">IFERROR(__xludf.DUMMYFUNCTION("""COMPUTED_VALUE"""),149.35)</f>
        <v>149.35</v>
      </c>
      <c r="S2153" s="85"/>
      <c r="T2153" s="85"/>
      <c r="U2153" s="82"/>
      <c r="V2153" s="82"/>
      <c r="W2153" s="83"/>
      <c r="X2153" s="83"/>
      <c r="Y2153" s="83"/>
    </row>
    <row r="2154" spans="1:25" ht="13.8">
      <c r="A2154" s="78" t="str">
        <f ca="1">IFERROR(__xludf.DUMMYFUNCTION("""COMPUTED_VALUE"""),"VW")</f>
        <v>VW</v>
      </c>
      <c r="B2154" s="79" t="str">
        <f ca="1">IFERROR(__xludf.DUMMYFUNCTION("""COMPUTED_VALUE"""),"Charlotte Aloisi")</f>
        <v>Charlotte Aloisi</v>
      </c>
      <c r="C2154" s="78">
        <f ca="1">IFERROR(__xludf.DUMMYFUNCTION("""COMPUTED_VALUE"""),9)</f>
        <v>9</v>
      </c>
      <c r="D2154" s="78" t="str">
        <f ca="1">IFERROR(__xludf.DUMMYFUNCTION("""COMPUTED_VALUE"""),"G")</f>
        <v>G</v>
      </c>
      <c r="E2154" s="80" t="str">
        <f ca="1">IFERROR(__xludf.DUMMYFUNCTION("""COMPUTED_VALUE"""),"F")</f>
        <v>F</v>
      </c>
      <c r="F2154" s="86" t="str">
        <f ca="1">IFERROR(__xludf.DUMMYFUNCTION("""COMPUTED_VALUE"""),"J")</f>
        <v>J</v>
      </c>
      <c r="G2154" s="86">
        <f ca="1">IFERROR(__xludf.DUMMYFUNCTION("""COMPUTED_VALUE"""),1)</f>
        <v>1</v>
      </c>
      <c r="H2154" s="86" t="str">
        <f ca="1">IFERROR(__xludf.DUMMYFUNCTION("""COMPUTED_VALUE"""),"VW")</f>
        <v>VW</v>
      </c>
      <c r="I2154" s="86">
        <f ca="1">IFERROR(__xludf.DUMMYFUNCTION("""COMPUTED_VALUE"""),2)</f>
        <v>2</v>
      </c>
      <c r="J2154" s="85">
        <f ca="1">IFERROR(__xludf.DUMMYFUNCTION("""COMPUTED_VALUE"""),0)</f>
        <v>0</v>
      </c>
      <c r="K2154" s="85">
        <f ca="1">IFERROR(__xludf.DUMMYFUNCTION("""COMPUTED_VALUE"""),0)</f>
        <v>0</v>
      </c>
      <c r="L2154" s="85">
        <f ca="1">IFERROR(__xludf.DUMMYFUNCTION("""COMPUTED_VALUE"""),0)</f>
        <v>0</v>
      </c>
      <c r="M2154" s="85"/>
      <c r="N2154" s="85">
        <f ca="1">IFERROR(__xludf.DUMMYFUNCTION("""COMPUTED_VALUE"""),0)</f>
        <v>0</v>
      </c>
      <c r="O2154" s="85"/>
      <c r="P2154" s="85">
        <f ca="1">IFERROR(__xludf.DUMMYFUNCTION("""COMPUTED_VALUE"""),0)</f>
        <v>0</v>
      </c>
      <c r="Q2154" s="85"/>
      <c r="R2154" s="85">
        <f ca="1">IFERROR(__xludf.DUMMYFUNCTION("""COMPUTED_VALUE"""),0)</f>
        <v>0</v>
      </c>
      <c r="S2154" s="85"/>
      <c r="T2154" s="85"/>
      <c r="U2154" s="82"/>
      <c r="V2154" s="82"/>
      <c r="W2154" s="83"/>
      <c r="X2154" s="83"/>
      <c r="Y2154" s="83"/>
    </row>
    <row r="2155" spans="1:25" ht="13.8">
      <c r="A2155" s="78" t="str">
        <f ca="1">IFERROR(__xludf.DUMMYFUNCTION("""COMPUTED_VALUE"""),"VW")</f>
        <v>VW</v>
      </c>
      <c r="B2155" s="79" t="str">
        <f ca="1">IFERROR(__xludf.DUMMYFUNCTION("""COMPUTED_VALUE"""),"Avery Conforti")</f>
        <v>Avery Conforti</v>
      </c>
      <c r="C2155" s="78">
        <f ca="1">IFERROR(__xludf.DUMMYFUNCTION("""COMPUTED_VALUE"""),8)</f>
        <v>8</v>
      </c>
      <c r="D2155" s="78" t="str">
        <f ca="1">IFERROR(__xludf.DUMMYFUNCTION("""COMPUTED_VALUE"""),"G")</f>
        <v>G</v>
      </c>
      <c r="E2155" s="80" t="str">
        <f ca="1">IFERROR(__xludf.DUMMYFUNCTION("""COMPUTED_VALUE"""),"F")</f>
        <v>F</v>
      </c>
      <c r="F2155" s="86" t="str">
        <f ca="1">IFERROR(__xludf.DUMMYFUNCTION("""COMPUTED_VALUE"""),"J")</f>
        <v>J</v>
      </c>
      <c r="G2155" s="86">
        <f ca="1">IFERROR(__xludf.DUMMYFUNCTION("""COMPUTED_VALUE"""),1)</f>
        <v>1</v>
      </c>
      <c r="H2155" s="86" t="str">
        <f ca="1">IFERROR(__xludf.DUMMYFUNCTION("""COMPUTED_VALUE"""),"VW")</f>
        <v>VW</v>
      </c>
      <c r="I2155" s="86">
        <f ca="1">IFERROR(__xludf.DUMMYFUNCTION("""COMPUTED_VALUE"""),2)</f>
        <v>2</v>
      </c>
      <c r="J2155" s="85">
        <f ca="1">IFERROR(__xludf.DUMMYFUNCTION("""COMPUTED_VALUE"""),0)</f>
        <v>0</v>
      </c>
      <c r="K2155" s="85">
        <f ca="1">IFERROR(__xludf.DUMMYFUNCTION("""COMPUTED_VALUE"""),0)</f>
        <v>0</v>
      </c>
      <c r="L2155" s="85">
        <f ca="1">IFERROR(__xludf.DUMMYFUNCTION("""COMPUTED_VALUE"""),0)</f>
        <v>0</v>
      </c>
      <c r="M2155" s="85"/>
      <c r="N2155" s="85">
        <f ca="1">IFERROR(__xludf.DUMMYFUNCTION("""COMPUTED_VALUE"""),0)</f>
        <v>0</v>
      </c>
      <c r="O2155" s="85"/>
      <c r="P2155" s="85">
        <f ca="1">IFERROR(__xludf.DUMMYFUNCTION("""COMPUTED_VALUE"""),0)</f>
        <v>0</v>
      </c>
      <c r="Q2155" s="85"/>
      <c r="R2155" s="85">
        <f ca="1">IFERROR(__xludf.DUMMYFUNCTION("""COMPUTED_VALUE"""),0)</f>
        <v>0</v>
      </c>
      <c r="S2155" s="85"/>
      <c r="T2155" s="85"/>
      <c r="U2155" s="82"/>
      <c r="V2155" s="82"/>
      <c r="W2155" s="83"/>
      <c r="X2155" s="83"/>
      <c r="Y2155" s="83"/>
    </row>
    <row r="2156" spans="1:25" ht="13.8">
      <c r="A2156" s="78" t="str">
        <f ca="1">IFERROR(__xludf.DUMMYFUNCTION("""COMPUTED_VALUE"""),"VW")</f>
        <v>VW</v>
      </c>
      <c r="B2156" s="79" t="str">
        <f ca="1">IFERROR(__xludf.DUMMYFUNCTION("""COMPUTED_VALUE"""),"Nelle David")</f>
        <v>Nelle David</v>
      </c>
      <c r="C2156" s="78">
        <f ca="1">IFERROR(__xludf.DUMMYFUNCTION("""COMPUTED_VALUE"""),10)</f>
        <v>10</v>
      </c>
      <c r="D2156" s="78" t="str">
        <f ca="1">IFERROR(__xludf.DUMMYFUNCTION("""COMPUTED_VALUE"""),"G")</f>
        <v>G</v>
      </c>
      <c r="E2156" s="80" t="str">
        <f ca="1">IFERROR(__xludf.DUMMYFUNCTION("""COMPUTED_VALUE"""),"F")</f>
        <v>F</v>
      </c>
      <c r="F2156" s="86" t="str">
        <f ca="1">IFERROR(__xludf.DUMMYFUNCTION("""COMPUTED_VALUE"""),"J")</f>
        <v>J</v>
      </c>
      <c r="G2156" s="86">
        <f ca="1">IFERROR(__xludf.DUMMYFUNCTION("""COMPUTED_VALUE"""),1)</f>
        <v>1</v>
      </c>
      <c r="H2156" s="86" t="str">
        <f ca="1">IFERROR(__xludf.DUMMYFUNCTION("""COMPUTED_VALUE"""),"VW")</f>
        <v>VW</v>
      </c>
      <c r="I2156" s="86">
        <f ca="1">IFERROR(__xludf.DUMMYFUNCTION("""COMPUTED_VALUE"""),2)</f>
        <v>2</v>
      </c>
      <c r="J2156" s="85">
        <f ca="1">IFERROR(__xludf.DUMMYFUNCTION("""COMPUTED_VALUE"""),0)</f>
        <v>0</v>
      </c>
      <c r="K2156" s="85">
        <f ca="1">IFERROR(__xludf.DUMMYFUNCTION("""COMPUTED_VALUE"""),0)</f>
        <v>0</v>
      </c>
      <c r="L2156" s="85">
        <f ca="1">IFERROR(__xludf.DUMMYFUNCTION("""COMPUTED_VALUE"""),0)</f>
        <v>0</v>
      </c>
      <c r="M2156" s="85"/>
      <c r="N2156" s="85">
        <f ca="1">IFERROR(__xludf.DUMMYFUNCTION("""COMPUTED_VALUE"""),0)</f>
        <v>0</v>
      </c>
      <c r="O2156" s="85"/>
      <c r="P2156" s="85">
        <f ca="1">IFERROR(__xludf.DUMMYFUNCTION("""COMPUTED_VALUE"""),0)</f>
        <v>0</v>
      </c>
      <c r="Q2156" s="85"/>
      <c r="R2156" s="85">
        <f ca="1">IFERROR(__xludf.DUMMYFUNCTION("""COMPUTED_VALUE"""),0)</f>
        <v>0</v>
      </c>
      <c r="S2156" s="85"/>
      <c r="T2156" s="85"/>
      <c r="U2156" s="82"/>
      <c r="V2156" s="82"/>
      <c r="W2156" s="83"/>
      <c r="X2156" s="83"/>
      <c r="Y2156" s="83"/>
    </row>
    <row r="2157" spans="1:25" ht="13.8">
      <c r="A2157" s="78" t="str">
        <f ca="1">IFERROR(__xludf.DUMMYFUNCTION("""COMPUTED_VALUE"""),"VW")</f>
        <v>VW</v>
      </c>
      <c r="B2157" s="79" t="str">
        <f ca="1">IFERROR(__xludf.DUMMYFUNCTION("""COMPUTED_VALUE"""),"Regan Hathaway")</f>
        <v>Regan Hathaway</v>
      </c>
      <c r="C2157" s="78">
        <f ca="1">IFERROR(__xludf.DUMMYFUNCTION("""COMPUTED_VALUE"""),8)</f>
        <v>8</v>
      </c>
      <c r="D2157" s="78" t="str">
        <f ca="1">IFERROR(__xludf.DUMMYFUNCTION("""COMPUTED_VALUE"""),"G")</f>
        <v>G</v>
      </c>
      <c r="E2157" s="80" t="str">
        <f ca="1">IFERROR(__xludf.DUMMYFUNCTION("""COMPUTED_VALUE"""),"F")</f>
        <v>F</v>
      </c>
      <c r="F2157" s="86" t="str">
        <f ca="1">IFERROR(__xludf.DUMMYFUNCTION("""COMPUTED_VALUE"""),"J")</f>
        <v>J</v>
      </c>
      <c r="G2157" s="86">
        <f ca="1">IFERROR(__xludf.DUMMYFUNCTION("""COMPUTED_VALUE"""),1)</f>
        <v>1</v>
      </c>
      <c r="H2157" s="86" t="str">
        <f ca="1">IFERROR(__xludf.DUMMYFUNCTION("""COMPUTED_VALUE"""),"VW")</f>
        <v>VW</v>
      </c>
      <c r="I2157" s="86">
        <f ca="1">IFERROR(__xludf.DUMMYFUNCTION("""COMPUTED_VALUE"""),2)</f>
        <v>2</v>
      </c>
      <c r="J2157" s="85">
        <f ca="1">IFERROR(__xludf.DUMMYFUNCTION("""COMPUTED_VALUE"""),0)</f>
        <v>0</v>
      </c>
      <c r="K2157" s="85">
        <f ca="1">IFERROR(__xludf.DUMMYFUNCTION("""COMPUTED_VALUE"""),0)</f>
        <v>0</v>
      </c>
      <c r="L2157" s="85">
        <f ca="1">IFERROR(__xludf.DUMMYFUNCTION("""COMPUTED_VALUE"""),0)</f>
        <v>0</v>
      </c>
      <c r="M2157" s="85"/>
      <c r="N2157" s="85">
        <f ca="1">IFERROR(__xludf.DUMMYFUNCTION("""COMPUTED_VALUE"""),0)</f>
        <v>0</v>
      </c>
      <c r="O2157" s="85"/>
      <c r="P2157" s="85">
        <f ca="1">IFERROR(__xludf.DUMMYFUNCTION("""COMPUTED_VALUE"""),0)</f>
        <v>0</v>
      </c>
      <c r="Q2157" s="85"/>
      <c r="R2157" s="85">
        <f ca="1">IFERROR(__xludf.DUMMYFUNCTION("""COMPUTED_VALUE"""),0)</f>
        <v>0</v>
      </c>
      <c r="S2157" s="85"/>
      <c r="T2157" s="85"/>
      <c r="U2157" s="82"/>
      <c r="V2157" s="82"/>
      <c r="W2157" s="83"/>
      <c r="X2157" s="83"/>
      <c r="Y2157" s="83"/>
    </row>
    <row r="2158" spans="1:25" ht="13.8">
      <c r="A2158" s="78" t="str">
        <f ca="1">IFERROR(__xludf.DUMMYFUNCTION("""COMPUTED_VALUE"""),"VW")</f>
        <v>VW</v>
      </c>
      <c r="B2158" s="79" t="str">
        <f ca="1">IFERROR(__xludf.DUMMYFUNCTION("""COMPUTED_VALUE"""),"Alexys Kalinock")</f>
        <v>Alexys Kalinock</v>
      </c>
      <c r="C2158" s="78">
        <f ca="1">IFERROR(__xludf.DUMMYFUNCTION("""COMPUTED_VALUE"""),8)</f>
        <v>8</v>
      </c>
      <c r="D2158" s="78" t="str">
        <f ca="1">IFERROR(__xludf.DUMMYFUNCTION("""COMPUTED_VALUE"""),"G")</f>
        <v>G</v>
      </c>
      <c r="E2158" s="80" t="str">
        <f ca="1">IFERROR(__xludf.DUMMYFUNCTION("""COMPUTED_VALUE"""),"F")</f>
        <v>F</v>
      </c>
      <c r="F2158" s="86" t="str">
        <f ca="1">IFERROR(__xludf.DUMMYFUNCTION("""COMPUTED_VALUE"""),"J")</f>
        <v>J</v>
      </c>
      <c r="G2158" s="86">
        <f ca="1">IFERROR(__xludf.DUMMYFUNCTION("""COMPUTED_VALUE"""),1)</f>
        <v>1</v>
      </c>
      <c r="H2158" s="86" t="str">
        <f ca="1">IFERROR(__xludf.DUMMYFUNCTION("""COMPUTED_VALUE"""),"VW")</f>
        <v>VW</v>
      </c>
      <c r="I2158" s="86">
        <f ca="1">IFERROR(__xludf.DUMMYFUNCTION("""COMPUTED_VALUE"""),2)</f>
        <v>2</v>
      </c>
      <c r="J2158" s="85">
        <f ca="1">IFERROR(__xludf.DUMMYFUNCTION("""COMPUTED_VALUE"""),1)</f>
        <v>1</v>
      </c>
      <c r="K2158" s="85">
        <f ca="1">IFERROR(__xludf.DUMMYFUNCTION("""COMPUTED_VALUE"""),41.85)</f>
        <v>41.85</v>
      </c>
      <c r="L2158" s="85">
        <f ca="1">IFERROR(__xludf.DUMMYFUNCTION("""COMPUTED_VALUE"""),41.85)</f>
        <v>41.85</v>
      </c>
      <c r="M2158" s="85"/>
      <c r="N2158" s="85">
        <f ca="1">IFERROR(__xludf.DUMMYFUNCTION("""COMPUTED_VALUE"""),0)</f>
        <v>0</v>
      </c>
      <c r="O2158" s="85"/>
      <c r="P2158" s="85">
        <f ca="1">IFERROR(__xludf.DUMMYFUNCTION("""COMPUTED_VALUE"""),0)</f>
        <v>0</v>
      </c>
      <c r="Q2158" s="85"/>
      <c r="R2158" s="85">
        <f ca="1">IFERROR(__xludf.DUMMYFUNCTION("""COMPUTED_VALUE"""),0)</f>
        <v>0</v>
      </c>
      <c r="S2158" s="85"/>
      <c r="T2158" s="85"/>
      <c r="U2158" s="82"/>
      <c r="V2158" s="82"/>
      <c r="W2158" s="83"/>
      <c r="X2158" s="83"/>
      <c r="Y2158" s="83"/>
    </row>
    <row r="2159" spans="1:25" ht="13.8">
      <c r="A2159" s="78" t="str">
        <f ca="1">IFERROR(__xludf.DUMMYFUNCTION("""COMPUTED_VALUE"""),"VW")</f>
        <v>VW</v>
      </c>
      <c r="B2159" s="79" t="str">
        <f ca="1">IFERROR(__xludf.DUMMYFUNCTION("""COMPUTED_VALUE"""),"Claire Keating")</f>
        <v>Claire Keating</v>
      </c>
      <c r="C2159" s="78">
        <f ca="1">IFERROR(__xludf.DUMMYFUNCTION("""COMPUTED_VALUE"""),8)</f>
        <v>8</v>
      </c>
      <c r="D2159" s="78" t="str">
        <f ca="1">IFERROR(__xludf.DUMMYFUNCTION("""COMPUTED_VALUE"""),"G")</f>
        <v>G</v>
      </c>
      <c r="E2159" s="80" t="str">
        <f ca="1">IFERROR(__xludf.DUMMYFUNCTION("""COMPUTED_VALUE"""),"F")</f>
        <v>F</v>
      </c>
      <c r="F2159" s="86" t="str">
        <f ca="1">IFERROR(__xludf.DUMMYFUNCTION("""COMPUTED_VALUE"""),"J")</f>
        <v>J</v>
      </c>
      <c r="G2159" s="86">
        <f ca="1">IFERROR(__xludf.DUMMYFUNCTION("""COMPUTED_VALUE"""),1)</f>
        <v>1</v>
      </c>
      <c r="H2159" s="86" t="str">
        <f ca="1">IFERROR(__xludf.DUMMYFUNCTION("""COMPUTED_VALUE"""),"VW")</f>
        <v>VW</v>
      </c>
      <c r="I2159" s="86">
        <f ca="1">IFERROR(__xludf.DUMMYFUNCTION("""COMPUTED_VALUE"""),2)</f>
        <v>2</v>
      </c>
      <c r="J2159" s="85">
        <f ca="1">IFERROR(__xludf.DUMMYFUNCTION("""COMPUTED_VALUE"""),3)</f>
        <v>3</v>
      </c>
      <c r="K2159" s="85">
        <f ca="1">IFERROR(__xludf.DUMMYFUNCTION("""COMPUTED_VALUE"""),39.8)</f>
        <v>39.799999999999997</v>
      </c>
      <c r="L2159" s="85">
        <f ca="1">IFERROR(__xludf.DUMMYFUNCTION("""COMPUTED_VALUE"""),0)</f>
        <v>0</v>
      </c>
      <c r="M2159" s="85"/>
      <c r="N2159" s="85">
        <f ca="1">IFERROR(__xludf.DUMMYFUNCTION("""COMPUTED_VALUE"""),0)</f>
        <v>0</v>
      </c>
      <c r="O2159" s="85"/>
      <c r="P2159" s="85">
        <f ca="1">IFERROR(__xludf.DUMMYFUNCTION("""COMPUTED_VALUE"""),39.8)</f>
        <v>39.799999999999997</v>
      </c>
      <c r="Q2159" s="85"/>
      <c r="R2159" s="85">
        <f ca="1">IFERROR(__xludf.DUMMYFUNCTION("""COMPUTED_VALUE"""),37.3)</f>
        <v>37.299999999999997</v>
      </c>
      <c r="S2159" s="85"/>
      <c r="T2159" s="85"/>
      <c r="U2159" s="82"/>
      <c r="V2159" s="82"/>
      <c r="W2159" s="83"/>
      <c r="X2159" s="83"/>
      <c r="Y2159" s="83"/>
    </row>
    <row r="2160" spans="1:25" ht="13.8">
      <c r="A2160" s="78" t="str">
        <f ca="1">IFERROR(__xludf.DUMMYFUNCTION("""COMPUTED_VALUE"""),"VW")</f>
        <v>VW</v>
      </c>
      <c r="B2160" s="79" t="str">
        <f ca="1">IFERROR(__xludf.DUMMYFUNCTION("""COMPUTED_VALUE"""),"Sarah Kim")</f>
        <v>Sarah Kim</v>
      </c>
      <c r="C2160" s="78">
        <f ca="1">IFERROR(__xludf.DUMMYFUNCTION("""COMPUTED_VALUE"""),8)</f>
        <v>8</v>
      </c>
      <c r="D2160" s="78" t="str">
        <f ca="1">IFERROR(__xludf.DUMMYFUNCTION("""COMPUTED_VALUE"""),"G")</f>
        <v>G</v>
      </c>
      <c r="E2160" s="80" t="str">
        <f ca="1">IFERROR(__xludf.DUMMYFUNCTION("""COMPUTED_VALUE"""),"F")</f>
        <v>F</v>
      </c>
      <c r="F2160" s="86" t="str">
        <f ca="1">IFERROR(__xludf.DUMMYFUNCTION("""COMPUTED_VALUE"""),"J")</f>
        <v>J</v>
      </c>
      <c r="G2160" s="86">
        <f ca="1">IFERROR(__xludf.DUMMYFUNCTION("""COMPUTED_VALUE"""),1)</f>
        <v>1</v>
      </c>
      <c r="H2160" s="86" t="str">
        <f ca="1">IFERROR(__xludf.DUMMYFUNCTION("""COMPUTED_VALUE"""),"VW")</f>
        <v>VW</v>
      </c>
      <c r="I2160" s="86">
        <f ca="1">IFERROR(__xludf.DUMMYFUNCTION("""COMPUTED_VALUE"""),2)</f>
        <v>2</v>
      </c>
      <c r="J2160" s="85">
        <f ca="1">IFERROR(__xludf.DUMMYFUNCTION("""COMPUTED_VALUE"""),0)</f>
        <v>0</v>
      </c>
      <c r="K2160" s="85">
        <f ca="1">IFERROR(__xludf.DUMMYFUNCTION("""COMPUTED_VALUE"""),0)</f>
        <v>0</v>
      </c>
      <c r="L2160" s="85">
        <f ca="1">IFERROR(__xludf.DUMMYFUNCTION("""COMPUTED_VALUE"""),0)</f>
        <v>0</v>
      </c>
      <c r="M2160" s="85"/>
      <c r="N2160" s="85">
        <f ca="1">IFERROR(__xludf.DUMMYFUNCTION("""COMPUTED_VALUE"""),0)</f>
        <v>0</v>
      </c>
      <c r="O2160" s="85"/>
      <c r="P2160" s="85">
        <f ca="1">IFERROR(__xludf.DUMMYFUNCTION("""COMPUTED_VALUE"""),0)</f>
        <v>0</v>
      </c>
      <c r="Q2160" s="85"/>
      <c r="R2160" s="85">
        <f ca="1">IFERROR(__xludf.DUMMYFUNCTION("""COMPUTED_VALUE"""),0)</f>
        <v>0</v>
      </c>
      <c r="S2160" s="85"/>
      <c r="T2160" s="85"/>
      <c r="U2160" s="82"/>
      <c r="V2160" s="82"/>
      <c r="W2160" s="83"/>
      <c r="X2160" s="83"/>
      <c r="Y2160" s="83"/>
    </row>
    <row r="2161" spans="1:25" ht="13.8">
      <c r="A2161" s="78" t="str">
        <f ca="1">IFERROR(__xludf.DUMMYFUNCTION("""COMPUTED_VALUE"""),"VW")</f>
        <v>VW</v>
      </c>
      <c r="B2161" s="79" t="str">
        <f ca="1">IFERROR(__xludf.DUMMYFUNCTION("""COMPUTED_VALUE"""),"Harper Knight")</f>
        <v>Harper Knight</v>
      </c>
      <c r="C2161" s="78">
        <f ca="1">IFERROR(__xludf.DUMMYFUNCTION("""COMPUTED_VALUE"""),9)</f>
        <v>9</v>
      </c>
      <c r="D2161" s="78" t="str">
        <f ca="1">IFERROR(__xludf.DUMMYFUNCTION("""COMPUTED_VALUE"""),"G")</f>
        <v>G</v>
      </c>
      <c r="E2161" s="80" t="str">
        <f ca="1">IFERROR(__xludf.DUMMYFUNCTION("""COMPUTED_VALUE"""),"F")</f>
        <v>F</v>
      </c>
      <c r="F2161" s="86" t="str">
        <f ca="1">IFERROR(__xludf.DUMMYFUNCTION("""COMPUTED_VALUE"""),"J")</f>
        <v>J</v>
      </c>
      <c r="G2161" s="86">
        <f ca="1">IFERROR(__xludf.DUMMYFUNCTION("""COMPUTED_VALUE"""),1)</f>
        <v>1</v>
      </c>
      <c r="H2161" s="86" t="str">
        <f ca="1">IFERROR(__xludf.DUMMYFUNCTION("""COMPUTED_VALUE"""),"VW")</f>
        <v>VW</v>
      </c>
      <c r="I2161" s="86">
        <f ca="1">IFERROR(__xludf.DUMMYFUNCTION("""COMPUTED_VALUE"""),2)</f>
        <v>2</v>
      </c>
      <c r="J2161" s="85">
        <f ca="1">IFERROR(__xludf.DUMMYFUNCTION("""COMPUTED_VALUE"""),0)</f>
        <v>0</v>
      </c>
      <c r="K2161" s="85">
        <f ca="1">IFERROR(__xludf.DUMMYFUNCTION("""COMPUTED_VALUE"""),0)</f>
        <v>0</v>
      </c>
      <c r="L2161" s="85">
        <f ca="1">IFERROR(__xludf.DUMMYFUNCTION("""COMPUTED_VALUE"""),0)</f>
        <v>0</v>
      </c>
      <c r="M2161" s="85"/>
      <c r="N2161" s="85">
        <f ca="1">IFERROR(__xludf.DUMMYFUNCTION("""COMPUTED_VALUE"""),0)</f>
        <v>0</v>
      </c>
      <c r="O2161" s="85"/>
      <c r="P2161" s="85">
        <f ca="1">IFERROR(__xludf.DUMMYFUNCTION("""COMPUTED_VALUE"""),0)</f>
        <v>0</v>
      </c>
      <c r="Q2161" s="85"/>
      <c r="R2161" s="85">
        <f ca="1">IFERROR(__xludf.DUMMYFUNCTION("""COMPUTED_VALUE"""),0)</f>
        <v>0</v>
      </c>
      <c r="S2161" s="85"/>
      <c r="T2161" s="85"/>
      <c r="U2161" s="82"/>
      <c r="V2161" s="82"/>
      <c r="W2161" s="83"/>
      <c r="X2161" s="83"/>
      <c r="Y2161" s="83"/>
    </row>
    <row r="2162" spans="1:25" ht="13.8">
      <c r="A2162" s="78" t="str">
        <f ca="1">IFERROR(__xludf.DUMMYFUNCTION("""COMPUTED_VALUE"""),"VW")</f>
        <v>VW</v>
      </c>
      <c r="B2162" s="79" t="str">
        <f ca="1">IFERROR(__xludf.DUMMYFUNCTION("""COMPUTED_VALUE"""),"Reagan Nolan")</f>
        <v>Reagan Nolan</v>
      </c>
      <c r="C2162" s="78">
        <f ca="1">IFERROR(__xludf.DUMMYFUNCTION("""COMPUTED_VALUE"""),9)</f>
        <v>9</v>
      </c>
      <c r="D2162" s="78" t="str">
        <f ca="1">IFERROR(__xludf.DUMMYFUNCTION("""COMPUTED_VALUE"""),"G")</f>
        <v>G</v>
      </c>
      <c r="E2162" s="80" t="str">
        <f ca="1">IFERROR(__xludf.DUMMYFUNCTION("""COMPUTED_VALUE"""),"F")</f>
        <v>F</v>
      </c>
      <c r="F2162" s="86" t="str">
        <f ca="1">IFERROR(__xludf.DUMMYFUNCTION("""COMPUTED_VALUE"""),"J")</f>
        <v>J</v>
      </c>
      <c r="G2162" s="86">
        <f ca="1">IFERROR(__xludf.DUMMYFUNCTION("""COMPUTED_VALUE"""),1)</f>
        <v>1</v>
      </c>
      <c r="H2162" s="86" t="str">
        <f ca="1">IFERROR(__xludf.DUMMYFUNCTION("""COMPUTED_VALUE"""),"VW")</f>
        <v>VW</v>
      </c>
      <c r="I2162" s="86">
        <f ca="1">IFERROR(__xludf.DUMMYFUNCTION("""COMPUTED_VALUE"""),2)</f>
        <v>2</v>
      </c>
      <c r="J2162" s="85">
        <f ca="1">IFERROR(__xludf.DUMMYFUNCTION("""COMPUTED_VALUE"""),4)</f>
        <v>4</v>
      </c>
      <c r="K2162" s="85">
        <f ca="1">IFERROR(__xludf.DUMMYFUNCTION("""COMPUTED_VALUE"""),52.1)</f>
        <v>52.1</v>
      </c>
      <c r="L2162" s="85">
        <f ca="1">IFERROR(__xludf.DUMMYFUNCTION("""COMPUTED_VALUE"""),0)</f>
        <v>0</v>
      </c>
      <c r="M2162" s="85"/>
      <c r="N2162" s="85">
        <f ca="1">IFERROR(__xludf.DUMMYFUNCTION("""COMPUTED_VALUE"""),52.1)</f>
        <v>52.1</v>
      </c>
      <c r="O2162" s="85"/>
      <c r="P2162" s="85">
        <f ca="1">IFERROR(__xludf.DUMMYFUNCTION("""COMPUTED_VALUE"""),48.9)</f>
        <v>48.9</v>
      </c>
      <c r="Q2162" s="85"/>
      <c r="R2162" s="85">
        <f ca="1">IFERROR(__xludf.DUMMYFUNCTION("""COMPUTED_VALUE"""),47.6)</f>
        <v>47.6</v>
      </c>
      <c r="S2162" s="85"/>
      <c r="T2162" s="85"/>
      <c r="U2162" s="82"/>
      <c r="V2162" s="82"/>
      <c r="W2162" s="83"/>
      <c r="X2162" s="83"/>
      <c r="Y2162" s="83"/>
    </row>
    <row r="2163" spans="1:25" ht="13.8">
      <c r="A2163" s="78" t="str">
        <f ca="1">IFERROR(__xludf.DUMMYFUNCTION("""COMPUTED_VALUE"""),"VW")</f>
        <v>VW</v>
      </c>
      <c r="B2163" s="79" t="str">
        <f ca="1">IFERROR(__xludf.DUMMYFUNCTION("""COMPUTED_VALUE"""),"AVERY O'Brien")</f>
        <v>AVERY O'Brien</v>
      </c>
      <c r="C2163" s="78">
        <f ca="1">IFERROR(__xludf.DUMMYFUNCTION("""COMPUTED_VALUE"""),9)</f>
        <v>9</v>
      </c>
      <c r="D2163" s="78" t="str">
        <f ca="1">IFERROR(__xludf.DUMMYFUNCTION("""COMPUTED_VALUE"""),"G")</f>
        <v>G</v>
      </c>
      <c r="E2163" s="80" t="str">
        <f ca="1">IFERROR(__xludf.DUMMYFUNCTION("""COMPUTED_VALUE"""),"F")</f>
        <v>F</v>
      </c>
      <c r="F2163" s="86" t="str">
        <f ca="1">IFERROR(__xludf.DUMMYFUNCTION("""COMPUTED_VALUE"""),"J")</f>
        <v>J</v>
      </c>
      <c r="G2163" s="86">
        <f ca="1">IFERROR(__xludf.DUMMYFUNCTION("""COMPUTED_VALUE"""),1)</f>
        <v>1</v>
      </c>
      <c r="H2163" s="86" t="str">
        <f ca="1">IFERROR(__xludf.DUMMYFUNCTION("""COMPUTED_VALUE"""),"VW")</f>
        <v>VW</v>
      </c>
      <c r="I2163" s="86">
        <f ca="1">IFERROR(__xludf.DUMMYFUNCTION("""COMPUTED_VALUE"""),2)</f>
        <v>2</v>
      </c>
      <c r="J2163" s="85">
        <f ca="1">IFERROR(__xludf.DUMMYFUNCTION("""COMPUTED_VALUE"""),1)</f>
        <v>1</v>
      </c>
      <c r="K2163" s="85">
        <f ca="1">IFERROR(__xludf.DUMMYFUNCTION("""COMPUTED_VALUE"""),42.1)</f>
        <v>42.1</v>
      </c>
      <c r="L2163" s="85">
        <f ca="1">IFERROR(__xludf.DUMMYFUNCTION("""COMPUTED_VALUE"""),42.1)</f>
        <v>42.1</v>
      </c>
      <c r="M2163" s="85"/>
      <c r="N2163" s="85">
        <f ca="1">IFERROR(__xludf.DUMMYFUNCTION("""COMPUTED_VALUE"""),0)</f>
        <v>0</v>
      </c>
      <c r="O2163" s="85"/>
      <c r="P2163" s="85">
        <f ca="1">IFERROR(__xludf.DUMMYFUNCTION("""COMPUTED_VALUE"""),0)</f>
        <v>0</v>
      </c>
      <c r="Q2163" s="85"/>
      <c r="R2163" s="85">
        <f ca="1">IFERROR(__xludf.DUMMYFUNCTION("""COMPUTED_VALUE"""),0)</f>
        <v>0</v>
      </c>
      <c r="S2163" s="85"/>
      <c r="T2163" s="85"/>
      <c r="U2163" s="82"/>
      <c r="V2163" s="82"/>
      <c r="W2163" s="83"/>
      <c r="X2163" s="83"/>
      <c r="Y2163" s="83"/>
    </row>
    <row r="2164" spans="1:25" ht="13.8">
      <c r="A2164" s="78" t="str">
        <f ca="1">IFERROR(__xludf.DUMMYFUNCTION("""COMPUTED_VALUE"""),"VW")</f>
        <v>VW</v>
      </c>
      <c r="B2164" s="79" t="str">
        <f ca="1">IFERROR(__xludf.DUMMYFUNCTION("""COMPUTED_VALUE"""),"Kylie O'Brien")</f>
        <v>Kylie O'Brien</v>
      </c>
      <c r="C2164" s="78">
        <f ca="1">IFERROR(__xludf.DUMMYFUNCTION("""COMPUTED_VALUE"""),5)</f>
        <v>5</v>
      </c>
      <c r="D2164" s="78" t="str">
        <f ca="1">IFERROR(__xludf.DUMMYFUNCTION("""COMPUTED_VALUE"""),"G")</f>
        <v>G</v>
      </c>
      <c r="E2164" s="80" t="str">
        <f ca="1">IFERROR(__xludf.DUMMYFUNCTION("""COMPUTED_VALUE"""),"F")</f>
        <v>F</v>
      </c>
      <c r="F2164" s="86" t="str">
        <f ca="1">IFERROR(__xludf.DUMMYFUNCTION("""COMPUTED_VALUE"""),"J")</f>
        <v>J</v>
      </c>
      <c r="G2164" s="86">
        <f ca="1">IFERROR(__xludf.DUMMYFUNCTION("""COMPUTED_VALUE"""),1)</f>
        <v>1</v>
      </c>
      <c r="H2164" s="86" t="str">
        <f ca="1">IFERROR(__xludf.DUMMYFUNCTION("""COMPUTED_VALUE"""),"VW")</f>
        <v>VW</v>
      </c>
      <c r="I2164" s="86">
        <f ca="1">IFERROR(__xludf.DUMMYFUNCTION("""COMPUTED_VALUE"""),2)</f>
        <v>2</v>
      </c>
      <c r="J2164" s="85">
        <f ca="1">IFERROR(__xludf.DUMMYFUNCTION("""COMPUTED_VALUE"""),0)</f>
        <v>0</v>
      </c>
      <c r="K2164" s="85">
        <f ca="1">IFERROR(__xludf.DUMMYFUNCTION("""COMPUTED_VALUE"""),0)</f>
        <v>0</v>
      </c>
      <c r="L2164" s="85">
        <f ca="1">IFERROR(__xludf.DUMMYFUNCTION("""COMPUTED_VALUE"""),0)</f>
        <v>0</v>
      </c>
      <c r="M2164" s="85"/>
      <c r="N2164" s="85">
        <f ca="1">IFERROR(__xludf.DUMMYFUNCTION("""COMPUTED_VALUE"""),0)</f>
        <v>0</v>
      </c>
      <c r="O2164" s="85"/>
      <c r="P2164" s="85">
        <f ca="1">IFERROR(__xludf.DUMMYFUNCTION("""COMPUTED_VALUE"""),0)</f>
        <v>0</v>
      </c>
      <c r="Q2164" s="85"/>
      <c r="R2164" s="85">
        <f ca="1">IFERROR(__xludf.DUMMYFUNCTION("""COMPUTED_VALUE"""),0)</f>
        <v>0</v>
      </c>
      <c r="S2164" s="85"/>
      <c r="T2164" s="85"/>
      <c r="U2164" s="82"/>
      <c r="V2164" s="82"/>
      <c r="W2164" s="83"/>
      <c r="X2164" s="83"/>
      <c r="Y2164" s="83"/>
    </row>
    <row r="2165" spans="1:25" ht="13.8">
      <c r="A2165" s="78" t="str">
        <f ca="1">IFERROR(__xludf.DUMMYFUNCTION("""COMPUTED_VALUE"""),"VW")</f>
        <v>VW</v>
      </c>
      <c r="B2165" s="79" t="str">
        <f ca="1">IFERROR(__xludf.DUMMYFUNCTION("""COMPUTED_VALUE"""),"Isabella Prendergast")</f>
        <v>Isabella Prendergast</v>
      </c>
      <c r="C2165" s="78">
        <f ca="1">IFERROR(__xludf.DUMMYFUNCTION("""COMPUTED_VALUE"""),9)</f>
        <v>9</v>
      </c>
      <c r="D2165" s="78" t="str">
        <f ca="1">IFERROR(__xludf.DUMMYFUNCTION("""COMPUTED_VALUE"""),"G")</f>
        <v>G</v>
      </c>
      <c r="E2165" s="80" t="str">
        <f ca="1">IFERROR(__xludf.DUMMYFUNCTION("""COMPUTED_VALUE"""),"F")</f>
        <v>F</v>
      </c>
      <c r="F2165" s="86" t="str">
        <f ca="1">IFERROR(__xludf.DUMMYFUNCTION("""COMPUTED_VALUE"""),"J")</f>
        <v>J</v>
      </c>
      <c r="G2165" s="86">
        <f ca="1">IFERROR(__xludf.DUMMYFUNCTION("""COMPUTED_VALUE"""),1)</f>
        <v>1</v>
      </c>
      <c r="H2165" s="86" t="str">
        <f ca="1">IFERROR(__xludf.DUMMYFUNCTION("""COMPUTED_VALUE"""),"VW")</f>
        <v>VW</v>
      </c>
      <c r="I2165" s="86">
        <f ca="1">IFERROR(__xludf.DUMMYFUNCTION("""COMPUTED_VALUE"""),2)</f>
        <v>2</v>
      </c>
      <c r="J2165" s="85">
        <f ca="1">IFERROR(__xludf.DUMMYFUNCTION("""COMPUTED_VALUE"""),0)</f>
        <v>0</v>
      </c>
      <c r="K2165" s="85">
        <f ca="1">IFERROR(__xludf.DUMMYFUNCTION("""COMPUTED_VALUE"""),0)</f>
        <v>0</v>
      </c>
      <c r="L2165" s="85">
        <f ca="1">IFERROR(__xludf.DUMMYFUNCTION("""COMPUTED_VALUE"""),0)</f>
        <v>0</v>
      </c>
      <c r="M2165" s="85"/>
      <c r="N2165" s="85">
        <f ca="1">IFERROR(__xludf.DUMMYFUNCTION("""COMPUTED_VALUE"""),0)</f>
        <v>0</v>
      </c>
      <c r="O2165" s="85"/>
      <c r="P2165" s="85">
        <f ca="1">IFERROR(__xludf.DUMMYFUNCTION("""COMPUTED_VALUE"""),0)</f>
        <v>0</v>
      </c>
      <c r="Q2165" s="85"/>
      <c r="R2165" s="85">
        <f ca="1">IFERROR(__xludf.DUMMYFUNCTION("""COMPUTED_VALUE"""),0)</f>
        <v>0</v>
      </c>
      <c r="S2165" s="85"/>
      <c r="T2165" s="85"/>
      <c r="U2165" s="82"/>
      <c r="V2165" s="82"/>
      <c r="W2165" s="83"/>
      <c r="X2165" s="83"/>
      <c r="Y2165" s="83"/>
    </row>
    <row r="2166" spans="1:25" ht="13.8">
      <c r="A2166" s="78" t="str">
        <f ca="1">IFERROR(__xludf.DUMMYFUNCTION("""COMPUTED_VALUE"""),"VW")</f>
        <v>VW</v>
      </c>
      <c r="B2166" s="79" t="str">
        <f ca="1">IFERROR(__xludf.DUMMYFUNCTION("""COMPUTED_VALUE"""),"Libby Wigglesworth")</f>
        <v>Libby Wigglesworth</v>
      </c>
      <c r="C2166" s="78">
        <f ca="1">IFERROR(__xludf.DUMMYFUNCTION("""COMPUTED_VALUE"""),9)</f>
        <v>9</v>
      </c>
      <c r="D2166" s="78" t="str">
        <f ca="1">IFERROR(__xludf.DUMMYFUNCTION("""COMPUTED_VALUE"""),"G")</f>
        <v>G</v>
      </c>
      <c r="E2166" s="80" t="str">
        <f ca="1">IFERROR(__xludf.DUMMYFUNCTION("""COMPUTED_VALUE"""),"F")</f>
        <v>F</v>
      </c>
      <c r="F2166" s="86" t="str">
        <f ca="1">IFERROR(__xludf.DUMMYFUNCTION("""COMPUTED_VALUE"""),"J")</f>
        <v>J</v>
      </c>
      <c r="G2166" s="86">
        <f ca="1">IFERROR(__xludf.DUMMYFUNCTION("""COMPUTED_VALUE"""),1)</f>
        <v>1</v>
      </c>
      <c r="H2166" s="86" t="str">
        <f ca="1">IFERROR(__xludf.DUMMYFUNCTION("""COMPUTED_VALUE"""),"VW")</f>
        <v>VW</v>
      </c>
      <c r="I2166" s="86">
        <f ca="1">IFERROR(__xludf.DUMMYFUNCTION("""COMPUTED_VALUE"""),2)</f>
        <v>2</v>
      </c>
      <c r="J2166" s="85">
        <f ca="1">IFERROR(__xludf.DUMMYFUNCTION("""COMPUTED_VALUE"""),5)</f>
        <v>5</v>
      </c>
      <c r="K2166" s="85">
        <f ca="1">IFERROR(__xludf.DUMMYFUNCTION("""COMPUTED_VALUE"""),66.3)</f>
        <v>66.3</v>
      </c>
      <c r="L2166" s="85">
        <f ca="1">IFERROR(__xludf.DUMMYFUNCTION("""COMPUTED_VALUE"""),60.75)</f>
        <v>60.75</v>
      </c>
      <c r="M2166" s="85"/>
      <c r="N2166" s="85">
        <f ca="1">IFERROR(__xludf.DUMMYFUNCTION("""COMPUTED_VALUE"""),66.3)</f>
        <v>66.3</v>
      </c>
      <c r="O2166" s="85"/>
      <c r="P2166" s="85">
        <f ca="1">IFERROR(__xludf.DUMMYFUNCTION("""COMPUTED_VALUE"""),47.5)</f>
        <v>47.5</v>
      </c>
      <c r="Q2166" s="85"/>
      <c r="R2166" s="85">
        <f ca="1">IFERROR(__xludf.DUMMYFUNCTION("""COMPUTED_VALUE"""),44.7)</f>
        <v>44.7</v>
      </c>
      <c r="S2166" s="85"/>
      <c r="T2166" s="85"/>
      <c r="U2166" s="82"/>
      <c r="V2166" s="82"/>
      <c r="W2166" s="83"/>
      <c r="X2166" s="83"/>
      <c r="Y2166" s="83"/>
    </row>
    <row r="2167" spans="1:25" ht="13.8">
      <c r="A2167" s="78" t="str">
        <f ca="1">IFERROR(__xludf.DUMMYFUNCTION("""COMPUTED_VALUE"""),"VW")</f>
        <v>VW</v>
      </c>
      <c r="B2167" s="79" t="str">
        <f ca="1">IFERROR(__xludf.DUMMYFUNCTION("""COMPUTED_VALUE"""),"Theodore Hathaway")</f>
        <v>Theodore Hathaway</v>
      </c>
      <c r="C2167" s="78">
        <f ca="1">IFERROR(__xludf.DUMMYFUNCTION("""COMPUTED_VALUE"""),10)</f>
        <v>10</v>
      </c>
      <c r="D2167" s="78" t="str">
        <f ca="1">IFERROR(__xludf.DUMMYFUNCTION("""COMPUTED_VALUE"""),"B")</f>
        <v>B</v>
      </c>
      <c r="E2167" s="80" t="str">
        <f ca="1">IFERROR(__xludf.DUMMYFUNCTION("""COMPUTED_VALUE"""),"F")</f>
        <v>F</v>
      </c>
      <c r="F2167" s="86" t="str">
        <f ca="1">IFERROR(__xludf.DUMMYFUNCTION("""COMPUTED_VALUE"""),"J")</f>
        <v>J</v>
      </c>
      <c r="G2167" s="86">
        <f ca="1">IFERROR(__xludf.DUMMYFUNCTION("""COMPUTED_VALUE"""),1)</f>
        <v>1</v>
      </c>
      <c r="H2167" s="86" t="str">
        <f ca="1">IFERROR(__xludf.DUMMYFUNCTION("""COMPUTED_VALUE"""),"VW")</f>
        <v>VW</v>
      </c>
      <c r="I2167" s="86">
        <f ca="1">IFERROR(__xludf.DUMMYFUNCTION("""COMPUTED_VALUE"""),3)</f>
        <v>3</v>
      </c>
      <c r="J2167" s="85">
        <f ca="1">IFERROR(__xludf.DUMMYFUNCTION("""COMPUTED_VALUE"""),1)</f>
        <v>1</v>
      </c>
      <c r="K2167" s="85">
        <f ca="1">IFERROR(__xludf.DUMMYFUNCTION("""COMPUTED_VALUE"""),55.1)</f>
        <v>55.1</v>
      </c>
      <c r="L2167" s="85">
        <f ca="1">IFERROR(__xludf.DUMMYFUNCTION("""COMPUTED_VALUE"""),0)</f>
        <v>0</v>
      </c>
      <c r="M2167" s="85"/>
      <c r="N2167" s="85">
        <f ca="1">IFERROR(__xludf.DUMMYFUNCTION("""COMPUTED_VALUE"""),0)</f>
        <v>0</v>
      </c>
      <c r="O2167" s="85"/>
      <c r="P2167" s="85">
        <f ca="1">IFERROR(__xludf.DUMMYFUNCTION("""COMPUTED_VALUE"""),55.1)</f>
        <v>55.1</v>
      </c>
      <c r="Q2167" s="85"/>
      <c r="R2167" s="85">
        <f ca="1">IFERROR(__xludf.DUMMYFUNCTION("""COMPUTED_VALUE"""),0)</f>
        <v>0</v>
      </c>
      <c r="S2167" s="85"/>
      <c r="T2167" s="85"/>
      <c r="U2167" s="82"/>
      <c r="V2167" s="82"/>
      <c r="W2167" s="83"/>
      <c r="X2167" s="83"/>
      <c r="Y2167" s="83"/>
    </row>
    <row r="2168" spans="1:25" ht="13.8">
      <c r="A2168" s="78" t="str">
        <f ca="1">IFERROR(__xludf.DUMMYFUNCTION("""COMPUTED_VALUE"""),"VW")</f>
        <v>VW</v>
      </c>
      <c r="B2168" s="79" t="str">
        <f ca="1">IFERROR(__xludf.DUMMYFUNCTION("""COMPUTED_VALUE"""),"Timothy Hazzard")</f>
        <v>Timothy Hazzard</v>
      </c>
      <c r="C2168" s="78">
        <f ca="1">IFERROR(__xludf.DUMMYFUNCTION("""COMPUTED_VALUE"""),10)</f>
        <v>10</v>
      </c>
      <c r="D2168" s="78" t="str">
        <f ca="1">IFERROR(__xludf.DUMMYFUNCTION("""COMPUTED_VALUE"""),"B")</f>
        <v>B</v>
      </c>
      <c r="E2168" s="80" t="str">
        <f ca="1">IFERROR(__xludf.DUMMYFUNCTION("""COMPUTED_VALUE"""),"F")</f>
        <v>F</v>
      </c>
      <c r="F2168" s="86" t="str">
        <f ca="1">IFERROR(__xludf.DUMMYFUNCTION("""COMPUTED_VALUE"""),"J")</f>
        <v>J</v>
      </c>
      <c r="G2168" s="86">
        <f ca="1">IFERROR(__xludf.DUMMYFUNCTION("""COMPUTED_VALUE"""),1)</f>
        <v>1</v>
      </c>
      <c r="H2168" s="86" t="str">
        <f ca="1">IFERROR(__xludf.DUMMYFUNCTION("""COMPUTED_VALUE"""),"VW")</f>
        <v>VW</v>
      </c>
      <c r="I2168" s="86">
        <f ca="1">IFERROR(__xludf.DUMMYFUNCTION("""COMPUTED_VALUE"""),3)</f>
        <v>3</v>
      </c>
      <c r="J2168" s="85">
        <f ca="1">IFERROR(__xludf.DUMMYFUNCTION("""COMPUTED_VALUE"""),1)</f>
        <v>1</v>
      </c>
      <c r="K2168" s="85">
        <f ca="1">IFERROR(__xludf.DUMMYFUNCTION("""COMPUTED_VALUE"""),41.65)</f>
        <v>41.65</v>
      </c>
      <c r="L2168" s="85">
        <f ca="1">IFERROR(__xludf.DUMMYFUNCTION("""COMPUTED_VALUE"""),0)</f>
        <v>0</v>
      </c>
      <c r="M2168" s="85"/>
      <c r="N2168" s="85">
        <f ca="1">IFERROR(__xludf.DUMMYFUNCTION("""COMPUTED_VALUE"""),0)</f>
        <v>0</v>
      </c>
      <c r="O2168" s="85"/>
      <c r="P2168" s="85">
        <f ca="1">IFERROR(__xludf.DUMMYFUNCTION("""COMPUTED_VALUE"""),41.65)</f>
        <v>41.65</v>
      </c>
      <c r="Q2168" s="85"/>
      <c r="R2168" s="85">
        <f ca="1">IFERROR(__xludf.DUMMYFUNCTION("""COMPUTED_VALUE"""),0)</f>
        <v>0</v>
      </c>
      <c r="S2168" s="85"/>
      <c r="T2168" s="85"/>
      <c r="U2168" s="82"/>
      <c r="V2168" s="82"/>
      <c r="W2168" s="83"/>
      <c r="X2168" s="83"/>
      <c r="Y2168" s="83"/>
    </row>
    <row r="2169" spans="1:25" ht="13.8">
      <c r="A2169" s="78" t="str">
        <f ca="1">IFERROR(__xludf.DUMMYFUNCTION("""COMPUTED_VALUE"""),"VW")</f>
        <v>VW</v>
      </c>
      <c r="B2169" s="79" t="str">
        <f ca="1">IFERROR(__xludf.DUMMYFUNCTION("""COMPUTED_VALUE"""),"Ryan Hermann")</f>
        <v>Ryan Hermann</v>
      </c>
      <c r="C2169" s="78">
        <f ca="1">IFERROR(__xludf.DUMMYFUNCTION("""COMPUTED_VALUE"""),9)</f>
        <v>9</v>
      </c>
      <c r="D2169" s="78" t="str">
        <f ca="1">IFERROR(__xludf.DUMMYFUNCTION("""COMPUTED_VALUE"""),"B")</f>
        <v>B</v>
      </c>
      <c r="E2169" s="80" t="str">
        <f ca="1">IFERROR(__xludf.DUMMYFUNCTION("""COMPUTED_VALUE"""),"F")</f>
        <v>F</v>
      </c>
      <c r="F2169" s="86" t="str">
        <f ca="1">IFERROR(__xludf.DUMMYFUNCTION("""COMPUTED_VALUE"""),"J")</f>
        <v>J</v>
      </c>
      <c r="G2169" s="86">
        <f ca="1">IFERROR(__xludf.DUMMYFUNCTION("""COMPUTED_VALUE"""),1)</f>
        <v>1</v>
      </c>
      <c r="H2169" s="86" t="str">
        <f ca="1">IFERROR(__xludf.DUMMYFUNCTION("""COMPUTED_VALUE"""),"VW")</f>
        <v>VW</v>
      </c>
      <c r="I2169" s="86">
        <f ca="1">IFERROR(__xludf.DUMMYFUNCTION("""COMPUTED_VALUE"""),3)</f>
        <v>3</v>
      </c>
      <c r="J2169" s="85">
        <f ca="1">IFERROR(__xludf.DUMMYFUNCTION("""COMPUTED_VALUE"""),3)</f>
        <v>3</v>
      </c>
      <c r="K2169" s="85">
        <f ca="1">IFERROR(__xludf.DUMMYFUNCTION("""COMPUTED_VALUE"""),38.7)</f>
        <v>38.700000000000003</v>
      </c>
      <c r="L2169" s="85">
        <f ca="1">IFERROR(__xludf.DUMMYFUNCTION("""COMPUTED_VALUE"""),0)</f>
        <v>0</v>
      </c>
      <c r="M2169" s="85"/>
      <c r="N2169" s="85">
        <f ca="1">IFERROR(__xludf.DUMMYFUNCTION("""COMPUTED_VALUE"""),0)</f>
        <v>0</v>
      </c>
      <c r="O2169" s="85"/>
      <c r="P2169" s="85">
        <f ca="1">IFERROR(__xludf.DUMMYFUNCTION("""COMPUTED_VALUE"""),38.7)</f>
        <v>38.700000000000003</v>
      </c>
      <c r="Q2169" s="85"/>
      <c r="R2169" s="85">
        <f ca="1">IFERROR(__xludf.DUMMYFUNCTION("""COMPUTED_VALUE"""),23.35)</f>
        <v>23.35</v>
      </c>
      <c r="S2169" s="85"/>
      <c r="T2169" s="85"/>
      <c r="U2169" s="82"/>
      <c r="V2169" s="82"/>
      <c r="W2169" s="83"/>
      <c r="X2169" s="83"/>
      <c r="Y2169" s="83"/>
    </row>
    <row r="2170" spans="1:25" ht="13.8">
      <c r="A2170" s="78" t="str">
        <f ca="1">IFERROR(__xludf.DUMMYFUNCTION("""COMPUTED_VALUE"""),"VW")</f>
        <v>VW</v>
      </c>
      <c r="B2170" s="79" t="str">
        <f ca="1">IFERROR(__xludf.DUMMYFUNCTION("""COMPUTED_VALUE"""),"Noah Kim")</f>
        <v>Noah Kim</v>
      </c>
      <c r="C2170" s="78">
        <f ca="1">IFERROR(__xludf.DUMMYFUNCTION("""COMPUTED_VALUE"""),10)</f>
        <v>10</v>
      </c>
      <c r="D2170" s="78" t="str">
        <f ca="1">IFERROR(__xludf.DUMMYFUNCTION("""COMPUTED_VALUE"""),"B")</f>
        <v>B</v>
      </c>
      <c r="E2170" s="80" t="str">
        <f ca="1">IFERROR(__xludf.DUMMYFUNCTION("""COMPUTED_VALUE"""),"F")</f>
        <v>F</v>
      </c>
      <c r="F2170" s="86" t="str">
        <f ca="1">IFERROR(__xludf.DUMMYFUNCTION("""COMPUTED_VALUE"""),"J")</f>
        <v>J</v>
      </c>
      <c r="G2170" s="86">
        <f ca="1">IFERROR(__xludf.DUMMYFUNCTION("""COMPUTED_VALUE"""),1)</f>
        <v>1</v>
      </c>
      <c r="H2170" s="86" t="str">
        <f ca="1">IFERROR(__xludf.DUMMYFUNCTION("""COMPUTED_VALUE"""),"VW")</f>
        <v>VW</v>
      </c>
      <c r="I2170" s="86">
        <f ca="1">IFERROR(__xludf.DUMMYFUNCTION("""COMPUTED_VALUE"""),3)</f>
        <v>3</v>
      </c>
      <c r="J2170" s="85">
        <f ca="1">IFERROR(__xludf.DUMMYFUNCTION("""COMPUTED_VALUE"""),3)</f>
        <v>3</v>
      </c>
      <c r="K2170" s="85">
        <f ca="1">IFERROR(__xludf.DUMMYFUNCTION("""COMPUTED_VALUE"""),57.2)</f>
        <v>57.2</v>
      </c>
      <c r="L2170" s="85">
        <f ca="1">IFERROR(__xludf.DUMMYFUNCTION("""COMPUTED_VALUE"""),0)</f>
        <v>0</v>
      </c>
      <c r="M2170" s="85"/>
      <c r="N2170" s="85">
        <f ca="1">IFERROR(__xludf.DUMMYFUNCTION("""COMPUTED_VALUE"""),0)</f>
        <v>0</v>
      </c>
      <c r="O2170" s="85"/>
      <c r="P2170" s="85">
        <f ca="1">IFERROR(__xludf.DUMMYFUNCTION("""COMPUTED_VALUE"""),57.2)</f>
        <v>57.2</v>
      </c>
      <c r="Q2170" s="85"/>
      <c r="R2170" s="85">
        <f ca="1">IFERROR(__xludf.DUMMYFUNCTION("""COMPUTED_VALUE"""),53.9)</f>
        <v>53.9</v>
      </c>
      <c r="S2170" s="85"/>
      <c r="T2170" s="85"/>
      <c r="U2170" s="82"/>
      <c r="V2170" s="82"/>
      <c r="W2170" s="83"/>
      <c r="X2170" s="83"/>
      <c r="Y2170" s="83"/>
    </row>
    <row r="2171" spans="1:25" ht="13.8">
      <c r="A2171" s="78" t="str">
        <f ca="1">IFERROR(__xludf.DUMMYFUNCTION("""COMPUTED_VALUE"""),"VW")</f>
        <v>VW</v>
      </c>
      <c r="B2171" s="79" t="str">
        <f ca="1">IFERROR(__xludf.DUMMYFUNCTION("""COMPUTED_VALUE"""),"Chase Kitchell")</f>
        <v>Chase Kitchell</v>
      </c>
      <c r="C2171" s="78">
        <f ca="1">IFERROR(__xludf.DUMMYFUNCTION("""COMPUTED_VALUE"""),10)</f>
        <v>10</v>
      </c>
      <c r="D2171" s="78" t="str">
        <f ca="1">IFERROR(__xludf.DUMMYFUNCTION("""COMPUTED_VALUE"""),"B")</f>
        <v>B</v>
      </c>
      <c r="E2171" s="80" t="str">
        <f ca="1">IFERROR(__xludf.DUMMYFUNCTION("""COMPUTED_VALUE"""),"F")</f>
        <v>F</v>
      </c>
      <c r="F2171" s="86" t="str">
        <f ca="1">IFERROR(__xludf.DUMMYFUNCTION("""COMPUTED_VALUE"""),"J")</f>
        <v>J</v>
      </c>
      <c r="G2171" s="86">
        <f ca="1">IFERROR(__xludf.DUMMYFUNCTION("""COMPUTED_VALUE"""),1)</f>
        <v>1</v>
      </c>
      <c r="H2171" s="86" t="str">
        <f ca="1">IFERROR(__xludf.DUMMYFUNCTION("""COMPUTED_VALUE"""),"VW")</f>
        <v>VW</v>
      </c>
      <c r="I2171" s="86">
        <f ca="1">IFERROR(__xludf.DUMMYFUNCTION("""COMPUTED_VALUE"""),3)</f>
        <v>3</v>
      </c>
      <c r="J2171" s="85">
        <f ca="1">IFERROR(__xludf.DUMMYFUNCTION("""COMPUTED_VALUE"""),0)</f>
        <v>0</v>
      </c>
      <c r="K2171" s="85">
        <f ca="1">IFERROR(__xludf.DUMMYFUNCTION("""COMPUTED_VALUE"""),0)</f>
        <v>0</v>
      </c>
      <c r="L2171" s="85">
        <f ca="1">IFERROR(__xludf.DUMMYFUNCTION("""COMPUTED_VALUE"""),0)</f>
        <v>0</v>
      </c>
      <c r="M2171" s="85"/>
      <c r="N2171" s="85">
        <f ca="1">IFERROR(__xludf.DUMMYFUNCTION("""COMPUTED_VALUE"""),0)</f>
        <v>0</v>
      </c>
      <c r="O2171" s="85"/>
      <c r="P2171" s="85">
        <f ca="1">IFERROR(__xludf.DUMMYFUNCTION("""COMPUTED_VALUE"""),0)</f>
        <v>0</v>
      </c>
      <c r="Q2171" s="85"/>
      <c r="R2171" s="85">
        <f ca="1">IFERROR(__xludf.DUMMYFUNCTION("""COMPUTED_VALUE"""),0)</f>
        <v>0</v>
      </c>
      <c r="S2171" s="85"/>
      <c r="T2171" s="85"/>
      <c r="U2171" s="82"/>
      <c r="V2171" s="82"/>
      <c r="W2171" s="83"/>
      <c r="X2171" s="83"/>
      <c r="Y2171" s="83"/>
    </row>
    <row r="2172" spans="1:25" ht="13.8">
      <c r="A2172" s="78" t="str">
        <f ca="1">IFERROR(__xludf.DUMMYFUNCTION("""COMPUTED_VALUE"""),"VW")</f>
        <v>VW</v>
      </c>
      <c r="B2172" s="79" t="str">
        <f ca="1">IFERROR(__xludf.DUMMYFUNCTION("""COMPUTED_VALUE"""),"Harrison Knight")</f>
        <v>Harrison Knight</v>
      </c>
      <c r="C2172" s="78">
        <f ca="1">IFERROR(__xludf.DUMMYFUNCTION("""COMPUTED_VALUE"""),6)</f>
        <v>6</v>
      </c>
      <c r="D2172" s="78" t="str">
        <f ca="1">IFERROR(__xludf.DUMMYFUNCTION("""COMPUTED_VALUE"""),"B")</f>
        <v>B</v>
      </c>
      <c r="E2172" s="80" t="str">
        <f ca="1">IFERROR(__xludf.DUMMYFUNCTION("""COMPUTED_VALUE"""),"F")</f>
        <v>F</v>
      </c>
      <c r="F2172" s="86" t="str">
        <f ca="1">IFERROR(__xludf.DUMMYFUNCTION("""COMPUTED_VALUE"""),"J")</f>
        <v>J</v>
      </c>
      <c r="G2172" s="86">
        <f ca="1">IFERROR(__xludf.DUMMYFUNCTION("""COMPUTED_VALUE"""),1)</f>
        <v>1</v>
      </c>
      <c r="H2172" s="86" t="str">
        <f ca="1">IFERROR(__xludf.DUMMYFUNCTION("""COMPUTED_VALUE"""),"VW")</f>
        <v>VW</v>
      </c>
      <c r="I2172" s="86">
        <f ca="1">IFERROR(__xludf.DUMMYFUNCTION("""COMPUTED_VALUE"""),3)</f>
        <v>3</v>
      </c>
      <c r="J2172" s="85">
        <f ca="1">IFERROR(__xludf.DUMMYFUNCTION("""COMPUTED_VALUE"""),0)</f>
        <v>0</v>
      </c>
      <c r="K2172" s="85">
        <f ca="1">IFERROR(__xludf.DUMMYFUNCTION("""COMPUTED_VALUE"""),0)</f>
        <v>0</v>
      </c>
      <c r="L2172" s="85">
        <f ca="1">IFERROR(__xludf.DUMMYFUNCTION("""COMPUTED_VALUE"""),0)</f>
        <v>0</v>
      </c>
      <c r="M2172" s="85"/>
      <c r="N2172" s="85">
        <f ca="1">IFERROR(__xludf.DUMMYFUNCTION("""COMPUTED_VALUE"""),0)</f>
        <v>0</v>
      </c>
      <c r="O2172" s="85"/>
      <c r="P2172" s="85">
        <f ca="1">IFERROR(__xludf.DUMMYFUNCTION("""COMPUTED_VALUE"""),0)</f>
        <v>0</v>
      </c>
      <c r="Q2172" s="85"/>
      <c r="R2172" s="85">
        <f ca="1">IFERROR(__xludf.DUMMYFUNCTION("""COMPUTED_VALUE"""),0)</f>
        <v>0</v>
      </c>
      <c r="S2172" s="85"/>
      <c r="T2172" s="85"/>
      <c r="U2172" s="82"/>
      <c r="V2172" s="82"/>
      <c r="W2172" s="83"/>
      <c r="X2172" s="83"/>
      <c r="Y2172" s="83"/>
    </row>
    <row r="2173" spans="1:25" ht="13.8">
      <c r="A2173" s="78" t="str">
        <f ca="1">IFERROR(__xludf.DUMMYFUNCTION("""COMPUTED_VALUE"""),"VW")</f>
        <v>VW</v>
      </c>
      <c r="B2173" s="79" t="str">
        <f ca="1">IFERROR(__xludf.DUMMYFUNCTION("""COMPUTED_VALUE"""),"Robert Markley")</f>
        <v>Robert Markley</v>
      </c>
      <c r="C2173" s="78">
        <f ca="1">IFERROR(__xludf.DUMMYFUNCTION("""COMPUTED_VALUE"""),6)</f>
        <v>6</v>
      </c>
      <c r="D2173" s="78" t="str">
        <f ca="1">IFERROR(__xludf.DUMMYFUNCTION("""COMPUTED_VALUE"""),"B")</f>
        <v>B</v>
      </c>
      <c r="E2173" s="80" t="str">
        <f ca="1">IFERROR(__xludf.DUMMYFUNCTION("""COMPUTED_VALUE"""),"F")</f>
        <v>F</v>
      </c>
      <c r="F2173" s="86" t="str">
        <f ca="1">IFERROR(__xludf.DUMMYFUNCTION("""COMPUTED_VALUE"""),"J")</f>
        <v>J</v>
      </c>
      <c r="G2173" s="86">
        <f ca="1">IFERROR(__xludf.DUMMYFUNCTION("""COMPUTED_VALUE"""),1)</f>
        <v>1</v>
      </c>
      <c r="H2173" s="86" t="str">
        <f ca="1">IFERROR(__xludf.DUMMYFUNCTION("""COMPUTED_VALUE"""),"VW")</f>
        <v>VW</v>
      </c>
      <c r="I2173" s="86">
        <f ca="1">IFERROR(__xludf.DUMMYFUNCTION("""COMPUTED_VALUE"""),3)</f>
        <v>3</v>
      </c>
      <c r="J2173" s="85">
        <f ca="1">IFERROR(__xludf.DUMMYFUNCTION("""COMPUTED_VALUE"""),0)</f>
        <v>0</v>
      </c>
      <c r="K2173" s="85">
        <f ca="1">IFERROR(__xludf.DUMMYFUNCTION("""COMPUTED_VALUE"""),0)</f>
        <v>0</v>
      </c>
      <c r="L2173" s="85">
        <f ca="1">IFERROR(__xludf.DUMMYFUNCTION("""COMPUTED_VALUE"""),0)</f>
        <v>0</v>
      </c>
      <c r="M2173" s="85"/>
      <c r="N2173" s="85">
        <f ca="1">IFERROR(__xludf.DUMMYFUNCTION("""COMPUTED_VALUE"""),0)</f>
        <v>0</v>
      </c>
      <c r="O2173" s="85"/>
      <c r="P2173" s="85">
        <f ca="1">IFERROR(__xludf.DUMMYFUNCTION("""COMPUTED_VALUE"""),0)</f>
        <v>0</v>
      </c>
      <c r="Q2173" s="85"/>
      <c r="R2173" s="85">
        <f ca="1">IFERROR(__xludf.DUMMYFUNCTION("""COMPUTED_VALUE"""),0)</f>
        <v>0</v>
      </c>
      <c r="S2173" s="85"/>
      <c r="T2173" s="85"/>
      <c r="U2173" s="82"/>
      <c r="V2173" s="82"/>
      <c r="W2173" s="83"/>
      <c r="X2173" s="83"/>
      <c r="Y2173" s="83"/>
    </row>
    <row r="2174" spans="1:25" ht="13.8">
      <c r="A2174" s="78" t="str">
        <f ca="1">IFERROR(__xludf.DUMMYFUNCTION("""COMPUTED_VALUE"""),"VW")</f>
        <v>VW</v>
      </c>
      <c r="B2174" s="79" t="str">
        <f ca="1">IFERROR(__xludf.DUMMYFUNCTION("""COMPUTED_VALUE"""),"Chase Pellazar")</f>
        <v>Chase Pellazar</v>
      </c>
      <c r="C2174" s="78">
        <f ca="1">IFERROR(__xludf.DUMMYFUNCTION("""COMPUTED_VALUE"""),8)</f>
        <v>8</v>
      </c>
      <c r="D2174" s="78" t="str">
        <f ca="1">IFERROR(__xludf.DUMMYFUNCTION("""COMPUTED_VALUE"""),"B")</f>
        <v>B</v>
      </c>
      <c r="E2174" s="80" t="str">
        <f ca="1">IFERROR(__xludf.DUMMYFUNCTION("""COMPUTED_VALUE"""),"F")</f>
        <v>F</v>
      </c>
      <c r="F2174" s="86" t="str">
        <f ca="1">IFERROR(__xludf.DUMMYFUNCTION("""COMPUTED_VALUE"""),"J")</f>
        <v>J</v>
      </c>
      <c r="G2174" s="86">
        <f ca="1">IFERROR(__xludf.DUMMYFUNCTION("""COMPUTED_VALUE"""),1)</f>
        <v>1</v>
      </c>
      <c r="H2174" s="86" t="str">
        <f ca="1">IFERROR(__xludf.DUMMYFUNCTION("""COMPUTED_VALUE"""),"VW")</f>
        <v>VW</v>
      </c>
      <c r="I2174" s="86">
        <f ca="1">IFERROR(__xludf.DUMMYFUNCTION("""COMPUTED_VALUE"""),3)</f>
        <v>3</v>
      </c>
      <c r="J2174" s="85">
        <f ca="1">IFERROR(__xludf.DUMMYFUNCTION("""COMPUTED_VALUE"""),0)</f>
        <v>0</v>
      </c>
      <c r="K2174" s="85">
        <f ca="1">IFERROR(__xludf.DUMMYFUNCTION("""COMPUTED_VALUE"""),0)</f>
        <v>0</v>
      </c>
      <c r="L2174" s="85">
        <f ca="1">IFERROR(__xludf.DUMMYFUNCTION("""COMPUTED_VALUE"""),0)</f>
        <v>0</v>
      </c>
      <c r="M2174" s="85"/>
      <c r="N2174" s="85">
        <f ca="1">IFERROR(__xludf.DUMMYFUNCTION("""COMPUTED_VALUE"""),0)</f>
        <v>0</v>
      </c>
      <c r="O2174" s="85"/>
      <c r="P2174" s="85">
        <f ca="1">IFERROR(__xludf.DUMMYFUNCTION("""COMPUTED_VALUE"""),0)</f>
        <v>0</v>
      </c>
      <c r="Q2174" s="85"/>
      <c r="R2174" s="85">
        <f ca="1">IFERROR(__xludf.DUMMYFUNCTION("""COMPUTED_VALUE"""),0)</f>
        <v>0</v>
      </c>
      <c r="S2174" s="85"/>
      <c r="T2174" s="85"/>
      <c r="U2174" s="82"/>
      <c r="V2174" s="82"/>
      <c r="W2174" s="83"/>
      <c r="X2174" s="83"/>
      <c r="Y2174" s="83"/>
    </row>
    <row r="2175" spans="1:25" ht="13.8">
      <c r="A2175" s="78" t="str">
        <f ca="1">IFERROR(__xludf.DUMMYFUNCTION("""COMPUTED_VALUE"""),"VW")</f>
        <v>VW</v>
      </c>
      <c r="B2175" s="79" t="str">
        <f ca="1">IFERROR(__xludf.DUMMYFUNCTION("""COMPUTED_VALUE"""),"William Prendergast")</f>
        <v>William Prendergast</v>
      </c>
      <c r="C2175" s="78">
        <f ca="1">IFERROR(__xludf.DUMMYFUNCTION("""COMPUTED_VALUE"""),7)</f>
        <v>7</v>
      </c>
      <c r="D2175" s="78" t="str">
        <f ca="1">IFERROR(__xludf.DUMMYFUNCTION("""COMPUTED_VALUE"""),"B")</f>
        <v>B</v>
      </c>
      <c r="E2175" s="80" t="str">
        <f ca="1">IFERROR(__xludf.DUMMYFUNCTION("""COMPUTED_VALUE"""),"F")</f>
        <v>F</v>
      </c>
      <c r="F2175" s="86" t="str">
        <f ca="1">IFERROR(__xludf.DUMMYFUNCTION("""COMPUTED_VALUE"""),"J")</f>
        <v>J</v>
      </c>
      <c r="G2175" s="86">
        <f ca="1">IFERROR(__xludf.DUMMYFUNCTION("""COMPUTED_VALUE"""),1)</f>
        <v>1</v>
      </c>
      <c r="H2175" s="86" t="str">
        <f ca="1">IFERROR(__xludf.DUMMYFUNCTION("""COMPUTED_VALUE"""),"VW")</f>
        <v>VW</v>
      </c>
      <c r="I2175" s="86">
        <f ca="1">IFERROR(__xludf.DUMMYFUNCTION("""COMPUTED_VALUE"""),3)</f>
        <v>3</v>
      </c>
      <c r="J2175" s="85">
        <f ca="1">IFERROR(__xludf.DUMMYFUNCTION("""COMPUTED_VALUE"""),0)</f>
        <v>0</v>
      </c>
      <c r="K2175" s="85">
        <f ca="1">IFERROR(__xludf.DUMMYFUNCTION("""COMPUTED_VALUE"""),0)</f>
        <v>0</v>
      </c>
      <c r="L2175" s="85">
        <f ca="1">IFERROR(__xludf.DUMMYFUNCTION("""COMPUTED_VALUE"""),0)</f>
        <v>0</v>
      </c>
      <c r="M2175" s="85"/>
      <c r="N2175" s="85">
        <f ca="1">IFERROR(__xludf.DUMMYFUNCTION("""COMPUTED_VALUE"""),0)</f>
        <v>0</v>
      </c>
      <c r="O2175" s="85"/>
      <c r="P2175" s="85">
        <f ca="1">IFERROR(__xludf.DUMMYFUNCTION("""COMPUTED_VALUE"""),0)</f>
        <v>0</v>
      </c>
      <c r="Q2175" s="85"/>
      <c r="R2175" s="85">
        <f ca="1">IFERROR(__xludf.DUMMYFUNCTION("""COMPUTED_VALUE"""),0)</f>
        <v>0</v>
      </c>
      <c r="S2175" s="85"/>
      <c r="T2175" s="85"/>
      <c r="U2175" s="82"/>
      <c r="V2175" s="82"/>
      <c r="W2175" s="83"/>
      <c r="X2175" s="83"/>
      <c r="Y2175" s="83"/>
    </row>
    <row r="2176" spans="1:25" ht="13.8">
      <c r="A2176" s="78" t="str">
        <f ca="1">IFERROR(__xludf.DUMMYFUNCTION("""COMPUTED_VALUE"""),"VW")</f>
        <v>VW</v>
      </c>
      <c r="B2176" s="79" t="str">
        <f ca="1">IFERROR(__xludf.DUMMYFUNCTION("""COMPUTED_VALUE"""),"Aiden Richmond")</f>
        <v>Aiden Richmond</v>
      </c>
      <c r="C2176" s="78">
        <f ca="1">IFERROR(__xludf.DUMMYFUNCTION("""COMPUTED_VALUE"""),10)</f>
        <v>10</v>
      </c>
      <c r="D2176" s="78" t="str">
        <f ca="1">IFERROR(__xludf.DUMMYFUNCTION("""COMPUTED_VALUE"""),"B")</f>
        <v>B</v>
      </c>
      <c r="E2176" s="80" t="str">
        <f ca="1">IFERROR(__xludf.DUMMYFUNCTION("""COMPUTED_VALUE"""),"F")</f>
        <v>F</v>
      </c>
      <c r="F2176" s="86" t="str">
        <f ca="1">IFERROR(__xludf.DUMMYFUNCTION("""COMPUTED_VALUE"""),"J")</f>
        <v>J</v>
      </c>
      <c r="G2176" s="86">
        <f ca="1">IFERROR(__xludf.DUMMYFUNCTION("""COMPUTED_VALUE"""),1)</f>
        <v>1</v>
      </c>
      <c r="H2176" s="86" t="str">
        <f ca="1">IFERROR(__xludf.DUMMYFUNCTION("""COMPUTED_VALUE"""),"VW")</f>
        <v>VW</v>
      </c>
      <c r="I2176" s="86">
        <f ca="1">IFERROR(__xludf.DUMMYFUNCTION("""COMPUTED_VALUE"""),3)</f>
        <v>3</v>
      </c>
      <c r="J2176" s="85">
        <f ca="1">IFERROR(__xludf.DUMMYFUNCTION("""COMPUTED_VALUE"""),4)</f>
        <v>4</v>
      </c>
      <c r="K2176" s="85">
        <f ca="1">IFERROR(__xludf.DUMMYFUNCTION("""COMPUTED_VALUE"""),57.55)</f>
        <v>57.55</v>
      </c>
      <c r="L2176" s="85">
        <f ca="1">IFERROR(__xludf.DUMMYFUNCTION("""COMPUTED_VALUE"""),57.55)</f>
        <v>57.55</v>
      </c>
      <c r="M2176" s="85"/>
      <c r="N2176" s="85">
        <f ca="1">IFERROR(__xludf.DUMMYFUNCTION("""COMPUTED_VALUE"""),50.3)</f>
        <v>50.3</v>
      </c>
      <c r="O2176" s="85"/>
      <c r="P2176" s="85">
        <f ca="1">IFERROR(__xludf.DUMMYFUNCTION("""COMPUTED_VALUE"""),0)</f>
        <v>0</v>
      </c>
      <c r="Q2176" s="85"/>
      <c r="R2176" s="85">
        <f ca="1">IFERROR(__xludf.DUMMYFUNCTION("""COMPUTED_VALUE"""),48.95)</f>
        <v>48.95</v>
      </c>
      <c r="S2176" s="85"/>
      <c r="T2176" s="85"/>
      <c r="U2176" s="82"/>
      <c r="V2176" s="82"/>
      <c r="W2176" s="83"/>
      <c r="X2176" s="83"/>
      <c r="Y2176" s="83"/>
    </row>
    <row r="2177" spans="1:25" ht="13.8">
      <c r="A2177" s="78" t="str">
        <f ca="1">IFERROR(__xludf.DUMMYFUNCTION("""COMPUTED_VALUE"""),"VW")</f>
        <v>VW</v>
      </c>
      <c r="B2177" s="79" t="str">
        <f ca="1">IFERROR(__xludf.DUMMYFUNCTION("""COMPUTED_VALUE"""),"Sophie Bourdelais")</f>
        <v>Sophie Bourdelais</v>
      </c>
      <c r="C2177" s="78">
        <f ca="1">IFERROR(__xludf.DUMMYFUNCTION("""COMPUTED_VALUE"""),12)</f>
        <v>12</v>
      </c>
      <c r="D2177" s="78" t="str">
        <f ca="1">IFERROR(__xludf.DUMMYFUNCTION("""COMPUTED_VALUE"""),"G")</f>
        <v>G</v>
      </c>
      <c r="E2177" s="80" t="str">
        <f ca="1">IFERROR(__xludf.DUMMYFUNCTION("""COMPUTED_VALUE"""),"J")</f>
        <v>J</v>
      </c>
      <c r="F2177" s="86" t="str">
        <f ca="1">IFERROR(__xludf.DUMMYFUNCTION("""COMPUTED_VALUE"""),"I")</f>
        <v>I</v>
      </c>
      <c r="G2177" s="86">
        <f ca="1">IFERROR(__xludf.DUMMYFUNCTION("""COMPUTED_VALUE"""),1)</f>
        <v>1</v>
      </c>
      <c r="H2177" s="86" t="str">
        <f ca="1">IFERROR(__xludf.DUMMYFUNCTION("""COMPUTED_VALUE"""),"VW")</f>
        <v>VW</v>
      </c>
      <c r="I2177" s="86">
        <f ca="1">IFERROR(__xludf.DUMMYFUNCTION("""COMPUTED_VALUE"""),4)</f>
        <v>4</v>
      </c>
      <c r="J2177" s="85">
        <f ca="1">IFERROR(__xludf.DUMMYFUNCTION("""COMPUTED_VALUE"""),3)</f>
        <v>3</v>
      </c>
      <c r="K2177" s="85">
        <f ca="1">IFERROR(__xludf.DUMMYFUNCTION("""COMPUTED_VALUE"""),75.9)</f>
        <v>75.900000000000006</v>
      </c>
      <c r="L2177" s="85">
        <f ca="1">IFERROR(__xludf.DUMMYFUNCTION("""COMPUTED_VALUE"""),0)</f>
        <v>0</v>
      </c>
      <c r="M2177" s="85"/>
      <c r="N2177" s="85">
        <f ca="1">IFERROR(__xludf.DUMMYFUNCTION("""COMPUTED_VALUE"""),75.55)</f>
        <v>75.55</v>
      </c>
      <c r="O2177" s="85"/>
      <c r="P2177" s="85">
        <f ca="1">IFERROR(__xludf.DUMMYFUNCTION("""COMPUTED_VALUE"""),75.9)</f>
        <v>75.900000000000006</v>
      </c>
      <c r="Q2177" s="85"/>
      <c r="R2177" s="85">
        <f ca="1">IFERROR(__xludf.DUMMYFUNCTION("""COMPUTED_VALUE"""),0)</f>
        <v>0</v>
      </c>
      <c r="S2177" s="85"/>
      <c r="T2177" s="85"/>
      <c r="U2177" s="82"/>
      <c r="V2177" s="82"/>
      <c r="W2177" s="83"/>
      <c r="X2177" s="83"/>
      <c r="Y2177" s="83"/>
    </row>
    <row r="2178" spans="1:25" ht="13.8">
      <c r="A2178" s="78" t="str">
        <f ca="1">IFERROR(__xludf.DUMMYFUNCTION("""COMPUTED_VALUE"""),"VW")</f>
        <v>VW</v>
      </c>
      <c r="B2178" s="79" t="str">
        <f ca="1">IFERROR(__xludf.DUMMYFUNCTION("""COMPUTED_VALUE"""),"Kaitlyn Herrmann")</f>
        <v>Kaitlyn Herrmann</v>
      </c>
      <c r="C2178" s="78">
        <f ca="1">IFERROR(__xludf.DUMMYFUNCTION("""COMPUTED_VALUE"""),11)</f>
        <v>11</v>
      </c>
      <c r="D2178" s="78" t="str">
        <f ca="1">IFERROR(__xludf.DUMMYFUNCTION("""COMPUTED_VALUE"""),"G")</f>
        <v>G</v>
      </c>
      <c r="E2178" s="80" t="str">
        <f ca="1">IFERROR(__xludf.DUMMYFUNCTION("""COMPUTED_VALUE"""),"J")</f>
        <v>J</v>
      </c>
      <c r="F2178" s="86" t="str">
        <f ca="1">IFERROR(__xludf.DUMMYFUNCTION("""COMPUTED_VALUE"""),"I")</f>
        <v>I</v>
      </c>
      <c r="G2178" s="86">
        <f ca="1">IFERROR(__xludf.DUMMYFUNCTION("""COMPUTED_VALUE"""),1)</f>
        <v>1</v>
      </c>
      <c r="H2178" s="86" t="str">
        <f ca="1">IFERROR(__xludf.DUMMYFUNCTION("""COMPUTED_VALUE"""),"VW")</f>
        <v>VW</v>
      </c>
      <c r="I2178" s="86">
        <f ca="1">IFERROR(__xludf.DUMMYFUNCTION("""COMPUTED_VALUE"""),4)</f>
        <v>4</v>
      </c>
      <c r="J2178" s="85">
        <f ca="1">IFERROR(__xludf.DUMMYFUNCTION("""COMPUTED_VALUE"""),5)</f>
        <v>5</v>
      </c>
      <c r="K2178" s="85">
        <f ca="1">IFERROR(__xludf.DUMMYFUNCTION("""COMPUTED_VALUE"""),69.65)</f>
        <v>69.650000000000006</v>
      </c>
      <c r="L2178" s="85">
        <f ca="1">IFERROR(__xludf.DUMMYFUNCTION("""COMPUTED_VALUE"""),69.65)</f>
        <v>69.650000000000006</v>
      </c>
      <c r="M2178" s="85"/>
      <c r="N2178" s="85">
        <f ca="1">IFERROR(__xludf.DUMMYFUNCTION("""COMPUTED_VALUE"""),59.15)</f>
        <v>59.15</v>
      </c>
      <c r="O2178" s="85"/>
      <c r="P2178" s="85">
        <f ca="1">IFERROR(__xludf.DUMMYFUNCTION("""COMPUTED_VALUE"""),68.05)</f>
        <v>68.05</v>
      </c>
      <c r="Q2178" s="85"/>
      <c r="R2178" s="85">
        <f ca="1">IFERROR(__xludf.DUMMYFUNCTION("""COMPUTED_VALUE"""),66.4)</f>
        <v>66.400000000000006</v>
      </c>
      <c r="S2178" s="85"/>
      <c r="T2178" s="85"/>
      <c r="U2178" s="82"/>
      <c r="V2178" s="82"/>
      <c r="W2178" s="83"/>
      <c r="X2178" s="83"/>
      <c r="Y2178" s="83"/>
    </row>
    <row r="2179" spans="1:25" ht="13.8">
      <c r="A2179" s="78" t="str">
        <f ca="1">IFERROR(__xludf.DUMMYFUNCTION("""COMPUTED_VALUE"""),"VW")</f>
        <v>VW</v>
      </c>
      <c r="B2179" s="79" t="str">
        <f ca="1">IFERROR(__xludf.DUMMYFUNCTION("""COMPUTED_VALUE"""),"Jayde Kalinock")</f>
        <v>Jayde Kalinock</v>
      </c>
      <c r="C2179" s="78">
        <f ca="1">IFERROR(__xludf.DUMMYFUNCTION("""COMPUTED_VALUE"""),11)</f>
        <v>11</v>
      </c>
      <c r="D2179" s="78" t="str">
        <f ca="1">IFERROR(__xludf.DUMMYFUNCTION("""COMPUTED_VALUE"""),"G")</f>
        <v>G</v>
      </c>
      <c r="E2179" s="80" t="str">
        <f ca="1">IFERROR(__xludf.DUMMYFUNCTION("""COMPUTED_VALUE"""),"J")</f>
        <v>J</v>
      </c>
      <c r="F2179" s="86" t="str">
        <f ca="1">IFERROR(__xludf.DUMMYFUNCTION("""COMPUTED_VALUE"""),"I")</f>
        <v>I</v>
      </c>
      <c r="G2179" s="86">
        <f ca="1">IFERROR(__xludf.DUMMYFUNCTION("""COMPUTED_VALUE"""),1)</f>
        <v>1</v>
      </c>
      <c r="H2179" s="86" t="str">
        <f ca="1">IFERROR(__xludf.DUMMYFUNCTION("""COMPUTED_VALUE"""),"VW")</f>
        <v>VW</v>
      </c>
      <c r="I2179" s="86">
        <f ca="1">IFERROR(__xludf.DUMMYFUNCTION("""COMPUTED_VALUE"""),4)</f>
        <v>4</v>
      </c>
      <c r="J2179" s="85">
        <f ca="1">IFERROR(__xludf.DUMMYFUNCTION("""COMPUTED_VALUE"""),3)</f>
        <v>3</v>
      </c>
      <c r="K2179" s="85">
        <f ca="1">IFERROR(__xludf.DUMMYFUNCTION("""COMPUTED_VALUE"""),86.75)</f>
        <v>86.75</v>
      </c>
      <c r="L2179" s="85">
        <f ca="1">IFERROR(__xludf.DUMMYFUNCTION("""COMPUTED_VALUE"""),83.2)</f>
        <v>83.2</v>
      </c>
      <c r="M2179" s="85"/>
      <c r="N2179" s="85">
        <f ca="1">IFERROR(__xludf.DUMMYFUNCTION("""COMPUTED_VALUE"""),0)</f>
        <v>0</v>
      </c>
      <c r="O2179" s="85"/>
      <c r="P2179" s="85">
        <f ca="1">IFERROR(__xludf.DUMMYFUNCTION("""COMPUTED_VALUE"""),84.4)</f>
        <v>84.4</v>
      </c>
      <c r="Q2179" s="85"/>
      <c r="R2179" s="85">
        <f ca="1">IFERROR(__xludf.DUMMYFUNCTION("""COMPUTED_VALUE"""),86.75)</f>
        <v>86.75</v>
      </c>
      <c r="S2179" s="85"/>
      <c r="T2179" s="85"/>
      <c r="U2179" s="82"/>
      <c r="V2179" s="82"/>
      <c r="W2179" s="83"/>
      <c r="X2179" s="83"/>
      <c r="Y2179" s="83"/>
    </row>
    <row r="2180" spans="1:25" ht="13.8">
      <c r="A2180" s="78" t="str">
        <f ca="1">IFERROR(__xludf.DUMMYFUNCTION("""COMPUTED_VALUE"""),"VW")</f>
        <v>VW</v>
      </c>
      <c r="B2180" s="79" t="str">
        <f ca="1">IFERROR(__xludf.DUMMYFUNCTION("""COMPUTED_VALUE"""),"Kathryn Kristick")</f>
        <v>Kathryn Kristick</v>
      </c>
      <c r="C2180" s="78">
        <f ca="1">IFERROR(__xludf.DUMMYFUNCTION("""COMPUTED_VALUE"""),11)</f>
        <v>11</v>
      </c>
      <c r="D2180" s="78" t="str">
        <f ca="1">IFERROR(__xludf.DUMMYFUNCTION("""COMPUTED_VALUE"""),"G")</f>
        <v>G</v>
      </c>
      <c r="E2180" s="80" t="str">
        <f ca="1">IFERROR(__xludf.DUMMYFUNCTION("""COMPUTED_VALUE"""),"J")</f>
        <v>J</v>
      </c>
      <c r="F2180" s="86" t="str">
        <f ca="1">IFERROR(__xludf.DUMMYFUNCTION("""COMPUTED_VALUE"""),"I")</f>
        <v>I</v>
      </c>
      <c r="G2180" s="86">
        <f ca="1">IFERROR(__xludf.DUMMYFUNCTION("""COMPUTED_VALUE"""),1)</f>
        <v>1</v>
      </c>
      <c r="H2180" s="86" t="str">
        <f ca="1">IFERROR(__xludf.DUMMYFUNCTION("""COMPUTED_VALUE"""),"VW")</f>
        <v>VW</v>
      </c>
      <c r="I2180" s="86">
        <f ca="1">IFERROR(__xludf.DUMMYFUNCTION("""COMPUTED_VALUE"""),4)</f>
        <v>4</v>
      </c>
      <c r="J2180" s="85">
        <f ca="1">IFERROR(__xludf.DUMMYFUNCTION("""COMPUTED_VALUE"""),0)</f>
        <v>0</v>
      </c>
      <c r="K2180" s="85">
        <f ca="1">IFERROR(__xludf.DUMMYFUNCTION("""COMPUTED_VALUE"""),0)</f>
        <v>0</v>
      </c>
      <c r="L2180" s="85">
        <f ca="1">IFERROR(__xludf.DUMMYFUNCTION("""COMPUTED_VALUE"""),0)</f>
        <v>0</v>
      </c>
      <c r="M2180" s="85"/>
      <c r="N2180" s="85">
        <f ca="1">IFERROR(__xludf.DUMMYFUNCTION("""COMPUTED_VALUE"""),0)</f>
        <v>0</v>
      </c>
      <c r="O2180" s="85"/>
      <c r="P2180" s="85">
        <f ca="1">IFERROR(__xludf.DUMMYFUNCTION("""COMPUTED_VALUE"""),0)</f>
        <v>0</v>
      </c>
      <c r="Q2180" s="85"/>
      <c r="R2180" s="85">
        <f ca="1">IFERROR(__xludf.DUMMYFUNCTION("""COMPUTED_VALUE"""),0)</f>
        <v>0</v>
      </c>
      <c r="S2180" s="85"/>
      <c r="T2180" s="85"/>
      <c r="U2180" s="82"/>
      <c r="V2180" s="82"/>
      <c r="W2180" s="83"/>
      <c r="X2180" s="83"/>
      <c r="Y2180" s="83"/>
    </row>
    <row r="2181" spans="1:25" ht="13.8">
      <c r="A2181" s="78" t="str">
        <f ca="1">IFERROR(__xludf.DUMMYFUNCTION("""COMPUTED_VALUE"""),"VW")</f>
        <v>VW</v>
      </c>
      <c r="B2181" s="79" t="str">
        <f ca="1">IFERROR(__xludf.DUMMYFUNCTION("""COMPUTED_VALUE"""),"Logan Nolan")</f>
        <v>Logan Nolan</v>
      </c>
      <c r="C2181" s="78">
        <f ca="1">IFERROR(__xludf.DUMMYFUNCTION("""COMPUTED_VALUE"""),11)</f>
        <v>11</v>
      </c>
      <c r="D2181" s="78" t="str">
        <f ca="1">IFERROR(__xludf.DUMMYFUNCTION("""COMPUTED_VALUE"""),"G")</f>
        <v>G</v>
      </c>
      <c r="E2181" s="80" t="str">
        <f ca="1">IFERROR(__xludf.DUMMYFUNCTION("""COMPUTED_VALUE"""),"J")</f>
        <v>J</v>
      </c>
      <c r="F2181" s="86" t="str">
        <f ca="1">IFERROR(__xludf.DUMMYFUNCTION("""COMPUTED_VALUE"""),"I")</f>
        <v>I</v>
      </c>
      <c r="G2181" s="86">
        <f ca="1">IFERROR(__xludf.DUMMYFUNCTION("""COMPUTED_VALUE"""),1)</f>
        <v>1</v>
      </c>
      <c r="H2181" s="86" t="str">
        <f ca="1">IFERROR(__xludf.DUMMYFUNCTION("""COMPUTED_VALUE"""),"VW")</f>
        <v>VW</v>
      </c>
      <c r="I2181" s="86">
        <f ca="1">IFERROR(__xludf.DUMMYFUNCTION("""COMPUTED_VALUE"""),4)</f>
        <v>4</v>
      </c>
      <c r="J2181" s="85">
        <f ca="1">IFERROR(__xludf.DUMMYFUNCTION("""COMPUTED_VALUE"""),0)</f>
        <v>0</v>
      </c>
      <c r="K2181" s="85">
        <f ca="1">IFERROR(__xludf.DUMMYFUNCTION("""COMPUTED_VALUE"""),0)</f>
        <v>0</v>
      </c>
      <c r="L2181" s="85">
        <f ca="1">IFERROR(__xludf.DUMMYFUNCTION("""COMPUTED_VALUE"""),0)</f>
        <v>0</v>
      </c>
      <c r="M2181" s="85"/>
      <c r="N2181" s="85">
        <f ca="1">IFERROR(__xludf.DUMMYFUNCTION("""COMPUTED_VALUE"""),0)</f>
        <v>0</v>
      </c>
      <c r="O2181" s="85"/>
      <c r="P2181" s="85">
        <f ca="1">IFERROR(__xludf.DUMMYFUNCTION("""COMPUTED_VALUE"""),0)</f>
        <v>0</v>
      </c>
      <c r="Q2181" s="85"/>
      <c r="R2181" s="85">
        <f ca="1">IFERROR(__xludf.DUMMYFUNCTION("""COMPUTED_VALUE"""),0)</f>
        <v>0</v>
      </c>
      <c r="S2181" s="85"/>
      <c r="T2181" s="85"/>
      <c r="U2181" s="82"/>
      <c r="V2181" s="82"/>
      <c r="W2181" s="83"/>
      <c r="X2181" s="83"/>
      <c r="Y2181" s="83"/>
    </row>
    <row r="2182" spans="1:25" ht="13.8">
      <c r="A2182" s="78" t="str">
        <f ca="1">IFERROR(__xludf.DUMMYFUNCTION("""COMPUTED_VALUE"""),"VW")</f>
        <v>VW</v>
      </c>
      <c r="B2182" s="79" t="str">
        <f ca="1">IFERROR(__xludf.DUMMYFUNCTION("""COMPUTED_VALUE"""),"Lexie Van Raaphorst")</f>
        <v>Lexie Van Raaphorst</v>
      </c>
      <c r="C2182" s="78">
        <f ca="1">IFERROR(__xludf.DUMMYFUNCTION("""COMPUTED_VALUE"""),12)</f>
        <v>12</v>
      </c>
      <c r="D2182" s="78" t="str">
        <f ca="1">IFERROR(__xludf.DUMMYFUNCTION("""COMPUTED_VALUE"""),"G")</f>
        <v>G</v>
      </c>
      <c r="E2182" s="80" t="str">
        <f ca="1">IFERROR(__xludf.DUMMYFUNCTION("""COMPUTED_VALUE"""),"J")</f>
        <v>J</v>
      </c>
      <c r="F2182" s="86" t="str">
        <f ca="1">IFERROR(__xludf.DUMMYFUNCTION("""COMPUTED_VALUE"""),"I")</f>
        <v>I</v>
      </c>
      <c r="G2182" s="86">
        <f ca="1">IFERROR(__xludf.DUMMYFUNCTION("""COMPUTED_VALUE"""),1)</f>
        <v>1</v>
      </c>
      <c r="H2182" s="86" t="str">
        <f ca="1">IFERROR(__xludf.DUMMYFUNCTION("""COMPUTED_VALUE"""),"VW")</f>
        <v>VW</v>
      </c>
      <c r="I2182" s="86">
        <f ca="1">IFERROR(__xludf.DUMMYFUNCTION("""COMPUTED_VALUE"""),4)</f>
        <v>4</v>
      </c>
      <c r="J2182" s="85">
        <f ca="1">IFERROR(__xludf.DUMMYFUNCTION("""COMPUTED_VALUE"""),3)</f>
        <v>3</v>
      </c>
      <c r="K2182" s="85">
        <f ca="1">IFERROR(__xludf.DUMMYFUNCTION("""COMPUTED_VALUE"""),73.5)</f>
        <v>73.5</v>
      </c>
      <c r="L2182" s="85">
        <f ca="1">IFERROR(__xludf.DUMMYFUNCTION("""COMPUTED_VALUE"""),0)</f>
        <v>0</v>
      </c>
      <c r="M2182" s="85"/>
      <c r="N2182" s="85">
        <f ca="1">IFERROR(__xludf.DUMMYFUNCTION("""COMPUTED_VALUE"""),73.5)</f>
        <v>73.5</v>
      </c>
      <c r="O2182" s="85"/>
      <c r="P2182" s="85">
        <f ca="1">IFERROR(__xludf.DUMMYFUNCTION("""COMPUTED_VALUE"""),0)</f>
        <v>0</v>
      </c>
      <c r="Q2182" s="85"/>
      <c r="R2182" s="85">
        <f ca="1">IFERROR(__xludf.DUMMYFUNCTION("""COMPUTED_VALUE"""),71.75)</f>
        <v>71.75</v>
      </c>
      <c r="S2182" s="85"/>
      <c r="T2182" s="85"/>
      <c r="U2182" s="82"/>
      <c r="V2182" s="82"/>
      <c r="W2182" s="83"/>
      <c r="X2182" s="83"/>
      <c r="Y2182" s="83"/>
    </row>
    <row r="2183" spans="1:25" ht="13.8">
      <c r="A2183" s="78" t="str">
        <f ca="1">IFERROR(__xludf.DUMMYFUNCTION("""COMPUTED_VALUE"""),"VW")</f>
        <v>VW</v>
      </c>
      <c r="B2183" s="79" t="str">
        <f ca="1">IFERROR(__xludf.DUMMYFUNCTION("""COMPUTED_VALUE"""),"Taylor Van Raaphorst")</f>
        <v>Taylor Van Raaphorst</v>
      </c>
      <c r="C2183" s="78">
        <f ca="1">IFERROR(__xludf.DUMMYFUNCTION("""COMPUTED_VALUE"""),12)</f>
        <v>12</v>
      </c>
      <c r="D2183" s="78" t="str">
        <f ca="1">IFERROR(__xludf.DUMMYFUNCTION("""COMPUTED_VALUE"""),"G")</f>
        <v>G</v>
      </c>
      <c r="E2183" s="80" t="str">
        <f ca="1">IFERROR(__xludf.DUMMYFUNCTION("""COMPUTED_VALUE"""),"J")</f>
        <v>J</v>
      </c>
      <c r="F2183" s="86" t="str">
        <f ca="1">IFERROR(__xludf.DUMMYFUNCTION("""COMPUTED_VALUE"""),"I")</f>
        <v>I</v>
      </c>
      <c r="G2183" s="86">
        <f ca="1">IFERROR(__xludf.DUMMYFUNCTION("""COMPUTED_VALUE"""),1)</f>
        <v>1</v>
      </c>
      <c r="H2183" s="86" t="str">
        <f ca="1">IFERROR(__xludf.DUMMYFUNCTION("""COMPUTED_VALUE"""),"VW")</f>
        <v>VW</v>
      </c>
      <c r="I2183" s="86">
        <f ca="1">IFERROR(__xludf.DUMMYFUNCTION("""COMPUTED_VALUE"""),4)</f>
        <v>4</v>
      </c>
      <c r="J2183" s="85">
        <f ca="1">IFERROR(__xludf.DUMMYFUNCTION("""COMPUTED_VALUE"""),0)</f>
        <v>0</v>
      </c>
      <c r="K2183" s="85">
        <f ca="1">IFERROR(__xludf.DUMMYFUNCTION("""COMPUTED_VALUE"""),0)</f>
        <v>0</v>
      </c>
      <c r="L2183" s="85">
        <f ca="1">IFERROR(__xludf.DUMMYFUNCTION("""COMPUTED_VALUE"""),0)</f>
        <v>0</v>
      </c>
      <c r="M2183" s="85"/>
      <c r="N2183" s="85">
        <f ca="1">IFERROR(__xludf.DUMMYFUNCTION("""COMPUTED_VALUE"""),0)</f>
        <v>0</v>
      </c>
      <c r="O2183" s="85"/>
      <c r="P2183" s="85">
        <f ca="1">IFERROR(__xludf.DUMMYFUNCTION("""COMPUTED_VALUE"""),0)</f>
        <v>0</v>
      </c>
      <c r="Q2183" s="85"/>
      <c r="R2183" s="85">
        <f ca="1">IFERROR(__xludf.DUMMYFUNCTION("""COMPUTED_VALUE"""),0)</f>
        <v>0</v>
      </c>
      <c r="S2183" s="85"/>
      <c r="T2183" s="85"/>
      <c r="U2183" s="82"/>
      <c r="V2183" s="82"/>
      <c r="W2183" s="83"/>
      <c r="X2183" s="83"/>
      <c r="Y2183" s="83"/>
    </row>
    <row r="2184" spans="1:25" ht="13.8">
      <c r="A2184" s="78" t="str">
        <f ca="1">IFERROR(__xludf.DUMMYFUNCTION("""COMPUTED_VALUE"""),"VW")</f>
        <v>VW</v>
      </c>
      <c r="B2184" s="79" t="str">
        <f ca="1">IFERROR(__xludf.DUMMYFUNCTION("""COMPUTED_VALUE"""),"Luke Atkins")</f>
        <v>Luke Atkins</v>
      </c>
      <c r="C2184" s="78">
        <f ca="1">IFERROR(__xludf.DUMMYFUNCTION("""COMPUTED_VALUE"""),11)</f>
        <v>11</v>
      </c>
      <c r="D2184" s="78" t="str">
        <f ca="1">IFERROR(__xludf.DUMMYFUNCTION("""COMPUTED_VALUE"""),"B")</f>
        <v>B</v>
      </c>
      <c r="E2184" s="80" t="str">
        <f ca="1">IFERROR(__xludf.DUMMYFUNCTION("""COMPUTED_VALUE"""),"J")</f>
        <v>J</v>
      </c>
      <c r="F2184" s="86" t="str">
        <f ca="1">IFERROR(__xludf.DUMMYFUNCTION("""COMPUTED_VALUE"""),"I")</f>
        <v>I</v>
      </c>
      <c r="G2184" s="86">
        <f ca="1">IFERROR(__xludf.DUMMYFUNCTION("""COMPUTED_VALUE"""),1)</f>
        <v>1</v>
      </c>
      <c r="H2184" s="86" t="str">
        <f ca="1">IFERROR(__xludf.DUMMYFUNCTION("""COMPUTED_VALUE"""),"VW")</f>
        <v>VW</v>
      </c>
      <c r="I2184" s="86">
        <f ca="1">IFERROR(__xludf.DUMMYFUNCTION("""COMPUTED_VALUE"""),5)</f>
        <v>5</v>
      </c>
      <c r="J2184" s="85">
        <f ca="1">IFERROR(__xludf.DUMMYFUNCTION("""COMPUTED_VALUE"""),3)</f>
        <v>3</v>
      </c>
      <c r="K2184" s="85">
        <f ca="1">IFERROR(__xludf.DUMMYFUNCTION("""COMPUTED_VALUE"""),85.6)</f>
        <v>85.6</v>
      </c>
      <c r="L2184" s="85">
        <f ca="1">IFERROR(__xludf.DUMMYFUNCTION("""COMPUTED_VALUE"""),0)</f>
        <v>0</v>
      </c>
      <c r="M2184" s="85"/>
      <c r="N2184" s="85">
        <f ca="1">IFERROR(__xludf.DUMMYFUNCTION("""COMPUTED_VALUE"""),72.6)</f>
        <v>72.599999999999994</v>
      </c>
      <c r="O2184" s="85"/>
      <c r="P2184" s="85">
        <f ca="1">IFERROR(__xludf.DUMMYFUNCTION("""COMPUTED_VALUE"""),85.6)</f>
        <v>85.6</v>
      </c>
      <c r="Q2184" s="85"/>
      <c r="R2184" s="85">
        <f ca="1">IFERROR(__xludf.DUMMYFUNCTION("""COMPUTED_VALUE"""),76.5)</f>
        <v>76.5</v>
      </c>
      <c r="S2184" s="85"/>
      <c r="T2184" s="85"/>
      <c r="U2184" s="82"/>
      <c r="V2184" s="82"/>
      <c r="W2184" s="83"/>
      <c r="X2184" s="83"/>
      <c r="Y2184" s="83"/>
    </row>
    <row r="2185" spans="1:25" ht="13.8">
      <c r="A2185" s="78" t="str">
        <f ca="1">IFERROR(__xludf.DUMMYFUNCTION("""COMPUTED_VALUE"""),"VW")</f>
        <v>VW</v>
      </c>
      <c r="B2185" s="79" t="str">
        <f ca="1">IFERROR(__xludf.DUMMYFUNCTION("""COMPUTED_VALUE"""),"Declan Hathaway")</f>
        <v>Declan Hathaway</v>
      </c>
      <c r="C2185" s="78">
        <f ca="1">IFERROR(__xludf.DUMMYFUNCTION("""COMPUTED_VALUE"""),12)</f>
        <v>12</v>
      </c>
      <c r="D2185" s="78" t="str">
        <f ca="1">IFERROR(__xludf.DUMMYFUNCTION("""COMPUTED_VALUE"""),"B")</f>
        <v>B</v>
      </c>
      <c r="E2185" s="80" t="str">
        <f ca="1">IFERROR(__xludf.DUMMYFUNCTION("""COMPUTED_VALUE"""),"J")</f>
        <v>J</v>
      </c>
      <c r="F2185" s="86" t="str">
        <f ca="1">IFERROR(__xludf.DUMMYFUNCTION("""COMPUTED_VALUE"""),"I")</f>
        <v>I</v>
      </c>
      <c r="G2185" s="86">
        <f ca="1">IFERROR(__xludf.DUMMYFUNCTION("""COMPUTED_VALUE"""),1)</f>
        <v>1</v>
      </c>
      <c r="H2185" s="86" t="str">
        <f ca="1">IFERROR(__xludf.DUMMYFUNCTION("""COMPUTED_VALUE"""),"VW")</f>
        <v>VW</v>
      </c>
      <c r="I2185" s="86">
        <f ca="1">IFERROR(__xludf.DUMMYFUNCTION("""COMPUTED_VALUE"""),5)</f>
        <v>5</v>
      </c>
      <c r="J2185" s="85">
        <f ca="1">IFERROR(__xludf.DUMMYFUNCTION("""COMPUTED_VALUE"""),1)</f>
        <v>1</v>
      </c>
      <c r="K2185" s="85">
        <f ca="1">IFERROR(__xludf.DUMMYFUNCTION("""COMPUTED_VALUE"""),71.75)</f>
        <v>71.75</v>
      </c>
      <c r="L2185" s="85">
        <f ca="1">IFERROR(__xludf.DUMMYFUNCTION("""COMPUTED_VALUE"""),0)</f>
        <v>0</v>
      </c>
      <c r="M2185" s="85"/>
      <c r="N2185" s="85">
        <f ca="1">IFERROR(__xludf.DUMMYFUNCTION("""COMPUTED_VALUE"""),0)</f>
        <v>0</v>
      </c>
      <c r="O2185" s="85"/>
      <c r="P2185" s="85">
        <f ca="1">IFERROR(__xludf.DUMMYFUNCTION("""COMPUTED_VALUE"""),71.75)</f>
        <v>71.75</v>
      </c>
      <c r="Q2185" s="85"/>
      <c r="R2185" s="85">
        <f ca="1">IFERROR(__xludf.DUMMYFUNCTION("""COMPUTED_VALUE"""),0)</f>
        <v>0</v>
      </c>
      <c r="S2185" s="85"/>
      <c r="T2185" s="85"/>
      <c r="U2185" s="82"/>
      <c r="V2185" s="82"/>
      <c r="W2185" s="83"/>
      <c r="X2185" s="83"/>
      <c r="Y2185" s="83"/>
    </row>
    <row r="2186" spans="1:25" ht="13.8">
      <c r="A2186" s="78" t="str">
        <f ca="1">IFERROR(__xludf.DUMMYFUNCTION("""COMPUTED_VALUE"""),"VW")</f>
        <v>VW</v>
      </c>
      <c r="B2186" s="79" t="str">
        <f ca="1">IFERROR(__xludf.DUMMYFUNCTION("""COMPUTED_VALUE"""),"Luke Lauretti")</f>
        <v>Luke Lauretti</v>
      </c>
      <c r="C2186" s="78">
        <f ca="1">IFERROR(__xludf.DUMMYFUNCTION("""COMPUTED_VALUE"""),11)</f>
        <v>11</v>
      </c>
      <c r="D2186" s="78" t="str">
        <f ca="1">IFERROR(__xludf.DUMMYFUNCTION("""COMPUTED_VALUE"""),"B")</f>
        <v>B</v>
      </c>
      <c r="E2186" s="80" t="str">
        <f ca="1">IFERROR(__xludf.DUMMYFUNCTION("""COMPUTED_VALUE"""),"J")</f>
        <v>J</v>
      </c>
      <c r="F2186" s="86" t="str">
        <f ca="1">IFERROR(__xludf.DUMMYFUNCTION("""COMPUTED_VALUE"""),"I")</f>
        <v>I</v>
      </c>
      <c r="G2186" s="86">
        <f ca="1">IFERROR(__xludf.DUMMYFUNCTION("""COMPUTED_VALUE"""),1)</f>
        <v>1</v>
      </c>
      <c r="H2186" s="86" t="str">
        <f ca="1">IFERROR(__xludf.DUMMYFUNCTION("""COMPUTED_VALUE"""),"VW")</f>
        <v>VW</v>
      </c>
      <c r="I2186" s="86">
        <f ca="1">IFERROR(__xludf.DUMMYFUNCTION("""COMPUTED_VALUE"""),5)</f>
        <v>5</v>
      </c>
      <c r="J2186" s="85">
        <f ca="1">IFERROR(__xludf.DUMMYFUNCTION("""COMPUTED_VALUE"""),3)</f>
        <v>3</v>
      </c>
      <c r="K2186" s="85">
        <f ca="1">IFERROR(__xludf.DUMMYFUNCTION("""COMPUTED_VALUE"""),80.05)</f>
        <v>80.05</v>
      </c>
      <c r="L2186" s="85">
        <f ca="1">IFERROR(__xludf.DUMMYFUNCTION("""COMPUTED_VALUE"""),0)</f>
        <v>0</v>
      </c>
      <c r="M2186" s="85"/>
      <c r="N2186" s="85">
        <f ca="1">IFERROR(__xludf.DUMMYFUNCTION("""COMPUTED_VALUE"""),80.05)</f>
        <v>80.05</v>
      </c>
      <c r="O2186" s="85"/>
      <c r="P2186" s="85">
        <f ca="1">IFERROR(__xludf.DUMMYFUNCTION("""COMPUTED_VALUE"""),0)</f>
        <v>0</v>
      </c>
      <c r="Q2186" s="85"/>
      <c r="R2186" s="85">
        <f ca="1">IFERROR(__xludf.DUMMYFUNCTION("""COMPUTED_VALUE"""),73.55)</f>
        <v>73.55</v>
      </c>
      <c r="S2186" s="85"/>
      <c r="T2186" s="85"/>
      <c r="U2186" s="82"/>
      <c r="V2186" s="82"/>
      <c r="W2186" s="83"/>
      <c r="X2186" s="83"/>
      <c r="Y2186" s="83"/>
    </row>
    <row r="2187" spans="1:25" ht="13.8">
      <c r="A2187" s="78" t="str">
        <f ca="1">IFERROR(__xludf.DUMMYFUNCTION("""COMPUTED_VALUE"""),"VW")</f>
        <v>VW</v>
      </c>
      <c r="B2187" s="79" t="str">
        <f ca="1">IFERROR(__xludf.DUMMYFUNCTION("""COMPUTED_VALUE"""),"Thomas Maher")</f>
        <v>Thomas Maher</v>
      </c>
      <c r="C2187" s="78">
        <f ca="1">IFERROR(__xludf.DUMMYFUNCTION("""COMPUTED_VALUE"""),12)</f>
        <v>12</v>
      </c>
      <c r="D2187" s="78" t="str">
        <f ca="1">IFERROR(__xludf.DUMMYFUNCTION("""COMPUTED_VALUE"""),"B")</f>
        <v>B</v>
      </c>
      <c r="E2187" s="80" t="str">
        <f ca="1">IFERROR(__xludf.DUMMYFUNCTION("""COMPUTED_VALUE"""),"J")</f>
        <v>J</v>
      </c>
      <c r="F2187" s="86" t="str">
        <f ca="1">IFERROR(__xludf.DUMMYFUNCTION("""COMPUTED_VALUE"""),"I")</f>
        <v>I</v>
      </c>
      <c r="G2187" s="86">
        <f ca="1">IFERROR(__xludf.DUMMYFUNCTION("""COMPUTED_VALUE"""),1)</f>
        <v>1</v>
      </c>
      <c r="H2187" s="86" t="str">
        <f ca="1">IFERROR(__xludf.DUMMYFUNCTION("""COMPUTED_VALUE"""),"VW")</f>
        <v>VW</v>
      </c>
      <c r="I2187" s="86">
        <f ca="1">IFERROR(__xludf.DUMMYFUNCTION("""COMPUTED_VALUE"""),5)</f>
        <v>5</v>
      </c>
      <c r="J2187" s="85">
        <f ca="1">IFERROR(__xludf.DUMMYFUNCTION("""COMPUTED_VALUE"""),0)</f>
        <v>0</v>
      </c>
      <c r="K2187" s="85">
        <f ca="1">IFERROR(__xludf.DUMMYFUNCTION("""COMPUTED_VALUE"""),0)</f>
        <v>0</v>
      </c>
      <c r="L2187" s="85">
        <f ca="1">IFERROR(__xludf.DUMMYFUNCTION("""COMPUTED_VALUE"""),0)</f>
        <v>0</v>
      </c>
      <c r="M2187" s="85"/>
      <c r="N2187" s="85">
        <f ca="1">IFERROR(__xludf.DUMMYFUNCTION("""COMPUTED_VALUE"""),0)</f>
        <v>0</v>
      </c>
      <c r="O2187" s="85"/>
      <c r="P2187" s="85">
        <f ca="1">IFERROR(__xludf.DUMMYFUNCTION("""COMPUTED_VALUE"""),0)</f>
        <v>0</v>
      </c>
      <c r="Q2187" s="85"/>
      <c r="R2187" s="85">
        <f ca="1">IFERROR(__xludf.DUMMYFUNCTION("""COMPUTED_VALUE"""),0)</f>
        <v>0</v>
      </c>
      <c r="S2187" s="85"/>
      <c r="T2187" s="85"/>
      <c r="U2187" s="82"/>
      <c r="V2187" s="82"/>
      <c r="W2187" s="83"/>
      <c r="X2187" s="83"/>
      <c r="Y2187" s="83"/>
    </row>
    <row r="2188" spans="1:25" ht="13.8">
      <c r="A2188" s="78" t="str">
        <f ca="1">IFERROR(__xludf.DUMMYFUNCTION("""COMPUTED_VALUE"""),"VW")</f>
        <v>VW</v>
      </c>
      <c r="B2188" s="79" t="str">
        <f ca="1">IFERROR(__xludf.DUMMYFUNCTION("""COMPUTED_VALUE"""),"Rocco Penna")</f>
        <v>Rocco Penna</v>
      </c>
      <c r="C2188" s="78">
        <f ca="1">IFERROR(__xludf.DUMMYFUNCTION("""COMPUTED_VALUE"""),11)</f>
        <v>11</v>
      </c>
      <c r="D2188" s="78" t="str">
        <f ca="1">IFERROR(__xludf.DUMMYFUNCTION("""COMPUTED_VALUE"""),"B")</f>
        <v>B</v>
      </c>
      <c r="E2188" s="80" t="str">
        <f ca="1">IFERROR(__xludf.DUMMYFUNCTION("""COMPUTED_VALUE"""),"J")</f>
        <v>J</v>
      </c>
      <c r="F2188" s="86" t="str">
        <f ca="1">IFERROR(__xludf.DUMMYFUNCTION("""COMPUTED_VALUE"""),"I")</f>
        <v>I</v>
      </c>
      <c r="G2188" s="86">
        <f ca="1">IFERROR(__xludf.DUMMYFUNCTION("""COMPUTED_VALUE"""),1)</f>
        <v>1</v>
      </c>
      <c r="H2188" s="86" t="str">
        <f ca="1">IFERROR(__xludf.DUMMYFUNCTION("""COMPUTED_VALUE"""),"VW")</f>
        <v>VW</v>
      </c>
      <c r="I2188" s="86">
        <f ca="1">IFERROR(__xludf.DUMMYFUNCTION("""COMPUTED_VALUE"""),5)</f>
        <v>5</v>
      </c>
      <c r="J2188" s="85">
        <f ca="1">IFERROR(__xludf.DUMMYFUNCTION("""COMPUTED_VALUE"""),0)</f>
        <v>0</v>
      </c>
      <c r="K2188" s="85">
        <f ca="1">IFERROR(__xludf.DUMMYFUNCTION("""COMPUTED_VALUE"""),0)</f>
        <v>0</v>
      </c>
      <c r="L2188" s="85">
        <f ca="1">IFERROR(__xludf.DUMMYFUNCTION("""COMPUTED_VALUE"""),0)</f>
        <v>0</v>
      </c>
      <c r="M2188" s="85"/>
      <c r="N2188" s="85">
        <f ca="1">IFERROR(__xludf.DUMMYFUNCTION("""COMPUTED_VALUE"""),0)</f>
        <v>0</v>
      </c>
      <c r="O2188" s="85"/>
      <c r="P2188" s="85">
        <f ca="1">IFERROR(__xludf.DUMMYFUNCTION("""COMPUTED_VALUE"""),0)</f>
        <v>0</v>
      </c>
      <c r="Q2188" s="85"/>
      <c r="R2188" s="85">
        <f ca="1">IFERROR(__xludf.DUMMYFUNCTION("""COMPUTED_VALUE"""),0)</f>
        <v>0</v>
      </c>
      <c r="S2188" s="85"/>
      <c r="T2188" s="85"/>
      <c r="U2188" s="82"/>
      <c r="V2188" s="82"/>
      <c r="W2188" s="83"/>
      <c r="X2188" s="83"/>
      <c r="Y2188" s="83"/>
    </row>
    <row r="2189" spans="1:25" ht="13.8">
      <c r="A2189" s="78" t="str">
        <f ca="1">IFERROR(__xludf.DUMMYFUNCTION("""COMPUTED_VALUE"""),"VW")</f>
        <v>VW</v>
      </c>
      <c r="B2189" s="79" t="str">
        <f ca="1">IFERROR(__xludf.DUMMYFUNCTION("""COMPUTED_VALUE"""),"Everett Weedman")</f>
        <v>Everett Weedman</v>
      </c>
      <c r="C2189" s="78">
        <f ca="1">IFERROR(__xludf.DUMMYFUNCTION("""COMPUTED_VALUE"""),11)</f>
        <v>11</v>
      </c>
      <c r="D2189" s="78" t="str">
        <f ca="1">IFERROR(__xludf.DUMMYFUNCTION("""COMPUTED_VALUE"""),"B")</f>
        <v>B</v>
      </c>
      <c r="E2189" s="80" t="str">
        <f ca="1">IFERROR(__xludf.DUMMYFUNCTION("""COMPUTED_VALUE"""),"J")</f>
        <v>J</v>
      </c>
      <c r="F2189" s="86" t="str">
        <f ca="1">IFERROR(__xludf.DUMMYFUNCTION("""COMPUTED_VALUE"""),"I")</f>
        <v>I</v>
      </c>
      <c r="G2189" s="86">
        <f ca="1">IFERROR(__xludf.DUMMYFUNCTION("""COMPUTED_VALUE"""),1)</f>
        <v>1</v>
      </c>
      <c r="H2189" s="86" t="str">
        <f ca="1">IFERROR(__xludf.DUMMYFUNCTION("""COMPUTED_VALUE"""),"VW")</f>
        <v>VW</v>
      </c>
      <c r="I2189" s="86">
        <f ca="1">IFERROR(__xludf.DUMMYFUNCTION("""COMPUTED_VALUE"""),5)</f>
        <v>5</v>
      </c>
      <c r="J2189" s="85">
        <f ca="1">IFERROR(__xludf.DUMMYFUNCTION("""COMPUTED_VALUE"""),5)</f>
        <v>5</v>
      </c>
      <c r="K2189" s="85">
        <f ca="1">IFERROR(__xludf.DUMMYFUNCTION("""COMPUTED_VALUE"""),90.45)</f>
        <v>90.45</v>
      </c>
      <c r="L2189" s="85">
        <f ca="1">IFERROR(__xludf.DUMMYFUNCTION("""COMPUTED_VALUE"""),73.05)</f>
        <v>73.05</v>
      </c>
      <c r="M2189" s="85"/>
      <c r="N2189" s="85">
        <f ca="1">IFERROR(__xludf.DUMMYFUNCTION("""COMPUTED_VALUE"""),79.2)</f>
        <v>79.2</v>
      </c>
      <c r="O2189" s="85"/>
      <c r="P2189" s="85">
        <f ca="1">IFERROR(__xludf.DUMMYFUNCTION("""COMPUTED_VALUE"""),81.65)</f>
        <v>81.650000000000006</v>
      </c>
      <c r="Q2189" s="85"/>
      <c r="R2189" s="85">
        <f ca="1">IFERROR(__xludf.DUMMYFUNCTION("""COMPUTED_VALUE"""),90.45)</f>
        <v>90.45</v>
      </c>
      <c r="S2189" s="85"/>
      <c r="T2189" s="85"/>
      <c r="U2189" s="82"/>
      <c r="V2189" s="82"/>
      <c r="W2189" s="83"/>
      <c r="X2189" s="83"/>
      <c r="Y2189" s="83"/>
    </row>
    <row r="2190" spans="1:25" ht="13.8">
      <c r="A2190" s="78" t="str">
        <f ca="1">IFERROR(__xludf.DUMMYFUNCTION("""COMPUTED_VALUE"""),"VW")</f>
        <v>VW</v>
      </c>
      <c r="B2190" s="79" t="str">
        <f ca="1">IFERROR(__xludf.DUMMYFUNCTION("""COMPUTED_VALUE"""),"Zachary Wigglesworth")</f>
        <v>Zachary Wigglesworth</v>
      </c>
      <c r="C2190" s="78">
        <f ca="1">IFERROR(__xludf.DUMMYFUNCTION("""COMPUTED_VALUE"""),11)</f>
        <v>11</v>
      </c>
      <c r="D2190" s="78" t="str">
        <f ca="1">IFERROR(__xludf.DUMMYFUNCTION("""COMPUTED_VALUE"""),"B")</f>
        <v>B</v>
      </c>
      <c r="E2190" s="80" t="str">
        <f ca="1">IFERROR(__xludf.DUMMYFUNCTION("""COMPUTED_VALUE"""),"J")</f>
        <v>J</v>
      </c>
      <c r="F2190" s="86" t="str">
        <f ca="1">IFERROR(__xludf.DUMMYFUNCTION("""COMPUTED_VALUE"""),"I")</f>
        <v>I</v>
      </c>
      <c r="G2190" s="86">
        <f ca="1">IFERROR(__xludf.DUMMYFUNCTION("""COMPUTED_VALUE"""),1)</f>
        <v>1</v>
      </c>
      <c r="H2190" s="86" t="str">
        <f ca="1">IFERROR(__xludf.DUMMYFUNCTION("""COMPUTED_VALUE"""),"VW")</f>
        <v>VW</v>
      </c>
      <c r="I2190" s="86">
        <f ca="1">IFERROR(__xludf.DUMMYFUNCTION("""COMPUTED_VALUE"""),5)</f>
        <v>5</v>
      </c>
      <c r="J2190" s="85">
        <f ca="1">IFERROR(__xludf.DUMMYFUNCTION("""COMPUTED_VALUE"""),3)</f>
        <v>3</v>
      </c>
      <c r="K2190" s="85">
        <f ca="1">IFERROR(__xludf.DUMMYFUNCTION("""COMPUTED_VALUE"""),89.85)</f>
        <v>89.85</v>
      </c>
      <c r="L2190" s="85">
        <f ca="1">IFERROR(__xludf.DUMMYFUNCTION("""COMPUTED_VALUE"""),0)</f>
        <v>0</v>
      </c>
      <c r="M2190" s="85"/>
      <c r="N2190" s="85">
        <f ca="1">IFERROR(__xludf.DUMMYFUNCTION("""COMPUTED_VALUE"""),84.1)</f>
        <v>84.1</v>
      </c>
      <c r="O2190" s="85"/>
      <c r="P2190" s="85">
        <f ca="1">IFERROR(__xludf.DUMMYFUNCTION("""COMPUTED_VALUE"""),89.85)</f>
        <v>89.85</v>
      </c>
      <c r="Q2190" s="85"/>
      <c r="R2190" s="85">
        <f ca="1">IFERROR(__xludf.DUMMYFUNCTION("""COMPUTED_VALUE"""),85.75)</f>
        <v>85.75</v>
      </c>
      <c r="S2190" s="85"/>
      <c r="T2190" s="85"/>
      <c r="U2190" s="82"/>
      <c r="V2190" s="82"/>
      <c r="W2190" s="83"/>
      <c r="X2190" s="83"/>
      <c r="Y2190" s="83"/>
    </row>
    <row r="2191" spans="1:25" ht="13.8">
      <c r="A2191" s="78" t="str">
        <f ca="1">IFERROR(__xludf.DUMMYFUNCTION("""COMPUTED_VALUE"""),"VW")</f>
        <v>VW</v>
      </c>
      <c r="B2191" s="79" t="str">
        <f ca="1">IFERROR(__xludf.DUMMYFUNCTION("""COMPUTED_VALUE"""),"Marleigh daSilva")</f>
        <v>Marleigh daSilva</v>
      </c>
      <c r="C2191" s="78">
        <f ca="1">IFERROR(__xludf.DUMMYFUNCTION("""COMPUTED_VALUE"""),13)</f>
        <v>13</v>
      </c>
      <c r="D2191" s="78" t="str">
        <f ca="1">IFERROR(__xludf.DUMMYFUNCTION("""COMPUTED_VALUE"""),"G")</f>
        <v>G</v>
      </c>
      <c r="E2191" s="80" t="str">
        <f ca="1">IFERROR(__xludf.DUMMYFUNCTION("""COMPUTED_VALUE"""),"I")</f>
        <v>I</v>
      </c>
      <c r="F2191" s="86" t="str">
        <f ca="1">IFERROR(__xludf.DUMMYFUNCTION("""COMPUTED_VALUE"""),"S")</f>
        <v>S</v>
      </c>
      <c r="G2191" s="86">
        <f ca="1">IFERROR(__xludf.DUMMYFUNCTION("""COMPUTED_VALUE"""),1)</f>
        <v>1</v>
      </c>
      <c r="H2191" s="86" t="str">
        <f ca="1">IFERROR(__xludf.DUMMYFUNCTION("""COMPUTED_VALUE"""),"VW")</f>
        <v>VW</v>
      </c>
      <c r="I2191" s="86">
        <f ca="1">IFERROR(__xludf.DUMMYFUNCTION("""COMPUTED_VALUE"""),6)</f>
        <v>6</v>
      </c>
      <c r="J2191" s="85">
        <f ca="1">IFERROR(__xludf.DUMMYFUNCTION("""COMPUTED_VALUE"""),4)</f>
        <v>4</v>
      </c>
      <c r="K2191" s="85">
        <f ca="1">IFERROR(__xludf.DUMMYFUNCTION("""COMPUTED_VALUE"""),195.45)</f>
        <v>195.45</v>
      </c>
      <c r="L2191" s="85">
        <f ca="1">IFERROR(__xludf.DUMMYFUNCTION("""COMPUTED_VALUE"""),195.45)</f>
        <v>195.45</v>
      </c>
      <c r="M2191" s="85"/>
      <c r="N2191" s="85">
        <f ca="1">IFERROR(__xludf.DUMMYFUNCTION("""COMPUTED_VALUE"""),0)</f>
        <v>0</v>
      </c>
      <c r="O2191" s="85"/>
      <c r="P2191" s="85">
        <f ca="1">IFERROR(__xludf.DUMMYFUNCTION("""COMPUTED_VALUE"""),184.7)</f>
        <v>184.7</v>
      </c>
      <c r="Q2191" s="85"/>
      <c r="R2191" s="85">
        <f ca="1">IFERROR(__xludf.DUMMYFUNCTION("""COMPUTED_VALUE"""),180.46)</f>
        <v>180.46</v>
      </c>
      <c r="S2191" s="85"/>
      <c r="T2191" s="85"/>
      <c r="U2191" s="82"/>
      <c r="V2191" s="82"/>
      <c r="W2191" s="83"/>
      <c r="X2191" s="83"/>
      <c r="Y2191" s="83"/>
    </row>
    <row r="2192" spans="1:25" ht="13.8">
      <c r="A2192" s="78" t="str">
        <f ca="1">IFERROR(__xludf.DUMMYFUNCTION("""COMPUTED_VALUE"""),"VW")</f>
        <v>VW</v>
      </c>
      <c r="B2192" s="79" t="str">
        <f ca="1">IFERROR(__xludf.DUMMYFUNCTION("""COMPUTED_VALUE"""),"Jenna Walker")</f>
        <v>Jenna Walker</v>
      </c>
      <c r="C2192" s="78">
        <f ca="1">IFERROR(__xludf.DUMMYFUNCTION("""COMPUTED_VALUE"""),14)</f>
        <v>14</v>
      </c>
      <c r="D2192" s="78" t="str">
        <f ca="1">IFERROR(__xludf.DUMMYFUNCTION("""COMPUTED_VALUE"""),"G")</f>
        <v>G</v>
      </c>
      <c r="E2192" s="80" t="str">
        <f ca="1">IFERROR(__xludf.DUMMYFUNCTION("""COMPUTED_VALUE"""),"I")</f>
        <v>I</v>
      </c>
      <c r="F2192" s="86" t="str">
        <f ca="1">IFERROR(__xludf.DUMMYFUNCTION("""COMPUTED_VALUE"""),"S")</f>
        <v>S</v>
      </c>
      <c r="G2192" s="86">
        <f ca="1">IFERROR(__xludf.DUMMYFUNCTION("""COMPUTED_VALUE"""),1)</f>
        <v>1</v>
      </c>
      <c r="H2192" s="86" t="str">
        <f ca="1">IFERROR(__xludf.DUMMYFUNCTION("""COMPUTED_VALUE"""),"VW")</f>
        <v>VW</v>
      </c>
      <c r="I2192" s="86">
        <f ca="1">IFERROR(__xludf.DUMMYFUNCTION("""COMPUTED_VALUE"""),6)</f>
        <v>6</v>
      </c>
      <c r="J2192" s="85">
        <f ca="1">IFERROR(__xludf.DUMMYFUNCTION("""COMPUTED_VALUE"""),4)</f>
        <v>4</v>
      </c>
      <c r="K2192" s="85">
        <f ca="1">IFERROR(__xludf.DUMMYFUNCTION("""COMPUTED_VALUE"""),96.15)</f>
        <v>96.15</v>
      </c>
      <c r="L2192" s="85">
        <f ca="1">IFERROR(__xludf.DUMMYFUNCTION("""COMPUTED_VALUE"""),0)</f>
        <v>0</v>
      </c>
      <c r="M2192" s="85"/>
      <c r="N2192" s="85">
        <f ca="1">IFERROR(__xludf.DUMMYFUNCTION("""COMPUTED_VALUE"""),93.75)</f>
        <v>93.75</v>
      </c>
      <c r="O2192" s="85"/>
      <c r="P2192" s="85">
        <f ca="1">IFERROR(__xludf.DUMMYFUNCTION("""COMPUTED_VALUE"""),96.15)</f>
        <v>96.15</v>
      </c>
      <c r="Q2192" s="85"/>
      <c r="R2192" s="85">
        <f ca="1">IFERROR(__xludf.DUMMYFUNCTION("""COMPUTED_VALUE"""),87.9)</f>
        <v>87.9</v>
      </c>
      <c r="S2192" s="85"/>
      <c r="T2192" s="85"/>
      <c r="U2192" s="82"/>
      <c r="V2192" s="82"/>
      <c r="W2192" s="83"/>
      <c r="X2192" s="83"/>
      <c r="Y2192" s="83"/>
    </row>
    <row r="2193" spans="1:25" ht="13.8">
      <c r="A2193" s="78" t="str">
        <f ca="1">IFERROR(__xludf.DUMMYFUNCTION("""COMPUTED_VALUE"""),"VW")</f>
        <v>VW</v>
      </c>
      <c r="B2193" s="79" t="str">
        <f ca="1">IFERROR(__xludf.DUMMYFUNCTION("""COMPUTED_VALUE"""),"Ivor Brown")</f>
        <v>Ivor Brown</v>
      </c>
      <c r="C2193" s="78">
        <f ca="1">IFERROR(__xludf.DUMMYFUNCTION("""COMPUTED_VALUE"""),13)</f>
        <v>13</v>
      </c>
      <c r="D2193" s="78" t="str">
        <f ca="1">IFERROR(__xludf.DUMMYFUNCTION("""COMPUTED_VALUE"""),"B")</f>
        <v>B</v>
      </c>
      <c r="E2193" s="80" t="str">
        <f ca="1">IFERROR(__xludf.DUMMYFUNCTION("""COMPUTED_VALUE"""),"I")</f>
        <v>I</v>
      </c>
      <c r="F2193" s="86" t="str">
        <f ca="1">IFERROR(__xludf.DUMMYFUNCTION("""COMPUTED_VALUE"""),"S")</f>
        <v>S</v>
      </c>
      <c r="G2193" s="86">
        <f ca="1">IFERROR(__xludf.DUMMYFUNCTION("""COMPUTED_VALUE"""),1)</f>
        <v>1</v>
      </c>
      <c r="H2193" s="86" t="str">
        <f ca="1">IFERROR(__xludf.DUMMYFUNCTION("""COMPUTED_VALUE"""),"VW")</f>
        <v>VW</v>
      </c>
      <c r="I2193" s="86">
        <f ca="1">IFERROR(__xludf.DUMMYFUNCTION("""COMPUTED_VALUE"""),7)</f>
        <v>7</v>
      </c>
      <c r="J2193" s="85">
        <f ca="1">IFERROR(__xludf.DUMMYFUNCTION("""COMPUTED_VALUE"""),3)</f>
        <v>3</v>
      </c>
      <c r="K2193" s="85">
        <f ca="1">IFERROR(__xludf.DUMMYFUNCTION("""COMPUTED_VALUE"""),222.8)</f>
        <v>222.8</v>
      </c>
      <c r="L2193" s="85">
        <f ca="1">IFERROR(__xludf.DUMMYFUNCTION("""COMPUTED_VALUE"""),222.8)</f>
        <v>222.8</v>
      </c>
      <c r="M2193" s="85"/>
      <c r="N2193" s="85">
        <f ca="1">IFERROR(__xludf.DUMMYFUNCTION("""COMPUTED_VALUE"""),0)</f>
        <v>0</v>
      </c>
      <c r="O2193" s="85"/>
      <c r="P2193" s="85">
        <f ca="1">IFERROR(__xludf.DUMMYFUNCTION("""COMPUTED_VALUE"""),176.15)</f>
        <v>176.15</v>
      </c>
      <c r="Q2193" s="85"/>
      <c r="R2193" s="85">
        <f ca="1">IFERROR(__xludf.DUMMYFUNCTION("""COMPUTED_VALUE"""),0)</f>
        <v>0</v>
      </c>
      <c r="S2193" s="85"/>
      <c r="T2193" s="85"/>
      <c r="U2193" s="82"/>
      <c r="V2193" s="82"/>
      <c r="W2193" s="83"/>
      <c r="X2193" s="83"/>
      <c r="Y2193" s="83"/>
    </row>
    <row r="2194" spans="1:25" ht="13.8">
      <c r="A2194" s="78" t="str">
        <f ca="1">IFERROR(__xludf.DUMMYFUNCTION("""COMPUTED_VALUE"""),"VW")</f>
        <v>VW</v>
      </c>
      <c r="B2194" s="79" t="str">
        <f ca="1">IFERROR(__xludf.DUMMYFUNCTION("""COMPUTED_VALUE"""),"Dylan Kalinock")</f>
        <v>Dylan Kalinock</v>
      </c>
      <c r="C2194" s="78">
        <f ca="1">IFERROR(__xludf.DUMMYFUNCTION("""COMPUTED_VALUE"""),13)</f>
        <v>13</v>
      </c>
      <c r="D2194" s="78" t="str">
        <f ca="1">IFERROR(__xludf.DUMMYFUNCTION("""COMPUTED_VALUE"""),"B")</f>
        <v>B</v>
      </c>
      <c r="E2194" s="80" t="str">
        <f ca="1">IFERROR(__xludf.DUMMYFUNCTION("""COMPUTED_VALUE"""),"I")</f>
        <v>I</v>
      </c>
      <c r="F2194" s="86" t="str">
        <f ca="1">IFERROR(__xludf.DUMMYFUNCTION("""COMPUTED_VALUE"""),"S")</f>
        <v>S</v>
      </c>
      <c r="G2194" s="86">
        <f ca="1">IFERROR(__xludf.DUMMYFUNCTION("""COMPUTED_VALUE"""),1)</f>
        <v>1</v>
      </c>
      <c r="H2194" s="86" t="str">
        <f ca="1">IFERROR(__xludf.DUMMYFUNCTION("""COMPUTED_VALUE"""),"VW")</f>
        <v>VW</v>
      </c>
      <c r="I2194" s="86">
        <f ca="1">IFERROR(__xludf.DUMMYFUNCTION("""COMPUTED_VALUE"""),7)</f>
        <v>7</v>
      </c>
      <c r="J2194" s="85">
        <f ca="1">IFERROR(__xludf.DUMMYFUNCTION("""COMPUTED_VALUE"""),4)</f>
        <v>4</v>
      </c>
      <c r="K2194" s="85">
        <f ca="1">IFERROR(__xludf.DUMMYFUNCTION("""COMPUTED_VALUE"""),113.05)</f>
        <v>113.05</v>
      </c>
      <c r="L2194" s="85">
        <f ca="1">IFERROR(__xludf.DUMMYFUNCTION("""COMPUTED_VALUE"""),105.6)</f>
        <v>105.6</v>
      </c>
      <c r="M2194" s="85"/>
      <c r="N2194" s="85">
        <f ca="1">IFERROR(__xludf.DUMMYFUNCTION("""COMPUTED_VALUE"""),0)</f>
        <v>0</v>
      </c>
      <c r="O2194" s="85"/>
      <c r="P2194" s="85">
        <f ca="1">IFERROR(__xludf.DUMMYFUNCTION("""COMPUTED_VALUE"""),113.05)</f>
        <v>113.05</v>
      </c>
      <c r="Q2194" s="85"/>
      <c r="R2194" s="85">
        <f ca="1">IFERROR(__xludf.DUMMYFUNCTION("""COMPUTED_VALUE"""),106.6)</f>
        <v>106.6</v>
      </c>
      <c r="S2194" s="85"/>
      <c r="T2194" s="85"/>
      <c r="U2194" s="82"/>
      <c r="V2194" s="82"/>
      <c r="W2194" s="83"/>
      <c r="X2194" s="83"/>
      <c r="Y2194" s="83"/>
    </row>
    <row r="2195" spans="1:25" ht="13.8">
      <c r="A2195" s="78" t="str">
        <f ca="1">IFERROR(__xludf.DUMMYFUNCTION("""COMPUTED_VALUE"""),"VW")</f>
        <v>VW</v>
      </c>
      <c r="B2195" s="79" t="str">
        <f ca="1">IFERROR(__xludf.DUMMYFUNCTION("""COMPUTED_VALUE"""),"Dylan Paci")</f>
        <v>Dylan Paci</v>
      </c>
      <c r="C2195" s="78">
        <f ca="1">IFERROR(__xludf.DUMMYFUNCTION("""COMPUTED_VALUE"""),14)</f>
        <v>14</v>
      </c>
      <c r="D2195" s="78" t="str">
        <f ca="1">IFERROR(__xludf.DUMMYFUNCTION("""COMPUTED_VALUE"""),"B")</f>
        <v>B</v>
      </c>
      <c r="E2195" s="80" t="str">
        <f ca="1">IFERROR(__xludf.DUMMYFUNCTION("""COMPUTED_VALUE"""),"I")</f>
        <v>I</v>
      </c>
      <c r="F2195" s="86" t="str">
        <f ca="1">IFERROR(__xludf.DUMMYFUNCTION("""COMPUTED_VALUE"""),"S")</f>
        <v>S</v>
      </c>
      <c r="G2195" s="86">
        <f ca="1">IFERROR(__xludf.DUMMYFUNCTION("""COMPUTED_VALUE"""),1)</f>
        <v>1</v>
      </c>
      <c r="H2195" s="86" t="str">
        <f ca="1">IFERROR(__xludf.DUMMYFUNCTION("""COMPUTED_VALUE"""),"VW")</f>
        <v>VW</v>
      </c>
      <c r="I2195" s="86">
        <f ca="1">IFERROR(__xludf.DUMMYFUNCTION("""COMPUTED_VALUE"""),7)</f>
        <v>7</v>
      </c>
      <c r="J2195" s="85">
        <f ca="1">IFERROR(__xludf.DUMMYFUNCTION("""COMPUTED_VALUE"""),5)</f>
        <v>5</v>
      </c>
      <c r="K2195" s="85">
        <f ca="1">IFERROR(__xludf.DUMMYFUNCTION("""COMPUTED_VALUE"""),144.8)</f>
        <v>144.80000000000001</v>
      </c>
      <c r="L2195" s="85">
        <f ca="1">IFERROR(__xludf.DUMMYFUNCTION("""COMPUTED_VALUE"""),135.1)</f>
        <v>135.1</v>
      </c>
      <c r="M2195" s="85"/>
      <c r="N2195" s="85">
        <f ca="1">IFERROR(__xludf.DUMMYFUNCTION("""COMPUTED_VALUE"""),144.8)</f>
        <v>144.80000000000001</v>
      </c>
      <c r="O2195" s="85"/>
      <c r="P2195" s="85">
        <f ca="1">IFERROR(__xludf.DUMMYFUNCTION("""COMPUTED_VALUE"""),139.95)</f>
        <v>139.94999999999999</v>
      </c>
      <c r="Q2195" s="85"/>
      <c r="R2195" s="85">
        <f ca="1">IFERROR(__xludf.DUMMYFUNCTION("""COMPUTED_VALUE"""),133.85)</f>
        <v>133.85</v>
      </c>
      <c r="S2195" s="85"/>
      <c r="T2195" s="85"/>
      <c r="U2195" s="82"/>
      <c r="V2195" s="82"/>
      <c r="W2195" s="83"/>
      <c r="X2195" s="83"/>
      <c r="Y2195" s="83"/>
    </row>
    <row r="2196" spans="1:25" ht="13.8">
      <c r="A2196" s="78" t="str">
        <f ca="1">IFERROR(__xludf.DUMMYFUNCTION("""COMPUTED_VALUE"""),"VW")</f>
        <v>VW</v>
      </c>
      <c r="B2196" s="79" t="str">
        <f ca="1">IFERROR(__xludf.DUMMYFUNCTION("""COMPUTED_VALUE"""),"Jessica Fritsch")</f>
        <v>Jessica Fritsch</v>
      </c>
      <c r="C2196" s="78">
        <f ca="1">IFERROR(__xludf.DUMMYFUNCTION("""COMPUTED_VALUE"""),17)</f>
        <v>17</v>
      </c>
      <c r="D2196" s="78" t="str">
        <f ca="1">IFERROR(__xludf.DUMMYFUNCTION("""COMPUTED_VALUE"""),"G")</f>
        <v>G</v>
      </c>
      <c r="E2196" s="80" t="str">
        <f ca="1">IFERROR(__xludf.DUMMYFUNCTION("""COMPUTED_VALUE"""),"S")</f>
        <v>S</v>
      </c>
      <c r="F2196" s="86" t="str">
        <f ca="1">IFERROR(__xludf.DUMMYFUNCTION("""COMPUTED_VALUE"""),"S")</f>
        <v>S</v>
      </c>
      <c r="G2196" s="86">
        <f ca="1">IFERROR(__xludf.DUMMYFUNCTION("""COMPUTED_VALUE"""),1)</f>
        <v>1</v>
      </c>
      <c r="H2196" s="86" t="str">
        <f ca="1">IFERROR(__xludf.DUMMYFUNCTION("""COMPUTED_VALUE"""),"VW")</f>
        <v>VW</v>
      </c>
      <c r="I2196" s="86">
        <f ca="1">IFERROR(__xludf.DUMMYFUNCTION("""COMPUTED_VALUE"""),8)</f>
        <v>8</v>
      </c>
      <c r="J2196" s="85">
        <f ca="1">IFERROR(__xludf.DUMMYFUNCTION("""COMPUTED_VALUE"""),5)</f>
        <v>5</v>
      </c>
      <c r="K2196" s="85">
        <f ca="1">IFERROR(__xludf.DUMMYFUNCTION("""COMPUTED_VALUE"""),179.15)</f>
        <v>179.15</v>
      </c>
      <c r="L2196" s="85">
        <f ca="1">IFERROR(__xludf.DUMMYFUNCTION("""COMPUTED_VALUE"""),162.7)</f>
        <v>162.69999999999999</v>
      </c>
      <c r="M2196" s="85"/>
      <c r="N2196" s="85">
        <f ca="1">IFERROR(__xludf.DUMMYFUNCTION("""COMPUTED_VALUE"""),179.15)</f>
        <v>179.15</v>
      </c>
      <c r="O2196" s="85"/>
      <c r="P2196" s="85">
        <f ca="1">IFERROR(__xludf.DUMMYFUNCTION("""COMPUTED_VALUE"""),158.9)</f>
        <v>158.9</v>
      </c>
      <c r="Q2196" s="85"/>
      <c r="R2196" s="85">
        <f ca="1">IFERROR(__xludf.DUMMYFUNCTION("""COMPUTED_VALUE"""),155.45)</f>
        <v>155.44999999999999</v>
      </c>
      <c r="S2196" s="85"/>
      <c r="T2196" s="85"/>
      <c r="U2196" s="82"/>
      <c r="V2196" s="82"/>
      <c r="W2196" s="83"/>
      <c r="X2196" s="83"/>
      <c r="Y2196" s="83"/>
    </row>
    <row r="2197" spans="1:25" ht="13.8">
      <c r="A2197" s="78" t="str">
        <f ca="1">IFERROR(__xludf.DUMMYFUNCTION("""COMPUTED_VALUE"""),"VW")</f>
        <v>VW</v>
      </c>
      <c r="B2197" s="79" t="str">
        <f ca="1">IFERROR(__xludf.DUMMYFUNCTION("""COMPUTED_VALUE"""),"Evan Moss")</f>
        <v>Evan Moss</v>
      </c>
      <c r="C2197" s="78">
        <f ca="1">IFERROR(__xludf.DUMMYFUNCTION("""COMPUTED_VALUE"""),15)</f>
        <v>15</v>
      </c>
      <c r="D2197" s="78" t="str">
        <f ca="1">IFERROR(__xludf.DUMMYFUNCTION("""COMPUTED_VALUE"""),"B")</f>
        <v>B</v>
      </c>
      <c r="E2197" s="80" t="str">
        <f ca="1">IFERROR(__xludf.DUMMYFUNCTION("""COMPUTED_VALUE"""),"S")</f>
        <v>S</v>
      </c>
      <c r="F2197" s="86" t="str">
        <f ca="1">IFERROR(__xludf.DUMMYFUNCTION("""COMPUTED_VALUE"""),"S")</f>
        <v>S</v>
      </c>
      <c r="G2197" s="86">
        <f ca="1">IFERROR(__xludf.DUMMYFUNCTION("""COMPUTED_VALUE"""),1)</f>
        <v>1</v>
      </c>
      <c r="H2197" s="86" t="str">
        <f ca="1">IFERROR(__xludf.DUMMYFUNCTION("""COMPUTED_VALUE"""),"VW")</f>
        <v>VW</v>
      </c>
      <c r="I2197" s="86">
        <f ca="1">IFERROR(__xludf.DUMMYFUNCTION("""COMPUTED_VALUE"""),9)</f>
        <v>9</v>
      </c>
      <c r="J2197" s="85">
        <f ca="1">IFERROR(__xludf.DUMMYFUNCTION("""COMPUTED_VALUE"""),2)</f>
        <v>2</v>
      </c>
      <c r="K2197" s="85">
        <f ca="1">IFERROR(__xludf.DUMMYFUNCTION("""COMPUTED_VALUE"""),140.8)</f>
        <v>140.80000000000001</v>
      </c>
      <c r="L2197" s="85">
        <f ca="1">IFERROR(__xludf.DUMMYFUNCTION("""COMPUTED_VALUE"""),0)</f>
        <v>0</v>
      </c>
      <c r="M2197" s="85"/>
      <c r="N2197" s="85">
        <f ca="1">IFERROR(__xludf.DUMMYFUNCTION("""COMPUTED_VALUE"""),140.8)</f>
        <v>140.80000000000001</v>
      </c>
      <c r="O2197" s="85"/>
      <c r="P2197" s="85">
        <f ca="1">IFERROR(__xludf.DUMMYFUNCTION("""COMPUTED_VALUE"""),0)</f>
        <v>0</v>
      </c>
      <c r="Q2197" s="85"/>
      <c r="R2197" s="85">
        <f ca="1">IFERROR(__xludf.DUMMYFUNCTION("""COMPUTED_VALUE"""),126.35)</f>
        <v>126.35</v>
      </c>
      <c r="S2197" s="85"/>
      <c r="T2197" s="85"/>
      <c r="U2197" s="82"/>
      <c r="V2197" s="82"/>
      <c r="W2197" s="83"/>
      <c r="X2197" s="83"/>
      <c r="Y2197" s="83"/>
    </row>
    <row r="2198" spans="1:25" ht="13.8">
      <c r="A2198" s="78" t="str">
        <f ca="1">IFERROR(__xludf.DUMMYFUNCTION("""COMPUTED_VALUE"""),"VW")</f>
        <v>VW</v>
      </c>
      <c r="B2198" s="79" t="str">
        <f ca="1">IFERROR(__xludf.DUMMYFUNCTION("""COMPUTED_VALUE"""),"Nick Wanzer")</f>
        <v>Nick Wanzer</v>
      </c>
      <c r="C2198" s="78">
        <f ca="1">IFERROR(__xludf.DUMMYFUNCTION("""COMPUTED_VALUE"""),15)</f>
        <v>15</v>
      </c>
      <c r="D2198" s="78" t="str">
        <f ca="1">IFERROR(__xludf.DUMMYFUNCTION("""COMPUTED_VALUE"""),"B")</f>
        <v>B</v>
      </c>
      <c r="E2198" s="80" t="str">
        <f ca="1">IFERROR(__xludf.DUMMYFUNCTION("""COMPUTED_VALUE"""),"S")</f>
        <v>S</v>
      </c>
      <c r="F2198" s="86" t="str">
        <f ca="1">IFERROR(__xludf.DUMMYFUNCTION("""COMPUTED_VALUE"""),"S")</f>
        <v>S</v>
      </c>
      <c r="G2198" s="86">
        <f ca="1">IFERROR(__xludf.DUMMYFUNCTION("""COMPUTED_VALUE"""),1)</f>
        <v>1</v>
      </c>
      <c r="H2198" s="86" t="str">
        <f ca="1">IFERROR(__xludf.DUMMYFUNCTION("""COMPUTED_VALUE"""),"VW")</f>
        <v>VW</v>
      </c>
      <c r="I2198" s="86">
        <f ca="1">IFERROR(__xludf.DUMMYFUNCTION("""COMPUTED_VALUE"""),9)</f>
        <v>9</v>
      </c>
      <c r="J2198" s="85">
        <f ca="1">IFERROR(__xludf.DUMMYFUNCTION("""COMPUTED_VALUE"""),4)</f>
        <v>4</v>
      </c>
      <c r="K2198" s="85">
        <f ca="1">IFERROR(__xludf.DUMMYFUNCTION("""COMPUTED_VALUE"""),269.2)</f>
        <v>269.2</v>
      </c>
      <c r="L2198" s="85">
        <f ca="1">IFERROR(__xludf.DUMMYFUNCTION("""COMPUTED_VALUE"""),265.35)</f>
        <v>265.35000000000002</v>
      </c>
      <c r="M2198" s="85"/>
      <c r="N2198" s="85">
        <f ca="1">IFERROR(__xludf.DUMMYFUNCTION("""COMPUTED_VALUE"""),0)</f>
        <v>0</v>
      </c>
      <c r="O2198" s="85"/>
      <c r="P2198" s="85">
        <f ca="1">IFERROR(__xludf.DUMMYFUNCTION("""COMPUTED_VALUE"""),269.2)</f>
        <v>269.2</v>
      </c>
      <c r="Q2198" s="85"/>
      <c r="R2198" s="85">
        <f ca="1">IFERROR(__xludf.DUMMYFUNCTION("""COMPUTED_VALUE"""),264.3)</f>
        <v>264.3</v>
      </c>
      <c r="S2198" s="85"/>
      <c r="T2198" s="85"/>
      <c r="U2198" s="82"/>
      <c r="V2198" s="82"/>
      <c r="W2198" s="83"/>
      <c r="X2198" s="83"/>
      <c r="Y2198" s="83"/>
    </row>
    <row r="2199" spans="1:25" ht="13.8">
      <c r="A2199" s="78" t="str">
        <f ca="1">IFERROR(__xludf.DUMMYFUNCTION("""COMPUTED_VALUE"""),"VW")</f>
        <v>VW</v>
      </c>
      <c r="B2199" s="79" t="str">
        <f ca="1">IFERROR(__xludf.DUMMYFUNCTION("""COMPUTED_VALUE"""),"Noah Wanzer")</f>
        <v>Noah Wanzer</v>
      </c>
      <c r="C2199" s="78">
        <f ca="1">IFERROR(__xludf.DUMMYFUNCTION("""COMPUTED_VALUE"""),15)</f>
        <v>15</v>
      </c>
      <c r="D2199" s="78" t="str">
        <f ca="1">IFERROR(__xludf.DUMMYFUNCTION("""COMPUTED_VALUE"""),"B")</f>
        <v>B</v>
      </c>
      <c r="E2199" s="80" t="str">
        <f ca="1">IFERROR(__xludf.DUMMYFUNCTION("""COMPUTED_VALUE"""),"S")</f>
        <v>S</v>
      </c>
      <c r="F2199" s="86" t="str">
        <f ca="1">IFERROR(__xludf.DUMMYFUNCTION("""COMPUTED_VALUE"""),"S")</f>
        <v>S</v>
      </c>
      <c r="G2199" s="86">
        <f ca="1">IFERROR(__xludf.DUMMYFUNCTION("""COMPUTED_VALUE"""),1)</f>
        <v>1</v>
      </c>
      <c r="H2199" s="86" t="str">
        <f ca="1">IFERROR(__xludf.DUMMYFUNCTION("""COMPUTED_VALUE"""),"VW")</f>
        <v>VW</v>
      </c>
      <c r="I2199" s="86">
        <f ca="1">IFERROR(__xludf.DUMMYFUNCTION("""COMPUTED_VALUE"""),9)</f>
        <v>9</v>
      </c>
      <c r="J2199" s="85">
        <f ca="1">IFERROR(__xludf.DUMMYFUNCTION("""COMPUTED_VALUE"""),3)</f>
        <v>3</v>
      </c>
      <c r="K2199" s="85">
        <f ca="1">IFERROR(__xludf.DUMMYFUNCTION("""COMPUTED_VALUE"""),256.7)</f>
        <v>256.7</v>
      </c>
      <c r="L2199" s="85">
        <f ca="1">IFERROR(__xludf.DUMMYFUNCTION("""COMPUTED_VALUE"""),256.7)</f>
        <v>256.7</v>
      </c>
      <c r="M2199" s="85"/>
      <c r="N2199" s="85">
        <f ca="1">IFERROR(__xludf.DUMMYFUNCTION("""COMPUTED_VALUE"""),0)</f>
        <v>0</v>
      </c>
      <c r="O2199" s="85"/>
      <c r="P2199" s="85">
        <f ca="1">IFERROR(__xludf.DUMMYFUNCTION("""COMPUTED_VALUE"""),228.9)</f>
        <v>228.9</v>
      </c>
      <c r="Q2199" s="85"/>
      <c r="R2199" s="85">
        <f ca="1">IFERROR(__xludf.DUMMYFUNCTION("""COMPUTED_VALUE"""),0)</f>
        <v>0</v>
      </c>
      <c r="S2199" s="85"/>
      <c r="T2199" s="85"/>
      <c r="U2199" s="82"/>
      <c r="V2199" s="82"/>
      <c r="W2199" s="83"/>
      <c r="X2199" s="83"/>
      <c r="Y2199" s="83"/>
    </row>
    <row r="2200" spans="1:25" ht="13.8">
      <c r="A2200" s="78" t="str">
        <f ca="1">IFERROR(__xludf.DUMMYFUNCTION("""COMPUTED_VALUE"""),"W")</f>
        <v>W</v>
      </c>
      <c r="B2200" s="79" t="str">
        <f ca="1">IFERROR(__xludf.DUMMYFUNCTION("""COMPUTED_VALUE"""),"Lola Beltran")</f>
        <v>Lola Beltran</v>
      </c>
      <c r="C2200" s="78">
        <f ca="1">IFERROR(__xludf.DUMMYFUNCTION("""COMPUTED_VALUE"""),5)</f>
        <v>5</v>
      </c>
      <c r="D2200" s="78" t="str">
        <f ca="1">IFERROR(__xludf.DUMMYFUNCTION("""COMPUTED_VALUE"""),"G")</f>
        <v>G</v>
      </c>
      <c r="E2200" s="80" t="str">
        <f ca="1">IFERROR(__xludf.DUMMYFUNCTION("""COMPUTED_VALUE"""),"F")</f>
        <v>F</v>
      </c>
      <c r="F2200" s="86" t="str">
        <f ca="1">IFERROR(__xludf.DUMMYFUNCTION("""COMPUTED_VALUE"""),"J")</f>
        <v>J</v>
      </c>
      <c r="G2200" s="86">
        <f ca="1">IFERROR(__xludf.DUMMYFUNCTION("""COMPUTED_VALUE"""),7)</f>
        <v>7</v>
      </c>
      <c r="H2200" s="86" t="str">
        <f ca="1">IFERROR(__xludf.DUMMYFUNCTION("""COMPUTED_VALUE"""),"W")</f>
        <v>W</v>
      </c>
      <c r="I2200" s="86">
        <f ca="1">IFERROR(__xludf.DUMMYFUNCTION("""COMPUTED_VALUE"""),2)</f>
        <v>2</v>
      </c>
      <c r="J2200" s="85">
        <f ca="1">IFERROR(__xludf.DUMMYFUNCTION("""COMPUTED_VALUE"""),2)</f>
        <v>2</v>
      </c>
      <c r="K2200" s="85">
        <f ca="1">IFERROR(__xludf.DUMMYFUNCTION("""COMPUTED_VALUE"""),7)</f>
        <v>7</v>
      </c>
      <c r="L2200" s="85">
        <f ca="1">IFERROR(__xludf.DUMMYFUNCTION("""COMPUTED_VALUE"""),0)</f>
        <v>0</v>
      </c>
      <c r="M2200" s="85"/>
      <c r="N2200" s="85">
        <f ca="1">IFERROR(__xludf.DUMMYFUNCTION("""COMPUTED_VALUE"""),0)</f>
        <v>0</v>
      </c>
      <c r="O2200" s="85"/>
      <c r="P2200" s="85">
        <f ca="1">IFERROR(__xludf.DUMMYFUNCTION("""COMPUTED_VALUE"""),7)</f>
        <v>7</v>
      </c>
      <c r="Q2200" s="85"/>
      <c r="R2200" s="85">
        <f ca="1">IFERROR(__xludf.DUMMYFUNCTION("""COMPUTED_VALUE"""),0)</f>
        <v>0</v>
      </c>
      <c r="S2200" s="85"/>
      <c r="T2200" s="85"/>
      <c r="U2200" s="82"/>
      <c r="V2200" s="82"/>
      <c r="W2200" s="83"/>
      <c r="X2200" s="83"/>
      <c r="Y2200" s="83"/>
    </row>
    <row r="2201" spans="1:25" ht="13.8">
      <c r="A2201" s="78" t="str">
        <f ca="1">IFERROR(__xludf.DUMMYFUNCTION("""COMPUTED_VALUE"""),"W")</f>
        <v>W</v>
      </c>
      <c r="B2201" s="79" t="str">
        <f ca="1">IFERROR(__xludf.DUMMYFUNCTION("""COMPUTED_VALUE"""),"Vivian Fernandez")</f>
        <v>Vivian Fernandez</v>
      </c>
      <c r="C2201" s="78">
        <f ca="1">IFERROR(__xludf.DUMMYFUNCTION("""COMPUTED_VALUE"""),10)</f>
        <v>10</v>
      </c>
      <c r="D2201" s="78" t="str">
        <f ca="1">IFERROR(__xludf.DUMMYFUNCTION("""COMPUTED_VALUE"""),"G")</f>
        <v>G</v>
      </c>
      <c r="E2201" s="80" t="str">
        <f ca="1">IFERROR(__xludf.DUMMYFUNCTION("""COMPUTED_VALUE"""),"F")</f>
        <v>F</v>
      </c>
      <c r="F2201" s="86" t="str">
        <f ca="1">IFERROR(__xludf.DUMMYFUNCTION("""COMPUTED_VALUE"""),"J")</f>
        <v>J</v>
      </c>
      <c r="G2201" s="86">
        <f ca="1">IFERROR(__xludf.DUMMYFUNCTION("""COMPUTED_VALUE"""),7)</f>
        <v>7</v>
      </c>
      <c r="H2201" s="86" t="str">
        <f ca="1">IFERROR(__xludf.DUMMYFUNCTION("""COMPUTED_VALUE"""),"W")</f>
        <v>W</v>
      </c>
      <c r="I2201" s="86">
        <f ca="1">IFERROR(__xludf.DUMMYFUNCTION("""COMPUTED_VALUE"""),2)</f>
        <v>2</v>
      </c>
      <c r="J2201" s="85">
        <f ca="1">IFERROR(__xludf.DUMMYFUNCTION("""COMPUTED_VALUE"""),1)</f>
        <v>1</v>
      </c>
      <c r="K2201" s="85">
        <f ca="1">IFERROR(__xludf.DUMMYFUNCTION("""COMPUTED_VALUE"""),41.8)</f>
        <v>41.8</v>
      </c>
      <c r="L2201" s="85">
        <f ca="1">IFERROR(__xludf.DUMMYFUNCTION("""COMPUTED_VALUE"""),0)</f>
        <v>0</v>
      </c>
      <c r="M2201" s="85"/>
      <c r="N2201" s="85">
        <f ca="1">IFERROR(__xludf.DUMMYFUNCTION("""COMPUTED_VALUE"""),0)</f>
        <v>0</v>
      </c>
      <c r="O2201" s="85"/>
      <c r="P2201" s="85">
        <f ca="1">IFERROR(__xludf.DUMMYFUNCTION("""COMPUTED_VALUE"""),0)</f>
        <v>0</v>
      </c>
      <c r="Q2201" s="85"/>
      <c r="R2201" s="85">
        <f ca="1">IFERROR(__xludf.DUMMYFUNCTION("""COMPUTED_VALUE"""),41.8)</f>
        <v>41.8</v>
      </c>
      <c r="S2201" s="85"/>
      <c r="T2201" s="85"/>
      <c r="U2201" s="82"/>
      <c r="V2201" s="82"/>
      <c r="W2201" s="83"/>
      <c r="X2201" s="83"/>
      <c r="Y2201" s="83"/>
    </row>
    <row r="2202" spans="1:25" ht="13.8">
      <c r="A2202" s="78" t="str">
        <f ca="1">IFERROR(__xludf.DUMMYFUNCTION("""COMPUTED_VALUE"""),"W")</f>
        <v>W</v>
      </c>
      <c r="B2202" s="79" t="str">
        <f ca="1">IFERROR(__xludf.DUMMYFUNCTION("""COMPUTED_VALUE"""),"Sally Horne")</f>
        <v>Sally Horne</v>
      </c>
      <c r="C2202" s="78">
        <f ca="1">IFERROR(__xludf.DUMMYFUNCTION("""COMPUTED_VALUE"""),9)</f>
        <v>9</v>
      </c>
      <c r="D2202" s="78" t="str">
        <f ca="1">IFERROR(__xludf.DUMMYFUNCTION("""COMPUTED_VALUE"""),"G")</f>
        <v>G</v>
      </c>
      <c r="E2202" s="80" t="str">
        <f ca="1">IFERROR(__xludf.DUMMYFUNCTION("""COMPUTED_VALUE"""),"F")</f>
        <v>F</v>
      </c>
      <c r="F2202" s="86" t="str">
        <f ca="1">IFERROR(__xludf.DUMMYFUNCTION("""COMPUTED_VALUE"""),"J")</f>
        <v>J</v>
      </c>
      <c r="G2202" s="86">
        <f ca="1">IFERROR(__xludf.DUMMYFUNCTION("""COMPUTED_VALUE"""),7)</f>
        <v>7</v>
      </c>
      <c r="H2202" s="86" t="str">
        <f ca="1">IFERROR(__xludf.DUMMYFUNCTION("""COMPUTED_VALUE"""),"W")</f>
        <v>W</v>
      </c>
      <c r="I2202" s="86">
        <f ca="1">IFERROR(__xludf.DUMMYFUNCTION("""COMPUTED_VALUE"""),2)</f>
        <v>2</v>
      </c>
      <c r="J2202" s="85">
        <f ca="1">IFERROR(__xludf.DUMMYFUNCTION("""COMPUTED_VALUE"""),4)</f>
        <v>4</v>
      </c>
      <c r="K2202" s="85">
        <f ca="1">IFERROR(__xludf.DUMMYFUNCTION("""COMPUTED_VALUE"""),48.55)</f>
        <v>48.55</v>
      </c>
      <c r="L2202" s="85">
        <f ca="1">IFERROR(__xludf.DUMMYFUNCTION("""COMPUTED_VALUE"""),23.75)</f>
        <v>23.75</v>
      </c>
      <c r="M2202" s="85"/>
      <c r="N2202" s="85">
        <f ca="1">IFERROR(__xludf.DUMMYFUNCTION("""COMPUTED_VALUE"""),46.7)</f>
        <v>46.7</v>
      </c>
      <c r="O2202" s="85"/>
      <c r="P2202" s="85">
        <f ca="1">IFERROR(__xludf.DUMMYFUNCTION("""COMPUTED_VALUE"""),48.55)</f>
        <v>48.55</v>
      </c>
      <c r="Q2202" s="85"/>
      <c r="R2202" s="85">
        <f ca="1">IFERROR(__xludf.DUMMYFUNCTION("""COMPUTED_VALUE"""),0)</f>
        <v>0</v>
      </c>
      <c r="S2202" s="85"/>
      <c r="T2202" s="85"/>
      <c r="U2202" s="82"/>
      <c r="V2202" s="82"/>
      <c r="W2202" s="83"/>
      <c r="X2202" s="83"/>
      <c r="Y2202" s="83"/>
    </row>
    <row r="2203" spans="1:25" ht="13.8">
      <c r="A2203" s="78" t="str">
        <f ca="1">IFERROR(__xludf.DUMMYFUNCTION("""COMPUTED_VALUE"""),"W")</f>
        <v>W</v>
      </c>
      <c r="B2203" s="79" t="str">
        <f ca="1">IFERROR(__xludf.DUMMYFUNCTION("""COMPUTED_VALUE"""),"Tennley Jackson")</f>
        <v>Tennley Jackson</v>
      </c>
      <c r="C2203" s="78">
        <f ca="1">IFERROR(__xludf.DUMMYFUNCTION("""COMPUTED_VALUE"""),10)</f>
        <v>10</v>
      </c>
      <c r="D2203" s="78" t="str">
        <f ca="1">IFERROR(__xludf.DUMMYFUNCTION("""COMPUTED_VALUE"""),"G")</f>
        <v>G</v>
      </c>
      <c r="E2203" s="80" t="str">
        <f ca="1">IFERROR(__xludf.DUMMYFUNCTION("""COMPUTED_VALUE"""),"F")</f>
        <v>F</v>
      </c>
      <c r="F2203" s="86" t="str">
        <f ca="1">IFERROR(__xludf.DUMMYFUNCTION("""COMPUTED_VALUE"""),"J")</f>
        <v>J</v>
      </c>
      <c r="G2203" s="86">
        <f ca="1">IFERROR(__xludf.DUMMYFUNCTION("""COMPUTED_VALUE"""),7)</f>
        <v>7</v>
      </c>
      <c r="H2203" s="86" t="str">
        <f ca="1">IFERROR(__xludf.DUMMYFUNCTION("""COMPUTED_VALUE"""),"W")</f>
        <v>W</v>
      </c>
      <c r="I2203" s="86">
        <f ca="1">IFERROR(__xludf.DUMMYFUNCTION("""COMPUTED_VALUE"""),2)</f>
        <v>2</v>
      </c>
      <c r="J2203" s="85">
        <f ca="1">IFERROR(__xludf.DUMMYFUNCTION("""COMPUTED_VALUE"""),3)</f>
        <v>3</v>
      </c>
      <c r="K2203" s="85">
        <f ca="1">IFERROR(__xludf.DUMMYFUNCTION("""COMPUTED_VALUE"""),31.9)</f>
        <v>31.9</v>
      </c>
      <c r="L2203" s="85">
        <f ca="1">IFERROR(__xludf.DUMMYFUNCTION("""COMPUTED_VALUE"""),0)</f>
        <v>0</v>
      </c>
      <c r="M2203" s="85"/>
      <c r="N2203" s="85">
        <f ca="1">IFERROR(__xludf.DUMMYFUNCTION("""COMPUTED_VALUE"""),31.9)</f>
        <v>31.9</v>
      </c>
      <c r="O2203" s="85"/>
      <c r="P2203" s="85">
        <f ca="1">IFERROR(__xludf.DUMMYFUNCTION("""COMPUTED_VALUE"""),17.9)</f>
        <v>17.899999999999999</v>
      </c>
      <c r="Q2203" s="85"/>
      <c r="R2203" s="85">
        <f ca="1">IFERROR(__xludf.DUMMYFUNCTION("""COMPUTED_VALUE"""),0)</f>
        <v>0</v>
      </c>
      <c r="S2203" s="85"/>
      <c r="T2203" s="85"/>
      <c r="U2203" s="82"/>
      <c r="V2203" s="82"/>
      <c r="W2203" s="83"/>
      <c r="X2203" s="83"/>
      <c r="Y2203" s="83"/>
    </row>
    <row r="2204" spans="1:25" ht="13.8">
      <c r="A2204" s="78" t="str">
        <f ca="1">IFERROR(__xludf.DUMMYFUNCTION("""COMPUTED_VALUE"""),"W")</f>
        <v>W</v>
      </c>
      <c r="B2204" s="79" t="str">
        <f ca="1">IFERROR(__xludf.DUMMYFUNCTION("""COMPUTED_VALUE"""),"Evana Kailey")</f>
        <v>Evana Kailey</v>
      </c>
      <c r="C2204" s="78">
        <f ca="1">IFERROR(__xludf.DUMMYFUNCTION("""COMPUTED_VALUE"""),9)</f>
        <v>9</v>
      </c>
      <c r="D2204" s="78" t="str">
        <f ca="1">IFERROR(__xludf.DUMMYFUNCTION("""COMPUTED_VALUE"""),"G")</f>
        <v>G</v>
      </c>
      <c r="E2204" s="80" t="str">
        <f ca="1">IFERROR(__xludf.DUMMYFUNCTION("""COMPUTED_VALUE"""),"F")</f>
        <v>F</v>
      </c>
      <c r="F2204" s="86" t="str">
        <f ca="1">IFERROR(__xludf.DUMMYFUNCTION("""COMPUTED_VALUE"""),"J")</f>
        <v>J</v>
      </c>
      <c r="G2204" s="86">
        <f ca="1">IFERROR(__xludf.DUMMYFUNCTION("""COMPUTED_VALUE"""),7)</f>
        <v>7</v>
      </c>
      <c r="H2204" s="86" t="str">
        <f ca="1">IFERROR(__xludf.DUMMYFUNCTION("""COMPUTED_VALUE"""),"W")</f>
        <v>W</v>
      </c>
      <c r="I2204" s="86">
        <f ca="1">IFERROR(__xludf.DUMMYFUNCTION("""COMPUTED_VALUE"""),2)</f>
        <v>2</v>
      </c>
      <c r="J2204" s="85">
        <f ca="1">IFERROR(__xludf.DUMMYFUNCTION("""COMPUTED_VALUE"""),0)</f>
        <v>0</v>
      </c>
      <c r="K2204" s="85">
        <f ca="1">IFERROR(__xludf.DUMMYFUNCTION("""COMPUTED_VALUE"""),0)</f>
        <v>0</v>
      </c>
      <c r="L2204" s="85">
        <f ca="1">IFERROR(__xludf.DUMMYFUNCTION("""COMPUTED_VALUE"""),0)</f>
        <v>0</v>
      </c>
      <c r="M2204" s="85"/>
      <c r="N2204" s="85">
        <f ca="1">IFERROR(__xludf.DUMMYFUNCTION("""COMPUTED_VALUE"""),0)</f>
        <v>0</v>
      </c>
      <c r="O2204" s="85"/>
      <c r="P2204" s="85">
        <f ca="1">IFERROR(__xludf.DUMMYFUNCTION("""COMPUTED_VALUE"""),0)</f>
        <v>0</v>
      </c>
      <c r="Q2204" s="85"/>
      <c r="R2204" s="85">
        <f ca="1">IFERROR(__xludf.DUMMYFUNCTION("""COMPUTED_VALUE"""),0)</f>
        <v>0</v>
      </c>
      <c r="S2204" s="85"/>
      <c r="T2204" s="85"/>
      <c r="U2204" s="82"/>
      <c r="V2204" s="82"/>
      <c r="W2204" s="83"/>
      <c r="X2204" s="83"/>
      <c r="Y2204" s="83"/>
    </row>
    <row r="2205" spans="1:25" ht="13.8">
      <c r="A2205" s="78" t="str">
        <f ca="1">IFERROR(__xludf.DUMMYFUNCTION("""COMPUTED_VALUE"""),"W")</f>
        <v>W</v>
      </c>
      <c r="B2205" s="79" t="str">
        <f ca="1">IFERROR(__xludf.DUMMYFUNCTION("""COMPUTED_VALUE"""),"Avery LaBoy")</f>
        <v>Avery LaBoy</v>
      </c>
      <c r="C2205" s="78">
        <f ca="1">IFERROR(__xludf.DUMMYFUNCTION("""COMPUTED_VALUE"""),9)</f>
        <v>9</v>
      </c>
      <c r="D2205" s="78" t="str">
        <f ca="1">IFERROR(__xludf.DUMMYFUNCTION("""COMPUTED_VALUE"""),"G")</f>
        <v>G</v>
      </c>
      <c r="E2205" s="80" t="str">
        <f ca="1">IFERROR(__xludf.DUMMYFUNCTION("""COMPUTED_VALUE"""),"F")</f>
        <v>F</v>
      </c>
      <c r="F2205" s="86" t="str">
        <f ca="1">IFERROR(__xludf.DUMMYFUNCTION("""COMPUTED_VALUE"""),"J")</f>
        <v>J</v>
      </c>
      <c r="G2205" s="86">
        <f ca="1">IFERROR(__xludf.DUMMYFUNCTION("""COMPUTED_VALUE"""),7)</f>
        <v>7</v>
      </c>
      <c r="H2205" s="86" t="str">
        <f ca="1">IFERROR(__xludf.DUMMYFUNCTION("""COMPUTED_VALUE"""),"W")</f>
        <v>W</v>
      </c>
      <c r="I2205" s="86">
        <f ca="1">IFERROR(__xludf.DUMMYFUNCTION("""COMPUTED_VALUE"""),2)</f>
        <v>2</v>
      </c>
      <c r="J2205" s="85">
        <f ca="1">IFERROR(__xludf.DUMMYFUNCTION("""COMPUTED_VALUE"""),3)</f>
        <v>3</v>
      </c>
      <c r="K2205" s="85">
        <f ca="1">IFERROR(__xludf.DUMMYFUNCTION("""COMPUTED_VALUE"""),20.75)</f>
        <v>20.75</v>
      </c>
      <c r="L2205" s="85">
        <f ca="1">IFERROR(__xludf.DUMMYFUNCTION("""COMPUTED_VALUE"""),8.25)</f>
        <v>8.25</v>
      </c>
      <c r="M2205" s="85"/>
      <c r="N2205" s="85">
        <f ca="1">IFERROR(__xludf.DUMMYFUNCTION("""COMPUTED_VALUE"""),0)</f>
        <v>0</v>
      </c>
      <c r="O2205" s="85"/>
      <c r="P2205" s="85">
        <f ca="1">IFERROR(__xludf.DUMMYFUNCTION("""COMPUTED_VALUE"""),0)</f>
        <v>0</v>
      </c>
      <c r="Q2205" s="85"/>
      <c r="R2205" s="85">
        <f ca="1">IFERROR(__xludf.DUMMYFUNCTION("""COMPUTED_VALUE"""),20.75)</f>
        <v>20.75</v>
      </c>
      <c r="S2205" s="85"/>
      <c r="T2205" s="85"/>
      <c r="U2205" s="82"/>
      <c r="V2205" s="82"/>
      <c r="W2205" s="83"/>
      <c r="X2205" s="83"/>
      <c r="Y2205" s="83"/>
    </row>
    <row r="2206" spans="1:25" ht="13.8">
      <c r="A2206" s="78" t="str">
        <f ca="1">IFERROR(__xludf.DUMMYFUNCTION("""COMPUTED_VALUE"""),"W")</f>
        <v>W</v>
      </c>
      <c r="B2206" s="79" t="str">
        <f ca="1">IFERROR(__xludf.DUMMYFUNCTION("""COMPUTED_VALUE"""),"Eliza Pollack")</f>
        <v>Eliza Pollack</v>
      </c>
      <c r="C2206" s="78">
        <f ca="1">IFERROR(__xludf.DUMMYFUNCTION("""COMPUTED_VALUE"""),10)</f>
        <v>10</v>
      </c>
      <c r="D2206" s="78" t="str">
        <f ca="1">IFERROR(__xludf.DUMMYFUNCTION("""COMPUTED_VALUE"""),"G")</f>
        <v>G</v>
      </c>
      <c r="E2206" s="80" t="str">
        <f ca="1">IFERROR(__xludf.DUMMYFUNCTION("""COMPUTED_VALUE"""),"F")</f>
        <v>F</v>
      </c>
      <c r="F2206" s="86" t="str">
        <f ca="1">IFERROR(__xludf.DUMMYFUNCTION("""COMPUTED_VALUE"""),"J")</f>
        <v>J</v>
      </c>
      <c r="G2206" s="86">
        <f ca="1">IFERROR(__xludf.DUMMYFUNCTION("""COMPUTED_VALUE"""),7)</f>
        <v>7</v>
      </c>
      <c r="H2206" s="86" t="str">
        <f ca="1">IFERROR(__xludf.DUMMYFUNCTION("""COMPUTED_VALUE"""),"W")</f>
        <v>W</v>
      </c>
      <c r="I2206" s="86">
        <f ca="1">IFERROR(__xludf.DUMMYFUNCTION("""COMPUTED_VALUE"""),2)</f>
        <v>2</v>
      </c>
      <c r="J2206" s="85">
        <f ca="1">IFERROR(__xludf.DUMMYFUNCTION("""COMPUTED_VALUE"""),5)</f>
        <v>5</v>
      </c>
      <c r="K2206" s="85">
        <f ca="1">IFERROR(__xludf.DUMMYFUNCTION("""COMPUTED_VALUE"""),69.3)</f>
        <v>69.3</v>
      </c>
      <c r="L2206" s="85">
        <f ca="1">IFERROR(__xludf.DUMMYFUNCTION("""COMPUTED_VALUE"""),-72.65)</f>
        <v>-72.650000000000006</v>
      </c>
      <c r="M2206" s="85"/>
      <c r="N2206" s="85">
        <f ca="1">IFERROR(__xludf.DUMMYFUNCTION("""COMPUTED_VALUE"""),-76.15)</f>
        <v>-76.150000000000006</v>
      </c>
      <c r="O2206" s="85"/>
      <c r="P2206" s="85">
        <f ca="1">IFERROR(__xludf.DUMMYFUNCTION("""COMPUTED_VALUE"""),-81.9)</f>
        <v>-81.900000000000006</v>
      </c>
      <c r="Q2206" s="85"/>
      <c r="R2206" s="85">
        <f ca="1">IFERROR(__xludf.DUMMYFUNCTION("""COMPUTED_VALUE"""),69.3)</f>
        <v>69.3</v>
      </c>
      <c r="S2206" s="85"/>
      <c r="T2206" s="85"/>
      <c r="U2206" s="82"/>
      <c r="V2206" s="82"/>
      <c r="W2206" s="83"/>
      <c r="X2206" s="83"/>
      <c r="Y2206" s="83"/>
    </row>
    <row r="2207" spans="1:25" ht="13.8">
      <c r="A2207" s="78" t="str">
        <f ca="1">IFERROR(__xludf.DUMMYFUNCTION("""COMPUTED_VALUE"""),"W")</f>
        <v>W</v>
      </c>
      <c r="B2207" s="79" t="str">
        <f ca="1">IFERROR(__xludf.DUMMYFUNCTION("""COMPUTED_VALUE"""),"Miriam Stavlund")</f>
        <v>Miriam Stavlund</v>
      </c>
      <c r="C2207" s="78">
        <f ca="1">IFERROR(__xludf.DUMMYFUNCTION("""COMPUTED_VALUE"""),10)</f>
        <v>10</v>
      </c>
      <c r="D2207" s="78" t="str">
        <f ca="1">IFERROR(__xludf.DUMMYFUNCTION("""COMPUTED_VALUE"""),"G")</f>
        <v>G</v>
      </c>
      <c r="E2207" s="80" t="str">
        <f ca="1">IFERROR(__xludf.DUMMYFUNCTION("""COMPUTED_VALUE"""),"F")</f>
        <v>F</v>
      </c>
      <c r="F2207" s="86" t="str">
        <f ca="1">IFERROR(__xludf.DUMMYFUNCTION("""COMPUTED_VALUE"""),"J")</f>
        <v>J</v>
      </c>
      <c r="G2207" s="86">
        <f ca="1">IFERROR(__xludf.DUMMYFUNCTION("""COMPUTED_VALUE"""),7)</f>
        <v>7</v>
      </c>
      <c r="H2207" s="86" t="str">
        <f ca="1">IFERROR(__xludf.DUMMYFUNCTION("""COMPUTED_VALUE"""),"W")</f>
        <v>W</v>
      </c>
      <c r="I2207" s="86">
        <f ca="1">IFERROR(__xludf.DUMMYFUNCTION("""COMPUTED_VALUE"""),2)</f>
        <v>2</v>
      </c>
      <c r="J2207" s="85">
        <f ca="1">IFERROR(__xludf.DUMMYFUNCTION("""COMPUTED_VALUE"""),3)</f>
        <v>3</v>
      </c>
      <c r="K2207" s="85">
        <f ca="1">IFERROR(__xludf.DUMMYFUNCTION("""COMPUTED_VALUE"""),24.25)</f>
        <v>24.25</v>
      </c>
      <c r="L2207" s="85">
        <f ca="1">IFERROR(__xludf.DUMMYFUNCTION("""COMPUTED_VALUE"""),0)</f>
        <v>0</v>
      </c>
      <c r="M2207" s="85"/>
      <c r="N2207" s="85">
        <f ca="1">IFERROR(__xludf.DUMMYFUNCTION("""COMPUTED_VALUE"""),0)</f>
        <v>0</v>
      </c>
      <c r="O2207" s="85"/>
      <c r="P2207" s="85">
        <f ca="1">IFERROR(__xludf.DUMMYFUNCTION("""COMPUTED_VALUE"""),16)</f>
        <v>16</v>
      </c>
      <c r="Q2207" s="85"/>
      <c r="R2207" s="85">
        <f ca="1">IFERROR(__xludf.DUMMYFUNCTION("""COMPUTED_VALUE"""),24.25)</f>
        <v>24.25</v>
      </c>
      <c r="S2207" s="85"/>
      <c r="T2207" s="85"/>
      <c r="U2207" s="82"/>
      <c r="V2207" s="82"/>
      <c r="W2207" s="83"/>
      <c r="X2207" s="83"/>
      <c r="Y2207" s="83"/>
    </row>
    <row r="2208" spans="1:25" ht="13.8">
      <c r="A2208" s="78" t="str">
        <f ca="1">IFERROR(__xludf.DUMMYFUNCTION("""COMPUTED_VALUE"""),"W")</f>
        <v>W</v>
      </c>
      <c r="B2208" s="79" t="str">
        <f ca="1">IFERROR(__xludf.DUMMYFUNCTION("""COMPUTED_VALUE"""),"Elin Temme")</f>
        <v>Elin Temme</v>
      </c>
      <c r="C2208" s="78">
        <f ca="1">IFERROR(__xludf.DUMMYFUNCTION("""COMPUTED_VALUE"""),10)</f>
        <v>10</v>
      </c>
      <c r="D2208" s="78" t="str">
        <f ca="1">IFERROR(__xludf.DUMMYFUNCTION("""COMPUTED_VALUE"""),"G")</f>
        <v>G</v>
      </c>
      <c r="E2208" s="80" t="str">
        <f ca="1">IFERROR(__xludf.DUMMYFUNCTION("""COMPUTED_VALUE"""),"F")</f>
        <v>F</v>
      </c>
      <c r="F2208" s="86" t="str">
        <f ca="1">IFERROR(__xludf.DUMMYFUNCTION("""COMPUTED_VALUE"""),"J")</f>
        <v>J</v>
      </c>
      <c r="G2208" s="86">
        <f ca="1">IFERROR(__xludf.DUMMYFUNCTION("""COMPUTED_VALUE"""),7)</f>
        <v>7</v>
      </c>
      <c r="H2208" s="86" t="str">
        <f ca="1">IFERROR(__xludf.DUMMYFUNCTION("""COMPUTED_VALUE"""),"W")</f>
        <v>W</v>
      </c>
      <c r="I2208" s="86">
        <f ca="1">IFERROR(__xludf.DUMMYFUNCTION("""COMPUTED_VALUE"""),2)</f>
        <v>2</v>
      </c>
      <c r="J2208" s="85">
        <f ca="1">IFERROR(__xludf.DUMMYFUNCTION("""COMPUTED_VALUE"""),5)</f>
        <v>5</v>
      </c>
      <c r="K2208" s="85">
        <f ca="1">IFERROR(__xludf.DUMMYFUNCTION("""COMPUTED_VALUE"""),71.15)</f>
        <v>71.150000000000006</v>
      </c>
      <c r="L2208" s="85">
        <f ca="1">IFERROR(__xludf.DUMMYFUNCTION("""COMPUTED_VALUE"""),41.1)</f>
        <v>41.1</v>
      </c>
      <c r="M2208" s="85"/>
      <c r="N2208" s="85">
        <f ca="1">IFERROR(__xludf.DUMMYFUNCTION("""COMPUTED_VALUE"""),57.6)</f>
        <v>57.6</v>
      </c>
      <c r="O2208" s="85"/>
      <c r="P2208" s="85">
        <f ca="1">IFERROR(__xludf.DUMMYFUNCTION("""COMPUTED_VALUE"""),64.4)</f>
        <v>64.400000000000006</v>
      </c>
      <c r="Q2208" s="85"/>
      <c r="R2208" s="85">
        <f ca="1">IFERROR(__xludf.DUMMYFUNCTION("""COMPUTED_VALUE"""),71.15)</f>
        <v>71.150000000000006</v>
      </c>
      <c r="S2208" s="85"/>
      <c r="T2208" s="85"/>
      <c r="U2208" s="82"/>
      <c r="V2208" s="82"/>
      <c r="W2208" s="83"/>
      <c r="X2208" s="83"/>
      <c r="Y2208" s="83"/>
    </row>
    <row r="2209" spans="1:25" ht="13.8">
      <c r="A2209" s="78" t="str">
        <f ca="1">IFERROR(__xludf.DUMMYFUNCTION("""COMPUTED_VALUE"""),"W")</f>
        <v>W</v>
      </c>
      <c r="B2209" s="79" t="str">
        <f ca="1">IFERROR(__xludf.DUMMYFUNCTION("""COMPUTED_VALUE"""),"Emerie Woods")</f>
        <v>Emerie Woods</v>
      </c>
      <c r="C2209" s="78">
        <f ca="1">IFERROR(__xludf.DUMMYFUNCTION("""COMPUTED_VALUE"""),7)</f>
        <v>7</v>
      </c>
      <c r="D2209" s="78" t="str">
        <f ca="1">IFERROR(__xludf.DUMMYFUNCTION("""COMPUTED_VALUE"""),"G")</f>
        <v>G</v>
      </c>
      <c r="E2209" s="80" t="str">
        <f ca="1">IFERROR(__xludf.DUMMYFUNCTION("""COMPUTED_VALUE"""),"F")</f>
        <v>F</v>
      </c>
      <c r="F2209" s="86" t="str">
        <f ca="1">IFERROR(__xludf.DUMMYFUNCTION("""COMPUTED_VALUE"""),"J")</f>
        <v>J</v>
      </c>
      <c r="G2209" s="86">
        <f ca="1">IFERROR(__xludf.DUMMYFUNCTION("""COMPUTED_VALUE"""),7)</f>
        <v>7</v>
      </c>
      <c r="H2209" s="86" t="str">
        <f ca="1">IFERROR(__xludf.DUMMYFUNCTION("""COMPUTED_VALUE"""),"W")</f>
        <v>W</v>
      </c>
      <c r="I2209" s="86">
        <f ca="1">IFERROR(__xludf.DUMMYFUNCTION("""COMPUTED_VALUE"""),2)</f>
        <v>2</v>
      </c>
      <c r="J2209" s="85">
        <f ca="1">IFERROR(__xludf.DUMMYFUNCTION("""COMPUTED_VALUE"""),4)</f>
        <v>4</v>
      </c>
      <c r="K2209" s="85">
        <f ca="1">IFERROR(__xludf.DUMMYFUNCTION("""COMPUTED_VALUE"""),48.75)</f>
        <v>48.75</v>
      </c>
      <c r="L2209" s="85">
        <f ca="1">IFERROR(__xludf.DUMMYFUNCTION("""COMPUTED_VALUE"""),21.05)</f>
        <v>21.05</v>
      </c>
      <c r="M2209" s="85"/>
      <c r="N2209" s="85">
        <f ca="1">IFERROR(__xludf.DUMMYFUNCTION("""COMPUTED_VALUE"""),41.85)</f>
        <v>41.85</v>
      </c>
      <c r="O2209" s="85"/>
      <c r="P2209" s="85">
        <f ca="1">IFERROR(__xludf.DUMMYFUNCTION("""COMPUTED_VALUE"""),0)</f>
        <v>0</v>
      </c>
      <c r="Q2209" s="85"/>
      <c r="R2209" s="85">
        <f ca="1">IFERROR(__xludf.DUMMYFUNCTION("""COMPUTED_VALUE"""),48.75)</f>
        <v>48.75</v>
      </c>
      <c r="S2209" s="85"/>
      <c r="T2209" s="85"/>
      <c r="U2209" s="82"/>
      <c r="V2209" s="82"/>
      <c r="W2209" s="83"/>
      <c r="X2209" s="83"/>
      <c r="Y2209" s="83"/>
    </row>
    <row r="2210" spans="1:25" ht="13.8">
      <c r="A2210" s="78" t="str">
        <f ca="1">IFERROR(__xludf.DUMMYFUNCTION("""COMPUTED_VALUE"""),"W")</f>
        <v>W</v>
      </c>
      <c r="B2210" s="79" t="str">
        <f ca="1">IFERROR(__xludf.DUMMYFUNCTION("""COMPUTED_VALUE"""),"Rylan Woods")</f>
        <v>Rylan Woods</v>
      </c>
      <c r="C2210" s="78">
        <f ca="1">IFERROR(__xludf.DUMMYFUNCTION("""COMPUTED_VALUE"""),10)</f>
        <v>10</v>
      </c>
      <c r="D2210" s="78" t="str">
        <f ca="1">IFERROR(__xludf.DUMMYFUNCTION("""COMPUTED_VALUE"""),"G")</f>
        <v>G</v>
      </c>
      <c r="E2210" s="80" t="str">
        <f ca="1">IFERROR(__xludf.DUMMYFUNCTION("""COMPUTED_VALUE"""),"F")</f>
        <v>F</v>
      </c>
      <c r="F2210" s="86" t="str">
        <f ca="1">IFERROR(__xludf.DUMMYFUNCTION("""COMPUTED_VALUE"""),"J")</f>
        <v>J</v>
      </c>
      <c r="G2210" s="86">
        <f ca="1">IFERROR(__xludf.DUMMYFUNCTION("""COMPUTED_VALUE"""),7)</f>
        <v>7</v>
      </c>
      <c r="H2210" s="86" t="str">
        <f ca="1">IFERROR(__xludf.DUMMYFUNCTION("""COMPUTED_VALUE"""),"W")</f>
        <v>W</v>
      </c>
      <c r="I2210" s="86">
        <f ca="1">IFERROR(__xludf.DUMMYFUNCTION("""COMPUTED_VALUE"""),2)</f>
        <v>2</v>
      </c>
      <c r="J2210" s="85">
        <f ca="1">IFERROR(__xludf.DUMMYFUNCTION("""COMPUTED_VALUE"""),4)</f>
        <v>4</v>
      </c>
      <c r="K2210" s="85">
        <f ca="1">IFERROR(__xludf.DUMMYFUNCTION("""COMPUTED_VALUE"""),62.25)</f>
        <v>62.25</v>
      </c>
      <c r="L2210" s="85">
        <f ca="1">IFERROR(__xludf.DUMMYFUNCTION("""COMPUTED_VALUE"""),62.25)</f>
        <v>62.25</v>
      </c>
      <c r="M2210" s="85"/>
      <c r="N2210" s="85">
        <f ca="1">IFERROR(__xludf.DUMMYFUNCTION("""COMPUTED_VALUE"""),-89.5)</f>
        <v>-89.5</v>
      </c>
      <c r="O2210" s="85"/>
      <c r="P2210" s="85">
        <f ca="1">IFERROR(__xludf.DUMMYFUNCTION("""COMPUTED_VALUE"""),0)</f>
        <v>0</v>
      </c>
      <c r="Q2210" s="85"/>
      <c r="R2210" s="85">
        <f ca="1">IFERROR(__xludf.DUMMYFUNCTION("""COMPUTED_VALUE"""),-81.35)</f>
        <v>-81.349999999999994</v>
      </c>
      <c r="S2210" s="85"/>
      <c r="T2210" s="85"/>
      <c r="U2210" s="82"/>
      <c r="V2210" s="82"/>
      <c r="W2210" s="83"/>
      <c r="X2210" s="83"/>
      <c r="Y2210" s="83"/>
    </row>
    <row r="2211" spans="1:25" ht="13.8">
      <c r="A2211" s="78" t="str">
        <f ca="1">IFERROR(__xludf.DUMMYFUNCTION("""COMPUTED_VALUE"""),"W")</f>
        <v>W</v>
      </c>
      <c r="B2211" s="79" t="str">
        <f ca="1">IFERROR(__xludf.DUMMYFUNCTION("""COMPUTED_VALUE"""),"Optimus Bigby")</f>
        <v>Optimus Bigby</v>
      </c>
      <c r="C2211" s="78">
        <f ca="1">IFERROR(__xludf.DUMMYFUNCTION("""COMPUTED_VALUE"""),10)</f>
        <v>10</v>
      </c>
      <c r="D2211" s="78" t="str">
        <f ca="1">IFERROR(__xludf.DUMMYFUNCTION("""COMPUTED_VALUE"""),"B")</f>
        <v>B</v>
      </c>
      <c r="E2211" s="80" t="str">
        <f ca="1">IFERROR(__xludf.DUMMYFUNCTION("""COMPUTED_VALUE"""),"F")</f>
        <v>F</v>
      </c>
      <c r="F2211" s="86" t="str">
        <f ca="1">IFERROR(__xludf.DUMMYFUNCTION("""COMPUTED_VALUE"""),"J")</f>
        <v>J</v>
      </c>
      <c r="G2211" s="86">
        <f ca="1">IFERROR(__xludf.DUMMYFUNCTION("""COMPUTED_VALUE"""),7)</f>
        <v>7</v>
      </c>
      <c r="H2211" s="86" t="str">
        <f ca="1">IFERROR(__xludf.DUMMYFUNCTION("""COMPUTED_VALUE"""),"W")</f>
        <v>W</v>
      </c>
      <c r="I2211" s="86">
        <f ca="1">IFERROR(__xludf.DUMMYFUNCTION("""COMPUTED_VALUE"""),3)</f>
        <v>3</v>
      </c>
      <c r="J2211" s="85">
        <f ca="1">IFERROR(__xludf.DUMMYFUNCTION("""COMPUTED_VALUE"""),4)</f>
        <v>4</v>
      </c>
      <c r="K2211" s="85">
        <f ca="1">IFERROR(__xludf.DUMMYFUNCTION("""COMPUTED_VALUE"""),54.45)</f>
        <v>54.45</v>
      </c>
      <c r="L2211" s="85">
        <f ca="1">IFERROR(__xludf.DUMMYFUNCTION("""COMPUTED_VALUE"""),45.5)</f>
        <v>45.5</v>
      </c>
      <c r="M2211" s="85"/>
      <c r="N2211" s="85">
        <f ca="1">IFERROR(__xludf.DUMMYFUNCTION("""COMPUTED_VALUE"""),33.5)</f>
        <v>33.5</v>
      </c>
      <c r="O2211" s="85"/>
      <c r="P2211" s="85">
        <f ca="1">IFERROR(__xludf.DUMMYFUNCTION("""COMPUTED_VALUE"""),39.6)</f>
        <v>39.6</v>
      </c>
      <c r="Q2211" s="85"/>
      <c r="R2211" s="85">
        <f ca="1">IFERROR(__xludf.DUMMYFUNCTION("""COMPUTED_VALUE"""),54.45)</f>
        <v>54.45</v>
      </c>
      <c r="S2211" s="85"/>
      <c r="T2211" s="85"/>
      <c r="U2211" s="82"/>
      <c r="V2211" s="82"/>
      <c r="W2211" s="83"/>
      <c r="X2211" s="83"/>
      <c r="Y2211" s="83"/>
    </row>
    <row r="2212" spans="1:25" ht="13.8">
      <c r="A2212" s="78" t="str">
        <f ca="1">IFERROR(__xludf.DUMMYFUNCTION("""COMPUTED_VALUE"""),"W")</f>
        <v>W</v>
      </c>
      <c r="B2212" s="79" t="str">
        <f ca="1">IFERROR(__xludf.DUMMYFUNCTION("""COMPUTED_VALUE"""),"Brandon Haase")</f>
        <v>Brandon Haase</v>
      </c>
      <c r="C2212" s="78">
        <f ca="1">IFERROR(__xludf.DUMMYFUNCTION("""COMPUTED_VALUE"""),10)</f>
        <v>10</v>
      </c>
      <c r="D2212" s="78" t="str">
        <f ca="1">IFERROR(__xludf.DUMMYFUNCTION("""COMPUTED_VALUE"""),"B")</f>
        <v>B</v>
      </c>
      <c r="E2212" s="80" t="str">
        <f ca="1">IFERROR(__xludf.DUMMYFUNCTION("""COMPUTED_VALUE"""),"F")</f>
        <v>F</v>
      </c>
      <c r="F2212" s="86" t="str">
        <f ca="1">IFERROR(__xludf.DUMMYFUNCTION("""COMPUTED_VALUE"""),"J")</f>
        <v>J</v>
      </c>
      <c r="G2212" s="86">
        <f ca="1">IFERROR(__xludf.DUMMYFUNCTION("""COMPUTED_VALUE"""),7)</f>
        <v>7</v>
      </c>
      <c r="H2212" s="86" t="str">
        <f ca="1">IFERROR(__xludf.DUMMYFUNCTION("""COMPUTED_VALUE"""),"W")</f>
        <v>W</v>
      </c>
      <c r="I2212" s="86">
        <f ca="1">IFERROR(__xludf.DUMMYFUNCTION("""COMPUTED_VALUE"""),3)</f>
        <v>3</v>
      </c>
      <c r="J2212" s="85">
        <f ca="1">IFERROR(__xludf.DUMMYFUNCTION("""COMPUTED_VALUE"""),5)</f>
        <v>5</v>
      </c>
      <c r="K2212" s="85">
        <f ca="1">IFERROR(__xludf.DUMMYFUNCTION("""COMPUTED_VALUE"""),36.9)</f>
        <v>36.9</v>
      </c>
      <c r="L2212" s="85">
        <f ca="1">IFERROR(__xludf.DUMMYFUNCTION("""COMPUTED_VALUE"""),24.6)</f>
        <v>24.6</v>
      </c>
      <c r="M2212" s="85"/>
      <c r="N2212" s="85">
        <f ca="1">IFERROR(__xludf.DUMMYFUNCTION("""COMPUTED_VALUE"""),34.6)</f>
        <v>34.6</v>
      </c>
      <c r="O2212" s="85"/>
      <c r="P2212" s="85">
        <f ca="1">IFERROR(__xludf.DUMMYFUNCTION("""COMPUTED_VALUE"""),36.9)</f>
        <v>36.9</v>
      </c>
      <c r="Q2212" s="85"/>
      <c r="R2212" s="85">
        <f ca="1">IFERROR(__xludf.DUMMYFUNCTION("""COMPUTED_VALUE"""),31.13)</f>
        <v>31.13</v>
      </c>
      <c r="S2212" s="85"/>
      <c r="T2212" s="85"/>
      <c r="U2212" s="82"/>
      <c r="V2212" s="82"/>
      <c r="W2212" s="83"/>
      <c r="X2212" s="83"/>
      <c r="Y2212" s="83"/>
    </row>
    <row r="2213" spans="1:25" ht="13.8">
      <c r="A2213" s="78" t="str">
        <f ca="1">IFERROR(__xludf.DUMMYFUNCTION("""COMPUTED_VALUE"""),"W")</f>
        <v>W</v>
      </c>
      <c r="B2213" s="79" t="str">
        <f ca="1">IFERROR(__xludf.DUMMYFUNCTION("""COMPUTED_VALUE"""),"Alex Lum")</f>
        <v>Alex Lum</v>
      </c>
      <c r="C2213" s="78">
        <f ca="1">IFERROR(__xludf.DUMMYFUNCTION("""COMPUTED_VALUE"""),10)</f>
        <v>10</v>
      </c>
      <c r="D2213" s="78" t="str">
        <f ca="1">IFERROR(__xludf.DUMMYFUNCTION("""COMPUTED_VALUE"""),"B")</f>
        <v>B</v>
      </c>
      <c r="E2213" s="80" t="str">
        <f ca="1">IFERROR(__xludf.DUMMYFUNCTION("""COMPUTED_VALUE"""),"F")</f>
        <v>F</v>
      </c>
      <c r="F2213" s="86" t="str">
        <f ca="1">IFERROR(__xludf.DUMMYFUNCTION("""COMPUTED_VALUE"""),"J")</f>
        <v>J</v>
      </c>
      <c r="G2213" s="86">
        <f ca="1">IFERROR(__xludf.DUMMYFUNCTION("""COMPUTED_VALUE"""),7)</f>
        <v>7</v>
      </c>
      <c r="H2213" s="86" t="str">
        <f ca="1">IFERROR(__xludf.DUMMYFUNCTION("""COMPUTED_VALUE"""),"W")</f>
        <v>W</v>
      </c>
      <c r="I2213" s="86">
        <f ca="1">IFERROR(__xludf.DUMMYFUNCTION("""COMPUTED_VALUE"""),3)</f>
        <v>3</v>
      </c>
      <c r="J2213" s="85">
        <f ca="1">IFERROR(__xludf.DUMMYFUNCTION("""COMPUTED_VALUE"""),4)</f>
        <v>4</v>
      </c>
      <c r="K2213" s="85">
        <f ca="1">IFERROR(__xludf.DUMMYFUNCTION("""COMPUTED_VALUE"""),45.95)</f>
        <v>45.95</v>
      </c>
      <c r="L2213" s="85">
        <f ca="1">IFERROR(__xludf.DUMMYFUNCTION("""COMPUTED_VALUE"""),0)</f>
        <v>0</v>
      </c>
      <c r="M2213" s="85"/>
      <c r="N2213" s="85">
        <f ca="1">IFERROR(__xludf.DUMMYFUNCTION("""COMPUTED_VALUE"""),45)</f>
        <v>45</v>
      </c>
      <c r="O2213" s="85"/>
      <c r="P2213" s="85">
        <f ca="1">IFERROR(__xludf.DUMMYFUNCTION("""COMPUTED_VALUE"""),42.15)</f>
        <v>42.15</v>
      </c>
      <c r="Q2213" s="85"/>
      <c r="R2213" s="85">
        <f ca="1">IFERROR(__xludf.DUMMYFUNCTION("""COMPUTED_VALUE"""),45.95)</f>
        <v>45.95</v>
      </c>
      <c r="S2213" s="85"/>
      <c r="T2213" s="85"/>
      <c r="U2213" s="82"/>
      <c r="V2213" s="82"/>
      <c r="W2213" s="83"/>
      <c r="X2213" s="83"/>
      <c r="Y2213" s="83"/>
    </row>
    <row r="2214" spans="1:25" ht="13.8">
      <c r="A2214" s="78" t="str">
        <f ca="1">IFERROR(__xludf.DUMMYFUNCTION("""COMPUTED_VALUE"""),"W")</f>
        <v>W</v>
      </c>
      <c r="B2214" s="79" t="str">
        <f ca="1">IFERROR(__xludf.DUMMYFUNCTION("""COMPUTED_VALUE"""),"Benjamin Lum")</f>
        <v>Benjamin Lum</v>
      </c>
      <c r="C2214" s="78">
        <f ca="1">IFERROR(__xludf.DUMMYFUNCTION("""COMPUTED_VALUE"""),9)</f>
        <v>9</v>
      </c>
      <c r="D2214" s="78" t="str">
        <f ca="1">IFERROR(__xludf.DUMMYFUNCTION("""COMPUTED_VALUE"""),"B")</f>
        <v>B</v>
      </c>
      <c r="E2214" s="80" t="str">
        <f ca="1">IFERROR(__xludf.DUMMYFUNCTION("""COMPUTED_VALUE"""),"F")</f>
        <v>F</v>
      </c>
      <c r="F2214" s="86" t="str">
        <f ca="1">IFERROR(__xludf.DUMMYFUNCTION("""COMPUTED_VALUE"""),"J")</f>
        <v>J</v>
      </c>
      <c r="G2214" s="86">
        <f ca="1">IFERROR(__xludf.DUMMYFUNCTION("""COMPUTED_VALUE"""),7)</f>
        <v>7</v>
      </c>
      <c r="H2214" s="86" t="str">
        <f ca="1">IFERROR(__xludf.DUMMYFUNCTION("""COMPUTED_VALUE"""),"W")</f>
        <v>W</v>
      </c>
      <c r="I2214" s="86">
        <f ca="1">IFERROR(__xludf.DUMMYFUNCTION("""COMPUTED_VALUE"""),3)</f>
        <v>3</v>
      </c>
      <c r="J2214" s="85">
        <f ca="1">IFERROR(__xludf.DUMMYFUNCTION("""COMPUTED_VALUE"""),3)</f>
        <v>3</v>
      </c>
      <c r="K2214" s="85">
        <f ca="1">IFERROR(__xludf.DUMMYFUNCTION("""COMPUTED_VALUE"""),33.2)</f>
        <v>33.200000000000003</v>
      </c>
      <c r="L2214" s="85">
        <f ca="1">IFERROR(__xludf.DUMMYFUNCTION("""COMPUTED_VALUE"""),0)</f>
        <v>0</v>
      </c>
      <c r="M2214" s="85"/>
      <c r="N2214" s="85">
        <f ca="1">IFERROR(__xludf.DUMMYFUNCTION("""COMPUTED_VALUE"""),0)</f>
        <v>0</v>
      </c>
      <c r="O2214" s="85"/>
      <c r="P2214" s="85">
        <f ca="1">IFERROR(__xludf.DUMMYFUNCTION("""COMPUTED_VALUE"""),14.75)</f>
        <v>14.75</v>
      </c>
      <c r="Q2214" s="85"/>
      <c r="R2214" s="85">
        <f ca="1">IFERROR(__xludf.DUMMYFUNCTION("""COMPUTED_VALUE"""),33.2)</f>
        <v>33.200000000000003</v>
      </c>
      <c r="S2214" s="85"/>
      <c r="T2214" s="85"/>
      <c r="U2214" s="82"/>
      <c r="V2214" s="82"/>
      <c r="W2214" s="83"/>
      <c r="X2214" s="83"/>
      <c r="Y2214" s="83"/>
    </row>
    <row r="2215" spans="1:25" ht="13.8">
      <c r="A2215" s="78" t="str">
        <f ca="1">IFERROR(__xludf.DUMMYFUNCTION("""COMPUTED_VALUE"""),"W")</f>
        <v>W</v>
      </c>
      <c r="B2215" s="79" t="str">
        <f ca="1">IFERROR(__xludf.DUMMYFUNCTION("""COMPUTED_VALUE"""),"Zachary Lum")</f>
        <v>Zachary Lum</v>
      </c>
      <c r="C2215" s="78">
        <f ca="1">IFERROR(__xludf.DUMMYFUNCTION("""COMPUTED_VALUE"""),7)</f>
        <v>7</v>
      </c>
      <c r="D2215" s="78" t="str">
        <f ca="1">IFERROR(__xludf.DUMMYFUNCTION("""COMPUTED_VALUE"""),"B")</f>
        <v>B</v>
      </c>
      <c r="E2215" s="80" t="str">
        <f ca="1">IFERROR(__xludf.DUMMYFUNCTION("""COMPUTED_VALUE"""),"F")</f>
        <v>F</v>
      </c>
      <c r="F2215" s="86" t="str">
        <f ca="1">IFERROR(__xludf.DUMMYFUNCTION("""COMPUTED_VALUE"""),"J")</f>
        <v>J</v>
      </c>
      <c r="G2215" s="86">
        <f ca="1">IFERROR(__xludf.DUMMYFUNCTION("""COMPUTED_VALUE"""),7)</f>
        <v>7</v>
      </c>
      <c r="H2215" s="86" t="str">
        <f ca="1">IFERROR(__xludf.DUMMYFUNCTION("""COMPUTED_VALUE"""),"W")</f>
        <v>W</v>
      </c>
      <c r="I2215" s="86">
        <f ca="1">IFERROR(__xludf.DUMMYFUNCTION("""COMPUTED_VALUE"""),3)</f>
        <v>3</v>
      </c>
      <c r="J2215" s="85">
        <f ca="1">IFERROR(__xludf.DUMMYFUNCTION("""COMPUTED_VALUE"""),3)</f>
        <v>3</v>
      </c>
      <c r="K2215" s="85">
        <f ca="1">IFERROR(__xludf.DUMMYFUNCTION("""COMPUTED_VALUE"""),29.45)</f>
        <v>29.45</v>
      </c>
      <c r="L2215" s="85">
        <f ca="1">IFERROR(__xludf.DUMMYFUNCTION("""COMPUTED_VALUE"""),0)</f>
        <v>0</v>
      </c>
      <c r="M2215" s="85"/>
      <c r="N2215" s="85">
        <f ca="1">IFERROR(__xludf.DUMMYFUNCTION("""COMPUTED_VALUE"""),0)</f>
        <v>0</v>
      </c>
      <c r="O2215" s="85"/>
      <c r="P2215" s="85">
        <f ca="1">IFERROR(__xludf.DUMMYFUNCTION("""COMPUTED_VALUE"""),21.5)</f>
        <v>21.5</v>
      </c>
      <c r="Q2215" s="85"/>
      <c r="R2215" s="85">
        <f ca="1">IFERROR(__xludf.DUMMYFUNCTION("""COMPUTED_VALUE"""),29.45)</f>
        <v>29.45</v>
      </c>
      <c r="S2215" s="85"/>
      <c r="T2215" s="85"/>
      <c r="U2215" s="82"/>
      <c r="V2215" s="82"/>
      <c r="W2215" s="83"/>
      <c r="X2215" s="83"/>
      <c r="Y2215" s="83"/>
    </row>
    <row r="2216" spans="1:25" ht="13.8">
      <c r="A2216" s="78" t="str">
        <f ca="1">IFERROR(__xludf.DUMMYFUNCTION("""COMPUTED_VALUE"""),"W")</f>
        <v>W</v>
      </c>
      <c r="B2216" s="79" t="str">
        <f ca="1">IFERROR(__xludf.DUMMYFUNCTION("""COMPUTED_VALUE"""),"Max Mohaber")</f>
        <v>Max Mohaber</v>
      </c>
      <c r="C2216" s="78">
        <f ca="1">IFERROR(__xludf.DUMMYFUNCTION("""COMPUTED_VALUE"""),8)</f>
        <v>8</v>
      </c>
      <c r="D2216" s="78" t="str">
        <f ca="1">IFERROR(__xludf.DUMMYFUNCTION("""COMPUTED_VALUE"""),"B")</f>
        <v>B</v>
      </c>
      <c r="E2216" s="80" t="str">
        <f ca="1">IFERROR(__xludf.DUMMYFUNCTION("""COMPUTED_VALUE"""),"F")</f>
        <v>F</v>
      </c>
      <c r="F2216" s="86" t="str">
        <f ca="1">IFERROR(__xludf.DUMMYFUNCTION("""COMPUTED_VALUE"""),"J")</f>
        <v>J</v>
      </c>
      <c r="G2216" s="86">
        <f ca="1">IFERROR(__xludf.DUMMYFUNCTION("""COMPUTED_VALUE"""),7)</f>
        <v>7</v>
      </c>
      <c r="H2216" s="86" t="str">
        <f ca="1">IFERROR(__xludf.DUMMYFUNCTION("""COMPUTED_VALUE"""),"W")</f>
        <v>W</v>
      </c>
      <c r="I2216" s="86">
        <f ca="1">IFERROR(__xludf.DUMMYFUNCTION("""COMPUTED_VALUE"""),3)</f>
        <v>3</v>
      </c>
      <c r="J2216" s="85">
        <f ca="1">IFERROR(__xludf.DUMMYFUNCTION("""COMPUTED_VALUE"""),0)</f>
        <v>0</v>
      </c>
      <c r="K2216" s="85">
        <f ca="1">IFERROR(__xludf.DUMMYFUNCTION("""COMPUTED_VALUE"""),0)</f>
        <v>0</v>
      </c>
      <c r="L2216" s="85">
        <f ca="1">IFERROR(__xludf.DUMMYFUNCTION("""COMPUTED_VALUE"""),0)</f>
        <v>0</v>
      </c>
      <c r="M2216" s="85"/>
      <c r="N2216" s="85">
        <f ca="1">IFERROR(__xludf.DUMMYFUNCTION("""COMPUTED_VALUE"""),0)</f>
        <v>0</v>
      </c>
      <c r="O2216" s="85"/>
      <c r="P2216" s="85">
        <f ca="1">IFERROR(__xludf.DUMMYFUNCTION("""COMPUTED_VALUE"""),0)</f>
        <v>0</v>
      </c>
      <c r="Q2216" s="85"/>
      <c r="R2216" s="85">
        <f ca="1">IFERROR(__xludf.DUMMYFUNCTION("""COMPUTED_VALUE"""),0)</f>
        <v>0</v>
      </c>
      <c r="S2216" s="85"/>
      <c r="T2216" s="85"/>
      <c r="U2216" s="82"/>
      <c r="V2216" s="82"/>
      <c r="W2216" s="83"/>
      <c r="X2216" s="83"/>
      <c r="Y2216" s="83"/>
    </row>
    <row r="2217" spans="1:25" ht="13.8">
      <c r="A2217" s="78" t="str">
        <f ca="1">IFERROR(__xludf.DUMMYFUNCTION("""COMPUTED_VALUE"""),"W")</f>
        <v>W</v>
      </c>
      <c r="B2217" s="79" t="str">
        <f ca="1">IFERROR(__xludf.DUMMYFUNCTION("""COMPUTED_VALUE"""),"Karmvir Sidhu")</f>
        <v>Karmvir Sidhu</v>
      </c>
      <c r="C2217" s="78">
        <f ca="1">IFERROR(__xludf.DUMMYFUNCTION("""COMPUTED_VALUE"""),7)</f>
        <v>7</v>
      </c>
      <c r="D2217" s="78" t="str">
        <f ca="1">IFERROR(__xludf.DUMMYFUNCTION("""COMPUTED_VALUE"""),"B")</f>
        <v>B</v>
      </c>
      <c r="E2217" s="80" t="str">
        <f ca="1">IFERROR(__xludf.DUMMYFUNCTION("""COMPUTED_VALUE"""),"F")</f>
        <v>F</v>
      </c>
      <c r="F2217" s="86" t="str">
        <f ca="1">IFERROR(__xludf.DUMMYFUNCTION("""COMPUTED_VALUE"""),"J")</f>
        <v>J</v>
      </c>
      <c r="G2217" s="86">
        <f ca="1">IFERROR(__xludf.DUMMYFUNCTION("""COMPUTED_VALUE"""),7)</f>
        <v>7</v>
      </c>
      <c r="H2217" s="86" t="str">
        <f ca="1">IFERROR(__xludf.DUMMYFUNCTION("""COMPUTED_VALUE"""),"W")</f>
        <v>W</v>
      </c>
      <c r="I2217" s="86">
        <f ca="1">IFERROR(__xludf.DUMMYFUNCTION("""COMPUTED_VALUE"""),3)</f>
        <v>3</v>
      </c>
      <c r="J2217" s="85">
        <f ca="1">IFERROR(__xludf.DUMMYFUNCTION("""COMPUTED_VALUE"""),0)</f>
        <v>0</v>
      </c>
      <c r="K2217" s="85">
        <f ca="1">IFERROR(__xludf.DUMMYFUNCTION("""COMPUTED_VALUE"""),0)</f>
        <v>0</v>
      </c>
      <c r="L2217" s="85">
        <f ca="1">IFERROR(__xludf.DUMMYFUNCTION("""COMPUTED_VALUE"""),0)</f>
        <v>0</v>
      </c>
      <c r="M2217" s="85"/>
      <c r="N2217" s="85">
        <f ca="1">IFERROR(__xludf.DUMMYFUNCTION("""COMPUTED_VALUE"""),0)</f>
        <v>0</v>
      </c>
      <c r="O2217" s="85"/>
      <c r="P2217" s="85">
        <f ca="1">IFERROR(__xludf.DUMMYFUNCTION("""COMPUTED_VALUE"""),0)</f>
        <v>0</v>
      </c>
      <c r="Q2217" s="85"/>
      <c r="R2217" s="85">
        <f ca="1">IFERROR(__xludf.DUMMYFUNCTION("""COMPUTED_VALUE"""),0)</f>
        <v>0</v>
      </c>
      <c r="S2217" s="85"/>
      <c r="T2217" s="85"/>
      <c r="U2217" s="82"/>
      <c r="V2217" s="82"/>
      <c r="W2217" s="83"/>
      <c r="X2217" s="83"/>
      <c r="Y2217" s="83"/>
    </row>
    <row r="2218" spans="1:25" ht="13.8">
      <c r="A2218" s="78" t="str">
        <f ca="1">IFERROR(__xludf.DUMMYFUNCTION("""COMPUTED_VALUE"""),"W")</f>
        <v>W</v>
      </c>
      <c r="B2218" s="79" t="str">
        <f ca="1">IFERROR(__xludf.DUMMYFUNCTION("""COMPUTED_VALUE"""),"Joseph Thiede")</f>
        <v>Joseph Thiede</v>
      </c>
      <c r="C2218" s="78">
        <f ca="1">IFERROR(__xludf.DUMMYFUNCTION("""COMPUTED_VALUE"""),10)</f>
        <v>10</v>
      </c>
      <c r="D2218" s="78" t="str">
        <f ca="1">IFERROR(__xludf.DUMMYFUNCTION("""COMPUTED_VALUE"""),"B")</f>
        <v>B</v>
      </c>
      <c r="E2218" s="80" t="str">
        <f ca="1">IFERROR(__xludf.DUMMYFUNCTION("""COMPUTED_VALUE"""),"F")</f>
        <v>F</v>
      </c>
      <c r="F2218" s="86" t="str">
        <f ca="1">IFERROR(__xludf.DUMMYFUNCTION("""COMPUTED_VALUE"""),"J")</f>
        <v>J</v>
      </c>
      <c r="G2218" s="86">
        <f ca="1">IFERROR(__xludf.DUMMYFUNCTION("""COMPUTED_VALUE"""),7)</f>
        <v>7</v>
      </c>
      <c r="H2218" s="86" t="str">
        <f ca="1">IFERROR(__xludf.DUMMYFUNCTION("""COMPUTED_VALUE"""),"W")</f>
        <v>W</v>
      </c>
      <c r="I2218" s="86">
        <f ca="1">IFERROR(__xludf.DUMMYFUNCTION("""COMPUTED_VALUE"""),3)</f>
        <v>3</v>
      </c>
      <c r="J2218" s="85">
        <f ca="1">IFERROR(__xludf.DUMMYFUNCTION("""COMPUTED_VALUE"""),5)</f>
        <v>5</v>
      </c>
      <c r="K2218" s="85">
        <f ca="1">IFERROR(__xludf.DUMMYFUNCTION("""COMPUTED_VALUE"""),46.45)</f>
        <v>46.45</v>
      </c>
      <c r="L2218" s="85">
        <f ca="1">IFERROR(__xludf.DUMMYFUNCTION("""COMPUTED_VALUE"""),23.4)</f>
        <v>23.4</v>
      </c>
      <c r="M2218" s="85"/>
      <c r="N2218" s="85">
        <f ca="1">IFERROR(__xludf.DUMMYFUNCTION("""COMPUTED_VALUE"""),37.7)</f>
        <v>37.700000000000003</v>
      </c>
      <c r="O2218" s="85"/>
      <c r="P2218" s="85">
        <f ca="1">IFERROR(__xludf.DUMMYFUNCTION("""COMPUTED_VALUE"""),39.25)</f>
        <v>39.25</v>
      </c>
      <c r="Q2218" s="85"/>
      <c r="R2218" s="85">
        <f ca="1">IFERROR(__xludf.DUMMYFUNCTION("""COMPUTED_VALUE"""),46.45)</f>
        <v>46.45</v>
      </c>
      <c r="S2218" s="85"/>
      <c r="T2218" s="85"/>
      <c r="U2218" s="82"/>
      <c r="V2218" s="82"/>
      <c r="W2218" s="83"/>
      <c r="X2218" s="83"/>
      <c r="Y2218" s="83"/>
    </row>
    <row r="2219" spans="1:25" ht="13.8">
      <c r="A2219" s="78" t="str">
        <f ca="1">IFERROR(__xludf.DUMMYFUNCTION("""COMPUTED_VALUE"""),"W")</f>
        <v>W</v>
      </c>
      <c r="B2219" s="79" t="str">
        <f ca="1">IFERROR(__xludf.DUMMYFUNCTION("""COMPUTED_VALUE"""),"Paul Thiede")</f>
        <v>Paul Thiede</v>
      </c>
      <c r="C2219" s="78">
        <f ca="1">IFERROR(__xludf.DUMMYFUNCTION("""COMPUTED_VALUE"""),8)</f>
        <v>8</v>
      </c>
      <c r="D2219" s="78" t="str">
        <f ca="1">IFERROR(__xludf.DUMMYFUNCTION("""COMPUTED_VALUE"""),"B")</f>
        <v>B</v>
      </c>
      <c r="E2219" s="80" t="str">
        <f ca="1">IFERROR(__xludf.DUMMYFUNCTION("""COMPUTED_VALUE"""),"F")</f>
        <v>F</v>
      </c>
      <c r="F2219" s="86" t="str">
        <f ca="1">IFERROR(__xludf.DUMMYFUNCTION("""COMPUTED_VALUE"""),"J")</f>
        <v>J</v>
      </c>
      <c r="G2219" s="86">
        <f ca="1">IFERROR(__xludf.DUMMYFUNCTION("""COMPUTED_VALUE"""),7)</f>
        <v>7</v>
      </c>
      <c r="H2219" s="86" t="str">
        <f ca="1">IFERROR(__xludf.DUMMYFUNCTION("""COMPUTED_VALUE"""),"W")</f>
        <v>W</v>
      </c>
      <c r="I2219" s="86">
        <f ca="1">IFERROR(__xludf.DUMMYFUNCTION("""COMPUTED_VALUE"""),3)</f>
        <v>3</v>
      </c>
      <c r="J2219" s="85">
        <f ca="1">IFERROR(__xludf.DUMMYFUNCTION("""COMPUTED_VALUE"""),5)</f>
        <v>5</v>
      </c>
      <c r="K2219" s="85">
        <f ca="1">IFERROR(__xludf.DUMMYFUNCTION("""COMPUTED_VALUE"""),33.9)</f>
        <v>33.9</v>
      </c>
      <c r="L2219" s="85">
        <f ca="1">IFERROR(__xludf.DUMMYFUNCTION("""COMPUTED_VALUE"""),17.75)</f>
        <v>17.75</v>
      </c>
      <c r="M2219" s="85"/>
      <c r="N2219" s="85">
        <f ca="1">IFERROR(__xludf.DUMMYFUNCTION("""COMPUTED_VALUE"""),23.15)</f>
        <v>23.15</v>
      </c>
      <c r="O2219" s="85"/>
      <c r="P2219" s="85">
        <f ca="1">IFERROR(__xludf.DUMMYFUNCTION("""COMPUTED_VALUE"""),25.2)</f>
        <v>25.2</v>
      </c>
      <c r="Q2219" s="85"/>
      <c r="R2219" s="85">
        <f ca="1">IFERROR(__xludf.DUMMYFUNCTION("""COMPUTED_VALUE"""),33.9)</f>
        <v>33.9</v>
      </c>
      <c r="S2219" s="85"/>
      <c r="T2219" s="85"/>
      <c r="U2219" s="82"/>
      <c r="V2219" s="82"/>
      <c r="W2219" s="83"/>
      <c r="X2219" s="83"/>
      <c r="Y2219" s="83"/>
    </row>
    <row r="2220" spans="1:25" ht="13.8">
      <c r="A2220" s="78" t="str">
        <f ca="1">IFERROR(__xludf.DUMMYFUNCTION("""COMPUTED_VALUE"""),"W")</f>
        <v>W</v>
      </c>
      <c r="B2220" s="79" t="str">
        <f ca="1">IFERROR(__xludf.DUMMYFUNCTION("""COMPUTED_VALUE"""),"Sara Armstrong")</f>
        <v>Sara Armstrong</v>
      </c>
      <c r="C2220" s="78">
        <f ca="1">IFERROR(__xludf.DUMMYFUNCTION("""COMPUTED_VALUE"""),11)</f>
        <v>11</v>
      </c>
      <c r="D2220" s="78" t="str">
        <f ca="1">IFERROR(__xludf.DUMMYFUNCTION("""COMPUTED_VALUE"""),"G")</f>
        <v>G</v>
      </c>
      <c r="E2220" s="80" t="str">
        <f ca="1">IFERROR(__xludf.DUMMYFUNCTION("""COMPUTED_VALUE"""),"J")</f>
        <v>J</v>
      </c>
      <c r="F2220" s="86" t="str">
        <f ca="1">IFERROR(__xludf.DUMMYFUNCTION("""COMPUTED_VALUE"""),"I")</f>
        <v>I</v>
      </c>
      <c r="G2220" s="86">
        <f ca="1">IFERROR(__xludf.DUMMYFUNCTION("""COMPUTED_VALUE"""),7)</f>
        <v>7</v>
      </c>
      <c r="H2220" s="86" t="str">
        <f ca="1">IFERROR(__xludf.DUMMYFUNCTION("""COMPUTED_VALUE"""),"W")</f>
        <v>W</v>
      </c>
      <c r="I2220" s="86">
        <f ca="1">IFERROR(__xludf.DUMMYFUNCTION("""COMPUTED_VALUE"""),4)</f>
        <v>4</v>
      </c>
      <c r="J2220" s="85">
        <f ca="1">IFERROR(__xludf.DUMMYFUNCTION("""COMPUTED_VALUE"""),0)</f>
        <v>0</v>
      </c>
      <c r="K2220" s="85">
        <f ca="1">IFERROR(__xludf.DUMMYFUNCTION("""COMPUTED_VALUE"""),0)</f>
        <v>0</v>
      </c>
      <c r="L2220" s="85">
        <f ca="1">IFERROR(__xludf.DUMMYFUNCTION("""COMPUTED_VALUE"""),0)</f>
        <v>0</v>
      </c>
      <c r="M2220" s="85"/>
      <c r="N2220" s="85">
        <f ca="1">IFERROR(__xludf.DUMMYFUNCTION("""COMPUTED_VALUE"""),0)</f>
        <v>0</v>
      </c>
      <c r="O2220" s="85"/>
      <c r="P2220" s="85">
        <f ca="1">IFERROR(__xludf.DUMMYFUNCTION("""COMPUTED_VALUE"""),0)</f>
        <v>0</v>
      </c>
      <c r="Q2220" s="85"/>
      <c r="R2220" s="85">
        <f ca="1">IFERROR(__xludf.DUMMYFUNCTION("""COMPUTED_VALUE"""),0)</f>
        <v>0</v>
      </c>
      <c r="S2220" s="85"/>
      <c r="T2220" s="85"/>
      <c r="U2220" s="82"/>
      <c r="V2220" s="82"/>
      <c r="W2220" s="83"/>
      <c r="X2220" s="83"/>
      <c r="Y2220" s="83"/>
    </row>
    <row r="2221" spans="1:25" ht="13.8">
      <c r="A2221" s="78" t="str">
        <f ca="1">IFERROR(__xludf.DUMMYFUNCTION("""COMPUTED_VALUE"""),"W")</f>
        <v>W</v>
      </c>
      <c r="B2221" s="79" t="str">
        <f ca="1">IFERROR(__xludf.DUMMYFUNCTION("""COMPUTED_VALUE"""),"Luciana Fernandez")</f>
        <v>Luciana Fernandez</v>
      </c>
      <c r="C2221" s="78">
        <f ca="1">IFERROR(__xludf.DUMMYFUNCTION("""COMPUTED_VALUE"""),12)</f>
        <v>12</v>
      </c>
      <c r="D2221" s="78" t="str">
        <f ca="1">IFERROR(__xludf.DUMMYFUNCTION("""COMPUTED_VALUE"""),"G")</f>
        <v>G</v>
      </c>
      <c r="E2221" s="80" t="str">
        <f ca="1">IFERROR(__xludf.DUMMYFUNCTION("""COMPUTED_VALUE"""),"J")</f>
        <v>J</v>
      </c>
      <c r="F2221" s="86" t="str">
        <f ca="1">IFERROR(__xludf.DUMMYFUNCTION("""COMPUTED_VALUE"""),"I")</f>
        <v>I</v>
      </c>
      <c r="G2221" s="86">
        <f ca="1">IFERROR(__xludf.DUMMYFUNCTION("""COMPUTED_VALUE"""),7)</f>
        <v>7</v>
      </c>
      <c r="H2221" s="86" t="str">
        <f ca="1">IFERROR(__xludf.DUMMYFUNCTION("""COMPUTED_VALUE"""),"W")</f>
        <v>W</v>
      </c>
      <c r="I2221" s="86">
        <f ca="1">IFERROR(__xludf.DUMMYFUNCTION("""COMPUTED_VALUE"""),4)</f>
        <v>4</v>
      </c>
      <c r="J2221" s="85">
        <f ca="1">IFERROR(__xludf.DUMMYFUNCTION("""COMPUTED_VALUE"""),0)</f>
        <v>0</v>
      </c>
      <c r="K2221" s="85">
        <f ca="1">IFERROR(__xludf.DUMMYFUNCTION("""COMPUTED_VALUE"""),0)</f>
        <v>0</v>
      </c>
      <c r="L2221" s="85">
        <f ca="1">IFERROR(__xludf.DUMMYFUNCTION("""COMPUTED_VALUE"""),0)</f>
        <v>0</v>
      </c>
      <c r="M2221" s="85"/>
      <c r="N2221" s="85">
        <f ca="1">IFERROR(__xludf.DUMMYFUNCTION("""COMPUTED_VALUE"""),0)</f>
        <v>0</v>
      </c>
      <c r="O2221" s="85"/>
      <c r="P2221" s="85">
        <f ca="1">IFERROR(__xludf.DUMMYFUNCTION("""COMPUTED_VALUE"""),0)</f>
        <v>0</v>
      </c>
      <c r="Q2221" s="85"/>
      <c r="R2221" s="85">
        <f ca="1">IFERROR(__xludf.DUMMYFUNCTION("""COMPUTED_VALUE"""),0)</f>
        <v>0</v>
      </c>
      <c r="S2221" s="85"/>
      <c r="T2221" s="85"/>
      <c r="U2221" s="82"/>
      <c r="V2221" s="82"/>
      <c r="W2221" s="83"/>
      <c r="X2221" s="83"/>
      <c r="Y2221" s="83"/>
    </row>
    <row r="2222" spans="1:25" ht="13.8">
      <c r="A2222" s="78" t="str">
        <f ca="1">IFERROR(__xludf.DUMMYFUNCTION("""COMPUTED_VALUE"""),"W")</f>
        <v>W</v>
      </c>
      <c r="B2222" s="79" t="str">
        <f ca="1">IFERROR(__xludf.DUMMYFUNCTION("""COMPUTED_VALUE"""),"Isabelle Horne")</f>
        <v>Isabelle Horne</v>
      </c>
      <c r="C2222" s="78">
        <f ca="1">IFERROR(__xludf.DUMMYFUNCTION("""COMPUTED_VALUE"""),12)</f>
        <v>12</v>
      </c>
      <c r="D2222" s="78" t="str">
        <f ca="1">IFERROR(__xludf.DUMMYFUNCTION("""COMPUTED_VALUE"""),"G")</f>
        <v>G</v>
      </c>
      <c r="E2222" s="80" t="str">
        <f ca="1">IFERROR(__xludf.DUMMYFUNCTION("""COMPUTED_VALUE"""),"J")</f>
        <v>J</v>
      </c>
      <c r="F2222" s="86" t="str">
        <f ca="1">IFERROR(__xludf.DUMMYFUNCTION("""COMPUTED_VALUE"""),"I")</f>
        <v>I</v>
      </c>
      <c r="G2222" s="86">
        <f ca="1">IFERROR(__xludf.DUMMYFUNCTION("""COMPUTED_VALUE"""),7)</f>
        <v>7</v>
      </c>
      <c r="H2222" s="86" t="str">
        <f ca="1">IFERROR(__xludf.DUMMYFUNCTION("""COMPUTED_VALUE"""),"W")</f>
        <v>W</v>
      </c>
      <c r="I2222" s="86">
        <f ca="1">IFERROR(__xludf.DUMMYFUNCTION("""COMPUTED_VALUE"""),4)</f>
        <v>4</v>
      </c>
      <c r="J2222" s="85">
        <f ca="1">IFERROR(__xludf.DUMMYFUNCTION("""COMPUTED_VALUE"""),5)</f>
        <v>5</v>
      </c>
      <c r="K2222" s="85">
        <f ca="1">IFERROR(__xludf.DUMMYFUNCTION("""COMPUTED_VALUE"""),60.4)</f>
        <v>60.4</v>
      </c>
      <c r="L2222" s="85">
        <f ca="1">IFERROR(__xludf.DUMMYFUNCTION("""COMPUTED_VALUE"""),60.4)</f>
        <v>60.4</v>
      </c>
      <c r="M2222" s="85"/>
      <c r="N2222" s="85">
        <f ca="1">IFERROR(__xludf.DUMMYFUNCTION("""COMPUTED_VALUE"""),-75)</f>
        <v>-75</v>
      </c>
      <c r="O2222" s="85"/>
      <c r="P2222" s="85">
        <f ca="1">IFERROR(__xludf.DUMMYFUNCTION("""COMPUTED_VALUE"""),-77)</f>
        <v>-77</v>
      </c>
      <c r="Q2222" s="85"/>
      <c r="R2222" s="85">
        <f ca="1">IFERROR(__xludf.DUMMYFUNCTION("""COMPUTED_VALUE"""),-84.25)</f>
        <v>-84.25</v>
      </c>
      <c r="S2222" s="85"/>
      <c r="T2222" s="85"/>
      <c r="U2222" s="82"/>
      <c r="V2222" s="82"/>
      <c r="W2222" s="83"/>
      <c r="X2222" s="83"/>
      <c r="Y2222" s="83"/>
    </row>
    <row r="2223" spans="1:25" ht="13.8">
      <c r="A2223" s="78" t="str">
        <f ca="1">IFERROR(__xludf.DUMMYFUNCTION("""COMPUTED_VALUE"""),"W")</f>
        <v>W</v>
      </c>
      <c r="B2223" s="79" t="str">
        <f ca="1">IFERROR(__xludf.DUMMYFUNCTION("""COMPUTED_VALUE"""),"Anna Lucia Stavlund")</f>
        <v>Anna Lucia Stavlund</v>
      </c>
      <c r="C2223" s="78">
        <f ca="1">IFERROR(__xludf.DUMMYFUNCTION("""COMPUTED_VALUE"""),12)</f>
        <v>12</v>
      </c>
      <c r="D2223" s="78" t="str">
        <f ca="1">IFERROR(__xludf.DUMMYFUNCTION("""COMPUTED_VALUE"""),"G")</f>
        <v>G</v>
      </c>
      <c r="E2223" s="80" t="str">
        <f ca="1">IFERROR(__xludf.DUMMYFUNCTION("""COMPUTED_VALUE"""),"J")</f>
        <v>J</v>
      </c>
      <c r="F2223" s="86" t="str">
        <f ca="1">IFERROR(__xludf.DUMMYFUNCTION("""COMPUTED_VALUE"""),"I")</f>
        <v>I</v>
      </c>
      <c r="G2223" s="86">
        <f ca="1">IFERROR(__xludf.DUMMYFUNCTION("""COMPUTED_VALUE"""),7)</f>
        <v>7</v>
      </c>
      <c r="H2223" s="86" t="str">
        <f ca="1">IFERROR(__xludf.DUMMYFUNCTION("""COMPUTED_VALUE"""),"W")</f>
        <v>W</v>
      </c>
      <c r="I2223" s="86">
        <f ca="1">IFERROR(__xludf.DUMMYFUNCTION("""COMPUTED_VALUE"""),4)</f>
        <v>4</v>
      </c>
      <c r="J2223" s="85">
        <f ca="1">IFERROR(__xludf.DUMMYFUNCTION("""COMPUTED_VALUE"""),2)</f>
        <v>2</v>
      </c>
      <c r="K2223" s="85">
        <f ca="1">IFERROR(__xludf.DUMMYFUNCTION("""COMPUTED_VALUE"""),55.65)</f>
        <v>55.65</v>
      </c>
      <c r="L2223" s="85">
        <f ca="1">IFERROR(__xludf.DUMMYFUNCTION("""COMPUTED_VALUE"""),0)</f>
        <v>0</v>
      </c>
      <c r="M2223" s="85"/>
      <c r="N2223" s="85">
        <f ca="1">IFERROR(__xludf.DUMMYFUNCTION("""COMPUTED_VALUE"""),0)</f>
        <v>0</v>
      </c>
      <c r="O2223" s="85"/>
      <c r="P2223" s="85">
        <f ca="1">IFERROR(__xludf.DUMMYFUNCTION("""COMPUTED_VALUE"""),0)</f>
        <v>0</v>
      </c>
      <c r="Q2223" s="85"/>
      <c r="R2223" s="85">
        <f ca="1">IFERROR(__xludf.DUMMYFUNCTION("""COMPUTED_VALUE"""),55.65)</f>
        <v>55.65</v>
      </c>
      <c r="S2223" s="85"/>
      <c r="T2223" s="85"/>
      <c r="U2223" s="82"/>
      <c r="V2223" s="82"/>
      <c r="W2223" s="83"/>
      <c r="X2223" s="83"/>
      <c r="Y2223" s="83"/>
    </row>
    <row r="2224" spans="1:25" ht="13.8">
      <c r="A2224" s="78" t="str">
        <f ca="1">IFERROR(__xludf.DUMMYFUNCTION("""COMPUTED_VALUE"""),"W")</f>
        <v>W</v>
      </c>
      <c r="B2224" s="79" t="str">
        <f ca="1">IFERROR(__xludf.DUMMYFUNCTION("""COMPUTED_VALUE"""),"John Horne")</f>
        <v>John Horne</v>
      </c>
      <c r="C2224" s="78">
        <f ca="1">IFERROR(__xludf.DUMMYFUNCTION("""COMPUTED_VALUE"""),12)</f>
        <v>12</v>
      </c>
      <c r="D2224" s="78" t="str">
        <f ca="1">IFERROR(__xludf.DUMMYFUNCTION("""COMPUTED_VALUE"""),"B")</f>
        <v>B</v>
      </c>
      <c r="E2224" s="80" t="str">
        <f ca="1">IFERROR(__xludf.DUMMYFUNCTION("""COMPUTED_VALUE"""),"J")</f>
        <v>J</v>
      </c>
      <c r="F2224" s="86" t="str">
        <f ca="1">IFERROR(__xludf.DUMMYFUNCTION("""COMPUTED_VALUE"""),"I")</f>
        <v>I</v>
      </c>
      <c r="G2224" s="86">
        <f ca="1">IFERROR(__xludf.DUMMYFUNCTION("""COMPUTED_VALUE"""),7)</f>
        <v>7</v>
      </c>
      <c r="H2224" s="86" t="str">
        <f ca="1">IFERROR(__xludf.DUMMYFUNCTION("""COMPUTED_VALUE"""),"W")</f>
        <v>W</v>
      </c>
      <c r="I2224" s="86">
        <f ca="1">IFERROR(__xludf.DUMMYFUNCTION("""COMPUTED_VALUE"""),5)</f>
        <v>5</v>
      </c>
      <c r="J2224" s="85">
        <f ca="1">IFERROR(__xludf.DUMMYFUNCTION("""COMPUTED_VALUE"""),5)</f>
        <v>5</v>
      </c>
      <c r="K2224" s="85">
        <f ca="1">IFERROR(__xludf.DUMMYFUNCTION("""COMPUTED_VALUE"""),55.85)</f>
        <v>55.85</v>
      </c>
      <c r="L2224" s="85">
        <f ca="1">IFERROR(__xludf.DUMMYFUNCTION("""COMPUTED_VALUE"""),34.55)</f>
        <v>34.549999999999997</v>
      </c>
      <c r="M2224" s="85"/>
      <c r="N2224" s="85">
        <f ca="1">IFERROR(__xludf.DUMMYFUNCTION("""COMPUTED_VALUE"""),35.1)</f>
        <v>35.1</v>
      </c>
      <c r="O2224" s="85"/>
      <c r="P2224" s="85">
        <f ca="1">IFERROR(__xludf.DUMMYFUNCTION("""COMPUTED_VALUE"""),55.85)</f>
        <v>55.85</v>
      </c>
      <c r="Q2224" s="85"/>
      <c r="R2224" s="85">
        <f ca="1">IFERROR(__xludf.DUMMYFUNCTION("""COMPUTED_VALUE"""),53.5)</f>
        <v>53.5</v>
      </c>
      <c r="S2224" s="85"/>
      <c r="T2224" s="85"/>
      <c r="U2224" s="82"/>
      <c r="V2224" s="82"/>
      <c r="W2224" s="83"/>
      <c r="X2224" s="83"/>
      <c r="Y2224" s="83"/>
    </row>
    <row r="2225" spans="1:25" ht="13.8">
      <c r="A2225" s="78" t="str">
        <f ca="1">IFERROR(__xludf.DUMMYFUNCTION("""COMPUTED_VALUE"""),"W")</f>
        <v>W</v>
      </c>
      <c r="B2225" s="79" t="str">
        <f ca="1">IFERROR(__xludf.DUMMYFUNCTION("""COMPUTED_VALUE"""),"Zachary Napoli")</f>
        <v>Zachary Napoli</v>
      </c>
      <c r="C2225" s="78">
        <f ca="1">IFERROR(__xludf.DUMMYFUNCTION("""COMPUTED_VALUE"""),11)</f>
        <v>11</v>
      </c>
      <c r="D2225" s="78" t="str">
        <f ca="1">IFERROR(__xludf.DUMMYFUNCTION("""COMPUTED_VALUE"""),"B")</f>
        <v>B</v>
      </c>
      <c r="E2225" s="80" t="str">
        <f ca="1">IFERROR(__xludf.DUMMYFUNCTION("""COMPUTED_VALUE"""),"J")</f>
        <v>J</v>
      </c>
      <c r="F2225" s="86" t="str">
        <f ca="1">IFERROR(__xludf.DUMMYFUNCTION("""COMPUTED_VALUE"""),"I")</f>
        <v>I</v>
      </c>
      <c r="G2225" s="86">
        <f ca="1">IFERROR(__xludf.DUMMYFUNCTION("""COMPUTED_VALUE"""),7)</f>
        <v>7</v>
      </c>
      <c r="H2225" s="86" t="str">
        <f ca="1">IFERROR(__xludf.DUMMYFUNCTION("""COMPUTED_VALUE"""),"W")</f>
        <v>W</v>
      </c>
      <c r="I2225" s="86">
        <f ca="1">IFERROR(__xludf.DUMMYFUNCTION("""COMPUTED_VALUE"""),5)</f>
        <v>5</v>
      </c>
      <c r="J2225" s="85">
        <f ca="1">IFERROR(__xludf.DUMMYFUNCTION("""COMPUTED_VALUE"""),5)</f>
        <v>5</v>
      </c>
      <c r="K2225" s="85">
        <f ca="1">IFERROR(__xludf.DUMMYFUNCTION("""COMPUTED_VALUE"""),56.35)</f>
        <v>56.35</v>
      </c>
      <c r="L2225" s="85">
        <f ca="1">IFERROR(__xludf.DUMMYFUNCTION("""COMPUTED_VALUE"""),56.35)</f>
        <v>56.35</v>
      </c>
      <c r="M2225" s="85"/>
      <c r="N2225" s="85">
        <f ca="1">IFERROR(__xludf.DUMMYFUNCTION("""COMPUTED_VALUE"""),55.8)</f>
        <v>55.8</v>
      </c>
      <c r="O2225" s="85"/>
      <c r="P2225" s="85">
        <f ca="1">IFERROR(__xludf.DUMMYFUNCTION("""COMPUTED_VALUE"""),-81)</f>
        <v>-81</v>
      </c>
      <c r="Q2225" s="85"/>
      <c r="R2225" s="85">
        <f ca="1">IFERROR(__xludf.DUMMYFUNCTION("""COMPUTED_VALUE"""),-92.05)</f>
        <v>-92.05</v>
      </c>
      <c r="S2225" s="85"/>
      <c r="T2225" s="85"/>
      <c r="U2225" s="82"/>
      <c r="V2225" s="82"/>
      <c r="W2225" s="83"/>
      <c r="X2225" s="83"/>
      <c r="Y2225" s="83"/>
    </row>
    <row r="2226" spans="1:25" ht="13.8">
      <c r="A2226" s="78" t="str">
        <f ca="1">IFERROR(__xludf.DUMMYFUNCTION("""COMPUTED_VALUE"""),"W")</f>
        <v>W</v>
      </c>
      <c r="B2226" s="79" t="str">
        <f ca="1">IFERROR(__xludf.DUMMYFUNCTION("""COMPUTED_VALUE"""),"Benjamin Pollack")</f>
        <v>Benjamin Pollack</v>
      </c>
      <c r="C2226" s="78">
        <f ca="1">IFERROR(__xludf.DUMMYFUNCTION("""COMPUTED_VALUE"""),11)</f>
        <v>11</v>
      </c>
      <c r="D2226" s="78" t="str">
        <f ca="1">IFERROR(__xludf.DUMMYFUNCTION("""COMPUTED_VALUE"""),"B")</f>
        <v>B</v>
      </c>
      <c r="E2226" s="80" t="str">
        <f ca="1">IFERROR(__xludf.DUMMYFUNCTION("""COMPUTED_VALUE"""),"J")</f>
        <v>J</v>
      </c>
      <c r="F2226" s="86" t="str">
        <f ca="1">IFERROR(__xludf.DUMMYFUNCTION("""COMPUTED_VALUE"""),"I")</f>
        <v>I</v>
      </c>
      <c r="G2226" s="86">
        <f ca="1">IFERROR(__xludf.DUMMYFUNCTION("""COMPUTED_VALUE"""),7)</f>
        <v>7</v>
      </c>
      <c r="H2226" s="86" t="str">
        <f ca="1">IFERROR(__xludf.DUMMYFUNCTION("""COMPUTED_VALUE"""),"W")</f>
        <v>W</v>
      </c>
      <c r="I2226" s="86">
        <f ca="1">IFERROR(__xludf.DUMMYFUNCTION("""COMPUTED_VALUE"""),5)</f>
        <v>5</v>
      </c>
      <c r="J2226" s="85">
        <f ca="1">IFERROR(__xludf.DUMMYFUNCTION("""COMPUTED_VALUE"""),5)</f>
        <v>5</v>
      </c>
      <c r="K2226" s="85">
        <f ca="1">IFERROR(__xludf.DUMMYFUNCTION("""COMPUTED_VALUE"""),84.95)</f>
        <v>84.95</v>
      </c>
      <c r="L2226" s="85">
        <f ca="1">IFERROR(__xludf.DUMMYFUNCTION("""COMPUTED_VALUE"""),66.35)</f>
        <v>66.349999999999994</v>
      </c>
      <c r="M2226" s="85"/>
      <c r="N2226" s="85">
        <f ca="1">IFERROR(__xludf.DUMMYFUNCTION("""COMPUTED_VALUE"""),76.5)</f>
        <v>76.5</v>
      </c>
      <c r="O2226" s="85"/>
      <c r="P2226" s="85">
        <f ca="1">IFERROR(__xludf.DUMMYFUNCTION("""COMPUTED_VALUE"""),63.65)</f>
        <v>63.65</v>
      </c>
      <c r="Q2226" s="85"/>
      <c r="R2226" s="85">
        <f ca="1">IFERROR(__xludf.DUMMYFUNCTION("""COMPUTED_VALUE"""),84.95)</f>
        <v>84.95</v>
      </c>
      <c r="S2226" s="85"/>
      <c r="T2226" s="85"/>
      <c r="U2226" s="82"/>
      <c r="V2226" s="82"/>
      <c r="W2226" s="83"/>
      <c r="X2226" s="83"/>
      <c r="Y2226" s="83"/>
    </row>
    <row r="2227" spans="1:25" ht="13.8">
      <c r="A2227" s="78" t="str">
        <f ca="1">IFERROR(__xludf.DUMMYFUNCTION("""COMPUTED_VALUE"""),"W")</f>
        <v>W</v>
      </c>
      <c r="B2227" s="79" t="str">
        <f ca="1">IFERROR(__xludf.DUMMYFUNCTION("""COMPUTED_VALUE"""),"Elizabeth Bell")</f>
        <v>Elizabeth Bell</v>
      </c>
      <c r="C2227" s="78">
        <f ca="1">IFERROR(__xludf.DUMMYFUNCTION("""COMPUTED_VALUE"""),14)</f>
        <v>14</v>
      </c>
      <c r="D2227" s="78" t="str">
        <f ca="1">IFERROR(__xludf.DUMMYFUNCTION("""COMPUTED_VALUE"""),"G")</f>
        <v>G</v>
      </c>
      <c r="E2227" s="80" t="str">
        <f ca="1">IFERROR(__xludf.DUMMYFUNCTION("""COMPUTED_VALUE"""),"I")</f>
        <v>I</v>
      </c>
      <c r="F2227" s="86" t="str">
        <f ca="1">IFERROR(__xludf.DUMMYFUNCTION("""COMPUTED_VALUE"""),"S")</f>
        <v>S</v>
      </c>
      <c r="G2227" s="86">
        <f ca="1">IFERROR(__xludf.DUMMYFUNCTION("""COMPUTED_VALUE"""),7)</f>
        <v>7</v>
      </c>
      <c r="H2227" s="86" t="str">
        <f ca="1">IFERROR(__xludf.DUMMYFUNCTION("""COMPUTED_VALUE"""),"W")</f>
        <v>W</v>
      </c>
      <c r="I2227" s="86">
        <f ca="1">IFERROR(__xludf.DUMMYFUNCTION("""COMPUTED_VALUE"""),6)</f>
        <v>6</v>
      </c>
      <c r="J2227" s="85">
        <f ca="1">IFERROR(__xludf.DUMMYFUNCTION("""COMPUTED_VALUE"""),5)</f>
        <v>5</v>
      </c>
      <c r="K2227" s="85">
        <f ca="1">IFERROR(__xludf.DUMMYFUNCTION("""COMPUTED_VALUE"""),109.5)</f>
        <v>109.5</v>
      </c>
      <c r="L2227" s="85">
        <f ca="1">IFERROR(__xludf.DUMMYFUNCTION("""COMPUTED_VALUE"""),109.5)</f>
        <v>109.5</v>
      </c>
      <c r="M2227" s="85"/>
      <c r="N2227" s="85">
        <f ca="1">IFERROR(__xludf.DUMMYFUNCTION("""COMPUTED_VALUE"""),-134.1)</f>
        <v>-134.1</v>
      </c>
      <c r="O2227" s="85"/>
      <c r="P2227" s="85">
        <f ca="1">IFERROR(__xludf.DUMMYFUNCTION("""COMPUTED_VALUE"""),-137.5)</f>
        <v>-137.5</v>
      </c>
      <c r="Q2227" s="85"/>
      <c r="R2227" s="85">
        <f ca="1">IFERROR(__xludf.DUMMYFUNCTION("""COMPUTED_VALUE"""),-152.85)</f>
        <v>-152.85</v>
      </c>
      <c r="S2227" s="85"/>
      <c r="T2227" s="85"/>
      <c r="U2227" s="82"/>
      <c r="V2227" s="82"/>
      <c r="W2227" s="83"/>
      <c r="X2227" s="83"/>
      <c r="Y2227" s="83"/>
    </row>
    <row r="2228" spans="1:25" ht="13.8">
      <c r="A2228" s="78" t="str">
        <f ca="1">IFERROR(__xludf.DUMMYFUNCTION("""COMPUTED_VALUE"""),"W")</f>
        <v>W</v>
      </c>
      <c r="B2228" s="79" t="str">
        <f ca="1">IFERROR(__xludf.DUMMYFUNCTION("""COMPUTED_VALUE"""),"Helena Horne")</f>
        <v>Helena Horne</v>
      </c>
      <c r="C2228" s="78">
        <f ca="1">IFERROR(__xludf.DUMMYFUNCTION("""COMPUTED_VALUE"""),13)</f>
        <v>13</v>
      </c>
      <c r="D2228" s="78" t="str">
        <f ca="1">IFERROR(__xludf.DUMMYFUNCTION("""COMPUTED_VALUE"""),"G")</f>
        <v>G</v>
      </c>
      <c r="E2228" s="80" t="str">
        <f ca="1">IFERROR(__xludf.DUMMYFUNCTION("""COMPUTED_VALUE"""),"I")</f>
        <v>I</v>
      </c>
      <c r="F2228" s="86" t="str">
        <f ca="1">IFERROR(__xludf.DUMMYFUNCTION("""COMPUTED_VALUE"""),"S")</f>
        <v>S</v>
      </c>
      <c r="G2228" s="86">
        <f ca="1">IFERROR(__xludf.DUMMYFUNCTION("""COMPUTED_VALUE"""),7)</f>
        <v>7</v>
      </c>
      <c r="H2228" s="86" t="str">
        <f ca="1">IFERROR(__xludf.DUMMYFUNCTION("""COMPUTED_VALUE"""),"W")</f>
        <v>W</v>
      </c>
      <c r="I2228" s="86">
        <f ca="1">IFERROR(__xludf.DUMMYFUNCTION("""COMPUTED_VALUE"""),6)</f>
        <v>6</v>
      </c>
      <c r="J2228" s="85">
        <f ca="1">IFERROR(__xludf.DUMMYFUNCTION("""COMPUTED_VALUE"""),5)</f>
        <v>5</v>
      </c>
      <c r="K2228" s="85">
        <f ca="1">IFERROR(__xludf.DUMMYFUNCTION("""COMPUTED_VALUE"""),84.55)</f>
        <v>84.55</v>
      </c>
      <c r="L2228" s="85">
        <f ca="1">IFERROR(__xludf.DUMMYFUNCTION("""COMPUTED_VALUE"""),82.1)</f>
        <v>82.1</v>
      </c>
      <c r="M2228" s="85"/>
      <c r="N2228" s="85">
        <f ca="1">IFERROR(__xludf.DUMMYFUNCTION("""COMPUTED_VALUE"""),59.55)</f>
        <v>59.55</v>
      </c>
      <c r="O2228" s="85"/>
      <c r="P2228" s="85">
        <f ca="1">IFERROR(__xludf.DUMMYFUNCTION("""COMPUTED_VALUE"""),84.55)</f>
        <v>84.55</v>
      </c>
      <c r="Q2228" s="85"/>
      <c r="R2228" s="85">
        <f ca="1">IFERROR(__xludf.DUMMYFUNCTION("""COMPUTED_VALUE"""),79.1)</f>
        <v>79.099999999999994</v>
      </c>
      <c r="S2228" s="85"/>
      <c r="T2228" s="85"/>
      <c r="U2228" s="82"/>
      <c r="V2228" s="82"/>
      <c r="W2228" s="83"/>
      <c r="X2228" s="83"/>
      <c r="Y2228" s="83"/>
    </row>
    <row r="2229" spans="1:25" ht="13.8">
      <c r="A2229" s="78" t="str">
        <f ca="1">IFERROR(__xludf.DUMMYFUNCTION("""COMPUTED_VALUE"""),"W")</f>
        <v>W</v>
      </c>
      <c r="B2229" s="79" t="str">
        <f ca="1">IFERROR(__xludf.DUMMYFUNCTION("""COMPUTED_VALUE"""),"Tatum Kline")</f>
        <v>Tatum Kline</v>
      </c>
      <c r="C2229" s="78">
        <f ca="1">IFERROR(__xludf.DUMMYFUNCTION("""COMPUTED_VALUE"""),14)</f>
        <v>14</v>
      </c>
      <c r="D2229" s="78" t="str">
        <f ca="1">IFERROR(__xludf.DUMMYFUNCTION("""COMPUTED_VALUE"""),"G")</f>
        <v>G</v>
      </c>
      <c r="E2229" s="80" t="str">
        <f ca="1">IFERROR(__xludf.DUMMYFUNCTION("""COMPUTED_VALUE"""),"I")</f>
        <v>I</v>
      </c>
      <c r="F2229" s="86" t="str">
        <f ca="1">IFERROR(__xludf.DUMMYFUNCTION("""COMPUTED_VALUE"""),"S")</f>
        <v>S</v>
      </c>
      <c r="G2229" s="86">
        <f ca="1">IFERROR(__xludf.DUMMYFUNCTION("""COMPUTED_VALUE"""),7)</f>
        <v>7</v>
      </c>
      <c r="H2229" s="86" t="str">
        <f ca="1">IFERROR(__xludf.DUMMYFUNCTION("""COMPUTED_VALUE"""),"W")</f>
        <v>W</v>
      </c>
      <c r="I2229" s="86">
        <f ca="1">IFERROR(__xludf.DUMMYFUNCTION("""COMPUTED_VALUE"""),6)</f>
        <v>6</v>
      </c>
      <c r="J2229" s="85">
        <f ca="1">IFERROR(__xludf.DUMMYFUNCTION("""COMPUTED_VALUE"""),4)</f>
        <v>4</v>
      </c>
      <c r="K2229" s="85">
        <f ca="1">IFERROR(__xludf.DUMMYFUNCTION("""COMPUTED_VALUE"""),110.7)</f>
        <v>110.7</v>
      </c>
      <c r="L2229" s="85">
        <f ca="1">IFERROR(__xludf.DUMMYFUNCTION("""COMPUTED_VALUE"""),110.7)</f>
        <v>110.7</v>
      </c>
      <c r="M2229" s="85"/>
      <c r="N2229" s="85">
        <f ca="1">IFERROR(__xludf.DUMMYFUNCTION("""COMPUTED_VALUE"""),0)</f>
        <v>0</v>
      </c>
      <c r="O2229" s="85"/>
      <c r="P2229" s="85">
        <f ca="1">IFERROR(__xludf.DUMMYFUNCTION("""COMPUTED_VALUE"""),-135.4)</f>
        <v>-135.4</v>
      </c>
      <c r="Q2229" s="85"/>
      <c r="R2229" s="85">
        <f ca="1">IFERROR(__xludf.DUMMYFUNCTION("""COMPUTED_VALUE"""),-147.8)</f>
        <v>-147.80000000000001</v>
      </c>
      <c r="S2229" s="85"/>
      <c r="T2229" s="85"/>
      <c r="U2229" s="82"/>
      <c r="V2229" s="82"/>
      <c r="W2229" s="83"/>
      <c r="X2229" s="83"/>
      <c r="Y2229" s="83"/>
    </row>
    <row r="2230" spans="1:25" ht="13.8">
      <c r="A2230" s="78" t="str">
        <f ca="1">IFERROR(__xludf.DUMMYFUNCTION("""COMPUTED_VALUE"""),"W")</f>
        <v>W</v>
      </c>
      <c r="B2230" s="79" t="str">
        <f ca="1">IFERROR(__xludf.DUMMYFUNCTION("""COMPUTED_VALUE"""),"Scarlet Temme")</f>
        <v>Scarlet Temme</v>
      </c>
      <c r="C2230" s="78">
        <f ca="1">IFERROR(__xludf.DUMMYFUNCTION("""COMPUTED_VALUE"""),13)</f>
        <v>13</v>
      </c>
      <c r="D2230" s="78" t="str">
        <f ca="1">IFERROR(__xludf.DUMMYFUNCTION("""COMPUTED_VALUE"""),"G")</f>
        <v>G</v>
      </c>
      <c r="E2230" s="80" t="str">
        <f ca="1">IFERROR(__xludf.DUMMYFUNCTION("""COMPUTED_VALUE"""),"I")</f>
        <v>I</v>
      </c>
      <c r="F2230" s="86" t="str">
        <f ca="1">IFERROR(__xludf.DUMMYFUNCTION("""COMPUTED_VALUE"""),"S")</f>
        <v>S</v>
      </c>
      <c r="G2230" s="86">
        <f ca="1">IFERROR(__xludf.DUMMYFUNCTION("""COMPUTED_VALUE"""),7)</f>
        <v>7</v>
      </c>
      <c r="H2230" s="86" t="str">
        <f ca="1">IFERROR(__xludf.DUMMYFUNCTION("""COMPUTED_VALUE"""),"W")</f>
        <v>W</v>
      </c>
      <c r="I2230" s="86">
        <f ca="1">IFERROR(__xludf.DUMMYFUNCTION("""COMPUTED_VALUE"""),6)</f>
        <v>6</v>
      </c>
      <c r="J2230" s="85">
        <f ca="1">IFERROR(__xludf.DUMMYFUNCTION("""COMPUTED_VALUE"""),1)</f>
        <v>1</v>
      </c>
      <c r="K2230" s="85">
        <f ca="1">IFERROR(__xludf.DUMMYFUNCTION("""COMPUTED_VALUE"""),0)</f>
        <v>0</v>
      </c>
      <c r="L2230" s="85">
        <f ca="1">IFERROR(__xludf.DUMMYFUNCTION("""COMPUTED_VALUE"""),0)</f>
        <v>0</v>
      </c>
      <c r="M2230" s="85"/>
      <c r="N2230" s="85">
        <f ca="1">IFERROR(__xludf.DUMMYFUNCTION("""COMPUTED_VALUE"""),0)</f>
        <v>0</v>
      </c>
      <c r="O2230" s="85"/>
      <c r="P2230" s="85">
        <f ca="1">IFERROR(__xludf.DUMMYFUNCTION("""COMPUTED_VALUE"""),0)</f>
        <v>0</v>
      </c>
      <c r="Q2230" s="85"/>
      <c r="R2230" s="85">
        <f ca="1">IFERROR(__xludf.DUMMYFUNCTION("""COMPUTED_VALUE"""),0)</f>
        <v>0</v>
      </c>
      <c r="S2230" s="85"/>
      <c r="T2230" s="85"/>
      <c r="U2230" s="82"/>
      <c r="V2230" s="82"/>
      <c r="W2230" s="83"/>
      <c r="X2230" s="83"/>
      <c r="Y2230" s="83"/>
    </row>
    <row r="2231" spans="1:25" ht="13.8">
      <c r="A2231" s="78" t="str">
        <f ca="1">IFERROR(__xludf.DUMMYFUNCTION("""COMPUTED_VALUE"""),"W")</f>
        <v>W</v>
      </c>
      <c r="B2231" s="79" t="str">
        <f ca="1">IFERROR(__xludf.DUMMYFUNCTION("""COMPUTED_VALUE"""),"Gianna Thiede")</f>
        <v>Gianna Thiede</v>
      </c>
      <c r="C2231" s="78">
        <f ca="1">IFERROR(__xludf.DUMMYFUNCTION("""COMPUTED_VALUE"""),13)</f>
        <v>13</v>
      </c>
      <c r="D2231" s="78" t="str">
        <f ca="1">IFERROR(__xludf.DUMMYFUNCTION("""COMPUTED_VALUE"""),"G")</f>
        <v>G</v>
      </c>
      <c r="E2231" s="80" t="str">
        <f ca="1">IFERROR(__xludf.DUMMYFUNCTION("""COMPUTED_VALUE"""),"I")</f>
        <v>I</v>
      </c>
      <c r="F2231" s="86" t="str">
        <f ca="1">IFERROR(__xludf.DUMMYFUNCTION("""COMPUTED_VALUE"""),"S")</f>
        <v>S</v>
      </c>
      <c r="G2231" s="86">
        <f ca="1">IFERROR(__xludf.DUMMYFUNCTION("""COMPUTED_VALUE"""),7)</f>
        <v>7</v>
      </c>
      <c r="H2231" s="86" t="str">
        <f ca="1">IFERROR(__xludf.DUMMYFUNCTION("""COMPUTED_VALUE"""),"W")</f>
        <v>W</v>
      </c>
      <c r="I2231" s="86">
        <f ca="1">IFERROR(__xludf.DUMMYFUNCTION("""COMPUTED_VALUE"""),6)</f>
        <v>6</v>
      </c>
      <c r="J2231" s="85">
        <f ca="1">IFERROR(__xludf.DUMMYFUNCTION("""COMPUTED_VALUE"""),0)</f>
        <v>0</v>
      </c>
      <c r="K2231" s="85">
        <f ca="1">IFERROR(__xludf.DUMMYFUNCTION("""COMPUTED_VALUE"""),0)</f>
        <v>0</v>
      </c>
      <c r="L2231" s="85">
        <f ca="1">IFERROR(__xludf.DUMMYFUNCTION("""COMPUTED_VALUE"""),0)</f>
        <v>0</v>
      </c>
      <c r="M2231" s="85"/>
      <c r="N2231" s="85">
        <f ca="1">IFERROR(__xludf.DUMMYFUNCTION("""COMPUTED_VALUE"""),0)</f>
        <v>0</v>
      </c>
      <c r="O2231" s="85"/>
      <c r="P2231" s="85">
        <f ca="1">IFERROR(__xludf.DUMMYFUNCTION("""COMPUTED_VALUE"""),0)</f>
        <v>0</v>
      </c>
      <c r="Q2231" s="85"/>
      <c r="R2231" s="85">
        <f ca="1">IFERROR(__xludf.DUMMYFUNCTION("""COMPUTED_VALUE"""),0)</f>
        <v>0</v>
      </c>
      <c r="S2231" s="85"/>
      <c r="T2231" s="85"/>
      <c r="U2231" s="82"/>
      <c r="V2231" s="82"/>
      <c r="W2231" s="83"/>
      <c r="X2231" s="83"/>
      <c r="Y2231" s="83"/>
    </row>
    <row r="2232" spans="1:25" ht="13.8">
      <c r="A2232" s="78" t="str">
        <f ca="1">IFERROR(__xludf.DUMMYFUNCTION("""COMPUTED_VALUE"""),"W")</f>
        <v>W</v>
      </c>
      <c r="B2232" s="79" t="str">
        <f ca="1">IFERROR(__xludf.DUMMYFUNCTION("""COMPUTED_VALUE"""),"Colt Armstrong")</f>
        <v>Colt Armstrong</v>
      </c>
      <c r="C2232" s="78">
        <f ca="1">IFERROR(__xludf.DUMMYFUNCTION("""COMPUTED_VALUE"""),13)</f>
        <v>13</v>
      </c>
      <c r="D2232" s="78" t="str">
        <f ca="1">IFERROR(__xludf.DUMMYFUNCTION("""COMPUTED_VALUE"""),"B")</f>
        <v>B</v>
      </c>
      <c r="E2232" s="80" t="str">
        <f ca="1">IFERROR(__xludf.DUMMYFUNCTION("""COMPUTED_VALUE"""),"I")</f>
        <v>I</v>
      </c>
      <c r="F2232" s="86" t="str">
        <f ca="1">IFERROR(__xludf.DUMMYFUNCTION("""COMPUTED_VALUE"""),"S")</f>
        <v>S</v>
      </c>
      <c r="G2232" s="86">
        <f ca="1">IFERROR(__xludf.DUMMYFUNCTION("""COMPUTED_VALUE"""),7)</f>
        <v>7</v>
      </c>
      <c r="H2232" s="86" t="str">
        <f ca="1">IFERROR(__xludf.DUMMYFUNCTION("""COMPUTED_VALUE"""),"W")</f>
        <v>W</v>
      </c>
      <c r="I2232" s="86">
        <f ca="1">IFERROR(__xludf.DUMMYFUNCTION("""COMPUTED_VALUE"""),7)</f>
        <v>7</v>
      </c>
      <c r="J2232" s="85">
        <f ca="1">IFERROR(__xludf.DUMMYFUNCTION("""COMPUTED_VALUE"""),0)</f>
        <v>0</v>
      </c>
      <c r="K2232" s="85">
        <f ca="1">IFERROR(__xludf.DUMMYFUNCTION("""COMPUTED_VALUE"""),0)</f>
        <v>0</v>
      </c>
      <c r="L2232" s="85">
        <f ca="1">IFERROR(__xludf.DUMMYFUNCTION("""COMPUTED_VALUE"""),0)</f>
        <v>0</v>
      </c>
      <c r="M2232" s="85"/>
      <c r="N2232" s="85">
        <f ca="1">IFERROR(__xludf.DUMMYFUNCTION("""COMPUTED_VALUE"""),0)</f>
        <v>0</v>
      </c>
      <c r="O2232" s="85"/>
      <c r="P2232" s="85">
        <f ca="1">IFERROR(__xludf.DUMMYFUNCTION("""COMPUTED_VALUE"""),0)</f>
        <v>0</v>
      </c>
      <c r="Q2232" s="85"/>
      <c r="R2232" s="85">
        <f ca="1">IFERROR(__xludf.DUMMYFUNCTION("""COMPUTED_VALUE"""),0)</f>
        <v>0</v>
      </c>
      <c r="S2232" s="85"/>
      <c r="T2232" s="85"/>
      <c r="U2232" s="82"/>
      <c r="V2232" s="82"/>
      <c r="W2232" s="83"/>
      <c r="X2232" s="83"/>
      <c r="Y2232" s="83"/>
    </row>
    <row r="2233" spans="1:25" ht="13.8">
      <c r="A2233" s="78" t="str">
        <f ca="1">IFERROR(__xludf.DUMMYFUNCTION("""COMPUTED_VALUE"""),"W")</f>
        <v>W</v>
      </c>
      <c r="B2233" s="79" t="str">
        <f ca="1">IFERROR(__xludf.DUMMYFUNCTION("""COMPUTED_VALUE"""),"Caleb Hoover")</f>
        <v>Caleb Hoover</v>
      </c>
      <c r="C2233" s="78">
        <f ca="1">IFERROR(__xludf.DUMMYFUNCTION("""COMPUTED_VALUE"""),13)</f>
        <v>13</v>
      </c>
      <c r="D2233" s="78" t="str">
        <f ca="1">IFERROR(__xludf.DUMMYFUNCTION("""COMPUTED_VALUE"""),"B")</f>
        <v>B</v>
      </c>
      <c r="E2233" s="80" t="str">
        <f ca="1">IFERROR(__xludf.DUMMYFUNCTION("""COMPUTED_VALUE"""),"I")</f>
        <v>I</v>
      </c>
      <c r="F2233" s="86" t="str">
        <f ca="1">IFERROR(__xludf.DUMMYFUNCTION("""COMPUTED_VALUE"""),"S")</f>
        <v>S</v>
      </c>
      <c r="G2233" s="86">
        <f ca="1">IFERROR(__xludf.DUMMYFUNCTION("""COMPUTED_VALUE"""),7)</f>
        <v>7</v>
      </c>
      <c r="H2233" s="86" t="str">
        <f ca="1">IFERROR(__xludf.DUMMYFUNCTION("""COMPUTED_VALUE"""),"W")</f>
        <v>W</v>
      </c>
      <c r="I2233" s="86">
        <f ca="1">IFERROR(__xludf.DUMMYFUNCTION("""COMPUTED_VALUE"""),7)</f>
        <v>7</v>
      </c>
      <c r="J2233" s="85">
        <f ca="1">IFERROR(__xludf.DUMMYFUNCTION("""COMPUTED_VALUE"""),5)</f>
        <v>5</v>
      </c>
      <c r="K2233" s="85">
        <f ca="1">IFERROR(__xludf.DUMMYFUNCTION("""COMPUTED_VALUE"""),114.65)</f>
        <v>114.65</v>
      </c>
      <c r="L2233" s="85">
        <f ca="1">IFERROR(__xludf.DUMMYFUNCTION("""COMPUTED_VALUE"""),114.65)</f>
        <v>114.65</v>
      </c>
      <c r="M2233" s="85"/>
      <c r="N2233" s="85">
        <f ca="1">IFERROR(__xludf.DUMMYFUNCTION("""COMPUTED_VALUE"""),112.1)</f>
        <v>112.1</v>
      </c>
      <c r="O2233" s="85"/>
      <c r="P2233" s="85">
        <f ca="1">IFERROR(__xludf.DUMMYFUNCTION("""COMPUTED_VALUE"""),-135.55)</f>
        <v>-135.55000000000001</v>
      </c>
      <c r="Q2233" s="85"/>
      <c r="R2233" s="85">
        <f ca="1">IFERROR(__xludf.DUMMYFUNCTION("""COMPUTED_VALUE"""),-132.65)</f>
        <v>-132.65</v>
      </c>
      <c r="S2233" s="85"/>
      <c r="T2233" s="85"/>
      <c r="U2233" s="82"/>
      <c r="V2233" s="82"/>
      <c r="W2233" s="83"/>
      <c r="X2233" s="83"/>
      <c r="Y2233" s="83"/>
    </row>
    <row r="2234" spans="1:25" ht="13.8">
      <c r="A2234" s="78" t="str">
        <f ca="1">IFERROR(__xludf.DUMMYFUNCTION("""COMPUTED_VALUE"""),"W")</f>
        <v>W</v>
      </c>
      <c r="B2234" s="79" t="str">
        <f ca="1">IFERROR(__xludf.DUMMYFUNCTION("""COMPUTED_VALUE"""),"James Horne")</f>
        <v>James Horne</v>
      </c>
      <c r="C2234" s="78">
        <f ca="1">IFERROR(__xludf.DUMMYFUNCTION("""COMPUTED_VALUE"""),13)</f>
        <v>13</v>
      </c>
      <c r="D2234" s="78" t="str">
        <f ca="1">IFERROR(__xludf.DUMMYFUNCTION("""COMPUTED_VALUE"""),"B")</f>
        <v>B</v>
      </c>
      <c r="E2234" s="80" t="str">
        <f ca="1">IFERROR(__xludf.DUMMYFUNCTION("""COMPUTED_VALUE"""),"I")</f>
        <v>I</v>
      </c>
      <c r="F2234" s="86" t="str">
        <f ca="1">IFERROR(__xludf.DUMMYFUNCTION("""COMPUTED_VALUE"""),"S")</f>
        <v>S</v>
      </c>
      <c r="G2234" s="86">
        <f ca="1">IFERROR(__xludf.DUMMYFUNCTION("""COMPUTED_VALUE"""),7)</f>
        <v>7</v>
      </c>
      <c r="H2234" s="86" t="str">
        <f ca="1">IFERROR(__xludf.DUMMYFUNCTION("""COMPUTED_VALUE"""),"W")</f>
        <v>W</v>
      </c>
      <c r="I2234" s="86">
        <f ca="1">IFERROR(__xludf.DUMMYFUNCTION("""COMPUTED_VALUE"""),7)</f>
        <v>7</v>
      </c>
      <c r="J2234" s="85">
        <f ca="1">IFERROR(__xludf.DUMMYFUNCTION("""COMPUTED_VALUE"""),5)</f>
        <v>5</v>
      </c>
      <c r="K2234" s="85">
        <f ca="1">IFERROR(__xludf.DUMMYFUNCTION("""COMPUTED_VALUE"""),78.4)</f>
        <v>78.400000000000006</v>
      </c>
      <c r="L2234" s="85">
        <f ca="1">IFERROR(__xludf.DUMMYFUNCTION("""COMPUTED_VALUE"""),62.85)</f>
        <v>62.85</v>
      </c>
      <c r="M2234" s="85"/>
      <c r="N2234" s="85">
        <f ca="1">IFERROR(__xludf.DUMMYFUNCTION("""COMPUTED_VALUE"""),78.4)</f>
        <v>78.400000000000006</v>
      </c>
      <c r="O2234" s="85"/>
      <c r="P2234" s="85">
        <f ca="1">IFERROR(__xludf.DUMMYFUNCTION("""COMPUTED_VALUE"""),38.1)</f>
        <v>38.1</v>
      </c>
      <c r="Q2234" s="85"/>
      <c r="R2234" s="85">
        <f ca="1">IFERROR(__xludf.DUMMYFUNCTION("""COMPUTED_VALUE"""),43.5)</f>
        <v>43.5</v>
      </c>
      <c r="S2234" s="85"/>
      <c r="T2234" s="85"/>
      <c r="U2234" s="82"/>
      <c r="V2234" s="82"/>
      <c r="W2234" s="83"/>
      <c r="X2234" s="83"/>
      <c r="Y2234" s="83"/>
    </row>
    <row r="2235" spans="1:25" ht="13.8">
      <c r="A2235" s="78" t="str">
        <f ca="1">IFERROR(__xludf.DUMMYFUNCTION("""COMPUTED_VALUE"""),"W")</f>
        <v>W</v>
      </c>
      <c r="B2235" s="79" t="str">
        <f ca="1">IFERROR(__xludf.DUMMYFUNCTION("""COMPUTED_VALUE"""),"Jacob Stickelmaier")</f>
        <v>Jacob Stickelmaier</v>
      </c>
      <c r="C2235" s="78">
        <f ca="1">IFERROR(__xludf.DUMMYFUNCTION("""COMPUTED_VALUE"""),13)</f>
        <v>13</v>
      </c>
      <c r="D2235" s="78" t="str">
        <f ca="1">IFERROR(__xludf.DUMMYFUNCTION("""COMPUTED_VALUE"""),"B")</f>
        <v>B</v>
      </c>
      <c r="E2235" s="80" t="str">
        <f ca="1">IFERROR(__xludf.DUMMYFUNCTION("""COMPUTED_VALUE"""),"I")</f>
        <v>I</v>
      </c>
      <c r="F2235" s="86" t="str">
        <f ca="1">IFERROR(__xludf.DUMMYFUNCTION("""COMPUTED_VALUE"""),"S")</f>
        <v>S</v>
      </c>
      <c r="G2235" s="86">
        <f ca="1">IFERROR(__xludf.DUMMYFUNCTION("""COMPUTED_VALUE"""),7)</f>
        <v>7</v>
      </c>
      <c r="H2235" s="86" t="str">
        <f ca="1">IFERROR(__xludf.DUMMYFUNCTION("""COMPUTED_VALUE"""),"W")</f>
        <v>W</v>
      </c>
      <c r="I2235" s="86">
        <f ca="1">IFERROR(__xludf.DUMMYFUNCTION("""COMPUTED_VALUE"""),7)</f>
        <v>7</v>
      </c>
      <c r="J2235" s="85">
        <f ca="1">IFERROR(__xludf.DUMMYFUNCTION("""COMPUTED_VALUE"""),0)</f>
        <v>0</v>
      </c>
      <c r="K2235" s="85">
        <f ca="1">IFERROR(__xludf.DUMMYFUNCTION("""COMPUTED_VALUE"""),0)</f>
        <v>0</v>
      </c>
      <c r="L2235" s="85">
        <f ca="1">IFERROR(__xludf.DUMMYFUNCTION("""COMPUTED_VALUE"""),0)</f>
        <v>0</v>
      </c>
      <c r="M2235" s="85"/>
      <c r="N2235" s="85">
        <f ca="1">IFERROR(__xludf.DUMMYFUNCTION("""COMPUTED_VALUE"""),0)</f>
        <v>0</v>
      </c>
      <c r="O2235" s="85"/>
      <c r="P2235" s="85">
        <f ca="1">IFERROR(__xludf.DUMMYFUNCTION("""COMPUTED_VALUE"""),0)</f>
        <v>0</v>
      </c>
      <c r="Q2235" s="85"/>
      <c r="R2235" s="85">
        <f ca="1">IFERROR(__xludf.DUMMYFUNCTION("""COMPUTED_VALUE"""),0)</f>
        <v>0</v>
      </c>
      <c r="S2235" s="85"/>
      <c r="T2235" s="85"/>
      <c r="U2235" s="82"/>
      <c r="V2235" s="82"/>
      <c r="W2235" s="83"/>
      <c r="X2235" s="83"/>
      <c r="Y2235" s="83"/>
    </row>
    <row r="2236" spans="1:25" ht="13.8">
      <c r="A2236" s="78" t="str">
        <f ca="1">IFERROR(__xludf.DUMMYFUNCTION("""COMPUTED_VALUE"""),"W")</f>
        <v>W</v>
      </c>
      <c r="B2236" s="79" t="str">
        <f ca="1">IFERROR(__xludf.DUMMYFUNCTION("""COMPUTED_VALUE"""),"Eleanor Stavlund")</f>
        <v>Eleanor Stavlund</v>
      </c>
      <c r="C2236" s="78">
        <f ca="1">IFERROR(__xludf.DUMMYFUNCTION("""COMPUTED_VALUE"""),15)</f>
        <v>15</v>
      </c>
      <c r="D2236" s="78" t="str">
        <f ca="1">IFERROR(__xludf.DUMMYFUNCTION("""COMPUTED_VALUE"""),"G")</f>
        <v>G</v>
      </c>
      <c r="E2236" s="80" t="str">
        <f ca="1">IFERROR(__xludf.DUMMYFUNCTION("""COMPUTED_VALUE"""),"S")</f>
        <v>S</v>
      </c>
      <c r="F2236" s="86" t="str">
        <f ca="1">IFERROR(__xludf.DUMMYFUNCTION("""COMPUTED_VALUE"""),"S")</f>
        <v>S</v>
      </c>
      <c r="G2236" s="86">
        <f ca="1">IFERROR(__xludf.DUMMYFUNCTION("""COMPUTED_VALUE"""),7)</f>
        <v>7</v>
      </c>
      <c r="H2236" s="86" t="str">
        <f ca="1">IFERROR(__xludf.DUMMYFUNCTION("""COMPUTED_VALUE"""),"W")</f>
        <v>W</v>
      </c>
      <c r="I2236" s="86">
        <f ca="1">IFERROR(__xludf.DUMMYFUNCTION("""COMPUTED_VALUE"""),8)</f>
        <v>8</v>
      </c>
      <c r="J2236" s="85">
        <f ca="1">IFERROR(__xludf.DUMMYFUNCTION("""COMPUTED_VALUE"""),0)</f>
        <v>0</v>
      </c>
      <c r="K2236" s="85">
        <f ca="1">IFERROR(__xludf.DUMMYFUNCTION("""COMPUTED_VALUE"""),0)</f>
        <v>0</v>
      </c>
      <c r="L2236" s="85">
        <f ca="1">IFERROR(__xludf.DUMMYFUNCTION("""COMPUTED_VALUE"""),0)</f>
        <v>0</v>
      </c>
      <c r="M2236" s="85"/>
      <c r="N2236" s="85">
        <f ca="1">IFERROR(__xludf.DUMMYFUNCTION("""COMPUTED_VALUE"""),0)</f>
        <v>0</v>
      </c>
      <c r="O2236" s="85"/>
      <c r="P2236" s="85">
        <f ca="1">IFERROR(__xludf.DUMMYFUNCTION("""COMPUTED_VALUE"""),0)</f>
        <v>0</v>
      </c>
      <c r="Q2236" s="85"/>
      <c r="R2236" s="85">
        <f ca="1">IFERROR(__xludf.DUMMYFUNCTION("""COMPUTED_VALUE"""),0)</f>
        <v>0</v>
      </c>
      <c r="S2236" s="85"/>
      <c r="T2236" s="85"/>
      <c r="U2236" s="82"/>
      <c r="V2236" s="82"/>
      <c r="W2236" s="83"/>
      <c r="X2236" s="83"/>
      <c r="Y2236" s="83"/>
    </row>
    <row r="2237" spans="1:25" ht="13.8">
      <c r="A2237" s="78" t="str">
        <f ca="1">IFERROR(__xludf.DUMMYFUNCTION("""COMPUTED_VALUE"""),"W")</f>
        <v>W</v>
      </c>
      <c r="B2237" s="79" t="str">
        <f ca="1">IFERROR(__xludf.DUMMYFUNCTION("""COMPUTED_VALUE"""),"David Graham")</f>
        <v>David Graham</v>
      </c>
      <c r="C2237" s="78">
        <f ca="1">IFERROR(__xludf.DUMMYFUNCTION("""COMPUTED_VALUE"""),18)</f>
        <v>18</v>
      </c>
      <c r="D2237" s="78" t="str">
        <f ca="1">IFERROR(__xludf.DUMMYFUNCTION("""COMPUTED_VALUE"""),"B")</f>
        <v>B</v>
      </c>
      <c r="E2237" s="80" t="str">
        <f ca="1">IFERROR(__xludf.DUMMYFUNCTION("""COMPUTED_VALUE"""),"S")</f>
        <v>S</v>
      </c>
      <c r="F2237" s="86" t="str">
        <f ca="1">IFERROR(__xludf.DUMMYFUNCTION("""COMPUTED_VALUE"""),"S")</f>
        <v>S</v>
      </c>
      <c r="G2237" s="86">
        <f ca="1">IFERROR(__xludf.DUMMYFUNCTION("""COMPUTED_VALUE"""),7)</f>
        <v>7</v>
      </c>
      <c r="H2237" s="86" t="str">
        <f ca="1">IFERROR(__xludf.DUMMYFUNCTION("""COMPUTED_VALUE"""),"W")</f>
        <v>W</v>
      </c>
      <c r="I2237" s="86">
        <f ca="1">IFERROR(__xludf.DUMMYFUNCTION("""COMPUTED_VALUE"""),9)</f>
        <v>9</v>
      </c>
      <c r="J2237" s="85">
        <f ca="1">IFERROR(__xludf.DUMMYFUNCTION("""COMPUTED_VALUE"""),1)</f>
        <v>1</v>
      </c>
      <c r="K2237" s="85">
        <f ca="1">IFERROR(__xludf.DUMMYFUNCTION("""COMPUTED_VALUE"""),0)</f>
        <v>0</v>
      </c>
      <c r="L2237" s="85">
        <f ca="1">IFERROR(__xludf.DUMMYFUNCTION("""COMPUTED_VALUE"""),0)</f>
        <v>0</v>
      </c>
      <c r="M2237" s="85"/>
      <c r="N2237" s="85">
        <f ca="1">IFERROR(__xludf.DUMMYFUNCTION("""COMPUTED_VALUE"""),0)</f>
        <v>0</v>
      </c>
      <c r="O2237" s="85"/>
      <c r="P2237" s="85">
        <f ca="1">IFERROR(__xludf.DUMMYFUNCTION("""COMPUTED_VALUE"""),0)</f>
        <v>0</v>
      </c>
      <c r="Q2237" s="85"/>
      <c r="R2237" s="85">
        <f ca="1">IFERROR(__xludf.DUMMYFUNCTION("""COMPUTED_VALUE"""),0)</f>
        <v>0</v>
      </c>
      <c r="S2237" s="85"/>
      <c r="T2237" s="85"/>
      <c r="U2237" s="82"/>
      <c r="V2237" s="82"/>
      <c r="W2237" s="83"/>
      <c r="X2237" s="83"/>
      <c r="Y2237" s="83"/>
    </row>
    <row r="2238" spans="1:25" ht="13.8">
      <c r="A2238" s="78" t="str">
        <f ca="1">IFERROR(__xludf.DUMMYFUNCTION("""COMPUTED_VALUE"""),"W")</f>
        <v>W</v>
      </c>
      <c r="B2238" s="79" t="str">
        <f ca="1">IFERROR(__xludf.DUMMYFUNCTION("""COMPUTED_VALUE"""),"Silas Mitchell")</f>
        <v>Silas Mitchell</v>
      </c>
      <c r="C2238" s="78">
        <f ca="1">IFERROR(__xludf.DUMMYFUNCTION("""COMPUTED_VALUE"""),15)</f>
        <v>15</v>
      </c>
      <c r="D2238" s="78" t="str">
        <f ca="1">IFERROR(__xludf.DUMMYFUNCTION("""COMPUTED_VALUE"""),"B")</f>
        <v>B</v>
      </c>
      <c r="E2238" s="80" t="str">
        <f ca="1">IFERROR(__xludf.DUMMYFUNCTION("""COMPUTED_VALUE"""),"S")</f>
        <v>S</v>
      </c>
      <c r="F2238" s="86" t="str">
        <f ca="1">IFERROR(__xludf.DUMMYFUNCTION("""COMPUTED_VALUE"""),"S")</f>
        <v>S</v>
      </c>
      <c r="G2238" s="86">
        <f ca="1">IFERROR(__xludf.DUMMYFUNCTION("""COMPUTED_VALUE"""),7)</f>
        <v>7</v>
      </c>
      <c r="H2238" s="86" t="str">
        <f ca="1">IFERROR(__xludf.DUMMYFUNCTION("""COMPUTED_VALUE"""),"W")</f>
        <v>W</v>
      </c>
      <c r="I2238" s="86">
        <f ca="1">IFERROR(__xludf.DUMMYFUNCTION("""COMPUTED_VALUE"""),9)</f>
        <v>9</v>
      </c>
      <c r="J2238" s="85">
        <f ca="1">IFERROR(__xludf.DUMMYFUNCTION("""COMPUTED_VALUE"""),1)</f>
        <v>1</v>
      </c>
      <c r="K2238" s="85">
        <f ca="1">IFERROR(__xludf.DUMMYFUNCTION("""COMPUTED_VALUE"""),131.75)</f>
        <v>131.75</v>
      </c>
      <c r="L2238" s="85">
        <f ca="1">IFERROR(__xludf.DUMMYFUNCTION("""COMPUTED_VALUE"""),0)</f>
        <v>0</v>
      </c>
      <c r="M2238" s="85"/>
      <c r="N2238" s="85">
        <f ca="1">IFERROR(__xludf.DUMMYFUNCTION("""COMPUTED_VALUE"""),0)</f>
        <v>0</v>
      </c>
      <c r="O2238" s="85"/>
      <c r="P2238" s="85">
        <f ca="1">IFERROR(__xludf.DUMMYFUNCTION("""COMPUTED_VALUE"""),131.75)</f>
        <v>131.75</v>
      </c>
      <c r="Q2238" s="85"/>
      <c r="R2238" s="85">
        <f ca="1">IFERROR(__xludf.DUMMYFUNCTION("""COMPUTED_VALUE"""),0)</f>
        <v>0</v>
      </c>
      <c r="S2238" s="85"/>
      <c r="T2238" s="85"/>
      <c r="U2238" s="82"/>
      <c r="V2238" s="82"/>
      <c r="W2238" s="83"/>
      <c r="X2238" s="83"/>
      <c r="Y2238" s="83"/>
    </row>
    <row r="2239" spans="1:25" ht="13.8">
      <c r="A2239" s="78" t="str">
        <f ca="1">IFERROR(__xludf.DUMMYFUNCTION("""COMPUTED_VALUE"""),"WC")</f>
        <v>WC</v>
      </c>
      <c r="B2239" s="79" t="str">
        <f ca="1">IFERROR(__xludf.DUMMYFUNCTION("""COMPUTED_VALUE"""),"Leyat Belay")</f>
        <v>Leyat Belay</v>
      </c>
      <c r="C2239" s="78">
        <f ca="1">IFERROR(__xludf.DUMMYFUNCTION("""COMPUTED_VALUE"""),10)</f>
        <v>10</v>
      </c>
      <c r="D2239" s="78" t="str">
        <f ca="1">IFERROR(__xludf.DUMMYFUNCTION("""COMPUTED_VALUE"""),"G")</f>
        <v>G</v>
      </c>
      <c r="E2239" s="80" t="str">
        <f ca="1">IFERROR(__xludf.DUMMYFUNCTION("""COMPUTED_VALUE"""),"F")</f>
        <v>F</v>
      </c>
      <c r="F2239" s="86" t="str">
        <f ca="1">IFERROR(__xludf.DUMMYFUNCTION("""COMPUTED_VALUE"""),"J")</f>
        <v>J</v>
      </c>
      <c r="G2239" s="86">
        <f ca="1">IFERROR(__xludf.DUMMYFUNCTION("""COMPUTED_VALUE"""),4)</f>
        <v>4</v>
      </c>
      <c r="H2239" s="86" t="str">
        <f ca="1">IFERROR(__xludf.DUMMYFUNCTION("""COMPUTED_VALUE"""),"WC")</f>
        <v>WC</v>
      </c>
      <c r="I2239" s="86">
        <f ca="1">IFERROR(__xludf.DUMMYFUNCTION("""COMPUTED_VALUE"""),2)</f>
        <v>2</v>
      </c>
      <c r="J2239" s="85">
        <f ca="1">IFERROR(__xludf.DUMMYFUNCTION("""COMPUTED_VALUE"""),1)</f>
        <v>1</v>
      </c>
      <c r="K2239" s="85">
        <f ca="1">IFERROR(__xludf.DUMMYFUNCTION("""COMPUTED_VALUE"""),26.9)</f>
        <v>26.9</v>
      </c>
      <c r="L2239" s="85">
        <f ca="1">IFERROR(__xludf.DUMMYFUNCTION("""COMPUTED_VALUE"""),0)</f>
        <v>0</v>
      </c>
      <c r="M2239" s="85"/>
      <c r="N2239" s="85">
        <f ca="1">IFERROR(__xludf.DUMMYFUNCTION("""COMPUTED_VALUE"""),26.9)</f>
        <v>26.9</v>
      </c>
      <c r="O2239" s="85"/>
      <c r="P2239" s="85">
        <f ca="1">IFERROR(__xludf.DUMMYFUNCTION("""COMPUTED_VALUE"""),0)</f>
        <v>0</v>
      </c>
      <c r="Q2239" s="85"/>
      <c r="R2239" s="85">
        <f ca="1">IFERROR(__xludf.DUMMYFUNCTION("""COMPUTED_VALUE"""),0)</f>
        <v>0</v>
      </c>
      <c r="S2239" s="85"/>
      <c r="T2239" s="85"/>
      <c r="U2239" s="82"/>
      <c r="V2239" s="82"/>
      <c r="W2239" s="83"/>
      <c r="X2239" s="83"/>
      <c r="Y2239" s="83"/>
    </row>
    <row r="2240" spans="1:25" ht="13.8">
      <c r="A2240" s="78" t="str">
        <f ca="1">IFERROR(__xludf.DUMMYFUNCTION("""COMPUTED_VALUE"""),"WC")</f>
        <v>WC</v>
      </c>
      <c r="B2240" s="79" t="str">
        <f ca="1">IFERROR(__xludf.DUMMYFUNCTION("""COMPUTED_VALUE"""),"Meena Belay")</f>
        <v>Meena Belay</v>
      </c>
      <c r="C2240" s="78">
        <f ca="1">IFERROR(__xludf.DUMMYFUNCTION("""COMPUTED_VALUE"""),7)</f>
        <v>7</v>
      </c>
      <c r="D2240" s="78" t="str">
        <f ca="1">IFERROR(__xludf.DUMMYFUNCTION("""COMPUTED_VALUE"""),"G")</f>
        <v>G</v>
      </c>
      <c r="E2240" s="80" t="str">
        <f ca="1">IFERROR(__xludf.DUMMYFUNCTION("""COMPUTED_VALUE"""),"F")</f>
        <v>F</v>
      </c>
      <c r="F2240" s="86" t="str">
        <f ca="1">IFERROR(__xludf.DUMMYFUNCTION("""COMPUTED_VALUE"""),"J")</f>
        <v>J</v>
      </c>
      <c r="G2240" s="86">
        <f ca="1">IFERROR(__xludf.DUMMYFUNCTION("""COMPUTED_VALUE"""),4)</f>
        <v>4</v>
      </c>
      <c r="H2240" s="86" t="str">
        <f ca="1">IFERROR(__xludf.DUMMYFUNCTION("""COMPUTED_VALUE"""),"WC")</f>
        <v>WC</v>
      </c>
      <c r="I2240" s="86">
        <f ca="1">IFERROR(__xludf.DUMMYFUNCTION("""COMPUTED_VALUE"""),2)</f>
        <v>2</v>
      </c>
      <c r="J2240" s="85">
        <f ca="1">IFERROR(__xludf.DUMMYFUNCTION("""COMPUTED_VALUE"""),1)</f>
        <v>1</v>
      </c>
      <c r="K2240" s="85">
        <f ca="1">IFERROR(__xludf.DUMMYFUNCTION("""COMPUTED_VALUE"""),34.45)</f>
        <v>34.450000000000003</v>
      </c>
      <c r="L2240" s="85">
        <f ca="1">IFERROR(__xludf.DUMMYFUNCTION("""COMPUTED_VALUE"""),0)</f>
        <v>0</v>
      </c>
      <c r="M2240" s="85"/>
      <c r="N2240" s="85">
        <f ca="1">IFERROR(__xludf.DUMMYFUNCTION("""COMPUTED_VALUE"""),34.45)</f>
        <v>34.450000000000003</v>
      </c>
      <c r="O2240" s="85"/>
      <c r="P2240" s="85">
        <f ca="1">IFERROR(__xludf.DUMMYFUNCTION("""COMPUTED_VALUE"""),0)</f>
        <v>0</v>
      </c>
      <c r="Q2240" s="85"/>
      <c r="R2240" s="85">
        <f ca="1">IFERROR(__xludf.DUMMYFUNCTION("""COMPUTED_VALUE"""),0)</f>
        <v>0</v>
      </c>
      <c r="S2240" s="85"/>
      <c r="T2240" s="85"/>
      <c r="U2240" s="82"/>
      <c r="V2240" s="82"/>
      <c r="W2240" s="83"/>
      <c r="X2240" s="83"/>
      <c r="Y2240" s="83"/>
    </row>
    <row r="2241" spans="1:25" ht="13.8">
      <c r="A2241" s="78" t="str">
        <f ca="1">IFERROR(__xludf.DUMMYFUNCTION("""COMPUTED_VALUE"""),"WC")</f>
        <v>WC</v>
      </c>
      <c r="B2241" s="79" t="str">
        <f ca="1">IFERROR(__xludf.DUMMYFUNCTION("""COMPUTED_VALUE"""),"Lydia Bremer")</f>
        <v>Lydia Bremer</v>
      </c>
      <c r="C2241" s="78">
        <f ca="1">IFERROR(__xludf.DUMMYFUNCTION("""COMPUTED_VALUE"""),10)</f>
        <v>10</v>
      </c>
      <c r="D2241" s="78" t="str">
        <f ca="1">IFERROR(__xludf.DUMMYFUNCTION("""COMPUTED_VALUE"""),"G")</f>
        <v>G</v>
      </c>
      <c r="E2241" s="80" t="str">
        <f ca="1">IFERROR(__xludf.DUMMYFUNCTION("""COMPUTED_VALUE"""),"F")</f>
        <v>F</v>
      </c>
      <c r="F2241" s="86" t="str">
        <f ca="1">IFERROR(__xludf.DUMMYFUNCTION("""COMPUTED_VALUE"""),"J")</f>
        <v>J</v>
      </c>
      <c r="G2241" s="86">
        <f ca="1">IFERROR(__xludf.DUMMYFUNCTION("""COMPUTED_VALUE"""),4)</f>
        <v>4</v>
      </c>
      <c r="H2241" s="86" t="str">
        <f ca="1">IFERROR(__xludf.DUMMYFUNCTION("""COMPUTED_VALUE"""),"WC")</f>
        <v>WC</v>
      </c>
      <c r="I2241" s="86">
        <f ca="1">IFERROR(__xludf.DUMMYFUNCTION("""COMPUTED_VALUE"""),2)</f>
        <v>2</v>
      </c>
      <c r="J2241" s="85">
        <f ca="1">IFERROR(__xludf.DUMMYFUNCTION("""COMPUTED_VALUE"""),3)</f>
        <v>3</v>
      </c>
      <c r="K2241" s="85">
        <f ca="1">IFERROR(__xludf.DUMMYFUNCTION("""COMPUTED_VALUE"""),50.45)</f>
        <v>50.45</v>
      </c>
      <c r="L2241" s="85">
        <f ca="1">IFERROR(__xludf.DUMMYFUNCTION("""COMPUTED_VALUE"""),0)</f>
        <v>0</v>
      </c>
      <c r="M2241" s="85"/>
      <c r="N2241" s="85">
        <f ca="1">IFERROR(__xludf.DUMMYFUNCTION("""COMPUTED_VALUE"""),0)</f>
        <v>0</v>
      </c>
      <c r="O2241" s="85"/>
      <c r="P2241" s="85">
        <f ca="1">IFERROR(__xludf.DUMMYFUNCTION("""COMPUTED_VALUE"""),40.9)</f>
        <v>40.9</v>
      </c>
      <c r="Q2241" s="85"/>
      <c r="R2241" s="85">
        <f ca="1">IFERROR(__xludf.DUMMYFUNCTION("""COMPUTED_VALUE"""),50.45)</f>
        <v>50.45</v>
      </c>
      <c r="S2241" s="85"/>
      <c r="T2241" s="85"/>
      <c r="U2241" s="82"/>
      <c r="V2241" s="82"/>
      <c r="W2241" s="83"/>
      <c r="X2241" s="83"/>
      <c r="Y2241" s="83"/>
    </row>
    <row r="2242" spans="1:25" ht="13.8">
      <c r="A2242" s="78" t="str">
        <f ca="1">IFERROR(__xludf.DUMMYFUNCTION("""COMPUTED_VALUE"""),"WC")</f>
        <v>WC</v>
      </c>
      <c r="B2242" s="79" t="str">
        <f ca="1">IFERROR(__xludf.DUMMYFUNCTION("""COMPUTED_VALUE"""),"Annabelle Ebaugh")</f>
        <v>Annabelle Ebaugh</v>
      </c>
      <c r="C2242" s="78">
        <f ca="1">IFERROR(__xludf.DUMMYFUNCTION("""COMPUTED_VALUE"""),10)</f>
        <v>10</v>
      </c>
      <c r="D2242" s="78" t="str">
        <f ca="1">IFERROR(__xludf.DUMMYFUNCTION("""COMPUTED_VALUE"""),"G")</f>
        <v>G</v>
      </c>
      <c r="E2242" s="80" t="str">
        <f ca="1">IFERROR(__xludf.DUMMYFUNCTION("""COMPUTED_VALUE"""),"F")</f>
        <v>F</v>
      </c>
      <c r="F2242" s="86" t="str">
        <f ca="1">IFERROR(__xludf.DUMMYFUNCTION("""COMPUTED_VALUE"""),"J")</f>
        <v>J</v>
      </c>
      <c r="G2242" s="86">
        <f ca="1">IFERROR(__xludf.DUMMYFUNCTION("""COMPUTED_VALUE"""),4)</f>
        <v>4</v>
      </c>
      <c r="H2242" s="86" t="str">
        <f ca="1">IFERROR(__xludf.DUMMYFUNCTION("""COMPUTED_VALUE"""),"WC")</f>
        <v>WC</v>
      </c>
      <c r="I2242" s="86">
        <f ca="1">IFERROR(__xludf.DUMMYFUNCTION("""COMPUTED_VALUE"""),2)</f>
        <v>2</v>
      </c>
      <c r="J2242" s="85">
        <f ca="1">IFERROR(__xludf.DUMMYFUNCTION("""COMPUTED_VALUE"""),4)</f>
        <v>4</v>
      </c>
      <c r="K2242" s="85">
        <f ca="1">IFERROR(__xludf.DUMMYFUNCTION("""COMPUTED_VALUE"""),68.9)</f>
        <v>68.900000000000006</v>
      </c>
      <c r="L2242" s="85">
        <f ca="1">IFERROR(__xludf.DUMMYFUNCTION("""COMPUTED_VALUE"""),66.1)</f>
        <v>66.099999999999994</v>
      </c>
      <c r="M2242" s="85"/>
      <c r="N2242" s="85">
        <f ca="1">IFERROR(__xludf.DUMMYFUNCTION("""COMPUTED_VALUE"""),0)</f>
        <v>0</v>
      </c>
      <c r="O2242" s="85"/>
      <c r="P2242" s="85">
        <f ca="1">IFERROR(__xludf.DUMMYFUNCTION("""COMPUTED_VALUE"""),68.9)</f>
        <v>68.900000000000006</v>
      </c>
      <c r="Q2242" s="85"/>
      <c r="R2242" s="85">
        <f ca="1">IFERROR(__xludf.DUMMYFUNCTION("""COMPUTED_VALUE"""),48.65)</f>
        <v>48.65</v>
      </c>
      <c r="S2242" s="85"/>
      <c r="T2242" s="85"/>
      <c r="U2242" s="82"/>
      <c r="V2242" s="82"/>
      <c r="W2242" s="83"/>
      <c r="X2242" s="83"/>
      <c r="Y2242" s="83"/>
    </row>
    <row r="2243" spans="1:25" ht="13.8">
      <c r="A2243" s="78" t="str">
        <f ca="1">IFERROR(__xludf.DUMMYFUNCTION("""COMPUTED_VALUE"""),"WC")</f>
        <v>WC</v>
      </c>
      <c r="B2243" s="79" t="str">
        <f ca="1">IFERROR(__xludf.DUMMYFUNCTION("""COMPUTED_VALUE"""),"Kaitlin Ebaugh")</f>
        <v>Kaitlin Ebaugh</v>
      </c>
      <c r="C2243" s="78">
        <f ca="1">IFERROR(__xludf.DUMMYFUNCTION("""COMPUTED_VALUE"""),7)</f>
        <v>7</v>
      </c>
      <c r="D2243" s="78" t="str">
        <f ca="1">IFERROR(__xludf.DUMMYFUNCTION("""COMPUTED_VALUE"""),"G")</f>
        <v>G</v>
      </c>
      <c r="E2243" s="80" t="str">
        <f ca="1">IFERROR(__xludf.DUMMYFUNCTION("""COMPUTED_VALUE"""),"F")</f>
        <v>F</v>
      </c>
      <c r="F2243" s="86" t="str">
        <f ca="1">IFERROR(__xludf.DUMMYFUNCTION("""COMPUTED_VALUE"""),"J")</f>
        <v>J</v>
      </c>
      <c r="G2243" s="86">
        <f ca="1">IFERROR(__xludf.DUMMYFUNCTION("""COMPUTED_VALUE"""),4)</f>
        <v>4</v>
      </c>
      <c r="H2243" s="86" t="str">
        <f ca="1">IFERROR(__xludf.DUMMYFUNCTION("""COMPUTED_VALUE"""),"WC")</f>
        <v>WC</v>
      </c>
      <c r="I2243" s="86">
        <f ca="1">IFERROR(__xludf.DUMMYFUNCTION("""COMPUTED_VALUE"""),2)</f>
        <v>2</v>
      </c>
      <c r="J2243" s="85">
        <f ca="1">IFERROR(__xludf.DUMMYFUNCTION("""COMPUTED_VALUE"""),0)</f>
        <v>0</v>
      </c>
      <c r="K2243" s="85">
        <f ca="1">IFERROR(__xludf.DUMMYFUNCTION("""COMPUTED_VALUE"""),0)</f>
        <v>0</v>
      </c>
      <c r="L2243" s="85">
        <f ca="1">IFERROR(__xludf.DUMMYFUNCTION("""COMPUTED_VALUE"""),0)</f>
        <v>0</v>
      </c>
      <c r="M2243" s="85"/>
      <c r="N2243" s="85">
        <f ca="1">IFERROR(__xludf.DUMMYFUNCTION("""COMPUTED_VALUE"""),0)</f>
        <v>0</v>
      </c>
      <c r="O2243" s="85"/>
      <c r="P2243" s="85">
        <f ca="1">IFERROR(__xludf.DUMMYFUNCTION("""COMPUTED_VALUE"""),0)</f>
        <v>0</v>
      </c>
      <c r="Q2243" s="85"/>
      <c r="R2243" s="85">
        <f ca="1">IFERROR(__xludf.DUMMYFUNCTION("""COMPUTED_VALUE"""),0)</f>
        <v>0</v>
      </c>
      <c r="S2243" s="85"/>
      <c r="T2243" s="85"/>
      <c r="U2243" s="82"/>
      <c r="V2243" s="82"/>
      <c r="W2243" s="83"/>
      <c r="X2243" s="83"/>
      <c r="Y2243" s="83"/>
    </row>
    <row r="2244" spans="1:25" ht="13.8">
      <c r="A2244" s="78" t="str">
        <f ca="1">IFERROR(__xludf.DUMMYFUNCTION("""COMPUTED_VALUE"""),"WC")</f>
        <v>WC</v>
      </c>
      <c r="B2244" s="79" t="str">
        <f ca="1">IFERROR(__xludf.DUMMYFUNCTION("""COMPUTED_VALUE"""),"Emily Fay")</f>
        <v>Emily Fay</v>
      </c>
      <c r="C2244" s="78">
        <f ca="1">IFERROR(__xludf.DUMMYFUNCTION("""COMPUTED_VALUE"""),9)</f>
        <v>9</v>
      </c>
      <c r="D2244" s="78" t="str">
        <f ca="1">IFERROR(__xludf.DUMMYFUNCTION("""COMPUTED_VALUE"""),"G")</f>
        <v>G</v>
      </c>
      <c r="E2244" s="80" t="str">
        <f ca="1">IFERROR(__xludf.DUMMYFUNCTION("""COMPUTED_VALUE"""),"F")</f>
        <v>F</v>
      </c>
      <c r="F2244" s="86" t="str">
        <f ca="1">IFERROR(__xludf.DUMMYFUNCTION("""COMPUTED_VALUE"""),"J")</f>
        <v>J</v>
      </c>
      <c r="G2244" s="86">
        <f ca="1">IFERROR(__xludf.DUMMYFUNCTION("""COMPUTED_VALUE"""),4)</f>
        <v>4</v>
      </c>
      <c r="H2244" s="86" t="str">
        <f ca="1">IFERROR(__xludf.DUMMYFUNCTION("""COMPUTED_VALUE"""),"WC")</f>
        <v>WC</v>
      </c>
      <c r="I2244" s="86">
        <f ca="1">IFERROR(__xludf.DUMMYFUNCTION("""COMPUTED_VALUE"""),2)</f>
        <v>2</v>
      </c>
      <c r="J2244" s="85">
        <f ca="1">IFERROR(__xludf.DUMMYFUNCTION("""COMPUTED_VALUE"""),3)</f>
        <v>3</v>
      </c>
      <c r="K2244" s="85">
        <f ca="1">IFERROR(__xludf.DUMMYFUNCTION("""COMPUTED_VALUE"""),63.5)</f>
        <v>63.5</v>
      </c>
      <c r="L2244" s="85">
        <f ca="1">IFERROR(__xludf.DUMMYFUNCTION("""COMPUTED_VALUE"""),0)</f>
        <v>0</v>
      </c>
      <c r="M2244" s="85"/>
      <c r="N2244" s="85">
        <f ca="1">IFERROR(__xludf.DUMMYFUNCTION("""COMPUTED_VALUE"""),0)</f>
        <v>0</v>
      </c>
      <c r="O2244" s="85"/>
      <c r="P2244" s="85">
        <f ca="1">IFERROR(__xludf.DUMMYFUNCTION("""COMPUTED_VALUE"""),63.5)</f>
        <v>63.5</v>
      </c>
      <c r="Q2244" s="85"/>
      <c r="R2244" s="85">
        <f ca="1">IFERROR(__xludf.DUMMYFUNCTION("""COMPUTED_VALUE"""),54.15)</f>
        <v>54.15</v>
      </c>
      <c r="S2244" s="85"/>
      <c r="T2244" s="85"/>
      <c r="U2244" s="82"/>
      <c r="V2244" s="82"/>
      <c r="W2244" s="83"/>
      <c r="X2244" s="83"/>
      <c r="Y2244" s="83"/>
    </row>
    <row r="2245" spans="1:25" ht="13.8">
      <c r="A2245" s="78" t="str">
        <f ca="1">IFERROR(__xludf.DUMMYFUNCTION("""COMPUTED_VALUE"""),"WC")</f>
        <v>WC</v>
      </c>
      <c r="B2245" s="79" t="str">
        <f ca="1">IFERROR(__xludf.DUMMYFUNCTION("""COMPUTED_VALUE"""),"Natalie Geffen")</f>
        <v>Natalie Geffen</v>
      </c>
      <c r="C2245" s="78">
        <f ca="1">IFERROR(__xludf.DUMMYFUNCTION("""COMPUTED_VALUE"""),8)</f>
        <v>8</v>
      </c>
      <c r="D2245" s="78" t="str">
        <f ca="1">IFERROR(__xludf.DUMMYFUNCTION("""COMPUTED_VALUE"""),"G")</f>
        <v>G</v>
      </c>
      <c r="E2245" s="80" t="str">
        <f ca="1">IFERROR(__xludf.DUMMYFUNCTION("""COMPUTED_VALUE"""),"F")</f>
        <v>F</v>
      </c>
      <c r="F2245" s="86" t="str">
        <f ca="1">IFERROR(__xludf.DUMMYFUNCTION("""COMPUTED_VALUE"""),"J")</f>
        <v>J</v>
      </c>
      <c r="G2245" s="86">
        <f ca="1">IFERROR(__xludf.DUMMYFUNCTION("""COMPUTED_VALUE"""),4)</f>
        <v>4</v>
      </c>
      <c r="H2245" s="86" t="str">
        <f ca="1">IFERROR(__xludf.DUMMYFUNCTION("""COMPUTED_VALUE"""),"WC")</f>
        <v>WC</v>
      </c>
      <c r="I2245" s="86">
        <f ca="1">IFERROR(__xludf.DUMMYFUNCTION("""COMPUTED_VALUE"""),2)</f>
        <v>2</v>
      </c>
      <c r="J2245" s="85">
        <f ca="1">IFERROR(__xludf.DUMMYFUNCTION("""COMPUTED_VALUE"""),0)</f>
        <v>0</v>
      </c>
      <c r="K2245" s="85">
        <f ca="1">IFERROR(__xludf.DUMMYFUNCTION("""COMPUTED_VALUE"""),0)</f>
        <v>0</v>
      </c>
      <c r="L2245" s="85">
        <f ca="1">IFERROR(__xludf.DUMMYFUNCTION("""COMPUTED_VALUE"""),0)</f>
        <v>0</v>
      </c>
      <c r="M2245" s="85"/>
      <c r="N2245" s="85">
        <f ca="1">IFERROR(__xludf.DUMMYFUNCTION("""COMPUTED_VALUE"""),0)</f>
        <v>0</v>
      </c>
      <c r="O2245" s="85"/>
      <c r="P2245" s="85">
        <f ca="1">IFERROR(__xludf.DUMMYFUNCTION("""COMPUTED_VALUE"""),0)</f>
        <v>0</v>
      </c>
      <c r="Q2245" s="85"/>
      <c r="R2245" s="85">
        <f ca="1">IFERROR(__xludf.DUMMYFUNCTION("""COMPUTED_VALUE"""),0)</f>
        <v>0</v>
      </c>
      <c r="S2245" s="85"/>
      <c r="T2245" s="85"/>
      <c r="U2245" s="82"/>
      <c r="V2245" s="82"/>
      <c r="W2245" s="83"/>
      <c r="X2245" s="83"/>
      <c r="Y2245" s="83"/>
    </row>
    <row r="2246" spans="1:25" ht="13.8">
      <c r="A2246" s="78" t="str">
        <f ca="1">IFERROR(__xludf.DUMMYFUNCTION("""COMPUTED_VALUE"""),"WC")</f>
        <v>WC</v>
      </c>
      <c r="B2246" s="79" t="str">
        <f ca="1">IFERROR(__xludf.DUMMYFUNCTION("""COMPUTED_VALUE"""),"Erin Grinnell")</f>
        <v>Erin Grinnell</v>
      </c>
      <c r="C2246" s="78">
        <f ca="1">IFERROR(__xludf.DUMMYFUNCTION("""COMPUTED_VALUE"""),10)</f>
        <v>10</v>
      </c>
      <c r="D2246" s="78" t="str">
        <f ca="1">IFERROR(__xludf.DUMMYFUNCTION("""COMPUTED_VALUE"""),"G")</f>
        <v>G</v>
      </c>
      <c r="E2246" s="80" t="str">
        <f ca="1">IFERROR(__xludf.DUMMYFUNCTION("""COMPUTED_VALUE"""),"F")</f>
        <v>F</v>
      </c>
      <c r="F2246" s="86" t="str">
        <f ca="1">IFERROR(__xludf.DUMMYFUNCTION("""COMPUTED_VALUE"""),"J")</f>
        <v>J</v>
      </c>
      <c r="G2246" s="86">
        <f ca="1">IFERROR(__xludf.DUMMYFUNCTION("""COMPUTED_VALUE"""),4)</f>
        <v>4</v>
      </c>
      <c r="H2246" s="86" t="str">
        <f ca="1">IFERROR(__xludf.DUMMYFUNCTION("""COMPUTED_VALUE"""),"WC")</f>
        <v>WC</v>
      </c>
      <c r="I2246" s="86">
        <f ca="1">IFERROR(__xludf.DUMMYFUNCTION("""COMPUTED_VALUE"""),2)</f>
        <v>2</v>
      </c>
      <c r="J2246" s="85">
        <f ca="1">IFERROR(__xludf.DUMMYFUNCTION("""COMPUTED_VALUE"""),5)</f>
        <v>5</v>
      </c>
      <c r="K2246" s="85">
        <f ca="1">IFERROR(__xludf.DUMMYFUNCTION("""COMPUTED_VALUE"""),40.4)</f>
        <v>40.4</v>
      </c>
      <c r="L2246" s="85">
        <f ca="1">IFERROR(__xludf.DUMMYFUNCTION("""COMPUTED_VALUE"""),38.35)</f>
        <v>38.35</v>
      </c>
      <c r="M2246" s="85"/>
      <c r="N2246" s="85">
        <f ca="1">IFERROR(__xludf.DUMMYFUNCTION("""COMPUTED_VALUE"""),29.9)</f>
        <v>29.9</v>
      </c>
      <c r="O2246" s="85"/>
      <c r="P2246" s="85">
        <f ca="1">IFERROR(__xludf.DUMMYFUNCTION("""COMPUTED_VALUE"""),40.4)</f>
        <v>40.4</v>
      </c>
      <c r="Q2246" s="85"/>
      <c r="R2246" s="85">
        <f ca="1">IFERROR(__xludf.DUMMYFUNCTION("""COMPUTED_VALUE"""),35.25)</f>
        <v>35.25</v>
      </c>
      <c r="S2246" s="85"/>
      <c r="T2246" s="85"/>
      <c r="U2246" s="82"/>
      <c r="V2246" s="82"/>
      <c r="W2246" s="83"/>
      <c r="X2246" s="83"/>
      <c r="Y2246" s="83"/>
    </row>
    <row r="2247" spans="1:25" ht="13.8">
      <c r="A2247" s="78" t="str">
        <f ca="1">IFERROR(__xludf.DUMMYFUNCTION("""COMPUTED_VALUE"""),"WC")</f>
        <v>WC</v>
      </c>
      <c r="B2247" s="79" t="str">
        <f ca="1">IFERROR(__xludf.DUMMYFUNCTION("""COMPUTED_VALUE"""),"Ryleigh Lamb")</f>
        <v>Ryleigh Lamb</v>
      </c>
      <c r="C2247" s="78">
        <f ca="1">IFERROR(__xludf.DUMMYFUNCTION("""COMPUTED_VALUE"""),7)</f>
        <v>7</v>
      </c>
      <c r="D2247" s="78" t="str">
        <f ca="1">IFERROR(__xludf.DUMMYFUNCTION("""COMPUTED_VALUE"""),"G")</f>
        <v>G</v>
      </c>
      <c r="E2247" s="80" t="str">
        <f ca="1">IFERROR(__xludf.DUMMYFUNCTION("""COMPUTED_VALUE"""),"F")</f>
        <v>F</v>
      </c>
      <c r="F2247" s="86" t="str">
        <f ca="1">IFERROR(__xludf.DUMMYFUNCTION("""COMPUTED_VALUE"""),"J")</f>
        <v>J</v>
      </c>
      <c r="G2247" s="86">
        <f ca="1">IFERROR(__xludf.DUMMYFUNCTION("""COMPUTED_VALUE"""),4)</f>
        <v>4</v>
      </c>
      <c r="H2247" s="86" t="str">
        <f ca="1">IFERROR(__xludf.DUMMYFUNCTION("""COMPUTED_VALUE"""),"WC")</f>
        <v>WC</v>
      </c>
      <c r="I2247" s="86">
        <f ca="1">IFERROR(__xludf.DUMMYFUNCTION("""COMPUTED_VALUE"""),2)</f>
        <v>2</v>
      </c>
      <c r="J2247" s="85">
        <f ca="1">IFERROR(__xludf.DUMMYFUNCTION("""COMPUTED_VALUE"""),1)</f>
        <v>1</v>
      </c>
      <c r="K2247" s="85">
        <f ca="1">IFERROR(__xludf.DUMMYFUNCTION("""COMPUTED_VALUE"""),0)</f>
        <v>0</v>
      </c>
      <c r="L2247" s="85">
        <f ca="1">IFERROR(__xludf.DUMMYFUNCTION("""COMPUTED_VALUE"""),0)</f>
        <v>0</v>
      </c>
      <c r="M2247" s="85"/>
      <c r="N2247" s="85">
        <f ca="1">IFERROR(__xludf.DUMMYFUNCTION("""COMPUTED_VALUE"""),0)</f>
        <v>0</v>
      </c>
      <c r="O2247" s="85"/>
      <c r="P2247" s="85">
        <f ca="1">IFERROR(__xludf.DUMMYFUNCTION("""COMPUTED_VALUE"""),0)</f>
        <v>0</v>
      </c>
      <c r="Q2247" s="85"/>
      <c r="R2247" s="85">
        <f ca="1">IFERROR(__xludf.DUMMYFUNCTION("""COMPUTED_VALUE"""),0)</f>
        <v>0</v>
      </c>
      <c r="S2247" s="85"/>
      <c r="T2247" s="85"/>
      <c r="U2247" s="82"/>
      <c r="V2247" s="82"/>
      <c r="W2247" s="83"/>
      <c r="X2247" s="83"/>
      <c r="Y2247" s="83"/>
    </row>
    <row r="2248" spans="1:25" ht="13.8">
      <c r="A2248" s="78" t="str">
        <f ca="1">IFERROR(__xludf.DUMMYFUNCTION("""COMPUTED_VALUE"""),"WC")</f>
        <v>WC</v>
      </c>
      <c r="B2248" s="79" t="str">
        <f ca="1">IFERROR(__xludf.DUMMYFUNCTION("""COMPUTED_VALUE"""),"Eleanor Manos")</f>
        <v>Eleanor Manos</v>
      </c>
      <c r="C2248" s="78">
        <f ca="1">IFERROR(__xludf.DUMMYFUNCTION("""COMPUTED_VALUE"""),9)</f>
        <v>9</v>
      </c>
      <c r="D2248" s="78" t="str">
        <f ca="1">IFERROR(__xludf.DUMMYFUNCTION("""COMPUTED_VALUE"""),"G")</f>
        <v>G</v>
      </c>
      <c r="E2248" s="80" t="str">
        <f ca="1">IFERROR(__xludf.DUMMYFUNCTION("""COMPUTED_VALUE"""),"F")</f>
        <v>F</v>
      </c>
      <c r="F2248" s="86" t="str">
        <f ca="1">IFERROR(__xludf.DUMMYFUNCTION("""COMPUTED_VALUE"""),"J")</f>
        <v>J</v>
      </c>
      <c r="G2248" s="86">
        <f ca="1">IFERROR(__xludf.DUMMYFUNCTION("""COMPUTED_VALUE"""),4)</f>
        <v>4</v>
      </c>
      <c r="H2248" s="86" t="str">
        <f ca="1">IFERROR(__xludf.DUMMYFUNCTION("""COMPUTED_VALUE"""),"WC")</f>
        <v>WC</v>
      </c>
      <c r="I2248" s="86">
        <f ca="1">IFERROR(__xludf.DUMMYFUNCTION("""COMPUTED_VALUE"""),2)</f>
        <v>2</v>
      </c>
      <c r="J2248" s="85">
        <f ca="1">IFERROR(__xludf.DUMMYFUNCTION("""COMPUTED_VALUE"""),5)</f>
        <v>5</v>
      </c>
      <c r="K2248" s="85">
        <f ca="1">IFERROR(__xludf.DUMMYFUNCTION("""COMPUTED_VALUE"""),55.35)</f>
        <v>55.35</v>
      </c>
      <c r="L2248" s="85">
        <f ca="1">IFERROR(__xludf.DUMMYFUNCTION("""COMPUTED_VALUE"""),55.35)</f>
        <v>55.35</v>
      </c>
      <c r="M2248" s="85"/>
      <c r="N2248" s="85">
        <f ca="1">IFERROR(__xludf.DUMMYFUNCTION("""COMPUTED_VALUE"""),39.25)</f>
        <v>39.25</v>
      </c>
      <c r="O2248" s="85"/>
      <c r="P2248" s="85">
        <f ca="1">IFERROR(__xludf.DUMMYFUNCTION("""COMPUTED_VALUE"""),47.6)</f>
        <v>47.6</v>
      </c>
      <c r="Q2248" s="85"/>
      <c r="R2248" s="85">
        <f ca="1">IFERROR(__xludf.DUMMYFUNCTION("""COMPUTED_VALUE"""),42.6)</f>
        <v>42.6</v>
      </c>
      <c r="S2248" s="85"/>
      <c r="T2248" s="85"/>
      <c r="U2248" s="82"/>
      <c r="V2248" s="82"/>
      <c r="W2248" s="83"/>
      <c r="X2248" s="83"/>
      <c r="Y2248" s="83"/>
    </row>
    <row r="2249" spans="1:25" ht="13.8">
      <c r="A2249" s="78" t="str">
        <f ca="1">IFERROR(__xludf.DUMMYFUNCTION("""COMPUTED_VALUE"""),"WC")</f>
        <v>WC</v>
      </c>
      <c r="B2249" s="79" t="str">
        <f ca="1">IFERROR(__xludf.DUMMYFUNCTION("""COMPUTED_VALUE"""),"Emma Naing")</f>
        <v>Emma Naing</v>
      </c>
      <c r="C2249" s="78">
        <f ca="1">IFERROR(__xludf.DUMMYFUNCTION("""COMPUTED_VALUE"""),8)</f>
        <v>8</v>
      </c>
      <c r="D2249" s="78" t="str">
        <f ca="1">IFERROR(__xludf.DUMMYFUNCTION("""COMPUTED_VALUE"""),"G")</f>
        <v>G</v>
      </c>
      <c r="E2249" s="80" t="str">
        <f ca="1">IFERROR(__xludf.DUMMYFUNCTION("""COMPUTED_VALUE"""),"F")</f>
        <v>F</v>
      </c>
      <c r="F2249" s="86" t="str">
        <f ca="1">IFERROR(__xludf.DUMMYFUNCTION("""COMPUTED_VALUE"""),"J")</f>
        <v>J</v>
      </c>
      <c r="G2249" s="86">
        <f ca="1">IFERROR(__xludf.DUMMYFUNCTION("""COMPUTED_VALUE"""),4)</f>
        <v>4</v>
      </c>
      <c r="H2249" s="86" t="str">
        <f ca="1">IFERROR(__xludf.DUMMYFUNCTION("""COMPUTED_VALUE"""),"WC")</f>
        <v>WC</v>
      </c>
      <c r="I2249" s="86">
        <f ca="1">IFERROR(__xludf.DUMMYFUNCTION("""COMPUTED_VALUE"""),2)</f>
        <v>2</v>
      </c>
      <c r="J2249" s="85">
        <f ca="1">IFERROR(__xludf.DUMMYFUNCTION("""COMPUTED_VALUE"""),0)</f>
        <v>0</v>
      </c>
      <c r="K2249" s="85">
        <f ca="1">IFERROR(__xludf.DUMMYFUNCTION("""COMPUTED_VALUE"""),0)</f>
        <v>0</v>
      </c>
      <c r="L2249" s="85">
        <f ca="1">IFERROR(__xludf.DUMMYFUNCTION("""COMPUTED_VALUE"""),0)</f>
        <v>0</v>
      </c>
      <c r="M2249" s="85"/>
      <c r="N2249" s="85">
        <f ca="1">IFERROR(__xludf.DUMMYFUNCTION("""COMPUTED_VALUE"""),0)</f>
        <v>0</v>
      </c>
      <c r="O2249" s="85"/>
      <c r="P2249" s="85">
        <f ca="1">IFERROR(__xludf.DUMMYFUNCTION("""COMPUTED_VALUE"""),0)</f>
        <v>0</v>
      </c>
      <c r="Q2249" s="85"/>
      <c r="R2249" s="85">
        <f ca="1">IFERROR(__xludf.DUMMYFUNCTION("""COMPUTED_VALUE"""),0)</f>
        <v>0</v>
      </c>
      <c r="S2249" s="85"/>
      <c r="T2249" s="85"/>
      <c r="U2249" s="82"/>
      <c r="V2249" s="82"/>
      <c r="W2249" s="83"/>
      <c r="X2249" s="83"/>
      <c r="Y2249" s="83"/>
    </row>
    <row r="2250" spans="1:25" ht="13.8">
      <c r="A2250" s="78" t="str">
        <f ca="1">IFERROR(__xludf.DUMMYFUNCTION("""COMPUTED_VALUE"""),"WC")</f>
        <v>WC</v>
      </c>
      <c r="B2250" s="79" t="str">
        <f ca="1">IFERROR(__xludf.DUMMYFUNCTION("""COMPUTED_VALUE"""),"Isabella Naing")</f>
        <v>Isabella Naing</v>
      </c>
      <c r="C2250" s="78">
        <f ca="1">IFERROR(__xludf.DUMMYFUNCTION("""COMPUTED_VALUE"""),10)</f>
        <v>10</v>
      </c>
      <c r="D2250" s="78" t="str">
        <f ca="1">IFERROR(__xludf.DUMMYFUNCTION("""COMPUTED_VALUE"""),"G")</f>
        <v>G</v>
      </c>
      <c r="E2250" s="80" t="str">
        <f ca="1">IFERROR(__xludf.DUMMYFUNCTION("""COMPUTED_VALUE"""),"F")</f>
        <v>F</v>
      </c>
      <c r="F2250" s="86" t="str">
        <f ca="1">IFERROR(__xludf.DUMMYFUNCTION("""COMPUTED_VALUE"""),"J")</f>
        <v>J</v>
      </c>
      <c r="G2250" s="86">
        <f ca="1">IFERROR(__xludf.DUMMYFUNCTION("""COMPUTED_VALUE"""),4)</f>
        <v>4</v>
      </c>
      <c r="H2250" s="86" t="str">
        <f ca="1">IFERROR(__xludf.DUMMYFUNCTION("""COMPUTED_VALUE"""),"WC")</f>
        <v>WC</v>
      </c>
      <c r="I2250" s="86">
        <f ca="1">IFERROR(__xludf.DUMMYFUNCTION("""COMPUTED_VALUE"""),2)</f>
        <v>2</v>
      </c>
      <c r="J2250" s="85">
        <f ca="1">IFERROR(__xludf.DUMMYFUNCTION("""COMPUTED_VALUE"""),0)</f>
        <v>0</v>
      </c>
      <c r="K2250" s="85">
        <f ca="1">IFERROR(__xludf.DUMMYFUNCTION("""COMPUTED_VALUE"""),0)</f>
        <v>0</v>
      </c>
      <c r="L2250" s="85">
        <f ca="1">IFERROR(__xludf.DUMMYFUNCTION("""COMPUTED_VALUE"""),0)</f>
        <v>0</v>
      </c>
      <c r="M2250" s="85"/>
      <c r="N2250" s="85">
        <f ca="1">IFERROR(__xludf.DUMMYFUNCTION("""COMPUTED_VALUE"""),0)</f>
        <v>0</v>
      </c>
      <c r="O2250" s="85"/>
      <c r="P2250" s="85">
        <f ca="1">IFERROR(__xludf.DUMMYFUNCTION("""COMPUTED_VALUE"""),0)</f>
        <v>0</v>
      </c>
      <c r="Q2250" s="85"/>
      <c r="R2250" s="85">
        <f ca="1">IFERROR(__xludf.DUMMYFUNCTION("""COMPUTED_VALUE"""),0)</f>
        <v>0</v>
      </c>
      <c r="S2250" s="85"/>
      <c r="T2250" s="85"/>
      <c r="U2250" s="82"/>
      <c r="V2250" s="82"/>
      <c r="W2250" s="83"/>
      <c r="X2250" s="83"/>
      <c r="Y2250" s="83"/>
    </row>
    <row r="2251" spans="1:25" ht="13.8">
      <c r="A2251" s="78" t="str">
        <f ca="1">IFERROR(__xludf.DUMMYFUNCTION("""COMPUTED_VALUE"""),"WC")</f>
        <v>WC</v>
      </c>
      <c r="B2251" s="79" t="str">
        <f ca="1">IFERROR(__xludf.DUMMYFUNCTION("""COMPUTED_VALUE"""),"Ana Negrelli")</f>
        <v>Ana Negrelli</v>
      </c>
      <c r="C2251" s="78">
        <f ca="1">IFERROR(__xludf.DUMMYFUNCTION("""COMPUTED_VALUE"""),7)</f>
        <v>7</v>
      </c>
      <c r="D2251" s="78" t="str">
        <f ca="1">IFERROR(__xludf.DUMMYFUNCTION("""COMPUTED_VALUE"""),"G")</f>
        <v>G</v>
      </c>
      <c r="E2251" s="80" t="str">
        <f ca="1">IFERROR(__xludf.DUMMYFUNCTION("""COMPUTED_VALUE"""),"F")</f>
        <v>F</v>
      </c>
      <c r="F2251" s="86" t="str">
        <f ca="1">IFERROR(__xludf.DUMMYFUNCTION("""COMPUTED_VALUE"""),"J")</f>
        <v>J</v>
      </c>
      <c r="G2251" s="86">
        <f ca="1">IFERROR(__xludf.DUMMYFUNCTION("""COMPUTED_VALUE"""),4)</f>
        <v>4</v>
      </c>
      <c r="H2251" s="86" t="str">
        <f ca="1">IFERROR(__xludf.DUMMYFUNCTION("""COMPUTED_VALUE"""),"WC")</f>
        <v>WC</v>
      </c>
      <c r="I2251" s="86">
        <f ca="1">IFERROR(__xludf.DUMMYFUNCTION("""COMPUTED_VALUE"""),2)</f>
        <v>2</v>
      </c>
      <c r="J2251" s="85">
        <f ca="1">IFERROR(__xludf.DUMMYFUNCTION("""COMPUTED_VALUE"""),0)</f>
        <v>0</v>
      </c>
      <c r="K2251" s="85">
        <f ca="1">IFERROR(__xludf.DUMMYFUNCTION("""COMPUTED_VALUE"""),0)</f>
        <v>0</v>
      </c>
      <c r="L2251" s="85">
        <f ca="1">IFERROR(__xludf.DUMMYFUNCTION("""COMPUTED_VALUE"""),0)</f>
        <v>0</v>
      </c>
      <c r="M2251" s="85"/>
      <c r="N2251" s="85">
        <f ca="1">IFERROR(__xludf.DUMMYFUNCTION("""COMPUTED_VALUE"""),0)</f>
        <v>0</v>
      </c>
      <c r="O2251" s="85"/>
      <c r="P2251" s="85">
        <f ca="1">IFERROR(__xludf.DUMMYFUNCTION("""COMPUTED_VALUE"""),0)</f>
        <v>0</v>
      </c>
      <c r="Q2251" s="85"/>
      <c r="R2251" s="85">
        <f ca="1">IFERROR(__xludf.DUMMYFUNCTION("""COMPUTED_VALUE"""),0)</f>
        <v>0</v>
      </c>
      <c r="S2251" s="85"/>
      <c r="T2251" s="85"/>
      <c r="U2251" s="82"/>
      <c r="V2251" s="82"/>
      <c r="W2251" s="83"/>
      <c r="X2251" s="83"/>
      <c r="Y2251" s="83"/>
    </row>
    <row r="2252" spans="1:25" ht="13.8">
      <c r="A2252" s="78" t="str">
        <f ca="1">IFERROR(__xludf.DUMMYFUNCTION("""COMPUTED_VALUE"""),"WC")</f>
        <v>WC</v>
      </c>
      <c r="B2252" s="79" t="str">
        <f ca="1">IFERROR(__xludf.DUMMYFUNCTION("""COMPUTED_VALUE"""),"Eva Negrelli")</f>
        <v>Eva Negrelli</v>
      </c>
      <c r="C2252" s="78">
        <f ca="1">IFERROR(__xludf.DUMMYFUNCTION("""COMPUTED_VALUE"""),9)</f>
        <v>9</v>
      </c>
      <c r="D2252" s="78" t="str">
        <f ca="1">IFERROR(__xludf.DUMMYFUNCTION("""COMPUTED_VALUE"""),"G")</f>
        <v>G</v>
      </c>
      <c r="E2252" s="80" t="str">
        <f ca="1">IFERROR(__xludf.DUMMYFUNCTION("""COMPUTED_VALUE"""),"F")</f>
        <v>F</v>
      </c>
      <c r="F2252" s="86" t="str">
        <f ca="1">IFERROR(__xludf.DUMMYFUNCTION("""COMPUTED_VALUE"""),"J")</f>
        <v>J</v>
      </c>
      <c r="G2252" s="86">
        <f ca="1">IFERROR(__xludf.DUMMYFUNCTION("""COMPUTED_VALUE"""),4)</f>
        <v>4</v>
      </c>
      <c r="H2252" s="86" t="str">
        <f ca="1">IFERROR(__xludf.DUMMYFUNCTION("""COMPUTED_VALUE"""),"WC")</f>
        <v>WC</v>
      </c>
      <c r="I2252" s="86">
        <f ca="1">IFERROR(__xludf.DUMMYFUNCTION("""COMPUTED_VALUE"""),2)</f>
        <v>2</v>
      </c>
      <c r="J2252" s="85">
        <f ca="1">IFERROR(__xludf.DUMMYFUNCTION("""COMPUTED_VALUE"""),5)</f>
        <v>5</v>
      </c>
      <c r="K2252" s="85">
        <f ca="1">IFERROR(__xludf.DUMMYFUNCTION("""COMPUTED_VALUE"""),57.5)</f>
        <v>57.5</v>
      </c>
      <c r="L2252" s="85">
        <f ca="1">IFERROR(__xludf.DUMMYFUNCTION("""COMPUTED_VALUE"""),28)</f>
        <v>28</v>
      </c>
      <c r="M2252" s="85"/>
      <c r="N2252" s="85">
        <f ca="1">IFERROR(__xludf.DUMMYFUNCTION("""COMPUTED_VALUE"""),53.05)</f>
        <v>53.05</v>
      </c>
      <c r="O2252" s="85"/>
      <c r="P2252" s="85">
        <f ca="1">IFERROR(__xludf.DUMMYFUNCTION("""COMPUTED_VALUE"""),57.5)</f>
        <v>57.5</v>
      </c>
      <c r="Q2252" s="85"/>
      <c r="R2252" s="85">
        <f ca="1">IFERROR(__xludf.DUMMYFUNCTION("""COMPUTED_VALUE"""),54.45)</f>
        <v>54.45</v>
      </c>
      <c r="S2252" s="85"/>
      <c r="T2252" s="85"/>
      <c r="U2252" s="82"/>
      <c r="V2252" s="82"/>
      <c r="W2252" s="83"/>
      <c r="X2252" s="83"/>
      <c r="Y2252" s="83"/>
    </row>
    <row r="2253" spans="1:25" ht="13.8">
      <c r="A2253" s="78" t="str">
        <f ca="1">IFERROR(__xludf.DUMMYFUNCTION("""COMPUTED_VALUE"""),"WC")</f>
        <v>WC</v>
      </c>
      <c r="B2253" s="79" t="str">
        <f ca="1">IFERROR(__xludf.DUMMYFUNCTION("""COMPUTED_VALUE"""),"Annelise Saunders")</f>
        <v>Annelise Saunders</v>
      </c>
      <c r="C2253" s="78">
        <f ca="1">IFERROR(__xludf.DUMMYFUNCTION("""COMPUTED_VALUE"""),7)</f>
        <v>7</v>
      </c>
      <c r="D2253" s="78" t="str">
        <f ca="1">IFERROR(__xludf.DUMMYFUNCTION("""COMPUTED_VALUE"""),"G")</f>
        <v>G</v>
      </c>
      <c r="E2253" s="80" t="str">
        <f ca="1">IFERROR(__xludf.DUMMYFUNCTION("""COMPUTED_VALUE"""),"F")</f>
        <v>F</v>
      </c>
      <c r="F2253" s="86" t="str">
        <f ca="1">IFERROR(__xludf.DUMMYFUNCTION("""COMPUTED_VALUE"""),"J")</f>
        <v>J</v>
      </c>
      <c r="G2253" s="86">
        <f ca="1">IFERROR(__xludf.DUMMYFUNCTION("""COMPUTED_VALUE"""),4)</f>
        <v>4</v>
      </c>
      <c r="H2253" s="86" t="str">
        <f ca="1">IFERROR(__xludf.DUMMYFUNCTION("""COMPUTED_VALUE"""),"WC")</f>
        <v>WC</v>
      </c>
      <c r="I2253" s="86">
        <f ca="1">IFERROR(__xludf.DUMMYFUNCTION("""COMPUTED_VALUE"""),2)</f>
        <v>2</v>
      </c>
      <c r="J2253" s="85">
        <f ca="1">IFERROR(__xludf.DUMMYFUNCTION("""COMPUTED_VALUE"""),3)</f>
        <v>3</v>
      </c>
      <c r="K2253" s="85">
        <f ca="1">IFERROR(__xludf.DUMMYFUNCTION("""COMPUTED_VALUE"""),30.9)</f>
        <v>30.9</v>
      </c>
      <c r="L2253" s="85">
        <f ca="1">IFERROR(__xludf.DUMMYFUNCTION("""COMPUTED_VALUE"""),0)</f>
        <v>0</v>
      </c>
      <c r="M2253" s="85"/>
      <c r="N2253" s="85">
        <f ca="1">IFERROR(__xludf.DUMMYFUNCTION("""COMPUTED_VALUE"""),26.65)</f>
        <v>26.65</v>
      </c>
      <c r="O2253" s="85"/>
      <c r="P2253" s="85">
        <f ca="1">IFERROR(__xludf.DUMMYFUNCTION("""COMPUTED_VALUE"""),30.9)</f>
        <v>30.9</v>
      </c>
      <c r="Q2253" s="85"/>
      <c r="R2253" s="85">
        <f ca="1">IFERROR(__xludf.DUMMYFUNCTION("""COMPUTED_VALUE"""),0)</f>
        <v>0</v>
      </c>
      <c r="S2253" s="85"/>
      <c r="T2253" s="85"/>
      <c r="U2253" s="82"/>
      <c r="V2253" s="82"/>
      <c r="W2253" s="83"/>
      <c r="X2253" s="83"/>
      <c r="Y2253" s="83"/>
    </row>
    <row r="2254" spans="1:25" ht="13.8">
      <c r="A2254" s="78" t="str">
        <f ca="1">IFERROR(__xludf.DUMMYFUNCTION("""COMPUTED_VALUE"""),"WC")</f>
        <v>WC</v>
      </c>
      <c r="B2254" s="79" t="str">
        <f ca="1">IFERROR(__xludf.DUMMYFUNCTION("""COMPUTED_VALUE"""),"Joelle Saunders")</f>
        <v>Joelle Saunders</v>
      </c>
      <c r="C2254" s="78">
        <f ca="1">IFERROR(__xludf.DUMMYFUNCTION("""COMPUTED_VALUE"""),9)</f>
        <v>9</v>
      </c>
      <c r="D2254" s="78" t="str">
        <f ca="1">IFERROR(__xludf.DUMMYFUNCTION("""COMPUTED_VALUE"""),"G")</f>
        <v>G</v>
      </c>
      <c r="E2254" s="80" t="str">
        <f ca="1">IFERROR(__xludf.DUMMYFUNCTION("""COMPUTED_VALUE"""),"F")</f>
        <v>F</v>
      </c>
      <c r="F2254" s="86" t="str">
        <f ca="1">IFERROR(__xludf.DUMMYFUNCTION("""COMPUTED_VALUE"""),"J")</f>
        <v>J</v>
      </c>
      <c r="G2254" s="86">
        <f ca="1">IFERROR(__xludf.DUMMYFUNCTION("""COMPUTED_VALUE"""),4)</f>
        <v>4</v>
      </c>
      <c r="H2254" s="86" t="str">
        <f ca="1">IFERROR(__xludf.DUMMYFUNCTION("""COMPUTED_VALUE"""),"WC")</f>
        <v>WC</v>
      </c>
      <c r="I2254" s="86">
        <f ca="1">IFERROR(__xludf.DUMMYFUNCTION("""COMPUTED_VALUE"""),2)</f>
        <v>2</v>
      </c>
      <c r="J2254" s="85">
        <f ca="1">IFERROR(__xludf.DUMMYFUNCTION("""COMPUTED_VALUE"""),3)</f>
        <v>3</v>
      </c>
      <c r="K2254" s="85">
        <f ca="1">IFERROR(__xludf.DUMMYFUNCTION("""COMPUTED_VALUE"""),64.1)</f>
        <v>64.099999999999994</v>
      </c>
      <c r="L2254" s="85">
        <f ca="1">IFERROR(__xludf.DUMMYFUNCTION("""COMPUTED_VALUE"""),52.05)</f>
        <v>52.05</v>
      </c>
      <c r="M2254" s="85"/>
      <c r="N2254" s="85">
        <f ca="1">IFERROR(__xludf.DUMMYFUNCTION("""COMPUTED_VALUE"""),55.3)</f>
        <v>55.3</v>
      </c>
      <c r="O2254" s="85"/>
      <c r="P2254" s="85">
        <f ca="1">IFERROR(__xludf.DUMMYFUNCTION("""COMPUTED_VALUE"""),64.1)</f>
        <v>64.099999999999994</v>
      </c>
      <c r="Q2254" s="85"/>
      <c r="R2254" s="85">
        <f ca="1">IFERROR(__xludf.DUMMYFUNCTION("""COMPUTED_VALUE"""),0)</f>
        <v>0</v>
      </c>
      <c r="S2254" s="85"/>
      <c r="T2254" s="85"/>
      <c r="U2254" s="82"/>
      <c r="V2254" s="82"/>
      <c r="W2254" s="83"/>
      <c r="X2254" s="83"/>
      <c r="Y2254" s="83"/>
    </row>
    <row r="2255" spans="1:25" ht="13.8">
      <c r="A2255" s="78" t="str">
        <f ca="1">IFERROR(__xludf.DUMMYFUNCTION("""COMPUTED_VALUE"""),"WC")</f>
        <v>WC</v>
      </c>
      <c r="B2255" s="79" t="str">
        <f ca="1">IFERROR(__xludf.DUMMYFUNCTION("""COMPUTED_VALUE"""),"Bailey Themak")</f>
        <v>Bailey Themak</v>
      </c>
      <c r="C2255" s="78">
        <f ca="1">IFERROR(__xludf.DUMMYFUNCTION("""COMPUTED_VALUE"""),7)</f>
        <v>7</v>
      </c>
      <c r="D2255" s="78" t="str">
        <f ca="1">IFERROR(__xludf.DUMMYFUNCTION("""COMPUTED_VALUE"""),"G")</f>
        <v>G</v>
      </c>
      <c r="E2255" s="80" t="str">
        <f ca="1">IFERROR(__xludf.DUMMYFUNCTION("""COMPUTED_VALUE"""),"F")</f>
        <v>F</v>
      </c>
      <c r="F2255" s="86" t="str">
        <f ca="1">IFERROR(__xludf.DUMMYFUNCTION("""COMPUTED_VALUE"""),"J")</f>
        <v>J</v>
      </c>
      <c r="G2255" s="86">
        <f ca="1">IFERROR(__xludf.DUMMYFUNCTION("""COMPUTED_VALUE"""),4)</f>
        <v>4</v>
      </c>
      <c r="H2255" s="86" t="str">
        <f ca="1">IFERROR(__xludf.DUMMYFUNCTION("""COMPUTED_VALUE"""),"WC")</f>
        <v>WC</v>
      </c>
      <c r="I2255" s="86">
        <f ca="1">IFERROR(__xludf.DUMMYFUNCTION("""COMPUTED_VALUE"""),2)</f>
        <v>2</v>
      </c>
      <c r="J2255" s="85">
        <f ca="1">IFERROR(__xludf.DUMMYFUNCTION("""COMPUTED_VALUE"""),1)</f>
        <v>1</v>
      </c>
      <c r="K2255" s="85">
        <f ca="1">IFERROR(__xludf.DUMMYFUNCTION("""COMPUTED_VALUE"""),32.2)</f>
        <v>32.200000000000003</v>
      </c>
      <c r="L2255" s="85">
        <f ca="1">IFERROR(__xludf.DUMMYFUNCTION("""COMPUTED_VALUE"""),0)</f>
        <v>0</v>
      </c>
      <c r="M2255" s="85"/>
      <c r="N2255" s="85">
        <f ca="1">IFERROR(__xludf.DUMMYFUNCTION("""COMPUTED_VALUE"""),0)</f>
        <v>0</v>
      </c>
      <c r="O2255" s="85"/>
      <c r="P2255" s="85">
        <f ca="1">IFERROR(__xludf.DUMMYFUNCTION("""COMPUTED_VALUE"""),0)</f>
        <v>0</v>
      </c>
      <c r="Q2255" s="85"/>
      <c r="R2255" s="85">
        <f ca="1">IFERROR(__xludf.DUMMYFUNCTION("""COMPUTED_VALUE"""),32.2)</f>
        <v>32.200000000000003</v>
      </c>
      <c r="S2255" s="85"/>
      <c r="T2255" s="85"/>
      <c r="U2255" s="82"/>
      <c r="V2255" s="82"/>
      <c r="W2255" s="83"/>
      <c r="X2255" s="83"/>
      <c r="Y2255" s="83"/>
    </row>
    <row r="2256" spans="1:25" ht="13.8">
      <c r="A2256" s="78" t="str">
        <f ca="1">IFERROR(__xludf.DUMMYFUNCTION("""COMPUTED_VALUE"""),"WC")</f>
        <v>WC</v>
      </c>
      <c r="B2256" s="79" t="str">
        <f ca="1">IFERROR(__xludf.DUMMYFUNCTION("""COMPUTED_VALUE"""),"Katherine Tkachuk")</f>
        <v>Katherine Tkachuk</v>
      </c>
      <c r="C2256" s="78">
        <f ca="1">IFERROR(__xludf.DUMMYFUNCTION("""COMPUTED_VALUE"""),10)</f>
        <v>10</v>
      </c>
      <c r="D2256" s="78" t="str">
        <f ca="1">IFERROR(__xludf.DUMMYFUNCTION("""COMPUTED_VALUE"""),"G")</f>
        <v>G</v>
      </c>
      <c r="E2256" s="80" t="str">
        <f ca="1">IFERROR(__xludf.DUMMYFUNCTION("""COMPUTED_VALUE"""),"F")</f>
        <v>F</v>
      </c>
      <c r="F2256" s="86" t="str">
        <f ca="1">IFERROR(__xludf.DUMMYFUNCTION("""COMPUTED_VALUE"""),"J")</f>
        <v>J</v>
      </c>
      <c r="G2256" s="86">
        <f ca="1">IFERROR(__xludf.DUMMYFUNCTION("""COMPUTED_VALUE"""),4)</f>
        <v>4</v>
      </c>
      <c r="H2256" s="86" t="str">
        <f ca="1">IFERROR(__xludf.DUMMYFUNCTION("""COMPUTED_VALUE"""),"WC")</f>
        <v>WC</v>
      </c>
      <c r="I2256" s="86">
        <f ca="1">IFERROR(__xludf.DUMMYFUNCTION("""COMPUTED_VALUE"""),2)</f>
        <v>2</v>
      </c>
      <c r="J2256" s="85">
        <f ca="1">IFERROR(__xludf.DUMMYFUNCTION("""COMPUTED_VALUE"""),0)</f>
        <v>0</v>
      </c>
      <c r="K2256" s="85">
        <f ca="1">IFERROR(__xludf.DUMMYFUNCTION("""COMPUTED_VALUE"""),0)</f>
        <v>0</v>
      </c>
      <c r="L2256" s="85">
        <f ca="1">IFERROR(__xludf.DUMMYFUNCTION("""COMPUTED_VALUE"""),0)</f>
        <v>0</v>
      </c>
      <c r="M2256" s="85"/>
      <c r="N2256" s="85">
        <f ca="1">IFERROR(__xludf.DUMMYFUNCTION("""COMPUTED_VALUE"""),0)</f>
        <v>0</v>
      </c>
      <c r="O2256" s="85"/>
      <c r="P2256" s="85">
        <f ca="1">IFERROR(__xludf.DUMMYFUNCTION("""COMPUTED_VALUE"""),0)</f>
        <v>0</v>
      </c>
      <c r="Q2256" s="85"/>
      <c r="R2256" s="85">
        <f ca="1">IFERROR(__xludf.DUMMYFUNCTION("""COMPUTED_VALUE"""),0)</f>
        <v>0</v>
      </c>
      <c r="S2256" s="85"/>
      <c r="T2256" s="85"/>
      <c r="U2256" s="82"/>
      <c r="V2256" s="82"/>
      <c r="W2256" s="83"/>
      <c r="X2256" s="83"/>
      <c r="Y2256" s="83"/>
    </row>
    <row r="2257" spans="1:25" ht="13.8">
      <c r="A2257" s="78" t="str">
        <f ca="1">IFERROR(__xludf.DUMMYFUNCTION("""COMPUTED_VALUE"""),"WC")</f>
        <v>WC</v>
      </c>
      <c r="B2257" s="79" t="str">
        <f ca="1">IFERROR(__xludf.DUMMYFUNCTION("""COMPUTED_VALUE"""),"Ivonne Valle")</f>
        <v>Ivonne Valle</v>
      </c>
      <c r="C2257" s="78">
        <f ca="1">IFERROR(__xludf.DUMMYFUNCTION("""COMPUTED_VALUE"""),8)</f>
        <v>8</v>
      </c>
      <c r="D2257" s="78" t="str">
        <f ca="1">IFERROR(__xludf.DUMMYFUNCTION("""COMPUTED_VALUE"""),"G")</f>
        <v>G</v>
      </c>
      <c r="E2257" s="80" t="str">
        <f ca="1">IFERROR(__xludf.DUMMYFUNCTION("""COMPUTED_VALUE"""),"F")</f>
        <v>F</v>
      </c>
      <c r="F2257" s="86" t="str">
        <f ca="1">IFERROR(__xludf.DUMMYFUNCTION("""COMPUTED_VALUE"""),"J")</f>
        <v>J</v>
      </c>
      <c r="G2257" s="86">
        <f ca="1">IFERROR(__xludf.DUMMYFUNCTION("""COMPUTED_VALUE"""),4)</f>
        <v>4</v>
      </c>
      <c r="H2257" s="86" t="str">
        <f ca="1">IFERROR(__xludf.DUMMYFUNCTION("""COMPUTED_VALUE"""),"WC")</f>
        <v>WC</v>
      </c>
      <c r="I2257" s="86">
        <f ca="1">IFERROR(__xludf.DUMMYFUNCTION("""COMPUTED_VALUE"""),2)</f>
        <v>2</v>
      </c>
      <c r="J2257" s="85">
        <f ca="1">IFERROR(__xludf.DUMMYFUNCTION("""COMPUTED_VALUE"""),0)</f>
        <v>0</v>
      </c>
      <c r="K2257" s="85">
        <f ca="1">IFERROR(__xludf.DUMMYFUNCTION("""COMPUTED_VALUE"""),0)</f>
        <v>0</v>
      </c>
      <c r="L2257" s="85">
        <f ca="1">IFERROR(__xludf.DUMMYFUNCTION("""COMPUTED_VALUE"""),0)</f>
        <v>0</v>
      </c>
      <c r="M2257" s="85"/>
      <c r="N2257" s="85">
        <f ca="1">IFERROR(__xludf.DUMMYFUNCTION("""COMPUTED_VALUE"""),0)</f>
        <v>0</v>
      </c>
      <c r="O2257" s="85"/>
      <c r="P2257" s="85">
        <f ca="1">IFERROR(__xludf.DUMMYFUNCTION("""COMPUTED_VALUE"""),0)</f>
        <v>0</v>
      </c>
      <c r="Q2257" s="85"/>
      <c r="R2257" s="85">
        <f ca="1">IFERROR(__xludf.DUMMYFUNCTION("""COMPUTED_VALUE"""),0)</f>
        <v>0</v>
      </c>
      <c r="S2257" s="85"/>
      <c r="T2257" s="85"/>
      <c r="U2257" s="82"/>
      <c r="V2257" s="82"/>
      <c r="W2257" s="83"/>
      <c r="X2257" s="83"/>
      <c r="Y2257" s="83"/>
    </row>
    <row r="2258" spans="1:25" ht="13.8">
      <c r="A2258" s="78" t="str">
        <f ca="1">IFERROR(__xludf.DUMMYFUNCTION("""COMPUTED_VALUE"""),"WC")</f>
        <v>WC</v>
      </c>
      <c r="B2258" s="79" t="str">
        <f ca="1">IFERROR(__xludf.DUMMYFUNCTION("""COMPUTED_VALUE"""),"Lily Verne")</f>
        <v>Lily Verne</v>
      </c>
      <c r="C2258" s="78">
        <f ca="1">IFERROR(__xludf.DUMMYFUNCTION("""COMPUTED_VALUE"""),9)</f>
        <v>9</v>
      </c>
      <c r="D2258" s="78" t="str">
        <f ca="1">IFERROR(__xludf.DUMMYFUNCTION("""COMPUTED_VALUE"""),"G")</f>
        <v>G</v>
      </c>
      <c r="E2258" s="80" t="str">
        <f ca="1">IFERROR(__xludf.DUMMYFUNCTION("""COMPUTED_VALUE"""),"F")</f>
        <v>F</v>
      </c>
      <c r="F2258" s="86" t="str">
        <f ca="1">IFERROR(__xludf.DUMMYFUNCTION("""COMPUTED_VALUE"""),"J")</f>
        <v>J</v>
      </c>
      <c r="G2258" s="86">
        <f ca="1">IFERROR(__xludf.DUMMYFUNCTION("""COMPUTED_VALUE"""),4)</f>
        <v>4</v>
      </c>
      <c r="H2258" s="86" t="str">
        <f ca="1">IFERROR(__xludf.DUMMYFUNCTION("""COMPUTED_VALUE"""),"WC")</f>
        <v>WC</v>
      </c>
      <c r="I2258" s="86">
        <f ca="1">IFERROR(__xludf.DUMMYFUNCTION("""COMPUTED_VALUE"""),2)</f>
        <v>2</v>
      </c>
      <c r="J2258" s="85">
        <f ca="1">IFERROR(__xludf.DUMMYFUNCTION("""COMPUTED_VALUE"""),5)</f>
        <v>5</v>
      </c>
      <c r="K2258" s="85">
        <f ca="1">IFERROR(__xludf.DUMMYFUNCTION("""COMPUTED_VALUE"""),51.05)</f>
        <v>51.05</v>
      </c>
      <c r="L2258" s="85">
        <f ca="1">IFERROR(__xludf.DUMMYFUNCTION("""COMPUTED_VALUE"""),42.4)</f>
        <v>42.4</v>
      </c>
      <c r="M2258" s="85"/>
      <c r="N2258" s="85">
        <f ca="1">IFERROR(__xludf.DUMMYFUNCTION("""COMPUTED_VALUE"""),46.7)</f>
        <v>46.7</v>
      </c>
      <c r="O2258" s="85"/>
      <c r="P2258" s="85">
        <f ca="1">IFERROR(__xludf.DUMMYFUNCTION("""COMPUTED_VALUE"""),49.7)</f>
        <v>49.7</v>
      </c>
      <c r="Q2258" s="85"/>
      <c r="R2258" s="85">
        <f ca="1">IFERROR(__xludf.DUMMYFUNCTION("""COMPUTED_VALUE"""),51.05)</f>
        <v>51.05</v>
      </c>
      <c r="S2258" s="85"/>
      <c r="T2258" s="85"/>
      <c r="U2258" s="82"/>
      <c r="V2258" s="82"/>
      <c r="W2258" s="83"/>
      <c r="X2258" s="83"/>
      <c r="Y2258" s="83"/>
    </row>
    <row r="2259" spans="1:25" ht="13.8">
      <c r="A2259" s="78" t="str">
        <f ca="1">IFERROR(__xludf.DUMMYFUNCTION("""COMPUTED_VALUE"""),"WC")</f>
        <v>WC</v>
      </c>
      <c r="B2259" s="79" t="str">
        <f ca="1">IFERROR(__xludf.DUMMYFUNCTION("""COMPUTED_VALUE"""),"Averie Watkins")</f>
        <v>Averie Watkins</v>
      </c>
      <c r="C2259" s="78">
        <f ca="1">IFERROR(__xludf.DUMMYFUNCTION("""COMPUTED_VALUE"""),10)</f>
        <v>10</v>
      </c>
      <c r="D2259" s="78" t="str">
        <f ca="1">IFERROR(__xludf.DUMMYFUNCTION("""COMPUTED_VALUE"""),"G")</f>
        <v>G</v>
      </c>
      <c r="E2259" s="80" t="str">
        <f ca="1">IFERROR(__xludf.DUMMYFUNCTION("""COMPUTED_VALUE"""),"F")</f>
        <v>F</v>
      </c>
      <c r="F2259" s="86" t="str">
        <f ca="1">IFERROR(__xludf.DUMMYFUNCTION("""COMPUTED_VALUE"""),"J")</f>
        <v>J</v>
      </c>
      <c r="G2259" s="86">
        <f ca="1">IFERROR(__xludf.DUMMYFUNCTION("""COMPUTED_VALUE"""),4)</f>
        <v>4</v>
      </c>
      <c r="H2259" s="86" t="str">
        <f ca="1">IFERROR(__xludf.DUMMYFUNCTION("""COMPUTED_VALUE"""),"WC")</f>
        <v>WC</v>
      </c>
      <c r="I2259" s="86">
        <f ca="1">IFERROR(__xludf.DUMMYFUNCTION("""COMPUTED_VALUE"""),2)</f>
        <v>2</v>
      </c>
      <c r="J2259" s="85">
        <f ca="1">IFERROR(__xludf.DUMMYFUNCTION("""COMPUTED_VALUE"""),0)</f>
        <v>0</v>
      </c>
      <c r="K2259" s="85">
        <f ca="1">IFERROR(__xludf.DUMMYFUNCTION("""COMPUTED_VALUE"""),0)</f>
        <v>0</v>
      </c>
      <c r="L2259" s="85">
        <f ca="1">IFERROR(__xludf.DUMMYFUNCTION("""COMPUTED_VALUE"""),0)</f>
        <v>0</v>
      </c>
      <c r="M2259" s="85"/>
      <c r="N2259" s="85">
        <f ca="1">IFERROR(__xludf.DUMMYFUNCTION("""COMPUTED_VALUE"""),0)</f>
        <v>0</v>
      </c>
      <c r="O2259" s="85"/>
      <c r="P2259" s="85">
        <f ca="1">IFERROR(__xludf.DUMMYFUNCTION("""COMPUTED_VALUE"""),0)</f>
        <v>0</v>
      </c>
      <c r="Q2259" s="85"/>
      <c r="R2259" s="85">
        <f ca="1">IFERROR(__xludf.DUMMYFUNCTION("""COMPUTED_VALUE"""),0)</f>
        <v>0</v>
      </c>
      <c r="S2259" s="85"/>
      <c r="T2259" s="85"/>
      <c r="U2259" s="82"/>
      <c r="V2259" s="82"/>
      <c r="W2259" s="83"/>
      <c r="X2259" s="83"/>
      <c r="Y2259" s="83"/>
    </row>
    <row r="2260" spans="1:25" ht="13.8">
      <c r="A2260" s="78" t="str">
        <f ca="1">IFERROR(__xludf.DUMMYFUNCTION("""COMPUTED_VALUE"""),"WC")</f>
        <v>WC</v>
      </c>
      <c r="B2260" s="79" t="str">
        <f ca="1">IFERROR(__xludf.DUMMYFUNCTION("""COMPUTED_VALUE"""),"Andrew Bierma")</f>
        <v>Andrew Bierma</v>
      </c>
      <c r="C2260" s="78">
        <f ca="1">IFERROR(__xludf.DUMMYFUNCTION("""COMPUTED_VALUE"""),10)</f>
        <v>10</v>
      </c>
      <c r="D2260" s="78" t="str">
        <f ca="1">IFERROR(__xludf.DUMMYFUNCTION("""COMPUTED_VALUE"""),"B")</f>
        <v>B</v>
      </c>
      <c r="E2260" s="80" t="str">
        <f ca="1">IFERROR(__xludf.DUMMYFUNCTION("""COMPUTED_VALUE"""),"F")</f>
        <v>F</v>
      </c>
      <c r="F2260" s="86" t="str">
        <f ca="1">IFERROR(__xludf.DUMMYFUNCTION("""COMPUTED_VALUE"""),"J")</f>
        <v>J</v>
      </c>
      <c r="G2260" s="86">
        <f ca="1">IFERROR(__xludf.DUMMYFUNCTION("""COMPUTED_VALUE"""),4)</f>
        <v>4</v>
      </c>
      <c r="H2260" s="86" t="str">
        <f ca="1">IFERROR(__xludf.DUMMYFUNCTION("""COMPUTED_VALUE"""),"WC")</f>
        <v>WC</v>
      </c>
      <c r="I2260" s="86">
        <f ca="1">IFERROR(__xludf.DUMMYFUNCTION("""COMPUTED_VALUE"""),3)</f>
        <v>3</v>
      </c>
      <c r="J2260" s="85">
        <f ca="1">IFERROR(__xludf.DUMMYFUNCTION("""COMPUTED_VALUE"""),0)</f>
        <v>0</v>
      </c>
      <c r="K2260" s="85">
        <f ca="1">IFERROR(__xludf.DUMMYFUNCTION("""COMPUTED_VALUE"""),0)</f>
        <v>0</v>
      </c>
      <c r="L2260" s="85">
        <f ca="1">IFERROR(__xludf.DUMMYFUNCTION("""COMPUTED_VALUE"""),0)</f>
        <v>0</v>
      </c>
      <c r="M2260" s="85"/>
      <c r="N2260" s="85">
        <f ca="1">IFERROR(__xludf.DUMMYFUNCTION("""COMPUTED_VALUE"""),0)</f>
        <v>0</v>
      </c>
      <c r="O2260" s="85"/>
      <c r="P2260" s="85">
        <f ca="1">IFERROR(__xludf.DUMMYFUNCTION("""COMPUTED_VALUE"""),0)</f>
        <v>0</v>
      </c>
      <c r="Q2260" s="85"/>
      <c r="R2260" s="85">
        <f ca="1">IFERROR(__xludf.DUMMYFUNCTION("""COMPUTED_VALUE"""),0)</f>
        <v>0</v>
      </c>
      <c r="S2260" s="85"/>
      <c r="T2260" s="85"/>
      <c r="U2260" s="82"/>
      <c r="V2260" s="82"/>
      <c r="W2260" s="83"/>
      <c r="X2260" s="83"/>
      <c r="Y2260" s="83"/>
    </row>
    <row r="2261" spans="1:25" ht="13.8">
      <c r="A2261" s="78" t="str">
        <f ca="1">IFERROR(__xludf.DUMMYFUNCTION("""COMPUTED_VALUE"""),"WC")</f>
        <v>WC</v>
      </c>
      <c r="B2261" s="79" t="str">
        <f ca="1">IFERROR(__xludf.DUMMYFUNCTION("""COMPUTED_VALUE"""),"William Burke")</f>
        <v>William Burke</v>
      </c>
      <c r="C2261" s="78">
        <f ca="1">IFERROR(__xludf.DUMMYFUNCTION("""COMPUTED_VALUE"""),9)</f>
        <v>9</v>
      </c>
      <c r="D2261" s="78" t="str">
        <f ca="1">IFERROR(__xludf.DUMMYFUNCTION("""COMPUTED_VALUE"""),"B")</f>
        <v>B</v>
      </c>
      <c r="E2261" s="80" t="str">
        <f ca="1">IFERROR(__xludf.DUMMYFUNCTION("""COMPUTED_VALUE"""),"F")</f>
        <v>F</v>
      </c>
      <c r="F2261" s="86" t="str">
        <f ca="1">IFERROR(__xludf.DUMMYFUNCTION("""COMPUTED_VALUE"""),"J")</f>
        <v>J</v>
      </c>
      <c r="G2261" s="86">
        <f ca="1">IFERROR(__xludf.DUMMYFUNCTION("""COMPUTED_VALUE"""),4)</f>
        <v>4</v>
      </c>
      <c r="H2261" s="86" t="str">
        <f ca="1">IFERROR(__xludf.DUMMYFUNCTION("""COMPUTED_VALUE"""),"WC")</f>
        <v>WC</v>
      </c>
      <c r="I2261" s="86">
        <f ca="1">IFERROR(__xludf.DUMMYFUNCTION("""COMPUTED_VALUE"""),3)</f>
        <v>3</v>
      </c>
      <c r="J2261" s="85">
        <f ca="1">IFERROR(__xludf.DUMMYFUNCTION("""COMPUTED_VALUE"""),0)</f>
        <v>0</v>
      </c>
      <c r="K2261" s="85">
        <f ca="1">IFERROR(__xludf.DUMMYFUNCTION("""COMPUTED_VALUE"""),0)</f>
        <v>0</v>
      </c>
      <c r="L2261" s="85">
        <f ca="1">IFERROR(__xludf.DUMMYFUNCTION("""COMPUTED_VALUE"""),0)</f>
        <v>0</v>
      </c>
      <c r="M2261" s="85"/>
      <c r="N2261" s="85">
        <f ca="1">IFERROR(__xludf.DUMMYFUNCTION("""COMPUTED_VALUE"""),0)</f>
        <v>0</v>
      </c>
      <c r="O2261" s="85"/>
      <c r="P2261" s="85">
        <f ca="1">IFERROR(__xludf.DUMMYFUNCTION("""COMPUTED_VALUE"""),0)</f>
        <v>0</v>
      </c>
      <c r="Q2261" s="85"/>
      <c r="R2261" s="85">
        <f ca="1">IFERROR(__xludf.DUMMYFUNCTION("""COMPUTED_VALUE"""),0)</f>
        <v>0</v>
      </c>
      <c r="S2261" s="85"/>
      <c r="T2261" s="85"/>
      <c r="U2261" s="82"/>
      <c r="V2261" s="82"/>
      <c r="W2261" s="83"/>
      <c r="X2261" s="83"/>
      <c r="Y2261" s="83"/>
    </row>
    <row r="2262" spans="1:25" ht="13.8">
      <c r="A2262" s="78" t="str">
        <f ca="1">IFERROR(__xludf.DUMMYFUNCTION("""COMPUTED_VALUE"""),"WC")</f>
        <v>WC</v>
      </c>
      <c r="B2262" s="79" t="str">
        <f ca="1">IFERROR(__xludf.DUMMYFUNCTION("""COMPUTED_VALUE"""),"Eric Campagna")</f>
        <v>Eric Campagna</v>
      </c>
      <c r="C2262" s="78">
        <f ca="1">IFERROR(__xludf.DUMMYFUNCTION("""COMPUTED_VALUE"""),8)</f>
        <v>8</v>
      </c>
      <c r="D2262" s="78" t="str">
        <f ca="1">IFERROR(__xludf.DUMMYFUNCTION("""COMPUTED_VALUE"""),"B")</f>
        <v>B</v>
      </c>
      <c r="E2262" s="80" t="str">
        <f ca="1">IFERROR(__xludf.DUMMYFUNCTION("""COMPUTED_VALUE"""),"F")</f>
        <v>F</v>
      </c>
      <c r="F2262" s="86" t="str">
        <f ca="1">IFERROR(__xludf.DUMMYFUNCTION("""COMPUTED_VALUE"""),"J")</f>
        <v>J</v>
      </c>
      <c r="G2262" s="86">
        <f ca="1">IFERROR(__xludf.DUMMYFUNCTION("""COMPUTED_VALUE"""),4)</f>
        <v>4</v>
      </c>
      <c r="H2262" s="86" t="str">
        <f ca="1">IFERROR(__xludf.DUMMYFUNCTION("""COMPUTED_VALUE"""),"WC")</f>
        <v>WC</v>
      </c>
      <c r="I2262" s="86">
        <f ca="1">IFERROR(__xludf.DUMMYFUNCTION("""COMPUTED_VALUE"""),3)</f>
        <v>3</v>
      </c>
      <c r="J2262" s="85">
        <f ca="1">IFERROR(__xludf.DUMMYFUNCTION("""COMPUTED_VALUE"""),0)</f>
        <v>0</v>
      </c>
      <c r="K2262" s="85">
        <f ca="1">IFERROR(__xludf.DUMMYFUNCTION("""COMPUTED_VALUE"""),0)</f>
        <v>0</v>
      </c>
      <c r="L2262" s="85">
        <f ca="1">IFERROR(__xludf.DUMMYFUNCTION("""COMPUTED_VALUE"""),0)</f>
        <v>0</v>
      </c>
      <c r="M2262" s="85"/>
      <c r="N2262" s="85">
        <f ca="1">IFERROR(__xludf.DUMMYFUNCTION("""COMPUTED_VALUE"""),0)</f>
        <v>0</v>
      </c>
      <c r="O2262" s="85"/>
      <c r="P2262" s="85">
        <f ca="1">IFERROR(__xludf.DUMMYFUNCTION("""COMPUTED_VALUE"""),0)</f>
        <v>0</v>
      </c>
      <c r="Q2262" s="85"/>
      <c r="R2262" s="85">
        <f ca="1">IFERROR(__xludf.DUMMYFUNCTION("""COMPUTED_VALUE"""),0)</f>
        <v>0</v>
      </c>
      <c r="S2262" s="85"/>
      <c r="T2262" s="85"/>
      <c r="U2262" s="82"/>
      <c r="V2262" s="82"/>
      <c r="W2262" s="83"/>
      <c r="X2262" s="83"/>
      <c r="Y2262" s="83"/>
    </row>
    <row r="2263" spans="1:25" ht="13.8">
      <c r="A2263" s="78" t="str">
        <f ca="1">IFERROR(__xludf.DUMMYFUNCTION("""COMPUTED_VALUE"""),"WC")</f>
        <v>WC</v>
      </c>
      <c r="B2263" s="79" t="str">
        <f ca="1">IFERROR(__xludf.DUMMYFUNCTION("""COMPUTED_VALUE"""),"Graham Grinnell")</f>
        <v>Graham Grinnell</v>
      </c>
      <c r="C2263" s="78">
        <f ca="1">IFERROR(__xludf.DUMMYFUNCTION("""COMPUTED_VALUE"""),7)</f>
        <v>7</v>
      </c>
      <c r="D2263" s="78" t="str">
        <f ca="1">IFERROR(__xludf.DUMMYFUNCTION("""COMPUTED_VALUE"""),"B")</f>
        <v>B</v>
      </c>
      <c r="E2263" s="80" t="str">
        <f ca="1">IFERROR(__xludf.DUMMYFUNCTION("""COMPUTED_VALUE"""),"F")</f>
        <v>F</v>
      </c>
      <c r="F2263" s="86" t="str">
        <f ca="1">IFERROR(__xludf.DUMMYFUNCTION("""COMPUTED_VALUE"""),"J")</f>
        <v>J</v>
      </c>
      <c r="G2263" s="86">
        <f ca="1">IFERROR(__xludf.DUMMYFUNCTION("""COMPUTED_VALUE"""),4)</f>
        <v>4</v>
      </c>
      <c r="H2263" s="86" t="str">
        <f ca="1">IFERROR(__xludf.DUMMYFUNCTION("""COMPUTED_VALUE"""),"WC")</f>
        <v>WC</v>
      </c>
      <c r="I2263" s="86">
        <f ca="1">IFERROR(__xludf.DUMMYFUNCTION("""COMPUTED_VALUE"""),3)</f>
        <v>3</v>
      </c>
      <c r="J2263" s="85">
        <f ca="1">IFERROR(__xludf.DUMMYFUNCTION("""COMPUTED_VALUE"""),0)</f>
        <v>0</v>
      </c>
      <c r="K2263" s="85">
        <f ca="1">IFERROR(__xludf.DUMMYFUNCTION("""COMPUTED_VALUE"""),0)</f>
        <v>0</v>
      </c>
      <c r="L2263" s="85">
        <f ca="1">IFERROR(__xludf.DUMMYFUNCTION("""COMPUTED_VALUE"""),0)</f>
        <v>0</v>
      </c>
      <c r="M2263" s="85"/>
      <c r="N2263" s="85">
        <f ca="1">IFERROR(__xludf.DUMMYFUNCTION("""COMPUTED_VALUE"""),0)</f>
        <v>0</v>
      </c>
      <c r="O2263" s="85"/>
      <c r="P2263" s="85">
        <f ca="1">IFERROR(__xludf.DUMMYFUNCTION("""COMPUTED_VALUE"""),0)</f>
        <v>0</v>
      </c>
      <c r="Q2263" s="85"/>
      <c r="R2263" s="85">
        <f ca="1">IFERROR(__xludf.DUMMYFUNCTION("""COMPUTED_VALUE"""),0)</f>
        <v>0</v>
      </c>
      <c r="S2263" s="85"/>
      <c r="T2263" s="85"/>
      <c r="U2263" s="82"/>
      <c r="V2263" s="82"/>
      <c r="W2263" s="83"/>
      <c r="X2263" s="83"/>
      <c r="Y2263" s="83"/>
    </row>
    <row r="2264" spans="1:25" ht="13.8">
      <c r="A2264" s="78" t="str">
        <f ca="1">IFERROR(__xludf.DUMMYFUNCTION("""COMPUTED_VALUE"""),"WC")</f>
        <v>WC</v>
      </c>
      <c r="B2264" s="79" t="str">
        <f ca="1">IFERROR(__xludf.DUMMYFUNCTION("""COMPUTED_VALUE"""),"Garrett Mansuy")</f>
        <v>Garrett Mansuy</v>
      </c>
      <c r="C2264" s="78">
        <f ca="1">IFERROR(__xludf.DUMMYFUNCTION("""COMPUTED_VALUE"""),7)</f>
        <v>7</v>
      </c>
      <c r="D2264" s="78" t="str">
        <f ca="1">IFERROR(__xludf.DUMMYFUNCTION("""COMPUTED_VALUE"""),"B")</f>
        <v>B</v>
      </c>
      <c r="E2264" s="80" t="str">
        <f ca="1">IFERROR(__xludf.DUMMYFUNCTION("""COMPUTED_VALUE"""),"F")</f>
        <v>F</v>
      </c>
      <c r="F2264" s="86" t="str">
        <f ca="1">IFERROR(__xludf.DUMMYFUNCTION("""COMPUTED_VALUE"""),"J")</f>
        <v>J</v>
      </c>
      <c r="G2264" s="86">
        <f ca="1">IFERROR(__xludf.DUMMYFUNCTION("""COMPUTED_VALUE"""),4)</f>
        <v>4</v>
      </c>
      <c r="H2264" s="86" t="str">
        <f ca="1">IFERROR(__xludf.DUMMYFUNCTION("""COMPUTED_VALUE"""),"WC")</f>
        <v>WC</v>
      </c>
      <c r="I2264" s="86">
        <f ca="1">IFERROR(__xludf.DUMMYFUNCTION("""COMPUTED_VALUE"""),3)</f>
        <v>3</v>
      </c>
      <c r="J2264" s="85">
        <f ca="1">IFERROR(__xludf.DUMMYFUNCTION("""COMPUTED_VALUE"""),5)</f>
        <v>5</v>
      </c>
      <c r="K2264" s="85">
        <f ca="1">IFERROR(__xludf.DUMMYFUNCTION("""COMPUTED_VALUE"""),58.55)</f>
        <v>58.55</v>
      </c>
      <c r="L2264" s="85">
        <f ca="1">IFERROR(__xludf.DUMMYFUNCTION("""COMPUTED_VALUE"""),58.55)</f>
        <v>58.55</v>
      </c>
      <c r="M2264" s="85"/>
      <c r="N2264" s="85">
        <f ca="1">IFERROR(__xludf.DUMMYFUNCTION("""COMPUTED_VALUE"""),39.05)</f>
        <v>39.049999999999997</v>
      </c>
      <c r="O2264" s="85"/>
      <c r="P2264" s="85">
        <f ca="1">IFERROR(__xludf.DUMMYFUNCTION("""COMPUTED_VALUE"""),41.6)</f>
        <v>41.6</v>
      </c>
      <c r="Q2264" s="85"/>
      <c r="R2264" s="85">
        <f ca="1">IFERROR(__xludf.DUMMYFUNCTION("""COMPUTED_VALUE"""),21.25)</f>
        <v>21.25</v>
      </c>
      <c r="S2264" s="85"/>
      <c r="T2264" s="85"/>
      <c r="U2264" s="82"/>
      <c r="V2264" s="82"/>
      <c r="W2264" s="83"/>
      <c r="X2264" s="83"/>
      <c r="Y2264" s="83"/>
    </row>
    <row r="2265" spans="1:25" ht="13.8">
      <c r="A2265" s="78" t="str">
        <f ca="1">IFERROR(__xludf.DUMMYFUNCTION("""COMPUTED_VALUE"""),"WC")</f>
        <v>WC</v>
      </c>
      <c r="B2265" s="79" t="str">
        <f ca="1">IFERROR(__xludf.DUMMYFUNCTION("""COMPUTED_VALUE"""),"Sullivan McNamara")</f>
        <v>Sullivan McNamara</v>
      </c>
      <c r="C2265" s="78">
        <f ca="1">IFERROR(__xludf.DUMMYFUNCTION("""COMPUTED_VALUE"""),8)</f>
        <v>8</v>
      </c>
      <c r="D2265" s="78" t="str">
        <f ca="1">IFERROR(__xludf.DUMMYFUNCTION("""COMPUTED_VALUE"""),"B")</f>
        <v>B</v>
      </c>
      <c r="E2265" s="80" t="str">
        <f ca="1">IFERROR(__xludf.DUMMYFUNCTION("""COMPUTED_VALUE"""),"F")</f>
        <v>F</v>
      </c>
      <c r="F2265" s="86" t="str">
        <f ca="1">IFERROR(__xludf.DUMMYFUNCTION("""COMPUTED_VALUE"""),"J")</f>
        <v>J</v>
      </c>
      <c r="G2265" s="86">
        <f ca="1">IFERROR(__xludf.DUMMYFUNCTION("""COMPUTED_VALUE"""),4)</f>
        <v>4</v>
      </c>
      <c r="H2265" s="86" t="str">
        <f ca="1">IFERROR(__xludf.DUMMYFUNCTION("""COMPUTED_VALUE"""),"WC")</f>
        <v>WC</v>
      </c>
      <c r="I2265" s="86">
        <f ca="1">IFERROR(__xludf.DUMMYFUNCTION("""COMPUTED_VALUE"""),3)</f>
        <v>3</v>
      </c>
      <c r="J2265" s="85">
        <f ca="1">IFERROR(__xludf.DUMMYFUNCTION("""COMPUTED_VALUE"""),3)</f>
        <v>3</v>
      </c>
      <c r="K2265" s="85">
        <f ca="1">IFERROR(__xludf.DUMMYFUNCTION("""COMPUTED_VALUE"""),67.5)</f>
        <v>67.5</v>
      </c>
      <c r="L2265" s="85">
        <f ca="1">IFERROR(__xludf.DUMMYFUNCTION("""COMPUTED_VALUE"""),0)</f>
        <v>0</v>
      </c>
      <c r="M2265" s="85"/>
      <c r="N2265" s="85">
        <f ca="1">IFERROR(__xludf.DUMMYFUNCTION("""COMPUTED_VALUE"""),0)</f>
        <v>0</v>
      </c>
      <c r="O2265" s="85"/>
      <c r="P2265" s="85">
        <f ca="1">IFERROR(__xludf.DUMMYFUNCTION("""COMPUTED_VALUE"""),65.3)</f>
        <v>65.3</v>
      </c>
      <c r="Q2265" s="85"/>
      <c r="R2265" s="85">
        <f ca="1">IFERROR(__xludf.DUMMYFUNCTION("""COMPUTED_VALUE"""),67.5)</f>
        <v>67.5</v>
      </c>
      <c r="S2265" s="85"/>
      <c r="T2265" s="85"/>
      <c r="U2265" s="82"/>
      <c r="V2265" s="82"/>
      <c r="W2265" s="83"/>
      <c r="X2265" s="83"/>
      <c r="Y2265" s="83"/>
    </row>
    <row r="2266" spans="1:25" ht="13.8">
      <c r="A2266" s="78" t="str">
        <f ca="1">IFERROR(__xludf.DUMMYFUNCTION("""COMPUTED_VALUE"""),"WC")</f>
        <v>WC</v>
      </c>
      <c r="B2266" s="79" t="str">
        <f ca="1">IFERROR(__xludf.DUMMYFUNCTION("""COMPUTED_VALUE"""),"Donald Sheldon")</f>
        <v>Donald Sheldon</v>
      </c>
      <c r="C2266" s="78">
        <f ca="1">IFERROR(__xludf.DUMMYFUNCTION("""COMPUTED_VALUE"""),9)</f>
        <v>9</v>
      </c>
      <c r="D2266" s="78" t="str">
        <f ca="1">IFERROR(__xludf.DUMMYFUNCTION("""COMPUTED_VALUE"""),"B")</f>
        <v>B</v>
      </c>
      <c r="E2266" s="80" t="str">
        <f ca="1">IFERROR(__xludf.DUMMYFUNCTION("""COMPUTED_VALUE"""),"F")</f>
        <v>F</v>
      </c>
      <c r="F2266" s="86" t="str">
        <f ca="1">IFERROR(__xludf.DUMMYFUNCTION("""COMPUTED_VALUE"""),"J")</f>
        <v>J</v>
      </c>
      <c r="G2266" s="86">
        <f ca="1">IFERROR(__xludf.DUMMYFUNCTION("""COMPUTED_VALUE"""),4)</f>
        <v>4</v>
      </c>
      <c r="H2266" s="86" t="str">
        <f ca="1">IFERROR(__xludf.DUMMYFUNCTION("""COMPUTED_VALUE"""),"WC")</f>
        <v>WC</v>
      </c>
      <c r="I2266" s="86">
        <f ca="1">IFERROR(__xludf.DUMMYFUNCTION("""COMPUTED_VALUE"""),3)</f>
        <v>3</v>
      </c>
      <c r="J2266" s="85">
        <f ca="1">IFERROR(__xludf.DUMMYFUNCTION("""COMPUTED_VALUE"""),0)</f>
        <v>0</v>
      </c>
      <c r="K2266" s="85">
        <f ca="1">IFERROR(__xludf.DUMMYFUNCTION("""COMPUTED_VALUE"""),0)</f>
        <v>0</v>
      </c>
      <c r="L2266" s="85">
        <f ca="1">IFERROR(__xludf.DUMMYFUNCTION("""COMPUTED_VALUE"""),0)</f>
        <v>0</v>
      </c>
      <c r="M2266" s="85"/>
      <c r="N2266" s="85">
        <f ca="1">IFERROR(__xludf.DUMMYFUNCTION("""COMPUTED_VALUE"""),0)</f>
        <v>0</v>
      </c>
      <c r="O2266" s="85"/>
      <c r="P2266" s="85">
        <f ca="1">IFERROR(__xludf.DUMMYFUNCTION("""COMPUTED_VALUE"""),0)</f>
        <v>0</v>
      </c>
      <c r="Q2266" s="85"/>
      <c r="R2266" s="85">
        <f ca="1">IFERROR(__xludf.DUMMYFUNCTION("""COMPUTED_VALUE"""),0)</f>
        <v>0</v>
      </c>
      <c r="S2266" s="85"/>
      <c r="T2266" s="85"/>
      <c r="U2266" s="82"/>
      <c r="V2266" s="82"/>
      <c r="W2266" s="83"/>
      <c r="X2266" s="83"/>
      <c r="Y2266" s="83"/>
    </row>
    <row r="2267" spans="1:25" ht="13.8">
      <c r="A2267" s="78" t="str">
        <f ca="1">IFERROR(__xludf.DUMMYFUNCTION("""COMPUTED_VALUE"""),"WC")</f>
        <v>WC</v>
      </c>
      <c r="B2267" s="79" t="str">
        <f ca="1">IFERROR(__xludf.DUMMYFUNCTION("""COMPUTED_VALUE"""),"Randolph Shults")</f>
        <v>Randolph Shults</v>
      </c>
      <c r="C2267" s="78">
        <f ca="1">IFERROR(__xludf.DUMMYFUNCTION("""COMPUTED_VALUE"""),9)</f>
        <v>9</v>
      </c>
      <c r="D2267" s="78" t="str">
        <f ca="1">IFERROR(__xludf.DUMMYFUNCTION("""COMPUTED_VALUE"""),"B")</f>
        <v>B</v>
      </c>
      <c r="E2267" s="80" t="str">
        <f ca="1">IFERROR(__xludf.DUMMYFUNCTION("""COMPUTED_VALUE"""),"F")</f>
        <v>F</v>
      </c>
      <c r="F2267" s="86" t="str">
        <f ca="1">IFERROR(__xludf.DUMMYFUNCTION("""COMPUTED_VALUE"""),"J")</f>
        <v>J</v>
      </c>
      <c r="G2267" s="86">
        <f ca="1">IFERROR(__xludf.DUMMYFUNCTION("""COMPUTED_VALUE"""),4)</f>
        <v>4</v>
      </c>
      <c r="H2267" s="86" t="str">
        <f ca="1">IFERROR(__xludf.DUMMYFUNCTION("""COMPUTED_VALUE"""),"WC")</f>
        <v>WC</v>
      </c>
      <c r="I2267" s="86">
        <f ca="1">IFERROR(__xludf.DUMMYFUNCTION("""COMPUTED_VALUE"""),3)</f>
        <v>3</v>
      </c>
      <c r="J2267" s="85">
        <f ca="1">IFERROR(__xludf.DUMMYFUNCTION("""COMPUTED_VALUE"""),1)</f>
        <v>1</v>
      </c>
      <c r="K2267" s="85">
        <f ca="1">IFERROR(__xludf.DUMMYFUNCTION("""COMPUTED_VALUE"""),41.4)</f>
        <v>41.4</v>
      </c>
      <c r="L2267" s="85">
        <f ca="1">IFERROR(__xludf.DUMMYFUNCTION("""COMPUTED_VALUE"""),0)</f>
        <v>0</v>
      </c>
      <c r="M2267" s="85"/>
      <c r="N2267" s="85">
        <f ca="1">IFERROR(__xludf.DUMMYFUNCTION("""COMPUTED_VALUE"""),0)</f>
        <v>0</v>
      </c>
      <c r="O2267" s="85"/>
      <c r="P2267" s="85">
        <f ca="1">IFERROR(__xludf.DUMMYFUNCTION("""COMPUTED_VALUE"""),41.4)</f>
        <v>41.4</v>
      </c>
      <c r="Q2267" s="85"/>
      <c r="R2267" s="85">
        <f ca="1">IFERROR(__xludf.DUMMYFUNCTION("""COMPUTED_VALUE"""),0)</f>
        <v>0</v>
      </c>
      <c r="S2267" s="85"/>
      <c r="T2267" s="85"/>
      <c r="U2267" s="82"/>
      <c r="V2267" s="82"/>
      <c r="W2267" s="83"/>
      <c r="X2267" s="83"/>
      <c r="Y2267" s="83"/>
    </row>
    <row r="2268" spans="1:25" ht="13.8">
      <c r="A2268" s="78" t="str">
        <f ca="1">IFERROR(__xludf.DUMMYFUNCTION("""COMPUTED_VALUE"""),"WC")</f>
        <v>WC</v>
      </c>
      <c r="B2268" s="79" t="str">
        <f ca="1">IFERROR(__xludf.DUMMYFUNCTION("""COMPUTED_VALUE"""),"Lucas Thompson")</f>
        <v>Lucas Thompson</v>
      </c>
      <c r="C2268" s="78">
        <f ca="1">IFERROR(__xludf.DUMMYFUNCTION("""COMPUTED_VALUE"""),9)</f>
        <v>9</v>
      </c>
      <c r="D2268" s="78" t="str">
        <f ca="1">IFERROR(__xludf.DUMMYFUNCTION("""COMPUTED_VALUE"""),"B")</f>
        <v>B</v>
      </c>
      <c r="E2268" s="80" t="str">
        <f ca="1">IFERROR(__xludf.DUMMYFUNCTION("""COMPUTED_VALUE"""),"F")</f>
        <v>F</v>
      </c>
      <c r="F2268" s="86" t="str">
        <f ca="1">IFERROR(__xludf.DUMMYFUNCTION("""COMPUTED_VALUE"""),"J")</f>
        <v>J</v>
      </c>
      <c r="G2268" s="86">
        <f ca="1">IFERROR(__xludf.DUMMYFUNCTION("""COMPUTED_VALUE"""),4)</f>
        <v>4</v>
      </c>
      <c r="H2268" s="86" t="str">
        <f ca="1">IFERROR(__xludf.DUMMYFUNCTION("""COMPUTED_VALUE"""),"WC")</f>
        <v>WC</v>
      </c>
      <c r="I2268" s="86">
        <f ca="1">IFERROR(__xludf.DUMMYFUNCTION("""COMPUTED_VALUE"""),3)</f>
        <v>3</v>
      </c>
      <c r="J2268" s="85">
        <f ca="1">IFERROR(__xludf.DUMMYFUNCTION("""COMPUTED_VALUE"""),0)</f>
        <v>0</v>
      </c>
      <c r="K2268" s="85">
        <f ca="1">IFERROR(__xludf.DUMMYFUNCTION("""COMPUTED_VALUE"""),0)</f>
        <v>0</v>
      </c>
      <c r="L2268" s="85">
        <f ca="1">IFERROR(__xludf.DUMMYFUNCTION("""COMPUTED_VALUE"""),0)</f>
        <v>0</v>
      </c>
      <c r="M2268" s="85"/>
      <c r="N2268" s="85">
        <f ca="1">IFERROR(__xludf.DUMMYFUNCTION("""COMPUTED_VALUE"""),0)</f>
        <v>0</v>
      </c>
      <c r="O2268" s="85"/>
      <c r="P2268" s="85">
        <f ca="1">IFERROR(__xludf.DUMMYFUNCTION("""COMPUTED_VALUE"""),0)</f>
        <v>0</v>
      </c>
      <c r="Q2268" s="85"/>
      <c r="R2268" s="85">
        <f ca="1">IFERROR(__xludf.DUMMYFUNCTION("""COMPUTED_VALUE"""),0)</f>
        <v>0</v>
      </c>
      <c r="S2268" s="85"/>
      <c r="T2268" s="85"/>
      <c r="U2268" s="82"/>
      <c r="V2268" s="82"/>
      <c r="W2268" s="83"/>
      <c r="X2268" s="83"/>
      <c r="Y2268" s="83"/>
    </row>
    <row r="2269" spans="1:25" ht="13.8">
      <c r="A2269" s="78" t="str">
        <f ca="1">IFERROR(__xludf.DUMMYFUNCTION("""COMPUTED_VALUE"""),"WC")</f>
        <v>WC</v>
      </c>
      <c r="B2269" s="79" t="str">
        <f ca="1">IFERROR(__xludf.DUMMYFUNCTION("""COMPUTED_VALUE"""),"Freddy Wood")</f>
        <v>Freddy Wood</v>
      </c>
      <c r="C2269" s="78">
        <f ca="1">IFERROR(__xludf.DUMMYFUNCTION("""COMPUTED_VALUE"""),8)</f>
        <v>8</v>
      </c>
      <c r="D2269" s="78" t="str">
        <f ca="1">IFERROR(__xludf.DUMMYFUNCTION("""COMPUTED_VALUE"""),"B")</f>
        <v>B</v>
      </c>
      <c r="E2269" s="80" t="str">
        <f ca="1">IFERROR(__xludf.DUMMYFUNCTION("""COMPUTED_VALUE"""),"F")</f>
        <v>F</v>
      </c>
      <c r="F2269" s="86" t="str">
        <f ca="1">IFERROR(__xludf.DUMMYFUNCTION("""COMPUTED_VALUE"""),"J")</f>
        <v>J</v>
      </c>
      <c r="G2269" s="86">
        <f ca="1">IFERROR(__xludf.DUMMYFUNCTION("""COMPUTED_VALUE"""),4)</f>
        <v>4</v>
      </c>
      <c r="H2269" s="86" t="str">
        <f ca="1">IFERROR(__xludf.DUMMYFUNCTION("""COMPUTED_VALUE"""),"WC")</f>
        <v>WC</v>
      </c>
      <c r="I2269" s="86">
        <f ca="1">IFERROR(__xludf.DUMMYFUNCTION("""COMPUTED_VALUE"""),3)</f>
        <v>3</v>
      </c>
      <c r="J2269" s="85">
        <f ca="1">IFERROR(__xludf.DUMMYFUNCTION("""COMPUTED_VALUE"""),0)</f>
        <v>0</v>
      </c>
      <c r="K2269" s="85">
        <f ca="1">IFERROR(__xludf.DUMMYFUNCTION("""COMPUTED_VALUE"""),0)</f>
        <v>0</v>
      </c>
      <c r="L2269" s="85">
        <f ca="1">IFERROR(__xludf.DUMMYFUNCTION("""COMPUTED_VALUE"""),0)</f>
        <v>0</v>
      </c>
      <c r="M2269" s="85"/>
      <c r="N2269" s="85">
        <f ca="1">IFERROR(__xludf.DUMMYFUNCTION("""COMPUTED_VALUE"""),0)</f>
        <v>0</v>
      </c>
      <c r="O2269" s="85"/>
      <c r="P2269" s="85">
        <f ca="1">IFERROR(__xludf.DUMMYFUNCTION("""COMPUTED_VALUE"""),0)</f>
        <v>0</v>
      </c>
      <c r="Q2269" s="85"/>
      <c r="R2269" s="85">
        <f ca="1">IFERROR(__xludf.DUMMYFUNCTION("""COMPUTED_VALUE"""),0)</f>
        <v>0</v>
      </c>
      <c r="S2269" s="85"/>
      <c r="T2269" s="85"/>
      <c r="U2269" s="82"/>
      <c r="V2269" s="82"/>
      <c r="W2269" s="83"/>
      <c r="X2269" s="83"/>
      <c r="Y2269" s="83"/>
    </row>
    <row r="2270" spans="1:25" ht="13.8">
      <c r="A2270" s="78" t="str">
        <f ca="1">IFERROR(__xludf.DUMMYFUNCTION("""COMPUTED_VALUE"""),"WC")</f>
        <v>WC</v>
      </c>
      <c r="B2270" s="79" t="str">
        <f ca="1">IFERROR(__xludf.DUMMYFUNCTION("""COMPUTED_VALUE"""),"Madison Ebaugh")</f>
        <v>Madison Ebaugh</v>
      </c>
      <c r="C2270" s="78">
        <f ca="1">IFERROR(__xludf.DUMMYFUNCTION("""COMPUTED_VALUE"""),12)</f>
        <v>12</v>
      </c>
      <c r="D2270" s="78" t="str">
        <f ca="1">IFERROR(__xludf.DUMMYFUNCTION("""COMPUTED_VALUE"""),"G")</f>
        <v>G</v>
      </c>
      <c r="E2270" s="80" t="str">
        <f ca="1">IFERROR(__xludf.DUMMYFUNCTION("""COMPUTED_VALUE"""),"J")</f>
        <v>J</v>
      </c>
      <c r="F2270" s="86" t="str">
        <f ca="1">IFERROR(__xludf.DUMMYFUNCTION("""COMPUTED_VALUE"""),"I")</f>
        <v>I</v>
      </c>
      <c r="G2270" s="86">
        <f ca="1">IFERROR(__xludf.DUMMYFUNCTION("""COMPUTED_VALUE"""),4)</f>
        <v>4</v>
      </c>
      <c r="H2270" s="86" t="str">
        <f ca="1">IFERROR(__xludf.DUMMYFUNCTION("""COMPUTED_VALUE"""),"WC")</f>
        <v>WC</v>
      </c>
      <c r="I2270" s="86">
        <f ca="1">IFERROR(__xludf.DUMMYFUNCTION("""COMPUTED_VALUE"""),4)</f>
        <v>4</v>
      </c>
      <c r="J2270" s="85">
        <f ca="1">IFERROR(__xludf.DUMMYFUNCTION("""COMPUTED_VALUE"""),4)</f>
        <v>4</v>
      </c>
      <c r="K2270" s="85">
        <f ca="1">IFERROR(__xludf.DUMMYFUNCTION("""COMPUTED_VALUE"""),109.5)</f>
        <v>109.5</v>
      </c>
      <c r="L2270" s="85">
        <f ca="1">IFERROR(__xludf.DUMMYFUNCTION("""COMPUTED_VALUE"""),109.5)</f>
        <v>109.5</v>
      </c>
      <c r="M2270" s="85"/>
      <c r="N2270" s="85">
        <f ca="1">IFERROR(__xludf.DUMMYFUNCTION("""COMPUTED_VALUE"""),0)</f>
        <v>0</v>
      </c>
      <c r="O2270" s="85"/>
      <c r="P2270" s="85">
        <f ca="1">IFERROR(__xludf.DUMMYFUNCTION("""COMPUTED_VALUE"""),82)</f>
        <v>82</v>
      </c>
      <c r="Q2270" s="85"/>
      <c r="R2270" s="85">
        <f ca="1">IFERROR(__xludf.DUMMYFUNCTION("""COMPUTED_VALUE"""),-116.7)</f>
        <v>-116.7</v>
      </c>
      <c r="S2270" s="85"/>
      <c r="T2270" s="85"/>
      <c r="U2270" s="82"/>
      <c r="V2270" s="82"/>
      <c r="W2270" s="83"/>
      <c r="X2270" s="83"/>
      <c r="Y2270" s="83"/>
    </row>
    <row r="2271" spans="1:25" ht="13.8">
      <c r="A2271" s="78" t="str">
        <f ca="1">IFERROR(__xludf.DUMMYFUNCTION("""COMPUTED_VALUE"""),"WC")</f>
        <v>WC</v>
      </c>
      <c r="B2271" s="79" t="str">
        <f ca="1">IFERROR(__xludf.DUMMYFUNCTION("""COMPUTED_VALUE"""),"Charlotte Fay")</f>
        <v>Charlotte Fay</v>
      </c>
      <c r="C2271" s="78">
        <f ca="1">IFERROR(__xludf.DUMMYFUNCTION("""COMPUTED_VALUE"""),11)</f>
        <v>11</v>
      </c>
      <c r="D2271" s="78" t="str">
        <f ca="1">IFERROR(__xludf.DUMMYFUNCTION("""COMPUTED_VALUE"""),"G")</f>
        <v>G</v>
      </c>
      <c r="E2271" s="80" t="str">
        <f ca="1">IFERROR(__xludf.DUMMYFUNCTION("""COMPUTED_VALUE"""),"J")</f>
        <v>J</v>
      </c>
      <c r="F2271" s="86" t="str">
        <f ca="1">IFERROR(__xludf.DUMMYFUNCTION("""COMPUTED_VALUE"""),"I")</f>
        <v>I</v>
      </c>
      <c r="G2271" s="86">
        <f ca="1">IFERROR(__xludf.DUMMYFUNCTION("""COMPUTED_VALUE"""),4)</f>
        <v>4</v>
      </c>
      <c r="H2271" s="86" t="str">
        <f ca="1">IFERROR(__xludf.DUMMYFUNCTION("""COMPUTED_VALUE"""),"WC")</f>
        <v>WC</v>
      </c>
      <c r="I2271" s="86">
        <f ca="1">IFERROR(__xludf.DUMMYFUNCTION("""COMPUTED_VALUE"""),4)</f>
        <v>4</v>
      </c>
      <c r="J2271" s="85">
        <f ca="1">IFERROR(__xludf.DUMMYFUNCTION("""COMPUTED_VALUE"""),3)</f>
        <v>3</v>
      </c>
      <c r="K2271" s="85">
        <f ca="1">IFERROR(__xludf.DUMMYFUNCTION("""COMPUTED_VALUE"""),80.2)</f>
        <v>80.2</v>
      </c>
      <c r="L2271" s="85">
        <f ca="1">IFERROR(__xludf.DUMMYFUNCTION("""COMPUTED_VALUE"""),0)</f>
        <v>0</v>
      </c>
      <c r="M2271" s="85"/>
      <c r="N2271" s="85">
        <f ca="1">IFERROR(__xludf.DUMMYFUNCTION("""COMPUTED_VALUE"""),0)</f>
        <v>0</v>
      </c>
      <c r="O2271" s="85"/>
      <c r="P2271" s="85">
        <f ca="1">IFERROR(__xludf.DUMMYFUNCTION("""COMPUTED_VALUE"""),80.2)</f>
        <v>80.2</v>
      </c>
      <c r="Q2271" s="85"/>
      <c r="R2271" s="85">
        <f ca="1">IFERROR(__xludf.DUMMYFUNCTION("""COMPUTED_VALUE"""),71.8)</f>
        <v>71.8</v>
      </c>
      <c r="S2271" s="85"/>
      <c r="T2271" s="85"/>
      <c r="U2271" s="82"/>
      <c r="V2271" s="82"/>
      <c r="W2271" s="83"/>
      <c r="X2271" s="83"/>
      <c r="Y2271" s="83"/>
    </row>
    <row r="2272" spans="1:25" ht="13.8">
      <c r="A2272" s="78" t="str">
        <f ca="1">IFERROR(__xludf.DUMMYFUNCTION("""COMPUTED_VALUE"""),"WC")</f>
        <v>WC</v>
      </c>
      <c r="B2272" s="79" t="str">
        <f ca="1">IFERROR(__xludf.DUMMYFUNCTION("""COMPUTED_VALUE"""),"Alexa Mansuy")</f>
        <v>Alexa Mansuy</v>
      </c>
      <c r="C2272" s="78">
        <f ca="1">IFERROR(__xludf.DUMMYFUNCTION("""COMPUTED_VALUE"""),11)</f>
        <v>11</v>
      </c>
      <c r="D2272" s="78" t="str">
        <f ca="1">IFERROR(__xludf.DUMMYFUNCTION("""COMPUTED_VALUE"""),"G")</f>
        <v>G</v>
      </c>
      <c r="E2272" s="80" t="str">
        <f ca="1">IFERROR(__xludf.DUMMYFUNCTION("""COMPUTED_VALUE"""),"J")</f>
        <v>J</v>
      </c>
      <c r="F2272" s="86" t="str">
        <f ca="1">IFERROR(__xludf.DUMMYFUNCTION("""COMPUTED_VALUE"""),"I")</f>
        <v>I</v>
      </c>
      <c r="G2272" s="86">
        <f ca="1">IFERROR(__xludf.DUMMYFUNCTION("""COMPUTED_VALUE"""),4)</f>
        <v>4</v>
      </c>
      <c r="H2272" s="86" t="str">
        <f ca="1">IFERROR(__xludf.DUMMYFUNCTION("""COMPUTED_VALUE"""),"WC")</f>
        <v>WC</v>
      </c>
      <c r="I2272" s="86">
        <f ca="1">IFERROR(__xludf.DUMMYFUNCTION("""COMPUTED_VALUE"""),4)</f>
        <v>4</v>
      </c>
      <c r="J2272" s="85">
        <f ca="1">IFERROR(__xludf.DUMMYFUNCTION("""COMPUTED_VALUE"""),5)</f>
        <v>5</v>
      </c>
      <c r="K2272" s="85">
        <f ca="1">IFERROR(__xludf.DUMMYFUNCTION("""COMPUTED_VALUE"""),118.95)</f>
        <v>118.95</v>
      </c>
      <c r="L2272" s="85">
        <f ca="1">IFERROR(__xludf.DUMMYFUNCTION("""COMPUTED_VALUE"""),118.95)</f>
        <v>118.95</v>
      </c>
      <c r="M2272" s="85"/>
      <c r="N2272" s="85">
        <f ca="1">IFERROR(__xludf.DUMMYFUNCTION("""COMPUTED_VALUE"""),92.2)</f>
        <v>92.2</v>
      </c>
      <c r="O2272" s="85"/>
      <c r="P2272" s="85">
        <f ca="1">IFERROR(__xludf.DUMMYFUNCTION("""COMPUTED_VALUE"""),-117.8)</f>
        <v>-117.8</v>
      </c>
      <c r="Q2272" s="85"/>
      <c r="R2272" s="85">
        <f ca="1">IFERROR(__xludf.DUMMYFUNCTION("""COMPUTED_VALUE"""),100)</f>
        <v>100</v>
      </c>
      <c r="S2272" s="85"/>
      <c r="T2272" s="85"/>
      <c r="U2272" s="82"/>
      <c r="V2272" s="82"/>
      <c r="W2272" s="83"/>
      <c r="X2272" s="83"/>
      <c r="Y2272" s="83"/>
    </row>
    <row r="2273" spans="1:25" ht="13.8">
      <c r="A2273" s="78" t="str">
        <f ca="1">IFERROR(__xludf.DUMMYFUNCTION("""COMPUTED_VALUE"""),"WC")</f>
        <v>WC</v>
      </c>
      <c r="B2273" s="79" t="str">
        <f ca="1">IFERROR(__xludf.DUMMYFUNCTION("""COMPUTED_VALUE"""),"Sophie Pinkston")</f>
        <v>Sophie Pinkston</v>
      </c>
      <c r="C2273" s="78">
        <f ca="1">IFERROR(__xludf.DUMMYFUNCTION("""COMPUTED_VALUE"""),12)</f>
        <v>12</v>
      </c>
      <c r="D2273" s="78" t="str">
        <f ca="1">IFERROR(__xludf.DUMMYFUNCTION("""COMPUTED_VALUE"""),"G")</f>
        <v>G</v>
      </c>
      <c r="E2273" s="80" t="str">
        <f ca="1">IFERROR(__xludf.DUMMYFUNCTION("""COMPUTED_VALUE"""),"J")</f>
        <v>J</v>
      </c>
      <c r="F2273" s="86" t="str">
        <f ca="1">IFERROR(__xludf.DUMMYFUNCTION("""COMPUTED_VALUE"""),"I")</f>
        <v>I</v>
      </c>
      <c r="G2273" s="86">
        <f ca="1">IFERROR(__xludf.DUMMYFUNCTION("""COMPUTED_VALUE"""),4)</f>
        <v>4</v>
      </c>
      <c r="H2273" s="86" t="str">
        <f ca="1">IFERROR(__xludf.DUMMYFUNCTION("""COMPUTED_VALUE"""),"WC")</f>
        <v>WC</v>
      </c>
      <c r="I2273" s="86">
        <f ca="1">IFERROR(__xludf.DUMMYFUNCTION("""COMPUTED_VALUE"""),4)</f>
        <v>4</v>
      </c>
      <c r="J2273" s="85">
        <f ca="1">IFERROR(__xludf.DUMMYFUNCTION("""COMPUTED_VALUE"""),1)</f>
        <v>1</v>
      </c>
      <c r="K2273" s="85">
        <f ca="1">IFERROR(__xludf.DUMMYFUNCTION("""COMPUTED_VALUE"""),101.1)</f>
        <v>101.1</v>
      </c>
      <c r="L2273" s="85">
        <f ca="1">IFERROR(__xludf.DUMMYFUNCTION("""COMPUTED_VALUE"""),0)</f>
        <v>0</v>
      </c>
      <c r="M2273" s="85"/>
      <c r="N2273" s="85">
        <f ca="1">IFERROR(__xludf.DUMMYFUNCTION("""COMPUTED_VALUE"""),0)</f>
        <v>0</v>
      </c>
      <c r="O2273" s="85"/>
      <c r="P2273" s="85">
        <f ca="1">IFERROR(__xludf.DUMMYFUNCTION("""COMPUTED_VALUE"""),0)</f>
        <v>0</v>
      </c>
      <c r="Q2273" s="85"/>
      <c r="R2273" s="85">
        <f ca="1">IFERROR(__xludf.DUMMYFUNCTION("""COMPUTED_VALUE"""),101.1)</f>
        <v>101.1</v>
      </c>
      <c r="S2273" s="85"/>
      <c r="T2273" s="85"/>
      <c r="U2273" s="82"/>
      <c r="V2273" s="82"/>
      <c r="W2273" s="83"/>
      <c r="X2273" s="83"/>
      <c r="Y2273" s="83"/>
    </row>
    <row r="2274" spans="1:25" ht="13.8">
      <c r="A2274" s="78" t="str">
        <f ca="1">IFERROR(__xludf.DUMMYFUNCTION("""COMPUTED_VALUE"""),"WC")</f>
        <v>WC</v>
      </c>
      <c r="B2274" s="79" t="str">
        <f ca="1">IFERROR(__xludf.DUMMYFUNCTION("""COMPUTED_VALUE"""),"Matthew Lazo-Kaser")</f>
        <v>Matthew Lazo-Kaser</v>
      </c>
      <c r="C2274" s="78">
        <f ca="1">IFERROR(__xludf.DUMMYFUNCTION("""COMPUTED_VALUE"""),12)</f>
        <v>12</v>
      </c>
      <c r="D2274" s="78" t="str">
        <f ca="1">IFERROR(__xludf.DUMMYFUNCTION("""COMPUTED_VALUE"""),"B")</f>
        <v>B</v>
      </c>
      <c r="E2274" s="80" t="str">
        <f ca="1">IFERROR(__xludf.DUMMYFUNCTION("""COMPUTED_VALUE"""),"J")</f>
        <v>J</v>
      </c>
      <c r="F2274" s="86" t="str">
        <f ca="1">IFERROR(__xludf.DUMMYFUNCTION("""COMPUTED_VALUE"""),"I")</f>
        <v>I</v>
      </c>
      <c r="G2274" s="86">
        <f ca="1">IFERROR(__xludf.DUMMYFUNCTION("""COMPUTED_VALUE"""),4)</f>
        <v>4</v>
      </c>
      <c r="H2274" s="86" t="str">
        <f ca="1">IFERROR(__xludf.DUMMYFUNCTION("""COMPUTED_VALUE"""),"WC")</f>
        <v>WC</v>
      </c>
      <c r="I2274" s="86">
        <f ca="1">IFERROR(__xludf.DUMMYFUNCTION("""COMPUTED_VALUE"""),5)</f>
        <v>5</v>
      </c>
      <c r="J2274" s="85">
        <f ca="1">IFERROR(__xludf.DUMMYFUNCTION("""COMPUTED_VALUE"""),2)</f>
        <v>2</v>
      </c>
      <c r="K2274" s="85">
        <f ca="1">IFERROR(__xludf.DUMMYFUNCTION("""COMPUTED_VALUE"""),70.05)</f>
        <v>70.05</v>
      </c>
      <c r="L2274" s="85">
        <f ca="1">IFERROR(__xludf.DUMMYFUNCTION("""COMPUTED_VALUE"""),0)</f>
        <v>0</v>
      </c>
      <c r="M2274" s="85"/>
      <c r="N2274" s="85">
        <f ca="1">IFERROR(__xludf.DUMMYFUNCTION("""COMPUTED_VALUE"""),70.05)</f>
        <v>70.05</v>
      </c>
      <c r="O2274" s="85"/>
      <c r="P2274" s="85">
        <f ca="1">IFERROR(__xludf.DUMMYFUNCTION("""COMPUTED_VALUE"""),-93.7)</f>
        <v>-93.7</v>
      </c>
      <c r="Q2274" s="85"/>
      <c r="R2274" s="85">
        <f ca="1">IFERROR(__xludf.DUMMYFUNCTION("""COMPUTED_VALUE"""),0)</f>
        <v>0</v>
      </c>
      <c r="S2274" s="85"/>
      <c r="T2274" s="85"/>
      <c r="U2274" s="82"/>
      <c r="V2274" s="82"/>
      <c r="W2274" s="83"/>
      <c r="X2274" s="83"/>
      <c r="Y2274" s="83"/>
    </row>
    <row r="2275" spans="1:25" ht="13.8">
      <c r="A2275" s="78" t="str">
        <f ca="1">IFERROR(__xludf.DUMMYFUNCTION("""COMPUTED_VALUE"""),"WC")</f>
        <v>WC</v>
      </c>
      <c r="B2275" s="79" t="str">
        <f ca="1">IFERROR(__xludf.DUMMYFUNCTION("""COMPUTED_VALUE"""),"Seamus McNamara")</f>
        <v>Seamus McNamara</v>
      </c>
      <c r="C2275" s="78">
        <f ca="1">IFERROR(__xludf.DUMMYFUNCTION("""COMPUTED_VALUE"""),12)</f>
        <v>12</v>
      </c>
      <c r="D2275" s="78" t="str">
        <f ca="1">IFERROR(__xludf.DUMMYFUNCTION("""COMPUTED_VALUE"""),"B")</f>
        <v>B</v>
      </c>
      <c r="E2275" s="80" t="str">
        <f ca="1">IFERROR(__xludf.DUMMYFUNCTION("""COMPUTED_VALUE"""),"J")</f>
        <v>J</v>
      </c>
      <c r="F2275" s="86" t="str">
        <f ca="1">IFERROR(__xludf.DUMMYFUNCTION("""COMPUTED_VALUE"""),"I")</f>
        <v>I</v>
      </c>
      <c r="G2275" s="86">
        <f ca="1">IFERROR(__xludf.DUMMYFUNCTION("""COMPUTED_VALUE"""),4)</f>
        <v>4</v>
      </c>
      <c r="H2275" s="86" t="str">
        <f ca="1">IFERROR(__xludf.DUMMYFUNCTION("""COMPUTED_VALUE"""),"WC")</f>
        <v>WC</v>
      </c>
      <c r="I2275" s="86">
        <f ca="1">IFERROR(__xludf.DUMMYFUNCTION("""COMPUTED_VALUE"""),5)</f>
        <v>5</v>
      </c>
      <c r="J2275" s="85">
        <f ca="1">IFERROR(__xludf.DUMMYFUNCTION("""COMPUTED_VALUE"""),5)</f>
        <v>5</v>
      </c>
      <c r="K2275" s="85">
        <f ca="1">IFERROR(__xludf.DUMMYFUNCTION("""COMPUTED_VALUE"""),129.4)</f>
        <v>129.4</v>
      </c>
      <c r="L2275" s="85">
        <f ca="1">IFERROR(__xludf.DUMMYFUNCTION("""COMPUTED_VALUE"""),129.4)</f>
        <v>129.4</v>
      </c>
      <c r="M2275" s="85"/>
      <c r="N2275" s="85">
        <f ca="1">IFERROR(__xludf.DUMMYFUNCTION("""COMPUTED_VALUE"""),104.65)</f>
        <v>104.65</v>
      </c>
      <c r="O2275" s="85"/>
      <c r="P2275" s="85">
        <f ca="1">IFERROR(__xludf.DUMMYFUNCTION("""COMPUTED_VALUE"""),120.2)</f>
        <v>120.2</v>
      </c>
      <c r="Q2275" s="85"/>
      <c r="R2275" s="85">
        <f ca="1">IFERROR(__xludf.DUMMYFUNCTION("""COMPUTED_VALUE"""),121.6)</f>
        <v>121.6</v>
      </c>
      <c r="S2275" s="85"/>
      <c r="T2275" s="85"/>
      <c r="U2275" s="82"/>
      <c r="V2275" s="82"/>
      <c r="W2275" s="83"/>
      <c r="X2275" s="83"/>
      <c r="Y2275" s="83"/>
    </row>
    <row r="2276" spans="1:25" ht="13.8">
      <c r="A2276" s="78" t="str">
        <f ca="1">IFERROR(__xludf.DUMMYFUNCTION("""COMPUTED_VALUE"""),"WC")</f>
        <v>WC</v>
      </c>
      <c r="B2276" s="79" t="str">
        <f ca="1">IFERROR(__xludf.DUMMYFUNCTION("""COMPUTED_VALUE"""),"Dylan Platt")</f>
        <v>Dylan Platt</v>
      </c>
      <c r="C2276" s="78">
        <f ca="1">IFERROR(__xludf.DUMMYFUNCTION("""COMPUTED_VALUE"""),12)</f>
        <v>12</v>
      </c>
      <c r="D2276" s="78" t="str">
        <f ca="1">IFERROR(__xludf.DUMMYFUNCTION("""COMPUTED_VALUE"""),"B")</f>
        <v>B</v>
      </c>
      <c r="E2276" s="80" t="str">
        <f ca="1">IFERROR(__xludf.DUMMYFUNCTION("""COMPUTED_VALUE"""),"J")</f>
        <v>J</v>
      </c>
      <c r="F2276" s="86" t="str">
        <f ca="1">IFERROR(__xludf.DUMMYFUNCTION("""COMPUTED_VALUE"""),"I")</f>
        <v>I</v>
      </c>
      <c r="G2276" s="86">
        <f ca="1">IFERROR(__xludf.DUMMYFUNCTION("""COMPUTED_VALUE"""),4)</f>
        <v>4</v>
      </c>
      <c r="H2276" s="86" t="str">
        <f ca="1">IFERROR(__xludf.DUMMYFUNCTION("""COMPUTED_VALUE"""),"WC")</f>
        <v>WC</v>
      </c>
      <c r="I2276" s="86">
        <f ca="1">IFERROR(__xludf.DUMMYFUNCTION("""COMPUTED_VALUE"""),5)</f>
        <v>5</v>
      </c>
      <c r="J2276" s="85">
        <f ca="1">IFERROR(__xludf.DUMMYFUNCTION("""COMPUTED_VALUE"""),4)</f>
        <v>4</v>
      </c>
      <c r="K2276" s="85">
        <f ca="1">IFERROR(__xludf.DUMMYFUNCTION("""COMPUTED_VALUE"""),81.45)</f>
        <v>81.45</v>
      </c>
      <c r="L2276" s="85">
        <f ca="1">IFERROR(__xludf.DUMMYFUNCTION("""COMPUTED_VALUE"""),81.45)</f>
        <v>81.45</v>
      </c>
      <c r="M2276" s="85"/>
      <c r="N2276" s="85">
        <f ca="1">IFERROR(__xludf.DUMMYFUNCTION("""COMPUTED_VALUE"""),69.65)</f>
        <v>69.650000000000006</v>
      </c>
      <c r="O2276" s="85"/>
      <c r="P2276" s="85">
        <f ca="1">IFERROR(__xludf.DUMMYFUNCTION("""COMPUTED_VALUE"""),0)</f>
        <v>0</v>
      </c>
      <c r="Q2276" s="85"/>
      <c r="R2276" s="85">
        <f ca="1">IFERROR(__xludf.DUMMYFUNCTION("""COMPUTED_VALUE"""),70.5)</f>
        <v>70.5</v>
      </c>
      <c r="S2276" s="85"/>
      <c r="T2276" s="85"/>
      <c r="U2276" s="82"/>
      <c r="V2276" s="82"/>
      <c r="W2276" s="83"/>
      <c r="X2276" s="83"/>
      <c r="Y2276" s="83"/>
    </row>
    <row r="2277" spans="1:25" ht="13.8">
      <c r="A2277" s="78" t="str">
        <f ca="1">IFERROR(__xludf.DUMMYFUNCTION("""COMPUTED_VALUE"""),"WC")</f>
        <v>WC</v>
      </c>
      <c r="B2277" s="79" t="str">
        <f ca="1">IFERROR(__xludf.DUMMYFUNCTION("""COMPUTED_VALUE"""),"Joshua Thompson")</f>
        <v>Joshua Thompson</v>
      </c>
      <c r="C2277" s="78">
        <f ca="1">IFERROR(__xludf.DUMMYFUNCTION("""COMPUTED_VALUE"""),11)</f>
        <v>11</v>
      </c>
      <c r="D2277" s="78" t="str">
        <f ca="1">IFERROR(__xludf.DUMMYFUNCTION("""COMPUTED_VALUE"""),"B")</f>
        <v>B</v>
      </c>
      <c r="E2277" s="80" t="str">
        <f ca="1">IFERROR(__xludf.DUMMYFUNCTION("""COMPUTED_VALUE"""),"J")</f>
        <v>J</v>
      </c>
      <c r="F2277" s="86" t="str">
        <f ca="1">IFERROR(__xludf.DUMMYFUNCTION("""COMPUTED_VALUE"""),"I")</f>
        <v>I</v>
      </c>
      <c r="G2277" s="86">
        <f ca="1">IFERROR(__xludf.DUMMYFUNCTION("""COMPUTED_VALUE"""),4)</f>
        <v>4</v>
      </c>
      <c r="H2277" s="86" t="str">
        <f ca="1">IFERROR(__xludf.DUMMYFUNCTION("""COMPUTED_VALUE"""),"WC")</f>
        <v>WC</v>
      </c>
      <c r="I2277" s="86">
        <f ca="1">IFERROR(__xludf.DUMMYFUNCTION("""COMPUTED_VALUE"""),5)</f>
        <v>5</v>
      </c>
      <c r="J2277" s="85">
        <f ca="1">IFERROR(__xludf.DUMMYFUNCTION("""COMPUTED_VALUE"""),0)</f>
        <v>0</v>
      </c>
      <c r="K2277" s="85">
        <f ca="1">IFERROR(__xludf.DUMMYFUNCTION("""COMPUTED_VALUE"""),0)</f>
        <v>0</v>
      </c>
      <c r="L2277" s="85">
        <f ca="1">IFERROR(__xludf.DUMMYFUNCTION("""COMPUTED_VALUE"""),0)</f>
        <v>0</v>
      </c>
      <c r="M2277" s="85"/>
      <c r="N2277" s="85">
        <f ca="1">IFERROR(__xludf.DUMMYFUNCTION("""COMPUTED_VALUE"""),0)</f>
        <v>0</v>
      </c>
      <c r="O2277" s="85"/>
      <c r="P2277" s="85">
        <f ca="1">IFERROR(__xludf.DUMMYFUNCTION("""COMPUTED_VALUE"""),0)</f>
        <v>0</v>
      </c>
      <c r="Q2277" s="85"/>
      <c r="R2277" s="85">
        <f ca="1">IFERROR(__xludf.DUMMYFUNCTION("""COMPUTED_VALUE"""),0)</f>
        <v>0</v>
      </c>
      <c r="S2277" s="85"/>
      <c r="T2277" s="85"/>
      <c r="U2277" s="82"/>
      <c r="V2277" s="82"/>
      <c r="W2277" s="83"/>
      <c r="X2277" s="83"/>
      <c r="Y2277" s="83"/>
    </row>
    <row r="2278" spans="1:25" ht="13.8">
      <c r="A2278" s="78" t="str">
        <f ca="1">IFERROR(__xludf.DUMMYFUNCTION("""COMPUTED_VALUE"""),"WC")</f>
        <v>WC</v>
      </c>
      <c r="B2278" s="79" t="str">
        <f ca="1">IFERROR(__xludf.DUMMYFUNCTION("""COMPUTED_VALUE"""),"Carl White IV")</f>
        <v>Carl White IV</v>
      </c>
      <c r="C2278" s="78">
        <f ca="1">IFERROR(__xludf.DUMMYFUNCTION("""COMPUTED_VALUE"""),12)</f>
        <v>12</v>
      </c>
      <c r="D2278" s="78" t="str">
        <f ca="1">IFERROR(__xludf.DUMMYFUNCTION("""COMPUTED_VALUE"""),"B")</f>
        <v>B</v>
      </c>
      <c r="E2278" s="80" t="str">
        <f ca="1">IFERROR(__xludf.DUMMYFUNCTION("""COMPUTED_VALUE"""),"J")</f>
        <v>J</v>
      </c>
      <c r="F2278" s="86" t="str">
        <f ca="1">IFERROR(__xludf.DUMMYFUNCTION("""COMPUTED_VALUE"""),"I")</f>
        <v>I</v>
      </c>
      <c r="G2278" s="86">
        <f ca="1">IFERROR(__xludf.DUMMYFUNCTION("""COMPUTED_VALUE"""),4)</f>
        <v>4</v>
      </c>
      <c r="H2278" s="86" t="str">
        <f ca="1">IFERROR(__xludf.DUMMYFUNCTION("""COMPUTED_VALUE"""),"WC")</f>
        <v>WC</v>
      </c>
      <c r="I2278" s="86">
        <f ca="1">IFERROR(__xludf.DUMMYFUNCTION("""COMPUTED_VALUE"""),5)</f>
        <v>5</v>
      </c>
      <c r="J2278" s="85">
        <f ca="1">IFERROR(__xludf.DUMMYFUNCTION("""COMPUTED_VALUE"""),0)</f>
        <v>0</v>
      </c>
      <c r="K2278" s="85">
        <f ca="1">IFERROR(__xludf.DUMMYFUNCTION("""COMPUTED_VALUE"""),0)</f>
        <v>0</v>
      </c>
      <c r="L2278" s="85">
        <f ca="1">IFERROR(__xludf.DUMMYFUNCTION("""COMPUTED_VALUE"""),0)</f>
        <v>0</v>
      </c>
      <c r="M2278" s="85"/>
      <c r="N2278" s="85">
        <f ca="1">IFERROR(__xludf.DUMMYFUNCTION("""COMPUTED_VALUE"""),0)</f>
        <v>0</v>
      </c>
      <c r="O2278" s="85"/>
      <c r="P2278" s="85">
        <f ca="1">IFERROR(__xludf.DUMMYFUNCTION("""COMPUTED_VALUE"""),0)</f>
        <v>0</v>
      </c>
      <c r="Q2278" s="85"/>
      <c r="R2278" s="85">
        <f ca="1">IFERROR(__xludf.DUMMYFUNCTION("""COMPUTED_VALUE"""),0)</f>
        <v>0</v>
      </c>
      <c r="S2278" s="85"/>
      <c r="T2278" s="85"/>
      <c r="U2278" s="82"/>
      <c r="V2278" s="82"/>
      <c r="W2278" s="83"/>
      <c r="X2278" s="83"/>
      <c r="Y2278" s="83"/>
    </row>
    <row r="2279" spans="1:25" ht="13.8">
      <c r="A2279" s="78" t="str">
        <f ca="1">IFERROR(__xludf.DUMMYFUNCTION("""COMPUTED_VALUE"""),"WC")</f>
        <v>WC</v>
      </c>
      <c r="B2279" s="79" t="str">
        <f ca="1">IFERROR(__xludf.DUMMYFUNCTION("""COMPUTED_VALUE"""),"Catalina Coronado")</f>
        <v>Catalina Coronado</v>
      </c>
      <c r="C2279" s="78">
        <f ca="1">IFERROR(__xludf.DUMMYFUNCTION("""COMPUTED_VALUE"""),13)</f>
        <v>13</v>
      </c>
      <c r="D2279" s="78" t="str">
        <f ca="1">IFERROR(__xludf.DUMMYFUNCTION("""COMPUTED_VALUE"""),"G")</f>
        <v>G</v>
      </c>
      <c r="E2279" s="80" t="str">
        <f ca="1">IFERROR(__xludf.DUMMYFUNCTION("""COMPUTED_VALUE"""),"I")</f>
        <v>I</v>
      </c>
      <c r="F2279" s="86" t="str">
        <f ca="1">IFERROR(__xludf.DUMMYFUNCTION("""COMPUTED_VALUE"""),"S")</f>
        <v>S</v>
      </c>
      <c r="G2279" s="86">
        <f ca="1">IFERROR(__xludf.DUMMYFUNCTION("""COMPUTED_VALUE"""),4)</f>
        <v>4</v>
      </c>
      <c r="H2279" s="86" t="str">
        <f ca="1">IFERROR(__xludf.DUMMYFUNCTION("""COMPUTED_VALUE"""),"WC")</f>
        <v>WC</v>
      </c>
      <c r="I2279" s="86">
        <f ca="1">IFERROR(__xludf.DUMMYFUNCTION("""COMPUTED_VALUE"""),6)</f>
        <v>6</v>
      </c>
      <c r="J2279" s="85">
        <f ca="1">IFERROR(__xludf.DUMMYFUNCTION("""COMPUTED_VALUE"""),0)</f>
        <v>0</v>
      </c>
      <c r="K2279" s="85">
        <f ca="1">IFERROR(__xludf.DUMMYFUNCTION("""COMPUTED_VALUE"""),0)</f>
        <v>0</v>
      </c>
      <c r="L2279" s="85">
        <f ca="1">IFERROR(__xludf.DUMMYFUNCTION("""COMPUTED_VALUE"""),0)</f>
        <v>0</v>
      </c>
      <c r="M2279" s="85"/>
      <c r="N2279" s="85">
        <f ca="1">IFERROR(__xludf.DUMMYFUNCTION("""COMPUTED_VALUE"""),0)</f>
        <v>0</v>
      </c>
      <c r="O2279" s="85"/>
      <c r="P2279" s="85">
        <f ca="1">IFERROR(__xludf.DUMMYFUNCTION("""COMPUTED_VALUE"""),0)</f>
        <v>0</v>
      </c>
      <c r="Q2279" s="85"/>
      <c r="R2279" s="85">
        <f ca="1">IFERROR(__xludf.DUMMYFUNCTION("""COMPUTED_VALUE"""),0)</f>
        <v>0</v>
      </c>
      <c r="S2279" s="85"/>
      <c r="T2279" s="85"/>
      <c r="U2279" s="82"/>
      <c r="V2279" s="82"/>
      <c r="W2279" s="83"/>
      <c r="X2279" s="83"/>
      <c r="Y2279" s="83"/>
    </row>
    <row r="2280" spans="1:25" ht="13.8">
      <c r="A2280" s="78" t="str">
        <f ca="1">IFERROR(__xludf.DUMMYFUNCTION("""COMPUTED_VALUE"""),"WC")</f>
        <v>WC</v>
      </c>
      <c r="B2280" s="79" t="str">
        <f ca="1">IFERROR(__xludf.DUMMYFUNCTION("""COMPUTED_VALUE"""),"Millie Manos")</f>
        <v>Millie Manos</v>
      </c>
      <c r="C2280" s="78">
        <f ca="1">IFERROR(__xludf.DUMMYFUNCTION("""COMPUTED_VALUE"""),14)</f>
        <v>14</v>
      </c>
      <c r="D2280" s="78" t="str">
        <f ca="1">IFERROR(__xludf.DUMMYFUNCTION("""COMPUTED_VALUE"""),"G")</f>
        <v>G</v>
      </c>
      <c r="E2280" s="80" t="str">
        <f ca="1">IFERROR(__xludf.DUMMYFUNCTION("""COMPUTED_VALUE"""),"I")</f>
        <v>I</v>
      </c>
      <c r="F2280" s="86" t="str">
        <f ca="1">IFERROR(__xludf.DUMMYFUNCTION("""COMPUTED_VALUE"""),"S")</f>
        <v>S</v>
      </c>
      <c r="G2280" s="86">
        <f ca="1">IFERROR(__xludf.DUMMYFUNCTION("""COMPUTED_VALUE"""),4)</f>
        <v>4</v>
      </c>
      <c r="H2280" s="86" t="str">
        <f ca="1">IFERROR(__xludf.DUMMYFUNCTION("""COMPUTED_VALUE"""),"WC")</f>
        <v>WC</v>
      </c>
      <c r="I2280" s="86">
        <f ca="1">IFERROR(__xludf.DUMMYFUNCTION("""COMPUTED_VALUE"""),6)</f>
        <v>6</v>
      </c>
      <c r="J2280" s="85">
        <f ca="1">IFERROR(__xludf.DUMMYFUNCTION("""COMPUTED_VALUE"""),0)</f>
        <v>0</v>
      </c>
      <c r="K2280" s="85">
        <f ca="1">IFERROR(__xludf.DUMMYFUNCTION("""COMPUTED_VALUE"""),0)</f>
        <v>0</v>
      </c>
      <c r="L2280" s="85">
        <f ca="1">IFERROR(__xludf.DUMMYFUNCTION("""COMPUTED_VALUE"""),0)</f>
        <v>0</v>
      </c>
      <c r="M2280" s="85"/>
      <c r="N2280" s="85">
        <f ca="1">IFERROR(__xludf.DUMMYFUNCTION("""COMPUTED_VALUE"""),0)</f>
        <v>0</v>
      </c>
      <c r="O2280" s="85"/>
      <c r="P2280" s="85">
        <f ca="1">IFERROR(__xludf.DUMMYFUNCTION("""COMPUTED_VALUE"""),0)</f>
        <v>0</v>
      </c>
      <c r="Q2280" s="85"/>
      <c r="R2280" s="85">
        <f ca="1">IFERROR(__xludf.DUMMYFUNCTION("""COMPUTED_VALUE"""),0)</f>
        <v>0</v>
      </c>
      <c r="S2280" s="85"/>
      <c r="T2280" s="85"/>
      <c r="U2280" s="82"/>
      <c r="V2280" s="82"/>
      <c r="W2280" s="83"/>
      <c r="X2280" s="83"/>
      <c r="Y2280" s="83"/>
    </row>
    <row r="2281" spans="1:25" ht="13.8">
      <c r="A2281" s="78" t="str">
        <f ca="1">IFERROR(__xludf.DUMMYFUNCTION("""COMPUTED_VALUE"""),"WC")</f>
        <v>WC</v>
      </c>
      <c r="B2281" s="79" t="str">
        <f ca="1">IFERROR(__xludf.DUMMYFUNCTION("""COMPUTED_VALUE"""),"AnnaGrace Mansfield")</f>
        <v>AnnaGrace Mansfield</v>
      </c>
      <c r="C2281" s="78">
        <f ca="1">IFERROR(__xludf.DUMMYFUNCTION("""COMPUTED_VALUE"""),13)</f>
        <v>13</v>
      </c>
      <c r="D2281" s="78" t="str">
        <f ca="1">IFERROR(__xludf.DUMMYFUNCTION("""COMPUTED_VALUE"""),"G")</f>
        <v>G</v>
      </c>
      <c r="E2281" s="80" t="str">
        <f ca="1">IFERROR(__xludf.DUMMYFUNCTION("""COMPUTED_VALUE"""),"I")</f>
        <v>I</v>
      </c>
      <c r="F2281" s="86" t="str">
        <f ca="1">IFERROR(__xludf.DUMMYFUNCTION("""COMPUTED_VALUE"""),"S")</f>
        <v>S</v>
      </c>
      <c r="G2281" s="86">
        <f ca="1">IFERROR(__xludf.DUMMYFUNCTION("""COMPUTED_VALUE"""),4)</f>
        <v>4</v>
      </c>
      <c r="H2281" s="86" t="str">
        <f ca="1">IFERROR(__xludf.DUMMYFUNCTION("""COMPUTED_VALUE"""),"WC")</f>
        <v>WC</v>
      </c>
      <c r="I2281" s="86">
        <f ca="1">IFERROR(__xludf.DUMMYFUNCTION("""COMPUTED_VALUE"""),6)</f>
        <v>6</v>
      </c>
      <c r="J2281" s="85">
        <f ca="1">IFERROR(__xludf.DUMMYFUNCTION("""COMPUTED_VALUE"""),1)</f>
        <v>1</v>
      </c>
      <c r="K2281" s="85">
        <f ca="1">IFERROR(__xludf.DUMMYFUNCTION("""COMPUTED_VALUE"""),119.9)</f>
        <v>119.9</v>
      </c>
      <c r="L2281" s="85">
        <f ca="1">IFERROR(__xludf.DUMMYFUNCTION("""COMPUTED_VALUE"""),0)</f>
        <v>0</v>
      </c>
      <c r="M2281" s="85"/>
      <c r="N2281" s="85">
        <f ca="1">IFERROR(__xludf.DUMMYFUNCTION("""COMPUTED_VALUE"""),119.9)</f>
        <v>119.9</v>
      </c>
      <c r="O2281" s="85"/>
      <c r="P2281" s="85">
        <f ca="1">IFERROR(__xludf.DUMMYFUNCTION("""COMPUTED_VALUE"""),0)</f>
        <v>0</v>
      </c>
      <c r="Q2281" s="85"/>
      <c r="R2281" s="85">
        <f ca="1">IFERROR(__xludf.DUMMYFUNCTION("""COMPUTED_VALUE"""),0)</f>
        <v>0</v>
      </c>
      <c r="S2281" s="85"/>
      <c r="T2281" s="85"/>
      <c r="U2281" s="82"/>
      <c r="V2281" s="82"/>
      <c r="W2281" s="83"/>
      <c r="X2281" s="83"/>
      <c r="Y2281" s="83"/>
    </row>
    <row r="2282" spans="1:25" ht="13.8">
      <c r="A2282" s="78" t="str">
        <f ca="1">IFERROR(__xludf.DUMMYFUNCTION("""COMPUTED_VALUE"""),"WC")</f>
        <v>WC</v>
      </c>
      <c r="B2282" s="79" t="str">
        <f ca="1">IFERROR(__xludf.DUMMYFUNCTION("""COMPUTED_VALUE"""),"Elle Marshall")</f>
        <v>Elle Marshall</v>
      </c>
      <c r="C2282" s="78">
        <f ca="1">IFERROR(__xludf.DUMMYFUNCTION("""COMPUTED_VALUE"""),13)</f>
        <v>13</v>
      </c>
      <c r="D2282" s="78" t="str">
        <f ca="1">IFERROR(__xludf.DUMMYFUNCTION("""COMPUTED_VALUE"""),"G")</f>
        <v>G</v>
      </c>
      <c r="E2282" s="80" t="str">
        <f ca="1">IFERROR(__xludf.DUMMYFUNCTION("""COMPUTED_VALUE"""),"I")</f>
        <v>I</v>
      </c>
      <c r="F2282" s="86" t="str">
        <f ca="1">IFERROR(__xludf.DUMMYFUNCTION("""COMPUTED_VALUE"""),"S")</f>
        <v>S</v>
      </c>
      <c r="G2282" s="86">
        <f ca="1">IFERROR(__xludf.DUMMYFUNCTION("""COMPUTED_VALUE"""),4)</f>
        <v>4</v>
      </c>
      <c r="H2282" s="86" t="str">
        <f ca="1">IFERROR(__xludf.DUMMYFUNCTION("""COMPUTED_VALUE"""),"WC")</f>
        <v>WC</v>
      </c>
      <c r="I2282" s="86">
        <f ca="1">IFERROR(__xludf.DUMMYFUNCTION("""COMPUTED_VALUE"""),6)</f>
        <v>6</v>
      </c>
      <c r="J2282" s="85">
        <f ca="1">IFERROR(__xludf.DUMMYFUNCTION("""COMPUTED_VALUE"""),3)</f>
        <v>3</v>
      </c>
      <c r="K2282" s="85">
        <f ca="1">IFERROR(__xludf.DUMMYFUNCTION("""COMPUTED_VALUE"""),94.1)</f>
        <v>94.1</v>
      </c>
      <c r="L2282" s="85">
        <f ca="1">IFERROR(__xludf.DUMMYFUNCTION("""COMPUTED_VALUE"""),0)</f>
        <v>0</v>
      </c>
      <c r="M2282" s="85"/>
      <c r="N2282" s="85">
        <f ca="1">IFERROR(__xludf.DUMMYFUNCTION("""COMPUTED_VALUE"""),92.25)</f>
        <v>92.25</v>
      </c>
      <c r="O2282" s="85"/>
      <c r="P2282" s="85">
        <f ca="1">IFERROR(__xludf.DUMMYFUNCTION("""COMPUTED_VALUE"""),0)</f>
        <v>0</v>
      </c>
      <c r="Q2282" s="85"/>
      <c r="R2282" s="85">
        <f ca="1">IFERROR(__xludf.DUMMYFUNCTION("""COMPUTED_VALUE"""),94.1)</f>
        <v>94.1</v>
      </c>
      <c r="S2282" s="85"/>
      <c r="T2282" s="85"/>
      <c r="U2282" s="82"/>
      <c r="V2282" s="82"/>
      <c r="W2282" s="83"/>
      <c r="X2282" s="83"/>
      <c r="Y2282" s="83"/>
    </row>
    <row r="2283" spans="1:25" ht="13.8">
      <c r="A2283" s="78" t="str">
        <f ca="1">IFERROR(__xludf.DUMMYFUNCTION("""COMPUTED_VALUE"""),"WC")</f>
        <v>WC</v>
      </c>
      <c r="B2283" s="79" t="str">
        <f ca="1">IFERROR(__xludf.DUMMYFUNCTION("""COMPUTED_VALUE"""),"Gabrielle Miranda")</f>
        <v>Gabrielle Miranda</v>
      </c>
      <c r="C2283" s="78">
        <f ca="1">IFERROR(__xludf.DUMMYFUNCTION("""COMPUTED_VALUE"""),13)</f>
        <v>13</v>
      </c>
      <c r="D2283" s="78" t="str">
        <f ca="1">IFERROR(__xludf.DUMMYFUNCTION("""COMPUTED_VALUE"""),"G")</f>
        <v>G</v>
      </c>
      <c r="E2283" s="80" t="str">
        <f ca="1">IFERROR(__xludf.DUMMYFUNCTION("""COMPUTED_VALUE"""),"I")</f>
        <v>I</v>
      </c>
      <c r="F2283" s="86" t="str">
        <f ca="1">IFERROR(__xludf.DUMMYFUNCTION("""COMPUTED_VALUE"""),"S")</f>
        <v>S</v>
      </c>
      <c r="G2283" s="86">
        <f ca="1">IFERROR(__xludf.DUMMYFUNCTION("""COMPUTED_VALUE"""),4)</f>
        <v>4</v>
      </c>
      <c r="H2283" s="86" t="str">
        <f ca="1">IFERROR(__xludf.DUMMYFUNCTION("""COMPUTED_VALUE"""),"WC")</f>
        <v>WC</v>
      </c>
      <c r="I2283" s="86">
        <f ca="1">IFERROR(__xludf.DUMMYFUNCTION("""COMPUTED_VALUE"""),6)</f>
        <v>6</v>
      </c>
      <c r="J2283" s="85">
        <f ca="1">IFERROR(__xludf.DUMMYFUNCTION("""COMPUTED_VALUE"""),0)</f>
        <v>0</v>
      </c>
      <c r="K2283" s="85">
        <f ca="1">IFERROR(__xludf.DUMMYFUNCTION("""COMPUTED_VALUE"""),0)</f>
        <v>0</v>
      </c>
      <c r="L2283" s="85">
        <f ca="1">IFERROR(__xludf.DUMMYFUNCTION("""COMPUTED_VALUE"""),0)</f>
        <v>0</v>
      </c>
      <c r="M2283" s="85"/>
      <c r="N2283" s="85">
        <f ca="1">IFERROR(__xludf.DUMMYFUNCTION("""COMPUTED_VALUE"""),0)</f>
        <v>0</v>
      </c>
      <c r="O2283" s="85"/>
      <c r="P2283" s="85">
        <f ca="1">IFERROR(__xludf.DUMMYFUNCTION("""COMPUTED_VALUE"""),0)</f>
        <v>0</v>
      </c>
      <c r="Q2283" s="85"/>
      <c r="R2283" s="85">
        <f ca="1">IFERROR(__xludf.DUMMYFUNCTION("""COMPUTED_VALUE"""),0)</f>
        <v>0</v>
      </c>
      <c r="S2283" s="85"/>
      <c r="T2283" s="85"/>
      <c r="U2283" s="82"/>
      <c r="V2283" s="82"/>
      <c r="W2283" s="83"/>
      <c r="X2283" s="83"/>
      <c r="Y2283" s="83"/>
    </row>
    <row r="2284" spans="1:25" ht="13.8">
      <c r="A2284" s="78" t="str">
        <f ca="1">IFERROR(__xludf.DUMMYFUNCTION("""COMPUTED_VALUE"""),"WC")</f>
        <v>WC</v>
      </c>
      <c r="B2284" s="79" t="str">
        <f ca="1">IFERROR(__xludf.DUMMYFUNCTION("""COMPUTED_VALUE"""),"Kendall Schottler")</f>
        <v>Kendall Schottler</v>
      </c>
      <c r="C2284" s="78">
        <f ca="1">IFERROR(__xludf.DUMMYFUNCTION("""COMPUTED_VALUE"""),13)</f>
        <v>13</v>
      </c>
      <c r="D2284" s="78" t="str">
        <f ca="1">IFERROR(__xludf.DUMMYFUNCTION("""COMPUTED_VALUE"""),"G")</f>
        <v>G</v>
      </c>
      <c r="E2284" s="80" t="str">
        <f ca="1">IFERROR(__xludf.DUMMYFUNCTION("""COMPUTED_VALUE"""),"I")</f>
        <v>I</v>
      </c>
      <c r="F2284" s="86" t="str">
        <f ca="1">IFERROR(__xludf.DUMMYFUNCTION("""COMPUTED_VALUE"""),"S")</f>
        <v>S</v>
      </c>
      <c r="G2284" s="86">
        <f ca="1">IFERROR(__xludf.DUMMYFUNCTION("""COMPUTED_VALUE"""),4)</f>
        <v>4</v>
      </c>
      <c r="H2284" s="86" t="str">
        <f ca="1">IFERROR(__xludf.DUMMYFUNCTION("""COMPUTED_VALUE"""),"WC")</f>
        <v>WC</v>
      </c>
      <c r="I2284" s="86">
        <f ca="1">IFERROR(__xludf.DUMMYFUNCTION("""COMPUTED_VALUE"""),6)</f>
        <v>6</v>
      </c>
      <c r="J2284" s="85">
        <f ca="1">IFERROR(__xludf.DUMMYFUNCTION("""COMPUTED_VALUE"""),0)</f>
        <v>0</v>
      </c>
      <c r="K2284" s="85">
        <f ca="1">IFERROR(__xludf.DUMMYFUNCTION("""COMPUTED_VALUE"""),0)</f>
        <v>0</v>
      </c>
      <c r="L2284" s="85">
        <f ca="1">IFERROR(__xludf.DUMMYFUNCTION("""COMPUTED_VALUE"""),0)</f>
        <v>0</v>
      </c>
      <c r="M2284" s="85"/>
      <c r="N2284" s="85">
        <f ca="1">IFERROR(__xludf.DUMMYFUNCTION("""COMPUTED_VALUE"""),0)</f>
        <v>0</v>
      </c>
      <c r="O2284" s="85"/>
      <c r="P2284" s="85">
        <f ca="1">IFERROR(__xludf.DUMMYFUNCTION("""COMPUTED_VALUE"""),0)</f>
        <v>0</v>
      </c>
      <c r="Q2284" s="85"/>
      <c r="R2284" s="85">
        <f ca="1">IFERROR(__xludf.DUMMYFUNCTION("""COMPUTED_VALUE"""),0)</f>
        <v>0</v>
      </c>
      <c r="S2284" s="85"/>
      <c r="T2284" s="85"/>
      <c r="U2284" s="82"/>
      <c r="V2284" s="82"/>
      <c r="W2284" s="83"/>
      <c r="X2284" s="83"/>
      <c r="Y2284" s="83"/>
    </row>
    <row r="2285" spans="1:25" ht="13.8">
      <c r="A2285" s="78" t="str">
        <f ca="1">IFERROR(__xludf.DUMMYFUNCTION("""COMPUTED_VALUE"""),"WC")</f>
        <v>WC</v>
      </c>
      <c r="B2285" s="79" t="str">
        <f ca="1">IFERROR(__xludf.DUMMYFUNCTION("""COMPUTED_VALUE"""),"Elena Tkachuk")</f>
        <v>Elena Tkachuk</v>
      </c>
      <c r="C2285" s="78">
        <f ca="1">IFERROR(__xludf.DUMMYFUNCTION("""COMPUTED_VALUE"""),14)</f>
        <v>14</v>
      </c>
      <c r="D2285" s="78" t="str">
        <f ca="1">IFERROR(__xludf.DUMMYFUNCTION("""COMPUTED_VALUE"""),"G")</f>
        <v>G</v>
      </c>
      <c r="E2285" s="80" t="str">
        <f ca="1">IFERROR(__xludf.DUMMYFUNCTION("""COMPUTED_VALUE"""),"I")</f>
        <v>I</v>
      </c>
      <c r="F2285" s="86" t="str">
        <f ca="1">IFERROR(__xludf.DUMMYFUNCTION("""COMPUTED_VALUE"""),"S")</f>
        <v>S</v>
      </c>
      <c r="G2285" s="86">
        <f ca="1">IFERROR(__xludf.DUMMYFUNCTION("""COMPUTED_VALUE"""),4)</f>
        <v>4</v>
      </c>
      <c r="H2285" s="86" t="str">
        <f ca="1">IFERROR(__xludf.DUMMYFUNCTION("""COMPUTED_VALUE"""),"WC")</f>
        <v>WC</v>
      </c>
      <c r="I2285" s="86">
        <f ca="1">IFERROR(__xludf.DUMMYFUNCTION("""COMPUTED_VALUE"""),6)</f>
        <v>6</v>
      </c>
      <c r="J2285" s="85">
        <f ca="1">IFERROR(__xludf.DUMMYFUNCTION("""COMPUTED_VALUE"""),0)</f>
        <v>0</v>
      </c>
      <c r="K2285" s="85">
        <f ca="1">IFERROR(__xludf.DUMMYFUNCTION("""COMPUTED_VALUE"""),0)</f>
        <v>0</v>
      </c>
      <c r="L2285" s="85">
        <f ca="1">IFERROR(__xludf.DUMMYFUNCTION("""COMPUTED_VALUE"""),0)</f>
        <v>0</v>
      </c>
      <c r="M2285" s="85"/>
      <c r="N2285" s="85">
        <f ca="1">IFERROR(__xludf.DUMMYFUNCTION("""COMPUTED_VALUE"""),0)</f>
        <v>0</v>
      </c>
      <c r="O2285" s="85"/>
      <c r="P2285" s="85">
        <f ca="1">IFERROR(__xludf.DUMMYFUNCTION("""COMPUTED_VALUE"""),0)</f>
        <v>0</v>
      </c>
      <c r="Q2285" s="85"/>
      <c r="R2285" s="85">
        <f ca="1">IFERROR(__xludf.DUMMYFUNCTION("""COMPUTED_VALUE"""),0)</f>
        <v>0</v>
      </c>
      <c r="S2285" s="85"/>
      <c r="T2285" s="85"/>
      <c r="U2285" s="82"/>
      <c r="V2285" s="82"/>
      <c r="W2285" s="83"/>
      <c r="X2285" s="83"/>
      <c r="Y2285" s="83"/>
    </row>
    <row r="2286" spans="1:25" ht="13.8">
      <c r="A2286" s="78" t="str">
        <f ca="1">IFERROR(__xludf.DUMMYFUNCTION("""COMPUTED_VALUE"""),"WC")</f>
        <v>WC</v>
      </c>
      <c r="B2286" s="79" t="str">
        <f ca="1">IFERROR(__xludf.DUMMYFUNCTION("""COMPUTED_VALUE"""),"Kaleb Abeye")</f>
        <v>Kaleb Abeye</v>
      </c>
      <c r="C2286" s="78">
        <f ca="1">IFERROR(__xludf.DUMMYFUNCTION("""COMPUTED_VALUE"""),14)</f>
        <v>14</v>
      </c>
      <c r="D2286" s="78" t="str">
        <f ca="1">IFERROR(__xludf.DUMMYFUNCTION("""COMPUTED_VALUE"""),"B")</f>
        <v>B</v>
      </c>
      <c r="E2286" s="80" t="str">
        <f ca="1">IFERROR(__xludf.DUMMYFUNCTION("""COMPUTED_VALUE"""),"I")</f>
        <v>I</v>
      </c>
      <c r="F2286" s="86" t="str">
        <f ca="1">IFERROR(__xludf.DUMMYFUNCTION("""COMPUTED_VALUE"""),"S")</f>
        <v>S</v>
      </c>
      <c r="G2286" s="86">
        <f ca="1">IFERROR(__xludf.DUMMYFUNCTION("""COMPUTED_VALUE"""),4)</f>
        <v>4</v>
      </c>
      <c r="H2286" s="86" t="str">
        <f ca="1">IFERROR(__xludf.DUMMYFUNCTION("""COMPUTED_VALUE"""),"WC")</f>
        <v>WC</v>
      </c>
      <c r="I2286" s="86">
        <f ca="1">IFERROR(__xludf.DUMMYFUNCTION("""COMPUTED_VALUE"""),7)</f>
        <v>7</v>
      </c>
      <c r="J2286" s="85">
        <f ca="1">IFERROR(__xludf.DUMMYFUNCTION("""COMPUTED_VALUE"""),0)</f>
        <v>0</v>
      </c>
      <c r="K2286" s="85">
        <f ca="1">IFERROR(__xludf.DUMMYFUNCTION("""COMPUTED_VALUE"""),0)</f>
        <v>0</v>
      </c>
      <c r="L2286" s="85">
        <f ca="1">IFERROR(__xludf.DUMMYFUNCTION("""COMPUTED_VALUE"""),0)</f>
        <v>0</v>
      </c>
      <c r="M2286" s="85"/>
      <c r="N2286" s="85">
        <f ca="1">IFERROR(__xludf.DUMMYFUNCTION("""COMPUTED_VALUE"""),0)</f>
        <v>0</v>
      </c>
      <c r="O2286" s="85"/>
      <c r="P2286" s="85">
        <f ca="1">IFERROR(__xludf.DUMMYFUNCTION("""COMPUTED_VALUE"""),0)</f>
        <v>0</v>
      </c>
      <c r="Q2286" s="85"/>
      <c r="R2286" s="85">
        <f ca="1">IFERROR(__xludf.DUMMYFUNCTION("""COMPUTED_VALUE"""),0)</f>
        <v>0</v>
      </c>
      <c r="S2286" s="85"/>
      <c r="T2286" s="85"/>
      <c r="U2286" s="82"/>
      <c r="V2286" s="82"/>
      <c r="W2286" s="83"/>
      <c r="X2286" s="83"/>
      <c r="Y2286" s="83"/>
    </row>
    <row r="2287" spans="1:25" ht="13.8">
      <c r="A2287" s="78" t="str">
        <f ca="1">IFERROR(__xludf.DUMMYFUNCTION("""COMPUTED_VALUE"""),"WC")</f>
        <v>WC</v>
      </c>
      <c r="B2287" s="79" t="str">
        <f ca="1">IFERROR(__xludf.DUMMYFUNCTION("""COMPUTED_VALUE"""),"Nathnael Belay")</f>
        <v>Nathnael Belay</v>
      </c>
      <c r="C2287" s="78">
        <f ca="1">IFERROR(__xludf.DUMMYFUNCTION("""COMPUTED_VALUE"""),14)</f>
        <v>14</v>
      </c>
      <c r="D2287" s="78" t="str">
        <f ca="1">IFERROR(__xludf.DUMMYFUNCTION("""COMPUTED_VALUE"""),"B")</f>
        <v>B</v>
      </c>
      <c r="E2287" s="80" t="str">
        <f ca="1">IFERROR(__xludf.DUMMYFUNCTION("""COMPUTED_VALUE"""),"I")</f>
        <v>I</v>
      </c>
      <c r="F2287" s="86" t="str">
        <f ca="1">IFERROR(__xludf.DUMMYFUNCTION("""COMPUTED_VALUE"""),"S")</f>
        <v>S</v>
      </c>
      <c r="G2287" s="86">
        <f ca="1">IFERROR(__xludf.DUMMYFUNCTION("""COMPUTED_VALUE"""),4)</f>
        <v>4</v>
      </c>
      <c r="H2287" s="86" t="str">
        <f ca="1">IFERROR(__xludf.DUMMYFUNCTION("""COMPUTED_VALUE"""),"WC")</f>
        <v>WC</v>
      </c>
      <c r="I2287" s="86">
        <f ca="1">IFERROR(__xludf.DUMMYFUNCTION("""COMPUTED_VALUE"""),7)</f>
        <v>7</v>
      </c>
      <c r="J2287" s="85">
        <f ca="1">IFERROR(__xludf.DUMMYFUNCTION("""COMPUTED_VALUE"""),0)</f>
        <v>0</v>
      </c>
      <c r="K2287" s="85">
        <f ca="1">IFERROR(__xludf.DUMMYFUNCTION("""COMPUTED_VALUE"""),0)</f>
        <v>0</v>
      </c>
      <c r="L2287" s="85">
        <f ca="1">IFERROR(__xludf.DUMMYFUNCTION("""COMPUTED_VALUE"""),0)</f>
        <v>0</v>
      </c>
      <c r="M2287" s="85"/>
      <c r="N2287" s="85">
        <f ca="1">IFERROR(__xludf.DUMMYFUNCTION("""COMPUTED_VALUE"""),0)</f>
        <v>0</v>
      </c>
      <c r="O2287" s="85"/>
      <c r="P2287" s="85">
        <f ca="1">IFERROR(__xludf.DUMMYFUNCTION("""COMPUTED_VALUE"""),0)</f>
        <v>0</v>
      </c>
      <c r="Q2287" s="85"/>
      <c r="R2287" s="85">
        <f ca="1">IFERROR(__xludf.DUMMYFUNCTION("""COMPUTED_VALUE"""),0)</f>
        <v>0</v>
      </c>
      <c r="S2287" s="85"/>
      <c r="T2287" s="85"/>
      <c r="U2287" s="82"/>
      <c r="V2287" s="82"/>
      <c r="W2287" s="83"/>
      <c r="X2287" s="83"/>
      <c r="Y2287" s="83"/>
    </row>
    <row r="2288" spans="1:25" ht="13.8">
      <c r="A2288" s="78" t="str">
        <f ca="1">IFERROR(__xludf.DUMMYFUNCTION("""COMPUTED_VALUE"""),"WC")</f>
        <v>WC</v>
      </c>
      <c r="B2288" s="79" t="str">
        <f ca="1">IFERROR(__xludf.DUMMYFUNCTION("""COMPUTED_VALUE"""),"Luke Goodson")</f>
        <v>Luke Goodson</v>
      </c>
      <c r="C2288" s="78">
        <f ca="1">IFERROR(__xludf.DUMMYFUNCTION("""COMPUTED_VALUE"""),13)</f>
        <v>13</v>
      </c>
      <c r="D2288" s="78" t="str">
        <f ca="1">IFERROR(__xludf.DUMMYFUNCTION("""COMPUTED_VALUE"""),"B")</f>
        <v>B</v>
      </c>
      <c r="E2288" s="80" t="str">
        <f ca="1">IFERROR(__xludf.DUMMYFUNCTION("""COMPUTED_VALUE"""),"I")</f>
        <v>I</v>
      </c>
      <c r="F2288" s="86" t="str">
        <f ca="1">IFERROR(__xludf.DUMMYFUNCTION("""COMPUTED_VALUE"""),"S")</f>
        <v>S</v>
      </c>
      <c r="G2288" s="86">
        <f ca="1">IFERROR(__xludf.DUMMYFUNCTION("""COMPUTED_VALUE"""),4)</f>
        <v>4</v>
      </c>
      <c r="H2288" s="86" t="str">
        <f ca="1">IFERROR(__xludf.DUMMYFUNCTION("""COMPUTED_VALUE"""),"WC")</f>
        <v>WC</v>
      </c>
      <c r="I2288" s="86">
        <f ca="1">IFERROR(__xludf.DUMMYFUNCTION("""COMPUTED_VALUE"""),7)</f>
        <v>7</v>
      </c>
      <c r="J2288" s="85">
        <f ca="1">IFERROR(__xludf.DUMMYFUNCTION("""COMPUTED_VALUE"""),4)</f>
        <v>4</v>
      </c>
      <c r="K2288" s="85">
        <f ca="1">IFERROR(__xludf.DUMMYFUNCTION("""COMPUTED_VALUE"""),154.8)</f>
        <v>154.80000000000001</v>
      </c>
      <c r="L2288" s="85">
        <f ca="1">IFERROR(__xludf.DUMMYFUNCTION("""COMPUTED_VALUE"""),154.8)</f>
        <v>154.80000000000001</v>
      </c>
      <c r="M2288" s="85"/>
      <c r="N2288" s="85">
        <f ca="1">IFERROR(__xludf.DUMMYFUNCTION("""COMPUTED_VALUE"""),120.3)</f>
        <v>120.3</v>
      </c>
      <c r="O2288" s="85"/>
      <c r="P2288" s="85">
        <f ca="1">IFERROR(__xludf.DUMMYFUNCTION("""COMPUTED_VALUE"""),0)</f>
        <v>0</v>
      </c>
      <c r="Q2288" s="85"/>
      <c r="R2288" s="85">
        <f ca="1">IFERROR(__xludf.DUMMYFUNCTION("""COMPUTED_VALUE"""),111.05)</f>
        <v>111.05</v>
      </c>
      <c r="S2288" s="85"/>
      <c r="T2288" s="85"/>
      <c r="U2288" s="82"/>
      <c r="V2288" s="82"/>
      <c r="W2288" s="83"/>
      <c r="X2288" s="83"/>
      <c r="Y2288" s="83"/>
    </row>
    <row r="2289" spans="1:25" ht="13.8">
      <c r="A2289" s="78" t="str">
        <f ca="1">IFERROR(__xludf.DUMMYFUNCTION("""COMPUTED_VALUE"""),"WC")</f>
        <v>WC</v>
      </c>
      <c r="B2289" s="79" t="str">
        <f ca="1">IFERROR(__xludf.DUMMYFUNCTION("""COMPUTED_VALUE"""),"Nathaniel Grannis")</f>
        <v>Nathaniel Grannis</v>
      </c>
      <c r="C2289" s="78">
        <f ca="1">IFERROR(__xludf.DUMMYFUNCTION("""COMPUTED_VALUE"""),13)</f>
        <v>13</v>
      </c>
      <c r="D2289" s="78" t="str">
        <f ca="1">IFERROR(__xludf.DUMMYFUNCTION("""COMPUTED_VALUE"""),"B")</f>
        <v>B</v>
      </c>
      <c r="E2289" s="80" t="str">
        <f ca="1">IFERROR(__xludf.DUMMYFUNCTION("""COMPUTED_VALUE"""),"I")</f>
        <v>I</v>
      </c>
      <c r="F2289" s="86" t="str">
        <f ca="1">IFERROR(__xludf.DUMMYFUNCTION("""COMPUTED_VALUE"""),"S")</f>
        <v>S</v>
      </c>
      <c r="G2289" s="86">
        <f ca="1">IFERROR(__xludf.DUMMYFUNCTION("""COMPUTED_VALUE"""),4)</f>
        <v>4</v>
      </c>
      <c r="H2289" s="86" t="str">
        <f ca="1">IFERROR(__xludf.DUMMYFUNCTION("""COMPUTED_VALUE"""),"WC")</f>
        <v>WC</v>
      </c>
      <c r="I2289" s="86">
        <f ca="1">IFERROR(__xludf.DUMMYFUNCTION("""COMPUTED_VALUE"""),7)</f>
        <v>7</v>
      </c>
      <c r="J2289" s="85">
        <f ca="1">IFERROR(__xludf.DUMMYFUNCTION("""COMPUTED_VALUE"""),4)</f>
        <v>4</v>
      </c>
      <c r="K2289" s="85">
        <f ca="1">IFERROR(__xludf.DUMMYFUNCTION("""COMPUTED_VALUE"""),247.35)</f>
        <v>247.35</v>
      </c>
      <c r="L2289" s="85">
        <f ca="1">IFERROR(__xludf.DUMMYFUNCTION("""COMPUTED_VALUE"""),247.35)</f>
        <v>247.35</v>
      </c>
      <c r="M2289" s="85"/>
      <c r="N2289" s="85">
        <f ca="1">IFERROR(__xludf.DUMMYFUNCTION("""COMPUTED_VALUE"""),0)</f>
        <v>0</v>
      </c>
      <c r="O2289" s="85"/>
      <c r="P2289" s="85">
        <f ca="1">IFERROR(__xludf.DUMMYFUNCTION("""COMPUTED_VALUE"""),-244.9)</f>
        <v>-244.9</v>
      </c>
      <c r="Q2289" s="85"/>
      <c r="R2289" s="85">
        <f ca="1">IFERROR(__xludf.DUMMYFUNCTION("""COMPUTED_VALUE"""),205.25)</f>
        <v>205.25</v>
      </c>
      <c r="S2289" s="85"/>
      <c r="T2289" s="85"/>
      <c r="U2289" s="82"/>
      <c r="V2289" s="82"/>
      <c r="W2289" s="83"/>
      <c r="X2289" s="83"/>
      <c r="Y2289" s="83"/>
    </row>
    <row r="2290" spans="1:25" ht="13.8">
      <c r="A2290" s="78" t="str">
        <f ca="1">IFERROR(__xludf.DUMMYFUNCTION("""COMPUTED_VALUE"""),"WC")</f>
        <v>WC</v>
      </c>
      <c r="B2290" s="79" t="str">
        <f ca="1">IFERROR(__xludf.DUMMYFUNCTION("""COMPUTED_VALUE"""),"Jackson Steider")</f>
        <v>Jackson Steider</v>
      </c>
      <c r="C2290" s="78">
        <f ca="1">IFERROR(__xludf.DUMMYFUNCTION("""COMPUTED_VALUE"""),14)</f>
        <v>14</v>
      </c>
      <c r="D2290" s="78" t="str">
        <f ca="1">IFERROR(__xludf.DUMMYFUNCTION("""COMPUTED_VALUE"""),"B")</f>
        <v>B</v>
      </c>
      <c r="E2290" s="80" t="str">
        <f ca="1">IFERROR(__xludf.DUMMYFUNCTION("""COMPUTED_VALUE"""),"I")</f>
        <v>I</v>
      </c>
      <c r="F2290" s="86" t="str">
        <f ca="1">IFERROR(__xludf.DUMMYFUNCTION("""COMPUTED_VALUE"""),"S")</f>
        <v>S</v>
      </c>
      <c r="G2290" s="86">
        <f ca="1">IFERROR(__xludf.DUMMYFUNCTION("""COMPUTED_VALUE"""),4)</f>
        <v>4</v>
      </c>
      <c r="H2290" s="86" t="str">
        <f ca="1">IFERROR(__xludf.DUMMYFUNCTION("""COMPUTED_VALUE"""),"WC")</f>
        <v>WC</v>
      </c>
      <c r="I2290" s="86">
        <f ca="1">IFERROR(__xludf.DUMMYFUNCTION("""COMPUTED_VALUE"""),7)</f>
        <v>7</v>
      </c>
      <c r="J2290" s="85">
        <f ca="1">IFERROR(__xludf.DUMMYFUNCTION("""COMPUTED_VALUE"""),0)</f>
        <v>0</v>
      </c>
      <c r="K2290" s="85">
        <f ca="1">IFERROR(__xludf.DUMMYFUNCTION("""COMPUTED_VALUE"""),0)</f>
        <v>0</v>
      </c>
      <c r="L2290" s="85">
        <f ca="1">IFERROR(__xludf.DUMMYFUNCTION("""COMPUTED_VALUE"""),0)</f>
        <v>0</v>
      </c>
      <c r="M2290" s="85"/>
      <c r="N2290" s="85">
        <f ca="1">IFERROR(__xludf.DUMMYFUNCTION("""COMPUTED_VALUE"""),0)</f>
        <v>0</v>
      </c>
      <c r="O2290" s="85"/>
      <c r="P2290" s="85">
        <f ca="1">IFERROR(__xludf.DUMMYFUNCTION("""COMPUTED_VALUE"""),0)</f>
        <v>0</v>
      </c>
      <c r="Q2290" s="85"/>
      <c r="R2290" s="85">
        <f ca="1">IFERROR(__xludf.DUMMYFUNCTION("""COMPUTED_VALUE"""),0)</f>
        <v>0</v>
      </c>
      <c r="S2290" s="85"/>
      <c r="T2290" s="85"/>
      <c r="U2290" s="82"/>
      <c r="V2290" s="82"/>
      <c r="W2290" s="83"/>
      <c r="X2290" s="83"/>
      <c r="Y2290" s="83"/>
    </row>
    <row r="2291" spans="1:25" ht="13.8">
      <c r="A2291" s="78" t="str">
        <f ca="1">IFERROR(__xludf.DUMMYFUNCTION("""COMPUTED_VALUE"""),"WC")</f>
        <v>WC</v>
      </c>
      <c r="B2291" s="79" t="str">
        <f ca="1">IFERROR(__xludf.DUMMYFUNCTION("""COMPUTED_VALUE"""),"Olivia Coronado")</f>
        <v>Olivia Coronado</v>
      </c>
      <c r="C2291" s="78">
        <f ca="1">IFERROR(__xludf.DUMMYFUNCTION("""COMPUTED_VALUE"""),17)</f>
        <v>17</v>
      </c>
      <c r="D2291" s="78" t="str">
        <f ca="1">IFERROR(__xludf.DUMMYFUNCTION("""COMPUTED_VALUE"""),"G")</f>
        <v>G</v>
      </c>
      <c r="E2291" s="80" t="str">
        <f ca="1">IFERROR(__xludf.DUMMYFUNCTION("""COMPUTED_VALUE"""),"S")</f>
        <v>S</v>
      </c>
      <c r="F2291" s="86" t="str">
        <f ca="1">IFERROR(__xludf.DUMMYFUNCTION("""COMPUTED_VALUE"""),"S")</f>
        <v>S</v>
      </c>
      <c r="G2291" s="86">
        <f ca="1">IFERROR(__xludf.DUMMYFUNCTION("""COMPUTED_VALUE"""),4)</f>
        <v>4</v>
      </c>
      <c r="H2291" s="86" t="str">
        <f ca="1">IFERROR(__xludf.DUMMYFUNCTION("""COMPUTED_VALUE"""),"WC")</f>
        <v>WC</v>
      </c>
      <c r="I2291" s="86">
        <f ca="1">IFERROR(__xludf.DUMMYFUNCTION("""COMPUTED_VALUE"""),8)</f>
        <v>8</v>
      </c>
      <c r="J2291" s="85">
        <f ca="1">IFERROR(__xludf.DUMMYFUNCTION("""COMPUTED_VALUE"""),0)</f>
        <v>0</v>
      </c>
      <c r="K2291" s="85">
        <f ca="1">IFERROR(__xludf.DUMMYFUNCTION("""COMPUTED_VALUE"""),0)</f>
        <v>0</v>
      </c>
      <c r="L2291" s="85">
        <f ca="1">IFERROR(__xludf.DUMMYFUNCTION("""COMPUTED_VALUE"""),0)</f>
        <v>0</v>
      </c>
      <c r="M2291" s="85"/>
      <c r="N2291" s="85">
        <f ca="1">IFERROR(__xludf.DUMMYFUNCTION("""COMPUTED_VALUE"""),0)</f>
        <v>0</v>
      </c>
      <c r="O2291" s="85"/>
      <c r="P2291" s="85">
        <f ca="1">IFERROR(__xludf.DUMMYFUNCTION("""COMPUTED_VALUE"""),0)</f>
        <v>0</v>
      </c>
      <c r="Q2291" s="85"/>
      <c r="R2291" s="85">
        <f ca="1">IFERROR(__xludf.DUMMYFUNCTION("""COMPUTED_VALUE"""),0)</f>
        <v>0</v>
      </c>
      <c r="S2291" s="85"/>
      <c r="T2291" s="85"/>
      <c r="U2291" s="82"/>
      <c r="V2291" s="82"/>
      <c r="W2291" s="83"/>
      <c r="X2291" s="83"/>
      <c r="Y2291" s="83"/>
    </row>
    <row r="2292" spans="1:25" ht="13.8">
      <c r="A2292" s="78" t="str">
        <f ca="1">IFERROR(__xludf.DUMMYFUNCTION("""COMPUTED_VALUE"""),"WC")</f>
        <v>WC</v>
      </c>
      <c r="B2292" s="79" t="str">
        <f ca="1">IFERROR(__xludf.DUMMYFUNCTION("""COMPUTED_VALUE"""),"Tea Coronado")</f>
        <v>Tea Coronado</v>
      </c>
      <c r="C2292" s="78">
        <f ca="1">IFERROR(__xludf.DUMMYFUNCTION("""COMPUTED_VALUE"""),15)</f>
        <v>15</v>
      </c>
      <c r="D2292" s="78" t="str">
        <f ca="1">IFERROR(__xludf.DUMMYFUNCTION("""COMPUTED_VALUE"""),"G")</f>
        <v>G</v>
      </c>
      <c r="E2292" s="80" t="str">
        <f ca="1">IFERROR(__xludf.DUMMYFUNCTION("""COMPUTED_VALUE"""),"S")</f>
        <v>S</v>
      </c>
      <c r="F2292" s="86" t="str">
        <f ca="1">IFERROR(__xludf.DUMMYFUNCTION("""COMPUTED_VALUE"""),"S")</f>
        <v>S</v>
      </c>
      <c r="G2292" s="86">
        <f ca="1">IFERROR(__xludf.DUMMYFUNCTION("""COMPUTED_VALUE"""),4)</f>
        <v>4</v>
      </c>
      <c r="H2292" s="86" t="str">
        <f ca="1">IFERROR(__xludf.DUMMYFUNCTION("""COMPUTED_VALUE"""),"WC")</f>
        <v>WC</v>
      </c>
      <c r="I2292" s="86">
        <f ca="1">IFERROR(__xludf.DUMMYFUNCTION("""COMPUTED_VALUE"""),8)</f>
        <v>8</v>
      </c>
      <c r="J2292" s="85">
        <f ca="1">IFERROR(__xludf.DUMMYFUNCTION("""COMPUTED_VALUE"""),4)</f>
        <v>4</v>
      </c>
      <c r="K2292" s="85">
        <f ca="1">IFERROR(__xludf.DUMMYFUNCTION("""COMPUTED_VALUE"""),156.9)</f>
        <v>156.9</v>
      </c>
      <c r="L2292" s="85">
        <f ca="1">IFERROR(__xludf.DUMMYFUNCTION("""COMPUTED_VALUE"""),156.9)</f>
        <v>156.9</v>
      </c>
      <c r="M2292" s="85"/>
      <c r="N2292" s="85">
        <f ca="1">IFERROR(__xludf.DUMMYFUNCTION("""COMPUTED_VALUE"""),120.3)</f>
        <v>120.3</v>
      </c>
      <c r="O2292" s="85"/>
      <c r="P2292" s="85">
        <f ca="1">IFERROR(__xludf.DUMMYFUNCTION("""COMPUTED_VALUE"""),0)</f>
        <v>0</v>
      </c>
      <c r="Q2292" s="85"/>
      <c r="R2292" s="85">
        <f ca="1">IFERROR(__xludf.DUMMYFUNCTION("""COMPUTED_VALUE"""),123.9)</f>
        <v>123.9</v>
      </c>
      <c r="S2292" s="85"/>
      <c r="T2292" s="85"/>
      <c r="U2292" s="82"/>
      <c r="V2292" s="82"/>
      <c r="W2292" s="83"/>
      <c r="X2292" s="83"/>
      <c r="Y2292" s="83"/>
    </row>
    <row r="2293" spans="1:25" ht="13.8">
      <c r="A2293" s="78" t="str">
        <f ca="1">IFERROR(__xludf.DUMMYFUNCTION("""COMPUTED_VALUE"""),"WC")</f>
        <v>WC</v>
      </c>
      <c r="B2293" s="79" t="str">
        <f ca="1">IFERROR(__xludf.DUMMYFUNCTION("""COMPUTED_VALUE"""),"Sean Binning")</f>
        <v>Sean Binning</v>
      </c>
      <c r="C2293" s="78">
        <f ca="1">IFERROR(__xludf.DUMMYFUNCTION("""COMPUTED_VALUE"""),18)</f>
        <v>18</v>
      </c>
      <c r="D2293" s="78" t="str">
        <f ca="1">IFERROR(__xludf.DUMMYFUNCTION("""COMPUTED_VALUE"""),"B")</f>
        <v>B</v>
      </c>
      <c r="E2293" s="80" t="str">
        <f ca="1">IFERROR(__xludf.DUMMYFUNCTION("""COMPUTED_VALUE"""),"S")</f>
        <v>S</v>
      </c>
      <c r="F2293" s="86" t="str">
        <f ca="1">IFERROR(__xludf.DUMMYFUNCTION("""COMPUTED_VALUE"""),"S")</f>
        <v>S</v>
      </c>
      <c r="G2293" s="86">
        <f ca="1">IFERROR(__xludf.DUMMYFUNCTION("""COMPUTED_VALUE"""),4)</f>
        <v>4</v>
      </c>
      <c r="H2293" s="86" t="str">
        <f ca="1">IFERROR(__xludf.DUMMYFUNCTION("""COMPUTED_VALUE"""),"WC")</f>
        <v>WC</v>
      </c>
      <c r="I2293" s="86">
        <f ca="1">IFERROR(__xludf.DUMMYFUNCTION("""COMPUTED_VALUE"""),9)</f>
        <v>9</v>
      </c>
      <c r="J2293" s="85">
        <f ca="1">IFERROR(__xludf.DUMMYFUNCTION("""COMPUTED_VALUE"""),4)</f>
        <v>4</v>
      </c>
      <c r="K2293" s="85">
        <f ca="1">IFERROR(__xludf.DUMMYFUNCTION("""COMPUTED_VALUE"""),237.1)</f>
        <v>237.1</v>
      </c>
      <c r="L2293" s="85">
        <f ca="1">IFERROR(__xludf.DUMMYFUNCTION("""COMPUTED_VALUE"""),229.05)</f>
        <v>229.05</v>
      </c>
      <c r="M2293" s="85"/>
      <c r="N2293" s="85">
        <f ca="1">IFERROR(__xludf.DUMMYFUNCTION("""COMPUTED_VALUE"""),0)</f>
        <v>0</v>
      </c>
      <c r="O2293" s="85"/>
      <c r="P2293" s="85">
        <f ca="1">IFERROR(__xludf.DUMMYFUNCTION("""COMPUTED_VALUE"""),217.9)</f>
        <v>217.9</v>
      </c>
      <c r="Q2293" s="85"/>
      <c r="R2293" s="85">
        <f ca="1">IFERROR(__xludf.DUMMYFUNCTION("""COMPUTED_VALUE"""),237.1)</f>
        <v>237.1</v>
      </c>
      <c r="S2293" s="85"/>
      <c r="T2293" s="85"/>
      <c r="U2293" s="82"/>
      <c r="V2293" s="82"/>
      <c r="W2293" s="83"/>
      <c r="X2293" s="83"/>
      <c r="Y2293" s="83"/>
    </row>
    <row r="2294" spans="1:25" ht="13.8">
      <c r="A2294" s="78" t="str">
        <f ca="1">IFERROR(__xludf.DUMMYFUNCTION("""COMPUTED_VALUE"""),"WC")</f>
        <v>WC</v>
      </c>
      <c r="B2294" s="79" t="str">
        <f ca="1">IFERROR(__xludf.DUMMYFUNCTION("""COMPUTED_VALUE"""),"Jake Goodson")</f>
        <v>Jake Goodson</v>
      </c>
      <c r="C2294" s="78">
        <f ca="1">IFERROR(__xludf.DUMMYFUNCTION("""COMPUTED_VALUE"""),16)</f>
        <v>16</v>
      </c>
      <c r="D2294" s="78" t="str">
        <f ca="1">IFERROR(__xludf.DUMMYFUNCTION("""COMPUTED_VALUE"""),"B")</f>
        <v>B</v>
      </c>
      <c r="E2294" s="80" t="str">
        <f ca="1">IFERROR(__xludf.DUMMYFUNCTION("""COMPUTED_VALUE"""),"S")</f>
        <v>S</v>
      </c>
      <c r="F2294" s="86" t="str">
        <f ca="1">IFERROR(__xludf.DUMMYFUNCTION("""COMPUTED_VALUE"""),"S")</f>
        <v>S</v>
      </c>
      <c r="G2294" s="86">
        <f ca="1">IFERROR(__xludf.DUMMYFUNCTION("""COMPUTED_VALUE"""),4)</f>
        <v>4</v>
      </c>
      <c r="H2294" s="86" t="str">
        <f ca="1">IFERROR(__xludf.DUMMYFUNCTION("""COMPUTED_VALUE"""),"WC")</f>
        <v>WC</v>
      </c>
      <c r="I2294" s="86">
        <f ca="1">IFERROR(__xludf.DUMMYFUNCTION("""COMPUTED_VALUE"""),9)</f>
        <v>9</v>
      </c>
      <c r="J2294" s="85">
        <f ca="1">IFERROR(__xludf.DUMMYFUNCTION("""COMPUTED_VALUE"""),0)</f>
        <v>0</v>
      </c>
      <c r="K2294" s="85">
        <f ca="1">IFERROR(__xludf.DUMMYFUNCTION("""COMPUTED_VALUE"""),0)</f>
        <v>0</v>
      </c>
      <c r="L2294" s="85">
        <f ca="1">IFERROR(__xludf.DUMMYFUNCTION("""COMPUTED_VALUE"""),0)</f>
        <v>0</v>
      </c>
      <c r="M2294" s="85"/>
      <c r="N2294" s="85">
        <f ca="1">IFERROR(__xludf.DUMMYFUNCTION("""COMPUTED_VALUE"""),0)</f>
        <v>0</v>
      </c>
      <c r="O2294" s="85"/>
      <c r="P2294" s="85">
        <f ca="1">IFERROR(__xludf.DUMMYFUNCTION("""COMPUTED_VALUE"""),0)</f>
        <v>0</v>
      </c>
      <c r="Q2294" s="85"/>
      <c r="R2294" s="85">
        <f ca="1">IFERROR(__xludf.DUMMYFUNCTION("""COMPUTED_VALUE"""),0)</f>
        <v>0</v>
      </c>
      <c r="S2294" s="85"/>
      <c r="T2294" s="85"/>
      <c r="U2294" s="82"/>
      <c r="V2294" s="82"/>
      <c r="W2294" s="83"/>
      <c r="X2294" s="83"/>
      <c r="Y2294" s="83"/>
    </row>
    <row r="2295" spans="1:25" ht="13.8">
      <c r="A2295" s="78" t="str">
        <f ca="1">IFERROR(__xludf.DUMMYFUNCTION("""COMPUTED_VALUE"""),"WC")</f>
        <v>WC</v>
      </c>
      <c r="B2295" s="79" t="str">
        <f ca="1">IFERROR(__xludf.DUMMYFUNCTION("""COMPUTED_VALUE"""),"David Lyons")</f>
        <v>David Lyons</v>
      </c>
      <c r="C2295" s="78">
        <f ca="1">IFERROR(__xludf.DUMMYFUNCTION("""COMPUTED_VALUE"""),16)</f>
        <v>16</v>
      </c>
      <c r="D2295" s="78" t="str">
        <f ca="1">IFERROR(__xludf.DUMMYFUNCTION("""COMPUTED_VALUE"""),"B")</f>
        <v>B</v>
      </c>
      <c r="E2295" s="80" t="str">
        <f ca="1">IFERROR(__xludf.DUMMYFUNCTION("""COMPUTED_VALUE"""),"S")</f>
        <v>S</v>
      </c>
      <c r="F2295" s="86" t="str">
        <f ca="1">IFERROR(__xludf.DUMMYFUNCTION("""COMPUTED_VALUE"""),"S")</f>
        <v>S</v>
      </c>
      <c r="G2295" s="86">
        <f ca="1">IFERROR(__xludf.DUMMYFUNCTION("""COMPUTED_VALUE"""),4)</f>
        <v>4</v>
      </c>
      <c r="H2295" s="86" t="str">
        <f ca="1">IFERROR(__xludf.DUMMYFUNCTION("""COMPUTED_VALUE"""),"WC")</f>
        <v>WC</v>
      </c>
      <c r="I2295" s="86">
        <f ca="1">IFERROR(__xludf.DUMMYFUNCTION("""COMPUTED_VALUE"""),9)</f>
        <v>9</v>
      </c>
      <c r="J2295" s="85">
        <f ca="1">IFERROR(__xludf.DUMMYFUNCTION("""COMPUTED_VALUE"""),3)</f>
        <v>3</v>
      </c>
      <c r="K2295" s="85">
        <f ca="1">IFERROR(__xludf.DUMMYFUNCTION("""COMPUTED_VALUE"""),132.55)</f>
        <v>132.55000000000001</v>
      </c>
      <c r="L2295" s="85">
        <f ca="1">IFERROR(__xludf.DUMMYFUNCTION("""COMPUTED_VALUE"""),132.55)</f>
        <v>132.55000000000001</v>
      </c>
      <c r="M2295" s="85"/>
      <c r="N2295" s="85">
        <f ca="1">IFERROR(__xludf.DUMMYFUNCTION("""COMPUTED_VALUE"""),93.15)</f>
        <v>93.15</v>
      </c>
      <c r="O2295" s="85"/>
      <c r="P2295" s="85">
        <f ca="1">IFERROR(__xludf.DUMMYFUNCTION("""COMPUTED_VALUE"""),0)</f>
        <v>0</v>
      </c>
      <c r="Q2295" s="85"/>
      <c r="R2295" s="85">
        <f ca="1">IFERROR(__xludf.DUMMYFUNCTION("""COMPUTED_VALUE"""),0)</f>
        <v>0</v>
      </c>
      <c r="S2295" s="85"/>
      <c r="T2295" s="85"/>
      <c r="U2295" s="82"/>
      <c r="V2295" s="82"/>
      <c r="W2295" s="83"/>
      <c r="X2295" s="83"/>
      <c r="Y2295" s="83"/>
    </row>
    <row r="2296" spans="1:25" ht="13.8">
      <c r="A2296" s="78" t="str">
        <f ca="1">IFERROR(__xludf.DUMMYFUNCTION("""COMPUTED_VALUE"""),"WC")</f>
        <v>WC</v>
      </c>
      <c r="B2296" s="79" t="str">
        <f ca="1">IFERROR(__xludf.DUMMYFUNCTION("""COMPUTED_VALUE"""),"Champe Mitchell")</f>
        <v>Champe Mitchell</v>
      </c>
      <c r="C2296" s="78">
        <f ca="1">IFERROR(__xludf.DUMMYFUNCTION("""COMPUTED_VALUE"""),16)</f>
        <v>16</v>
      </c>
      <c r="D2296" s="78" t="str">
        <f ca="1">IFERROR(__xludf.DUMMYFUNCTION("""COMPUTED_VALUE"""),"B")</f>
        <v>B</v>
      </c>
      <c r="E2296" s="80" t="str">
        <f ca="1">IFERROR(__xludf.DUMMYFUNCTION("""COMPUTED_VALUE"""),"S")</f>
        <v>S</v>
      </c>
      <c r="F2296" s="86" t="str">
        <f ca="1">IFERROR(__xludf.DUMMYFUNCTION("""COMPUTED_VALUE"""),"S")</f>
        <v>S</v>
      </c>
      <c r="G2296" s="86">
        <f ca="1">IFERROR(__xludf.DUMMYFUNCTION("""COMPUTED_VALUE"""),4)</f>
        <v>4</v>
      </c>
      <c r="H2296" s="86" t="str">
        <f ca="1">IFERROR(__xludf.DUMMYFUNCTION("""COMPUTED_VALUE"""),"WC")</f>
        <v>WC</v>
      </c>
      <c r="I2296" s="86">
        <f ca="1">IFERROR(__xludf.DUMMYFUNCTION("""COMPUTED_VALUE"""),9)</f>
        <v>9</v>
      </c>
      <c r="J2296" s="85">
        <f ca="1">IFERROR(__xludf.DUMMYFUNCTION("""COMPUTED_VALUE"""),3)</f>
        <v>3</v>
      </c>
      <c r="K2296" s="85">
        <f ca="1">IFERROR(__xludf.DUMMYFUNCTION("""COMPUTED_VALUE"""),148.95)</f>
        <v>148.94999999999999</v>
      </c>
      <c r="L2296" s="85">
        <f ca="1">IFERROR(__xludf.DUMMYFUNCTION("""COMPUTED_VALUE"""),0)</f>
        <v>0</v>
      </c>
      <c r="M2296" s="85"/>
      <c r="N2296" s="85">
        <f ca="1">IFERROR(__xludf.DUMMYFUNCTION("""COMPUTED_VALUE"""),132.85)</f>
        <v>132.85</v>
      </c>
      <c r="O2296" s="85"/>
      <c r="P2296" s="85">
        <f ca="1">IFERROR(__xludf.DUMMYFUNCTION("""COMPUTED_VALUE"""),0)</f>
        <v>0</v>
      </c>
      <c r="Q2296" s="85"/>
      <c r="R2296" s="85">
        <f ca="1">IFERROR(__xludf.DUMMYFUNCTION("""COMPUTED_VALUE"""),148.95)</f>
        <v>148.94999999999999</v>
      </c>
      <c r="S2296" s="85"/>
      <c r="T2296" s="85"/>
      <c r="U2296" s="82"/>
      <c r="V2296" s="82"/>
      <c r="W2296" s="83"/>
      <c r="X2296" s="83"/>
      <c r="Y2296" s="83"/>
    </row>
    <row r="2297" spans="1:25" ht="13.8">
      <c r="A2297" s="78" t="str">
        <f ca="1">IFERROR(__xludf.DUMMYFUNCTION("""COMPUTED_VALUE"""),"WC")</f>
        <v>WC</v>
      </c>
      <c r="B2297" s="79" t="str">
        <f ca="1">IFERROR(__xludf.DUMMYFUNCTION("""COMPUTED_VALUE"""),"Aidan Thomas")</f>
        <v>Aidan Thomas</v>
      </c>
      <c r="C2297" s="78">
        <f ca="1">IFERROR(__xludf.DUMMYFUNCTION("""COMPUTED_VALUE"""),18)</f>
        <v>18</v>
      </c>
      <c r="D2297" s="78" t="str">
        <f ca="1">IFERROR(__xludf.DUMMYFUNCTION("""COMPUTED_VALUE"""),"B")</f>
        <v>B</v>
      </c>
      <c r="E2297" s="80" t="str">
        <f ca="1">IFERROR(__xludf.DUMMYFUNCTION("""COMPUTED_VALUE"""),"S")</f>
        <v>S</v>
      </c>
      <c r="F2297" s="86" t="str">
        <f ca="1">IFERROR(__xludf.DUMMYFUNCTION("""COMPUTED_VALUE"""),"S")</f>
        <v>S</v>
      </c>
      <c r="G2297" s="86">
        <f ca="1">IFERROR(__xludf.DUMMYFUNCTION("""COMPUTED_VALUE"""),4)</f>
        <v>4</v>
      </c>
      <c r="H2297" s="86" t="str">
        <f ca="1">IFERROR(__xludf.DUMMYFUNCTION("""COMPUTED_VALUE"""),"WC")</f>
        <v>WC</v>
      </c>
      <c r="I2297" s="86">
        <f ca="1">IFERROR(__xludf.DUMMYFUNCTION("""COMPUTED_VALUE"""),9)</f>
        <v>9</v>
      </c>
      <c r="J2297" s="85">
        <f ca="1">IFERROR(__xludf.DUMMYFUNCTION("""COMPUTED_VALUE"""),4)</f>
        <v>4</v>
      </c>
      <c r="K2297" s="85">
        <f ca="1">IFERROR(__xludf.DUMMYFUNCTION("""COMPUTED_VALUE"""),266.55)</f>
        <v>266.55</v>
      </c>
      <c r="L2297" s="85">
        <f ca="1">IFERROR(__xludf.DUMMYFUNCTION("""COMPUTED_VALUE"""),259.45)</f>
        <v>259.45</v>
      </c>
      <c r="M2297" s="85"/>
      <c r="N2297" s="85">
        <f ca="1">IFERROR(__xludf.DUMMYFUNCTION("""COMPUTED_VALUE"""),0)</f>
        <v>0</v>
      </c>
      <c r="O2297" s="85"/>
      <c r="P2297" s="85">
        <f ca="1">IFERROR(__xludf.DUMMYFUNCTION("""COMPUTED_VALUE"""),210.7)</f>
        <v>210.7</v>
      </c>
      <c r="Q2297" s="85"/>
      <c r="R2297" s="85">
        <f ca="1">IFERROR(__xludf.DUMMYFUNCTION("""COMPUTED_VALUE"""),266.55)</f>
        <v>266.55</v>
      </c>
      <c r="S2297" s="85"/>
      <c r="T2297" s="85"/>
      <c r="U2297" s="82"/>
      <c r="V2297" s="82"/>
      <c r="W2297" s="83"/>
      <c r="X2297" s="83"/>
      <c r="Y2297" s="83"/>
    </row>
    <row r="2298" spans="1:25" ht="13.8">
      <c r="A2298" s="78" t="str">
        <f ca="1">IFERROR(__xludf.DUMMYFUNCTION("""COMPUTED_VALUE"""),"WG")</f>
        <v>WG</v>
      </c>
      <c r="B2298" s="79" t="str">
        <f ca="1">IFERROR(__xludf.DUMMYFUNCTION("""COMPUTED_VALUE"""),"Zerin Basha")</f>
        <v>Zerin Basha</v>
      </c>
      <c r="C2298" s="78">
        <f ca="1">IFERROR(__xludf.DUMMYFUNCTION("""COMPUTED_VALUE"""),10)</f>
        <v>10</v>
      </c>
      <c r="D2298" s="78" t="str">
        <f ca="1">IFERROR(__xludf.DUMMYFUNCTION("""COMPUTED_VALUE"""),"G")</f>
        <v>G</v>
      </c>
      <c r="E2298" s="80" t="str">
        <f ca="1">IFERROR(__xludf.DUMMYFUNCTION("""COMPUTED_VALUE"""),"F")</f>
        <v>F</v>
      </c>
      <c r="F2298" s="86" t="str">
        <f ca="1">IFERROR(__xludf.DUMMYFUNCTION("""COMPUTED_VALUE"""),"J")</f>
        <v>J</v>
      </c>
      <c r="G2298" s="86">
        <f ca="1">IFERROR(__xludf.DUMMYFUNCTION("""COMPUTED_VALUE"""),2)</f>
        <v>2</v>
      </c>
      <c r="H2298" s="86" t="str">
        <f ca="1">IFERROR(__xludf.DUMMYFUNCTION("""COMPUTED_VALUE"""),"WG")</f>
        <v>WG</v>
      </c>
      <c r="I2298" s="86">
        <f ca="1">IFERROR(__xludf.DUMMYFUNCTION("""COMPUTED_VALUE"""),2)</f>
        <v>2</v>
      </c>
      <c r="J2298" s="85">
        <f ca="1">IFERROR(__xludf.DUMMYFUNCTION("""COMPUTED_VALUE"""),1)</f>
        <v>1</v>
      </c>
      <c r="K2298" s="85">
        <f ca="1">IFERROR(__xludf.DUMMYFUNCTION("""COMPUTED_VALUE"""),0)</f>
        <v>0</v>
      </c>
      <c r="L2298" s="85">
        <f ca="1">IFERROR(__xludf.DUMMYFUNCTION("""COMPUTED_VALUE"""),0)</f>
        <v>0</v>
      </c>
      <c r="M2298" s="85"/>
      <c r="N2298" s="85">
        <f ca="1">IFERROR(__xludf.DUMMYFUNCTION("""COMPUTED_VALUE"""),0)</f>
        <v>0</v>
      </c>
      <c r="O2298" s="85"/>
      <c r="P2298" s="85">
        <f ca="1">IFERROR(__xludf.DUMMYFUNCTION("""COMPUTED_VALUE"""),0)</f>
        <v>0</v>
      </c>
      <c r="Q2298" s="85"/>
      <c r="R2298" s="85">
        <f ca="1">IFERROR(__xludf.DUMMYFUNCTION("""COMPUTED_VALUE"""),0)</f>
        <v>0</v>
      </c>
      <c r="S2298" s="85"/>
      <c r="T2298" s="85"/>
      <c r="U2298" s="82"/>
      <c r="V2298" s="82"/>
      <c r="W2298" s="83"/>
      <c r="X2298" s="83"/>
      <c r="Y2298" s="83"/>
    </row>
    <row r="2299" spans="1:25" ht="13.8">
      <c r="A2299" s="78" t="str">
        <f ca="1">IFERROR(__xludf.DUMMYFUNCTION("""COMPUTED_VALUE"""),"WG")</f>
        <v>WG</v>
      </c>
      <c r="B2299" s="79" t="str">
        <f ca="1">IFERROR(__xludf.DUMMYFUNCTION("""COMPUTED_VALUE"""),"Maggie Donnelly")</f>
        <v>Maggie Donnelly</v>
      </c>
      <c r="C2299" s="78">
        <f ca="1">IFERROR(__xludf.DUMMYFUNCTION("""COMPUTED_VALUE"""),10)</f>
        <v>10</v>
      </c>
      <c r="D2299" s="78" t="str">
        <f ca="1">IFERROR(__xludf.DUMMYFUNCTION("""COMPUTED_VALUE"""),"G")</f>
        <v>G</v>
      </c>
      <c r="E2299" s="80" t="str">
        <f ca="1">IFERROR(__xludf.DUMMYFUNCTION("""COMPUTED_VALUE"""),"F")</f>
        <v>F</v>
      </c>
      <c r="F2299" s="86" t="str">
        <f ca="1">IFERROR(__xludf.DUMMYFUNCTION("""COMPUTED_VALUE"""),"J")</f>
        <v>J</v>
      </c>
      <c r="G2299" s="86">
        <f ca="1">IFERROR(__xludf.DUMMYFUNCTION("""COMPUTED_VALUE"""),2)</f>
        <v>2</v>
      </c>
      <c r="H2299" s="86" t="str">
        <f ca="1">IFERROR(__xludf.DUMMYFUNCTION("""COMPUTED_VALUE"""),"WG")</f>
        <v>WG</v>
      </c>
      <c r="I2299" s="86">
        <f ca="1">IFERROR(__xludf.DUMMYFUNCTION("""COMPUTED_VALUE"""),2)</f>
        <v>2</v>
      </c>
      <c r="J2299" s="85">
        <f ca="1">IFERROR(__xludf.DUMMYFUNCTION("""COMPUTED_VALUE"""),4)</f>
        <v>4</v>
      </c>
      <c r="K2299" s="85">
        <f ca="1">IFERROR(__xludf.DUMMYFUNCTION("""COMPUTED_VALUE"""),48.7)</f>
        <v>48.7</v>
      </c>
      <c r="L2299" s="85">
        <f ca="1">IFERROR(__xludf.DUMMYFUNCTION("""COMPUTED_VALUE"""),47.85)</f>
        <v>47.85</v>
      </c>
      <c r="M2299" s="85"/>
      <c r="N2299" s="85">
        <f ca="1">IFERROR(__xludf.DUMMYFUNCTION("""COMPUTED_VALUE"""),0)</f>
        <v>0</v>
      </c>
      <c r="O2299" s="85"/>
      <c r="P2299" s="85">
        <f ca="1">IFERROR(__xludf.DUMMYFUNCTION("""COMPUTED_VALUE"""),48.7)</f>
        <v>48.7</v>
      </c>
      <c r="Q2299" s="85"/>
      <c r="R2299" s="85">
        <f ca="1">IFERROR(__xludf.DUMMYFUNCTION("""COMPUTED_VALUE"""),39.85)</f>
        <v>39.85</v>
      </c>
      <c r="S2299" s="85"/>
      <c r="T2299" s="85"/>
      <c r="U2299" s="82"/>
      <c r="V2299" s="82"/>
      <c r="W2299" s="83"/>
      <c r="X2299" s="83"/>
      <c r="Y2299" s="83"/>
    </row>
    <row r="2300" spans="1:25" ht="13.8">
      <c r="A2300" s="78" t="str">
        <f ca="1">IFERROR(__xludf.DUMMYFUNCTION("""COMPUTED_VALUE"""),"WG")</f>
        <v>WG</v>
      </c>
      <c r="B2300" s="79" t="str">
        <f ca="1">IFERROR(__xludf.DUMMYFUNCTION("""COMPUTED_VALUE"""),"Molly Donnelly")</f>
        <v>Molly Donnelly</v>
      </c>
      <c r="C2300" s="78">
        <f ca="1">IFERROR(__xludf.DUMMYFUNCTION("""COMPUTED_VALUE"""),8)</f>
        <v>8</v>
      </c>
      <c r="D2300" s="78" t="str">
        <f ca="1">IFERROR(__xludf.DUMMYFUNCTION("""COMPUTED_VALUE"""),"G")</f>
        <v>G</v>
      </c>
      <c r="E2300" s="80" t="str">
        <f ca="1">IFERROR(__xludf.DUMMYFUNCTION("""COMPUTED_VALUE"""),"F")</f>
        <v>F</v>
      </c>
      <c r="F2300" s="86" t="str">
        <f ca="1">IFERROR(__xludf.DUMMYFUNCTION("""COMPUTED_VALUE"""),"J")</f>
        <v>J</v>
      </c>
      <c r="G2300" s="86">
        <f ca="1">IFERROR(__xludf.DUMMYFUNCTION("""COMPUTED_VALUE"""),2)</f>
        <v>2</v>
      </c>
      <c r="H2300" s="86" t="str">
        <f ca="1">IFERROR(__xludf.DUMMYFUNCTION("""COMPUTED_VALUE"""),"WG")</f>
        <v>WG</v>
      </c>
      <c r="I2300" s="86">
        <f ca="1">IFERROR(__xludf.DUMMYFUNCTION("""COMPUTED_VALUE"""),2)</f>
        <v>2</v>
      </c>
      <c r="J2300" s="85">
        <f ca="1">IFERROR(__xludf.DUMMYFUNCTION("""COMPUTED_VALUE"""),5)</f>
        <v>5</v>
      </c>
      <c r="K2300" s="85">
        <f ca="1">IFERROR(__xludf.DUMMYFUNCTION("""COMPUTED_VALUE"""),55.05)</f>
        <v>55.05</v>
      </c>
      <c r="L2300" s="85">
        <f ca="1">IFERROR(__xludf.DUMMYFUNCTION("""COMPUTED_VALUE"""),34.05)</f>
        <v>34.049999999999997</v>
      </c>
      <c r="M2300" s="85"/>
      <c r="N2300" s="85">
        <f ca="1">IFERROR(__xludf.DUMMYFUNCTION("""COMPUTED_VALUE"""),55.05)</f>
        <v>55.05</v>
      </c>
      <c r="O2300" s="85"/>
      <c r="P2300" s="85">
        <f ca="1">IFERROR(__xludf.DUMMYFUNCTION("""COMPUTED_VALUE"""),48.75)</f>
        <v>48.75</v>
      </c>
      <c r="Q2300" s="85"/>
      <c r="R2300" s="85">
        <f ca="1">IFERROR(__xludf.DUMMYFUNCTION("""COMPUTED_VALUE"""),36.55)</f>
        <v>36.549999999999997</v>
      </c>
      <c r="S2300" s="85"/>
      <c r="T2300" s="85"/>
      <c r="U2300" s="82"/>
      <c r="V2300" s="82"/>
      <c r="W2300" s="83"/>
      <c r="X2300" s="83"/>
      <c r="Y2300" s="83"/>
    </row>
    <row r="2301" spans="1:25" ht="13.8">
      <c r="A2301" s="78" t="str">
        <f ca="1">IFERROR(__xludf.DUMMYFUNCTION("""COMPUTED_VALUE"""),"WG")</f>
        <v>WG</v>
      </c>
      <c r="B2301" s="79" t="str">
        <f ca="1">IFERROR(__xludf.DUMMYFUNCTION("""COMPUTED_VALUE"""),"Elin Geraghty")</f>
        <v>Elin Geraghty</v>
      </c>
      <c r="C2301" s="78">
        <f ca="1">IFERROR(__xludf.DUMMYFUNCTION("""COMPUTED_VALUE"""),9)</f>
        <v>9</v>
      </c>
      <c r="D2301" s="78" t="str">
        <f ca="1">IFERROR(__xludf.DUMMYFUNCTION("""COMPUTED_VALUE"""),"G")</f>
        <v>G</v>
      </c>
      <c r="E2301" s="80" t="str">
        <f ca="1">IFERROR(__xludf.DUMMYFUNCTION("""COMPUTED_VALUE"""),"F")</f>
        <v>F</v>
      </c>
      <c r="F2301" s="86" t="str">
        <f ca="1">IFERROR(__xludf.DUMMYFUNCTION("""COMPUTED_VALUE"""),"J")</f>
        <v>J</v>
      </c>
      <c r="G2301" s="86">
        <f ca="1">IFERROR(__xludf.DUMMYFUNCTION("""COMPUTED_VALUE"""),2)</f>
        <v>2</v>
      </c>
      <c r="H2301" s="86" t="str">
        <f ca="1">IFERROR(__xludf.DUMMYFUNCTION("""COMPUTED_VALUE"""),"WG")</f>
        <v>WG</v>
      </c>
      <c r="I2301" s="86">
        <f ca="1">IFERROR(__xludf.DUMMYFUNCTION("""COMPUTED_VALUE"""),2)</f>
        <v>2</v>
      </c>
      <c r="J2301" s="85">
        <f ca="1">IFERROR(__xludf.DUMMYFUNCTION("""COMPUTED_VALUE"""),5)</f>
        <v>5</v>
      </c>
      <c r="K2301" s="85">
        <f ca="1">IFERROR(__xludf.DUMMYFUNCTION("""COMPUTED_VALUE"""),56.3)</f>
        <v>56.3</v>
      </c>
      <c r="L2301" s="85">
        <f ca="1">IFERROR(__xludf.DUMMYFUNCTION("""COMPUTED_VALUE"""),55.65)</f>
        <v>55.65</v>
      </c>
      <c r="M2301" s="85"/>
      <c r="N2301" s="85">
        <f ca="1">IFERROR(__xludf.DUMMYFUNCTION("""COMPUTED_VALUE"""),56.3)</f>
        <v>56.3</v>
      </c>
      <c r="O2301" s="85"/>
      <c r="P2301" s="85">
        <f ca="1">IFERROR(__xludf.DUMMYFUNCTION("""COMPUTED_VALUE"""),52.5)</f>
        <v>52.5</v>
      </c>
      <c r="Q2301" s="85"/>
      <c r="R2301" s="85">
        <f ca="1">IFERROR(__xludf.DUMMYFUNCTION("""COMPUTED_VALUE"""),51.25)</f>
        <v>51.25</v>
      </c>
      <c r="S2301" s="85"/>
      <c r="T2301" s="85"/>
      <c r="U2301" s="82"/>
      <c r="V2301" s="82"/>
      <c r="W2301" s="83"/>
      <c r="X2301" s="83"/>
      <c r="Y2301" s="83"/>
    </row>
    <row r="2302" spans="1:25" ht="13.8">
      <c r="A2302" s="78" t="str">
        <f ca="1">IFERROR(__xludf.DUMMYFUNCTION("""COMPUTED_VALUE"""),"WG")</f>
        <v>WG</v>
      </c>
      <c r="B2302" s="79" t="str">
        <f ca="1">IFERROR(__xludf.DUMMYFUNCTION("""COMPUTED_VALUE"""),"Daphne Hwang")</f>
        <v>Daphne Hwang</v>
      </c>
      <c r="C2302" s="78">
        <f ca="1">IFERROR(__xludf.DUMMYFUNCTION("""COMPUTED_VALUE"""),9)</f>
        <v>9</v>
      </c>
      <c r="D2302" s="78" t="str">
        <f ca="1">IFERROR(__xludf.DUMMYFUNCTION("""COMPUTED_VALUE"""),"G")</f>
        <v>G</v>
      </c>
      <c r="E2302" s="80" t="str">
        <f ca="1">IFERROR(__xludf.DUMMYFUNCTION("""COMPUTED_VALUE"""),"F")</f>
        <v>F</v>
      </c>
      <c r="F2302" s="86" t="str">
        <f ca="1">IFERROR(__xludf.DUMMYFUNCTION("""COMPUTED_VALUE"""),"J")</f>
        <v>J</v>
      </c>
      <c r="G2302" s="86">
        <f ca="1">IFERROR(__xludf.DUMMYFUNCTION("""COMPUTED_VALUE"""),2)</f>
        <v>2</v>
      </c>
      <c r="H2302" s="86" t="str">
        <f ca="1">IFERROR(__xludf.DUMMYFUNCTION("""COMPUTED_VALUE"""),"WG")</f>
        <v>WG</v>
      </c>
      <c r="I2302" s="86">
        <f ca="1">IFERROR(__xludf.DUMMYFUNCTION("""COMPUTED_VALUE"""),2)</f>
        <v>2</v>
      </c>
      <c r="J2302" s="85">
        <f ca="1">IFERROR(__xludf.DUMMYFUNCTION("""COMPUTED_VALUE"""),5)</f>
        <v>5</v>
      </c>
      <c r="K2302" s="85">
        <f ca="1">IFERROR(__xludf.DUMMYFUNCTION("""COMPUTED_VALUE"""),53.15)</f>
        <v>53.15</v>
      </c>
      <c r="L2302" s="85">
        <f ca="1">IFERROR(__xludf.DUMMYFUNCTION("""COMPUTED_VALUE"""),53.15)</f>
        <v>53.15</v>
      </c>
      <c r="M2302" s="85"/>
      <c r="N2302" s="85">
        <f ca="1">IFERROR(__xludf.DUMMYFUNCTION("""COMPUTED_VALUE"""),50.95)</f>
        <v>50.95</v>
      </c>
      <c r="O2302" s="85"/>
      <c r="P2302" s="85">
        <f ca="1">IFERROR(__xludf.DUMMYFUNCTION("""COMPUTED_VALUE"""),52.5)</f>
        <v>52.5</v>
      </c>
      <c r="Q2302" s="85"/>
      <c r="R2302" s="85">
        <f ca="1">IFERROR(__xludf.DUMMYFUNCTION("""COMPUTED_VALUE"""),42.45)</f>
        <v>42.45</v>
      </c>
      <c r="S2302" s="85"/>
      <c r="T2302" s="85"/>
      <c r="U2302" s="82"/>
      <c r="V2302" s="82"/>
      <c r="W2302" s="83"/>
      <c r="X2302" s="83"/>
      <c r="Y2302" s="83"/>
    </row>
    <row r="2303" spans="1:25" ht="13.8">
      <c r="A2303" s="78" t="str">
        <f ca="1">IFERROR(__xludf.DUMMYFUNCTION("""COMPUTED_VALUE"""),"WG")</f>
        <v>WG</v>
      </c>
      <c r="B2303" s="79" t="str">
        <f ca="1">IFERROR(__xludf.DUMMYFUNCTION("""COMPUTED_VALUE"""),"Callyn Lalime")</f>
        <v>Callyn Lalime</v>
      </c>
      <c r="C2303" s="78">
        <f ca="1">IFERROR(__xludf.DUMMYFUNCTION("""COMPUTED_VALUE"""),10)</f>
        <v>10</v>
      </c>
      <c r="D2303" s="78" t="str">
        <f ca="1">IFERROR(__xludf.DUMMYFUNCTION("""COMPUTED_VALUE"""),"G")</f>
        <v>G</v>
      </c>
      <c r="E2303" s="80" t="str">
        <f ca="1">IFERROR(__xludf.DUMMYFUNCTION("""COMPUTED_VALUE"""),"F")</f>
        <v>F</v>
      </c>
      <c r="F2303" s="86" t="str">
        <f ca="1">IFERROR(__xludf.DUMMYFUNCTION("""COMPUTED_VALUE"""),"J")</f>
        <v>J</v>
      </c>
      <c r="G2303" s="86">
        <f ca="1">IFERROR(__xludf.DUMMYFUNCTION("""COMPUTED_VALUE"""),2)</f>
        <v>2</v>
      </c>
      <c r="H2303" s="86" t="str">
        <f ca="1">IFERROR(__xludf.DUMMYFUNCTION("""COMPUTED_VALUE"""),"WG")</f>
        <v>WG</v>
      </c>
      <c r="I2303" s="86">
        <f ca="1">IFERROR(__xludf.DUMMYFUNCTION("""COMPUTED_VALUE"""),2)</f>
        <v>2</v>
      </c>
      <c r="J2303" s="85">
        <f ca="1">IFERROR(__xludf.DUMMYFUNCTION("""COMPUTED_VALUE"""),5)</f>
        <v>5</v>
      </c>
      <c r="K2303" s="85">
        <f ca="1">IFERROR(__xludf.DUMMYFUNCTION("""COMPUTED_VALUE"""),47.15)</f>
        <v>47.15</v>
      </c>
      <c r="L2303" s="85">
        <f ca="1">IFERROR(__xludf.DUMMYFUNCTION("""COMPUTED_VALUE"""),47.15)</f>
        <v>47.15</v>
      </c>
      <c r="M2303" s="85"/>
      <c r="N2303" s="85">
        <f ca="1">IFERROR(__xludf.DUMMYFUNCTION("""COMPUTED_VALUE"""),39.7)</f>
        <v>39.700000000000003</v>
      </c>
      <c r="O2303" s="85"/>
      <c r="P2303" s="85">
        <f ca="1">IFERROR(__xludf.DUMMYFUNCTION("""COMPUTED_VALUE"""),43.65)</f>
        <v>43.65</v>
      </c>
      <c r="Q2303" s="85"/>
      <c r="R2303" s="85">
        <f ca="1">IFERROR(__xludf.DUMMYFUNCTION("""COMPUTED_VALUE"""),29.6)</f>
        <v>29.6</v>
      </c>
      <c r="S2303" s="85"/>
      <c r="T2303" s="85"/>
      <c r="U2303" s="82"/>
      <c r="V2303" s="82"/>
      <c r="W2303" s="83"/>
      <c r="X2303" s="83"/>
      <c r="Y2303" s="83"/>
    </row>
    <row r="2304" spans="1:25" ht="13.8">
      <c r="A2304" s="78" t="str">
        <f ca="1">IFERROR(__xludf.DUMMYFUNCTION("""COMPUTED_VALUE"""),"WG")</f>
        <v>WG</v>
      </c>
      <c r="B2304" s="79" t="str">
        <f ca="1">IFERROR(__xludf.DUMMYFUNCTION("""COMPUTED_VALUE"""),"Samantha Lathier")</f>
        <v>Samantha Lathier</v>
      </c>
      <c r="C2304" s="78">
        <f ca="1">IFERROR(__xludf.DUMMYFUNCTION("""COMPUTED_VALUE"""),7)</f>
        <v>7</v>
      </c>
      <c r="D2304" s="78" t="str">
        <f ca="1">IFERROR(__xludf.DUMMYFUNCTION("""COMPUTED_VALUE"""),"G")</f>
        <v>G</v>
      </c>
      <c r="E2304" s="80" t="str">
        <f ca="1">IFERROR(__xludf.DUMMYFUNCTION("""COMPUTED_VALUE"""),"F")</f>
        <v>F</v>
      </c>
      <c r="F2304" s="86" t="str">
        <f ca="1">IFERROR(__xludf.DUMMYFUNCTION("""COMPUTED_VALUE"""),"J")</f>
        <v>J</v>
      </c>
      <c r="G2304" s="86">
        <f ca="1">IFERROR(__xludf.DUMMYFUNCTION("""COMPUTED_VALUE"""),2)</f>
        <v>2</v>
      </c>
      <c r="H2304" s="86" t="str">
        <f ca="1">IFERROR(__xludf.DUMMYFUNCTION("""COMPUTED_VALUE"""),"WG")</f>
        <v>WG</v>
      </c>
      <c r="I2304" s="86">
        <f ca="1">IFERROR(__xludf.DUMMYFUNCTION("""COMPUTED_VALUE"""),2)</f>
        <v>2</v>
      </c>
      <c r="J2304" s="85">
        <f ca="1">IFERROR(__xludf.DUMMYFUNCTION("""COMPUTED_VALUE"""),3)</f>
        <v>3</v>
      </c>
      <c r="K2304" s="85">
        <f ca="1">IFERROR(__xludf.DUMMYFUNCTION("""COMPUTED_VALUE"""),44.05)</f>
        <v>44.05</v>
      </c>
      <c r="L2304" s="85">
        <f ca="1">IFERROR(__xludf.DUMMYFUNCTION("""COMPUTED_VALUE"""),0)</f>
        <v>0</v>
      </c>
      <c r="M2304" s="85"/>
      <c r="N2304" s="85">
        <f ca="1">IFERROR(__xludf.DUMMYFUNCTION("""COMPUTED_VALUE"""),0)</f>
        <v>0</v>
      </c>
      <c r="O2304" s="85"/>
      <c r="P2304" s="85">
        <f ca="1">IFERROR(__xludf.DUMMYFUNCTION("""COMPUTED_VALUE"""),44.05)</f>
        <v>44.05</v>
      </c>
      <c r="Q2304" s="85"/>
      <c r="R2304" s="85">
        <f ca="1">IFERROR(__xludf.DUMMYFUNCTION("""COMPUTED_VALUE"""),41.65)</f>
        <v>41.65</v>
      </c>
      <c r="S2304" s="85"/>
      <c r="T2304" s="85"/>
      <c r="U2304" s="82"/>
      <c r="V2304" s="82"/>
      <c r="W2304" s="83"/>
      <c r="X2304" s="83"/>
      <c r="Y2304" s="83"/>
    </row>
    <row r="2305" spans="1:25" ht="13.8">
      <c r="A2305" s="78" t="str">
        <f ca="1">IFERROR(__xludf.DUMMYFUNCTION("""COMPUTED_VALUE"""),"WG")</f>
        <v>WG</v>
      </c>
      <c r="B2305" s="79" t="str">
        <f ca="1">IFERROR(__xludf.DUMMYFUNCTION("""COMPUTED_VALUE"""),"Kaitlyn Ma")</f>
        <v>Kaitlyn Ma</v>
      </c>
      <c r="C2305" s="78">
        <f ca="1">IFERROR(__xludf.DUMMYFUNCTION("""COMPUTED_VALUE"""),10)</f>
        <v>10</v>
      </c>
      <c r="D2305" s="78" t="str">
        <f ca="1">IFERROR(__xludf.DUMMYFUNCTION("""COMPUTED_VALUE"""),"G")</f>
        <v>G</v>
      </c>
      <c r="E2305" s="80" t="str">
        <f ca="1">IFERROR(__xludf.DUMMYFUNCTION("""COMPUTED_VALUE"""),"F")</f>
        <v>F</v>
      </c>
      <c r="F2305" s="86" t="str">
        <f ca="1">IFERROR(__xludf.DUMMYFUNCTION("""COMPUTED_VALUE"""),"J")</f>
        <v>J</v>
      </c>
      <c r="G2305" s="86">
        <f ca="1">IFERROR(__xludf.DUMMYFUNCTION("""COMPUTED_VALUE"""),2)</f>
        <v>2</v>
      </c>
      <c r="H2305" s="86" t="str">
        <f ca="1">IFERROR(__xludf.DUMMYFUNCTION("""COMPUTED_VALUE"""),"WG")</f>
        <v>WG</v>
      </c>
      <c r="I2305" s="86">
        <f ca="1">IFERROR(__xludf.DUMMYFUNCTION("""COMPUTED_VALUE"""),2)</f>
        <v>2</v>
      </c>
      <c r="J2305" s="85">
        <f ca="1">IFERROR(__xludf.DUMMYFUNCTION("""COMPUTED_VALUE"""),5)</f>
        <v>5</v>
      </c>
      <c r="K2305" s="85">
        <f ca="1">IFERROR(__xludf.DUMMYFUNCTION("""COMPUTED_VALUE"""),38.3)</f>
        <v>38.299999999999997</v>
      </c>
      <c r="L2305" s="85">
        <f ca="1">IFERROR(__xludf.DUMMYFUNCTION("""COMPUTED_VALUE"""),28.5)</f>
        <v>28.5</v>
      </c>
      <c r="M2305" s="85"/>
      <c r="N2305" s="85">
        <f ca="1">IFERROR(__xludf.DUMMYFUNCTION("""COMPUTED_VALUE"""),29.85)</f>
        <v>29.85</v>
      </c>
      <c r="O2305" s="85"/>
      <c r="P2305" s="85">
        <f ca="1">IFERROR(__xludf.DUMMYFUNCTION("""COMPUTED_VALUE"""),38.3)</f>
        <v>38.299999999999997</v>
      </c>
      <c r="Q2305" s="85"/>
      <c r="R2305" s="85">
        <f ca="1">IFERROR(__xludf.DUMMYFUNCTION("""COMPUTED_VALUE"""),29.65)</f>
        <v>29.65</v>
      </c>
      <c r="S2305" s="85"/>
      <c r="T2305" s="85"/>
      <c r="U2305" s="82"/>
      <c r="V2305" s="82"/>
      <c r="W2305" s="83"/>
      <c r="X2305" s="83"/>
      <c r="Y2305" s="83"/>
    </row>
    <row r="2306" spans="1:25" ht="13.8">
      <c r="A2306" s="78" t="str">
        <f ca="1">IFERROR(__xludf.DUMMYFUNCTION("""COMPUTED_VALUE"""),"WG")</f>
        <v>WG</v>
      </c>
      <c r="B2306" s="79" t="str">
        <f ca="1">IFERROR(__xludf.DUMMYFUNCTION("""COMPUTED_VALUE"""),"Sophia Ma")</f>
        <v>Sophia Ma</v>
      </c>
      <c r="C2306" s="78">
        <f ca="1">IFERROR(__xludf.DUMMYFUNCTION("""COMPUTED_VALUE"""),9)</f>
        <v>9</v>
      </c>
      <c r="D2306" s="78" t="str">
        <f ca="1">IFERROR(__xludf.DUMMYFUNCTION("""COMPUTED_VALUE"""),"G")</f>
        <v>G</v>
      </c>
      <c r="E2306" s="80" t="str">
        <f ca="1">IFERROR(__xludf.DUMMYFUNCTION("""COMPUTED_VALUE"""),"F")</f>
        <v>F</v>
      </c>
      <c r="F2306" s="86" t="str">
        <f ca="1">IFERROR(__xludf.DUMMYFUNCTION("""COMPUTED_VALUE"""),"J")</f>
        <v>J</v>
      </c>
      <c r="G2306" s="86">
        <f ca="1">IFERROR(__xludf.DUMMYFUNCTION("""COMPUTED_VALUE"""),2)</f>
        <v>2</v>
      </c>
      <c r="H2306" s="86" t="str">
        <f ca="1">IFERROR(__xludf.DUMMYFUNCTION("""COMPUTED_VALUE"""),"WG")</f>
        <v>WG</v>
      </c>
      <c r="I2306" s="86">
        <f ca="1">IFERROR(__xludf.DUMMYFUNCTION("""COMPUTED_VALUE"""),2)</f>
        <v>2</v>
      </c>
      <c r="J2306" s="85">
        <f ca="1">IFERROR(__xludf.DUMMYFUNCTION("""COMPUTED_VALUE"""),2)</f>
        <v>2</v>
      </c>
      <c r="K2306" s="85">
        <f ca="1">IFERROR(__xludf.DUMMYFUNCTION("""COMPUTED_VALUE"""),17.6)</f>
        <v>17.600000000000001</v>
      </c>
      <c r="L2306" s="85">
        <f ca="1">IFERROR(__xludf.DUMMYFUNCTION("""COMPUTED_VALUE"""),0)</f>
        <v>0</v>
      </c>
      <c r="M2306" s="85"/>
      <c r="N2306" s="85">
        <f ca="1">IFERROR(__xludf.DUMMYFUNCTION("""COMPUTED_VALUE"""),0)</f>
        <v>0</v>
      </c>
      <c r="O2306" s="85"/>
      <c r="P2306" s="85">
        <f ca="1">IFERROR(__xludf.DUMMYFUNCTION("""COMPUTED_VALUE"""),0)</f>
        <v>0</v>
      </c>
      <c r="Q2306" s="85"/>
      <c r="R2306" s="85">
        <f ca="1">IFERROR(__xludf.DUMMYFUNCTION("""COMPUTED_VALUE"""),17.6)</f>
        <v>17.600000000000001</v>
      </c>
      <c r="S2306" s="85"/>
      <c r="T2306" s="85"/>
      <c r="U2306" s="82"/>
      <c r="V2306" s="82"/>
      <c r="W2306" s="83"/>
      <c r="X2306" s="83"/>
      <c r="Y2306" s="83"/>
    </row>
    <row r="2307" spans="1:25" ht="13.8">
      <c r="A2307" s="78" t="str">
        <f ca="1">IFERROR(__xludf.DUMMYFUNCTION("""COMPUTED_VALUE"""),"WG")</f>
        <v>WG</v>
      </c>
      <c r="B2307" s="79" t="str">
        <f ca="1">IFERROR(__xludf.DUMMYFUNCTION("""COMPUTED_VALUE"""),"Emma Webb")</f>
        <v>Emma Webb</v>
      </c>
      <c r="C2307" s="78">
        <f ca="1">IFERROR(__xludf.DUMMYFUNCTION("""COMPUTED_VALUE"""),10)</f>
        <v>10</v>
      </c>
      <c r="D2307" s="78" t="str">
        <f ca="1">IFERROR(__xludf.DUMMYFUNCTION("""COMPUTED_VALUE"""),"G")</f>
        <v>G</v>
      </c>
      <c r="E2307" s="80" t="str">
        <f ca="1">IFERROR(__xludf.DUMMYFUNCTION("""COMPUTED_VALUE"""),"F")</f>
        <v>F</v>
      </c>
      <c r="F2307" s="86" t="str">
        <f ca="1">IFERROR(__xludf.DUMMYFUNCTION("""COMPUTED_VALUE"""),"J")</f>
        <v>J</v>
      </c>
      <c r="G2307" s="86">
        <f ca="1">IFERROR(__xludf.DUMMYFUNCTION("""COMPUTED_VALUE"""),2)</f>
        <v>2</v>
      </c>
      <c r="H2307" s="86" t="str">
        <f ca="1">IFERROR(__xludf.DUMMYFUNCTION("""COMPUTED_VALUE"""),"WG")</f>
        <v>WG</v>
      </c>
      <c r="I2307" s="86">
        <f ca="1">IFERROR(__xludf.DUMMYFUNCTION("""COMPUTED_VALUE"""),2)</f>
        <v>2</v>
      </c>
      <c r="J2307" s="85">
        <f ca="1">IFERROR(__xludf.DUMMYFUNCTION("""COMPUTED_VALUE"""),5)</f>
        <v>5</v>
      </c>
      <c r="K2307" s="85">
        <f ca="1">IFERROR(__xludf.DUMMYFUNCTION("""COMPUTED_VALUE"""),175)</f>
        <v>175</v>
      </c>
      <c r="L2307" s="85">
        <f ca="1">IFERROR(__xludf.DUMMYFUNCTION("""COMPUTED_VALUE"""),152.2)</f>
        <v>152.19999999999999</v>
      </c>
      <c r="M2307" s="85"/>
      <c r="N2307" s="85">
        <f ca="1">IFERROR(__xludf.DUMMYFUNCTION("""COMPUTED_VALUE"""),175)</f>
        <v>175</v>
      </c>
      <c r="O2307" s="85"/>
      <c r="P2307" s="85">
        <f ca="1">IFERROR(__xludf.DUMMYFUNCTION("""COMPUTED_VALUE"""),173.05)</f>
        <v>173.05</v>
      </c>
      <c r="Q2307" s="85"/>
      <c r="R2307" s="85">
        <f ca="1">IFERROR(__xludf.DUMMYFUNCTION("""COMPUTED_VALUE"""),172.5)</f>
        <v>172.5</v>
      </c>
      <c r="S2307" s="85"/>
      <c r="T2307" s="85"/>
      <c r="U2307" s="82"/>
      <c r="V2307" s="82"/>
      <c r="W2307" s="83"/>
      <c r="X2307" s="83"/>
      <c r="Y2307" s="83"/>
    </row>
    <row r="2308" spans="1:25" ht="13.8">
      <c r="A2308" s="78" t="str">
        <f ca="1">IFERROR(__xludf.DUMMYFUNCTION("""COMPUTED_VALUE"""),"WG")</f>
        <v>WG</v>
      </c>
      <c r="B2308" s="79" t="str">
        <f ca="1">IFERROR(__xludf.DUMMYFUNCTION("""COMPUTED_VALUE"""),"Charlemagne Lalime")</f>
        <v>Charlemagne Lalime</v>
      </c>
      <c r="C2308" s="78">
        <f ca="1">IFERROR(__xludf.DUMMYFUNCTION("""COMPUTED_VALUE"""),8)</f>
        <v>8</v>
      </c>
      <c r="D2308" s="78" t="str">
        <f ca="1">IFERROR(__xludf.DUMMYFUNCTION("""COMPUTED_VALUE"""),"B")</f>
        <v>B</v>
      </c>
      <c r="E2308" s="80" t="str">
        <f ca="1">IFERROR(__xludf.DUMMYFUNCTION("""COMPUTED_VALUE"""),"F")</f>
        <v>F</v>
      </c>
      <c r="F2308" s="86" t="str">
        <f ca="1">IFERROR(__xludf.DUMMYFUNCTION("""COMPUTED_VALUE"""),"J")</f>
        <v>J</v>
      </c>
      <c r="G2308" s="86">
        <f ca="1">IFERROR(__xludf.DUMMYFUNCTION("""COMPUTED_VALUE"""),2)</f>
        <v>2</v>
      </c>
      <c r="H2308" s="86" t="str">
        <f ca="1">IFERROR(__xludf.DUMMYFUNCTION("""COMPUTED_VALUE"""),"WG")</f>
        <v>WG</v>
      </c>
      <c r="I2308" s="86">
        <f ca="1">IFERROR(__xludf.DUMMYFUNCTION("""COMPUTED_VALUE"""),3)</f>
        <v>3</v>
      </c>
      <c r="J2308" s="85">
        <f ca="1">IFERROR(__xludf.DUMMYFUNCTION("""COMPUTED_VALUE"""),2)</f>
        <v>2</v>
      </c>
      <c r="K2308" s="85">
        <f ca="1">IFERROR(__xludf.DUMMYFUNCTION("""COMPUTED_VALUE"""),30.15)</f>
        <v>30.15</v>
      </c>
      <c r="L2308" s="85">
        <f ca="1">IFERROR(__xludf.DUMMYFUNCTION("""COMPUTED_VALUE"""),0)</f>
        <v>0</v>
      </c>
      <c r="M2308" s="85"/>
      <c r="N2308" s="85">
        <f ca="1">IFERROR(__xludf.DUMMYFUNCTION("""COMPUTED_VALUE"""),0)</f>
        <v>0</v>
      </c>
      <c r="O2308" s="85"/>
      <c r="P2308" s="85">
        <f ca="1">IFERROR(__xludf.DUMMYFUNCTION("""COMPUTED_VALUE"""),0)</f>
        <v>0</v>
      </c>
      <c r="Q2308" s="85"/>
      <c r="R2308" s="85">
        <f ca="1">IFERROR(__xludf.DUMMYFUNCTION("""COMPUTED_VALUE"""),30.15)</f>
        <v>30.15</v>
      </c>
      <c r="S2308" s="85"/>
      <c r="T2308" s="85"/>
      <c r="U2308" s="82"/>
      <c r="V2308" s="82"/>
      <c r="W2308" s="83"/>
      <c r="X2308" s="83"/>
      <c r="Y2308" s="83"/>
    </row>
    <row r="2309" spans="1:25" ht="13.8">
      <c r="A2309" s="78" t="str">
        <f ca="1">IFERROR(__xludf.DUMMYFUNCTION("""COMPUTED_VALUE"""),"WG")</f>
        <v>WG</v>
      </c>
      <c r="B2309" s="79" t="str">
        <f ca="1">IFERROR(__xludf.DUMMYFUNCTION("""COMPUTED_VALUE"""),"Jonah Lanthier")</f>
        <v>Jonah Lanthier</v>
      </c>
      <c r="C2309" s="78">
        <f ca="1">IFERROR(__xludf.DUMMYFUNCTION("""COMPUTED_VALUE"""),10)</f>
        <v>10</v>
      </c>
      <c r="D2309" s="78" t="str">
        <f ca="1">IFERROR(__xludf.DUMMYFUNCTION("""COMPUTED_VALUE"""),"B")</f>
        <v>B</v>
      </c>
      <c r="E2309" s="80" t="str">
        <f ca="1">IFERROR(__xludf.DUMMYFUNCTION("""COMPUTED_VALUE"""),"F")</f>
        <v>F</v>
      </c>
      <c r="F2309" s="86" t="str">
        <f ca="1">IFERROR(__xludf.DUMMYFUNCTION("""COMPUTED_VALUE"""),"J")</f>
        <v>J</v>
      </c>
      <c r="G2309" s="86">
        <f ca="1">IFERROR(__xludf.DUMMYFUNCTION("""COMPUTED_VALUE"""),2)</f>
        <v>2</v>
      </c>
      <c r="H2309" s="86" t="str">
        <f ca="1">IFERROR(__xludf.DUMMYFUNCTION("""COMPUTED_VALUE"""),"WG")</f>
        <v>WG</v>
      </c>
      <c r="I2309" s="86">
        <f ca="1">IFERROR(__xludf.DUMMYFUNCTION("""COMPUTED_VALUE"""),3)</f>
        <v>3</v>
      </c>
      <c r="J2309" s="85">
        <f ca="1">IFERROR(__xludf.DUMMYFUNCTION("""COMPUTED_VALUE"""),5)</f>
        <v>5</v>
      </c>
      <c r="K2309" s="85">
        <f ca="1">IFERROR(__xludf.DUMMYFUNCTION("""COMPUTED_VALUE"""),69.05)</f>
        <v>69.05</v>
      </c>
      <c r="L2309" s="85">
        <f ca="1">IFERROR(__xludf.DUMMYFUNCTION("""COMPUTED_VALUE"""),69.05)</f>
        <v>69.05</v>
      </c>
      <c r="M2309" s="85"/>
      <c r="N2309" s="85">
        <f ca="1">IFERROR(__xludf.DUMMYFUNCTION("""COMPUTED_VALUE"""),57.4)</f>
        <v>57.4</v>
      </c>
      <c r="O2309" s="85"/>
      <c r="P2309" s="85">
        <f ca="1">IFERROR(__xludf.DUMMYFUNCTION("""COMPUTED_VALUE"""),65)</f>
        <v>65</v>
      </c>
      <c r="Q2309" s="85"/>
      <c r="R2309" s="85">
        <f ca="1">IFERROR(__xludf.DUMMYFUNCTION("""COMPUTED_VALUE"""),65.75)</f>
        <v>65.75</v>
      </c>
      <c r="S2309" s="85"/>
      <c r="T2309" s="85"/>
      <c r="U2309" s="82"/>
      <c r="V2309" s="82"/>
      <c r="W2309" s="83"/>
      <c r="X2309" s="83"/>
      <c r="Y2309" s="83"/>
    </row>
    <row r="2310" spans="1:25" ht="13.8">
      <c r="A2310" s="78" t="str">
        <f ca="1">IFERROR(__xludf.DUMMYFUNCTION("""COMPUTED_VALUE"""),"WG")</f>
        <v>WG</v>
      </c>
      <c r="B2310" s="79" t="str">
        <f ca="1">IFERROR(__xludf.DUMMYFUNCTION("""COMPUTED_VALUE"""),"Aiden Merkel")</f>
        <v>Aiden Merkel</v>
      </c>
      <c r="C2310" s="78">
        <f ca="1">IFERROR(__xludf.DUMMYFUNCTION("""COMPUTED_VALUE"""),9)</f>
        <v>9</v>
      </c>
      <c r="D2310" s="78" t="str">
        <f ca="1">IFERROR(__xludf.DUMMYFUNCTION("""COMPUTED_VALUE"""),"B")</f>
        <v>B</v>
      </c>
      <c r="E2310" s="80" t="str">
        <f ca="1">IFERROR(__xludf.DUMMYFUNCTION("""COMPUTED_VALUE"""),"F")</f>
        <v>F</v>
      </c>
      <c r="F2310" s="86" t="str">
        <f ca="1">IFERROR(__xludf.DUMMYFUNCTION("""COMPUTED_VALUE"""),"J")</f>
        <v>J</v>
      </c>
      <c r="G2310" s="86">
        <f ca="1">IFERROR(__xludf.DUMMYFUNCTION("""COMPUTED_VALUE"""),2)</f>
        <v>2</v>
      </c>
      <c r="H2310" s="86" t="str">
        <f ca="1">IFERROR(__xludf.DUMMYFUNCTION("""COMPUTED_VALUE"""),"WG")</f>
        <v>WG</v>
      </c>
      <c r="I2310" s="86">
        <f ca="1">IFERROR(__xludf.DUMMYFUNCTION("""COMPUTED_VALUE"""),3)</f>
        <v>3</v>
      </c>
      <c r="J2310" s="85">
        <f ca="1">IFERROR(__xludf.DUMMYFUNCTION("""COMPUTED_VALUE"""),0)</f>
        <v>0</v>
      </c>
      <c r="K2310" s="85">
        <f ca="1">IFERROR(__xludf.DUMMYFUNCTION("""COMPUTED_VALUE"""),0)</f>
        <v>0</v>
      </c>
      <c r="L2310" s="85">
        <f ca="1">IFERROR(__xludf.DUMMYFUNCTION("""COMPUTED_VALUE"""),0)</f>
        <v>0</v>
      </c>
      <c r="M2310" s="85"/>
      <c r="N2310" s="85">
        <f ca="1">IFERROR(__xludf.DUMMYFUNCTION("""COMPUTED_VALUE"""),0)</f>
        <v>0</v>
      </c>
      <c r="O2310" s="85"/>
      <c r="P2310" s="85">
        <f ca="1">IFERROR(__xludf.DUMMYFUNCTION("""COMPUTED_VALUE"""),0)</f>
        <v>0</v>
      </c>
      <c r="Q2310" s="85"/>
      <c r="R2310" s="85">
        <f ca="1">IFERROR(__xludf.DUMMYFUNCTION("""COMPUTED_VALUE"""),0)</f>
        <v>0</v>
      </c>
      <c r="S2310" s="85"/>
      <c r="T2310" s="85"/>
      <c r="U2310" s="82"/>
      <c r="V2310" s="82"/>
      <c r="W2310" s="83"/>
      <c r="X2310" s="83"/>
      <c r="Y2310" s="83"/>
    </row>
    <row r="2311" spans="1:25" ht="13.8">
      <c r="A2311" s="78" t="str">
        <f ca="1">IFERROR(__xludf.DUMMYFUNCTION("""COMPUTED_VALUE"""),"WG")</f>
        <v>WG</v>
      </c>
      <c r="B2311" s="79" t="str">
        <f ca="1">IFERROR(__xludf.DUMMYFUNCTION("""COMPUTED_VALUE"""),"Evan Merkel")</f>
        <v>Evan Merkel</v>
      </c>
      <c r="C2311" s="78">
        <f ca="1">IFERROR(__xludf.DUMMYFUNCTION("""COMPUTED_VALUE"""),7)</f>
        <v>7</v>
      </c>
      <c r="D2311" s="78" t="str">
        <f ca="1">IFERROR(__xludf.DUMMYFUNCTION("""COMPUTED_VALUE"""),"B")</f>
        <v>B</v>
      </c>
      <c r="E2311" s="80" t="str">
        <f ca="1">IFERROR(__xludf.DUMMYFUNCTION("""COMPUTED_VALUE"""),"F")</f>
        <v>F</v>
      </c>
      <c r="F2311" s="86" t="str">
        <f ca="1">IFERROR(__xludf.DUMMYFUNCTION("""COMPUTED_VALUE"""),"J")</f>
        <v>J</v>
      </c>
      <c r="G2311" s="86">
        <f ca="1">IFERROR(__xludf.DUMMYFUNCTION("""COMPUTED_VALUE"""),2)</f>
        <v>2</v>
      </c>
      <c r="H2311" s="86" t="str">
        <f ca="1">IFERROR(__xludf.DUMMYFUNCTION("""COMPUTED_VALUE"""),"WG")</f>
        <v>WG</v>
      </c>
      <c r="I2311" s="86">
        <f ca="1">IFERROR(__xludf.DUMMYFUNCTION("""COMPUTED_VALUE"""),3)</f>
        <v>3</v>
      </c>
      <c r="J2311" s="85">
        <f ca="1">IFERROR(__xludf.DUMMYFUNCTION("""COMPUTED_VALUE"""),1)</f>
        <v>1</v>
      </c>
      <c r="K2311" s="85">
        <f ca="1">IFERROR(__xludf.DUMMYFUNCTION("""COMPUTED_VALUE"""),29.25)</f>
        <v>29.25</v>
      </c>
      <c r="L2311" s="85">
        <f ca="1">IFERROR(__xludf.DUMMYFUNCTION("""COMPUTED_VALUE"""),0)</f>
        <v>0</v>
      </c>
      <c r="M2311" s="85"/>
      <c r="N2311" s="85">
        <f ca="1">IFERROR(__xludf.DUMMYFUNCTION("""COMPUTED_VALUE"""),0)</f>
        <v>0</v>
      </c>
      <c r="O2311" s="85"/>
      <c r="P2311" s="85">
        <f ca="1">IFERROR(__xludf.DUMMYFUNCTION("""COMPUTED_VALUE"""),0)</f>
        <v>0</v>
      </c>
      <c r="Q2311" s="85"/>
      <c r="R2311" s="85">
        <f ca="1">IFERROR(__xludf.DUMMYFUNCTION("""COMPUTED_VALUE"""),29.25)</f>
        <v>29.25</v>
      </c>
      <c r="S2311" s="85"/>
      <c r="T2311" s="85"/>
      <c r="U2311" s="82"/>
      <c r="V2311" s="82"/>
      <c r="W2311" s="83"/>
      <c r="X2311" s="83"/>
      <c r="Y2311" s="83"/>
    </row>
    <row r="2312" spans="1:25" ht="13.8">
      <c r="A2312" s="78" t="str">
        <f ca="1">IFERROR(__xludf.DUMMYFUNCTION("""COMPUTED_VALUE"""),"WG")</f>
        <v>WG</v>
      </c>
      <c r="B2312" s="79" t="str">
        <f ca="1">IFERROR(__xludf.DUMMYFUNCTION("""COMPUTED_VALUE"""),"Iggy Salaita")</f>
        <v>Iggy Salaita</v>
      </c>
      <c r="C2312" s="78">
        <f ca="1">IFERROR(__xludf.DUMMYFUNCTION("""COMPUTED_VALUE"""),9)</f>
        <v>9</v>
      </c>
      <c r="D2312" s="78" t="str">
        <f ca="1">IFERROR(__xludf.DUMMYFUNCTION("""COMPUTED_VALUE"""),"B")</f>
        <v>B</v>
      </c>
      <c r="E2312" s="80" t="str">
        <f ca="1">IFERROR(__xludf.DUMMYFUNCTION("""COMPUTED_VALUE"""),"F")</f>
        <v>F</v>
      </c>
      <c r="F2312" s="86" t="str">
        <f ca="1">IFERROR(__xludf.DUMMYFUNCTION("""COMPUTED_VALUE"""),"J")</f>
        <v>J</v>
      </c>
      <c r="G2312" s="86">
        <f ca="1">IFERROR(__xludf.DUMMYFUNCTION("""COMPUTED_VALUE"""),2)</f>
        <v>2</v>
      </c>
      <c r="H2312" s="86" t="str">
        <f ca="1">IFERROR(__xludf.DUMMYFUNCTION("""COMPUTED_VALUE"""),"WG")</f>
        <v>WG</v>
      </c>
      <c r="I2312" s="86">
        <f ca="1">IFERROR(__xludf.DUMMYFUNCTION("""COMPUTED_VALUE"""),3)</f>
        <v>3</v>
      </c>
      <c r="J2312" s="85">
        <f ca="1">IFERROR(__xludf.DUMMYFUNCTION("""COMPUTED_VALUE"""),0)</f>
        <v>0</v>
      </c>
      <c r="K2312" s="85">
        <f ca="1">IFERROR(__xludf.DUMMYFUNCTION("""COMPUTED_VALUE"""),0)</f>
        <v>0</v>
      </c>
      <c r="L2312" s="85">
        <f ca="1">IFERROR(__xludf.DUMMYFUNCTION("""COMPUTED_VALUE"""),0)</f>
        <v>0</v>
      </c>
      <c r="M2312" s="85"/>
      <c r="N2312" s="85">
        <f ca="1">IFERROR(__xludf.DUMMYFUNCTION("""COMPUTED_VALUE"""),0)</f>
        <v>0</v>
      </c>
      <c r="O2312" s="85"/>
      <c r="P2312" s="85">
        <f ca="1">IFERROR(__xludf.DUMMYFUNCTION("""COMPUTED_VALUE"""),0)</f>
        <v>0</v>
      </c>
      <c r="Q2312" s="85"/>
      <c r="R2312" s="85">
        <f ca="1">IFERROR(__xludf.DUMMYFUNCTION("""COMPUTED_VALUE"""),0)</f>
        <v>0</v>
      </c>
      <c r="S2312" s="85"/>
      <c r="T2312" s="85"/>
      <c r="U2312" s="82"/>
      <c r="V2312" s="82"/>
      <c r="W2312" s="83"/>
      <c r="X2312" s="83"/>
      <c r="Y2312" s="83"/>
    </row>
    <row r="2313" spans="1:25" ht="13.8">
      <c r="A2313" s="78" t="str">
        <f ca="1">IFERROR(__xludf.DUMMYFUNCTION("""COMPUTED_VALUE"""),"WG")</f>
        <v>WG</v>
      </c>
      <c r="B2313" s="79" t="str">
        <f ca="1">IFERROR(__xludf.DUMMYFUNCTION("""COMPUTED_VALUE"""),"Liam Seubert")</f>
        <v>Liam Seubert</v>
      </c>
      <c r="C2313" s="78">
        <f ca="1">IFERROR(__xludf.DUMMYFUNCTION("""COMPUTED_VALUE"""),8)</f>
        <v>8</v>
      </c>
      <c r="D2313" s="78" t="str">
        <f ca="1">IFERROR(__xludf.DUMMYFUNCTION("""COMPUTED_VALUE"""),"B")</f>
        <v>B</v>
      </c>
      <c r="E2313" s="80" t="str">
        <f ca="1">IFERROR(__xludf.DUMMYFUNCTION("""COMPUTED_VALUE"""),"F")</f>
        <v>F</v>
      </c>
      <c r="F2313" s="86" t="str">
        <f ca="1">IFERROR(__xludf.DUMMYFUNCTION("""COMPUTED_VALUE"""),"J")</f>
        <v>J</v>
      </c>
      <c r="G2313" s="86">
        <f ca="1">IFERROR(__xludf.DUMMYFUNCTION("""COMPUTED_VALUE"""),2)</f>
        <v>2</v>
      </c>
      <c r="H2313" s="86" t="str">
        <f ca="1">IFERROR(__xludf.DUMMYFUNCTION("""COMPUTED_VALUE"""),"WG")</f>
        <v>WG</v>
      </c>
      <c r="I2313" s="86">
        <f ca="1">IFERROR(__xludf.DUMMYFUNCTION("""COMPUTED_VALUE"""),3)</f>
        <v>3</v>
      </c>
      <c r="J2313" s="85">
        <f ca="1">IFERROR(__xludf.DUMMYFUNCTION("""COMPUTED_VALUE"""),3)</f>
        <v>3</v>
      </c>
      <c r="K2313" s="85">
        <f ca="1">IFERROR(__xludf.DUMMYFUNCTION("""COMPUTED_VALUE"""),12)</f>
        <v>12</v>
      </c>
      <c r="L2313" s="85">
        <f ca="1">IFERROR(__xludf.DUMMYFUNCTION("""COMPUTED_VALUE"""),0)</f>
        <v>0</v>
      </c>
      <c r="M2313" s="85"/>
      <c r="N2313" s="85">
        <f ca="1">IFERROR(__xludf.DUMMYFUNCTION("""COMPUTED_VALUE"""),12)</f>
        <v>12</v>
      </c>
      <c r="O2313" s="85"/>
      <c r="P2313" s="85">
        <f ca="1">IFERROR(__xludf.DUMMYFUNCTION("""COMPUTED_VALUE"""),11.75)</f>
        <v>11.75</v>
      </c>
      <c r="Q2313" s="85"/>
      <c r="R2313" s="85">
        <f ca="1">IFERROR(__xludf.DUMMYFUNCTION("""COMPUTED_VALUE"""),10)</f>
        <v>10</v>
      </c>
      <c r="S2313" s="85"/>
      <c r="T2313" s="85"/>
      <c r="U2313" s="82"/>
      <c r="V2313" s="82"/>
      <c r="W2313" s="83"/>
      <c r="X2313" s="83"/>
      <c r="Y2313" s="83"/>
    </row>
    <row r="2314" spans="1:25" ht="13.8">
      <c r="A2314" s="78" t="str">
        <f ca="1">IFERROR(__xludf.DUMMYFUNCTION("""COMPUTED_VALUE"""),"WG")</f>
        <v>WG</v>
      </c>
      <c r="B2314" s="79" t="str">
        <f ca="1">IFERROR(__xludf.DUMMYFUNCTION("""COMPUTED_VALUE"""),"Owen Webb")</f>
        <v>Owen Webb</v>
      </c>
      <c r="C2314" s="78">
        <f ca="1">IFERROR(__xludf.DUMMYFUNCTION("""COMPUTED_VALUE"""),9)</f>
        <v>9</v>
      </c>
      <c r="D2314" s="78" t="str">
        <f ca="1">IFERROR(__xludf.DUMMYFUNCTION("""COMPUTED_VALUE"""),"B")</f>
        <v>B</v>
      </c>
      <c r="E2314" s="80" t="str">
        <f ca="1">IFERROR(__xludf.DUMMYFUNCTION("""COMPUTED_VALUE"""),"F")</f>
        <v>F</v>
      </c>
      <c r="F2314" s="86" t="str">
        <f ca="1">IFERROR(__xludf.DUMMYFUNCTION("""COMPUTED_VALUE"""),"J")</f>
        <v>J</v>
      </c>
      <c r="G2314" s="86">
        <f ca="1">IFERROR(__xludf.DUMMYFUNCTION("""COMPUTED_VALUE"""),2)</f>
        <v>2</v>
      </c>
      <c r="H2314" s="86" t="str">
        <f ca="1">IFERROR(__xludf.DUMMYFUNCTION("""COMPUTED_VALUE"""),"WG")</f>
        <v>WG</v>
      </c>
      <c r="I2314" s="86">
        <f ca="1">IFERROR(__xludf.DUMMYFUNCTION("""COMPUTED_VALUE"""),3)</f>
        <v>3</v>
      </c>
      <c r="J2314" s="85">
        <f ca="1">IFERROR(__xludf.DUMMYFUNCTION("""COMPUTED_VALUE"""),5)</f>
        <v>5</v>
      </c>
      <c r="K2314" s="85">
        <f ca="1">IFERROR(__xludf.DUMMYFUNCTION("""COMPUTED_VALUE"""),48.6)</f>
        <v>48.6</v>
      </c>
      <c r="L2314" s="85">
        <f ca="1">IFERROR(__xludf.DUMMYFUNCTION("""COMPUTED_VALUE"""),42.3)</f>
        <v>42.3</v>
      </c>
      <c r="M2314" s="85"/>
      <c r="N2314" s="85">
        <f ca="1">IFERROR(__xludf.DUMMYFUNCTION("""COMPUTED_VALUE"""),43.9)</f>
        <v>43.9</v>
      </c>
      <c r="O2314" s="85"/>
      <c r="P2314" s="85">
        <f ca="1">IFERROR(__xludf.DUMMYFUNCTION("""COMPUTED_VALUE"""),48.6)</f>
        <v>48.6</v>
      </c>
      <c r="Q2314" s="85"/>
      <c r="R2314" s="85">
        <f ca="1">IFERROR(__xludf.DUMMYFUNCTION("""COMPUTED_VALUE"""),35.1)</f>
        <v>35.1</v>
      </c>
      <c r="S2314" s="85"/>
      <c r="T2314" s="85"/>
      <c r="U2314" s="82"/>
      <c r="V2314" s="82"/>
      <c r="W2314" s="83"/>
      <c r="X2314" s="83"/>
      <c r="Y2314" s="83"/>
    </row>
    <row r="2315" spans="1:25" ht="13.8">
      <c r="A2315" s="78" t="str">
        <f ca="1">IFERROR(__xludf.DUMMYFUNCTION("""COMPUTED_VALUE"""),"WG")</f>
        <v>WG</v>
      </c>
      <c r="B2315" s="79" t="str">
        <f ca="1">IFERROR(__xludf.DUMMYFUNCTION("""COMPUTED_VALUE"""),"Jessica Buechler")</f>
        <v>Jessica Buechler</v>
      </c>
      <c r="C2315" s="78">
        <f ca="1">IFERROR(__xludf.DUMMYFUNCTION("""COMPUTED_VALUE"""),12)</f>
        <v>12</v>
      </c>
      <c r="D2315" s="78" t="str">
        <f ca="1">IFERROR(__xludf.DUMMYFUNCTION("""COMPUTED_VALUE"""),"G")</f>
        <v>G</v>
      </c>
      <c r="E2315" s="80" t="str">
        <f ca="1">IFERROR(__xludf.DUMMYFUNCTION("""COMPUTED_VALUE"""),"J")</f>
        <v>J</v>
      </c>
      <c r="F2315" s="86" t="str">
        <f ca="1">IFERROR(__xludf.DUMMYFUNCTION("""COMPUTED_VALUE"""),"I")</f>
        <v>I</v>
      </c>
      <c r="G2315" s="86">
        <f ca="1">IFERROR(__xludf.DUMMYFUNCTION("""COMPUTED_VALUE"""),2)</f>
        <v>2</v>
      </c>
      <c r="H2315" s="86" t="str">
        <f ca="1">IFERROR(__xludf.DUMMYFUNCTION("""COMPUTED_VALUE"""),"WG")</f>
        <v>WG</v>
      </c>
      <c r="I2315" s="86">
        <f ca="1">IFERROR(__xludf.DUMMYFUNCTION("""COMPUTED_VALUE"""),4)</f>
        <v>4</v>
      </c>
      <c r="J2315" s="85">
        <f ca="1">IFERROR(__xludf.DUMMYFUNCTION("""COMPUTED_VALUE"""),5)</f>
        <v>5</v>
      </c>
      <c r="K2315" s="85">
        <f ca="1">IFERROR(__xludf.DUMMYFUNCTION("""COMPUTED_VALUE"""),103.15)</f>
        <v>103.15</v>
      </c>
      <c r="L2315" s="85">
        <f ca="1">IFERROR(__xludf.DUMMYFUNCTION("""COMPUTED_VALUE"""),103.15)</f>
        <v>103.15</v>
      </c>
      <c r="M2315" s="85"/>
      <c r="N2315" s="85">
        <f ca="1">IFERROR(__xludf.DUMMYFUNCTION("""COMPUTED_VALUE"""),80.5)</f>
        <v>80.5</v>
      </c>
      <c r="O2315" s="85"/>
      <c r="P2315" s="85">
        <f ca="1">IFERROR(__xludf.DUMMYFUNCTION("""COMPUTED_VALUE"""),82.6)</f>
        <v>82.6</v>
      </c>
      <c r="Q2315" s="85"/>
      <c r="R2315" s="85">
        <f ca="1">IFERROR(__xludf.DUMMYFUNCTION("""COMPUTED_VALUE"""),93.5)</f>
        <v>93.5</v>
      </c>
      <c r="S2315" s="85"/>
      <c r="T2315" s="85"/>
      <c r="U2315" s="82"/>
      <c r="V2315" s="82"/>
      <c r="W2315" s="83"/>
      <c r="X2315" s="83"/>
      <c r="Y2315" s="83"/>
    </row>
    <row r="2316" spans="1:25" ht="13.8">
      <c r="A2316" s="78" t="str">
        <f ca="1">IFERROR(__xludf.DUMMYFUNCTION("""COMPUTED_VALUE"""),"WG")</f>
        <v>WG</v>
      </c>
      <c r="B2316" s="79" t="str">
        <f ca="1">IFERROR(__xludf.DUMMYFUNCTION("""COMPUTED_VALUE"""),"Sophia Hwang")</f>
        <v>Sophia Hwang</v>
      </c>
      <c r="C2316" s="78">
        <f ca="1">IFERROR(__xludf.DUMMYFUNCTION("""COMPUTED_VALUE"""),12)</f>
        <v>12</v>
      </c>
      <c r="D2316" s="78" t="str">
        <f ca="1">IFERROR(__xludf.DUMMYFUNCTION("""COMPUTED_VALUE"""),"G")</f>
        <v>G</v>
      </c>
      <c r="E2316" s="80" t="str">
        <f ca="1">IFERROR(__xludf.DUMMYFUNCTION("""COMPUTED_VALUE"""),"J")</f>
        <v>J</v>
      </c>
      <c r="F2316" s="86" t="str">
        <f ca="1">IFERROR(__xludf.DUMMYFUNCTION("""COMPUTED_VALUE"""),"I")</f>
        <v>I</v>
      </c>
      <c r="G2316" s="86">
        <f ca="1">IFERROR(__xludf.DUMMYFUNCTION("""COMPUTED_VALUE"""),2)</f>
        <v>2</v>
      </c>
      <c r="H2316" s="86" t="str">
        <f ca="1">IFERROR(__xludf.DUMMYFUNCTION("""COMPUTED_VALUE"""),"WG")</f>
        <v>WG</v>
      </c>
      <c r="I2316" s="86">
        <f ca="1">IFERROR(__xludf.DUMMYFUNCTION("""COMPUTED_VALUE"""),4)</f>
        <v>4</v>
      </c>
      <c r="J2316" s="85">
        <f ca="1">IFERROR(__xludf.DUMMYFUNCTION("""COMPUTED_VALUE"""),5)</f>
        <v>5</v>
      </c>
      <c r="K2316" s="85">
        <f ca="1">IFERROR(__xludf.DUMMYFUNCTION("""COMPUTED_VALUE"""),69.05)</f>
        <v>69.05</v>
      </c>
      <c r="L2316" s="85">
        <f ca="1">IFERROR(__xludf.DUMMYFUNCTION("""COMPUTED_VALUE"""),66.7)</f>
        <v>66.7</v>
      </c>
      <c r="M2316" s="85"/>
      <c r="N2316" s="85">
        <f ca="1">IFERROR(__xludf.DUMMYFUNCTION("""COMPUTED_VALUE"""),69.05)</f>
        <v>69.05</v>
      </c>
      <c r="O2316" s="85"/>
      <c r="P2316" s="85">
        <f ca="1">IFERROR(__xludf.DUMMYFUNCTION("""COMPUTED_VALUE"""),60)</f>
        <v>60</v>
      </c>
      <c r="Q2316" s="85"/>
      <c r="R2316" s="85">
        <f ca="1">IFERROR(__xludf.DUMMYFUNCTION("""COMPUTED_VALUE"""),64.3)</f>
        <v>64.3</v>
      </c>
      <c r="S2316" s="85"/>
      <c r="T2316" s="85"/>
      <c r="U2316" s="82"/>
      <c r="V2316" s="82"/>
      <c r="W2316" s="83"/>
      <c r="X2316" s="83"/>
      <c r="Y2316" s="83"/>
    </row>
    <row r="2317" spans="1:25" ht="13.8">
      <c r="A2317" s="78" t="str">
        <f ca="1">IFERROR(__xludf.DUMMYFUNCTION("""COMPUTED_VALUE"""),"WG")</f>
        <v>WG</v>
      </c>
      <c r="B2317" s="79" t="str">
        <f ca="1">IFERROR(__xludf.DUMMYFUNCTION("""COMPUTED_VALUE"""),"Riley Lalime")</f>
        <v>Riley Lalime</v>
      </c>
      <c r="C2317" s="78">
        <f ca="1">IFERROR(__xludf.DUMMYFUNCTION("""COMPUTED_VALUE"""),12)</f>
        <v>12</v>
      </c>
      <c r="D2317" s="78" t="str">
        <f ca="1">IFERROR(__xludf.DUMMYFUNCTION("""COMPUTED_VALUE"""),"G")</f>
        <v>G</v>
      </c>
      <c r="E2317" s="80" t="str">
        <f ca="1">IFERROR(__xludf.DUMMYFUNCTION("""COMPUTED_VALUE"""),"J")</f>
        <v>J</v>
      </c>
      <c r="F2317" s="86" t="str">
        <f ca="1">IFERROR(__xludf.DUMMYFUNCTION("""COMPUTED_VALUE"""),"I")</f>
        <v>I</v>
      </c>
      <c r="G2317" s="86">
        <f ca="1">IFERROR(__xludf.DUMMYFUNCTION("""COMPUTED_VALUE"""),2)</f>
        <v>2</v>
      </c>
      <c r="H2317" s="86" t="str">
        <f ca="1">IFERROR(__xludf.DUMMYFUNCTION("""COMPUTED_VALUE"""),"WG")</f>
        <v>WG</v>
      </c>
      <c r="I2317" s="86">
        <f ca="1">IFERROR(__xludf.DUMMYFUNCTION("""COMPUTED_VALUE"""),4)</f>
        <v>4</v>
      </c>
      <c r="J2317" s="85">
        <f ca="1">IFERROR(__xludf.DUMMYFUNCTION("""COMPUTED_VALUE"""),2)</f>
        <v>2</v>
      </c>
      <c r="K2317" s="85">
        <f ca="1">IFERROR(__xludf.DUMMYFUNCTION("""COMPUTED_VALUE"""),70.45)</f>
        <v>70.45</v>
      </c>
      <c r="L2317" s="85">
        <f ca="1">IFERROR(__xludf.DUMMYFUNCTION("""COMPUTED_VALUE"""),0)</f>
        <v>0</v>
      </c>
      <c r="M2317" s="85"/>
      <c r="N2317" s="85">
        <f ca="1">IFERROR(__xludf.DUMMYFUNCTION("""COMPUTED_VALUE"""),0)</f>
        <v>0</v>
      </c>
      <c r="O2317" s="85"/>
      <c r="P2317" s="85">
        <f ca="1">IFERROR(__xludf.DUMMYFUNCTION("""COMPUTED_VALUE"""),0)</f>
        <v>0</v>
      </c>
      <c r="Q2317" s="85"/>
      <c r="R2317" s="85">
        <f ca="1">IFERROR(__xludf.DUMMYFUNCTION("""COMPUTED_VALUE"""),70.45)</f>
        <v>70.45</v>
      </c>
      <c r="S2317" s="85"/>
      <c r="T2317" s="85"/>
      <c r="U2317" s="82"/>
      <c r="V2317" s="82"/>
      <c r="W2317" s="83"/>
      <c r="X2317" s="83"/>
      <c r="Y2317" s="83"/>
    </row>
    <row r="2318" spans="1:25" ht="13.8">
      <c r="A2318" s="78" t="str">
        <f ca="1">IFERROR(__xludf.DUMMYFUNCTION("""COMPUTED_VALUE"""),"WG")</f>
        <v>WG</v>
      </c>
      <c r="B2318" s="79" t="str">
        <f ca="1">IFERROR(__xludf.DUMMYFUNCTION("""COMPUTED_VALUE"""),"Mya Merkel")</f>
        <v>Mya Merkel</v>
      </c>
      <c r="C2318" s="78">
        <f ca="1">IFERROR(__xludf.DUMMYFUNCTION("""COMPUTED_VALUE"""),11)</f>
        <v>11</v>
      </c>
      <c r="D2318" s="78" t="str">
        <f ca="1">IFERROR(__xludf.DUMMYFUNCTION("""COMPUTED_VALUE"""),"G")</f>
        <v>G</v>
      </c>
      <c r="E2318" s="80" t="str">
        <f ca="1">IFERROR(__xludf.DUMMYFUNCTION("""COMPUTED_VALUE"""),"J")</f>
        <v>J</v>
      </c>
      <c r="F2318" s="86" t="str">
        <f ca="1">IFERROR(__xludf.DUMMYFUNCTION("""COMPUTED_VALUE"""),"I")</f>
        <v>I</v>
      </c>
      <c r="G2318" s="86">
        <f ca="1">IFERROR(__xludf.DUMMYFUNCTION("""COMPUTED_VALUE"""),2)</f>
        <v>2</v>
      </c>
      <c r="H2318" s="86" t="str">
        <f ca="1">IFERROR(__xludf.DUMMYFUNCTION("""COMPUTED_VALUE"""),"WG")</f>
        <v>WG</v>
      </c>
      <c r="I2318" s="86">
        <f ca="1">IFERROR(__xludf.DUMMYFUNCTION("""COMPUTED_VALUE"""),4)</f>
        <v>4</v>
      </c>
      <c r="J2318" s="85">
        <f ca="1">IFERROR(__xludf.DUMMYFUNCTION("""COMPUTED_VALUE"""),5)</f>
        <v>5</v>
      </c>
      <c r="K2318" s="85">
        <f ca="1">IFERROR(__xludf.DUMMYFUNCTION("""COMPUTED_VALUE"""),71.55)</f>
        <v>71.55</v>
      </c>
      <c r="L2318" s="85">
        <f ca="1">IFERROR(__xludf.DUMMYFUNCTION("""COMPUTED_VALUE"""),54.45)</f>
        <v>54.45</v>
      </c>
      <c r="M2318" s="85"/>
      <c r="N2318" s="85">
        <f ca="1">IFERROR(__xludf.DUMMYFUNCTION("""COMPUTED_VALUE"""),46.9)</f>
        <v>46.9</v>
      </c>
      <c r="O2318" s="85"/>
      <c r="P2318" s="85">
        <f ca="1">IFERROR(__xludf.DUMMYFUNCTION("""COMPUTED_VALUE"""),65.95)</f>
        <v>65.95</v>
      </c>
      <c r="Q2318" s="85"/>
      <c r="R2318" s="85">
        <f ca="1">IFERROR(__xludf.DUMMYFUNCTION("""COMPUTED_VALUE"""),71.55)</f>
        <v>71.55</v>
      </c>
      <c r="S2318" s="85"/>
      <c r="T2318" s="85"/>
      <c r="U2318" s="82"/>
      <c r="V2318" s="82"/>
      <c r="W2318" s="83"/>
      <c r="X2318" s="83"/>
      <c r="Y2318" s="83"/>
    </row>
    <row r="2319" spans="1:25" ht="13.8">
      <c r="A2319" s="78" t="str">
        <f ca="1">IFERROR(__xludf.DUMMYFUNCTION("""COMPUTED_VALUE"""),"WG")</f>
        <v>WG</v>
      </c>
      <c r="B2319" s="79" t="str">
        <f ca="1">IFERROR(__xludf.DUMMYFUNCTION("""COMPUTED_VALUE"""),"Isabella Uribarri-Tibabuzo")</f>
        <v>Isabella Uribarri-Tibabuzo</v>
      </c>
      <c r="C2319" s="78">
        <f ca="1">IFERROR(__xludf.DUMMYFUNCTION("""COMPUTED_VALUE"""),11)</f>
        <v>11</v>
      </c>
      <c r="D2319" s="78" t="str">
        <f ca="1">IFERROR(__xludf.DUMMYFUNCTION("""COMPUTED_VALUE"""),"G")</f>
        <v>G</v>
      </c>
      <c r="E2319" s="80" t="str">
        <f ca="1">IFERROR(__xludf.DUMMYFUNCTION("""COMPUTED_VALUE"""),"J")</f>
        <v>J</v>
      </c>
      <c r="F2319" s="86" t="str">
        <f ca="1">IFERROR(__xludf.DUMMYFUNCTION("""COMPUTED_VALUE"""),"I")</f>
        <v>I</v>
      </c>
      <c r="G2319" s="86">
        <f ca="1">IFERROR(__xludf.DUMMYFUNCTION("""COMPUTED_VALUE"""),2)</f>
        <v>2</v>
      </c>
      <c r="H2319" s="86" t="str">
        <f ca="1">IFERROR(__xludf.DUMMYFUNCTION("""COMPUTED_VALUE"""),"WG")</f>
        <v>WG</v>
      </c>
      <c r="I2319" s="86">
        <f ca="1">IFERROR(__xludf.DUMMYFUNCTION("""COMPUTED_VALUE"""),4)</f>
        <v>4</v>
      </c>
      <c r="J2319" s="85">
        <f ca="1">IFERROR(__xludf.DUMMYFUNCTION("""COMPUTED_VALUE"""),5)</f>
        <v>5</v>
      </c>
      <c r="K2319" s="85">
        <f ca="1">IFERROR(__xludf.DUMMYFUNCTION("""COMPUTED_VALUE"""),70.3)</f>
        <v>70.3</v>
      </c>
      <c r="L2319" s="85">
        <f ca="1">IFERROR(__xludf.DUMMYFUNCTION("""COMPUTED_VALUE"""),61.25)</f>
        <v>61.25</v>
      </c>
      <c r="M2319" s="85"/>
      <c r="N2319" s="85">
        <f ca="1">IFERROR(__xludf.DUMMYFUNCTION("""COMPUTED_VALUE"""),70.3)</f>
        <v>70.3</v>
      </c>
      <c r="O2319" s="85"/>
      <c r="P2319" s="85">
        <f ca="1">IFERROR(__xludf.DUMMYFUNCTION("""COMPUTED_VALUE"""),61.35)</f>
        <v>61.35</v>
      </c>
      <c r="Q2319" s="85"/>
      <c r="R2319" s="85">
        <f ca="1">IFERROR(__xludf.DUMMYFUNCTION("""COMPUTED_VALUE"""),66.95)</f>
        <v>66.95</v>
      </c>
      <c r="S2319" s="85"/>
      <c r="T2319" s="85"/>
      <c r="U2319" s="82"/>
      <c r="V2319" s="82"/>
      <c r="W2319" s="83"/>
      <c r="X2319" s="83"/>
      <c r="Y2319" s="83"/>
    </row>
    <row r="2320" spans="1:25" ht="13.8">
      <c r="A2320" s="78" t="str">
        <f ca="1">IFERROR(__xludf.DUMMYFUNCTION("""COMPUTED_VALUE"""),"WG")</f>
        <v>WG</v>
      </c>
      <c r="B2320" s="79" t="str">
        <f ca="1">IFERROR(__xludf.DUMMYFUNCTION("""COMPUTED_VALUE"""),"Rayan Basha")</f>
        <v>Rayan Basha</v>
      </c>
      <c r="C2320" s="78">
        <f ca="1">IFERROR(__xludf.DUMMYFUNCTION("""COMPUTED_VALUE"""),12)</f>
        <v>12</v>
      </c>
      <c r="D2320" s="78" t="str">
        <f ca="1">IFERROR(__xludf.DUMMYFUNCTION("""COMPUTED_VALUE"""),"B")</f>
        <v>B</v>
      </c>
      <c r="E2320" s="80" t="str">
        <f ca="1">IFERROR(__xludf.DUMMYFUNCTION("""COMPUTED_VALUE"""),"J")</f>
        <v>J</v>
      </c>
      <c r="F2320" s="86" t="str">
        <f ca="1">IFERROR(__xludf.DUMMYFUNCTION("""COMPUTED_VALUE"""),"I")</f>
        <v>I</v>
      </c>
      <c r="G2320" s="86">
        <f ca="1">IFERROR(__xludf.DUMMYFUNCTION("""COMPUTED_VALUE"""),2)</f>
        <v>2</v>
      </c>
      <c r="H2320" s="86" t="str">
        <f ca="1">IFERROR(__xludf.DUMMYFUNCTION("""COMPUTED_VALUE"""),"WG")</f>
        <v>WG</v>
      </c>
      <c r="I2320" s="86">
        <f ca="1">IFERROR(__xludf.DUMMYFUNCTION("""COMPUTED_VALUE"""),5)</f>
        <v>5</v>
      </c>
      <c r="J2320" s="85">
        <f ca="1">IFERROR(__xludf.DUMMYFUNCTION("""COMPUTED_VALUE"""),0)</f>
        <v>0</v>
      </c>
      <c r="K2320" s="85">
        <f ca="1">IFERROR(__xludf.DUMMYFUNCTION("""COMPUTED_VALUE"""),0)</f>
        <v>0</v>
      </c>
      <c r="L2320" s="85">
        <f ca="1">IFERROR(__xludf.DUMMYFUNCTION("""COMPUTED_VALUE"""),0)</f>
        <v>0</v>
      </c>
      <c r="M2320" s="85"/>
      <c r="N2320" s="85">
        <f ca="1">IFERROR(__xludf.DUMMYFUNCTION("""COMPUTED_VALUE"""),0)</f>
        <v>0</v>
      </c>
      <c r="O2320" s="85"/>
      <c r="P2320" s="85">
        <f ca="1">IFERROR(__xludf.DUMMYFUNCTION("""COMPUTED_VALUE"""),0)</f>
        <v>0</v>
      </c>
      <c r="Q2320" s="85"/>
      <c r="R2320" s="85">
        <f ca="1">IFERROR(__xludf.DUMMYFUNCTION("""COMPUTED_VALUE"""),0)</f>
        <v>0</v>
      </c>
      <c r="S2320" s="85"/>
      <c r="T2320" s="85"/>
      <c r="U2320" s="82"/>
      <c r="V2320" s="82"/>
      <c r="W2320" s="83"/>
      <c r="X2320" s="83"/>
      <c r="Y2320" s="83"/>
    </row>
    <row r="2321" spans="1:25" ht="13.8">
      <c r="A2321" s="78" t="str">
        <f ca="1">IFERROR(__xludf.DUMMYFUNCTION("""COMPUTED_VALUE"""),"WG")</f>
        <v>WG</v>
      </c>
      <c r="B2321" s="79" t="str">
        <f ca="1">IFERROR(__xludf.DUMMYFUNCTION("""COMPUTED_VALUE"""),"Jake Henderson")</f>
        <v>Jake Henderson</v>
      </c>
      <c r="C2321" s="78">
        <f ca="1">IFERROR(__xludf.DUMMYFUNCTION("""COMPUTED_VALUE"""),11)</f>
        <v>11</v>
      </c>
      <c r="D2321" s="78" t="str">
        <f ca="1">IFERROR(__xludf.DUMMYFUNCTION("""COMPUTED_VALUE"""),"B")</f>
        <v>B</v>
      </c>
      <c r="E2321" s="80" t="str">
        <f ca="1">IFERROR(__xludf.DUMMYFUNCTION("""COMPUTED_VALUE"""),"J")</f>
        <v>J</v>
      </c>
      <c r="F2321" s="86" t="str">
        <f ca="1">IFERROR(__xludf.DUMMYFUNCTION("""COMPUTED_VALUE"""),"I")</f>
        <v>I</v>
      </c>
      <c r="G2321" s="86">
        <f ca="1">IFERROR(__xludf.DUMMYFUNCTION("""COMPUTED_VALUE"""),2)</f>
        <v>2</v>
      </c>
      <c r="H2321" s="86" t="str">
        <f ca="1">IFERROR(__xludf.DUMMYFUNCTION("""COMPUTED_VALUE"""),"WG")</f>
        <v>WG</v>
      </c>
      <c r="I2321" s="86">
        <f ca="1">IFERROR(__xludf.DUMMYFUNCTION("""COMPUTED_VALUE"""),5)</f>
        <v>5</v>
      </c>
      <c r="J2321" s="85">
        <f ca="1">IFERROR(__xludf.DUMMYFUNCTION("""COMPUTED_VALUE"""),2)</f>
        <v>2</v>
      </c>
      <c r="K2321" s="85">
        <f ca="1">IFERROR(__xludf.DUMMYFUNCTION("""COMPUTED_VALUE"""),59.95)</f>
        <v>59.95</v>
      </c>
      <c r="L2321" s="85">
        <f ca="1">IFERROR(__xludf.DUMMYFUNCTION("""COMPUTED_VALUE"""),0)</f>
        <v>0</v>
      </c>
      <c r="M2321" s="85"/>
      <c r="N2321" s="85">
        <f ca="1">IFERROR(__xludf.DUMMYFUNCTION("""COMPUTED_VALUE"""),0)</f>
        <v>0</v>
      </c>
      <c r="O2321" s="85"/>
      <c r="P2321" s="85">
        <f ca="1">IFERROR(__xludf.DUMMYFUNCTION("""COMPUTED_VALUE"""),0)</f>
        <v>0</v>
      </c>
      <c r="Q2321" s="85"/>
      <c r="R2321" s="85">
        <f ca="1">IFERROR(__xludf.DUMMYFUNCTION("""COMPUTED_VALUE"""),59.95)</f>
        <v>59.95</v>
      </c>
      <c r="S2321" s="85"/>
      <c r="T2321" s="85"/>
      <c r="U2321" s="82"/>
      <c r="V2321" s="82"/>
      <c r="W2321" s="83"/>
      <c r="X2321" s="83"/>
      <c r="Y2321" s="83"/>
    </row>
    <row r="2322" spans="1:25" ht="13.8">
      <c r="A2322" s="78" t="str">
        <f ca="1">IFERROR(__xludf.DUMMYFUNCTION("""COMPUTED_VALUE"""),"WG")</f>
        <v>WG</v>
      </c>
      <c r="B2322" s="79" t="str">
        <f ca="1">IFERROR(__xludf.DUMMYFUNCTION("""COMPUTED_VALUE"""),"Asher Lanthier")</f>
        <v>Asher Lanthier</v>
      </c>
      <c r="C2322" s="78">
        <f ca="1">IFERROR(__xludf.DUMMYFUNCTION("""COMPUTED_VALUE"""),11)</f>
        <v>11</v>
      </c>
      <c r="D2322" s="78" t="str">
        <f ca="1">IFERROR(__xludf.DUMMYFUNCTION("""COMPUTED_VALUE"""),"B")</f>
        <v>B</v>
      </c>
      <c r="E2322" s="80" t="str">
        <f ca="1">IFERROR(__xludf.DUMMYFUNCTION("""COMPUTED_VALUE"""),"J")</f>
        <v>J</v>
      </c>
      <c r="F2322" s="86" t="str">
        <f ca="1">IFERROR(__xludf.DUMMYFUNCTION("""COMPUTED_VALUE"""),"I")</f>
        <v>I</v>
      </c>
      <c r="G2322" s="86">
        <f ca="1">IFERROR(__xludf.DUMMYFUNCTION("""COMPUTED_VALUE"""),2)</f>
        <v>2</v>
      </c>
      <c r="H2322" s="86" t="str">
        <f ca="1">IFERROR(__xludf.DUMMYFUNCTION("""COMPUTED_VALUE"""),"WG")</f>
        <v>WG</v>
      </c>
      <c r="I2322" s="86">
        <f ca="1">IFERROR(__xludf.DUMMYFUNCTION("""COMPUTED_VALUE"""),5)</f>
        <v>5</v>
      </c>
      <c r="J2322" s="85">
        <f ca="1">IFERROR(__xludf.DUMMYFUNCTION("""COMPUTED_VALUE"""),5)</f>
        <v>5</v>
      </c>
      <c r="K2322" s="85">
        <f ca="1">IFERROR(__xludf.DUMMYFUNCTION("""COMPUTED_VALUE"""),103.8)</f>
        <v>103.8</v>
      </c>
      <c r="L2322" s="85">
        <f ca="1">IFERROR(__xludf.DUMMYFUNCTION("""COMPUTED_VALUE"""),103.8)</f>
        <v>103.8</v>
      </c>
      <c r="M2322" s="85"/>
      <c r="N2322" s="85">
        <f ca="1">IFERROR(__xludf.DUMMYFUNCTION("""COMPUTED_VALUE"""),93.7)</f>
        <v>93.7</v>
      </c>
      <c r="O2322" s="85"/>
      <c r="P2322" s="85">
        <f ca="1">IFERROR(__xludf.DUMMYFUNCTION("""COMPUTED_VALUE"""),99.7)</f>
        <v>99.7</v>
      </c>
      <c r="Q2322" s="85"/>
      <c r="R2322" s="85">
        <f ca="1">IFERROR(__xludf.DUMMYFUNCTION("""COMPUTED_VALUE"""),85.85)</f>
        <v>85.85</v>
      </c>
      <c r="S2322" s="85"/>
      <c r="T2322" s="85"/>
      <c r="U2322" s="82"/>
      <c r="V2322" s="82"/>
      <c r="W2322" s="83"/>
      <c r="X2322" s="83"/>
      <c r="Y2322" s="83"/>
    </row>
    <row r="2323" spans="1:25" ht="13.8">
      <c r="A2323" s="78" t="str">
        <f ca="1">IFERROR(__xludf.DUMMYFUNCTION("""COMPUTED_VALUE"""),"WG")</f>
        <v>WG</v>
      </c>
      <c r="B2323" s="79" t="str">
        <f ca="1">IFERROR(__xludf.DUMMYFUNCTION("""COMPUTED_VALUE"""),"Ramsay Latham")</f>
        <v>Ramsay Latham</v>
      </c>
      <c r="C2323" s="78">
        <f ca="1">IFERROR(__xludf.DUMMYFUNCTION("""COMPUTED_VALUE"""),12)</f>
        <v>12</v>
      </c>
      <c r="D2323" s="78" t="str">
        <f ca="1">IFERROR(__xludf.DUMMYFUNCTION("""COMPUTED_VALUE"""),"B")</f>
        <v>B</v>
      </c>
      <c r="E2323" s="80" t="str">
        <f ca="1">IFERROR(__xludf.DUMMYFUNCTION("""COMPUTED_VALUE"""),"J")</f>
        <v>J</v>
      </c>
      <c r="F2323" s="86" t="str">
        <f ca="1">IFERROR(__xludf.DUMMYFUNCTION("""COMPUTED_VALUE"""),"I")</f>
        <v>I</v>
      </c>
      <c r="G2323" s="86">
        <f ca="1">IFERROR(__xludf.DUMMYFUNCTION("""COMPUTED_VALUE"""),2)</f>
        <v>2</v>
      </c>
      <c r="H2323" s="86" t="str">
        <f ca="1">IFERROR(__xludf.DUMMYFUNCTION("""COMPUTED_VALUE"""),"WG")</f>
        <v>WG</v>
      </c>
      <c r="I2323" s="86">
        <f ca="1">IFERROR(__xludf.DUMMYFUNCTION("""COMPUTED_VALUE"""),5)</f>
        <v>5</v>
      </c>
      <c r="J2323" s="85">
        <f ca="1">IFERROR(__xludf.DUMMYFUNCTION("""COMPUTED_VALUE"""),4)</f>
        <v>4</v>
      </c>
      <c r="K2323" s="85">
        <f ca="1">IFERROR(__xludf.DUMMYFUNCTION("""COMPUTED_VALUE"""),53.4)</f>
        <v>53.4</v>
      </c>
      <c r="L2323" s="85">
        <f ca="1">IFERROR(__xludf.DUMMYFUNCTION("""COMPUTED_VALUE"""),0)</f>
        <v>0</v>
      </c>
      <c r="M2323" s="85"/>
      <c r="N2323" s="85">
        <f ca="1">IFERROR(__xludf.DUMMYFUNCTION("""COMPUTED_VALUE"""),41.65)</f>
        <v>41.65</v>
      </c>
      <c r="O2323" s="85"/>
      <c r="P2323" s="85">
        <f ca="1">IFERROR(__xludf.DUMMYFUNCTION("""COMPUTED_VALUE"""),53.4)</f>
        <v>53.4</v>
      </c>
      <c r="Q2323" s="85"/>
      <c r="R2323" s="85">
        <f ca="1">IFERROR(__xludf.DUMMYFUNCTION("""COMPUTED_VALUE"""),52.55)</f>
        <v>52.55</v>
      </c>
      <c r="S2323" s="85"/>
      <c r="T2323" s="85"/>
      <c r="U2323" s="82"/>
      <c r="V2323" s="82"/>
      <c r="W2323" s="83"/>
      <c r="X2323" s="83"/>
      <c r="Y2323" s="83"/>
    </row>
    <row r="2324" spans="1:25" ht="13.8">
      <c r="A2324" s="78" t="str">
        <f ca="1">IFERROR(__xludf.DUMMYFUNCTION("""COMPUTED_VALUE"""),"WG")</f>
        <v>WG</v>
      </c>
      <c r="B2324" s="79" t="str">
        <f ca="1">IFERROR(__xludf.DUMMYFUNCTION("""COMPUTED_VALUE"""),"Mirabella Lanthier")</f>
        <v>Mirabella Lanthier</v>
      </c>
      <c r="C2324" s="78">
        <f ca="1">IFERROR(__xludf.DUMMYFUNCTION("""COMPUTED_VALUE"""),13)</f>
        <v>13</v>
      </c>
      <c r="D2324" s="78" t="str">
        <f ca="1">IFERROR(__xludf.DUMMYFUNCTION("""COMPUTED_VALUE"""),"G")</f>
        <v>G</v>
      </c>
      <c r="E2324" s="80" t="str">
        <f ca="1">IFERROR(__xludf.DUMMYFUNCTION("""COMPUTED_VALUE"""),"I")</f>
        <v>I</v>
      </c>
      <c r="F2324" s="86" t="str">
        <f ca="1">IFERROR(__xludf.DUMMYFUNCTION("""COMPUTED_VALUE"""),"S")</f>
        <v>S</v>
      </c>
      <c r="G2324" s="86">
        <f ca="1">IFERROR(__xludf.DUMMYFUNCTION("""COMPUTED_VALUE"""),2)</f>
        <v>2</v>
      </c>
      <c r="H2324" s="86" t="str">
        <f ca="1">IFERROR(__xludf.DUMMYFUNCTION("""COMPUTED_VALUE"""),"WG")</f>
        <v>WG</v>
      </c>
      <c r="I2324" s="86">
        <f ca="1">IFERROR(__xludf.DUMMYFUNCTION("""COMPUTED_VALUE"""),6)</f>
        <v>6</v>
      </c>
      <c r="J2324" s="85">
        <f ca="1">IFERROR(__xludf.DUMMYFUNCTION("""COMPUTED_VALUE"""),5)</f>
        <v>5</v>
      </c>
      <c r="K2324" s="85">
        <f ca="1">IFERROR(__xludf.DUMMYFUNCTION("""COMPUTED_VALUE"""),94.95)</f>
        <v>94.95</v>
      </c>
      <c r="L2324" s="85">
        <f ca="1">IFERROR(__xludf.DUMMYFUNCTION("""COMPUTED_VALUE"""),73.3)</f>
        <v>73.3</v>
      </c>
      <c r="M2324" s="85"/>
      <c r="N2324" s="85">
        <f ca="1">IFERROR(__xludf.DUMMYFUNCTION("""COMPUTED_VALUE"""),71.25)</f>
        <v>71.25</v>
      </c>
      <c r="O2324" s="85"/>
      <c r="P2324" s="85">
        <f ca="1">IFERROR(__xludf.DUMMYFUNCTION("""COMPUTED_VALUE"""),94.95)</f>
        <v>94.95</v>
      </c>
      <c r="Q2324" s="85"/>
      <c r="R2324" s="85">
        <f ca="1">IFERROR(__xludf.DUMMYFUNCTION("""COMPUTED_VALUE"""),79.8)</f>
        <v>79.8</v>
      </c>
      <c r="S2324" s="85"/>
      <c r="T2324" s="85"/>
      <c r="U2324" s="82"/>
      <c r="V2324" s="82"/>
      <c r="W2324" s="83"/>
      <c r="X2324" s="83"/>
      <c r="Y2324" s="83"/>
    </row>
    <row r="2325" spans="1:25" ht="13.8">
      <c r="A2325" s="78" t="str">
        <f ca="1">IFERROR(__xludf.DUMMYFUNCTION("""COMPUTED_VALUE"""),"WG")</f>
        <v>WG</v>
      </c>
      <c r="B2325" s="79" t="str">
        <f ca="1">IFERROR(__xludf.DUMMYFUNCTION("""COMPUTED_VALUE"""),"Charlotte Petrick")</f>
        <v>Charlotte Petrick</v>
      </c>
      <c r="C2325" s="78">
        <f ca="1">IFERROR(__xludf.DUMMYFUNCTION("""COMPUTED_VALUE"""),13)</f>
        <v>13</v>
      </c>
      <c r="D2325" s="78" t="str">
        <f ca="1">IFERROR(__xludf.DUMMYFUNCTION("""COMPUTED_VALUE"""),"G")</f>
        <v>G</v>
      </c>
      <c r="E2325" s="80" t="str">
        <f ca="1">IFERROR(__xludf.DUMMYFUNCTION("""COMPUTED_VALUE"""),"I")</f>
        <v>I</v>
      </c>
      <c r="F2325" s="86" t="str">
        <f ca="1">IFERROR(__xludf.DUMMYFUNCTION("""COMPUTED_VALUE"""),"S")</f>
        <v>S</v>
      </c>
      <c r="G2325" s="86">
        <f ca="1">IFERROR(__xludf.DUMMYFUNCTION("""COMPUTED_VALUE"""),2)</f>
        <v>2</v>
      </c>
      <c r="H2325" s="86" t="str">
        <f ca="1">IFERROR(__xludf.DUMMYFUNCTION("""COMPUTED_VALUE"""),"WG")</f>
        <v>WG</v>
      </c>
      <c r="I2325" s="86">
        <f ca="1">IFERROR(__xludf.DUMMYFUNCTION("""COMPUTED_VALUE"""),6)</f>
        <v>6</v>
      </c>
      <c r="J2325" s="85">
        <f ca="1">IFERROR(__xludf.DUMMYFUNCTION("""COMPUTED_VALUE"""),5)</f>
        <v>5</v>
      </c>
      <c r="K2325" s="85">
        <f ca="1">IFERROR(__xludf.DUMMYFUNCTION("""COMPUTED_VALUE"""),141.1)</f>
        <v>141.1</v>
      </c>
      <c r="L2325" s="85">
        <f ca="1">IFERROR(__xludf.DUMMYFUNCTION("""COMPUTED_VALUE"""),141.1)</f>
        <v>141.1</v>
      </c>
      <c r="M2325" s="85"/>
      <c r="N2325" s="85">
        <f ca="1">IFERROR(__xludf.DUMMYFUNCTION("""COMPUTED_VALUE"""),89.95)</f>
        <v>89.95</v>
      </c>
      <c r="O2325" s="85"/>
      <c r="P2325" s="85">
        <f ca="1">IFERROR(__xludf.DUMMYFUNCTION("""COMPUTED_VALUE"""),109.8)</f>
        <v>109.8</v>
      </c>
      <c r="Q2325" s="85"/>
      <c r="R2325" s="85">
        <f ca="1">IFERROR(__xludf.DUMMYFUNCTION("""COMPUTED_VALUE"""),135.2)</f>
        <v>135.19999999999999</v>
      </c>
      <c r="S2325" s="85"/>
      <c r="T2325" s="85"/>
      <c r="U2325" s="82"/>
      <c r="V2325" s="82"/>
      <c r="W2325" s="83"/>
      <c r="X2325" s="83"/>
      <c r="Y2325" s="83"/>
    </row>
    <row r="2326" spans="1:25" ht="13.8">
      <c r="A2326" s="78" t="str">
        <f ca="1">IFERROR(__xludf.DUMMYFUNCTION("""COMPUTED_VALUE"""),"WG")</f>
        <v>WG</v>
      </c>
      <c r="B2326" s="79" t="str">
        <f ca="1">IFERROR(__xludf.DUMMYFUNCTION("""COMPUTED_VALUE"""),"Jaden Buechler")</f>
        <v>Jaden Buechler</v>
      </c>
      <c r="C2326" s="78">
        <f ca="1">IFERROR(__xludf.DUMMYFUNCTION("""COMPUTED_VALUE"""),14)</f>
        <v>14</v>
      </c>
      <c r="D2326" s="78" t="str">
        <f ca="1">IFERROR(__xludf.DUMMYFUNCTION("""COMPUTED_VALUE"""),"B")</f>
        <v>B</v>
      </c>
      <c r="E2326" s="80" t="str">
        <f ca="1">IFERROR(__xludf.DUMMYFUNCTION("""COMPUTED_VALUE"""),"I")</f>
        <v>I</v>
      </c>
      <c r="F2326" s="86" t="str">
        <f ca="1">IFERROR(__xludf.DUMMYFUNCTION("""COMPUTED_VALUE"""),"S")</f>
        <v>S</v>
      </c>
      <c r="G2326" s="86">
        <f ca="1">IFERROR(__xludf.DUMMYFUNCTION("""COMPUTED_VALUE"""),2)</f>
        <v>2</v>
      </c>
      <c r="H2326" s="86" t="str">
        <f ca="1">IFERROR(__xludf.DUMMYFUNCTION("""COMPUTED_VALUE"""),"WG")</f>
        <v>WG</v>
      </c>
      <c r="I2326" s="86">
        <f ca="1">IFERROR(__xludf.DUMMYFUNCTION("""COMPUTED_VALUE"""),7)</f>
        <v>7</v>
      </c>
      <c r="J2326" s="85">
        <f ca="1">IFERROR(__xludf.DUMMYFUNCTION("""COMPUTED_VALUE"""),5)</f>
        <v>5</v>
      </c>
      <c r="K2326" s="85">
        <f ca="1">IFERROR(__xludf.DUMMYFUNCTION("""COMPUTED_VALUE"""),113.25)</f>
        <v>113.25</v>
      </c>
      <c r="L2326" s="85">
        <f ca="1">IFERROR(__xludf.DUMMYFUNCTION("""COMPUTED_VALUE"""),113.25)</f>
        <v>113.25</v>
      </c>
      <c r="M2326" s="85"/>
      <c r="N2326" s="85">
        <f ca="1">IFERROR(__xludf.DUMMYFUNCTION("""COMPUTED_VALUE"""),111.8)</f>
        <v>111.8</v>
      </c>
      <c r="O2326" s="85"/>
      <c r="P2326" s="85">
        <f ca="1">IFERROR(__xludf.DUMMYFUNCTION("""COMPUTED_VALUE"""),101.9)</f>
        <v>101.9</v>
      </c>
      <c r="Q2326" s="85"/>
      <c r="R2326" s="85">
        <f ca="1">IFERROR(__xludf.DUMMYFUNCTION("""COMPUTED_VALUE"""),99.4)</f>
        <v>99.4</v>
      </c>
      <c r="S2326" s="85"/>
      <c r="T2326" s="85"/>
      <c r="U2326" s="82"/>
      <c r="V2326" s="82"/>
      <c r="W2326" s="83"/>
      <c r="X2326" s="83"/>
      <c r="Y2326" s="83"/>
    </row>
    <row r="2327" spans="1:25" ht="13.8">
      <c r="A2327" s="78" t="str">
        <f ca="1">IFERROR(__xludf.DUMMYFUNCTION("""COMPUTED_VALUE"""),"WG")</f>
        <v>WG</v>
      </c>
      <c r="B2327" s="79" t="str">
        <f ca="1">IFERROR(__xludf.DUMMYFUNCTION("""COMPUTED_VALUE"""),"Aiden Milloy")</f>
        <v>Aiden Milloy</v>
      </c>
      <c r="C2327" s="78">
        <f ca="1">IFERROR(__xludf.DUMMYFUNCTION("""COMPUTED_VALUE"""),13)</f>
        <v>13</v>
      </c>
      <c r="D2327" s="78" t="str">
        <f ca="1">IFERROR(__xludf.DUMMYFUNCTION("""COMPUTED_VALUE"""),"B")</f>
        <v>B</v>
      </c>
      <c r="E2327" s="80" t="str">
        <f ca="1">IFERROR(__xludf.DUMMYFUNCTION("""COMPUTED_VALUE"""),"I")</f>
        <v>I</v>
      </c>
      <c r="F2327" s="86" t="str">
        <f ca="1">IFERROR(__xludf.DUMMYFUNCTION("""COMPUTED_VALUE"""),"S")</f>
        <v>S</v>
      </c>
      <c r="G2327" s="86">
        <f ca="1">IFERROR(__xludf.DUMMYFUNCTION("""COMPUTED_VALUE"""),2)</f>
        <v>2</v>
      </c>
      <c r="H2327" s="86" t="str">
        <f ca="1">IFERROR(__xludf.DUMMYFUNCTION("""COMPUTED_VALUE"""),"WG")</f>
        <v>WG</v>
      </c>
      <c r="I2327" s="86">
        <f ca="1">IFERROR(__xludf.DUMMYFUNCTION("""COMPUTED_VALUE"""),7)</f>
        <v>7</v>
      </c>
      <c r="J2327" s="85">
        <f ca="1">IFERROR(__xludf.DUMMYFUNCTION("""COMPUTED_VALUE"""),0)</f>
        <v>0</v>
      </c>
      <c r="K2327" s="85">
        <f ca="1">IFERROR(__xludf.DUMMYFUNCTION("""COMPUTED_VALUE"""),0)</f>
        <v>0</v>
      </c>
      <c r="L2327" s="85">
        <f ca="1">IFERROR(__xludf.DUMMYFUNCTION("""COMPUTED_VALUE"""),0)</f>
        <v>0</v>
      </c>
      <c r="M2327" s="85"/>
      <c r="N2327" s="85">
        <f ca="1">IFERROR(__xludf.DUMMYFUNCTION("""COMPUTED_VALUE"""),0)</f>
        <v>0</v>
      </c>
      <c r="O2327" s="85"/>
      <c r="P2327" s="85">
        <f ca="1">IFERROR(__xludf.DUMMYFUNCTION("""COMPUTED_VALUE"""),0)</f>
        <v>0</v>
      </c>
      <c r="Q2327" s="85"/>
      <c r="R2327" s="85">
        <f ca="1">IFERROR(__xludf.DUMMYFUNCTION("""COMPUTED_VALUE"""),0)</f>
        <v>0</v>
      </c>
      <c r="S2327" s="85"/>
      <c r="T2327" s="85"/>
      <c r="U2327" s="82"/>
      <c r="V2327" s="82"/>
      <c r="W2327" s="83"/>
      <c r="X2327" s="83"/>
      <c r="Y2327" s="83"/>
    </row>
    <row r="2328" spans="1:25" ht="13.8">
      <c r="A2328" s="78" t="str">
        <f ca="1">IFERROR(__xludf.DUMMYFUNCTION("""COMPUTED_VALUE"""),"WG")</f>
        <v>WG</v>
      </c>
      <c r="B2328" s="79" t="str">
        <f ca="1">IFERROR(__xludf.DUMMYFUNCTION("""COMPUTED_VALUE"""),"Jordan Buechler")</f>
        <v>Jordan Buechler</v>
      </c>
      <c r="C2328" s="78">
        <f ca="1">IFERROR(__xludf.DUMMYFUNCTION("""COMPUTED_VALUE"""),18)</f>
        <v>18</v>
      </c>
      <c r="D2328" s="78" t="str">
        <f ca="1">IFERROR(__xludf.DUMMYFUNCTION("""COMPUTED_VALUE"""),"G")</f>
        <v>G</v>
      </c>
      <c r="E2328" s="80" t="str">
        <f ca="1">IFERROR(__xludf.DUMMYFUNCTION("""COMPUTED_VALUE"""),"S")</f>
        <v>S</v>
      </c>
      <c r="F2328" s="86" t="str">
        <f ca="1">IFERROR(__xludf.DUMMYFUNCTION("""COMPUTED_VALUE"""),"S")</f>
        <v>S</v>
      </c>
      <c r="G2328" s="86">
        <f ca="1">IFERROR(__xludf.DUMMYFUNCTION("""COMPUTED_VALUE"""),2)</f>
        <v>2</v>
      </c>
      <c r="H2328" s="86" t="str">
        <f ca="1">IFERROR(__xludf.DUMMYFUNCTION("""COMPUTED_VALUE"""),"WG")</f>
        <v>WG</v>
      </c>
      <c r="I2328" s="86">
        <f ca="1">IFERROR(__xludf.DUMMYFUNCTION("""COMPUTED_VALUE"""),8)</f>
        <v>8</v>
      </c>
      <c r="J2328" s="85">
        <f ca="1">IFERROR(__xludf.DUMMYFUNCTION("""COMPUTED_VALUE"""),3)</f>
        <v>3</v>
      </c>
      <c r="K2328" s="85">
        <f ca="1">IFERROR(__xludf.DUMMYFUNCTION("""COMPUTED_VALUE"""),87.5)</f>
        <v>87.5</v>
      </c>
      <c r="L2328" s="85">
        <f ca="1">IFERROR(__xludf.DUMMYFUNCTION("""COMPUTED_VALUE"""),0)</f>
        <v>0</v>
      </c>
      <c r="M2328" s="85"/>
      <c r="N2328" s="85">
        <f ca="1">IFERROR(__xludf.DUMMYFUNCTION("""COMPUTED_VALUE"""),0)</f>
        <v>0</v>
      </c>
      <c r="O2328" s="85"/>
      <c r="P2328" s="85" t="str">
        <f ca="1">IFERROR(__xludf.DUMMYFUNCTION("""COMPUTED_VALUE""")," DQ")</f>
        <v xml:space="preserve"> DQ</v>
      </c>
      <c r="Q2328" s="85"/>
      <c r="R2328" s="85">
        <f ca="1">IFERROR(__xludf.DUMMYFUNCTION("""COMPUTED_VALUE"""),87.5)</f>
        <v>87.5</v>
      </c>
      <c r="S2328" s="85"/>
      <c r="T2328" s="85"/>
      <c r="U2328" s="82"/>
      <c r="V2328" s="82"/>
      <c r="W2328" s="83"/>
      <c r="X2328" s="83"/>
      <c r="Y2328" s="83"/>
    </row>
    <row r="2329" spans="1:25" ht="13.8">
      <c r="A2329" s="78" t="str">
        <f ca="1">IFERROR(__xludf.DUMMYFUNCTION("""COMPUTED_VALUE"""),"WG")</f>
        <v>WG</v>
      </c>
      <c r="B2329" s="79" t="str">
        <f ca="1">IFERROR(__xludf.DUMMYFUNCTION("""COMPUTED_VALUE"""),"Anne Fowler")</f>
        <v>Anne Fowler</v>
      </c>
      <c r="C2329" s="78">
        <f ca="1">IFERROR(__xludf.DUMMYFUNCTION("""COMPUTED_VALUE"""),19)</f>
        <v>19</v>
      </c>
      <c r="D2329" s="78" t="str">
        <f ca="1">IFERROR(__xludf.DUMMYFUNCTION("""COMPUTED_VALUE"""),"G")</f>
        <v>G</v>
      </c>
      <c r="E2329" s="80" t="str">
        <f ca="1">IFERROR(__xludf.DUMMYFUNCTION("""COMPUTED_VALUE"""),"S")</f>
        <v>S</v>
      </c>
      <c r="F2329" s="86" t="str">
        <f ca="1">IFERROR(__xludf.DUMMYFUNCTION("""COMPUTED_VALUE"""),"S")</f>
        <v>S</v>
      </c>
      <c r="G2329" s="86">
        <f ca="1">IFERROR(__xludf.DUMMYFUNCTION("""COMPUTED_VALUE"""),2)</f>
        <v>2</v>
      </c>
      <c r="H2329" s="86" t="str">
        <f ca="1">IFERROR(__xludf.DUMMYFUNCTION("""COMPUTED_VALUE"""),"WG")</f>
        <v>WG</v>
      </c>
      <c r="I2329" s="86">
        <f ca="1">IFERROR(__xludf.DUMMYFUNCTION("""COMPUTED_VALUE"""),8)</f>
        <v>8</v>
      </c>
      <c r="J2329" s="85">
        <f ca="1">IFERROR(__xludf.DUMMYFUNCTION("""COMPUTED_VALUE"""),1)</f>
        <v>1</v>
      </c>
      <c r="K2329" s="85">
        <f ca="1">IFERROR(__xludf.DUMMYFUNCTION("""COMPUTED_VALUE"""),0)</f>
        <v>0</v>
      </c>
      <c r="L2329" s="85">
        <f ca="1">IFERROR(__xludf.DUMMYFUNCTION("""COMPUTED_VALUE"""),0)</f>
        <v>0</v>
      </c>
      <c r="M2329" s="85"/>
      <c r="N2329" s="85">
        <f ca="1">IFERROR(__xludf.DUMMYFUNCTION("""COMPUTED_VALUE"""),0)</f>
        <v>0</v>
      </c>
      <c r="O2329" s="85"/>
      <c r="P2329" s="85">
        <f ca="1">IFERROR(__xludf.DUMMYFUNCTION("""COMPUTED_VALUE"""),0)</f>
        <v>0</v>
      </c>
      <c r="Q2329" s="85"/>
      <c r="R2329" s="85">
        <f ca="1">IFERROR(__xludf.DUMMYFUNCTION("""COMPUTED_VALUE"""),0)</f>
        <v>0</v>
      </c>
      <c r="S2329" s="85"/>
      <c r="T2329" s="85"/>
      <c r="U2329" s="82"/>
      <c r="V2329" s="82"/>
      <c r="W2329" s="83"/>
      <c r="X2329" s="83"/>
      <c r="Y2329" s="83"/>
    </row>
    <row r="2330" spans="1:25" ht="13.8">
      <c r="A2330" s="78" t="str">
        <f ca="1">IFERROR(__xludf.DUMMYFUNCTION("""COMPUTED_VALUE"""),"WG")</f>
        <v>WG</v>
      </c>
      <c r="B2330" s="79" t="str">
        <f ca="1">IFERROR(__xludf.DUMMYFUNCTION("""COMPUTED_VALUE"""),"Sophia Getty")</f>
        <v>Sophia Getty</v>
      </c>
      <c r="C2330" s="78">
        <f ca="1">IFERROR(__xludf.DUMMYFUNCTION("""COMPUTED_VALUE"""),15)</f>
        <v>15</v>
      </c>
      <c r="D2330" s="78" t="str">
        <f ca="1">IFERROR(__xludf.DUMMYFUNCTION("""COMPUTED_VALUE"""),"G")</f>
        <v>G</v>
      </c>
      <c r="E2330" s="80" t="str">
        <f ca="1">IFERROR(__xludf.DUMMYFUNCTION("""COMPUTED_VALUE"""),"S")</f>
        <v>S</v>
      </c>
      <c r="F2330" s="86" t="str">
        <f ca="1">IFERROR(__xludf.DUMMYFUNCTION("""COMPUTED_VALUE"""),"S")</f>
        <v>S</v>
      </c>
      <c r="G2330" s="86">
        <f ca="1">IFERROR(__xludf.DUMMYFUNCTION("""COMPUTED_VALUE"""),2)</f>
        <v>2</v>
      </c>
      <c r="H2330" s="86" t="str">
        <f ca="1">IFERROR(__xludf.DUMMYFUNCTION("""COMPUTED_VALUE"""),"WG")</f>
        <v>WG</v>
      </c>
      <c r="I2330" s="86">
        <f ca="1">IFERROR(__xludf.DUMMYFUNCTION("""COMPUTED_VALUE"""),8)</f>
        <v>8</v>
      </c>
      <c r="J2330" s="85">
        <f ca="1">IFERROR(__xludf.DUMMYFUNCTION("""COMPUTED_VALUE"""),2)</f>
        <v>2</v>
      </c>
      <c r="K2330" s="85">
        <f ca="1">IFERROR(__xludf.DUMMYFUNCTION("""COMPUTED_VALUE"""),113.85)</f>
        <v>113.85</v>
      </c>
      <c r="L2330" s="85">
        <f ca="1">IFERROR(__xludf.DUMMYFUNCTION("""COMPUTED_VALUE"""),0)</f>
        <v>0</v>
      </c>
      <c r="M2330" s="85"/>
      <c r="N2330" s="85">
        <f ca="1">IFERROR(__xludf.DUMMYFUNCTION("""COMPUTED_VALUE"""),113.85)</f>
        <v>113.85</v>
      </c>
      <c r="O2330" s="85"/>
      <c r="P2330" s="85">
        <f ca="1">IFERROR(__xludf.DUMMYFUNCTION("""COMPUTED_VALUE"""),0)</f>
        <v>0</v>
      </c>
      <c r="Q2330" s="85"/>
      <c r="R2330" s="85">
        <f ca="1">IFERROR(__xludf.DUMMYFUNCTION("""COMPUTED_VALUE"""),0)</f>
        <v>0</v>
      </c>
      <c r="S2330" s="85"/>
      <c r="T2330" s="85"/>
      <c r="U2330" s="82"/>
      <c r="V2330" s="82"/>
      <c r="W2330" s="83"/>
      <c r="X2330" s="83"/>
      <c r="Y2330" s="83"/>
    </row>
    <row r="2331" spans="1:25" ht="13.8">
      <c r="A2331" s="78" t="str">
        <f ca="1">IFERROR(__xludf.DUMMYFUNCTION("""COMPUTED_VALUE"""),"WG")</f>
        <v>WG</v>
      </c>
      <c r="B2331" s="79" t="str">
        <f ca="1">IFERROR(__xludf.DUMMYFUNCTION("""COMPUTED_VALUE"""),"Sydney Lalime")</f>
        <v>Sydney Lalime</v>
      </c>
      <c r="C2331" s="78">
        <f ca="1">IFERROR(__xludf.DUMMYFUNCTION("""COMPUTED_VALUE"""),15)</f>
        <v>15</v>
      </c>
      <c r="D2331" s="78" t="str">
        <f ca="1">IFERROR(__xludf.DUMMYFUNCTION("""COMPUTED_VALUE"""),"G")</f>
        <v>G</v>
      </c>
      <c r="E2331" s="80" t="str">
        <f ca="1">IFERROR(__xludf.DUMMYFUNCTION("""COMPUTED_VALUE"""),"S")</f>
        <v>S</v>
      </c>
      <c r="F2331" s="86" t="str">
        <f ca="1">IFERROR(__xludf.DUMMYFUNCTION("""COMPUTED_VALUE"""),"S")</f>
        <v>S</v>
      </c>
      <c r="G2331" s="86">
        <f ca="1">IFERROR(__xludf.DUMMYFUNCTION("""COMPUTED_VALUE"""),2)</f>
        <v>2</v>
      </c>
      <c r="H2331" s="86" t="str">
        <f ca="1">IFERROR(__xludf.DUMMYFUNCTION("""COMPUTED_VALUE"""),"WG")</f>
        <v>WG</v>
      </c>
      <c r="I2331" s="86">
        <f ca="1">IFERROR(__xludf.DUMMYFUNCTION("""COMPUTED_VALUE"""),8)</f>
        <v>8</v>
      </c>
      <c r="J2331" s="85">
        <f ca="1">IFERROR(__xludf.DUMMYFUNCTION("""COMPUTED_VALUE"""),2)</f>
        <v>2</v>
      </c>
      <c r="K2331" s="85">
        <f ca="1">IFERROR(__xludf.DUMMYFUNCTION("""COMPUTED_VALUE"""),64.1)</f>
        <v>64.099999999999994</v>
      </c>
      <c r="L2331" s="85">
        <f ca="1">IFERROR(__xludf.DUMMYFUNCTION("""COMPUTED_VALUE"""),0)</f>
        <v>0</v>
      </c>
      <c r="M2331" s="85"/>
      <c r="N2331" s="85">
        <f ca="1">IFERROR(__xludf.DUMMYFUNCTION("""COMPUTED_VALUE"""),0)</f>
        <v>0</v>
      </c>
      <c r="O2331" s="85"/>
      <c r="P2331" s="85">
        <f ca="1">IFERROR(__xludf.DUMMYFUNCTION("""COMPUTED_VALUE"""),0)</f>
        <v>0</v>
      </c>
      <c r="Q2331" s="85"/>
      <c r="R2331" s="85">
        <f ca="1">IFERROR(__xludf.DUMMYFUNCTION("""COMPUTED_VALUE"""),64.1)</f>
        <v>64.099999999999994</v>
      </c>
      <c r="S2331" s="85"/>
      <c r="T2331" s="85"/>
      <c r="U2331" s="82"/>
      <c r="V2331" s="82"/>
      <c r="W2331" s="83"/>
      <c r="X2331" s="83"/>
      <c r="Y2331" s="83"/>
    </row>
    <row r="2332" spans="1:25" ht="13.8">
      <c r="A2332" s="78" t="str">
        <f ca="1">IFERROR(__xludf.DUMMYFUNCTION("""COMPUTED_VALUE"""),"WG")</f>
        <v>WG</v>
      </c>
      <c r="B2332" s="79" t="str">
        <f ca="1">IFERROR(__xludf.DUMMYFUNCTION("""COMPUTED_VALUE"""),"Max Fowler")</f>
        <v>Max Fowler</v>
      </c>
      <c r="C2332" s="78">
        <f ca="1">IFERROR(__xludf.DUMMYFUNCTION("""COMPUTED_VALUE"""),16)</f>
        <v>16</v>
      </c>
      <c r="D2332" s="78" t="str">
        <f ca="1">IFERROR(__xludf.DUMMYFUNCTION("""COMPUTED_VALUE"""),"B")</f>
        <v>B</v>
      </c>
      <c r="E2332" s="80" t="str">
        <f ca="1">IFERROR(__xludf.DUMMYFUNCTION("""COMPUTED_VALUE"""),"S")</f>
        <v>S</v>
      </c>
      <c r="F2332" s="86" t="str">
        <f ca="1">IFERROR(__xludf.DUMMYFUNCTION("""COMPUTED_VALUE"""),"S")</f>
        <v>S</v>
      </c>
      <c r="G2332" s="86">
        <f ca="1">IFERROR(__xludf.DUMMYFUNCTION("""COMPUTED_VALUE"""),2)</f>
        <v>2</v>
      </c>
      <c r="H2332" s="86" t="str">
        <f ca="1">IFERROR(__xludf.DUMMYFUNCTION("""COMPUTED_VALUE"""),"WG")</f>
        <v>WG</v>
      </c>
      <c r="I2332" s="86">
        <f ca="1">IFERROR(__xludf.DUMMYFUNCTION("""COMPUTED_VALUE"""),9)</f>
        <v>9</v>
      </c>
      <c r="J2332" s="85">
        <f ca="1">IFERROR(__xludf.DUMMYFUNCTION("""COMPUTED_VALUE"""),4)</f>
        <v>4</v>
      </c>
      <c r="K2332" s="85">
        <f ca="1">IFERROR(__xludf.DUMMYFUNCTION("""COMPUTED_VALUE"""),277.4)</f>
        <v>277.39999999999998</v>
      </c>
      <c r="L2332" s="85">
        <f ca="1">IFERROR(__xludf.DUMMYFUNCTION("""COMPUTED_VALUE"""),277.4)</f>
        <v>277.39999999999998</v>
      </c>
      <c r="M2332" s="85"/>
      <c r="N2332" s="85">
        <f ca="1">IFERROR(__xludf.DUMMYFUNCTION("""COMPUTED_VALUE"""),0)</f>
        <v>0</v>
      </c>
      <c r="O2332" s="85"/>
      <c r="P2332" s="85">
        <f ca="1">IFERROR(__xludf.DUMMYFUNCTION("""COMPUTED_VALUE"""),277)</f>
        <v>277</v>
      </c>
      <c r="Q2332" s="85"/>
      <c r="R2332" s="85">
        <f ca="1">IFERROR(__xludf.DUMMYFUNCTION("""COMPUTED_VALUE"""),274.55)</f>
        <v>274.55</v>
      </c>
      <c r="S2332" s="85"/>
      <c r="T2332" s="85"/>
      <c r="U2332" s="82"/>
      <c r="V2332" s="82"/>
      <c r="W2332" s="83"/>
      <c r="X2332" s="83"/>
      <c r="Y2332" s="83"/>
    </row>
    <row r="2333" spans="1:25" ht="13.8">
      <c r="A2333" s="78" t="str">
        <f ca="1">IFERROR(__xludf.DUMMYFUNCTION("""COMPUTED_VALUE"""),"WG")</f>
        <v>WG</v>
      </c>
      <c r="B2333" s="79" t="str">
        <f ca="1">IFERROR(__xludf.DUMMYFUNCTION("""COMPUTED_VALUE"""),"Jake Moyer")</f>
        <v>Jake Moyer</v>
      </c>
      <c r="C2333" s="78">
        <f ca="1">IFERROR(__xludf.DUMMYFUNCTION("""COMPUTED_VALUE"""),18)</f>
        <v>18</v>
      </c>
      <c r="D2333" s="78" t="str">
        <f ca="1">IFERROR(__xludf.DUMMYFUNCTION("""COMPUTED_VALUE"""),"B")</f>
        <v>B</v>
      </c>
      <c r="E2333" s="80" t="str">
        <f ca="1">IFERROR(__xludf.DUMMYFUNCTION("""COMPUTED_VALUE"""),"S")</f>
        <v>S</v>
      </c>
      <c r="F2333" s="86" t="str">
        <f ca="1">IFERROR(__xludf.DUMMYFUNCTION("""COMPUTED_VALUE"""),"S")</f>
        <v>S</v>
      </c>
      <c r="G2333" s="86">
        <f ca="1">IFERROR(__xludf.DUMMYFUNCTION("""COMPUTED_VALUE"""),2)</f>
        <v>2</v>
      </c>
      <c r="H2333" s="86" t="str">
        <f ca="1">IFERROR(__xludf.DUMMYFUNCTION("""COMPUTED_VALUE"""),"WG")</f>
        <v>WG</v>
      </c>
      <c r="I2333" s="86">
        <f ca="1">IFERROR(__xludf.DUMMYFUNCTION("""COMPUTED_VALUE"""),9)</f>
        <v>9</v>
      </c>
      <c r="J2333" s="85">
        <f ca="1">IFERROR(__xludf.DUMMYFUNCTION("""COMPUTED_VALUE"""),5)</f>
        <v>5</v>
      </c>
      <c r="K2333" s="85">
        <f ca="1">IFERROR(__xludf.DUMMYFUNCTION("""COMPUTED_VALUE"""),156.15)</f>
        <v>156.15</v>
      </c>
      <c r="L2333" s="85">
        <f ca="1">IFERROR(__xludf.DUMMYFUNCTION("""COMPUTED_VALUE"""),156.15)</f>
        <v>156.15</v>
      </c>
      <c r="M2333" s="85"/>
      <c r="N2333" s="85">
        <f ca="1">IFERROR(__xludf.DUMMYFUNCTION("""COMPUTED_VALUE"""),138.25)</f>
        <v>138.25</v>
      </c>
      <c r="O2333" s="85"/>
      <c r="P2333" s="85">
        <f ca="1">IFERROR(__xludf.DUMMYFUNCTION("""COMPUTED_VALUE"""),147)</f>
        <v>147</v>
      </c>
      <c r="Q2333" s="85"/>
      <c r="R2333" s="85">
        <f ca="1">IFERROR(__xludf.DUMMYFUNCTION("""COMPUTED_VALUE"""),137.6)</f>
        <v>137.6</v>
      </c>
      <c r="S2333" s="85"/>
      <c r="T2333" s="85"/>
      <c r="U2333" s="82"/>
      <c r="V2333" s="82"/>
      <c r="W2333" s="83"/>
      <c r="X2333" s="83"/>
      <c r="Y2333" s="83"/>
    </row>
    <row r="2334" spans="1:25" ht="13.8">
      <c r="A2334" s="78" t="str">
        <f ca="1">IFERROR(__xludf.DUMMYFUNCTION("""COMPUTED_VALUE"""),"WG")</f>
        <v>WG</v>
      </c>
      <c r="B2334" s="79" t="str">
        <f ca="1">IFERROR(__xludf.DUMMYFUNCTION("""COMPUTED_VALUE"""),"Patrick Moyer")</f>
        <v>Patrick Moyer</v>
      </c>
      <c r="C2334" s="78">
        <f ca="1">IFERROR(__xludf.DUMMYFUNCTION("""COMPUTED_VALUE"""),16)</f>
        <v>16</v>
      </c>
      <c r="D2334" s="78" t="str">
        <f ca="1">IFERROR(__xludf.DUMMYFUNCTION("""COMPUTED_VALUE"""),"B")</f>
        <v>B</v>
      </c>
      <c r="E2334" s="80" t="str">
        <f ca="1">IFERROR(__xludf.DUMMYFUNCTION("""COMPUTED_VALUE"""),"S")</f>
        <v>S</v>
      </c>
      <c r="F2334" s="86" t="str">
        <f ca="1">IFERROR(__xludf.DUMMYFUNCTION("""COMPUTED_VALUE"""),"S")</f>
        <v>S</v>
      </c>
      <c r="G2334" s="86">
        <f ca="1">IFERROR(__xludf.DUMMYFUNCTION("""COMPUTED_VALUE"""),2)</f>
        <v>2</v>
      </c>
      <c r="H2334" s="86" t="str">
        <f ca="1">IFERROR(__xludf.DUMMYFUNCTION("""COMPUTED_VALUE"""),"WG")</f>
        <v>WG</v>
      </c>
      <c r="I2334" s="86">
        <f ca="1">IFERROR(__xludf.DUMMYFUNCTION("""COMPUTED_VALUE"""),9)</f>
        <v>9</v>
      </c>
      <c r="J2334" s="85">
        <f ca="1">IFERROR(__xludf.DUMMYFUNCTION("""COMPUTED_VALUE"""),0)</f>
        <v>0</v>
      </c>
      <c r="K2334" s="85">
        <f ca="1">IFERROR(__xludf.DUMMYFUNCTION("""COMPUTED_VALUE"""),0)</f>
        <v>0</v>
      </c>
      <c r="L2334" s="85">
        <f ca="1">IFERROR(__xludf.DUMMYFUNCTION("""COMPUTED_VALUE"""),0)</f>
        <v>0</v>
      </c>
      <c r="M2334" s="85"/>
      <c r="N2334" s="85">
        <f ca="1">IFERROR(__xludf.DUMMYFUNCTION("""COMPUTED_VALUE"""),0)</f>
        <v>0</v>
      </c>
      <c r="O2334" s="85"/>
      <c r="P2334" s="85">
        <f ca="1">IFERROR(__xludf.DUMMYFUNCTION("""COMPUTED_VALUE"""),0)</f>
        <v>0</v>
      </c>
      <c r="Q2334" s="85"/>
      <c r="R2334" s="85">
        <f ca="1">IFERROR(__xludf.DUMMYFUNCTION("""COMPUTED_VALUE"""),0)</f>
        <v>0</v>
      </c>
      <c r="S2334" s="85"/>
      <c r="T2334" s="85"/>
      <c r="U2334" s="82"/>
      <c r="V2334" s="82"/>
      <c r="W2334" s="83"/>
      <c r="X2334" s="83"/>
      <c r="Y2334" s="83"/>
    </row>
    <row r="2335" spans="1:25" ht="13.8">
      <c r="A2335" s="78" t="str">
        <f ca="1">IFERROR(__xludf.DUMMYFUNCTION("""COMPUTED_VALUE"""),"WG")</f>
        <v>WG</v>
      </c>
      <c r="B2335" s="79" t="str">
        <f ca="1">IFERROR(__xludf.DUMMYFUNCTION("""COMPUTED_VALUE"""),"Aidan Smith")</f>
        <v>Aidan Smith</v>
      </c>
      <c r="C2335" s="78">
        <f ca="1">IFERROR(__xludf.DUMMYFUNCTION("""COMPUTED_VALUE"""),15)</f>
        <v>15</v>
      </c>
      <c r="D2335" s="78" t="str">
        <f ca="1">IFERROR(__xludf.DUMMYFUNCTION("""COMPUTED_VALUE"""),"B")</f>
        <v>B</v>
      </c>
      <c r="E2335" s="80" t="str">
        <f ca="1">IFERROR(__xludf.DUMMYFUNCTION("""COMPUTED_VALUE"""),"S")</f>
        <v>S</v>
      </c>
      <c r="F2335" s="86" t="str">
        <f ca="1">IFERROR(__xludf.DUMMYFUNCTION("""COMPUTED_VALUE"""),"S")</f>
        <v>S</v>
      </c>
      <c r="G2335" s="86">
        <f ca="1">IFERROR(__xludf.DUMMYFUNCTION("""COMPUTED_VALUE"""),2)</f>
        <v>2</v>
      </c>
      <c r="H2335" s="86" t="str">
        <f ca="1">IFERROR(__xludf.DUMMYFUNCTION("""COMPUTED_VALUE"""),"WG")</f>
        <v>WG</v>
      </c>
      <c r="I2335" s="86">
        <f ca="1">IFERROR(__xludf.DUMMYFUNCTION("""COMPUTED_VALUE"""),9)</f>
        <v>9</v>
      </c>
      <c r="J2335" s="85">
        <f ca="1">IFERROR(__xludf.DUMMYFUNCTION("""COMPUTED_VALUE"""),4)</f>
        <v>4</v>
      </c>
      <c r="K2335" s="85">
        <f ca="1">IFERROR(__xludf.DUMMYFUNCTION("""COMPUTED_VALUE"""),157.8)</f>
        <v>157.80000000000001</v>
      </c>
      <c r="L2335" s="85">
        <f ca="1">IFERROR(__xludf.DUMMYFUNCTION("""COMPUTED_VALUE"""),157.8)</f>
        <v>157.80000000000001</v>
      </c>
      <c r="M2335" s="85"/>
      <c r="N2335" s="85">
        <f ca="1">IFERROR(__xludf.DUMMYFUNCTION("""COMPUTED_VALUE"""),0)</f>
        <v>0</v>
      </c>
      <c r="O2335" s="85"/>
      <c r="P2335" s="85">
        <f ca="1">IFERROR(__xludf.DUMMYFUNCTION("""COMPUTED_VALUE"""),135.3)</f>
        <v>135.30000000000001</v>
      </c>
      <c r="Q2335" s="85"/>
      <c r="R2335" s="85">
        <f ca="1">IFERROR(__xludf.DUMMYFUNCTION("""COMPUTED_VALUE"""),149.75)</f>
        <v>149.75</v>
      </c>
      <c r="S2335" s="85"/>
      <c r="T2335" s="85"/>
      <c r="U2335" s="82"/>
      <c r="V2335" s="82"/>
      <c r="W2335" s="83"/>
      <c r="X2335" s="83"/>
      <c r="Y2335" s="83"/>
    </row>
    <row r="2336" spans="1:25" ht="13.8">
      <c r="A2336" s="78" t="str">
        <f ca="1">IFERROR(__xludf.DUMMYFUNCTION("""COMPUTED_VALUE"""),"WG")</f>
        <v>WG</v>
      </c>
      <c r="B2336" s="79" t="str">
        <f ca="1">IFERROR(__xludf.DUMMYFUNCTION("""COMPUTED_VALUE"""),"Ian Whitesel")</f>
        <v>Ian Whitesel</v>
      </c>
      <c r="C2336" s="78">
        <f ca="1">IFERROR(__xludf.DUMMYFUNCTION("""COMPUTED_VALUE"""),18)</f>
        <v>18</v>
      </c>
      <c r="D2336" s="78" t="str">
        <f ca="1">IFERROR(__xludf.DUMMYFUNCTION("""COMPUTED_VALUE"""),"B")</f>
        <v>B</v>
      </c>
      <c r="E2336" s="80" t="str">
        <f ca="1">IFERROR(__xludf.DUMMYFUNCTION("""COMPUTED_VALUE"""),"S")</f>
        <v>S</v>
      </c>
      <c r="F2336" s="86" t="str">
        <f ca="1">IFERROR(__xludf.DUMMYFUNCTION("""COMPUTED_VALUE"""),"S")</f>
        <v>S</v>
      </c>
      <c r="G2336" s="86">
        <f ca="1">IFERROR(__xludf.DUMMYFUNCTION("""COMPUTED_VALUE"""),2)</f>
        <v>2</v>
      </c>
      <c r="H2336" s="86" t="str">
        <f ca="1">IFERROR(__xludf.DUMMYFUNCTION("""COMPUTED_VALUE"""),"WG")</f>
        <v>WG</v>
      </c>
      <c r="I2336" s="86">
        <f ca="1">IFERROR(__xludf.DUMMYFUNCTION("""COMPUTED_VALUE"""),9)</f>
        <v>9</v>
      </c>
      <c r="J2336" s="85">
        <f ca="1">IFERROR(__xludf.DUMMYFUNCTION("""COMPUTED_VALUE"""),5)</f>
        <v>5</v>
      </c>
      <c r="K2336" s="85">
        <f ca="1">IFERROR(__xludf.DUMMYFUNCTION("""COMPUTED_VALUE"""),198.55)</f>
        <v>198.55</v>
      </c>
      <c r="L2336" s="85">
        <f ca="1">IFERROR(__xludf.DUMMYFUNCTION("""COMPUTED_VALUE"""),198.55)</f>
        <v>198.55</v>
      </c>
      <c r="M2336" s="85"/>
      <c r="N2336" s="85">
        <f ca="1">IFERROR(__xludf.DUMMYFUNCTION("""COMPUTED_VALUE"""),167.9)</f>
        <v>167.9</v>
      </c>
      <c r="O2336" s="85"/>
      <c r="P2336" s="85">
        <f ca="1">IFERROR(__xludf.DUMMYFUNCTION("""COMPUTED_VALUE"""),193.8)</f>
        <v>193.8</v>
      </c>
      <c r="Q2336" s="85"/>
      <c r="R2336" s="85">
        <f ca="1">IFERROR(__xludf.DUMMYFUNCTION("""COMPUTED_VALUE"""),151.1)</f>
        <v>151.1</v>
      </c>
      <c r="S2336" s="85"/>
      <c r="T2336" s="85"/>
      <c r="U2336" s="82"/>
      <c r="V2336" s="82"/>
      <c r="W2336" s="83"/>
      <c r="X2336" s="83"/>
      <c r="Y2336" s="83"/>
    </row>
    <row r="2337" spans="1:25" ht="13.8">
      <c r="A2337" s="78"/>
      <c r="B2337" s="79" t="str">
        <f ca="1">IFERROR(__xludf.DUMMYFUNCTION("""COMPUTED_VALUE"""),"")</f>
        <v/>
      </c>
      <c r="C2337" s="78" t="str">
        <f ca="1">IFERROR(__xludf.DUMMYFUNCTION("""COMPUTED_VALUE"""),"")</f>
        <v/>
      </c>
      <c r="D2337" s="78" t="str">
        <f ca="1">IFERROR(__xludf.DUMMYFUNCTION("""COMPUTED_VALUE"""),"")</f>
        <v/>
      </c>
      <c r="E2337" s="80" t="str">
        <f ca="1">IFERROR(__xludf.DUMMYFUNCTION("""COMPUTED_VALUE"""),"")</f>
        <v/>
      </c>
      <c r="F2337" s="86" t="str">
        <f ca="1">IFERROR(__xludf.DUMMYFUNCTION("""COMPUTED_VALUE"""),"")</f>
        <v/>
      </c>
      <c r="G2337" s="86" t="str">
        <f ca="1">IFERROR(__xludf.DUMMYFUNCTION("""COMPUTED_VALUE"""),"")</f>
        <v/>
      </c>
      <c r="H2337" s="86"/>
      <c r="I2337" s="86" t="str">
        <f ca="1">IFERROR(__xludf.DUMMYFUNCTION("""COMPUTED_VALUE"""),"")</f>
        <v/>
      </c>
      <c r="J2337" s="85" t="str">
        <f ca="1">IFERROR(__xludf.DUMMYFUNCTION("""COMPUTED_VALUE"""),"")</f>
        <v/>
      </c>
      <c r="K2337" s="85" t="str">
        <f ca="1">IFERROR(__xludf.DUMMYFUNCTION("""COMPUTED_VALUE"""),"")</f>
        <v/>
      </c>
      <c r="L2337" s="85" t="str">
        <f ca="1">IFERROR(__xludf.DUMMYFUNCTION("""COMPUTED_VALUE"""),"")</f>
        <v/>
      </c>
      <c r="M2337" s="85"/>
      <c r="N2337" s="85" t="str">
        <f ca="1">IFERROR(__xludf.DUMMYFUNCTION("""COMPUTED_VALUE"""),"")</f>
        <v/>
      </c>
      <c r="O2337" s="85"/>
      <c r="P2337" s="85" t="str">
        <f ca="1">IFERROR(__xludf.DUMMYFUNCTION("""COMPUTED_VALUE"""),"")</f>
        <v/>
      </c>
      <c r="Q2337" s="85"/>
      <c r="R2337" s="85" t="str">
        <f ca="1">IFERROR(__xludf.DUMMYFUNCTION("""COMPUTED_VALUE"""),"")</f>
        <v/>
      </c>
      <c r="S2337" s="85"/>
      <c r="T2337" s="85"/>
      <c r="U2337" s="82"/>
      <c r="V2337" s="82"/>
      <c r="W2337" s="83"/>
      <c r="X2337" s="83"/>
      <c r="Y2337" s="83"/>
    </row>
    <row r="2338" spans="1:25" ht="13.8">
      <c r="A2338" s="78"/>
      <c r="B2338" s="79" t="str">
        <f ca="1">IFERROR(__xludf.DUMMYFUNCTION("""COMPUTED_VALUE"""),"")</f>
        <v/>
      </c>
      <c r="C2338" s="78" t="str">
        <f ca="1">IFERROR(__xludf.DUMMYFUNCTION("""COMPUTED_VALUE"""),"")</f>
        <v/>
      </c>
      <c r="D2338" s="78" t="str">
        <f ca="1">IFERROR(__xludf.DUMMYFUNCTION("""COMPUTED_VALUE"""),"")</f>
        <v/>
      </c>
      <c r="E2338" s="80" t="str">
        <f ca="1">IFERROR(__xludf.DUMMYFUNCTION("""COMPUTED_VALUE"""),"")</f>
        <v/>
      </c>
      <c r="F2338" s="86" t="str">
        <f ca="1">IFERROR(__xludf.DUMMYFUNCTION("""COMPUTED_VALUE"""),"")</f>
        <v/>
      </c>
      <c r="G2338" s="86" t="str">
        <f ca="1">IFERROR(__xludf.DUMMYFUNCTION("""COMPUTED_VALUE"""),"")</f>
        <v/>
      </c>
      <c r="H2338" s="86"/>
      <c r="I2338" s="86" t="str">
        <f ca="1">IFERROR(__xludf.DUMMYFUNCTION("""COMPUTED_VALUE"""),"")</f>
        <v/>
      </c>
      <c r="J2338" s="85" t="str">
        <f ca="1">IFERROR(__xludf.DUMMYFUNCTION("""COMPUTED_VALUE"""),"")</f>
        <v/>
      </c>
      <c r="K2338" s="85" t="str">
        <f ca="1">IFERROR(__xludf.DUMMYFUNCTION("""COMPUTED_VALUE"""),"")</f>
        <v/>
      </c>
      <c r="L2338" s="85" t="str">
        <f ca="1">IFERROR(__xludf.DUMMYFUNCTION("""COMPUTED_VALUE"""),"")</f>
        <v/>
      </c>
      <c r="M2338" s="85"/>
      <c r="N2338" s="85" t="str">
        <f ca="1">IFERROR(__xludf.DUMMYFUNCTION("""COMPUTED_VALUE"""),"")</f>
        <v/>
      </c>
      <c r="O2338" s="85"/>
      <c r="P2338" s="85" t="str">
        <f ca="1">IFERROR(__xludf.DUMMYFUNCTION("""COMPUTED_VALUE"""),"")</f>
        <v/>
      </c>
      <c r="Q2338" s="85"/>
      <c r="R2338" s="85" t="str">
        <f ca="1">IFERROR(__xludf.DUMMYFUNCTION("""COMPUTED_VALUE"""),"")</f>
        <v/>
      </c>
      <c r="S2338" s="85"/>
      <c r="T2338" s="85"/>
      <c r="U2338" s="82"/>
      <c r="V2338" s="82"/>
      <c r="W2338" s="83"/>
      <c r="X2338" s="83"/>
      <c r="Y2338" s="83"/>
    </row>
    <row r="2339" spans="1:25" ht="13.8">
      <c r="A2339" s="78"/>
      <c r="B2339" s="79" t="str">
        <f ca="1">IFERROR(__xludf.DUMMYFUNCTION("""COMPUTED_VALUE"""),"")</f>
        <v/>
      </c>
      <c r="C2339" s="78" t="str">
        <f ca="1">IFERROR(__xludf.DUMMYFUNCTION("""COMPUTED_VALUE"""),"")</f>
        <v/>
      </c>
      <c r="D2339" s="78" t="str">
        <f ca="1">IFERROR(__xludf.DUMMYFUNCTION("""COMPUTED_VALUE"""),"")</f>
        <v/>
      </c>
      <c r="E2339" s="80" t="str">
        <f ca="1">IFERROR(__xludf.DUMMYFUNCTION("""COMPUTED_VALUE"""),"")</f>
        <v/>
      </c>
      <c r="F2339" s="86" t="str">
        <f ca="1">IFERROR(__xludf.DUMMYFUNCTION("""COMPUTED_VALUE"""),"")</f>
        <v/>
      </c>
      <c r="G2339" s="86" t="str">
        <f ca="1">IFERROR(__xludf.DUMMYFUNCTION("""COMPUTED_VALUE"""),"")</f>
        <v/>
      </c>
      <c r="H2339" s="86"/>
      <c r="I2339" s="86" t="str">
        <f ca="1">IFERROR(__xludf.DUMMYFUNCTION("""COMPUTED_VALUE"""),"")</f>
        <v/>
      </c>
      <c r="J2339" s="85" t="str">
        <f ca="1">IFERROR(__xludf.DUMMYFUNCTION("""COMPUTED_VALUE"""),"")</f>
        <v/>
      </c>
      <c r="K2339" s="85" t="str">
        <f ca="1">IFERROR(__xludf.DUMMYFUNCTION("""COMPUTED_VALUE"""),"")</f>
        <v/>
      </c>
      <c r="L2339" s="85" t="str">
        <f ca="1">IFERROR(__xludf.DUMMYFUNCTION("""COMPUTED_VALUE"""),"")</f>
        <v/>
      </c>
      <c r="M2339" s="85"/>
      <c r="N2339" s="85" t="str">
        <f ca="1">IFERROR(__xludf.DUMMYFUNCTION("""COMPUTED_VALUE"""),"")</f>
        <v/>
      </c>
      <c r="O2339" s="85"/>
      <c r="P2339" s="85" t="str">
        <f ca="1">IFERROR(__xludf.DUMMYFUNCTION("""COMPUTED_VALUE"""),"")</f>
        <v/>
      </c>
      <c r="Q2339" s="85"/>
      <c r="R2339" s="85" t="str">
        <f ca="1">IFERROR(__xludf.DUMMYFUNCTION("""COMPUTED_VALUE"""),"")</f>
        <v/>
      </c>
      <c r="S2339" s="85"/>
      <c r="T2339" s="85"/>
      <c r="U2339" s="82"/>
      <c r="V2339" s="82"/>
      <c r="W2339" s="83"/>
      <c r="X2339" s="83"/>
      <c r="Y2339" s="83"/>
    </row>
    <row r="2340" spans="1:25" ht="13.8">
      <c r="A2340" s="78"/>
      <c r="B2340" s="79" t="str">
        <f ca="1">IFERROR(__xludf.DUMMYFUNCTION("""COMPUTED_VALUE"""),"")</f>
        <v/>
      </c>
      <c r="C2340" s="78" t="str">
        <f ca="1">IFERROR(__xludf.DUMMYFUNCTION("""COMPUTED_VALUE"""),"")</f>
        <v/>
      </c>
      <c r="D2340" s="78" t="str">
        <f ca="1">IFERROR(__xludf.DUMMYFUNCTION("""COMPUTED_VALUE"""),"")</f>
        <v/>
      </c>
      <c r="E2340" s="80" t="str">
        <f ca="1">IFERROR(__xludf.DUMMYFUNCTION("""COMPUTED_VALUE"""),"")</f>
        <v/>
      </c>
      <c r="F2340" s="86" t="str">
        <f ca="1">IFERROR(__xludf.DUMMYFUNCTION("""COMPUTED_VALUE"""),"")</f>
        <v/>
      </c>
      <c r="G2340" s="86" t="str">
        <f ca="1">IFERROR(__xludf.DUMMYFUNCTION("""COMPUTED_VALUE"""),"")</f>
        <v/>
      </c>
      <c r="H2340" s="86"/>
      <c r="I2340" s="86" t="str">
        <f ca="1">IFERROR(__xludf.DUMMYFUNCTION("""COMPUTED_VALUE"""),"")</f>
        <v/>
      </c>
      <c r="J2340" s="85" t="str">
        <f ca="1">IFERROR(__xludf.DUMMYFUNCTION("""COMPUTED_VALUE"""),"")</f>
        <v/>
      </c>
      <c r="K2340" s="85" t="str">
        <f ca="1">IFERROR(__xludf.DUMMYFUNCTION("""COMPUTED_VALUE"""),"")</f>
        <v/>
      </c>
      <c r="L2340" s="85" t="str">
        <f ca="1">IFERROR(__xludf.DUMMYFUNCTION("""COMPUTED_VALUE"""),"")</f>
        <v/>
      </c>
      <c r="M2340" s="85"/>
      <c r="N2340" s="85" t="str">
        <f ca="1">IFERROR(__xludf.DUMMYFUNCTION("""COMPUTED_VALUE"""),"")</f>
        <v/>
      </c>
      <c r="O2340" s="85"/>
      <c r="P2340" s="85" t="str">
        <f ca="1">IFERROR(__xludf.DUMMYFUNCTION("""COMPUTED_VALUE"""),"")</f>
        <v/>
      </c>
      <c r="Q2340" s="85"/>
      <c r="R2340" s="85" t="str">
        <f ca="1">IFERROR(__xludf.DUMMYFUNCTION("""COMPUTED_VALUE"""),"")</f>
        <v/>
      </c>
      <c r="S2340" s="85"/>
      <c r="T2340" s="85"/>
      <c r="U2340" s="82"/>
      <c r="V2340" s="82"/>
      <c r="W2340" s="83"/>
      <c r="X2340" s="83"/>
      <c r="Y2340" s="83"/>
    </row>
    <row r="2341" spans="1:25" ht="13.8">
      <c r="A2341" s="78"/>
      <c r="B2341" s="79" t="str">
        <f ca="1">IFERROR(__xludf.DUMMYFUNCTION("""COMPUTED_VALUE"""),"")</f>
        <v/>
      </c>
      <c r="C2341" s="78" t="str">
        <f ca="1">IFERROR(__xludf.DUMMYFUNCTION("""COMPUTED_VALUE"""),"")</f>
        <v/>
      </c>
      <c r="D2341" s="78" t="str">
        <f ca="1">IFERROR(__xludf.DUMMYFUNCTION("""COMPUTED_VALUE"""),"")</f>
        <v/>
      </c>
      <c r="E2341" s="80" t="str">
        <f ca="1">IFERROR(__xludf.DUMMYFUNCTION("""COMPUTED_VALUE"""),"")</f>
        <v/>
      </c>
      <c r="F2341" s="86" t="str">
        <f ca="1">IFERROR(__xludf.DUMMYFUNCTION("""COMPUTED_VALUE"""),"")</f>
        <v/>
      </c>
      <c r="G2341" s="86" t="str">
        <f ca="1">IFERROR(__xludf.DUMMYFUNCTION("""COMPUTED_VALUE"""),"")</f>
        <v/>
      </c>
      <c r="H2341" s="86"/>
      <c r="I2341" s="86" t="str">
        <f ca="1">IFERROR(__xludf.DUMMYFUNCTION("""COMPUTED_VALUE"""),"")</f>
        <v/>
      </c>
      <c r="J2341" s="85" t="str">
        <f ca="1">IFERROR(__xludf.DUMMYFUNCTION("""COMPUTED_VALUE"""),"")</f>
        <v/>
      </c>
      <c r="K2341" s="85" t="str">
        <f ca="1">IFERROR(__xludf.DUMMYFUNCTION("""COMPUTED_VALUE"""),"")</f>
        <v/>
      </c>
      <c r="L2341" s="85" t="str">
        <f ca="1">IFERROR(__xludf.DUMMYFUNCTION("""COMPUTED_VALUE"""),"")</f>
        <v/>
      </c>
      <c r="M2341" s="85"/>
      <c r="N2341" s="85" t="str">
        <f ca="1">IFERROR(__xludf.DUMMYFUNCTION("""COMPUTED_VALUE"""),"")</f>
        <v/>
      </c>
      <c r="O2341" s="85"/>
      <c r="P2341" s="85" t="str">
        <f ca="1">IFERROR(__xludf.DUMMYFUNCTION("""COMPUTED_VALUE"""),"")</f>
        <v/>
      </c>
      <c r="Q2341" s="85"/>
      <c r="R2341" s="85" t="str">
        <f ca="1">IFERROR(__xludf.DUMMYFUNCTION("""COMPUTED_VALUE"""),"")</f>
        <v/>
      </c>
      <c r="S2341" s="85"/>
      <c r="T2341" s="85"/>
      <c r="U2341" s="82"/>
      <c r="V2341" s="82"/>
      <c r="W2341" s="83"/>
      <c r="X2341" s="83"/>
      <c r="Y2341" s="83"/>
    </row>
    <row r="2342" spans="1:25" ht="13.8">
      <c r="A2342" s="78"/>
      <c r="B2342" s="79" t="str">
        <f ca="1">IFERROR(__xludf.DUMMYFUNCTION("""COMPUTED_VALUE"""),"")</f>
        <v/>
      </c>
      <c r="C2342" s="78" t="str">
        <f ca="1">IFERROR(__xludf.DUMMYFUNCTION("""COMPUTED_VALUE"""),"")</f>
        <v/>
      </c>
      <c r="D2342" s="78" t="str">
        <f ca="1">IFERROR(__xludf.DUMMYFUNCTION("""COMPUTED_VALUE"""),"")</f>
        <v/>
      </c>
      <c r="E2342" s="80" t="str">
        <f ca="1">IFERROR(__xludf.DUMMYFUNCTION("""COMPUTED_VALUE"""),"")</f>
        <v/>
      </c>
      <c r="F2342" s="86" t="str">
        <f ca="1">IFERROR(__xludf.DUMMYFUNCTION("""COMPUTED_VALUE"""),"")</f>
        <v/>
      </c>
      <c r="G2342" s="86" t="str">
        <f ca="1">IFERROR(__xludf.DUMMYFUNCTION("""COMPUTED_VALUE"""),"")</f>
        <v/>
      </c>
      <c r="H2342" s="86"/>
      <c r="I2342" s="86" t="str">
        <f ca="1">IFERROR(__xludf.DUMMYFUNCTION("""COMPUTED_VALUE"""),"")</f>
        <v/>
      </c>
      <c r="J2342" s="85" t="str">
        <f ca="1">IFERROR(__xludf.DUMMYFUNCTION("""COMPUTED_VALUE"""),"")</f>
        <v/>
      </c>
      <c r="K2342" s="85" t="str">
        <f ca="1">IFERROR(__xludf.DUMMYFUNCTION("""COMPUTED_VALUE"""),"")</f>
        <v/>
      </c>
      <c r="L2342" s="85" t="str">
        <f ca="1">IFERROR(__xludf.DUMMYFUNCTION("""COMPUTED_VALUE"""),"")</f>
        <v/>
      </c>
      <c r="M2342" s="85"/>
      <c r="N2342" s="85" t="str">
        <f ca="1">IFERROR(__xludf.DUMMYFUNCTION("""COMPUTED_VALUE"""),"")</f>
        <v/>
      </c>
      <c r="O2342" s="85"/>
      <c r="P2342" s="85" t="str">
        <f ca="1">IFERROR(__xludf.DUMMYFUNCTION("""COMPUTED_VALUE"""),"")</f>
        <v/>
      </c>
      <c r="Q2342" s="85"/>
      <c r="R2342" s="85" t="str">
        <f ca="1">IFERROR(__xludf.DUMMYFUNCTION("""COMPUTED_VALUE"""),"")</f>
        <v/>
      </c>
      <c r="S2342" s="85"/>
      <c r="T2342" s="85"/>
      <c r="U2342" s="82"/>
      <c r="V2342" s="82"/>
      <c r="W2342" s="83"/>
      <c r="X2342" s="83"/>
      <c r="Y2342" s="83"/>
    </row>
    <row r="2343" spans="1:25" ht="13.8">
      <c r="A2343" s="78"/>
      <c r="B2343" s="79" t="str">
        <f ca="1">IFERROR(__xludf.DUMMYFUNCTION("""COMPUTED_VALUE"""),"")</f>
        <v/>
      </c>
      <c r="C2343" s="78" t="str">
        <f ca="1">IFERROR(__xludf.DUMMYFUNCTION("""COMPUTED_VALUE"""),"")</f>
        <v/>
      </c>
      <c r="D2343" s="78" t="str">
        <f ca="1">IFERROR(__xludf.DUMMYFUNCTION("""COMPUTED_VALUE"""),"")</f>
        <v/>
      </c>
      <c r="E2343" s="80" t="str">
        <f ca="1">IFERROR(__xludf.DUMMYFUNCTION("""COMPUTED_VALUE"""),"")</f>
        <v/>
      </c>
      <c r="F2343" s="86" t="str">
        <f ca="1">IFERROR(__xludf.DUMMYFUNCTION("""COMPUTED_VALUE"""),"")</f>
        <v/>
      </c>
      <c r="G2343" s="86" t="str">
        <f ca="1">IFERROR(__xludf.DUMMYFUNCTION("""COMPUTED_VALUE"""),"")</f>
        <v/>
      </c>
      <c r="H2343" s="86"/>
      <c r="I2343" s="86" t="str">
        <f ca="1">IFERROR(__xludf.DUMMYFUNCTION("""COMPUTED_VALUE"""),"")</f>
        <v/>
      </c>
      <c r="J2343" s="85" t="str">
        <f ca="1">IFERROR(__xludf.DUMMYFUNCTION("""COMPUTED_VALUE"""),"")</f>
        <v/>
      </c>
      <c r="K2343" s="85" t="str">
        <f ca="1">IFERROR(__xludf.DUMMYFUNCTION("""COMPUTED_VALUE"""),"")</f>
        <v/>
      </c>
      <c r="L2343" s="85" t="str">
        <f ca="1">IFERROR(__xludf.DUMMYFUNCTION("""COMPUTED_VALUE"""),"")</f>
        <v/>
      </c>
      <c r="M2343" s="85"/>
      <c r="N2343" s="85" t="str">
        <f ca="1">IFERROR(__xludf.DUMMYFUNCTION("""COMPUTED_VALUE"""),"")</f>
        <v/>
      </c>
      <c r="O2343" s="85"/>
      <c r="P2343" s="85" t="str">
        <f ca="1">IFERROR(__xludf.DUMMYFUNCTION("""COMPUTED_VALUE"""),"")</f>
        <v/>
      </c>
      <c r="Q2343" s="85"/>
      <c r="R2343" s="85" t="str">
        <f ca="1">IFERROR(__xludf.DUMMYFUNCTION("""COMPUTED_VALUE"""),"")</f>
        <v/>
      </c>
      <c r="S2343" s="85"/>
      <c r="T2343" s="85"/>
      <c r="U2343" s="82"/>
      <c r="V2343" s="82"/>
      <c r="W2343" s="83"/>
      <c r="X2343" s="83"/>
      <c r="Y2343" s="83"/>
    </row>
    <row r="2344" spans="1:25" ht="13.8">
      <c r="A2344" s="78"/>
      <c r="B2344" s="79" t="str">
        <f ca="1">IFERROR(__xludf.DUMMYFUNCTION("""COMPUTED_VALUE"""),"")</f>
        <v/>
      </c>
      <c r="C2344" s="78" t="str">
        <f ca="1">IFERROR(__xludf.DUMMYFUNCTION("""COMPUTED_VALUE"""),"")</f>
        <v/>
      </c>
      <c r="D2344" s="78" t="str">
        <f ca="1">IFERROR(__xludf.DUMMYFUNCTION("""COMPUTED_VALUE"""),"")</f>
        <v/>
      </c>
      <c r="E2344" s="80" t="str">
        <f ca="1">IFERROR(__xludf.DUMMYFUNCTION("""COMPUTED_VALUE"""),"")</f>
        <v/>
      </c>
      <c r="F2344" s="86" t="str">
        <f ca="1">IFERROR(__xludf.DUMMYFUNCTION("""COMPUTED_VALUE"""),"")</f>
        <v/>
      </c>
      <c r="G2344" s="86" t="str">
        <f ca="1">IFERROR(__xludf.DUMMYFUNCTION("""COMPUTED_VALUE"""),"")</f>
        <v/>
      </c>
      <c r="H2344" s="86"/>
      <c r="I2344" s="86" t="str">
        <f ca="1">IFERROR(__xludf.DUMMYFUNCTION("""COMPUTED_VALUE"""),"")</f>
        <v/>
      </c>
      <c r="J2344" s="85" t="str">
        <f ca="1">IFERROR(__xludf.DUMMYFUNCTION("""COMPUTED_VALUE"""),"")</f>
        <v/>
      </c>
      <c r="K2344" s="85" t="str">
        <f ca="1">IFERROR(__xludf.DUMMYFUNCTION("""COMPUTED_VALUE"""),"")</f>
        <v/>
      </c>
      <c r="L2344" s="85" t="str">
        <f ca="1">IFERROR(__xludf.DUMMYFUNCTION("""COMPUTED_VALUE"""),"")</f>
        <v/>
      </c>
      <c r="M2344" s="85"/>
      <c r="N2344" s="85" t="str">
        <f ca="1">IFERROR(__xludf.DUMMYFUNCTION("""COMPUTED_VALUE"""),"")</f>
        <v/>
      </c>
      <c r="O2344" s="85"/>
      <c r="P2344" s="85" t="str">
        <f ca="1">IFERROR(__xludf.DUMMYFUNCTION("""COMPUTED_VALUE"""),"")</f>
        <v/>
      </c>
      <c r="Q2344" s="85"/>
      <c r="R2344" s="85" t="str">
        <f ca="1">IFERROR(__xludf.DUMMYFUNCTION("""COMPUTED_VALUE"""),"")</f>
        <v/>
      </c>
      <c r="S2344" s="85"/>
      <c r="T2344" s="85"/>
      <c r="U2344" s="82"/>
      <c r="V2344" s="82"/>
      <c r="W2344" s="83"/>
      <c r="X2344" s="83"/>
      <c r="Y2344" s="83"/>
    </row>
    <row r="2345" spans="1:25" ht="13.8">
      <c r="A2345" s="78"/>
      <c r="B2345" s="79" t="str">
        <f ca="1">IFERROR(__xludf.DUMMYFUNCTION("""COMPUTED_VALUE"""),"")</f>
        <v/>
      </c>
      <c r="C2345" s="78" t="str">
        <f ca="1">IFERROR(__xludf.DUMMYFUNCTION("""COMPUTED_VALUE"""),"")</f>
        <v/>
      </c>
      <c r="D2345" s="78" t="str">
        <f ca="1">IFERROR(__xludf.DUMMYFUNCTION("""COMPUTED_VALUE"""),"")</f>
        <v/>
      </c>
      <c r="E2345" s="80" t="str">
        <f ca="1">IFERROR(__xludf.DUMMYFUNCTION("""COMPUTED_VALUE"""),"")</f>
        <v/>
      </c>
      <c r="F2345" s="86" t="str">
        <f ca="1">IFERROR(__xludf.DUMMYFUNCTION("""COMPUTED_VALUE"""),"")</f>
        <v/>
      </c>
      <c r="G2345" s="86" t="str">
        <f ca="1">IFERROR(__xludf.DUMMYFUNCTION("""COMPUTED_VALUE"""),"")</f>
        <v/>
      </c>
      <c r="H2345" s="86"/>
      <c r="I2345" s="86" t="str">
        <f ca="1">IFERROR(__xludf.DUMMYFUNCTION("""COMPUTED_VALUE"""),"")</f>
        <v/>
      </c>
      <c r="J2345" s="85" t="str">
        <f ca="1">IFERROR(__xludf.DUMMYFUNCTION("""COMPUTED_VALUE"""),"")</f>
        <v/>
      </c>
      <c r="K2345" s="85" t="str">
        <f ca="1">IFERROR(__xludf.DUMMYFUNCTION("""COMPUTED_VALUE"""),"")</f>
        <v/>
      </c>
      <c r="L2345" s="85" t="str">
        <f ca="1">IFERROR(__xludf.DUMMYFUNCTION("""COMPUTED_VALUE"""),"")</f>
        <v/>
      </c>
      <c r="M2345" s="85"/>
      <c r="N2345" s="85" t="str">
        <f ca="1">IFERROR(__xludf.DUMMYFUNCTION("""COMPUTED_VALUE"""),"")</f>
        <v/>
      </c>
      <c r="O2345" s="85"/>
      <c r="P2345" s="85" t="str">
        <f ca="1">IFERROR(__xludf.DUMMYFUNCTION("""COMPUTED_VALUE"""),"")</f>
        <v/>
      </c>
      <c r="Q2345" s="85"/>
      <c r="R2345" s="85" t="str">
        <f ca="1">IFERROR(__xludf.DUMMYFUNCTION("""COMPUTED_VALUE"""),"")</f>
        <v/>
      </c>
      <c r="S2345" s="85"/>
      <c r="T2345" s="85"/>
      <c r="U2345" s="82"/>
      <c r="V2345" s="82"/>
      <c r="W2345" s="83"/>
      <c r="X2345" s="83"/>
      <c r="Y2345" s="83"/>
    </row>
    <row r="2346" spans="1:25" ht="13.8">
      <c r="A2346" s="78"/>
      <c r="B2346" s="79" t="str">
        <f ca="1">IFERROR(__xludf.DUMMYFUNCTION("""COMPUTED_VALUE"""),"")</f>
        <v/>
      </c>
      <c r="C2346" s="78" t="str">
        <f ca="1">IFERROR(__xludf.DUMMYFUNCTION("""COMPUTED_VALUE"""),"")</f>
        <v/>
      </c>
      <c r="D2346" s="78" t="str">
        <f ca="1">IFERROR(__xludf.DUMMYFUNCTION("""COMPUTED_VALUE"""),"")</f>
        <v/>
      </c>
      <c r="E2346" s="80" t="str">
        <f ca="1">IFERROR(__xludf.DUMMYFUNCTION("""COMPUTED_VALUE"""),"")</f>
        <v/>
      </c>
      <c r="F2346" s="86" t="str">
        <f ca="1">IFERROR(__xludf.DUMMYFUNCTION("""COMPUTED_VALUE"""),"")</f>
        <v/>
      </c>
      <c r="G2346" s="86" t="str">
        <f ca="1">IFERROR(__xludf.DUMMYFUNCTION("""COMPUTED_VALUE"""),"")</f>
        <v/>
      </c>
      <c r="H2346" s="86"/>
      <c r="I2346" s="86" t="str">
        <f ca="1">IFERROR(__xludf.DUMMYFUNCTION("""COMPUTED_VALUE"""),"")</f>
        <v/>
      </c>
      <c r="J2346" s="85" t="str">
        <f ca="1">IFERROR(__xludf.DUMMYFUNCTION("""COMPUTED_VALUE"""),"")</f>
        <v/>
      </c>
      <c r="K2346" s="85" t="str">
        <f ca="1">IFERROR(__xludf.DUMMYFUNCTION("""COMPUTED_VALUE"""),"")</f>
        <v/>
      </c>
      <c r="L2346" s="85" t="str">
        <f ca="1">IFERROR(__xludf.DUMMYFUNCTION("""COMPUTED_VALUE"""),"")</f>
        <v/>
      </c>
      <c r="M2346" s="85"/>
      <c r="N2346" s="85" t="str">
        <f ca="1">IFERROR(__xludf.DUMMYFUNCTION("""COMPUTED_VALUE"""),"")</f>
        <v/>
      </c>
      <c r="O2346" s="85"/>
      <c r="P2346" s="85" t="str">
        <f ca="1">IFERROR(__xludf.DUMMYFUNCTION("""COMPUTED_VALUE"""),"")</f>
        <v/>
      </c>
      <c r="Q2346" s="85"/>
      <c r="R2346" s="85" t="str">
        <f ca="1">IFERROR(__xludf.DUMMYFUNCTION("""COMPUTED_VALUE"""),"")</f>
        <v/>
      </c>
      <c r="S2346" s="85"/>
      <c r="T2346" s="85"/>
      <c r="U2346" s="82"/>
      <c r="V2346" s="82"/>
      <c r="W2346" s="83"/>
      <c r="X2346" s="83"/>
      <c r="Y2346" s="83"/>
    </row>
    <row r="2347" spans="1:25" ht="13.8">
      <c r="A2347" s="78"/>
      <c r="B2347" s="79" t="str">
        <f ca="1">IFERROR(__xludf.DUMMYFUNCTION("""COMPUTED_VALUE"""),"")</f>
        <v/>
      </c>
      <c r="C2347" s="78" t="str">
        <f ca="1">IFERROR(__xludf.DUMMYFUNCTION("""COMPUTED_VALUE"""),"")</f>
        <v/>
      </c>
      <c r="D2347" s="78" t="str">
        <f ca="1">IFERROR(__xludf.DUMMYFUNCTION("""COMPUTED_VALUE"""),"")</f>
        <v/>
      </c>
      <c r="E2347" s="80" t="str">
        <f ca="1">IFERROR(__xludf.DUMMYFUNCTION("""COMPUTED_VALUE"""),"")</f>
        <v/>
      </c>
      <c r="F2347" s="86" t="str">
        <f ca="1">IFERROR(__xludf.DUMMYFUNCTION("""COMPUTED_VALUE"""),"")</f>
        <v/>
      </c>
      <c r="G2347" s="86" t="str">
        <f ca="1">IFERROR(__xludf.DUMMYFUNCTION("""COMPUTED_VALUE"""),"")</f>
        <v/>
      </c>
      <c r="H2347" s="86"/>
      <c r="I2347" s="86" t="str">
        <f ca="1">IFERROR(__xludf.DUMMYFUNCTION("""COMPUTED_VALUE"""),"")</f>
        <v/>
      </c>
      <c r="J2347" s="85" t="str">
        <f ca="1">IFERROR(__xludf.DUMMYFUNCTION("""COMPUTED_VALUE"""),"")</f>
        <v/>
      </c>
      <c r="K2347" s="85" t="str">
        <f ca="1">IFERROR(__xludf.DUMMYFUNCTION("""COMPUTED_VALUE"""),"")</f>
        <v/>
      </c>
      <c r="L2347" s="85" t="str">
        <f ca="1">IFERROR(__xludf.DUMMYFUNCTION("""COMPUTED_VALUE"""),"")</f>
        <v/>
      </c>
      <c r="M2347" s="85"/>
      <c r="N2347" s="85" t="str">
        <f ca="1">IFERROR(__xludf.DUMMYFUNCTION("""COMPUTED_VALUE"""),"")</f>
        <v/>
      </c>
      <c r="O2347" s="85"/>
      <c r="P2347" s="85" t="str">
        <f ca="1">IFERROR(__xludf.DUMMYFUNCTION("""COMPUTED_VALUE"""),"")</f>
        <v/>
      </c>
      <c r="Q2347" s="85"/>
      <c r="R2347" s="85" t="str">
        <f ca="1">IFERROR(__xludf.DUMMYFUNCTION("""COMPUTED_VALUE"""),"")</f>
        <v/>
      </c>
      <c r="S2347" s="85"/>
      <c r="T2347" s="85"/>
      <c r="U2347" s="82"/>
      <c r="V2347" s="82"/>
      <c r="W2347" s="83"/>
      <c r="X2347" s="83"/>
      <c r="Y2347" s="83"/>
    </row>
    <row r="2348" spans="1:25" ht="13.8">
      <c r="A2348" s="78"/>
      <c r="B2348" s="79" t="str">
        <f ca="1">IFERROR(__xludf.DUMMYFUNCTION("""COMPUTED_VALUE"""),"")</f>
        <v/>
      </c>
      <c r="C2348" s="78" t="str">
        <f ca="1">IFERROR(__xludf.DUMMYFUNCTION("""COMPUTED_VALUE"""),"")</f>
        <v/>
      </c>
      <c r="D2348" s="78" t="str">
        <f ca="1">IFERROR(__xludf.DUMMYFUNCTION("""COMPUTED_VALUE"""),"")</f>
        <v/>
      </c>
      <c r="E2348" s="80" t="str">
        <f ca="1">IFERROR(__xludf.DUMMYFUNCTION("""COMPUTED_VALUE"""),"")</f>
        <v/>
      </c>
      <c r="F2348" s="86" t="str">
        <f ca="1">IFERROR(__xludf.DUMMYFUNCTION("""COMPUTED_VALUE"""),"")</f>
        <v/>
      </c>
      <c r="G2348" s="86" t="str">
        <f ca="1">IFERROR(__xludf.DUMMYFUNCTION("""COMPUTED_VALUE"""),"")</f>
        <v/>
      </c>
      <c r="H2348" s="86"/>
      <c r="I2348" s="86" t="str">
        <f ca="1">IFERROR(__xludf.DUMMYFUNCTION("""COMPUTED_VALUE"""),"")</f>
        <v/>
      </c>
      <c r="J2348" s="85" t="str">
        <f ca="1">IFERROR(__xludf.DUMMYFUNCTION("""COMPUTED_VALUE"""),"")</f>
        <v/>
      </c>
      <c r="K2348" s="85" t="str">
        <f ca="1">IFERROR(__xludf.DUMMYFUNCTION("""COMPUTED_VALUE"""),"")</f>
        <v/>
      </c>
      <c r="L2348" s="85" t="str">
        <f ca="1">IFERROR(__xludf.DUMMYFUNCTION("""COMPUTED_VALUE"""),"")</f>
        <v/>
      </c>
      <c r="M2348" s="85"/>
      <c r="N2348" s="85" t="str">
        <f ca="1">IFERROR(__xludf.DUMMYFUNCTION("""COMPUTED_VALUE"""),"")</f>
        <v/>
      </c>
      <c r="O2348" s="85"/>
      <c r="P2348" s="85" t="str">
        <f ca="1">IFERROR(__xludf.DUMMYFUNCTION("""COMPUTED_VALUE"""),"")</f>
        <v/>
      </c>
      <c r="Q2348" s="85"/>
      <c r="R2348" s="85" t="str">
        <f ca="1">IFERROR(__xludf.DUMMYFUNCTION("""COMPUTED_VALUE"""),"")</f>
        <v/>
      </c>
      <c r="S2348" s="85"/>
      <c r="T2348" s="85"/>
      <c r="U2348" s="82"/>
      <c r="V2348" s="82"/>
      <c r="W2348" s="83"/>
      <c r="X2348" s="83"/>
      <c r="Y2348" s="83"/>
    </row>
    <row r="2349" spans="1:25" ht="13.8">
      <c r="A2349" s="78"/>
      <c r="B2349" s="79" t="str">
        <f ca="1">IFERROR(__xludf.DUMMYFUNCTION("""COMPUTED_VALUE"""),"")</f>
        <v/>
      </c>
      <c r="C2349" s="78" t="str">
        <f ca="1">IFERROR(__xludf.DUMMYFUNCTION("""COMPUTED_VALUE"""),"")</f>
        <v/>
      </c>
      <c r="D2349" s="78" t="str">
        <f ca="1">IFERROR(__xludf.DUMMYFUNCTION("""COMPUTED_VALUE"""),"")</f>
        <v/>
      </c>
      <c r="E2349" s="80" t="str">
        <f ca="1">IFERROR(__xludf.DUMMYFUNCTION("""COMPUTED_VALUE"""),"")</f>
        <v/>
      </c>
      <c r="F2349" s="86" t="str">
        <f ca="1">IFERROR(__xludf.DUMMYFUNCTION("""COMPUTED_VALUE"""),"")</f>
        <v/>
      </c>
      <c r="G2349" s="86" t="str">
        <f ca="1">IFERROR(__xludf.DUMMYFUNCTION("""COMPUTED_VALUE"""),"")</f>
        <v/>
      </c>
      <c r="H2349" s="86"/>
      <c r="I2349" s="86" t="str">
        <f ca="1">IFERROR(__xludf.DUMMYFUNCTION("""COMPUTED_VALUE"""),"")</f>
        <v/>
      </c>
      <c r="J2349" s="85" t="str">
        <f ca="1">IFERROR(__xludf.DUMMYFUNCTION("""COMPUTED_VALUE"""),"")</f>
        <v/>
      </c>
      <c r="K2349" s="85" t="str">
        <f ca="1">IFERROR(__xludf.DUMMYFUNCTION("""COMPUTED_VALUE"""),"")</f>
        <v/>
      </c>
      <c r="L2349" s="85" t="str">
        <f ca="1">IFERROR(__xludf.DUMMYFUNCTION("""COMPUTED_VALUE"""),"")</f>
        <v/>
      </c>
      <c r="M2349" s="85"/>
      <c r="N2349" s="85" t="str">
        <f ca="1">IFERROR(__xludf.DUMMYFUNCTION("""COMPUTED_VALUE"""),"")</f>
        <v/>
      </c>
      <c r="O2349" s="85"/>
      <c r="P2349" s="85" t="str">
        <f ca="1">IFERROR(__xludf.DUMMYFUNCTION("""COMPUTED_VALUE"""),"")</f>
        <v/>
      </c>
      <c r="Q2349" s="85"/>
      <c r="R2349" s="85" t="str">
        <f ca="1">IFERROR(__xludf.DUMMYFUNCTION("""COMPUTED_VALUE"""),"")</f>
        <v/>
      </c>
      <c r="S2349" s="85"/>
      <c r="T2349" s="85"/>
      <c r="U2349" s="82"/>
      <c r="V2349" s="82"/>
      <c r="W2349" s="83"/>
      <c r="X2349" s="83"/>
      <c r="Y2349" s="83"/>
    </row>
    <row r="2350" spans="1:25" ht="13.8">
      <c r="A2350" s="78"/>
      <c r="B2350" s="79" t="str">
        <f ca="1">IFERROR(__xludf.DUMMYFUNCTION("""COMPUTED_VALUE"""),"")</f>
        <v/>
      </c>
      <c r="C2350" s="78" t="str">
        <f ca="1">IFERROR(__xludf.DUMMYFUNCTION("""COMPUTED_VALUE"""),"")</f>
        <v/>
      </c>
      <c r="D2350" s="78" t="str">
        <f ca="1">IFERROR(__xludf.DUMMYFUNCTION("""COMPUTED_VALUE"""),"")</f>
        <v/>
      </c>
      <c r="E2350" s="80" t="str">
        <f ca="1">IFERROR(__xludf.DUMMYFUNCTION("""COMPUTED_VALUE"""),"")</f>
        <v/>
      </c>
      <c r="F2350" s="86" t="str">
        <f ca="1">IFERROR(__xludf.DUMMYFUNCTION("""COMPUTED_VALUE"""),"")</f>
        <v/>
      </c>
      <c r="G2350" s="86" t="str">
        <f ca="1">IFERROR(__xludf.DUMMYFUNCTION("""COMPUTED_VALUE"""),"")</f>
        <v/>
      </c>
      <c r="H2350" s="86"/>
      <c r="I2350" s="86" t="str">
        <f ca="1">IFERROR(__xludf.DUMMYFUNCTION("""COMPUTED_VALUE"""),"")</f>
        <v/>
      </c>
      <c r="J2350" s="85" t="str">
        <f ca="1">IFERROR(__xludf.DUMMYFUNCTION("""COMPUTED_VALUE"""),"")</f>
        <v/>
      </c>
      <c r="K2350" s="85" t="str">
        <f ca="1">IFERROR(__xludf.DUMMYFUNCTION("""COMPUTED_VALUE"""),"")</f>
        <v/>
      </c>
      <c r="L2350" s="85" t="str">
        <f ca="1">IFERROR(__xludf.DUMMYFUNCTION("""COMPUTED_VALUE"""),"")</f>
        <v/>
      </c>
      <c r="M2350" s="85"/>
      <c r="N2350" s="85" t="str">
        <f ca="1">IFERROR(__xludf.DUMMYFUNCTION("""COMPUTED_VALUE"""),"")</f>
        <v/>
      </c>
      <c r="O2350" s="85"/>
      <c r="P2350" s="85" t="str">
        <f ca="1">IFERROR(__xludf.DUMMYFUNCTION("""COMPUTED_VALUE"""),"")</f>
        <v/>
      </c>
      <c r="Q2350" s="85"/>
      <c r="R2350" s="85" t="str">
        <f ca="1">IFERROR(__xludf.DUMMYFUNCTION("""COMPUTED_VALUE"""),"")</f>
        <v/>
      </c>
      <c r="S2350" s="85"/>
      <c r="T2350" s="85"/>
      <c r="U2350" s="82"/>
      <c r="V2350" s="82"/>
      <c r="W2350" s="83"/>
      <c r="X2350" s="83"/>
      <c r="Y2350" s="83"/>
    </row>
    <row r="2351" spans="1:25" ht="13.8">
      <c r="A2351" s="78"/>
      <c r="B2351" s="79" t="str">
        <f ca="1">IFERROR(__xludf.DUMMYFUNCTION("""COMPUTED_VALUE"""),"")</f>
        <v/>
      </c>
      <c r="C2351" s="78" t="str">
        <f ca="1">IFERROR(__xludf.DUMMYFUNCTION("""COMPUTED_VALUE"""),"")</f>
        <v/>
      </c>
      <c r="D2351" s="78" t="str">
        <f ca="1">IFERROR(__xludf.DUMMYFUNCTION("""COMPUTED_VALUE"""),"")</f>
        <v/>
      </c>
      <c r="E2351" s="80" t="str">
        <f ca="1">IFERROR(__xludf.DUMMYFUNCTION("""COMPUTED_VALUE"""),"")</f>
        <v/>
      </c>
      <c r="F2351" s="86" t="str">
        <f ca="1">IFERROR(__xludf.DUMMYFUNCTION("""COMPUTED_VALUE"""),"")</f>
        <v/>
      </c>
      <c r="G2351" s="86" t="str">
        <f ca="1">IFERROR(__xludf.DUMMYFUNCTION("""COMPUTED_VALUE"""),"")</f>
        <v/>
      </c>
      <c r="H2351" s="86"/>
      <c r="I2351" s="86" t="str">
        <f ca="1">IFERROR(__xludf.DUMMYFUNCTION("""COMPUTED_VALUE"""),"")</f>
        <v/>
      </c>
      <c r="J2351" s="85" t="str">
        <f ca="1">IFERROR(__xludf.DUMMYFUNCTION("""COMPUTED_VALUE"""),"")</f>
        <v/>
      </c>
      <c r="K2351" s="85" t="str">
        <f ca="1">IFERROR(__xludf.DUMMYFUNCTION("""COMPUTED_VALUE"""),"")</f>
        <v/>
      </c>
      <c r="L2351" s="85" t="str">
        <f ca="1">IFERROR(__xludf.DUMMYFUNCTION("""COMPUTED_VALUE"""),"")</f>
        <v/>
      </c>
      <c r="M2351" s="85"/>
      <c r="N2351" s="85" t="str">
        <f ca="1">IFERROR(__xludf.DUMMYFUNCTION("""COMPUTED_VALUE"""),"")</f>
        <v/>
      </c>
      <c r="O2351" s="85"/>
      <c r="P2351" s="85" t="str">
        <f ca="1">IFERROR(__xludf.DUMMYFUNCTION("""COMPUTED_VALUE"""),"")</f>
        <v/>
      </c>
      <c r="Q2351" s="85"/>
      <c r="R2351" s="85" t="str">
        <f ca="1">IFERROR(__xludf.DUMMYFUNCTION("""COMPUTED_VALUE"""),"")</f>
        <v/>
      </c>
      <c r="S2351" s="85"/>
      <c r="T2351" s="85"/>
      <c r="U2351" s="82"/>
      <c r="V2351" s="82"/>
      <c r="W2351" s="83"/>
      <c r="X2351" s="83"/>
      <c r="Y2351" s="83"/>
    </row>
    <row r="2352" spans="1:25" ht="13.8">
      <c r="A2352" s="78"/>
      <c r="B2352" s="79" t="str">
        <f ca="1">IFERROR(__xludf.DUMMYFUNCTION("""COMPUTED_VALUE"""),"")</f>
        <v/>
      </c>
      <c r="C2352" s="78" t="str">
        <f ca="1">IFERROR(__xludf.DUMMYFUNCTION("""COMPUTED_VALUE"""),"")</f>
        <v/>
      </c>
      <c r="D2352" s="78" t="str">
        <f ca="1">IFERROR(__xludf.DUMMYFUNCTION("""COMPUTED_VALUE"""),"")</f>
        <v/>
      </c>
      <c r="E2352" s="80" t="str">
        <f ca="1">IFERROR(__xludf.DUMMYFUNCTION("""COMPUTED_VALUE"""),"")</f>
        <v/>
      </c>
      <c r="F2352" s="86" t="str">
        <f ca="1">IFERROR(__xludf.DUMMYFUNCTION("""COMPUTED_VALUE"""),"")</f>
        <v/>
      </c>
      <c r="G2352" s="86" t="str">
        <f ca="1">IFERROR(__xludf.DUMMYFUNCTION("""COMPUTED_VALUE"""),"")</f>
        <v/>
      </c>
      <c r="H2352" s="86"/>
      <c r="I2352" s="86" t="str">
        <f ca="1">IFERROR(__xludf.DUMMYFUNCTION("""COMPUTED_VALUE"""),"")</f>
        <v/>
      </c>
      <c r="J2352" s="85" t="str">
        <f ca="1">IFERROR(__xludf.DUMMYFUNCTION("""COMPUTED_VALUE"""),"")</f>
        <v/>
      </c>
      <c r="K2352" s="85" t="str">
        <f ca="1">IFERROR(__xludf.DUMMYFUNCTION("""COMPUTED_VALUE"""),"")</f>
        <v/>
      </c>
      <c r="L2352" s="85" t="str">
        <f ca="1">IFERROR(__xludf.DUMMYFUNCTION("""COMPUTED_VALUE"""),"")</f>
        <v/>
      </c>
      <c r="M2352" s="85"/>
      <c r="N2352" s="85" t="str">
        <f ca="1">IFERROR(__xludf.DUMMYFUNCTION("""COMPUTED_VALUE"""),"")</f>
        <v/>
      </c>
      <c r="O2352" s="85"/>
      <c r="P2352" s="85" t="str">
        <f ca="1">IFERROR(__xludf.DUMMYFUNCTION("""COMPUTED_VALUE"""),"")</f>
        <v/>
      </c>
      <c r="Q2352" s="85"/>
      <c r="R2352" s="85" t="str">
        <f ca="1">IFERROR(__xludf.DUMMYFUNCTION("""COMPUTED_VALUE"""),"")</f>
        <v/>
      </c>
      <c r="S2352" s="85"/>
      <c r="T2352" s="85"/>
      <c r="U2352" s="82"/>
      <c r="V2352" s="82"/>
      <c r="W2352" s="83"/>
      <c r="X2352" s="83"/>
      <c r="Y2352" s="83"/>
    </row>
    <row r="2353" spans="1:25" ht="13.8">
      <c r="A2353" s="78"/>
      <c r="B2353" s="79" t="str">
        <f ca="1">IFERROR(__xludf.DUMMYFUNCTION("""COMPUTED_VALUE"""),"")</f>
        <v/>
      </c>
      <c r="C2353" s="78" t="str">
        <f ca="1">IFERROR(__xludf.DUMMYFUNCTION("""COMPUTED_VALUE"""),"")</f>
        <v/>
      </c>
      <c r="D2353" s="78" t="str">
        <f ca="1">IFERROR(__xludf.DUMMYFUNCTION("""COMPUTED_VALUE"""),"")</f>
        <v/>
      </c>
      <c r="E2353" s="80" t="str">
        <f ca="1">IFERROR(__xludf.DUMMYFUNCTION("""COMPUTED_VALUE"""),"")</f>
        <v/>
      </c>
      <c r="F2353" s="86" t="str">
        <f ca="1">IFERROR(__xludf.DUMMYFUNCTION("""COMPUTED_VALUE"""),"")</f>
        <v/>
      </c>
      <c r="G2353" s="86" t="str">
        <f ca="1">IFERROR(__xludf.DUMMYFUNCTION("""COMPUTED_VALUE"""),"")</f>
        <v/>
      </c>
      <c r="H2353" s="86"/>
      <c r="I2353" s="86" t="str">
        <f ca="1">IFERROR(__xludf.DUMMYFUNCTION("""COMPUTED_VALUE"""),"")</f>
        <v/>
      </c>
      <c r="J2353" s="85" t="str">
        <f ca="1">IFERROR(__xludf.DUMMYFUNCTION("""COMPUTED_VALUE"""),"")</f>
        <v/>
      </c>
      <c r="K2353" s="85" t="str">
        <f ca="1">IFERROR(__xludf.DUMMYFUNCTION("""COMPUTED_VALUE"""),"")</f>
        <v/>
      </c>
      <c r="L2353" s="85" t="str">
        <f ca="1">IFERROR(__xludf.DUMMYFUNCTION("""COMPUTED_VALUE"""),"")</f>
        <v/>
      </c>
      <c r="M2353" s="85"/>
      <c r="N2353" s="85" t="str">
        <f ca="1">IFERROR(__xludf.DUMMYFUNCTION("""COMPUTED_VALUE"""),"")</f>
        <v/>
      </c>
      <c r="O2353" s="85"/>
      <c r="P2353" s="85" t="str">
        <f ca="1">IFERROR(__xludf.DUMMYFUNCTION("""COMPUTED_VALUE"""),"")</f>
        <v/>
      </c>
      <c r="Q2353" s="85"/>
      <c r="R2353" s="85" t="str">
        <f ca="1">IFERROR(__xludf.DUMMYFUNCTION("""COMPUTED_VALUE"""),"")</f>
        <v/>
      </c>
      <c r="S2353" s="85"/>
      <c r="T2353" s="85"/>
      <c r="U2353" s="82"/>
      <c r="V2353" s="82"/>
      <c r="W2353" s="83"/>
      <c r="X2353" s="83"/>
      <c r="Y2353" s="83"/>
    </row>
    <row r="2354" spans="1:25" ht="13.8">
      <c r="A2354" s="78"/>
      <c r="B2354" s="79" t="str">
        <f ca="1">IFERROR(__xludf.DUMMYFUNCTION("""COMPUTED_VALUE"""),"")</f>
        <v/>
      </c>
      <c r="C2354" s="78" t="str">
        <f ca="1">IFERROR(__xludf.DUMMYFUNCTION("""COMPUTED_VALUE"""),"")</f>
        <v/>
      </c>
      <c r="D2354" s="78" t="str">
        <f ca="1">IFERROR(__xludf.DUMMYFUNCTION("""COMPUTED_VALUE"""),"")</f>
        <v/>
      </c>
      <c r="E2354" s="80" t="str">
        <f ca="1">IFERROR(__xludf.DUMMYFUNCTION("""COMPUTED_VALUE"""),"")</f>
        <v/>
      </c>
      <c r="F2354" s="86" t="str">
        <f ca="1">IFERROR(__xludf.DUMMYFUNCTION("""COMPUTED_VALUE"""),"")</f>
        <v/>
      </c>
      <c r="G2354" s="86" t="str">
        <f ca="1">IFERROR(__xludf.DUMMYFUNCTION("""COMPUTED_VALUE"""),"")</f>
        <v/>
      </c>
      <c r="H2354" s="86"/>
      <c r="I2354" s="86" t="str">
        <f ca="1">IFERROR(__xludf.DUMMYFUNCTION("""COMPUTED_VALUE"""),"")</f>
        <v/>
      </c>
      <c r="J2354" s="85" t="str">
        <f ca="1">IFERROR(__xludf.DUMMYFUNCTION("""COMPUTED_VALUE"""),"")</f>
        <v/>
      </c>
      <c r="K2354" s="85" t="str">
        <f ca="1">IFERROR(__xludf.DUMMYFUNCTION("""COMPUTED_VALUE"""),"")</f>
        <v/>
      </c>
      <c r="L2354" s="85" t="str">
        <f ca="1">IFERROR(__xludf.DUMMYFUNCTION("""COMPUTED_VALUE"""),"")</f>
        <v/>
      </c>
      <c r="M2354" s="85"/>
      <c r="N2354" s="85" t="str">
        <f ca="1">IFERROR(__xludf.DUMMYFUNCTION("""COMPUTED_VALUE"""),"")</f>
        <v/>
      </c>
      <c r="O2354" s="85"/>
      <c r="P2354" s="85" t="str">
        <f ca="1">IFERROR(__xludf.DUMMYFUNCTION("""COMPUTED_VALUE"""),"")</f>
        <v/>
      </c>
      <c r="Q2354" s="85"/>
      <c r="R2354" s="85" t="str">
        <f ca="1">IFERROR(__xludf.DUMMYFUNCTION("""COMPUTED_VALUE"""),"")</f>
        <v/>
      </c>
      <c r="S2354" s="85"/>
      <c r="T2354" s="85"/>
      <c r="U2354" s="82"/>
      <c r="V2354" s="82"/>
      <c r="W2354" s="83"/>
      <c r="X2354" s="83"/>
      <c r="Y2354" s="83"/>
    </row>
    <row r="2355" spans="1:25" ht="13.8">
      <c r="A2355" s="78"/>
      <c r="B2355" s="79" t="str">
        <f ca="1">IFERROR(__xludf.DUMMYFUNCTION("""COMPUTED_VALUE"""),"")</f>
        <v/>
      </c>
      <c r="C2355" s="78" t="str">
        <f ca="1">IFERROR(__xludf.DUMMYFUNCTION("""COMPUTED_VALUE"""),"")</f>
        <v/>
      </c>
      <c r="D2355" s="78" t="str">
        <f ca="1">IFERROR(__xludf.DUMMYFUNCTION("""COMPUTED_VALUE"""),"")</f>
        <v/>
      </c>
      <c r="E2355" s="80" t="str">
        <f ca="1">IFERROR(__xludf.DUMMYFUNCTION("""COMPUTED_VALUE"""),"")</f>
        <v/>
      </c>
      <c r="F2355" s="86" t="str">
        <f ca="1">IFERROR(__xludf.DUMMYFUNCTION("""COMPUTED_VALUE"""),"")</f>
        <v/>
      </c>
      <c r="G2355" s="86" t="str">
        <f ca="1">IFERROR(__xludf.DUMMYFUNCTION("""COMPUTED_VALUE"""),"")</f>
        <v/>
      </c>
      <c r="H2355" s="86"/>
      <c r="I2355" s="86" t="str">
        <f ca="1">IFERROR(__xludf.DUMMYFUNCTION("""COMPUTED_VALUE"""),"")</f>
        <v/>
      </c>
      <c r="J2355" s="85" t="str">
        <f ca="1">IFERROR(__xludf.DUMMYFUNCTION("""COMPUTED_VALUE"""),"")</f>
        <v/>
      </c>
      <c r="K2355" s="85" t="str">
        <f ca="1">IFERROR(__xludf.DUMMYFUNCTION("""COMPUTED_VALUE"""),"")</f>
        <v/>
      </c>
      <c r="L2355" s="85" t="str">
        <f ca="1">IFERROR(__xludf.DUMMYFUNCTION("""COMPUTED_VALUE"""),"")</f>
        <v/>
      </c>
      <c r="M2355" s="85"/>
      <c r="N2355" s="85" t="str">
        <f ca="1">IFERROR(__xludf.DUMMYFUNCTION("""COMPUTED_VALUE"""),"")</f>
        <v/>
      </c>
      <c r="O2355" s="85"/>
      <c r="P2355" s="85" t="str">
        <f ca="1">IFERROR(__xludf.DUMMYFUNCTION("""COMPUTED_VALUE"""),"")</f>
        <v/>
      </c>
      <c r="Q2355" s="85"/>
      <c r="R2355" s="85" t="str">
        <f ca="1">IFERROR(__xludf.DUMMYFUNCTION("""COMPUTED_VALUE"""),"")</f>
        <v/>
      </c>
      <c r="S2355" s="85"/>
      <c r="T2355" s="85"/>
      <c r="U2355" s="82"/>
      <c r="V2355" s="82"/>
      <c r="W2355" s="83"/>
      <c r="X2355" s="83"/>
      <c r="Y2355" s="83"/>
    </row>
    <row r="2356" spans="1:25" ht="13.8">
      <c r="A2356" s="78"/>
      <c r="B2356" s="79" t="str">
        <f ca="1">IFERROR(__xludf.DUMMYFUNCTION("""COMPUTED_VALUE"""),"")</f>
        <v/>
      </c>
      <c r="C2356" s="78" t="str">
        <f ca="1">IFERROR(__xludf.DUMMYFUNCTION("""COMPUTED_VALUE"""),"")</f>
        <v/>
      </c>
      <c r="D2356" s="78" t="str">
        <f ca="1">IFERROR(__xludf.DUMMYFUNCTION("""COMPUTED_VALUE"""),"")</f>
        <v/>
      </c>
      <c r="E2356" s="80" t="str">
        <f ca="1">IFERROR(__xludf.DUMMYFUNCTION("""COMPUTED_VALUE"""),"")</f>
        <v/>
      </c>
      <c r="F2356" s="86" t="str">
        <f ca="1">IFERROR(__xludf.DUMMYFUNCTION("""COMPUTED_VALUE"""),"")</f>
        <v/>
      </c>
      <c r="G2356" s="86" t="str">
        <f ca="1">IFERROR(__xludf.DUMMYFUNCTION("""COMPUTED_VALUE"""),"")</f>
        <v/>
      </c>
      <c r="H2356" s="86"/>
      <c r="I2356" s="86" t="str">
        <f ca="1">IFERROR(__xludf.DUMMYFUNCTION("""COMPUTED_VALUE"""),"")</f>
        <v/>
      </c>
      <c r="J2356" s="85" t="str">
        <f ca="1">IFERROR(__xludf.DUMMYFUNCTION("""COMPUTED_VALUE"""),"")</f>
        <v/>
      </c>
      <c r="K2356" s="85" t="str">
        <f ca="1">IFERROR(__xludf.DUMMYFUNCTION("""COMPUTED_VALUE"""),"")</f>
        <v/>
      </c>
      <c r="L2356" s="85" t="str">
        <f ca="1">IFERROR(__xludf.DUMMYFUNCTION("""COMPUTED_VALUE"""),"")</f>
        <v/>
      </c>
      <c r="M2356" s="85"/>
      <c r="N2356" s="85" t="str">
        <f ca="1">IFERROR(__xludf.DUMMYFUNCTION("""COMPUTED_VALUE"""),"")</f>
        <v/>
      </c>
      <c r="O2356" s="85"/>
      <c r="P2356" s="85" t="str">
        <f ca="1">IFERROR(__xludf.DUMMYFUNCTION("""COMPUTED_VALUE"""),"")</f>
        <v/>
      </c>
      <c r="Q2356" s="85"/>
      <c r="R2356" s="85" t="str">
        <f ca="1">IFERROR(__xludf.DUMMYFUNCTION("""COMPUTED_VALUE"""),"")</f>
        <v/>
      </c>
      <c r="S2356" s="85"/>
      <c r="T2356" s="85"/>
      <c r="U2356" s="82"/>
      <c r="V2356" s="82"/>
      <c r="W2356" s="83"/>
      <c r="X2356" s="83"/>
      <c r="Y2356" s="83"/>
    </row>
    <row r="2357" spans="1:25" ht="13.8">
      <c r="A2357" s="78"/>
      <c r="B2357" s="79" t="str">
        <f ca="1">IFERROR(__xludf.DUMMYFUNCTION("""COMPUTED_VALUE"""),"")</f>
        <v/>
      </c>
      <c r="C2357" s="78" t="str">
        <f ca="1">IFERROR(__xludf.DUMMYFUNCTION("""COMPUTED_VALUE"""),"")</f>
        <v/>
      </c>
      <c r="D2357" s="78" t="str">
        <f ca="1">IFERROR(__xludf.DUMMYFUNCTION("""COMPUTED_VALUE"""),"")</f>
        <v/>
      </c>
      <c r="E2357" s="80" t="str">
        <f ca="1">IFERROR(__xludf.DUMMYFUNCTION("""COMPUTED_VALUE"""),"")</f>
        <v/>
      </c>
      <c r="F2357" s="86" t="str">
        <f ca="1">IFERROR(__xludf.DUMMYFUNCTION("""COMPUTED_VALUE"""),"")</f>
        <v/>
      </c>
      <c r="G2357" s="86" t="str">
        <f ca="1">IFERROR(__xludf.DUMMYFUNCTION("""COMPUTED_VALUE"""),"")</f>
        <v/>
      </c>
      <c r="H2357" s="86"/>
      <c r="I2357" s="86" t="str">
        <f ca="1">IFERROR(__xludf.DUMMYFUNCTION("""COMPUTED_VALUE"""),"")</f>
        <v/>
      </c>
      <c r="J2357" s="85" t="str">
        <f ca="1">IFERROR(__xludf.DUMMYFUNCTION("""COMPUTED_VALUE"""),"")</f>
        <v/>
      </c>
      <c r="K2357" s="85" t="str">
        <f ca="1">IFERROR(__xludf.DUMMYFUNCTION("""COMPUTED_VALUE"""),"")</f>
        <v/>
      </c>
      <c r="L2357" s="85" t="str">
        <f ca="1">IFERROR(__xludf.DUMMYFUNCTION("""COMPUTED_VALUE"""),"")</f>
        <v/>
      </c>
      <c r="M2357" s="85"/>
      <c r="N2357" s="85" t="str">
        <f ca="1">IFERROR(__xludf.DUMMYFUNCTION("""COMPUTED_VALUE"""),"")</f>
        <v/>
      </c>
      <c r="O2357" s="85"/>
      <c r="P2357" s="85" t="str">
        <f ca="1">IFERROR(__xludf.DUMMYFUNCTION("""COMPUTED_VALUE"""),"")</f>
        <v/>
      </c>
      <c r="Q2357" s="85"/>
      <c r="R2357" s="85" t="str">
        <f ca="1">IFERROR(__xludf.DUMMYFUNCTION("""COMPUTED_VALUE"""),"")</f>
        <v/>
      </c>
      <c r="S2357" s="85"/>
      <c r="T2357" s="85"/>
      <c r="U2357" s="82"/>
      <c r="V2357" s="82"/>
      <c r="W2357" s="83"/>
      <c r="X2357" s="83"/>
      <c r="Y2357" s="83"/>
    </row>
    <row r="2358" spans="1:25" ht="13.8">
      <c r="A2358" s="78"/>
      <c r="B2358" s="79" t="str">
        <f ca="1">IFERROR(__xludf.DUMMYFUNCTION("""COMPUTED_VALUE"""),"")</f>
        <v/>
      </c>
      <c r="C2358" s="78" t="str">
        <f ca="1">IFERROR(__xludf.DUMMYFUNCTION("""COMPUTED_VALUE"""),"")</f>
        <v/>
      </c>
      <c r="D2358" s="78" t="str">
        <f ca="1">IFERROR(__xludf.DUMMYFUNCTION("""COMPUTED_VALUE"""),"")</f>
        <v/>
      </c>
      <c r="E2358" s="80" t="str">
        <f ca="1">IFERROR(__xludf.DUMMYFUNCTION("""COMPUTED_VALUE"""),"")</f>
        <v/>
      </c>
      <c r="F2358" s="86" t="str">
        <f ca="1">IFERROR(__xludf.DUMMYFUNCTION("""COMPUTED_VALUE"""),"")</f>
        <v/>
      </c>
      <c r="G2358" s="86" t="str">
        <f ca="1">IFERROR(__xludf.DUMMYFUNCTION("""COMPUTED_VALUE"""),"")</f>
        <v/>
      </c>
      <c r="H2358" s="86"/>
      <c r="I2358" s="86" t="str">
        <f ca="1">IFERROR(__xludf.DUMMYFUNCTION("""COMPUTED_VALUE"""),"")</f>
        <v/>
      </c>
      <c r="J2358" s="85" t="str">
        <f ca="1">IFERROR(__xludf.DUMMYFUNCTION("""COMPUTED_VALUE"""),"")</f>
        <v/>
      </c>
      <c r="K2358" s="85" t="str">
        <f ca="1">IFERROR(__xludf.DUMMYFUNCTION("""COMPUTED_VALUE"""),"")</f>
        <v/>
      </c>
      <c r="L2358" s="85" t="str">
        <f ca="1">IFERROR(__xludf.DUMMYFUNCTION("""COMPUTED_VALUE"""),"")</f>
        <v/>
      </c>
      <c r="M2358" s="85"/>
      <c r="N2358" s="85" t="str">
        <f ca="1">IFERROR(__xludf.DUMMYFUNCTION("""COMPUTED_VALUE"""),"")</f>
        <v/>
      </c>
      <c r="O2358" s="85"/>
      <c r="P2358" s="85" t="str">
        <f ca="1">IFERROR(__xludf.DUMMYFUNCTION("""COMPUTED_VALUE"""),"")</f>
        <v/>
      </c>
      <c r="Q2358" s="85"/>
      <c r="R2358" s="85" t="str">
        <f ca="1">IFERROR(__xludf.DUMMYFUNCTION("""COMPUTED_VALUE"""),"")</f>
        <v/>
      </c>
      <c r="S2358" s="85"/>
      <c r="T2358" s="85"/>
      <c r="U2358" s="82"/>
      <c r="V2358" s="82"/>
      <c r="W2358" s="83"/>
      <c r="X2358" s="83"/>
      <c r="Y2358" s="83"/>
    </row>
    <row r="2359" spans="1:25" ht="13.8">
      <c r="A2359" s="78"/>
      <c r="B2359" s="79" t="str">
        <f ca="1">IFERROR(__xludf.DUMMYFUNCTION("""COMPUTED_VALUE"""),"")</f>
        <v/>
      </c>
      <c r="C2359" s="78" t="str">
        <f ca="1">IFERROR(__xludf.DUMMYFUNCTION("""COMPUTED_VALUE"""),"")</f>
        <v/>
      </c>
      <c r="D2359" s="78" t="str">
        <f ca="1">IFERROR(__xludf.DUMMYFUNCTION("""COMPUTED_VALUE"""),"")</f>
        <v/>
      </c>
      <c r="E2359" s="80" t="str">
        <f ca="1">IFERROR(__xludf.DUMMYFUNCTION("""COMPUTED_VALUE"""),"")</f>
        <v/>
      </c>
      <c r="F2359" s="86" t="str">
        <f ca="1">IFERROR(__xludf.DUMMYFUNCTION("""COMPUTED_VALUE"""),"")</f>
        <v/>
      </c>
      <c r="G2359" s="86" t="str">
        <f ca="1">IFERROR(__xludf.DUMMYFUNCTION("""COMPUTED_VALUE"""),"")</f>
        <v/>
      </c>
      <c r="H2359" s="86"/>
      <c r="I2359" s="86" t="str">
        <f ca="1">IFERROR(__xludf.DUMMYFUNCTION("""COMPUTED_VALUE"""),"")</f>
        <v/>
      </c>
      <c r="J2359" s="85" t="str">
        <f ca="1">IFERROR(__xludf.DUMMYFUNCTION("""COMPUTED_VALUE"""),"")</f>
        <v/>
      </c>
      <c r="K2359" s="85" t="str">
        <f ca="1">IFERROR(__xludf.DUMMYFUNCTION("""COMPUTED_VALUE"""),"")</f>
        <v/>
      </c>
      <c r="L2359" s="85" t="str">
        <f ca="1">IFERROR(__xludf.DUMMYFUNCTION("""COMPUTED_VALUE"""),"")</f>
        <v/>
      </c>
      <c r="M2359" s="85"/>
      <c r="N2359" s="85" t="str">
        <f ca="1">IFERROR(__xludf.DUMMYFUNCTION("""COMPUTED_VALUE"""),"")</f>
        <v/>
      </c>
      <c r="O2359" s="85"/>
      <c r="P2359" s="85" t="str">
        <f ca="1">IFERROR(__xludf.DUMMYFUNCTION("""COMPUTED_VALUE"""),"")</f>
        <v/>
      </c>
      <c r="Q2359" s="85"/>
      <c r="R2359" s="85" t="str">
        <f ca="1">IFERROR(__xludf.DUMMYFUNCTION("""COMPUTED_VALUE"""),"")</f>
        <v/>
      </c>
      <c r="S2359" s="85"/>
      <c r="T2359" s="85"/>
      <c r="U2359" s="82"/>
      <c r="V2359" s="82"/>
      <c r="W2359" s="83"/>
      <c r="X2359" s="83"/>
      <c r="Y2359" s="83"/>
    </row>
    <row r="2360" spans="1:25" ht="13.8">
      <c r="A2360" s="78"/>
      <c r="B2360" s="79" t="str">
        <f ca="1">IFERROR(__xludf.DUMMYFUNCTION("""COMPUTED_VALUE"""),"")</f>
        <v/>
      </c>
      <c r="C2360" s="78" t="str">
        <f ca="1">IFERROR(__xludf.DUMMYFUNCTION("""COMPUTED_VALUE"""),"")</f>
        <v/>
      </c>
      <c r="D2360" s="78" t="str">
        <f ca="1">IFERROR(__xludf.DUMMYFUNCTION("""COMPUTED_VALUE"""),"")</f>
        <v/>
      </c>
      <c r="E2360" s="80" t="str">
        <f ca="1">IFERROR(__xludf.DUMMYFUNCTION("""COMPUTED_VALUE"""),"")</f>
        <v/>
      </c>
      <c r="F2360" s="86" t="str">
        <f ca="1">IFERROR(__xludf.DUMMYFUNCTION("""COMPUTED_VALUE"""),"")</f>
        <v/>
      </c>
      <c r="G2360" s="86" t="str">
        <f ca="1">IFERROR(__xludf.DUMMYFUNCTION("""COMPUTED_VALUE"""),"")</f>
        <v/>
      </c>
      <c r="H2360" s="86"/>
      <c r="I2360" s="86" t="str">
        <f ca="1">IFERROR(__xludf.DUMMYFUNCTION("""COMPUTED_VALUE"""),"")</f>
        <v/>
      </c>
      <c r="J2360" s="85" t="str">
        <f ca="1">IFERROR(__xludf.DUMMYFUNCTION("""COMPUTED_VALUE"""),"")</f>
        <v/>
      </c>
      <c r="K2360" s="85" t="str">
        <f ca="1">IFERROR(__xludf.DUMMYFUNCTION("""COMPUTED_VALUE"""),"")</f>
        <v/>
      </c>
      <c r="L2360" s="85" t="str">
        <f ca="1">IFERROR(__xludf.DUMMYFUNCTION("""COMPUTED_VALUE"""),"")</f>
        <v/>
      </c>
      <c r="M2360" s="85"/>
      <c r="N2360" s="85" t="str">
        <f ca="1">IFERROR(__xludf.DUMMYFUNCTION("""COMPUTED_VALUE"""),"")</f>
        <v/>
      </c>
      <c r="O2360" s="85"/>
      <c r="P2360" s="85" t="str">
        <f ca="1">IFERROR(__xludf.DUMMYFUNCTION("""COMPUTED_VALUE"""),"")</f>
        <v/>
      </c>
      <c r="Q2360" s="85"/>
      <c r="R2360" s="85" t="str">
        <f ca="1">IFERROR(__xludf.DUMMYFUNCTION("""COMPUTED_VALUE"""),"")</f>
        <v/>
      </c>
      <c r="S2360" s="85"/>
      <c r="T2360" s="85"/>
      <c r="U2360" s="82"/>
      <c r="V2360" s="82"/>
      <c r="W2360" s="83"/>
      <c r="X2360" s="83"/>
      <c r="Y2360" s="83"/>
    </row>
    <row r="2361" spans="1:25" ht="13.8">
      <c r="A2361" s="78"/>
      <c r="B2361" s="79" t="str">
        <f ca="1">IFERROR(__xludf.DUMMYFUNCTION("""COMPUTED_VALUE"""),"")</f>
        <v/>
      </c>
      <c r="C2361" s="78" t="str">
        <f ca="1">IFERROR(__xludf.DUMMYFUNCTION("""COMPUTED_VALUE"""),"")</f>
        <v/>
      </c>
      <c r="D2361" s="78" t="str">
        <f ca="1">IFERROR(__xludf.DUMMYFUNCTION("""COMPUTED_VALUE"""),"")</f>
        <v/>
      </c>
      <c r="E2361" s="80" t="str">
        <f ca="1">IFERROR(__xludf.DUMMYFUNCTION("""COMPUTED_VALUE"""),"")</f>
        <v/>
      </c>
      <c r="F2361" s="86" t="str">
        <f ca="1">IFERROR(__xludf.DUMMYFUNCTION("""COMPUTED_VALUE"""),"")</f>
        <v/>
      </c>
      <c r="G2361" s="86" t="str">
        <f ca="1">IFERROR(__xludf.DUMMYFUNCTION("""COMPUTED_VALUE"""),"")</f>
        <v/>
      </c>
      <c r="H2361" s="86"/>
      <c r="I2361" s="86" t="str">
        <f ca="1">IFERROR(__xludf.DUMMYFUNCTION("""COMPUTED_VALUE"""),"")</f>
        <v/>
      </c>
      <c r="J2361" s="85" t="str">
        <f ca="1">IFERROR(__xludf.DUMMYFUNCTION("""COMPUTED_VALUE"""),"")</f>
        <v/>
      </c>
      <c r="K2361" s="85" t="str">
        <f ca="1">IFERROR(__xludf.DUMMYFUNCTION("""COMPUTED_VALUE"""),"")</f>
        <v/>
      </c>
      <c r="L2361" s="85" t="str">
        <f ca="1">IFERROR(__xludf.DUMMYFUNCTION("""COMPUTED_VALUE"""),"")</f>
        <v/>
      </c>
      <c r="M2361" s="85"/>
      <c r="N2361" s="85" t="str">
        <f ca="1">IFERROR(__xludf.DUMMYFUNCTION("""COMPUTED_VALUE"""),"")</f>
        <v/>
      </c>
      <c r="O2361" s="85"/>
      <c r="P2361" s="85" t="str">
        <f ca="1">IFERROR(__xludf.DUMMYFUNCTION("""COMPUTED_VALUE"""),"")</f>
        <v/>
      </c>
      <c r="Q2361" s="85"/>
      <c r="R2361" s="85" t="str">
        <f ca="1">IFERROR(__xludf.DUMMYFUNCTION("""COMPUTED_VALUE"""),"")</f>
        <v/>
      </c>
      <c r="S2361" s="85"/>
      <c r="T2361" s="85"/>
      <c r="U2361" s="82"/>
      <c r="V2361" s="82"/>
      <c r="W2361" s="83"/>
      <c r="X2361" s="83"/>
      <c r="Y2361" s="83"/>
    </row>
    <row r="2362" spans="1:25" ht="13.8">
      <c r="A2362" s="78"/>
      <c r="B2362" s="79" t="str">
        <f ca="1">IFERROR(__xludf.DUMMYFUNCTION("""COMPUTED_VALUE"""),"")</f>
        <v/>
      </c>
      <c r="C2362" s="78" t="str">
        <f ca="1">IFERROR(__xludf.DUMMYFUNCTION("""COMPUTED_VALUE"""),"")</f>
        <v/>
      </c>
      <c r="D2362" s="78" t="str">
        <f ca="1">IFERROR(__xludf.DUMMYFUNCTION("""COMPUTED_VALUE"""),"")</f>
        <v/>
      </c>
      <c r="E2362" s="80" t="str">
        <f ca="1">IFERROR(__xludf.DUMMYFUNCTION("""COMPUTED_VALUE"""),"")</f>
        <v/>
      </c>
      <c r="F2362" s="86" t="str">
        <f ca="1">IFERROR(__xludf.DUMMYFUNCTION("""COMPUTED_VALUE"""),"")</f>
        <v/>
      </c>
      <c r="G2362" s="86" t="str">
        <f ca="1">IFERROR(__xludf.DUMMYFUNCTION("""COMPUTED_VALUE"""),"")</f>
        <v/>
      </c>
      <c r="H2362" s="86"/>
      <c r="I2362" s="86" t="str">
        <f ca="1">IFERROR(__xludf.DUMMYFUNCTION("""COMPUTED_VALUE"""),"")</f>
        <v/>
      </c>
      <c r="J2362" s="85" t="str">
        <f ca="1">IFERROR(__xludf.DUMMYFUNCTION("""COMPUTED_VALUE"""),"")</f>
        <v/>
      </c>
      <c r="K2362" s="85" t="str">
        <f ca="1">IFERROR(__xludf.DUMMYFUNCTION("""COMPUTED_VALUE"""),"")</f>
        <v/>
      </c>
      <c r="L2362" s="85" t="str">
        <f ca="1">IFERROR(__xludf.DUMMYFUNCTION("""COMPUTED_VALUE"""),"")</f>
        <v/>
      </c>
      <c r="M2362" s="85"/>
      <c r="N2362" s="85" t="str">
        <f ca="1">IFERROR(__xludf.DUMMYFUNCTION("""COMPUTED_VALUE"""),"")</f>
        <v/>
      </c>
      <c r="O2362" s="85"/>
      <c r="P2362" s="85" t="str">
        <f ca="1">IFERROR(__xludf.DUMMYFUNCTION("""COMPUTED_VALUE"""),"")</f>
        <v/>
      </c>
      <c r="Q2362" s="85"/>
      <c r="R2362" s="85" t="str">
        <f ca="1">IFERROR(__xludf.DUMMYFUNCTION("""COMPUTED_VALUE"""),"")</f>
        <v/>
      </c>
      <c r="S2362" s="85"/>
      <c r="T2362" s="85"/>
      <c r="U2362" s="82"/>
      <c r="V2362" s="82"/>
      <c r="W2362" s="83"/>
      <c r="X2362" s="83"/>
      <c r="Y2362" s="83"/>
    </row>
    <row r="2363" spans="1:25" ht="13.8">
      <c r="A2363" s="78"/>
      <c r="B2363" s="79" t="str">
        <f ca="1">IFERROR(__xludf.DUMMYFUNCTION("""COMPUTED_VALUE"""),"")</f>
        <v/>
      </c>
      <c r="C2363" s="78" t="str">
        <f ca="1">IFERROR(__xludf.DUMMYFUNCTION("""COMPUTED_VALUE"""),"")</f>
        <v/>
      </c>
      <c r="D2363" s="78" t="str">
        <f ca="1">IFERROR(__xludf.DUMMYFUNCTION("""COMPUTED_VALUE"""),"")</f>
        <v/>
      </c>
      <c r="E2363" s="80" t="str">
        <f ca="1">IFERROR(__xludf.DUMMYFUNCTION("""COMPUTED_VALUE"""),"")</f>
        <v/>
      </c>
      <c r="F2363" s="86" t="str">
        <f ca="1">IFERROR(__xludf.DUMMYFUNCTION("""COMPUTED_VALUE"""),"")</f>
        <v/>
      </c>
      <c r="G2363" s="86" t="str">
        <f ca="1">IFERROR(__xludf.DUMMYFUNCTION("""COMPUTED_VALUE"""),"")</f>
        <v/>
      </c>
      <c r="H2363" s="86"/>
      <c r="I2363" s="86" t="str">
        <f ca="1">IFERROR(__xludf.DUMMYFUNCTION("""COMPUTED_VALUE"""),"")</f>
        <v/>
      </c>
      <c r="J2363" s="85" t="str">
        <f ca="1">IFERROR(__xludf.DUMMYFUNCTION("""COMPUTED_VALUE"""),"")</f>
        <v/>
      </c>
      <c r="K2363" s="85" t="str">
        <f ca="1">IFERROR(__xludf.DUMMYFUNCTION("""COMPUTED_VALUE"""),"")</f>
        <v/>
      </c>
      <c r="L2363" s="85" t="str">
        <f ca="1">IFERROR(__xludf.DUMMYFUNCTION("""COMPUTED_VALUE"""),"")</f>
        <v/>
      </c>
      <c r="M2363" s="85"/>
      <c r="N2363" s="85" t="str">
        <f ca="1">IFERROR(__xludf.DUMMYFUNCTION("""COMPUTED_VALUE"""),"")</f>
        <v/>
      </c>
      <c r="O2363" s="85"/>
      <c r="P2363" s="85" t="str">
        <f ca="1">IFERROR(__xludf.DUMMYFUNCTION("""COMPUTED_VALUE"""),"")</f>
        <v/>
      </c>
      <c r="Q2363" s="85"/>
      <c r="R2363" s="85" t="str">
        <f ca="1">IFERROR(__xludf.DUMMYFUNCTION("""COMPUTED_VALUE"""),"")</f>
        <v/>
      </c>
      <c r="S2363" s="85"/>
      <c r="T2363" s="85"/>
      <c r="U2363" s="82"/>
      <c r="V2363" s="82"/>
      <c r="W2363" s="83"/>
      <c r="X2363" s="83"/>
      <c r="Y2363" s="83"/>
    </row>
    <row r="2364" spans="1:25" ht="13.8">
      <c r="A2364" s="78"/>
      <c r="B2364" s="79" t="str">
        <f ca="1">IFERROR(__xludf.DUMMYFUNCTION("""COMPUTED_VALUE"""),"")</f>
        <v/>
      </c>
      <c r="C2364" s="78" t="str">
        <f ca="1">IFERROR(__xludf.DUMMYFUNCTION("""COMPUTED_VALUE"""),"")</f>
        <v/>
      </c>
      <c r="D2364" s="78" t="str">
        <f ca="1">IFERROR(__xludf.DUMMYFUNCTION("""COMPUTED_VALUE"""),"")</f>
        <v/>
      </c>
      <c r="E2364" s="80" t="str">
        <f ca="1">IFERROR(__xludf.DUMMYFUNCTION("""COMPUTED_VALUE"""),"")</f>
        <v/>
      </c>
      <c r="F2364" s="86" t="str">
        <f ca="1">IFERROR(__xludf.DUMMYFUNCTION("""COMPUTED_VALUE"""),"")</f>
        <v/>
      </c>
      <c r="G2364" s="86" t="str">
        <f ca="1">IFERROR(__xludf.DUMMYFUNCTION("""COMPUTED_VALUE"""),"")</f>
        <v/>
      </c>
      <c r="H2364" s="86"/>
      <c r="I2364" s="86" t="str">
        <f ca="1">IFERROR(__xludf.DUMMYFUNCTION("""COMPUTED_VALUE"""),"")</f>
        <v/>
      </c>
      <c r="J2364" s="85" t="str">
        <f ca="1">IFERROR(__xludf.DUMMYFUNCTION("""COMPUTED_VALUE"""),"")</f>
        <v/>
      </c>
      <c r="K2364" s="85" t="str">
        <f ca="1">IFERROR(__xludf.DUMMYFUNCTION("""COMPUTED_VALUE"""),"")</f>
        <v/>
      </c>
      <c r="L2364" s="85" t="str">
        <f ca="1">IFERROR(__xludf.DUMMYFUNCTION("""COMPUTED_VALUE"""),"")</f>
        <v/>
      </c>
      <c r="M2364" s="85"/>
      <c r="N2364" s="85" t="str">
        <f ca="1">IFERROR(__xludf.DUMMYFUNCTION("""COMPUTED_VALUE"""),"")</f>
        <v/>
      </c>
      <c r="O2364" s="85"/>
      <c r="P2364" s="85" t="str">
        <f ca="1">IFERROR(__xludf.DUMMYFUNCTION("""COMPUTED_VALUE"""),"")</f>
        <v/>
      </c>
      <c r="Q2364" s="85"/>
      <c r="R2364" s="85" t="str">
        <f ca="1">IFERROR(__xludf.DUMMYFUNCTION("""COMPUTED_VALUE"""),"")</f>
        <v/>
      </c>
      <c r="S2364" s="85"/>
      <c r="T2364" s="85"/>
      <c r="U2364" s="82"/>
      <c r="V2364" s="82"/>
      <c r="W2364" s="83"/>
      <c r="X2364" s="83"/>
      <c r="Y2364" s="83"/>
    </row>
    <row r="2365" spans="1:25" ht="13.8">
      <c r="A2365" s="78"/>
      <c r="B2365" s="79" t="str">
        <f ca="1">IFERROR(__xludf.DUMMYFUNCTION("""COMPUTED_VALUE"""),"")</f>
        <v/>
      </c>
      <c r="C2365" s="78" t="str">
        <f ca="1">IFERROR(__xludf.DUMMYFUNCTION("""COMPUTED_VALUE"""),"")</f>
        <v/>
      </c>
      <c r="D2365" s="78" t="str">
        <f ca="1">IFERROR(__xludf.DUMMYFUNCTION("""COMPUTED_VALUE"""),"")</f>
        <v/>
      </c>
      <c r="E2365" s="80" t="str">
        <f ca="1">IFERROR(__xludf.DUMMYFUNCTION("""COMPUTED_VALUE"""),"")</f>
        <v/>
      </c>
      <c r="F2365" s="86" t="str">
        <f ca="1">IFERROR(__xludf.DUMMYFUNCTION("""COMPUTED_VALUE"""),"")</f>
        <v/>
      </c>
      <c r="G2365" s="86" t="str">
        <f ca="1">IFERROR(__xludf.DUMMYFUNCTION("""COMPUTED_VALUE"""),"")</f>
        <v/>
      </c>
      <c r="H2365" s="86"/>
      <c r="I2365" s="86" t="str">
        <f ca="1">IFERROR(__xludf.DUMMYFUNCTION("""COMPUTED_VALUE"""),"")</f>
        <v/>
      </c>
      <c r="J2365" s="85" t="str">
        <f ca="1">IFERROR(__xludf.DUMMYFUNCTION("""COMPUTED_VALUE"""),"")</f>
        <v/>
      </c>
      <c r="K2365" s="85" t="str">
        <f ca="1">IFERROR(__xludf.DUMMYFUNCTION("""COMPUTED_VALUE"""),"")</f>
        <v/>
      </c>
      <c r="L2365" s="85" t="str">
        <f ca="1">IFERROR(__xludf.DUMMYFUNCTION("""COMPUTED_VALUE"""),"")</f>
        <v/>
      </c>
      <c r="M2365" s="85"/>
      <c r="N2365" s="85" t="str">
        <f ca="1">IFERROR(__xludf.DUMMYFUNCTION("""COMPUTED_VALUE"""),"")</f>
        <v/>
      </c>
      <c r="O2365" s="85"/>
      <c r="P2365" s="85" t="str">
        <f ca="1">IFERROR(__xludf.DUMMYFUNCTION("""COMPUTED_VALUE"""),"")</f>
        <v/>
      </c>
      <c r="Q2365" s="85"/>
      <c r="R2365" s="85" t="str">
        <f ca="1">IFERROR(__xludf.DUMMYFUNCTION("""COMPUTED_VALUE"""),"")</f>
        <v/>
      </c>
      <c r="S2365" s="85"/>
      <c r="T2365" s="85"/>
      <c r="U2365" s="82"/>
      <c r="V2365" s="82"/>
      <c r="W2365" s="83"/>
      <c r="X2365" s="83"/>
      <c r="Y2365" s="83"/>
    </row>
    <row r="2366" spans="1:25" ht="13.8">
      <c r="A2366" s="78"/>
      <c r="B2366" s="79" t="str">
        <f ca="1">IFERROR(__xludf.DUMMYFUNCTION("""COMPUTED_VALUE"""),"")</f>
        <v/>
      </c>
      <c r="C2366" s="78" t="str">
        <f ca="1">IFERROR(__xludf.DUMMYFUNCTION("""COMPUTED_VALUE"""),"")</f>
        <v/>
      </c>
      <c r="D2366" s="78" t="str">
        <f ca="1">IFERROR(__xludf.DUMMYFUNCTION("""COMPUTED_VALUE"""),"")</f>
        <v/>
      </c>
      <c r="E2366" s="80" t="str">
        <f ca="1">IFERROR(__xludf.DUMMYFUNCTION("""COMPUTED_VALUE"""),"")</f>
        <v/>
      </c>
      <c r="F2366" s="86" t="str">
        <f ca="1">IFERROR(__xludf.DUMMYFUNCTION("""COMPUTED_VALUE"""),"")</f>
        <v/>
      </c>
      <c r="G2366" s="86" t="str">
        <f ca="1">IFERROR(__xludf.DUMMYFUNCTION("""COMPUTED_VALUE"""),"")</f>
        <v/>
      </c>
      <c r="H2366" s="86"/>
      <c r="I2366" s="86" t="str">
        <f ca="1">IFERROR(__xludf.DUMMYFUNCTION("""COMPUTED_VALUE"""),"")</f>
        <v/>
      </c>
      <c r="J2366" s="85" t="str">
        <f ca="1">IFERROR(__xludf.DUMMYFUNCTION("""COMPUTED_VALUE"""),"")</f>
        <v/>
      </c>
      <c r="K2366" s="85" t="str">
        <f ca="1">IFERROR(__xludf.DUMMYFUNCTION("""COMPUTED_VALUE"""),"")</f>
        <v/>
      </c>
      <c r="L2366" s="85" t="str">
        <f ca="1">IFERROR(__xludf.DUMMYFUNCTION("""COMPUTED_VALUE"""),"")</f>
        <v/>
      </c>
      <c r="M2366" s="85"/>
      <c r="N2366" s="85" t="str">
        <f ca="1">IFERROR(__xludf.DUMMYFUNCTION("""COMPUTED_VALUE"""),"")</f>
        <v/>
      </c>
      <c r="O2366" s="85"/>
      <c r="P2366" s="85" t="str">
        <f ca="1">IFERROR(__xludf.DUMMYFUNCTION("""COMPUTED_VALUE"""),"")</f>
        <v/>
      </c>
      <c r="Q2366" s="85"/>
      <c r="R2366" s="85" t="str">
        <f ca="1">IFERROR(__xludf.DUMMYFUNCTION("""COMPUTED_VALUE"""),"")</f>
        <v/>
      </c>
      <c r="S2366" s="85"/>
      <c r="T2366" s="85"/>
      <c r="U2366" s="82"/>
      <c r="V2366" s="82"/>
      <c r="W2366" s="83"/>
      <c r="X2366" s="83"/>
      <c r="Y2366" s="83"/>
    </row>
    <row r="2367" spans="1:25" ht="13.8">
      <c r="A2367" s="78"/>
      <c r="B2367" s="79" t="str">
        <f ca="1">IFERROR(__xludf.DUMMYFUNCTION("""COMPUTED_VALUE"""),"")</f>
        <v/>
      </c>
      <c r="C2367" s="78" t="str">
        <f ca="1">IFERROR(__xludf.DUMMYFUNCTION("""COMPUTED_VALUE"""),"")</f>
        <v/>
      </c>
      <c r="D2367" s="78" t="str">
        <f ca="1">IFERROR(__xludf.DUMMYFUNCTION("""COMPUTED_VALUE"""),"")</f>
        <v/>
      </c>
      <c r="E2367" s="80" t="str">
        <f ca="1">IFERROR(__xludf.DUMMYFUNCTION("""COMPUTED_VALUE"""),"")</f>
        <v/>
      </c>
      <c r="F2367" s="86" t="str">
        <f ca="1">IFERROR(__xludf.DUMMYFUNCTION("""COMPUTED_VALUE"""),"")</f>
        <v/>
      </c>
      <c r="G2367" s="86" t="str">
        <f ca="1">IFERROR(__xludf.DUMMYFUNCTION("""COMPUTED_VALUE"""),"")</f>
        <v/>
      </c>
      <c r="H2367" s="86"/>
      <c r="I2367" s="86" t="str">
        <f ca="1">IFERROR(__xludf.DUMMYFUNCTION("""COMPUTED_VALUE"""),"")</f>
        <v/>
      </c>
      <c r="J2367" s="85" t="str">
        <f ca="1">IFERROR(__xludf.DUMMYFUNCTION("""COMPUTED_VALUE"""),"")</f>
        <v/>
      </c>
      <c r="K2367" s="85" t="str">
        <f ca="1">IFERROR(__xludf.DUMMYFUNCTION("""COMPUTED_VALUE"""),"")</f>
        <v/>
      </c>
      <c r="L2367" s="85" t="str">
        <f ca="1">IFERROR(__xludf.DUMMYFUNCTION("""COMPUTED_VALUE"""),"")</f>
        <v/>
      </c>
      <c r="M2367" s="85"/>
      <c r="N2367" s="85" t="str">
        <f ca="1">IFERROR(__xludf.DUMMYFUNCTION("""COMPUTED_VALUE"""),"")</f>
        <v/>
      </c>
      <c r="O2367" s="85"/>
      <c r="P2367" s="85" t="str">
        <f ca="1">IFERROR(__xludf.DUMMYFUNCTION("""COMPUTED_VALUE"""),"")</f>
        <v/>
      </c>
      <c r="Q2367" s="85"/>
      <c r="R2367" s="85" t="str">
        <f ca="1">IFERROR(__xludf.DUMMYFUNCTION("""COMPUTED_VALUE"""),"")</f>
        <v/>
      </c>
      <c r="S2367" s="85"/>
      <c r="T2367" s="85"/>
      <c r="U2367" s="82"/>
      <c r="V2367" s="82"/>
      <c r="W2367" s="83"/>
      <c r="X2367" s="83"/>
      <c r="Y2367" s="83"/>
    </row>
    <row r="2368" spans="1:25" ht="13.8">
      <c r="A2368" s="78"/>
      <c r="B2368" s="79" t="str">
        <f ca="1">IFERROR(__xludf.DUMMYFUNCTION("""COMPUTED_VALUE"""),"")</f>
        <v/>
      </c>
      <c r="C2368" s="78" t="str">
        <f ca="1">IFERROR(__xludf.DUMMYFUNCTION("""COMPUTED_VALUE"""),"")</f>
        <v/>
      </c>
      <c r="D2368" s="78" t="str">
        <f ca="1">IFERROR(__xludf.DUMMYFUNCTION("""COMPUTED_VALUE"""),"")</f>
        <v/>
      </c>
      <c r="E2368" s="80" t="str">
        <f ca="1">IFERROR(__xludf.DUMMYFUNCTION("""COMPUTED_VALUE"""),"")</f>
        <v/>
      </c>
      <c r="F2368" s="86" t="str">
        <f ca="1">IFERROR(__xludf.DUMMYFUNCTION("""COMPUTED_VALUE"""),"")</f>
        <v/>
      </c>
      <c r="G2368" s="86" t="str">
        <f ca="1">IFERROR(__xludf.DUMMYFUNCTION("""COMPUTED_VALUE"""),"")</f>
        <v/>
      </c>
      <c r="H2368" s="86"/>
      <c r="I2368" s="86" t="str">
        <f ca="1">IFERROR(__xludf.DUMMYFUNCTION("""COMPUTED_VALUE"""),"")</f>
        <v/>
      </c>
      <c r="J2368" s="85" t="str">
        <f ca="1">IFERROR(__xludf.DUMMYFUNCTION("""COMPUTED_VALUE"""),"")</f>
        <v/>
      </c>
      <c r="K2368" s="85" t="str">
        <f ca="1">IFERROR(__xludf.DUMMYFUNCTION("""COMPUTED_VALUE"""),"")</f>
        <v/>
      </c>
      <c r="L2368" s="85" t="str">
        <f ca="1">IFERROR(__xludf.DUMMYFUNCTION("""COMPUTED_VALUE"""),"")</f>
        <v/>
      </c>
      <c r="M2368" s="85"/>
      <c r="N2368" s="85" t="str">
        <f ca="1">IFERROR(__xludf.DUMMYFUNCTION("""COMPUTED_VALUE"""),"")</f>
        <v/>
      </c>
      <c r="O2368" s="85"/>
      <c r="P2368" s="85" t="str">
        <f ca="1">IFERROR(__xludf.DUMMYFUNCTION("""COMPUTED_VALUE"""),"")</f>
        <v/>
      </c>
      <c r="Q2368" s="85"/>
      <c r="R2368" s="85" t="str">
        <f ca="1">IFERROR(__xludf.DUMMYFUNCTION("""COMPUTED_VALUE"""),"")</f>
        <v/>
      </c>
      <c r="S2368" s="85"/>
      <c r="T2368" s="85"/>
      <c r="U2368" s="82"/>
      <c r="V2368" s="82"/>
      <c r="W2368" s="83"/>
      <c r="X2368" s="83"/>
      <c r="Y2368" s="83"/>
    </row>
    <row r="2369" spans="1:25" ht="13.8">
      <c r="A2369" s="78"/>
      <c r="B2369" s="79" t="str">
        <f ca="1">IFERROR(__xludf.DUMMYFUNCTION("""COMPUTED_VALUE"""),"")</f>
        <v/>
      </c>
      <c r="C2369" s="78" t="str">
        <f ca="1">IFERROR(__xludf.DUMMYFUNCTION("""COMPUTED_VALUE"""),"")</f>
        <v/>
      </c>
      <c r="D2369" s="78" t="str">
        <f ca="1">IFERROR(__xludf.DUMMYFUNCTION("""COMPUTED_VALUE"""),"")</f>
        <v/>
      </c>
      <c r="E2369" s="80" t="str">
        <f ca="1">IFERROR(__xludf.DUMMYFUNCTION("""COMPUTED_VALUE"""),"")</f>
        <v/>
      </c>
      <c r="F2369" s="86" t="str">
        <f ca="1">IFERROR(__xludf.DUMMYFUNCTION("""COMPUTED_VALUE"""),"")</f>
        <v/>
      </c>
      <c r="G2369" s="86" t="str">
        <f ca="1">IFERROR(__xludf.DUMMYFUNCTION("""COMPUTED_VALUE"""),"")</f>
        <v/>
      </c>
      <c r="H2369" s="86"/>
      <c r="I2369" s="86" t="str">
        <f ca="1">IFERROR(__xludf.DUMMYFUNCTION("""COMPUTED_VALUE"""),"")</f>
        <v/>
      </c>
      <c r="J2369" s="85" t="str">
        <f ca="1">IFERROR(__xludf.DUMMYFUNCTION("""COMPUTED_VALUE"""),"")</f>
        <v/>
      </c>
      <c r="K2369" s="85" t="str">
        <f ca="1">IFERROR(__xludf.DUMMYFUNCTION("""COMPUTED_VALUE"""),"")</f>
        <v/>
      </c>
      <c r="L2369" s="85" t="str">
        <f ca="1">IFERROR(__xludf.DUMMYFUNCTION("""COMPUTED_VALUE"""),"")</f>
        <v/>
      </c>
      <c r="M2369" s="85"/>
      <c r="N2369" s="85" t="str">
        <f ca="1">IFERROR(__xludf.DUMMYFUNCTION("""COMPUTED_VALUE"""),"")</f>
        <v/>
      </c>
      <c r="O2369" s="85"/>
      <c r="P2369" s="85" t="str">
        <f ca="1">IFERROR(__xludf.DUMMYFUNCTION("""COMPUTED_VALUE"""),"")</f>
        <v/>
      </c>
      <c r="Q2369" s="85"/>
      <c r="R2369" s="85" t="str">
        <f ca="1">IFERROR(__xludf.DUMMYFUNCTION("""COMPUTED_VALUE"""),"")</f>
        <v/>
      </c>
      <c r="S2369" s="85"/>
      <c r="T2369" s="85"/>
      <c r="U2369" s="82"/>
      <c r="V2369" s="82"/>
      <c r="W2369" s="83"/>
      <c r="X2369" s="83"/>
      <c r="Y2369" s="83"/>
    </row>
    <row r="2370" spans="1:25" ht="13.8">
      <c r="A2370" s="78"/>
      <c r="B2370" s="79" t="str">
        <f ca="1">IFERROR(__xludf.DUMMYFUNCTION("""COMPUTED_VALUE"""),"")</f>
        <v/>
      </c>
      <c r="C2370" s="78" t="str">
        <f ca="1">IFERROR(__xludf.DUMMYFUNCTION("""COMPUTED_VALUE"""),"")</f>
        <v/>
      </c>
      <c r="D2370" s="78" t="str">
        <f ca="1">IFERROR(__xludf.DUMMYFUNCTION("""COMPUTED_VALUE"""),"")</f>
        <v/>
      </c>
      <c r="E2370" s="80" t="str">
        <f ca="1">IFERROR(__xludf.DUMMYFUNCTION("""COMPUTED_VALUE"""),"")</f>
        <v/>
      </c>
      <c r="F2370" s="86" t="str">
        <f ca="1">IFERROR(__xludf.DUMMYFUNCTION("""COMPUTED_VALUE"""),"")</f>
        <v/>
      </c>
      <c r="G2370" s="86" t="str">
        <f ca="1">IFERROR(__xludf.DUMMYFUNCTION("""COMPUTED_VALUE"""),"")</f>
        <v/>
      </c>
      <c r="H2370" s="86"/>
      <c r="I2370" s="86" t="str">
        <f ca="1">IFERROR(__xludf.DUMMYFUNCTION("""COMPUTED_VALUE"""),"")</f>
        <v/>
      </c>
      <c r="J2370" s="85" t="str">
        <f ca="1">IFERROR(__xludf.DUMMYFUNCTION("""COMPUTED_VALUE"""),"")</f>
        <v/>
      </c>
      <c r="K2370" s="85" t="str">
        <f ca="1">IFERROR(__xludf.DUMMYFUNCTION("""COMPUTED_VALUE"""),"")</f>
        <v/>
      </c>
      <c r="L2370" s="85" t="str">
        <f ca="1">IFERROR(__xludf.DUMMYFUNCTION("""COMPUTED_VALUE"""),"")</f>
        <v/>
      </c>
      <c r="M2370" s="85"/>
      <c r="N2370" s="85" t="str">
        <f ca="1">IFERROR(__xludf.DUMMYFUNCTION("""COMPUTED_VALUE"""),"")</f>
        <v/>
      </c>
      <c r="O2370" s="85"/>
      <c r="P2370" s="85" t="str">
        <f ca="1">IFERROR(__xludf.DUMMYFUNCTION("""COMPUTED_VALUE"""),"")</f>
        <v/>
      </c>
      <c r="Q2370" s="85"/>
      <c r="R2370" s="85" t="str">
        <f ca="1">IFERROR(__xludf.DUMMYFUNCTION("""COMPUTED_VALUE"""),"")</f>
        <v/>
      </c>
      <c r="S2370" s="85"/>
      <c r="T2370" s="85"/>
      <c r="U2370" s="82"/>
      <c r="V2370" s="82"/>
      <c r="W2370" s="83"/>
      <c r="X2370" s="83"/>
      <c r="Y2370" s="83"/>
    </row>
    <row r="2371" spans="1:25" ht="13.8">
      <c r="A2371" s="78"/>
      <c r="B2371" s="79" t="str">
        <f ca="1">IFERROR(__xludf.DUMMYFUNCTION("""COMPUTED_VALUE"""),"")</f>
        <v/>
      </c>
      <c r="C2371" s="78" t="str">
        <f ca="1">IFERROR(__xludf.DUMMYFUNCTION("""COMPUTED_VALUE"""),"")</f>
        <v/>
      </c>
      <c r="D2371" s="78" t="str">
        <f ca="1">IFERROR(__xludf.DUMMYFUNCTION("""COMPUTED_VALUE"""),"")</f>
        <v/>
      </c>
      <c r="E2371" s="80" t="str">
        <f ca="1">IFERROR(__xludf.DUMMYFUNCTION("""COMPUTED_VALUE"""),"")</f>
        <v/>
      </c>
      <c r="F2371" s="86" t="str">
        <f ca="1">IFERROR(__xludf.DUMMYFUNCTION("""COMPUTED_VALUE"""),"")</f>
        <v/>
      </c>
      <c r="G2371" s="86" t="str">
        <f ca="1">IFERROR(__xludf.DUMMYFUNCTION("""COMPUTED_VALUE"""),"")</f>
        <v/>
      </c>
      <c r="H2371" s="86"/>
      <c r="I2371" s="86" t="str">
        <f ca="1">IFERROR(__xludf.DUMMYFUNCTION("""COMPUTED_VALUE"""),"")</f>
        <v/>
      </c>
      <c r="J2371" s="85" t="str">
        <f ca="1">IFERROR(__xludf.DUMMYFUNCTION("""COMPUTED_VALUE"""),"")</f>
        <v/>
      </c>
      <c r="K2371" s="85" t="str">
        <f ca="1">IFERROR(__xludf.DUMMYFUNCTION("""COMPUTED_VALUE"""),"")</f>
        <v/>
      </c>
      <c r="L2371" s="85" t="str">
        <f ca="1">IFERROR(__xludf.DUMMYFUNCTION("""COMPUTED_VALUE"""),"")</f>
        <v/>
      </c>
      <c r="M2371" s="85"/>
      <c r="N2371" s="85" t="str">
        <f ca="1">IFERROR(__xludf.DUMMYFUNCTION("""COMPUTED_VALUE"""),"")</f>
        <v/>
      </c>
      <c r="O2371" s="85"/>
      <c r="P2371" s="85" t="str">
        <f ca="1">IFERROR(__xludf.DUMMYFUNCTION("""COMPUTED_VALUE"""),"")</f>
        <v/>
      </c>
      <c r="Q2371" s="85"/>
      <c r="R2371" s="85" t="str">
        <f ca="1">IFERROR(__xludf.DUMMYFUNCTION("""COMPUTED_VALUE"""),"")</f>
        <v/>
      </c>
      <c r="S2371" s="85"/>
      <c r="T2371" s="85"/>
      <c r="U2371" s="82"/>
      <c r="V2371" s="82"/>
      <c r="W2371" s="83"/>
      <c r="X2371" s="83"/>
      <c r="Y2371" s="83"/>
    </row>
    <row r="2372" spans="1:25" ht="13.8">
      <c r="A2372" s="78"/>
      <c r="B2372" s="79" t="str">
        <f ca="1">IFERROR(__xludf.DUMMYFUNCTION("""COMPUTED_VALUE"""),"")</f>
        <v/>
      </c>
      <c r="C2372" s="78" t="str">
        <f ca="1">IFERROR(__xludf.DUMMYFUNCTION("""COMPUTED_VALUE"""),"")</f>
        <v/>
      </c>
      <c r="D2372" s="78" t="str">
        <f ca="1">IFERROR(__xludf.DUMMYFUNCTION("""COMPUTED_VALUE"""),"")</f>
        <v/>
      </c>
      <c r="E2372" s="80" t="str">
        <f ca="1">IFERROR(__xludf.DUMMYFUNCTION("""COMPUTED_VALUE"""),"")</f>
        <v/>
      </c>
      <c r="F2372" s="86" t="str">
        <f ca="1">IFERROR(__xludf.DUMMYFUNCTION("""COMPUTED_VALUE"""),"")</f>
        <v/>
      </c>
      <c r="G2372" s="86" t="str">
        <f ca="1">IFERROR(__xludf.DUMMYFUNCTION("""COMPUTED_VALUE"""),"")</f>
        <v/>
      </c>
      <c r="H2372" s="86"/>
      <c r="I2372" s="86" t="str">
        <f ca="1">IFERROR(__xludf.DUMMYFUNCTION("""COMPUTED_VALUE"""),"")</f>
        <v/>
      </c>
      <c r="J2372" s="85" t="str">
        <f ca="1">IFERROR(__xludf.DUMMYFUNCTION("""COMPUTED_VALUE"""),"")</f>
        <v/>
      </c>
      <c r="K2372" s="85" t="str">
        <f ca="1">IFERROR(__xludf.DUMMYFUNCTION("""COMPUTED_VALUE"""),"")</f>
        <v/>
      </c>
      <c r="L2372" s="85" t="str">
        <f ca="1">IFERROR(__xludf.DUMMYFUNCTION("""COMPUTED_VALUE"""),"")</f>
        <v/>
      </c>
      <c r="M2372" s="85"/>
      <c r="N2372" s="85" t="str">
        <f ca="1">IFERROR(__xludf.DUMMYFUNCTION("""COMPUTED_VALUE"""),"")</f>
        <v/>
      </c>
      <c r="O2372" s="85"/>
      <c r="P2372" s="85" t="str">
        <f ca="1">IFERROR(__xludf.DUMMYFUNCTION("""COMPUTED_VALUE"""),"")</f>
        <v/>
      </c>
      <c r="Q2372" s="85"/>
      <c r="R2372" s="85" t="str">
        <f ca="1">IFERROR(__xludf.DUMMYFUNCTION("""COMPUTED_VALUE"""),"")</f>
        <v/>
      </c>
      <c r="S2372" s="85"/>
      <c r="T2372" s="85"/>
      <c r="U2372" s="82"/>
      <c r="V2372" s="82"/>
      <c r="W2372" s="83"/>
      <c r="X2372" s="83"/>
      <c r="Y2372" s="83"/>
    </row>
    <row r="2373" spans="1:25" ht="13.8">
      <c r="A2373" s="78"/>
      <c r="B2373" s="79" t="str">
        <f ca="1">IFERROR(__xludf.DUMMYFUNCTION("""COMPUTED_VALUE"""),"")</f>
        <v/>
      </c>
      <c r="C2373" s="78" t="str">
        <f ca="1">IFERROR(__xludf.DUMMYFUNCTION("""COMPUTED_VALUE"""),"")</f>
        <v/>
      </c>
      <c r="D2373" s="78" t="str">
        <f ca="1">IFERROR(__xludf.DUMMYFUNCTION("""COMPUTED_VALUE"""),"")</f>
        <v/>
      </c>
      <c r="E2373" s="80" t="str">
        <f ca="1">IFERROR(__xludf.DUMMYFUNCTION("""COMPUTED_VALUE"""),"")</f>
        <v/>
      </c>
      <c r="F2373" s="86" t="str">
        <f ca="1">IFERROR(__xludf.DUMMYFUNCTION("""COMPUTED_VALUE"""),"")</f>
        <v/>
      </c>
      <c r="G2373" s="86" t="str">
        <f ca="1">IFERROR(__xludf.DUMMYFUNCTION("""COMPUTED_VALUE"""),"")</f>
        <v/>
      </c>
      <c r="H2373" s="86"/>
      <c r="I2373" s="86" t="str">
        <f ca="1">IFERROR(__xludf.DUMMYFUNCTION("""COMPUTED_VALUE"""),"")</f>
        <v/>
      </c>
      <c r="J2373" s="85" t="str">
        <f ca="1">IFERROR(__xludf.DUMMYFUNCTION("""COMPUTED_VALUE"""),"")</f>
        <v/>
      </c>
      <c r="K2373" s="85" t="str">
        <f ca="1">IFERROR(__xludf.DUMMYFUNCTION("""COMPUTED_VALUE"""),"")</f>
        <v/>
      </c>
      <c r="L2373" s="85" t="str">
        <f ca="1">IFERROR(__xludf.DUMMYFUNCTION("""COMPUTED_VALUE"""),"")</f>
        <v/>
      </c>
      <c r="M2373" s="85"/>
      <c r="N2373" s="85" t="str">
        <f ca="1">IFERROR(__xludf.DUMMYFUNCTION("""COMPUTED_VALUE"""),"")</f>
        <v/>
      </c>
      <c r="O2373" s="85"/>
      <c r="P2373" s="85" t="str">
        <f ca="1">IFERROR(__xludf.DUMMYFUNCTION("""COMPUTED_VALUE"""),"")</f>
        <v/>
      </c>
      <c r="Q2373" s="85"/>
      <c r="R2373" s="85" t="str">
        <f ca="1">IFERROR(__xludf.DUMMYFUNCTION("""COMPUTED_VALUE"""),"")</f>
        <v/>
      </c>
      <c r="S2373" s="85"/>
      <c r="T2373" s="85"/>
      <c r="U2373" s="82"/>
      <c r="V2373" s="82"/>
      <c r="W2373" s="83"/>
      <c r="X2373" s="83"/>
      <c r="Y2373" s="83"/>
    </row>
    <row r="2374" spans="1:25" ht="13.8">
      <c r="A2374" s="78"/>
      <c r="B2374" s="79" t="str">
        <f ca="1">IFERROR(__xludf.DUMMYFUNCTION("""COMPUTED_VALUE"""),"")</f>
        <v/>
      </c>
      <c r="C2374" s="78" t="str">
        <f ca="1">IFERROR(__xludf.DUMMYFUNCTION("""COMPUTED_VALUE"""),"")</f>
        <v/>
      </c>
      <c r="D2374" s="78" t="str">
        <f ca="1">IFERROR(__xludf.DUMMYFUNCTION("""COMPUTED_VALUE"""),"")</f>
        <v/>
      </c>
      <c r="E2374" s="80" t="str">
        <f ca="1">IFERROR(__xludf.DUMMYFUNCTION("""COMPUTED_VALUE"""),"")</f>
        <v/>
      </c>
      <c r="F2374" s="86" t="str">
        <f ca="1">IFERROR(__xludf.DUMMYFUNCTION("""COMPUTED_VALUE"""),"")</f>
        <v/>
      </c>
      <c r="G2374" s="86" t="str">
        <f ca="1">IFERROR(__xludf.DUMMYFUNCTION("""COMPUTED_VALUE"""),"")</f>
        <v/>
      </c>
      <c r="H2374" s="86"/>
      <c r="I2374" s="86" t="str">
        <f ca="1">IFERROR(__xludf.DUMMYFUNCTION("""COMPUTED_VALUE"""),"")</f>
        <v/>
      </c>
      <c r="J2374" s="85" t="str">
        <f ca="1">IFERROR(__xludf.DUMMYFUNCTION("""COMPUTED_VALUE"""),"")</f>
        <v/>
      </c>
      <c r="K2374" s="85" t="str">
        <f ca="1">IFERROR(__xludf.DUMMYFUNCTION("""COMPUTED_VALUE"""),"")</f>
        <v/>
      </c>
      <c r="L2374" s="85" t="str">
        <f ca="1">IFERROR(__xludf.DUMMYFUNCTION("""COMPUTED_VALUE"""),"")</f>
        <v/>
      </c>
      <c r="M2374" s="85"/>
      <c r="N2374" s="85" t="str">
        <f ca="1">IFERROR(__xludf.DUMMYFUNCTION("""COMPUTED_VALUE"""),"")</f>
        <v/>
      </c>
      <c r="O2374" s="85"/>
      <c r="P2374" s="85" t="str">
        <f ca="1">IFERROR(__xludf.DUMMYFUNCTION("""COMPUTED_VALUE"""),"")</f>
        <v/>
      </c>
      <c r="Q2374" s="85"/>
      <c r="R2374" s="85" t="str">
        <f ca="1">IFERROR(__xludf.DUMMYFUNCTION("""COMPUTED_VALUE"""),"")</f>
        <v/>
      </c>
      <c r="S2374" s="85"/>
      <c r="T2374" s="85"/>
      <c r="U2374" s="82"/>
      <c r="V2374" s="82"/>
      <c r="W2374" s="83"/>
      <c r="X2374" s="83"/>
      <c r="Y2374" s="83"/>
    </row>
    <row r="2375" spans="1:25" ht="13.8">
      <c r="A2375" s="78"/>
      <c r="B2375" s="79" t="str">
        <f ca="1">IFERROR(__xludf.DUMMYFUNCTION("""COMPUTED_VALUE"""),"")</f>
        <v/>
      </c>
      <c r="C2375" s="78" t="str">
        <f ca="1">IFERROR(__xludf.DUMMYFUNCTION("""COMPUTED_VALUE"""),"")</f>
        <v/>
      </c>
      <c r="D2375" s="78" t="str">
        <f ca="1">IFERROR(__xludf.DUMMYFUNCTION("""COMPUTED_VALUE"""),"")</f>
        <v/>
      </c>
      <c r="E2375" s="80" t="str">
        <f ca="1">IFERROR(__xludf.DUMMYFUNCTION("""COMPUTED_VALUE"""),"")</f>
        <v/>
      </c>
      <c r="F2375" s="86" t="str">
        <f ca="1">IFERROR(__xludf.DUMMYFUNCTION("""COMPUTED_VALUE"""),"")</f>
        <v/>
      </c>
      <c r="G2375" s="86" t="str">
        <f ca="1">IFERROR(__xludf.DUMMYFUNCTION("""COMPUTED_VALUE"""),"")</f>
        <v/>
      </c>
      <c r="H2375" s="86"/>
      <c r="I2375" s="86" t="str">
        <f ca="1">IFERROR(__xludf.DUMMYFUNCTION("""COMPUTED_VALUE"""),"")</f>
        <v/>
      </c>
      <c r="J2375" s="85" t="str">
        <f ca="1">IFERROR(__xludf.DUMMYFUNCTION("""COMPUTED_VALUE"""),"")</f>
        <v/>
      </c>
      <c r="K2375" s="85" t="str">
        <f ca="1">IFERROR(__xludf.DUMMYFUNCTION("""COMPUTED_VALUE"""),"")</f>
        <v/>
      </c>
      <c r="L2375" s="85" t="str">
        <f ca="1">IFERROR(__xludf.DUMMYFUNCTION("""COMPUTED_VALUE"""),"")</f>
        <v/>
      </c>
      <c r="M2375" s="85"/>
      <c r="N2375" s="85" t="str">
        <f ca="1">IFERROR(__xludf.DUMMYFUNCTION("""COMPUTED_VALUE"""),"")</f>
        <v/>
      </c>
      <c r="O2375" s="85"/>
      <c r="P2375" s="85" t="str">
        <f ca="1">IFERROR(__xludf.DUMMYFUNCTION("""COMPUTED_VALUE"""),"")</f>
        <v/>
      </c>
      <c r="Q2375" s="85"/>
      <c r="R2375" s="85" t="str">
        <f ca="1">IFERROR(__xludf.DUMMYFUNCTION("""COMPUTED_VALUE"""),"")</f>
        <v/>
      </c>
      <c r="S2375" s="85"/>
      <c r="T2375" s="85"/>
      <c r="U2375" s="82"/>
      <c r="V2375" s="82"/>
      <c r="W2375" s="83"/>
      <c r="X2375" s="83"/>
      <c r="Y2375" s="83"/>
    </row>
    <row r="2376" spans="1:25" ht="13.8">
      <c r="A2376" s="78"/>
      <c r="B2376" s="79" t="str">
        <f ca="1">IFERROR(__xludf.DUMMYFUNCTION("""COMPUTED_VALUE"""),"")</f>
        <v/>
      </c>
      <c r="C2376" s="78" t="str">
        <f ca="1">IFERROR(__xludf.DUMMYFUNCTION("""COMPUTED_VALUE"""),"")</f>
        <v/>
      </c>
      <c r="D2376" s="78" t="str">
        <f ca="1">IFERROR(__xludf.DUMMYFUNCTION("""COMPUTED_VALUE"""),"")</f>
        <v/>
      </c>
      <c r="E2376" s="80" t="str">
        <f ca="1">IFERROR(__xludf.DUMMYFUNCTION("""COMPUTED_VALUE"""),"")</f>
        <v/>
      </c>
      <c r="F2376" s="86" t="str">
        <f ca="1">IFERROR(__xludf.DUMMYFUNCTION("""COMPUTED_VALUE"""),"")</f>
        <v/>
      </c>
      <c r="G2376" s="86" t="str">
        <f ca="1">IFERROR(__xludf.DUMMYFUNCTION("""COMPUTED_VALUE"""),"")</f>
        <v/>
      </c>
      <c r="H2376" s="86"/>
      <c r="I2376" s="86" t="str">
        <f ca="1">IFERROR(__xludf.DUMMYFUNCTION("""COMPUTED_VALUE"""),"")</f>
        <v/>
      </c>
      <c r="J2376" s="85" t="str">
        <f ca="1">IFERROR(__xludf.DUMMYFUNCTION("""COMPUTED_VALUE"""),"")</f>
        <v/>
      </c>
      <c r="K2376" s="85" t="str">
        <f ca="1">IFERROR(__xludf.DUMMYFUNCTION("""COMPUTED_VALUE"""),"")</f>
        <v/>
      </c>
      <c r="L2376" s="85" t="str">
        <f ca="1">IFERROR(__xludf.DUMMYFUNCTION("""COMPUTED_VALUE"""),"")</f>
        <v/>
      </c>
      <c r="M2376" s="85"/>
      <c r="N2376" s="85" t="str">
        <f ca="1">IFERROR(__xludf.DUMMYFUNCTION("""COMPUTED_VALUE"""),"")</f>
        <v/>
      </c>
      <c r="O2376" s="85"/>
      <c r="P2376" s="85" t="str">
        <f ca="1">IFERROR(__xludf.DUMMYFUNCTION("""COMPUTED_VALUE"""),"")</f>
        <v/>
      </c>
      <c r="Q2376" s="85"/>
      <c r="R2376" s="85" t="str">
        <f ca="1">IFERROR(__xludf.DUMMYFUNCTION("""COMPUTED_VALUE"""),"")</f>
        <v/>
      </c>
      <c r="S2376" s="85"/>
      <c r="T2376" s="85"/>
      <c r="U2376" s="82"/>
      <c r="V2376" s="82"/>
      <c r="W2376" s="83"/>
      <c r="X2376" s="83"/>
      <c r="Y2376" s="83"/>
    </row>
    <row r="2377" spans="1:25" ht="13.8">
      <c r="A2377" s="78"/>
      <c r="B2377" s="79" t="str">
        <f ca="1">IFERROR(__xludf.DUMMYFUNCTION("""COMPUTED_VALUE"""),"")</f>
        <v/>
      </c>
      <c r="C2377" s="78" t="str">
        <f ca="1">IFERROR(__xludf.DUMMYFUNCTION("""COMPUTED_VALUE"""),"")</f>
        <v/>
      </c>
      <c r="D2377" s="78" t="str">
        <f ca="1">IFERROR(__xludf.DUMMYFUNCTION("""COMPUTED_VALUE"""),"")</f>
        <v/>
      </c>
      <c r="E2377" s="80" t="str">
        <f ca="1">IFERROR(__xludf.DUMMYFUNCTION("""COMPUTED_VALUE"""),"")</f>
        <v/>
      </c>
      <c r="F2377" s="86" t="str">
        <f ca="1">IFERROR(__xludf.DUMMYFUNCTION("""COMPUTED_VALUE"""),"")</f>
        <v/>
      </c>
      <c r="G2377" s="86" t="str">
        <f ca="1">IFERROR(__xludf.DUMMYFUNCTION("""COMPUTED_VALUE"""),"")</f>
        <v/>
      </c>
      <c r="H2377" s="86"/>
      <c r="I2377" s="86" t="str">
        <f ca="1">IFERROR(__xludf.DUMMYFUNCTION("""COMPUTED_VALUE"""),"")</f>
        <v/>
      </c>
      <c r="J2377" s="85" t="str">
        <f ca="1">IFERROR(__xludf.DUMMYFUNCTION("""COMPUTED_VALUE"""),"")</f>
        <v/>
      </c>
      <c r="K2377" s="85" t="str">
        <f ca="1">IFERROR(__xludf.DUMMYFUNCTION("""COMPUTED_VALUE"""),"")</f>
        <v/>
      </c>
      <c r="L2377" s="85" t="str">
        <f ca="1">IFERROR(__xludf.DUMMYFUNCTION("""COMPUTED_VALUE"""),"")</f>
        <v/>
      </c>
      <c r="M2377" s="85"/>
      <c r="N2377" s="85" t="str">
        <f ca="1">IFERROR(__xludf.DUMMYFUNCTION("""COMPUTED_VALUE"""),"")</f>
        <v/>
      </c>
      <c r="O2377" s="85"/>
      <c r="P2377" s="85" t="str">
        <f ca="1">IFERROR(__xludf.DUMMYFUNCTION("""COMPUTED_VALUE"""),"")</f>
        <v/>
      </c>
      <c r="Q2377" s="85"/>
      <c r="R2377" s="85" t="str">
        <f ca="1">IFERROR(__xludf.DUMMYFUNCTION("""COMPUTED_VALUE"""),"")</f>
        <v/>
      </c>
      <c r="S2377" s="85"/>
      <c r="T2377" s="85"/>
      <c r="U2377" s="82"/>
      <c r="V2377" s="82"/>
      <c r="W2377" s="83"/>
      <c r="X2377" s="83"/>
      <c r="Y2377" s="83"/>
    </row>
    <row r="2378" spans="1:25" ht="13.8">
      <c r="A2378" s="78"/>
      <c r="B2378" s="79" t="str">
        <f ca="1">IFERROR(__xludf.DUMMYFUNCTION("""COMPUTED_VALUE"""),"")</f>
        <v/>
      </c>
      <c r="C2378" s="78" t="str">
        <f ca="1">IFERROR(__xludf.DUMMYFUNCTION("""COMPUTED_VALUE"""),"")</f>
        <v/>
      </c>
      <c r="D2378" s="78" t="str">
        <f ca="1">IFERROR(__xludf.DUMMYFUNCTION("""COMPUTED_VALUE"""),"")</f>
        <v/>
      </c>
      <c r="E2378" s="80" t="str">
        <f ca="1">IFERROR(__xludf.DUMMYFUNCTION("""COMPUTED_VALUE"""),"")</f>
        <v/>
      </c>
      <c r="F2378" s="86" t="str">
        <f ca="1">IFERROR(__xludf.DUMMYFUNCTION("""COMPUTED_VALUE"""),"")</f>
        <v/>
      </c>
      <c r="G2378" s="86" t="str">
        <f ca="1">IFERROR(__xludf.DUMMYFUNCTION("""COMPUTED_VALUE"""),"")</f>
        <v/>
      </c>
      <c r="H2378" s="86"/>
      <c r="I2378" s="86" t="str">
        <f ca="1">IFERROR(__xludf.DUMMYFUNCTION("""COMPUTED_VALUE"""),"")</f>
        <v/>
      </c>
      <c r="J2378" s="85" t="str">
        <f ca="1">IFERROR(__xludf.DUMMYFUNCTION("""COMPUTED_VALUE"""),"")</f>
        <v/>
      </c>
      <c r="K2378" s="85" t="str">
        <f ca="1">IFERROR(__xludf.DUMMYFUNCTION("""COMPUTED_VALUE"""),"")</f>
        <v/>
      </c>
      <c r="L2378" s="85" t="str">
        <f ca="1">IFERROR(__xludf.DUMMYFUNCTION("""COMPUTED_VALUE"""),"")</f>
        <v/>
      </c>
      <c r="M2378" s="85"/>
      <c r="N2378" s="85" t="str">
        <f ca="1">IFERROR(__xludf.DUMMYFUNCTION("""COMPUTED_VALUE"""),"")</f>
        <v/>
      </c>
      <c r="O2378" s="85"/>
      <c r="P2378" s="85" t="str">
        <f ca="1">IFERROR(__xludf.DUMMYFUNCTION("""COMPUTED_VALUE"""),"")</f>
        <v/>
      </c>
      <c r="Q2378" s="85"/>
      <c r="R2378" s="85" t="str">
        <f ca="1">IFERROR(__xludf.DUMMYFUNCTION("""COMPUTED_VALUE"""),"")</f>
        <v/>
      </c>
      <c r="S2378" s="85"/>
      <c r="T2378" s="85"/>
      <c r="U2378" s="82"/>
      <c r="V2378" s="82"/>
      <c r="W2378" s="83"/>
      <c r="X2378" s="83"/>
      <c r="Y2378" s="83"/>
    </row>
    <row r="2379" spans="1:25" ht="13.8">
      <c r="A2379" s="78"/>
      <c r="B2379" s="79" t="str">
        <f ca="1">IFERROR(__xludf.DUMMYFUNCTION("""COMPUTED_VALUE"""),"")</f>
        <v/>
      </c>
      <c r="C2379" s="78" t="str">
        <f ca="1">IFERROR(__xludf.DUMMYFUNCTION("""COMPUTED_VALUE"""),"")</f>
        <v/>
      </c>
      <c r="D2379" s="78" t="str">
        <f ca="1">IFERROR(__xludf.DUMMYFUNCTION("""COMPUTED_VALUE"""),"")</f>
        <v/>
      </c>
      <c r="E2379" s="80" t="str">
        <f ca="1">IFERROR(__xludf.DUMMYFUNCTION("""COMPUTED_VALUE"""),"")</f>
        <v/>
      </c>
      <c r="F2379" s="86" t="str">
        <f ca="1">IFERROR(__xludf.DUMMYFUNCTION("""COMPUTED_VALUE"""),"")</f>
        <v/>
      </c>
      <c r="G2379" s="86" t="str">
        <f ca="1">IFERROR(__xludf.DUMMYFUNCTION("""COMPUTED_VALUE"""),"")</f>
        <v/>
      </c>
      <c r="H2379" s="86"/>
      <c r="I2379" s="86" t="str">
        <f ca="1">IFERROR(__xludf.DUMMYFUNCTION("""COMPUTED_VALUE"""),"")</f>
        <v/>
      </c>
      <c r="J2379" s="85" t="str">
        <f ca="1">IFERROR(__xludf.DUMMYFUNCTION("""COMPUTED_VALUE"""),"")</f>
        <v/>
      </c>
      <c r="K2379" s="85" t="str">
        <f ca="1">IFERROR(__xludf.DUMMYFUNCTION("""COMPUTED_VALUE"""),"")</f>
        <v/>
      </c>
      <c r="L2379" s="85" t="str">
        <f ca="1">IFERROR(__xludf.DUMMYFUNCTION("""COMPUTED_VALUE"""),"")</f>
        <v/>
      </c>
      <c r="M2379" s="85"/>
      <c r="N2379" s="85" t="str">
        <f ca="1">IFERROR(__xludf.DUMMYFUNCTION("""COMPUTED_VALUE"""),"")</f>
        <v/>
      </c>
      <c r="O2379" s="85"/>
      <c r="P2379" s="85" t="str">
        <f ca="1">IFERROR(__xludf.DUMMYFUNCTION("""COMPUTED_VALUE"""),"")</f>
        <v/>
      </c>
      <c r="Q2379" s="85"/>
      <c r="R2379" s="85" t="str">
        <f ca="1">IFERROR(__xludf.DUMMYFUNCTION("""COMPUTED_VALUE"""),"")</f>
        <v/>
      </c>
      <c r="S2379" s="85"/>
      <c r="T2379" s="85"/>
      <c r="U2379" s="82"/>
      <c r="V2379" s="82"/>
      <c r="W2379" s="83"/>
      <c r="X2379" s="83"/>
      <c r="Y2379" s="83"/>
    </row>
    <row r="2380" spans="1:25" ht="13.8">
      <c r="A2380" s="78"/>
      <c r="B2380" s="79" t="str">
        <f ca="1">IFERROR(__xludf.DUMMYFUNCTION("""COMPUTED_VALUE"""),"")</f>
        <v/>
      </c>
      <c r="C2380" s="78" t="str">
        <f ca="1">IFERROR(__xludf.DUMMYFUNCTION("""COMPUTED_VALUE"""),"")</f>
        <v/>
      </c>
      <c r="D2380" s="78" t="str">
        <f ca="1">IFERROR(__xludf.DUMMYFUNCTION("""COMPUTED_VALUE"""),"")</f>
        <v/>
      </c>
      <c r="E2380" s="80" t="str">
        <f ca="1">IFERROR(__xludf.DUMMYFUNCTION("""COMPUTED_VALUE"""),"")</f>
        <v/>
      </c>
      <c r="F2380" s="86" t="str">
        <f ca="1">IFERROR(__xludf.DUMMYFUNCTION("""COMPUTED_VALUE"""),"")</f>
        <v/>
      </c>
      <c r="G2380" s="86" t="str">
        <f ca="1">IFERROR(__xludf.DUMMYFUNCTION("""COMPUTED_VALUE"""),"")</f>
        <v/>
      </c>
      <c r="H2380" s="86"/>
      <c r="I2380" s="86" t="str">
        <f ca="1">IFERROR(__xludf.DUMMYFUNCTION("""COMPUTED_VALUE"""),"")</f>
        <v/>
      </c>
      <c r="J2380" s="85" t="str">
        <f ca="1">IFERROR(__xludf.DUMMYFUNCTION("""COMPUTED_VALUE"""),"")</f>
        <v/>
      </c>
      <c r="K2380" s="85" t="str">
        <f ca="1">IFERROR(__xludf.DUMMYFUNCTION("""COMPUTED_VALUE"""),"")</f>
        <v/>
      </c>
      <c r="L2380" s="85" t="str">
        <f ca="1">IFERROR(__xludf.DUMMYFUNCTION("""COMPUTED_VALUE"""),"")</f>
        <v/>
      </c>
      <c r="M2380" s="85"/>
      <c r="N2380" s="85" t="str">
        <f ca="1">IFERROR(__xludf.DUMMYFUNCTION("""COMPUTED_VALUE"""),"")</f>
        <v/>
      </c>
      <c r="O2380" s="85"/>
      <c r="P2380" s="85" t="str">
        <f ca="1">IFERROR(__xludf.DUMMYFUNCTION("""COMPUTED_VALUE"""),"")</f>
        <v/>
      </c>
      <c r="Q2380" s="85"/>
      <c r="R2380" s="85" t="str">
        <f ca="1">IFERROR(__xludf.DUMMYFUNCTION("""COMPUTED_VALUE"""),"")</f>
        <v/>
      </c>
      <c r="S2380" s="85"/>
      <c r="T2380" s="85"/>
      <c r="U2380" s="82"/>
      <c r="V2380" s="82"/>
      <c r="W2380" s="83"/>
      <c r="X2380" s="83"/>
      <c r="Y2380" s="83"/>
    </row>
    <row r="2381" spans="1:25" ht="13.8">
      <c r="A2381" s="78"/>
      <c r="B2381" s="79" t="str">
        <f ca="1">IFERROR(__xludf.DUMMYFUNCTION("""COMPUTED_VALUE"""),"")</f>
        <v/>
      </c>
      <c r="C2381" s="78" t="str">
        <f ca="1">IFERROR(__xludf.DUMMYFUNCTION("""COMPUTED_VALUE"""),"")</f>
        <v/>
      </c>
      <c r="D2381" s="78" t="str">
        <f ca="1">IFERROR(__xludf.DUMMYFUNCTION("""COMPUTED_VALUE"""),"")</f>
        <v/>
      </c>
      <c r="E2381" s="80" t="str">
        <f ca="1">IFERROR(__xludf.DUMMYFUNCTION("""COMPUTED_VALUE"""),"")</f>
        <v/>
      </c>
      <c r="F2381" s="86" t="str">
        <f ca="1">IFERROR(__xludf.DUMMYFUNCTION("""COMPUTED_VALUE"""),"")</f>
        <v/>
      </c>
      <c r="G2381" s="86" t="str">
        <f ca="1">IFERROR(__xludf.DUMMYFUNCTION("""COMPUTED_VALUE"""),"")</f>
        <v/>
      </c>
      <c r="H2381" s="86"/>
      <c r="I2381" s="86" t="str">
        <f ca="1">IFERROR(__xludf.DUMMYFUNCTION("""COMPUTED_VALUE"""),"")</f>
        <v/>
      </c>
      <c r="J2381" s="85" t="str">
        <f ca="1">IFERROR(__xludf.DUMMYFUNCTION("""COMPUTED_VALUE"""),"")</f>
        <v/>
      </c>
      <c r="K2381" s="85" t="str">
        <f ca="1">IFERROR(__xludf.DUMMYFUNCTION("""COMPUTED_VALUE"""),"")</f>
        <v/>
      </c>
      <c r="L2381" s="85" t="str">
        <f ca="1">IFERROR(__xludf.DUMMYFUNCTION("""COMPUTED_VALUE"""),"")</f>
        <v/>
      </c>
      <c r="M2381" s="85"/>
      <c r="N2381" s="85" t="str">
        <f ca="1">IFERROR(__xludf.DUMMYFUNCTION("""COMPUTED_VALUE"""),"")</f>
        <v/>
      </c>
      <c r="O2381" s="85"/>
      <c r="P2381" s="85" t="str">
        <f ca="1">IFERROR(__xludf.DUMMYFUNCTION("""COMPUTED_VALUE"""),"")</f>
        <v/>
      </c>
      <c r="Q2381" s="85"/>
      <c r="R2381" s="85" t="str">
        <f ca="1">IFERROR(__xludf.DUMMYFUNCTION("""COMPUTED_VALUE"""),"")</f>
        <v/>
      </c>
      <c r="S2381" s="85"/>
      <c r="T2381" s="85"/>
      <c r="U2381" s="82"/>
      <c r="V2381" s="82"/>
      <c r="W2381" s="83"/>
      <c r="X2381" s="83"/>
      <c r="Y2381" s="83"/>
    </row>
    <row r="2382" spans="1:25" ht="13.8">
      <c r="A2382" s="78"/>
      <c r="B2382" s="79" t="str">
        <f ca="1">IFERROR(__xludf.DUMMYFUNCTION("""COMPUTED_VALUE"""),"")</f>
        <v/>
      </c>
      <c r="C2382" s="78" t="str">
        <f ca="1">IFERROR(__xludf.DUMMYFUNCTION("""COMPUTED_VALUE"""),"")</f>
        <v/>
      </c>
      <c r="D2382" s="78" t="str">
        <f ca="1">IFERROR(__xludf.DUMMYFUNCTION("""COMPUTED_VALUE"""),"")</f>
        <v/>
      </c>
      <c r="E2382" s="80" t="str">
        <f ca="1">IFERROR(__xludf.DUMMYFUNCTION("""COMPUTED_VALUE"""),"")</f>
        <v/>
      </c>
      <c r="F2382" s="86" t="str">
        <f ca="1">IFERROR(__xludf.DUMMYFUNCTION("""COMPUTED_VALUE"""),"")</f>
        <v/>
      </c>
      <c r="G2382" s="86" t="str">
        <f ca="1">IFERROR(__xludf.DUMMYFUNCTION("""COMPUTED_VALUE"""),"")</f>
        <v/>
      </c>
      <c r="H2382" s="86"/>
      <c r="I2382" s="86" t="str">
        <f ca="1">IFERROR(__xludf.DUMMYFUNCTION("""COMPUTED_VALUE"""),"")</f>
        <v/>
      </c>
      <c r="J2382" s="85" t="str">
        <f ca="1">IFERROR(__xludf.DUMMYFUNCTION("""COMPUTED_VALUE"""),"")</f>
        <v/>
      </c>
      <c r="K2382" s="85" t="str">
        <f ca="1">IFERROR(__xludf.DUMMYFUNCTION("""COMPUTED_VALUE"""),"")</f>
        <v/>
      </c>
      <c r="L2382" s="85" t="str">
        <f ca="1">IFERROR(__xludf.DUMMYFUNCTION("""COMPUTED_VALUE"""),"")</f>
        <v/>
      </c>
      <c r="M2382" s="85"/>
      <c r="N2382" s="85" t="str">
        <f ca="1">IFERROR(__xludf.DUMMYFUNCTION("""COMPUTED_VALUE"""),"")</f>
        <v/>
      </c>
      <c r="O2382" s="85"/>
      <c r="P2382" s="85" t="str">
        <f ca="1">IFERROR(__xludf.DUMMYFUNCTION("""COMPUTED_VALUE"""),"")</f>
        <v/>
      </c>
      <c r="Q2382" s="85"/>
      <c r="R2382" s="85" t="str">
        <f ca="1">IFERROR(__xludf.DUMMYFUNCTION("""COMPUTED_VALUE"""),"")</f>
        <v/>
      </c>
      <c r="S2382" s="85"/>
      <c r="T2382" s="85"/>
      <c r="U2382" s="82"/>
      <c r="V2382" s="82"/>
      <c r="W2382" s="83"/>
      <c r="X2382" s="83"/>
      <c r="Y2382" s="83"/>
    </row>
    <row r="2383" spans="1:25" ht="13.8">
      <c r="A2383" s="78"/>
      <c r="B2383" s="79" t="str">
        <f ca="1">IFERROR(__xludf.DUMMYFUNCTION("""COMPUTED_VALUE"""),"")</f>
        <v/>
      </c>
      <c r="C2383" s="78" t="str">
        <f ca="1">IFERROR(__xludf.DUMMYFUNCTION("""COMPUTED_VALUE"""),"")</f>
        <v/>
      </c>
      <c r="D2383" s="78" t="str">
        <f ca="1">IFERROR(__xludf.DUMMYFUNCTION("""COMPUTED_VALUE"""),"")</f>
        <v/>
      </c>
      <c r="E2383" s="80" t="str">
        <f ca="1">IFERROR(__xludf.DUMMYFUNCTION("""COMPUTED_VALUE"""),"")</f>
        <v/>
      </c>
      <c r="F2383" s="86" t="str">
        <f ca="1">IFERROR(__xludf.DUMMYFUNCTION("""COMPUTED_VALUE"""),"")</f>
        <v/>
      </c>
      <c r="G2383" s="86" t="str">
        <f ca="1">IFERROR(__xludf.DUMMYFUNCTION("""COMPUTED_VALUE"""),"")</f>
        <v/>
      </c>
      <c r="H2383" s="86"/>
      <c r="I2383" s="86" t="str">
        <f ca="1">IFERROR(__xludf.DUMMYFUNCTION("""COMPUTED_VALUE"""),"")</f>
        <v/>
      </c>
      <c r="J2383" s="85" t="str">
        <f ca="1">IFERROR(__xludf.DUMMYFUNCTION("""COMPUTED_VALUE"""),"")</f>
        <v/>
      </c>
      <c r="K2383" s="85" t="str">
        <f ca="1">IFERROR(__xludf.DUMMYFUNCTION("""COMPUTED_VALUE"""),"")</f>
        <v/>
      </c>
      <c r="L2383" s="85" t="str">
        <f ca="1">IFERROR(__xludf.DUMMYFUNCTION("""COMPUTED_VALUE"""),"")</f>
        <v/>
      </c>
      <c r="M2383" s="85"/>
      <c r="N2383" s="85" t="str">
        <f ca="1">IFERROR(__xludf.DUMMYFUNCTION("""COMPUTED_VALUE"""),"")</f>
        <v/>
      </c>
      <c r="O2383" s="85"/>
      <c r="P2383" s="85" t="str">
        <f ca="1">IFERROR(__xludf.DUMMYFUNCTION("""COMPUTED_VALUE"""),"")</f>
        <v/>
      </c>
      <c r="Q2383" s="85"/>
      <c r="R2383" s="85" t="str">
        <f ca="1">IFERROR(__xludf.DUMMYFUNCTION("""COMPUTED_VALUE"""),"")</f>
        <v/>
      </c>
      <c r="S2383" s="85"/>
      <c r="T2383" s="85"/>
      <c r="U2383" s="82"/>
      <c r="V2383" s="82"/>
      <c r="W2383" s="83"/>
      <c r="X2383" s="83"/>
      <c r="Y2383" s="83"/>
    </row>
    <row r="2384" spans="1:25" ht="13.8">
      <c r="A2384" s="78"/>
      <c r="B2384" s="79" t="str">
        <f ca="1">IFERROR(__xludf.DUMMYFUNCTION("""COMPUTED_VALUE"""),"")</f>
        <v/>
      </c>
      <c r="C2384" s="78" t="str">
        <f ca="1">IFERROR(__xludf.DUMMYFUNCTION("""COMPUTED_VALUE"""),"")</f>
        <v/>
      </c>
      <c r="D2384" s="78" t="str">
        <f ca="1">IFERROR(__xludf.DUMMYFUNCTION("""COMPUTED_VALUE"""),"")</f>
        <v/>
      </c>
      <c r="E2384" s="80" t="str">
        <f ca="1">IFERROR(__xludf.DUMMYFUNCTION("""COMPUTED_VALUE"""),"")</f>
        <v/>
      </c>
      <c r="F2384" s="86" t="str">
        <f ca="1">IFERROR(__xludf.DUMMYFUNCTION("""COMPUTED_VALUE"""),"")</f>
        <v/>
      </c>
      <c r="G2384" s="86" t="str">
        <f ca="1">IFERROR(__xludf.DUMMYFUNCTION("""COMPUTED_VALUE"""),"")</f>
        <v/>
      </c>
      <c r="H2384" s="86"/>
      <c r="I2384" s="86" t="str">
        <f ca="1">IFERROR(__xludf.DUMMYFUNCTION("""COMPUTED_VALUE"""),"")</f>
        <v/>
      </c>
      <c r="J2384" s="85" t="str">
        <f ca="1">IFERROR(__xludf.DUMMYFUNCTION("""COMPUTED_VALUE"""),"")</f>
        <v/>
      </c>
      <c r="K2384" s="85" t="str">
        <f ca="1">IFERROR(__xludf.DUMMYFUNCTION("""COMPUTED_VALUE"""),"")</f>
        <v/>
      </c>
      <c r="L2384" s="85" t="str">
        <f ca="1">IFERROR(__xludf.DUMMYFUNCTION("""COMPUTED_VALUE"""),"")</f>
        <v/>
      </c>
      <c r="M2384" s="85"/>
      <c r="N2384" s="85" t="str">
        <f ca="1">IFERROR(__xludf.DUMMYFUNCTION("""COMPUTED_VALUE"""),"")</f>
        <v/>
      </c>
      <c r="O2384" s="85"/>
      <c r="P2384" s="85" t="str">
        <f ca="1">IFERROR(__xludf.DUMMYFUNCTION("""COMPUTED_VALUE"""),"")</f>
        <v/>
      </c>
      <c r="Q2384" s="85"/>
      <c r="R2384" s="85" t="str">
        <f ca="1">IFERROR(__xludf.DUMMYFUNCTION("""COMPUTED_VALUE"""),"")</f>
        <v/>
      </c>
      <c r="S2384" s="85"/>
      <c r="T2384" s="85"/>
      <c r="U2384" s="82"/>
      <c r="V2384" s="82"/>
      <c r="W2384" s="83"/>
      <c r="X2384" s="83"/>
      <c r="Y2384" s="83"/>
    </row>
    <row r="2385" spans="1:25" ht="13.8">
      <c r="A2385" s="78"/>
      <c r="B2385" s="79" t="str">
        <f ca="1">IFERROR(__xludf.DUMMYFUNCTION("""COMPUTED_VALUE"""),"")</f>
        <v/>
      </c>
      <c r="C2385" s="78" t="str">
        <f ca="1">IFERROR(__xludf.DUMMYFUNCTION("""COMPUTED_VALUE"""),"")</f>
        <v/>
      </c>
      <c r="D2385" s="78" t="str">
        <f ca="1">IFERROR(__xludf.DUMMYFUNCTION("""COMPUTED_VALUE"""),"")</f>
        <v/>
      </c>
      <c r="E2385" s="80" t="str">
        <f ca="1">IFERROR(__xludf.DUMMYFUNCTION("""COMPUTED_VALUE"""),"")</f>
        <v/>
      </c>
      <c r="F2385" s="86" t="str">
        <f ca="1">IFERROR(__xludf.DUMMYFUNCTION("""COMPUTED_VALUE"""),"")</f>
        <v/>
      </c>
      <c r="G2385" s="86" t="str">
        <f ca="1">IFERROR(__xludf.DUMMYFUNCTION("""COMPUTED_VALUE"""),"")</f>
        <v/>
      </c>
      <c r="H2385" s="86"/>
      <c r="I2385" s="86" t="str">
        <f ca="1">IFERROR(__xludf.DUMMYFUNCTION("""COMPUTED_VALUE"""),"")</f>
        <v/>
      </c>
      <c r="J2385" s="85" t="str">
        <f ca="1">IFERROR(__xludf.DUMMYFUNCTION("""COMPUTED_VALUE"""),"")</f>
        <v/>
      </c>
      <c r="K2385" s="85" t="str">
        <f ca="1">IFERROR(__xludf.DUMMYFUNCTION("""COMPUTED_VALUE"""),"")</f>
        <v/>
      </c>
      <c r="L2385" s="85" t="str">
        <f ca="1">IFERROR(__xludf.DUMMYFUNCTION("""COMPUTED_VALUE"""),"")</f>
        <v/>
      </c>
      <c r="M2385" s="85"/>
      <c r="N2385" s="85" t="str">
        <f ca="1">IFERROR(__xludf.DUMMYFUNCTION("""COMPUTED_VALUE"""),"")</f>
        <v/>
      </c>
      <c r="O2385" s="85"/>
      <c r="P2385" s="85" t="str">
        <f ca="1">IFERROR(__xludf.DUMMYFUNCTION("""COMPUTED_VALUE"""),"")</f>
        <v/>
      </c>
      <c r="Q2385" s="85"/>
      <c r="R2385" s="85" t="str">
        <f ca="1">IFERROR(__xludf.DUMMYFUNCTION("""COMPUTED_VALUE"""),"")</f>
        <v/>
      </c>
      <c r="S2385" s="85"/>
      <c r="T2385" s="85"/>
      <c r="U2385" s="82"/>
      <c r="V2385" s="82"/>
      <c r="W2385" s="83"/>
      <c r="X2385" s="83"/>
      <c r="Y2385" s="83"/>
    </row>
    <row r="2386" spans="1:25" ht="13.8">
      <c r="A2386" s="78"/>
      <c r="B2386" s="79" t="str">
        <f ca="1">IFERROR(__xludf.DUMMYFUNCTION("""COMPUTED_VALUE"""),"")</f>
        <v/>
      </c>
      <c r="C2386" s="78" t="str">
        <f ca="1">IFERROR(__xludf.DUMMYFUNCTION("""COMPUTED_VALUE"""),"")</f>
        <v/>
      </c>
      <c r="D2386" s="78" t="str">
        <f ca="1">IFERROR(__xludf.DUMMYFUNCTION("""COMPUTED_VALUE"""),"")</f>
        <v/>
      </c>
      <c r="E2386" s="80" t="str">
        <f ca="1">IFERROR(__xludf.DUMMYFUNCTION("""COMPUTED_VALUE"""),"")</f>
        <v/>
      </c>
      <c r="F2386" s="86" t="str">
        <f ca="1">IFERROR(__xludf.DUMMYFUNCTION("""COMPUTED_VALUE"""),"")</f>
        <v/>
      </c>
      <c r="G2386" s="86" t="str">
        <f ca="1">IFERROR(__xludf.DUMMYFUNCTION("""COMPUTED_VALUE"""),"")</f>
        <v/>
      </c>
      <c r="H2386" s="86"/>
      <c r="I2386" s="86" t="str">
        <f ca="1">IFERROR(__xludf.DUMMYFUNCTION("""COMPUTED_VALUE"""),"")</f>
        <v/>
      </c>
      <c r="J2386" s="85" t="str">
        <f ca="1">IFERROR(__xludf.DUMMYFUNCTION("""COMPUTED_VALUE"""),"")</f>
        <v/>
      </c>
      <c r="K2386" s="85" t="str">
        <f ca="1">IFERROR(__xludf.DUMMYFUNCTION("""COMPUTED_VALUE"""),"")</f>
        <v/>
      </c>
      <c r="L2386" s="85" t="str">
        <f ca="1">IFERROR(__xludf.DUMMYFUNCTION("""COMPUTED_VALUE"""),"")</f>
        <v/>
      </c>
      <c r="M2386" s="85"/>
      <c r="N2386" s="85" t="str">
        <f ca="1">IFERROR(__xludf.DUMMYFUNCTION("""COMPUTED_VALUE"""),"")</f>
        <v/>
      </c>
      <c r="O2386" s="85"/>
      <c r="P2386" s="85" t="str">
        <f ca="1">IFERROR(__xludf.DUMMYFUNCTION("""COMPUTED_VALUE"""),"")</f>
        <v/>
      </c>
      <c r="Q2386" s="85"/>
      <c r="R2386" s="85" t="str">
        <f ca="1">IFERROR(__xludf.DUMMYFUNCTION("""COMPUTED_VALUE"""),"")</f>
        <v/>
      </c>
      <c r="S2386" s="85"/>
      <c r="T2386" s="85"/>
      <c r="U2386" s="82"/>
      <c r="V2386" s="82"/>
      <c r="W2386" s="83"/>
      <c r="X2386" s="83"/>
      <c r="Y2386" s="83"/>
    </row>
    <row r="2387" spans="1:25" ht="13.8">
      <c r="A2387" s="78"/>
      <c r="B2387" s="79" t="str">
        <f ca="1">IFERROR(__xludf.DUMMYFUNCTION("""COMPUTED_VALUE"""),"")</f>
        <v/>
      </c>
      <c r="C2387" s="78" t="str">
        <f ca="1">IFERROR(__xludf.DUMMYFUNCTION("""COMPUTED_VALUE"""),"")</f>
        <v/>
      </c>
      <c r="D2387" s="78" t="str">
        <f ca="1">IFERROR(__xludf.DUMMYFUNCTION("""COMPUTED_VALUE"""),"")</f>
        <v/>
      </c>
      <c r="E2387" s="80" t="str">
        <f ca="1">IFERROR(__xludf.DUMMYFUNCTION("""COMPUTED_VALUE"""),"")</f>
        <v/>
      </c>
      <c r="F2387" s="86" t="str">
        <f ca="1">IFERROR(__xludf.DUMMYFUNCTION("""COMPUTED_VALUE"""),"")</f>
        <v/>
      </c>
      <c r="G2387" s="86" t="str">
        <f ca="1">IFERROR(__xludf.DUMMYFUNCTION("""COMPUTED_VALUE"""),"")</f>
        <v/>
      </c>
      <c r="H2387" s="86"/>
      <c r="I2387" s="86" t="str">
        <f ca="1">IFERROR(__xludf.DUMMYFUNCTION("""COMPUTED_VALUE"""),"")</f>
        <v/>
      </c>
      <c r="J2387" s="85" t="str">
        <f ca="1">IFERROR(__xludf.DUMMYFUNCTION("""COMPUTED_VALUE"""),"")</f>
        <v/>
      </c>
      <c r="K2387" s="85" t="str">
        <f ca="1">IFERROR(__xludf.DUMMYFUNCTION("""COMPUTED_VALUE"""),"")</f>
        <v/>
      </c>
      <c r="L2387" s="85" t="str">
        <f ca="1">IFERROR(__xludf.DUMMYFUNCTION("""COMPUTED_VALUE"""),"")</f>
        <v/>
      </c>
      <c r="M2387" s="85"/>
      <c r="N2387" s="85" t="str">
        <f ca="1">IFERROR(__xludf.DUMMYFUNCTION("""COMPUTED_VALUE"""),"")</f>
        <v/>
      </c>
      <c r="O2387" s="85"/>
      <c r="P2387" s="85" t="str">
        <f ca="1">IFERROR(__xludf.DUMMYFUNCTION("""COMPUTED_VALUE"""),"")</f>
        <v/>
      </c>
      <c r="Q2387" s="85"/>
      <c r="R2387" s="85" t="str">
        <f ca="1">IFERROR(__xludf.DUMMYFUNCTION("""COMPUTED_VALUE"""),"")</f>
        <v/>
      </c>
      <c r="S2387" s="85"/>
      <c r="T2387" s="85"/>
      <c r="U2387" s="82"/>
      <c r="V2387" s="82"/>
      <c r="W2387" s="83"/>
      <c r="X2387" s="83"/>
      <c r="Y2387" s="83"/>
    </row>
    <row r="2388" spans="1:25" ht="13.8">
      <c r="A2388" s="78"/>
      <c r="B2388" s="79" t="str">
        <f ca="1">IFERROR(__xludf.DUMMYFUNCTION("""COMPUTED_VALUE"""),"")</f>
        <v/>
      </c>
      <c r="C2388" s="78" t="str">
        <f ca="1">IFERROR(__xludf.DUMMYFUNCTION("""COMPUTED_VALUE"""),"")</f>
        <v/>
      </c>
      <c r="D2388" s="78" t="str">
        <f ca="1">IFERROR(__xludf.DUMMYFUNCTION("""COMPUTED_VALUE"""),"")</f>
        <v/>
      </c>
      <c r="E2388" s="80" t="str">
        <f ca="1">IFERROR(__xludf.DUMMYFUNCTION("""COMPUTED_VALUE"""),"")</f>
        <v/>
      </c>
      <c r="F2388" s="86" t="str">
        <f ca="1">IFERROR(__xludf.DUMMYFUNCTION("""COMPUTED_VALUE"""),"")</f>
        <v/>
      </c>
      <c r="G2388" s="86" t="str">
        <f ca="1">IFERROR(__xludf.DUMMYFUNCTION("""COMPUTED_VALUE"""),"")</f>
        <v/>
      </c>
      <c r="H2388" s="86"/>
      <c r="I2388" s="86" t="str">
        <f ca="1">IFERROR(__xludf.DUMMYFUNCTION("""COMPUTED_VALUE"""),"")</f>
        <v/>
      </c>
      <c r="J2388" s="85" t="str">
        <f ca="1">IFERROR(__xludf.DUMMYFUNCTION("""COMPUTED_VALUE"""),"")</f>
        <v/>
      </c>
      <c r="K2388" s="85" t="str">
        <f ca="1">IFERROR(__xludf.DUMMYFUNCTION("""COMPUTED_VALUE"""),"")</f>
        <v/>
      </c>
      <c r="L2388" s="85" t="str">
        <f ca="1">IFERROR(__xludf.DUMMYFUNCTION("""COMPUTED_VALUE"""),"")</f>
        <v/>
      </c>
      <c r="M2388" s="85"/>
      <c r="N2388" s="85" t="str">
        <f ca="1">IFERROR(__xludf.DUMMYFUNCTION("""COMPUTED_VALUE"""),"")</f>
        <v/>
      </c>
      <c r="O2388" s="85"/>
      <c r="P2388" s="85" t="str">
        <f ca="1">IFERROR(__xludf.DUMMYFUNCTION("""COMPUTED_VALUE"""),"")</f>
        <v/>
      </c>
      <c r="Q2388" s="85"/>
      <c r="R2388" s="85" t="str">
        <f ca="1">IFERROR(__xludf.DUMMYFUNCTION("""COMPUTED_VALUE"""),"")</f>
        <v/>
      </c>
      <c r="S2388" s="85"/>
      <c r="T2388" s="85"/>
      <c r="U2388" s="82"/>
      <c r="V2388" s="82"/>
      <c r="W2388" s="83"/>
      <c r="X2388" s="83"/>
      <c r="Y2388" s="83"/>
    </row>
    <row r="2389" spans="1:25" ht="13.8">
      <c r="A2389" s="78"/>
      <c r="B2389" s="79" t="str">
        <f ca="1">IFERROR(__xludf.DUMMYFUNCTION("""COMPUTED_VALUE"""),"")</f>
        <v/>
      </c>
      <c r="C2389" s="78" t="str">
        <f ca="1">IFERROR(__xludf.DUMMYFUNCTION("""COMPUTED_VALUE"""),"")</f>
        <v/>
      </c>
      <c r="D2389" s="78" t="str">
        <f ca="1">IFERROR(__xludf.DUMMYFUNCTION("""COMPUTED_VALUE"""),"")</f>
        <v/>
      </c>
      <c r="E2389" s="80" t="str">
        <f ca="1">IFERROR(__xludf.DUMMYFUNCTION("""COMPUTED_VALUE"""),"")</f>
        <v/>
      </c>
      <c r="F2389" s="86" t="str">
        <f ca="1">IFERROR(__xludf.DUMMYFUNCTION("""COMPUTED_VALUE"""),"")</f>
        <v/>
      </c>
      <c r="G2389" s="86" t="str">
        <f ca="1">IFERROR(__xludf.DUMMYFUNCTION("""COMPUTED_VALUE"""),"")</f>
        <v/>
      </c>
      <c r="H2389" s="86"/>
      <c r="I2389" s="86" t="str">
        <f ca="1">IFERROR(__xludf.DUMMYFUNCTION("""COMPUTED_VALUE"""),"")</f>
        <v/>
      </c>
      <c r="J2389" s="85" t="str">
        <f ca="1">IFERROR(__xludf.DUMMYFUNCTION("""COMPUTED_VALUE"""),"")</f>
        <v/>
      </c>
      <c r="K2389" s="85" t="str">
        <f ca="1">IFERROR(__xludf.DUMMYFUNCTION("""COMPUTED_VALUE"""),"")</f>
        <v/>
      </c>
      <c r="L2389" s="85" t="str">
        <f ca="1">IFERROR(__xludf.DUMMYFUNCTION("""COMPUTED_VALUE"""),"")</f>
        <v/>
      </c>
      <c r="M2389" s="85"/>
      <c r="N2389" s="85" t="str">
        <f ca="1">IFERROR(__xludf.DUMMYFUNCTION("""COMPUTED_VALUE"""),"")</f>
        <v/>
      </c>
      <c r="O2389" s="85"/>
      <c r="P2389" s="85" t="str">
        <f ca="1">IFERROR(__xludf.DUMMYFUNCTION("""COMPUTED_VALUE"""),"")</f>
        <v/>
      </c>
      <c r="Q2389" s="85"/>
      <c r="R2389" s="85" t="str">
        <f ca="1">IFERROR(__xludf.DUMMYFUNCTION("""COMPUTED_VALUE"""),"")</f>
        <v/>
      </c>
      <c r="S2389" s="85"/>
      <c r="T2389" s="85"/>
      <c r="U2389" s="82"/>
      <c r="V2389" s="82"/>
      <c r="W2389" s="83"/>
      <c r="X2389" s="83"/>
      <c r="Y2389" s="83"/>
    </row>
    <row r="2390" spans="1:25" ht="13.8">
      <c r="A2390" s="78"/>
      <c r="B2390" s="79" t="str">
        <f ca="1">IFERROR(__xludf.DUMMYFUNCTION("""COMPUTED_VALUE"""),"")</f>
        <v/>
      </c>
      <c r="C2390" s="78" t="str">
        <f ca="1">IFERROR(__xludf.DUMMYFUNCTION("""COMPUTED_VALUE"""),"")</f>
        <v/>
      </c>
      <c r="D2390" s="78" t="str">
        <f ca="1">IFERROR(__xludf.DUMMYFUNCTION("""COMPUTED_VALUE"""),"")</f>
        <v/>
      </c>
      <c r="E2390" s="80" t="str">
        <f ca="1">IFERROR(__xludf.DUMMYFUNCTION("""COMPUTED_VALUE"""),"")</f>
        <v/>
      </c>
      <c r="F2390" s="86" t="str">
        <f ca="1">IFERROR(__xludf.DUMMYFUNCTION("""COMPUTED_VALUE"""),"")</f>
        <v/>
      </c>
      <c r="G2390" s="86" t="str">
        <f ca="1">IFERROR(__xludf.DUMMYFUNCTION("""COMPUTED_VALUE"""),"")</f>
        <v/>
      </c>
      <c r="H2390" s="86"/>
      <c r="I2390" s="86" t="str">
        <f ca="1">IFERROR(__xludf.DUMMYFUNCTION("""COMPUTED_VALUE"""),"")</f>
        <v/>
      </c>
      <c r="J2390" s="85"/>
      <c r="K2390" s="85"/>
      <c r="L2390" s="85" t="str">
        <f ca="1">IFERROR(__xludf.DUMMYFUNCTION("""COMPUTED_VALUE"""),"")</f>
        <v/>
      </c>
      <c r="M2390" s="85"/>
      <c r="N2390" s="85" t="str">
        <f ca="1">IFERROR(__xludf.DUMMYFUNCTION("""COMPUTED_VALUE"""),"")</f>
        <v/>
      </c>
      <c r="O2390" s="85"/>
      <c r="P2390" s="85" t="str">
        <f ca="1">IFERROR(__xludf.DUMMYFUNCTION("""COMPUTED_VALUE"""),"")</f>
        <v/>
      </c>
      <c r="Q2390" s="85"/>
      <c r="R2390" s="85" t="str">
        <f ca="1">IFERROR(__xludf.DUMMYFUNCTION("""COMPUTED_VALUE"""),"")</f>
        <v/>
      </c>
      <c r="S2390" s="85"/>
      <c r="T2390" s="85"/>
      <c r="U2390" s="82"/>
      <c r="V2390" s="82"/>
      <c r="W2390" s="83"/>
      <c r="X2390" s="83"/>
      <c r="Y2390" s="83"/>
    </row>
    <row r="2391" spans="1:25" ht="13.8">
      <c r="A2391" s="78"/>
      <c r="B2391" s="79" t="str">
        <f ca="1">IFERROR(__xludf.DUMMYFUNCTION("""COMPUTED_VALUE"""),"")</f>
        <v/>
      </c>
      <c r="C2391" s="78" t="str">
        <f ca="1">IFERROR(__xludf.DUMMYFUNCTION("""COMPUTED_VALUE"""),"")</f>
        <v/>
      </c>
      <c r="D2391" s="78" t="str">
        <f ca="1">IFERROR(__xludf.DUMMYFUNCTION("""COMPUTED_VALUE"""),"")</f>
        <v/>
      </c>
      <c r="E2391" s="80" t="str">
        <f ca="1">IFERROR(__xludf.DUMMYFUNCTION("""COMPUTED_VALUE"""),"")</f>
        <v/>
      </c>
      <c r="F2391" s="86" t="str">
        <f ca="1">IFERROR(__xludf.DUMMYFUNCTION("""COMPUTED_VALUE"""),"")</f>
        <v/>
      </c>
      <c r="G2391" s="86" t="str">
        <f ca="1">IFERROR(__xludf.DUMMYFUNCTION("""COMPUTED_VALUE"""),"")</f>
        <v/>
      </c>
      <c r="H2391" s="86"/>
      <c r="I2391" s="86" t="str">
        <f ca="1">IFERROR(__xludf.DUMMYFUNCTION("""COMPUTED_VALUE"""),"")</f>
        <v/>
      </c>
      <c r="J2391" s="85"/>
      <c r="K2391" s="85"/>
      <c r="L2391" s="85" t="str">
        <f ca="1">IFERROR(__xludf.DUMMYFUNCTION("""COMPUTED_VALUE"""),"")</f>
        <v/>
      </c>
      <c r="M2391" s="85"/>
      <c r="N2391" s="85" t="str">
        <f ca="1">IFERROR(__xludf.DUMMYFUNCTION("""COMPUTED_VALUE"""),"")</f>
        <v/>
      </c>
      <c r="O2391" s="85"/>
      <c r="P2391" s="85" t="str">
        <f ca="1">IFERROR(__xludf.DUMMYFUNCTION("""COMPUTED_VALUE"""),"")</f>
        <v/>
      </c>
      <c r="Q2391" s="85"/>
      <c r="R2391" s="85" t="str">
        <f ca="1">IFERROR(__xludf.DUMMYFUNCTION("""COMPUTED_VALUE"""),"")</f>
        <v/>
      </c>
      <c r="S2391" s="85"/>
      <c r="T2391" s="85"/>
      <c r="U2391" s="82"/>
      <c r="V2391" s="82"/>
      <c r="W2391" s="83"/>
      <c r="X2391" s="83"/>
      <c r="Y2391" s="83"/>
    </row>
    <row r="2392" spans="1:25" ht="13.8">
      <c r="A2392" s="78"/>
      <c r="B2392" s="79" t="str">
        <f ca="1">IFERROR(__xludf.DUMMYFUNCTION("""COMPUTED_VALUE"""),"")</f>
        <v/>
      </c>
      <c r="C2392" s="78" t="str">
        <f ca="1">IFERROR(__xludf.DUMMYFUNCTION("""COMPUTED_VALUE"""),"")</f>
        <v/>
      </c>
      <c r="D2392" s="78" t="str">
        <f ca="1">IFERROR(__xludf.DUMMYFUNCTION("""COMPUTED_VALUE"""),"")</f>
        <v/>
      </c>
      <c r="E2392" s="80" t="str">
        <f ca="1">IFERROR(__xludf.DUMMYFUNCTION("""COMPUTED_VALUE"""),"")</f>
        <v/>
      </c>
      <c r="F2392" s="86" t="str">
        <f ca="1">IFERROR(__xludf.DUMMYFUNCTION("""COMPUTED_VALUE"""),"")</f>
        <v/>
      </c>
      <c r="G2392" s="86" t="str">
        <f ca="1">IFERROR(__xludf.DUMMYFUNCTION("""COMPUTED_VALUE"""),"")</f>
        <v/>
      </c>
      <c r="H2392" s="86"/>
      <c r="I2392" s="86" t="str">
        <f ca="1">IFERROR(__xludf.DUMMYFUNCTION("""COMPUTED_VALUE"""),"")</f>
        <v/>
      </c>
      <c r="J2392" s="85"/>
      <c r="K2392" s="85"/>
      <c r="L2392" s="85" t="str">
        <f ca="1">IFERROR(__xludf.DUMMYFUNCTION("""COMPUTED_VALUE"""),"")</f>
        <v/>
      </c>
      <c r="M2392" s="85"/>
      <c r="N2392" s="85" t="str">
        <f ca="1">IFERROR(__xludf.DUMMYFUNCTION("""COMPUTED_VALUE"""),"")</f>
        <v/>
      </c>
      <c r="O2392" s="85"/>
      <c r="P2392" s="85" t="str">
        <f ca="1">IFERROR(__xludf.DUMMYFUNCTION("""COMPUTED_VALUE"""),"")</f>
        <v/>
      </c>
      <c r="Q2392" s="85"/>
      <c r="R2392" s="85" t="str">
        <f ca="1">IFERROR(__xludf.DUMMYFUNCTION("""COMPUTED_VALUE"""),"")</f>
        <v/>
      </c>
      <c r="S2392" s="85"/>
      <c r="T2392" s="85"/>
      <c r="U2392" s="82"/>
      <c r="V2392" s="82"/>
      <c r="W2392" s="83"/>
      <c r="X2392" s="83"/>
      <c r="Y2392" s="83"/>
    </row>
    <row r="2393" spans="1:25" ht="13.8">
      <c r="A2393" s="78"/>
      <c r="B2393" s="79" t="str">
        <f ca="1">IFERROR(__xludf.DUMMYFUNCTION("""COMPUTED_VALUE"""),"")</f>
        <v/>
      </c>
      <c r="C2393" s="78" t="str">
        <f ca="1">IFERROR(__xludf.DUMMYFUNCTION("""COMPUTED_VALUE"""),"")</f>
        <v/>
      </c>
      <c r="D2393" s="78" t="str">
        <f ca="1">IFERROR(__xludf.DUMMYFUNCTION("""COMPUTED_VALUE"""),"")</f>
        <v/>
      </c>
      <c r="E2393" s="80" t="str">
        <f ca="1">IFERROR(__xludf.DUMMYFUNCTION("""COMPUTED_VALUE"""),"")</f>
        <v/>
      </c>
      <c r="F2393" s="86" t="str">
        <f ca="1">IFERROR(__xludf.DUMMYFUNCTION("""COMPUTED_VALUE"""),"")</f>
        <v/>
      </c>
      <c r="G2393" s="86" t="str">
        <f ca="1">IFERROR(__xludf.DUMMYFUNCTION("""COMPUTED_VALUE"""),"")</f>
        <v/>
      </c>
      <c r="H2393" s="86"/>
      <c r="I2393" s="86" t="str">
        <f ca="1">IFERROR(__xludf.DUMMYFUNCTION("""COMPUTED_VALUE"""),"")</f>
        <v/>
      </c>
      <c r="J2393" s="85"/>
      <c r="K2393" s="85"/>
      <c r="L2393" s="85" t="str">
        <f ca="1">IFERROR(__xludf.DUMMYFUNCTION("""COMPUTED_VALUE"""),"")</f>
        <v/>
      </c>
      <c r="M2393" s="85"/>
      <c r="N2393" s="85" t="str">
        <f ca="1">IFERROR(__xludf.DUMMYFUNCTION("""COMPUTED_VALUE"""),"")</f>
        <v/>
      </c>
      <c r="O2393" s="85"/>
      <c r="P2393" s="85" t="str">
        <f ca="1">IFERROR(__xludf.DUMMYFUNCTION("""COMPUTED_VALUE"""),"")</f>
        <v/>
      </c>
      <c r="Q2393" s="85"/>
      <c r="R2393" s="85" t="str">
        <f ca="1">IFERROR(__xludf.DUMMYFUNCTION("""COMPUTED_VALUE"""),"")</f>
        <v/>
      </c>
      <c r="S2393" s="85"/>
      <c r="T2393" s="85"/>
      <c r="U2393" s="82"/>
      <c r="V2393" s="82"/>
      <c r="W2393" s="83"/>
      <c r="X2393" s="83"/>
      <c r="Y2393" s="83"/>
    </row>
    <row r="2394" spans="1:25" ht="13.8">
      <c r="A2394" s="78"/>
      <c r="B2394" s="79"/>
      <c r="C2394" s="78"/>
      <c r="D2394" s="78"/>
      <c r="E2394" s="80"/>
      <c r="F2394" s="86"/>
      <c r="G2394" s="86"/>
      <c r="H2394" s="86"/>
      <c r="I2394" s="86"/>
      <c r="J2394" s="85"/>
      <c r="K2394" s="85"/>
      <c r="L2394" s="85"/>
      <c r="M2394" s="85"/>
      <c r="N2394" s="85"/>
      <c r="O2394" s="85"/>
      <c r="P2394" s="85"/>
      <c r="Q2394" s="85"/>
      <c r="R2394" s="85"/>
      <c r="S2394" s="85"/>
      <c r="T2394" s="85"/>
      <c r="U2394" s="82"/>
      <c r="V2394" s="82"/>
      <c r="W2394" s="83"/>
      <c r="X2394" s="83"/>
      <c r="Y2394" s="83"/>
    </row>
    <row r="2395" spans="1:25" ht="13.8">
      <c r="A2395" s="78"/>
      <c r="B2395" s="79"/>
      <c r="C2395" s="78"/>
      <c r="D2395" s="78"/>
      <c r="E2395" s="80"/>
      <c r="F2395" s="86"/>
      <c r="G2395" s="86"/>
      <c r="H2395" s="86"/>
      <c r="I2395" s="86"/>
      <c r="J2395" s="85"/>
      <c r="K2395" s="85"/>
      <c r="L2395" s="85"/>
      <c r="M2395" s="85"/>
      <c r="N2395" s="85"/>
      <c r="O2395" s="85"/>
      <c r="P2395" s="85"/>
      <c r="Q2395" s="85"/>
      <c r="R2395" s="85"/>
      <c r="S2395" s="85"/>
      <c r="T2395" s="85"/>
      <c r="U2395" s="82"/>
      <c r="V2395" s="82"/>
      <c r="W2395" s="83"/>
      <c r="X2395" s="83"/>
      <c r="Y2395" s="83"/>
    </row>
    <row r="2396" spans="1:25" ht="13.8">
      <c r="A2396" s="78"/>
      <c r="B2396" s="79"/>
      <c r="C2396" s="78"/>
      <c r="D2396" s="78"/>
      <c r="E2396" s="80"/>
      <c r="F2396" s="86"/>
      <c r="G2396" s="86"/>
      <c r="H2396" s="86"/>
      <c r="I2396" s="86"/>
      <c r="J2396" s="85"/>
      <c r="K2396" s="85"/>
      <c r="L2396" s="85"/>
      <c r="M2396" s="85"/>
      <c r="N2396" s="85"/>
      <c r="O2396" s="85"/>
      <c r="P2396" s="85"/>
      <c r="Q2396" s="85"/>
      <c r="R2396" s="85"/>
      <c r="S2396" s="85"/>
      <c r="T2396" s="85"/>
      <c r="U2396" s="82"/>
      <c r="V2396" s="82"/>
      <c r="W2396" s="83"/>
      <c r="X2396" s="83"/>
      <c r="Y2396" s="83"/>
    </row>
    <row r="2397" spans="1:25" ht="13.8">
      <c r="A2397" s="78"/>
      <c r="B2397" s="79"/>
      <c r="C2397" s="78"/>
      <c r="D2397" s="78"/>
      <c r="E2397" s="80"/>
      <c r="F2397" s="86"/>
      <c r="G2397" s="86"/>
      <c r="H2397" s="86"/>
      <c r="I2397" s="86"/>
      <c r="J2397" s="85"/>
      <c r="K2397" s="85"/>
      <c r="L2397" s="85"/>
      <c r="M2397" s="85"/>
      <c r="N2397" s="85"/>
      <c r="O2397" s="85"/>
      <c r="P2397" s="85"/>
      <c r="Q2397" s="85"/>
      <c r="R2397" s="85"/>
      <c r="S2397" s="85"/>
      <c r="T2397" s="85"/>
      <c r="U2397" s="82"/>
      <c r="V2397" s="82"/>
      <c r="W2397" s="83"/>
      <c r="X2397" s="83"/>
      <c r="Y2397" s="83"/>
    </row>
    <row r="2398" spans="1:25" ht="13.8">
      <c r="A2398" s="78"/>
      <c r="B2398" s="79"/>
      <c r="C2398" s="78"/>
      <c r="D2398" s="78"/>
      <c r="E2398" s="80"/>
      <c r="F2398" s="86"/>
      <c r="G2398" s="86"/>
      <c r="H2398" s="86"/>
      <c r="I2398" s="86"/>
      <c r="J2398" s="85"/>
      <c r="K2398" s="85"/>
      <c r="L2398" s="85"/>
      <c r="M2398" s="85"/>
      <c r="N2398" s="85"/>
      <c r="O2398" s="85"/>
      <c r="P2398" s="85"/>
      <c r="Q2398" s="85"/>
      <c r="R2398" s="85"/>
      <c r="S2398" s="85"/>
      <c r="T2398" s="85"/>
      <c r="U2398" s="82"/>
      <c r="V2398" s="82"/>
      <c r="W2398" s="83"/>
      <c r="X2398" s="83"/>
      <c r="Y2398" s="83"/>
    </row>
    <row r="2399" spans="1:25" ht="13.8">
      <c r="A2399" s="78"/>
      <c r="B2399" s="79"/>
      <c r="C2399" s="78"/>
      <c r="D2399" s="78"/>
      <c r="E2399" s="80"/>
      <c r="F2399" s="86"/>
      <c r="G2399" s="86"/>
      <c r="H2399" s="86"/>
      <c r="I2399" s="86"/>
      <c r="J2399" s="85"/>
      <c r="K2399" s="85"/>
      <c r="L2399" s="85"/>
      <c r="M2399" s="85"/>
      <c r="N2399" s="85"/>
      <c r="O2399" s="85"/>
      <c r="P2399" s="85"/>
      <c r="Q2399" s="85"/>
      <c r="R2399" s="85"/>
      <c r="S2399" s="85"/>
      <c r="T2399" s="85"/>
      <c r="U2399" s="82"/>
      <c r="V2399" s="82"/>
      <c r="W2399" s="83"/>
      <c r="X2399" s="83"/>
      <c r="Y2399" s="83"/>
    </row>
    <row r="2400" spans="1:25" ht="13.8">
      <c r="A2400" s="78"/>
      <c r="B2400" s="79"/>
      <c r="C2400" s="78"/>
      <c r="D2400" s="78"/>
      <c r="E2400" s="80"/>
      <c r="F2400" s="86"/>
      <c r="G2400" s="86"/>
      <c r="H2400" s="86"/>
      <c r="I2400" s="86"/>
      <c r="J2400" s="85"/>
      <c r="K2400" s="85"/>
      <c r="L2400" s="85"/>
      <c r="M2400" s="85"/>
      <c r="N2400" s="85"/>
      <c r="O2400" s="85"/>
      <c r="P2400" s="85"/>
      <c r="Q2400" s="85"/>
      <c r="R2400" s="85"/>
      <c r="S2400" s="85"/>
      <c r="T2400" s="85"/>
      <c r="U2400" s="82"/>
      <c r="V2400" s="82"/>
      <c r="W2400" s="83"/>
      <c r="X2400" s="83"/>
      <c r="Y2400" s="83"/>
    </row>
    <row r="2401" spans="1:25" ht="13.8">
      <c r="A2401" s="78"/>
      <c r="B2401" s="79"/>
      <c r="C2401" s="78"/>
      <c r="D2401" s="78"/>
      <c r="E2401" s="80"/>
      <c r="F2401" s="86"/>
      <c r="G2401" s="86"/>
      <c r="H2401" s="86"/>
      <c r="I2401" s="86"/>
      <c r="J2401" s="85"/>
      <c r="K2401" s="85"/>
      <c r="L2401" s="85"/>
      <c r="M2401" s="85"/>
      <c r="N2401" s="85"/>
      <c r="O2401" s="85"/>
      <c r="P2401" s="85"/>
      <c r="Q2401" s="85"/>
      <c r="R2401" s="85"/>
      <c r="S2401" s="85"/>
      <c r="T2401" s="85"/>
      <c r="U2401" s="82"/>
      <c r="V2401" s="82"/>
      <c r="W2401" s="83"/>
      <c r="X2401" s="83"/>
      <c r="Y2401" s="83"/>
    </row>
    <row r="2402" spans="1:25" ht="13.8">
      <c r="A2402" s="78"/>
      <c r="B2402" s="79"/>
      <c r="C2402" s="78"/>
      <c r="D2402" s="78"/>
      <c r="E2402" s="80"/>
      <c r="F2402" s="86"/>
      <c r="G2402" s="86"/>
      <c r="H2402" s="86"/>
      <c r="I2402" s="86"/>
      <c r="J2402" s="85"/>
      <c r="K2402" s="85"/>
      <c r="L2402" s="85"/>
      <c r="M2402" s="85"/>
      <c r="N2402" s="85"/>
      <c r="O2402" s="85"/>
      <c r="P2402" s="85"/>
      <c r="Q2402" s="85"/>
      <c r="R2402" s="85"/>
      <c r="S2402" s="85"/>
      <c r="T2402" s="85"/>
      <c r="U2402" s="82"/>
      <c r="V2402" s="82"/>
      <c r="W2402" s="83"/>
      <c r="X2402" s="83"/>
      <c r="Y2402" s="83"/>
    </row>
    <row r="2403" spans="1:25" ht="13.8">
      <c r="A2403" s="78"/>
      <c r="B2403" s="79"/>
      <c r="C2403" s="78"/>
      <c r="D2403" s="78"/>
      <c r="E2403" s="80"/>
      <c r="F2403" s="86"/>
      <c r="G2403" s="86"/>
      <c r="H2403" s="86"/>
      <c r="I2403" s="86"/>
      <c r="J2403" s="85"/>
      <c r="K2403" s="85"/>
      <c r="L2403" s="85"/>
      <c r="M2403" s="85"/>
      <c r="N2403" s="85"/>
      <c r="O2403" s="85"/>
      <c r="P2403" s="85"/>
      <c r="Q2403" s="85"/>
      <c r="R2403" s="85"/>
      <c r="S2403" s="85"/>
      <c r="T2403" s="85"/>
      <c r="U2403" s="82"/>
      <c r="V2403" s="82"/>
      <c r="W2403" s="83"/>
      <c r="X2403" s="83"/>
      <c r="Y2403" s="83"/>
    </row>
    <row r="2404" spans="1:25" ht="13.8">
      <c r="A2404" s="78"/>
      <c r="B2404" s="79"/>
      <c r="C2404" s="78"/>
      <c r="D2404" s="78"/>
      <c r="E2404" s="80"/>
      <c r="F2404" s="86"/>
      <c r="G2404" s="86"/>
      <c r="H2404" s="86"/>
      <c r="I2404" s="86"/>
      <c r="J2404" s="85"/>
      <c r="K2404" s="85"/>
      <c r="L2404" s="85"/>
      <c r="M2404" s="85"/>
      <c r="N2404" s="85"/>
      <c r="O2404" s="85"/>
      <c r="P2404" s="85"/>
      <c r="Q2404" s="85"/>
      <c r="R2404" s="85"/>
      <c r="S2404" s="85"/>
      <c r="T2404" s="85"/>
      <c r="U2404" s="82"/>
      <c r="V2404" s="82"/>
      <c r="W2404" s="83"/>
      <c r="X2404" s="83"/>
      <c r="Y2404" s="83"/>
    </row>
    <row r="2405" spans="1:25" ht="13.8">
      <c r="A2405" s="78"/>
      <c r="B2405" s="79"/>
      <c r="C2405" s="78"/>
      <c r="D2405" s="78"/>
      <c r="E2405" s="80"/>
      <c r="F2405" s="86"/>
      <c r="G2405" s="86"/>
      <c r="H2405" s="86"/>
      <c r="I2405" s="86"/>
      <c r="J2405" s="85"/>
      <c r="K2405" s="85"/>
      <c r="L2405" s="85"/>
      <c r="M2405" s="85"/>
      <c r="N2405" s="85"/>
      <c r="O2405" s="85"/>
      <c r="P2405" s="85"/>
      <c r="Q2405" s="85"/>
      <c r="R2405" s="85"/>
      <c r="S2405" s="85"/>
      <c r="T2405" s="85"/>
      <c r="U2405" s="82"/>
      <c r="V2405" s="82"/>
      <c r="W2405" s="83"/>
      <c r="X2405" s="83"/>
      <c r="Y2405" s="83"/>
    </row>
    <row r="2406" spans="1:25" ht="13.8">
      <c r="A2406" s="78"/>
      <c r="B2406" s="79"/>
      <c r="C2406" s="78"/>
      <c r="D2406" s="78"/>
      <c r="E2406" s="80"/>
      <c r="F2406" s="86"/>
      <c r="G2406" s="86"/>
      <c r="H2406" s="86"/>
      <c r="I2406" s="86"/>
      <c r="J2406" s="85"/>
      <c r="K2406" s="85"/>
      <c r="L2406" s="85"/>
      <c r="M2406" s="85"/>
      <c r="N2406" s="85"/>
      <c r="O2406" s="85"/>
      <c r="P2406" s="85"/>
      <c r="Q2406" s="85"/>
      <c r="R2406" s="85"/>
      <c r="S2406" s="85"/>
      <c r="T2406" s="85"/>
      <c r="U2406" s="82"/>
      <c r="V2406" s="82"/>
      <c r="W2406" s="83"/>
      <c r="X2406" s="83"/>
      <c r="Y2406" s="83"/>
    </row>
    <row r="2407" spans="1:25" ht="13.8">
      <c r="A2407" s="78"/>
      <c r="B2407" s="79"/>
      <c r="C2407" s="78"/>
      <c r="D2407" s="78"/>
      <c r="E2407" s="80"/>
      <c r="F2407" s="86"/>
      <c r="G2407" s="86"/>
      <c r="H2407" s="86"/>
      <c r="I2407" s="86"/>
      <c r="J2407" s="85"/>
      <c r="K2407" s="85"/>
      <c r="L2407" s="85"/>
      <c r="M2407" s="85"/>
      <c r="N2407" s="85"/>
      <c r="O2407" s="85"/>
      <c r="P2407" s="85"/>
      <c r="Q2407" s="85"/>
      <c r="R2407" s="85"/>
      <c r="S2407" s="85"/>
      <c r="T2407" s="85"/>
      <c r="U2407" s="82"/>
      <c r="V2407" s="82"/>
      <c r="W2407" s="83"/>
      <c r="X2407" s="83"/>
      <c r="Y2407" s="83"/>
    </row>
    <row r="2408" spans="1:25" ht="13.8">
      <c r="A2408" s="78"/>
      <c r="B2408" s="79"/>
      <c r="C2408" s="78"/>
      <c r="D2408" s="78"/>
      <c r="E2408" s="80"/>
      <c r="F2408" s="86"/>
      <c r="G2408" s="86"/>
      <c r="H2408" s="86"/>
      <c r="I2408" s="86"/>
      <c r="J2408" s="85"/>
      <c r="K2408" s="85"/>
      <c r="L2408" s="85"/>
      <c r="M2408" s="85"/>
      <c r="N2408" s="85"/>
      <c r="O2408" s="85"/>
      <c r="P2408" s="85"/>
      <c r="Q2408" s="85"/>
      <c r="R2408" s="85"/>
      <c r="S2408" s="85"/>
      <c r="T2408" s="85"/>
      <c r="U2408" s="82"/>
      <c r="V2408" s="82"/>
      <c r="W2408" s="83"/>
      <c r="X2408" s="83"/>
      <c r="Y2408" s="83"/>
    </row>
    <row r="2409" spans="1:25" ht="13.8">
      <c r="A2409" s="78"/>
      <c r="B2409" s="79"/>
      <c r="C2409" s="78"/>
      <c r="D2409" s="78"/>
      <c r="E2409" s="80"/>
      <c r="F2409" s="86"/>
      <c r="G2409" s="86"/>
      <c r="H2409" s="86"/>
      <c r="I2409" s="86"/>
      <c r="J2409" s="85"/>
      <c r="K2409" s="85"/>
      <c r="L2409" s="85"/>
      <c r="M2409" s="85"/>
      <c r="N2409" s="85"/>
      <c r="O2409" s="85"/>
      <c r="P2409" s="85"/>
      <c r="Q2409" s="85"/>
      <c r="R2409" s="85"/>
      <c r="S2409" s="85"/>
      <c r="T2409" s="85"/>
      <c r="U2409" s="82"/>
      <c r="V2409" s="82"/>
      <c r="W2409" s="83"/>
      <c r="X2409" s="83"/>
      <c r="Y2409" s="83"/>
    </row>
    <row r="2410" spans="1:25" ht="13.8">
      <c r="A2410" s="78"/>
      <c r="B2410" s="79"/>
      <c r="C2410" s="78"/>
      <c r="D2410" s="78"/>
      <c r="E2410" s="80"/>
      <c r="F2410" s="86"/>
      <c r="G2410" s="86"/>
      <c r="H2410" s="86"/>
      <c r="I2410" s="86"/>
      <c r="J2410" s="85"/>
      <c r="K2410" s="85"/>
      <c r="L2410" s="85"/>
      <c r="M2410" s="85"/>
      <c r="N2410" s="85"/>
      <c r="O2410" s="85"/>
      <c r="P2410" s="85"/>
      <c r="Q2410" s="85"/>
      <c r="R2410" s="85"/>
      <c r="S2410" s="85"/>
      <c r="T2410" s="85"/>
      <c r="U2410" s="82"/>
      <c r="V2410" s="82"/>
      <c r="W2410" s="83"/>
      <c r="X2410" s="83"/>
      <c r="Y2410" s="83"/>
    </row>
    <row r="2411" spans="1:25" ht="13.8">
      <c r="A2411" s="78"/>
      <c r="B2411" s="79"/>
      <c r="C2411" s="78"/>
      <c r="D2411" s="78"/>
      <c r="E2411" s="80"/>
      <c r="F2411" s="86"/>
      <c r="G2411" s="86"/>
      <c r="H2411" s="86"/>
      <c r="I2411" s="86"/>
      <c r="J2411" s="85"/>
      <c r="K2411" s="85"/>
      <c r="L2411" s="85"/>
      <c r="M2411" s="85"/>
      <c r="N2411" s="85"/>
      <c r="O2411" s="85"/>
      <c r="P2411" s="85"/>
      <c r="Q2411" s="85"/>
      <c r="R2411" s="85"/>
      <c r="S2411" s="85"/>
      <c r="T2411" s="85"/>
      <c r="U2411" s="82"/>
      <c r="V2411" s="82"/>
      <c r="W2411" s="83"/>
      <c r="X2411" s="83"/>
      <c r="Y2411" s="83"/>
    </row>
    <row r="2412" spans="1:25" ht="13.8">
      <c r="A2412" s="78"/>
      <c r="B2412" s="79"/>
      <c r="C2412" s="78"/>
      <c r="D2412" s="78"/>
      <c r="E2412" s="80"/>
      <c r="F2412" s="86"/>
      <c r="G2412" s="86"/>
      <c r="H2412" s="86"/>
      <c r="I2412" s="86"/>
      <c r="J2412" s="85"/>
      <c r="K2412" s="85"/>
      <c r="L2412" s="85"/>
      <c r="M2412" s="85"/>
      <c r="N2412" s="85"/>
      <c r="O2412" s="85"/>
      <c r="P2412" s="85"/>
      <c r="Q2412" s="85"/>
      <c r="R2412" s="85"/>
      <c r="S2412" s="85"/>
      <c r="T2412" s="85"/>
      <c r="U2412" s="82"/>
      <c r="V2412" s="82"/>
      <c r="W2412" s="83"/>
      <c r="X2412" s="83"/>
      <c r="Y2412" s="83"/>
    </row>
    <row r="2413" spans="1:25" ht="13.8">
      <c r="A2413" s="78"/>
      <c r="B2413" s="79"/>
      <c r="C2413" s="78"/>
      <c r="D2413" s="78"/>
      <c r="E2413" s="80"/>
      <c r="F2413" s="86"/>
      <c r="G2413" s="86"/>
      <c r="H2413" s="86"/>
      <c r="I2413" s="86"/>
      <c r="J2413" s="85"/>
      <c r="K2413" s="85"/>
      <c r="L2413" s="85"/>
      <c r="M2413" s="85"/>
      <c r="N2413" s="85"/>
      <c r="O2413" s="85"/>
      <c r="P2413" s="85"/>
      <c r="Q2413" s="85"/>
      <c r="R2413" s="85"/>
      <c r="S2413" s="85"/>
      <c r="T2413" s="85"/>
      <c r="U2413" s="82"/>
      <c r="V2413" s="82"/>
      <c r="W2413" s="83"/>
      <c r="X2413" s="83"/>
      <c r="Y2413" s="83"/>
    </row>
    <row r="2414" spans="1:25" ht="13.8">
      <c r="A2414" s="78"/>
      <c r="B2414" s="79"/>
      <c r="C2414" s="78"/>
      <c r="D2414" s="78"/>
      <c r="E2414" s="80"/>
      <c r="F2414" s="86"/>
      <c r="G2414" s="86"/>
      <c r="H2414" s="86"/>
      <c r="I2414" s="86"/>
      <c r="J2414" s="85"/>
      <c r="K2414" s="85"/>
      <c r="L2414" s="85"/>
      <c r="M2414" s="85"/>
      <c r="N2414" s="85"/>
      <c r="O2414" s="85"/>
      <c r="P2414" s="85"/>
      <c r="Q2414" s="85"/>
      <c r="R2414" s="85"/>
      <c r="S2414" s="85"/>
      <c r="T2414" s="85"/>
      <c r="U2414" s="82"/>
      <c r="V2414" s="82"/>
      <c r="W2414" s="83"/>
      <c r="X2414" s="83"/>
      <c r="Y2414" s="83"/>
    </row>
    <row r="2415" spans="1:25" ht="13.8">
      <c r="A2415" s="78"/>
      <c r="B2415" s="79"/>
      <c r="C2415" s="78"/>
      <c r="D2415" s="78"/>
      <c r="E2415" s="80"/>
      <c r="F2415" s="86"/>
      <c r="G2415" s="86"/>
      <c r="H2415" s="86"/>
      <c r="I2415" s="86"/>
      <c r="J2415" s="85"/>
      <c r="K2415" s="85"/>
      <c r="L2415" s="85"/>
      <c r="M2415" s="85"/>
      <c r="N2415" s="85"/>
      <c r="O2415" s="85"/>
      <c r="P2415" s="85"/>
      <c r="Q2415" s="85"/>
      <c r="R2415" s="85"/>
      <c r="S2415" s="85"/>
      <c r="T2415" s="85"/>
      <c r="U2415" s="82"/>
      <c r="V2415" s="82"/>
      <c r="W2415" s="83"/>
      <c r="X2415" s="83"/>
      <c r="Y2415" s="83"/>
    </row>
    <row r="2416" spans="1:25" ht="13.8">
      <c r="A2416" s="78"/>
      <c r="B2416" s="79"/>
      <c r="C2416" s="78"/>
      <c r="D2416" s="78"/>
      <c r="E2416" s="80"/>
      <c r="F2416" s="86"/>
      <c r="G2416" s="86"/>
      <c r="H2416" s="86"/>
      <c r="I2416" s="86"/>
      <c r="J2416" s="85"/>
      <c r="K2416" s="85"/>
      <c r="L2416" s="85"/>
      <c r="M2416" s="85"/>
      <c r="N2416" s="85"/>
      <c r="O2416" s="85"/>
      <c r="P2416" s="85"/>
      <c r="Q2416" s="85"/>
      <c r="R2416" s="85"/>
      <c r="S2416" s="85"/>
      <c r="T2416" s="85"/>
      <c r="U2416" s="82"/>
      <c r="V2416" s="82"/>
      <c r="W2416" s="83"/>
      <c r="X2416" s="83"/>
      <c r="Y2416" s="83"/>
    </row>
    <row r="2417" spans="1:25" ht="13.8">
      <c r="A2417" s="78"/>
      <c r="B2417" s="79"/>
      <c r="C2417" s="78"/>
      <c r="D2417" s="78"/>
      <c r="E2417" s="80"/>
      <c r="F2417" s="86"/>
      <c r="G2417" s="86"/>
      <c r="H2417" s="86"/>
      <c r="I2417" s="86"/>
      <c r="J2417" s="85"/>
      <c r="K2417" s="85"/>
      <c r="L2417" s="85"/>
      <c r="M2417" s="85"/>
      <c r="N2417" s="85"/>
      <c r="O2417" s="85"/>
      <c r="P2417" s="85"/>
      <c r="Q2417" s="85"/>
      <c r="R2417" s="85"/>
      <c r="S2417" s="85"/>
      <c r="T2417" s="85"/>
      <c r="U2417" s="82"/>
      <c r="V2417" s="82"/>
      <c r="W2417" s="83"/>
      <c r="X2417" s="83"/>
      <c r="Y2417" s="83"/>
    </row>
    <row r="2418" spans="1:25" ht="13.8">
      <c r="A2418" s="78"/>
      <c r="B2418" s="79"/>
      <c r="C2418" s="78"/>
      <c r="D2418" s="78"/>
      <c r="E2418" s="80"/>
      <c r="F2418" s="86"/>
      <c r="G2418" s="86"/>
      <c r="H2418" s="86"/>
      <c r="I2418" s="86"/>
      <c r="J2418" s="85"/>
      <c r="K2418" s="85"/>
      <c r="L2418" s="85"/>
      <c r="M2418" s="85"/>
      <c r="N2418" s="85"/>
      <c r="O2418" s="85"/>
      <c r="P2418" s="85"/>
      <c r="Q2418" s="85"/>
      <c r="R2418" s="85"/>
      <c r="S2418" s="85"/>
      <c r="T2418" s="85"/>
      <c r="U2418" s="82"/>
      <c r="V2418" s="82"/>
      <c r="W2418" s="83"/>
      <c r="X2418" s="83"/>
      <c r="Y2418" s="83"/>
    </row>
    <row r="2419" spans="1:25" ht="13.8">
      <c r="A2419" s="78"/>
      <c r="B2419" s="79"/>
      <c r="C2419" s="78"/>
      <c r="D2419" s="78"/>
      <c r="E2419" s="80"/>
      <c r="F2419" s="86"/>
      <c r="G2419" s="86"/>
      <c r="H2419" s="86"/>
      <c r="I2419" s="86"/>
      <c r="J2419" s="85"/>
      <c r="K2419" s="85"/>
      <c r="L2419" s="85"/>
      <c r="M2419" s="85"/>
      <c r="N2419" s="85"/>
      <c r="O2419" s="85"/>
      <c r="P2419" s="85"/>
      <c r="Q2419" s="85"/>
      <c r="R2419" s="85"/>
      <c r="S2419" s="85"/>
      <c r="T2419" s="85"/>
      <c r="U2419" s="82"/>
      <c r="V2419" s="82"/>
      <c r="W2419" s="83"/>
      <c r="X2419" s="83"/>
      <c r="Y2419" s="83"/>
    </row>
    <row r="2420" spans="1:25" ht="13.8">
      <c r="A2420" s="78"/>
      <c r="B2420" s="79"/>
      <c r="C2420" s="78"/>
      <c r="D2420" s="78"/>
      <c r="E2420" s="80"/>
      <c r="F2420" s="86"/>
      <c r="G2420" s="86"/>
      <c r="H2420" s="86"/>
      <c r="I2420" s="86"/>
      <c r="J2420" s="85"/>
      <c r="K2420" s="85"/>
      <c r="L2420" s="85"/>
      <c r="M2420" s="85"/>
      <c r="N2420" s="85"/>
      <c r="O2420" s="85"/>
      <c r="P2420" s="85"/>
      <c r="Q2420" s="85"/>
      <c r="R2420" s="85"/>
      <c r="S2420" s="85"/>
      <c r="T2420" s="85"/>
      <c r="U2420" s="82"/>
      <c r="V2420" s="82"/>
      <c r="W2420" s="83"/>
      <c r="X2420" s="83"/>
      <c r="Y2420" s="83"/>
    </row>
    <row r="2421" spans="1:25" ht="13.8">
      <c r="A2421" s="78"/>
      <c r="B2421" s="79"/>
      <c r="C2421" s="78"/>
      <c r="D2421" s="78"/>
      <c r="E2421" s="80"/>
      <c r="F2421" s="86"/>
      <c r="G2421" s="86"/>
      <c r="H2421" s="86"/>
      <c r="I2421" s="86"/>
      <c r="J2421" s="85"/>
      <c r="K2421" s="85"/>
      <c r="L2421" s="85"/>
      <c r="M2421" s="85"/>
      <c r="N2421" s="85"/>
      <c r="O2421" s="85"/>
      <c r="P2421" s="85"/>
      <c r="Q2421" s="85"/>
      <c r="R2421" s="85"/>
      <c r="S2421" s="85"/>
      <c r="T2421" s="85"/>
      <c r="U2421" s="82"/>
      <c r="V2421" s="82"/>
      <c r="W2421" s="83"/>
      <c r="X2421" s="83"/>
      <c r="Y2421" s="83"/>
    </row>
    <row r="2422" spans="1:25" ht="13.8">
      <c r="A2422" s="78"/>
      <c r="B2422" s="79"/>
      <c r="C2422" s="78"/>
      <c r="D2422" s="78"/>
      <c r="E2422" s="80"/>
      <c r="F2422" s="86"/>
      <c r="G2422" s="86"/>
      <c r="H2422" s="86"/>
      <c r="I2422" s="86"/>
      <c r="J2422" s="85"/>
      <c r="K2422" s="85"/>
      <c r="L2422" s="85"/>
      <c r="M2422" s="85"/>
      <c r="N2422" s="85"/>
      <c r="O2422" s="85"/>
      <c r="P2422" s="85"/>
      <c r="Q2422" s="85"/>
      <c r="R2422" s="85"/>
      <c r="S2422" s="85"/>
      <c r="T2422" s="85"/>
      <c r="U2422" s="82"/>
      <c r="V2422" s="82"/>
      <c r="W2422" s="83"/>
      <c r="X2422" s="83"/>
      <c r="Y2422" s="83"/>
    </row>
    <row r="2423" spans="1:25" ht="13.8">
      <c r="A2423" s="78"/>
      <c r="B2423" s="79"/>
      <c r="C2423" s="78"/>
      <c r="D2423" s="78"/>
      <c r="E2423" s="80"/>
      <c r="F2423" s="86"/>
      <c r="G2423" s="86"/>
      <c r="H2423" s="86"/>
      <c r="I2423" s="86"/>
      <c r="J2423" s="85"/>
      <c r="K2423" s="85"/>
      <c r="L2423" s="85"/>
      <c r="M2423" s="85"/>
      <c r="N2423" s="85"/>
      <c r="O2423" s="85"/>
      <c r="P2423" s="85"/>
      <c r="Q2423" s="85"/>
      <c r="R2423" s="85"/>
      <c r="S2423" s="85"/>
      <c r="T2423" s="85"/>
      <c r="U2423" s="82"/>
      <c r="V2423" s="82"/>
      <c r="W2423" s="83"/>
      <c r="X2423" s="83"/>
      <c r="Y2423" s="83"/>
    </row>
    <row r="2424" spans="1:25" ht="13.8">
      <c r="A2424" s="78"/>
      <c r="B2424" s="79"/>
      <c r="C2424" s="78"/>
      <c r="D2424" s="78"/>
      <c r="E2424" s="80"/>
      <c r="F2424" s="86"/>
      <c r="G2424" s="86"/>
      <c r="H2424" s="86"/>
      <c r="I2424" s="86"/>
      <c r="J2424" s="85"/>
      <c r="K2424" s="85"/>
      <c r="L2424" s="85"/>
      <c r="M2424" s="85"/>
      <c r="N2424" s="85"/>
      <c r="O2424" s="85"/>
      <c r="P2424" s="85"/>
      <c r="Q2424" s="85"/>
      <c r="R2424" s="85"/>
      <c r="S2424" s="85"/>
      <c r="T2424" s="85"/>
      <c r="U2424" s="82"/>
      <c r="V2424" s="82"/>
      <c r="W2424" s="83"/>
      <c r="X2424" s="83"/>
      <c r="Y2424" s="83"/>
    </row>
    <row r="2425" spans="1:25" ht="13.8">
      <c r="A2425" s="78"/>
      <c r="B2425" s="79"/>
      <c r="C2425" s="78"/>
      <c r="D2425" s="78"/>
      <c r="E2425" s="80"/>
      <c r="F2425" s="86"/>
      <c r="G2425" s="86"/>
      <c r="H2425" s="86"/>
      <c r="I2425" s="86"/>
      <c r="J2425" s="85"/>
      <c r="K2425" s="85"/>
      <c r="L2425" s="85"/>
      <c r="M2425" s="85"/>
      <c r="N2425" s="85"/>
      <c r="O2425" s="85"/>
      <c r="P2425" s="85"/>
      <c r="Q2425" s="85"/>
      <c r="R2425" s="85"/>
      <c r="S2425" s="85"/>
      <c r="T2425" s="85"/>
      <c r="U2425" s="82"/>
      <c r="V2425" s="82"/>
      <c r="W2425" s="83"/>
      <c r="X2425" s="83"/>
      <c r="Y2425" s="83"/>
    </row>
    <row r="2426" spans="1:25" ht="13.8">
      <c r="A2426" s="78"/>
      <c r="B2426" s="79"/>
      <c r="C2426" s="78"/>
      <c r="D2426" s="78"/>
      <c r="E2426" s="80"/>
      <c r="F2426" s="86"/>
      <c r="G2426" s="86"/>
      <c r="H2426" s="86"/>
      <c r="I2426" s="86"/>
      <c r="J2426" s="85"/>
      <c r="K2426" s="85"/>
      <c r="L2426" s="85"/>
      <c r="M2426" s="85"/>
      <c r="N2426" s="85"/>
      <c r="O2426" s="85"/>
      <c r="P2426" s="85"/>
      <c r="Q2426" s="85"/>
      <c r="R2426" s="85"/>
      <c r="S2426" s="85"/>
      <c r="T2426" s="85"/>
      <c r="U2426" s="82"/>
      <c r="V2426" s="82"/>
      <c r="W2426" s="83"/>
      <c r="X2426" s="83"/>
      <c r="Y2426" s="83"/>
    </row>
    <row r="2427" spans="1:25" ht="13.8">
      <c r="A2427" s="78"/>
      <c r="B2427" s="79"/>
      <c r="C2427" s="78"/>
      <c r="D2427" s="78"/>
      <c r="E2427" s="80"/>
      <c r="F2427" s="86"/>
      <c r="G2427" s="86"/>
      <c r="H2427" s="86"/>
      <c r="I2427" s="86"/>
      <c r="J2427" s="85"/>
      <c r="K2427" s="85"/>
      <c r="L2427" s="85"/>
      <c r="M2427" s="85"/>
      <c r="N2427" s="85"/>
      <c r="O2427" s="85"/>
      <c r="P2427" s="85"/>
      <c r="Q2427" s="85"/>
      <c r="R2427" s="85"/>
      <c r="S2427" s="85"/>
      <c r="T2427" s="85"/>
      <c r="U2427" s="82"/>
      <c r="V2427" s="82"/>
      <c r="W2427" s="83"/>
      <c r="X2427" s="83"/>
      <c r="Y2427" s="83"/>
    </row>
    <row r="2428" spans="1:25" ht="13.8">
      <c r="A2428" s="78"/>
      <c r="B2428" s="79"/>
      <c r="C2428" s="78"/>
      <c r="D2428" s="78"/>
      <c r="E2428" s="80"/>
      <c r="F2428" s="86"/>
      <c r="G2428" s="86"/>
      <c r="H2428" s="86"/>
      <c r="I2428" s="86"/>
      <c r="J2428" s="85"/>
      <c r="K2428" s="85"/>
      <c r="L2428" s="85"/>
      <c r="M2428" s="85"/>
      <c r="N2428" s="85"/>
      <c r="O2428" s="85"/>
      <c r="P2428" s="85"/>
      <c r="Q2428" s="85"/>
      <c r="R2428" s="85"/>
      <c r="S2428" s="85"/>
      <c r="T2428" s="85"/>
      <c r="U2428" s="82"/>
      <c r="V2428" s="82"/>
      <c r="W2428" s="83"/>
      <c r="X2428" s="83"/>
      <c r="Y2428" s="83"/>
    </row>
    <row r="2429" spans="1:25" ht="13.8">
      <c r="A2429" s="78"/>
      <c r="B2429" s="79"/>
      <c r="C2429" s="78"/>
      <c r="D2429" s="78"/>
      <c r="E2429" s="80"/>
      <c r="F2429" s="86"/>
      <c r="G2429" s="86"/>
      <c r="H2429" s="86"/>
      <c r="I2429" s="86"/>
      <c r="J2429" s="85"/>
      <c r="K2429" s="85"/>
      <c r="L2429" s="85"/>
      <c r="M2429" s="85"/>
      <c r="N2429" s="85"/>
      <c r="O2429" s="85"/>
      <c r="P2429" s="85"/>
      <c r="Q2429" s="85"/>
      <c r="R2429" s="85"/>
      <c r="S2429" s="85"/>
      <c r="T2429" s="85"/>
      <c r="U2429" s="82"/>
      <c r="V2429" s="82"/>
      <c r="W2429" s="83"/>
      <c r="X2429" s="83"/>
      <c r="Y2429" s="83"/>
    </row>
    <row r="2430" spans="1:25" ht="13.8">
      <c r="A2430" s="78"/>
      <c r="B2430" s="79"/>
      <c r="C2430" s="78"/>
      <c r="D2430" s="78"/>
      <c r="E2430" s="80"/>
      <c r="F2430" s="86"/>
      <c r="G2430" s="86"/>
      <c r="H2430" s="86"/>
      <c r="I2430" s="86"/>
      <c r="J2430" s="85"/>
      <c r="K2430" s="85"/>
      <c r="L2430" s="85"/>
      <c r="M2430" s="85"/>
      <c r="N2430" s="85"/>
      <c r="O2430" s="85"/>
      <c r="P2430" s="85"/>
      <c r="Q2430" s="85"/>
      <c r="R2430" s="85"/>
      <c r="S2430" s="85"/>
      <c r="T2430" s="85"/>
      <c r="U2430" s="82"/>
      <c r="V2430" s="82"/>
      <c r="W2430" s="83"/>
      <c r="X2430" s="83"/>
      <c r="Y2430" s="83"/>
    </row>
    <row r="2431" spans="1:25" ht="13.8">
      <c r="A2431" s="78"/>
      <c r="B2431" s="79"/>
      <c r="C2431" s="78"/>
      <c r="D2431" s="78"/>
      <c r="E2431" s="80"/>
      <c r="F2431" s="86"/>
      <c r="G2431" s="86"/>
      <c r="H2431" s="86"/>
      <c r="I2431" s="86"/>
      <c r="J2431" s="85"/>
      <c r="K2431" s="85"/>
      <c r="L2431" s="85"/>
      <c r="M2431" s="85"/>
      <c r="N2431" s="85"/>
      <c r="O2431" s="85"/>
      <c r="P2431" s="85"/>
      <c r="Q2431" s="85"/>
      <c r="R2431" s="85"/>
      <c r="S2431" s="85"/>
      <c r="T2431" s="85"/>
      <c r="U2431" s="82"/>
      <c r="V2431" s="82"/>
      <c r="W2431" s="83"/>
      <c r="X2431" s="83"/>
      <c r="Y2431" s="83"/>
    </row>
    <row r="2432" spans="1:25" ht="13.8">
      <c r="A2432" s="78"/>
      <c r="B2432" s="79"/>
      <c r="C2432" s="78"/>
      <c r="D2432" s="78"/>
      <c r="E2432" s="80"/>
      <c r="F2432" s="86"/>
      <c r="G2432" s="86"/>
      <c r="H2432" s="86"/>
      <c r="I2432" s="86"/>
      <c r="J2432" s="85"/>
      <c r="K2432" s="85"/>
      <c r="L2432" s="85"/>
      <c r="M2432" s="85"/>
      <c r="N2432" s="85"/>
      <c r="O2432" s="85"/>
      <c r="P2432" s="85"/>
      <c r="Q2432" s="85"/>
      <c r="R2432" s="85"/>
      <c r="S2432" s="85"/>
      <c r="T2432" s="85"/>
      <c r="U2432" s="82"/>
      <c r="V2432" s="82"/>
      <c r="W2432" s="83"/>
      <c r="X2432" s="83"/>
      <c r="Y2432" s="83"/>
    </row>
    <row r="2433" spans="1:25" ht="13.8">
      <c r="A2433" s="78"/>
      <c r="B2433" s="79"/>
      <c r="C2433" s="78"/>
      <c r="D2433" s="78"/>
      <c r="E2433" s="80"/>
      <c r="F2433" s="86"/>
      <c r="G2433" s="86"/>
      <c r="H2433" s="86"/>
      <c r="I2433" s="86"/>
      <c r="J2433" s="85"/>
      <c r="K2433" s="85"/>
      <c r="L2433" s="85"/>
      <c r="M2433" s="85"/>
      <c r="N2433" s="85"/>
      <c r="O2433" s="85"/>
      <c r="P2433" s="85"/>
      <c r="Q2433" s="85"/>
      <c r="R2433" s="85"/>
      <c r="S2433" s="85"/>
      <c r="T2433" s="85"/>
      <c r="U2433" s="82"/>
      <c r="V2433" s="82"/>
      <c r="W2433" s="83"/>
      <c r="X2433" s="83"/>
      <c r="Y2433" s="83"/>
    </row>
    <row r="2434" spans="1:25" ht="13.8">
      <c r="A2434" s="78"/>
      <c r="B2434" s="79"/>
      <c r="C2434" s="78"/>
      <c r="D2434" s="78"/>
      <c r="E2434" s="80"/>
      <c r="F2434" s="86"/>
      <c r="G2434" s="86"/>
      <c r="H2434" s="86"/>
      <c r="I2434" s="86"/>
      <c r="J2434" s="85"/>
      <c r="K2434" s="85"/>
      <c r="L2434" s="85"/>
      <c r="M2434" s="85"/>
      <c r="N2434" s="85"/>
      <c r="O2434" s="85"/>
      <c r="P2434" s="85"/>
      <c r="Q2434" s="85"/>
      <c r="R2434" s="85"/>
      <c r="S2434" s="85"/>
      <c r="T2434" s="85"/>
      <c r="U2434" s="82"/>
      <c r="V2434" s="82"/>
      <c r="W2434" s="83"/>
      <c r="X2434" s="83"/>
      <c r="Y2434" s="83"/>
    </row>
    <row r="2435" spans="1:25" ht="13.8">
      <c r="A2435" s="78"/>
      <c r="B2435" s="79"/>
      <c r="C2435" s="78"/>
      <c r="D2435" s="78"/>
      <c r="E2435" s="80"/>
      <c r="F2435" s="86"/>
      <c r="G2435" s="86"/>
      <c r="H2435" s="86"/>
      <c r="I2435" s="86"/>
      <c r="J2435" s="85"/>
      <c r="K2435" s="85"/>
      <c r="L2435" s="85"/>
      <c r="M2435" s="85"/>
      <c r="N2435" s="85"/>
      <c r="O2435" s="85"/>
      <c r="P2435" s="85"/>
      <c r="Q2435" s="85"/>
      <c r="R2435" s="85"/>
      <c r="S2435" s="85"/>
      <c r="T2435" s="85"/>
      <c r="U2435" s="82"/>
      <c r="V2435" s="82"/>
      <c r="W2435" s="83"/>
      <c r="X2435" s="83"/>
      <c r="Y2435" s="83"/>
    </row>
    <row r="2436" spans="1:25" ht="13.8">
      <c r="A2436" s="78"/>
      <c r="B2436" s="79"/>
      <c r="C2436" s="78"/>
      <c r="D2436" s="78"/>
      <c r="E2436" s="80"/>
      <c r="F2436" s="86"/>
      <c r="G2436" s="86"/>
      <c r="H2436" s="86"/>
      <c r="I2436" s="86"/>
      <c r="J2436" s="85"/>
      <c r="K2436" s="85"/>
      <c r="L2436" s="85"/>
      <c r="M2436" s="85"/>
      <c r="N2436" s="85"/>
      <c r="O2436" s="85"/>
      <c r="P2436" s="85"/>
      <c r="Q2436" s="85"/>
      <c r="R2436" s="85"/>
      <c r="S2436" s="85"/>
      <c r="T2436" s="85"/>
      <c r="U2436" s="82"/>
      <c r="V2436" s="82"/>
      <c r="W2436" s="83"/>
      <c r="X2436" s="83"/>
      <c r="Y2436" s="83"/>
    </row>
    <row r="2437" spans="1:25" ht="13.8">
      <c r="A2437" s="78"/>
      <c r="B2437" s="79"/>
      <c r="C2437" s="78"/>
      <c r="D2437" s="78"/>
      <c r="E2437" s="80"/>
      <c r="F2437" s="86"/>
      <c r="G2437" s="86"/>
      <c r="H2437" s="86"/>
      <c r="I2437" s="86"/>
      <c r="J2437" s="85"/>
      <c r="K2437" s="85"/>
      <c r="L2437" s="85"/>
      <c r="M2437" s="85"/>
      <c r="N2437" s="85"/>
      <c r="O2437" s="85"/>
      <c r="P2437" s="85"/>
      <c r="Q2437" s="85"/>
      <c r="R2437" s="85"/>
      <c r="S2437" s="85"/>
      <c r="T2437" s="85"/>
      <c r="U2437" s="82"/>
      <c r="V2437" s="82"/>
      <c r="W2437" s="83"/>
      <c r="X2437" s="83"/>
      <c r="Y2437" s="83"/>
    </row>
    <row r="2438" spans="1:25" ht="13.8">
      <c r="A2438" s="78"/>
      <c r="B2438" s="79"/>
      <c r="C2438" s="78"/>
      <c r="D2438" s="78"/>
      <c r="E2438" s="80"/>
      <c r="F2438" s="86"/>
      <c r="G2438" s="86"/>
      <c r="H2438" s="86"/>
      <c r="I2438" s="86"/>
      <c r="J2438" s="85"/>
      <c r="K2438" s="85"/>
      <c r="L2438" s="85"/>
      <c r="M2438" s="85"/>
      <c r="N2438" s="85"/>
      <c r="O2438" s="85"/>
      <c r="P2438" s="85"/>
      <c r="Q2438" s="85"/>
      <c r="R2438" s="85"/>
      <c r="S2438" s="85"/>
      <c r="T2438" s="85"/>
      <c r="U2438" s="82"/>
      <c r="V2438" s="82"/>
      <c r="W2438" s="83"/>
      <c r="X2438" s="83"/>
      <c r="Y2438" s="83"/>
    </row>
    <row r="2439" spans="1:25" ht="13.8">
      <c r="A2439" s="78"/>
      <c r="B2439" s="79"/>
      <c r="C2439" s="78"/>
      <c r="D2439" s="78"/>
      <c r="E2439" s="80"/>
      <c r="F2439" s="86"/>
      <c r="G2439" s="86"/>
      <c r="H2439" s="86"/>
      <c r="I2439" s="86"/>
      <c r="J2439" s="85"/>
      <c r="K2439" s="85"/>
      <c r="L2439" s="85"/>
      <c r="M2439" s="85"/>
      <c r="N2439" s="85"/>
      <c r="O2439" s="85"/>
      <c r="P2439" s="85"/>
      <c r="Q2439" s="85"/>
      <c r="R2439" s="85"/>
      <c r="S2439" s="85"/>
      <c r="T2439" s="85"/>
      <c r="U2439" s="82"/>
      <c r="V2439" s="82"/>
      <c r="W2439" s="83"/>
      <c r="X2439" s="83"/>
      <c r="Y2439" s="83"/>
    </row>
    <row r="2440" spans="1:25" ht="13.8">
      <c r="A2440" s="78"/>
      <c r="B2440" s="79"/>
      <c r="C2440" s="78"/>
      <c r="D2440" s="78"/>
      <c r="E2440" s="80"/>
      <c r="F2440" s="86"/>
      <c r="G2440" s="86"/>
      <c r="H2440" s="86"/>
      <c r="I2440" s="86"/>
      <c r="J2440" s="85"/>
      <c r="K2440" s="85"/>
      <c r="L2440" s="85"/>
      <c r="M2440" s="85"/>
      <c r="N2440" s="85"/>
      <c r="O2440" s="85"/>
      <c r="P2440" s="85"/>
      <c r="Q2440" s="85"/>
      <c r="R2440" s="85"/>
      <c r="S2440" s="85"/>
      <c r="T2440" s="85"/>
      <c r="U2440" s="82"/>
      <c r="V2440" s="82"/>
      <c r="W2440" s="83"/>
      <c r="X2440" s="83"/>
      <c r="Y2440" s="83"/>
    </row>
    <row r="2441" spans="1:25" ht="13.8">
      <c r="A2441" s="78"/>
      <c r="B2441" s="79"/>
      <c r="C2441" s="78"/>
      <c r="D2441" s="78"/>
      <c r="E2441" s="80"/>
      <c r="F2441" s="86"/>
      <c r="G2441" s="86"/>
      <c r="H2441" s="86"/>
      <c r="I2441" s="86"/>
      <c r="J2441" s="85"/>
      <c r="K2441" s="85"/>
      <c r="L2441" s="85"/>
      <c r="M2441" s="85"/>
      <c r="N2441" s="85"/>
      <c r="O2441" s="85"/>
      <c r="P2441" s="85"/>
      <c r="Q2441" s="85"/>
      <c r="R2441" s="85"/>
      <c r="S2441" s="85"/>
      <c r="T2441" s="85"/>
      <c r="U2441" s="82"/>
      <c r="V2441" s="82"/>
      <c r="W2441" s="83"/>
      <c r="X2441" s="83"/>
      <c r="Y2441" s="83"/>
    </row>
    <row r="2442" spans="1:25" ht="13.8">
      <c r="A2442" s="78"/>
      <c r="B2442" s="79"/>
      <c r="C2442" s="78"/>
      <c r="D2442" s="78"/>
      <c r="E2442" s="80"/>
      <c r="F2442" s="86"/>
      <c r="G2442" s="86"/>
      <c r="H2442" s="86"/>
      <c r="I2442" s="86"/>
      <c r="J2442" s="85"/>
      <c r="K2442" s="85"/>
      <c r="L2442" s="85"/>
      <c r="M2442" s="85"/>
      <c r="N2442" s="85"/>
      <c r="O2442" s="85"/>
      <c r="P2442" s="85"/>
      <c r="Q2442" s="85"/>
      <c r="R2442" s="85"/>
      <c r="S2442" s="85"/>
      <c r="T2442" s="85"/>
      <c r="U2442" s="82"/>
      <c r="V2442" s="82"/>
      <c r="W2442" s="83"/>
      <c r="X2442" s="83"/>
      <c r="Y2442" s="83"/>
    </row>
    <row r="2443" spans="1:25" ht="13.8">
      <c r="A2443" s="78"/>
      <c r="B2443" s="79"/>
      <c r="C2443" s="78"/>
      <c r="D2443" s="78"/>
      <c r="E2443" s="80"/>
      <c r="F2443" s="86"/>
      <c r="G2443" s="86"/>
      <c r="H2443" s="86"/>
      <c r="I2443" s="86"/>
      <c r="J2443" s="85"/>
      <c r="K2443" s="85"/>
      <c r="L2443" s="85"/>
      <c r="M2443" s="85"/>
      <c r="N2443" s="85"/>
      <c r="O2443" s="85"/>
      <c r="P2443" s="85"/>
      <c r="Q2443" s="85"/>
      <c r="R2443" s="85"/>
      <c r="S2443" s="85"/>
      <c r="T2443" s="85"/>
      <c r="U2443" s="82"/>
      <c r="V2443" s="82"/>
      <c r="W2443" s="83"/>
      <c r="X2443" s="83"/>
      <c r="Y2443" s="83"/>
    </row>
    <row r="2444" spans="1:25" ht="13.8">
      <c r="A2444" s="78"/>
      <c r="B2444" s="79"/>
      <c r="C2444" s="78"/>
      <c r="D2444" s="78"/>
      <c r="E2444" s="80"/>
      <c r="F2444" s="86"/>
      <c r="G2444" s="86"/>
      <c r="H2444" s="86"/>
      <c r="I2444" s="86"/>
      <c r="J2444" s="85"/>
      <c r="K2444" s="85"/>
      <c r="L2444" s="85"/>
      <c r="M2444" s="85"/>
      <c r="N2444" s="85"/>
      <c r="O2444" s="85"/>
      <c r="P2444" s="85"/>
      <c r="Q2444" s="85"/>
      <c r="R2444" s="85"/>
      <c r="S2444" s="85"/>
      <c r="T2444" s="85"/>
      <c r="U2444" s="82"/>
      <c r="V2444" s="82"/>
      <c r="W2444" s="83"/>
      <c r="X2444" s="83"/>
      <c r="Y2444" s="83"/>
    </row>
    <row r="2445" spans="1:25" ht="13.8">
      <c r="A2445" s="78"/>
      <c r="B2445" s="79"/>
      <c r="C2445" s="78"/>
      <c r="D2445" s="78"/>
      <c r="E2445" s="80"/>
      <c r="F2445" s="86"/>
      <c r="G2445" s="86"/>
      <c r="H2445" s="86"/>
      <c r="I2445" s="86"/>
      <c r="J2445" s="85"/>
      <c r="K2445" s="85"/>
      <c r="L2445" s="85"/>
      <c r="M2445" s="85"/>
      <c r="N2445" s="85"/>
      <c r="O2445" s="85"/>
      <c r="P2445" s="85"/>
      <c r="Q2445" s="85"/>
      <c r="R2445" s="85"/>
      <c r="S2445" s="85"/>
      <c r="T2445" s="85"/>
      <c r="U2445" s="82"/>
      <c r="V2445" s="82"/>
      <c r="W2445" s="83"/>
      <c r="X2445" s="83"/>
      <c r="Y2445" s="83"/>
    </row>
    <row r="2446" spans="1:25" ht="13.8">
      <c r="A2446" s="78"/>
      <c r="B2446" s="79"/>
      <c r="C2446" s="78"/>
      <c r="D2446" s="78"/>
      <c r="E2446" s="80"/>
      <c r="F2446" s="86"/>
      <c r="G2446" s="86"/>
      <c r="H2446" s="86"/>
      <c r="I2446" s="86"/>
      <c r="J2446" s="85"/>
      <c r="K2446" s="85"/>
      <c r="L2446" s="85"/>
      <c r="M2446" s="85"/>
      <c r="N2446" s="85"/>
      <c r="O2446" s="85"/>
      <c r="P2446" s="85"/>
      <c r="Q2446" s="85"/>
      <c r="R2446" s="85"/>
      <c r="S2446" s="85"/>
      <c r="T2446" s="85"/>
      <c r="U2446" s="82"/>
      <c r="V2446" s="82"/>
      <c r="W2446" s="83"/>
      <c r="X2446" s="83"/>
      <c r="Y2446" s="83"/>
    </row>
    <row r="2447" spans="1:25" ht="13.8">
      <c r="A2447" s="78"/>
      <c r="B2447" s="79"/>
      <c r="C2447" s="78"/>
      <c r="D2447" s="78"/>
      <c r="E2447" s="80"/>
      <c r="F2447" s="86"/>
      <c r="G2447" s="86"/>
      <c r="H2447" s="86"/>
      <c r="I2447" s="86"/>
      <c r="J2447" s="85"/>
      <c r="K2447" s="85"/>
      <c r="L2447" s="85"/>
      <c r="M2447" s="85"/>
      <c r="N2447" s="85"/>
      <c r="O2447" s="85"/>
      <c r="P2447" s="85"/>
      <c r="Q2447" s="85"/>
      <c r="R2447" s="85"/>
      <c r="S2447" s="85"/>
      <c r="T2447" s="85"/>
      <c r="U2447" s="82"/>
      <c r="V2447" s="82"/>
      <c r="W2447" s="83"/>
      <c r="X2447" s="83"/>
      <c r="Y2447" s="83"/>
    </row>
    <row r="2448" spans="1:25" ht="13.8">
      <c r="A2448" s="78"/>
      <c r="B2448" s="79"/>
      <c r="C2448" s="78"/>
      <c r="D2448" s="78"/>
      <c r="E2448" s="80"/>
      <c r="F2448" s="86"/>
      <c r="G2448" s="86"/>
      <c r="H2448" s="86"/>
      <c r="I2448" s="86"/>
      <c r="J2448" s="85"/>
      <c r="K2448" s="85"/>
      <c r="L2448" s="85"/>
      <c r="M2448" s="85"/>
      <c r="N2448" s="85"/>
      <c r="O2448" s="85"/>
      <c r="P2448" s="85"/>
      <c r="Q2448" s="85"/>
      <c r="R2448" s="85"/>
      <c r="S2448" s="85"/>
      <c r="T2448" s="85"/>
      <c r="U2448" s="82"/>
      <c r="V2448" s="82"/>
      <c r="W2448" s="83"/>
      <c r="X2448" s="83"/>
      <c r="Y2448" s="83"/>
    </row>
    <row r="2449" spans="1:25" ht="13.8">
      <c r="A2449" s="78"/>
      <c r="B2449" s="79"/>
      <c r="C2449" s="78"/>
      <c r="D2449" s="78"/>
      <c r="E2449" s="80"/>
      <c r="F2449" s="86"/>
      <c r="G2449" s="86"/>
      <c r="H2449" s="86"/>
      <c r="I2449" s="86"/>
      <c r="J2449" s="85"/>
      <c r="K2449" s="85"/>
      <c r="L2449" s="85"/>
      <c r="M2449" s="85"/>
      <c r="N2449" s="85"/>
      <c r="O2449" s="85"/>
      <c r="P2449" s="85"/>
      <c r="Q2449" s="85"/>
      <c r="R2449" s="85"/>
      <c r="S2449" s="85"/>
      <c r="T2449" s="85"/>
      <c r="U2449" s="82"/>
      <c r="V2449" s="82"/>
      <c r="W2449" s="83"/>
      <c r="X2449" s="83"/>
      <c r="Y2449" s="83"/>
    </row>
    <row r="2450" spans="1:25" ht="13.8">
      <c r="A2450" s="78"/>
      <c r="B2450" s="79"/>
      <c r="C2450" s="78"/>
      <c r="D2450" s="78"/>
      <c r="E2450" s="80"/>
      <c r="F2450" s="86"/>
      <c r="G2450" s="86"/>
      <c r="H2450" s="86"/>
      <c r="I2450" s="86"/>
      <c r="J2450" s="85"/>
      <c r="K2450" s="85"/>
      <c r="L2450" s="85"/>
      <c r="M2450" s="85"/>
      <c r="N2450" s="85"/>
      <c r="O2450" s="85"/>
      <c r="P2450" s="85"/>
      <c r="Q2450" s="85"/>
      <c r="R2450" s="85"/>
      <c r="S2450" s="85"/>
      <c r="T2450" s="85"/>
      <c r="U2450" s="82"/>
      <c r="V2450" s="82"/>
      <c r="W2450" s="83"/>
      <c r="X2450" s="83"/>
      <c r="Y2450" s="83"/>
    </row>
    <row r="2451" spans="1:25" ht="13.8">
      <c r="A2451" s="78"/>
      <c r="B2451" s="79"/>
      <c r="C2451" s="78"/>
      <c r="D2451" s="78"/>
      <c r="E2451" s="80"/>
      <c r="F2451" s="86"/>
      <c r="G2451" s="86"/>
      <c r="H2451" s="86"/>
      <c r="I2451" s="86"/>
      <c r="J2451" s="85"/>
      <c r="K2451" s="85"/>
      <c r="L2451" s="85"/>
      <c r="M2451" s="85"/>
      <c r="N2451" s="85"/>
      <c r="O2451" s="85"/>
      <c r="P2451" s="85"/>
      <c r="Q2451" s="85"/>
      <c r="R2451" s="85"/>
      <c r="S2451" s="85"/>
      <c r="T2451" s="85"/>
      <c r="U2451" s="82"/>
      <c r="V2451" s="82"/>
      <c r="W2451" s="83"/>
      <c r="X2451" s="83"/>
      <c r="Y2451" s="83"/>
    </row>
    <row r="2452" spans="1:25" ht="13.8">
      <c r="A2452" s="78"/>
      <c r="B2452" s="79"/>
      <c r="C2452" s="78"/>
      <c r="D2452" s="78"/>
      <c r="E2452" s="80"/>
      <c r="F2452" s="86"/>
      <c r="G2452" s="86"/>
      <c r="H2452" s="86"/>
      <c r="I2452" s="86"/>
      <c r="J2452" s="85"/>
      <c r="K2452" s="85"/>
      <c r="L2452" s="85"/>
      <c r="M2452" s="85"/>
      <c r="N2452" s="85"/>
      <c r="O2452" s="85"/>
      <c r="P2452" s="85"/>
      <c r="Q2452" s="85"/>
      <c r="R2452" s="85"/>
      <c r="S2452" s="85"/>
      <c r="T2452" s="85"/>
      <c r="U2452" s="82"/>
      <c r="V2452" s="82"/>
      <c r="W2452" s="83"/>
      <c r="X2452" s="83"/>
      <c r="Y2452" s="83"/>
    </row>
    <row r="2453" spans="1:25" ht="13.8">
      <c r="A2453" s="78"/>
      <c r="B2453" s="79"/>
      <c r="C2453" s="78"/>
      <c r="D2453" s="78"/>
      <c r="E2453" s="80"/>
      <c r="F2453" s="86"/>
      <c r="G2453" s="86"/>
      <c r="H2453" s="86"/>
      <c r="I2453" s="86"/>
      <c r="J2453" s="85"/>
      <c r="K2453" s="85"/>
      <c r="L2453" s="85"/>
      <c r="M2453" s="85"/>
      <c r="N2453" s="85"/>
      <c r="O2453" s="85"/>
      <c r="P2453" s="85"/>
      <c r="Q2453" s="85"/>
      <c r="R2453" s="85"/>
      <c r="S2453" s="85"/>
      <c r="T2453" s="85"/>
      <c r="U2453" s="82"/>
      <c r="V2453" s="82"/>
      <c r="W2453" s="83"/>
      <c r="X2453" s="83"/>
      <c r="Y2453" s="83"/>
    </row>
    <row r="2454" spans="1:25" ht="13.8">
      <c r="A2454" s="78"/>
      <c r="B2454" s="79"/>
      <c r="C2454" s="78"/>
      <c r="D2454" s="78"/>
      <c r="E2454" s="80"/>
      <c r="F2454" s="86"/>
      <c r="G2454" s="86"/>
      <c r="H2454" s="86"/>
      <c r="I2454" s="86"/>
      <c r="J2454" s="85"/>
      <c r="K2454" s="85"/>
      <c r="L2454" s="85"/>
      <c r="M2454" s="85"/>
      <c r="N2454" s="85"/>
      <c r="O2454" s="85"/>
      <c r="P2454" s="85"/>
      <c r="Q2454" s="85"/>
      <c r="R2454" s="85"/>
      <c r="S2454" s="85"/>
      <c r="T2454" s="85"/>
      <c r="U2454" s="82"/>
      <c r="V2454" s="82"/>
      <c r="W2454" s="83"/>
      <c r="X2454" s="83"/>
      <c r="Y2454" s="83"/>
    </row>
    <row r="2455" spans="1:25" ht="13.8">
      <c r="A2455" s="78"/>
      <c r="B2455" s="79"/>
      <c r="C2455" s="78"/>
      <c r="D2455" s="78"/>
      <c r="E2455" s="80"/>
      <c r="F2455" s="86"/>
      <c r="G2455" s="86"/>
      <c r="H2455" s="86"/>
      <c r="I2455" s="86"/>
      <c r="J2455" s="85"/>
      <c r="K2455" s="85"/>
      <c r="L2455" s="85"/>
      <c r="M2455" s="85"/>
      <c r="N2455" s="85"/>
      <c r="O2455" s="85"/>
      <c r="P2455" s="85"/>
      <c r="Q2455" s="85"/>
      <c r="R2455" s="85"/>
      <c r="S2455" s="85"/>
      <c r="T2455" s="85"/>
      <c r="U2455" s="82"/>
      <c r="V2455" s="82"/>
      <c r="W2455" s="83"/>
      <c r="X2455" s="83"/>
      <c r="Y2455" s="83"/>
    </row>
    <row r="2456" spans="1:25" ht="13.8">
      <c r="A2456" s="78"/>
      <c r="B2456" s="79"/>
      <c r="C2456" s="78"/>
      <c r="D2456" s="78"/>
      <c r="E2456" s="80"/>
      <c r="F2456" s="86"/>
      <c r="G2456" s="86"/>
      <c r="H2456" s="86"/>
      <c r="I2456" s="86"/>
      <c r="J2456" s="85"/>
      <c r="K2456" s="85"/>
      <c r="L2456" s="85"/>
      <c r="M2456" s="85"/>
      <c r="N2456" s="85"/>
      <c r="O2456" s="85"/>
      <c r="P2456" s="85"/>
      <c r="Q2456" s="85"/>
      <c r="R2456" s="85"/>
      <c r="S2456" s="85"/>
      <c r="T2456" s="85"/>
      <c r="U2456" s="82"/>
      <c r="V2456" s="82"/>
      <c r="W2456" s="83"/>
      <c r="X2456" s="83"/>
      <c r="Y2456" s="83"/>
    </row>
    <row r="2457" spans="1:25" ht="13.8">
      <c r="A2457" s="78"/>
      <c r="B2457" s="79"/>
      <c r="C2457" s="78"/>
      <c r="D2457" s="78"/>
      <c r="E2457" s="80"/>
      <c r="F2457" s="86"/>
      <c r="G2457" s="86"/>
      <c r="H2457" s="86"/>
      <c r="I2457" s="86"/>
      <c r="J2457" s="85"/>
      <c r="K2457" s="85"/>
      <c r="L2457" s="85"/>
      <c r="M2457" s="85"/>
      <c r="N2457" s="85"/>
      <c r="O2457" s="85"/>
      <c r="P2457" s="85"/>
      <c r="Q2457" s="85"/>
      <c r="R2457" s="85"/>
      <c r="S2457" s="85"/>
      <c r="T2457" s="85"/>
      <c r="U2457" s="82"/>
      <c r="V2457" s="82"/>
      <c r="W2457" s="83"/>
      <c r="X2457" s="83"/>
      <c r="Y2457" s="83"/>
    </row>
    <row r="2458" spans="1:25" ht="13.8">
      <c r="A2458" s="78"/>
      <c r="B2458" s="79"/>
      <c r="C2458" s="78"/>
      <c r="D2458" s="78"/>
      <c r="E2458" s="80"/>
      <c r="F2458" s="86"/>
      <c r="G2458" s="86"/>
      <c r="H2458" s="86"/>
      <c r="I2458" s="86"/>
      <c r="J2458" s="85"/>
      <c r="K2458" s="85"/>
      <c r="L2458" s="85"/>
      <c r="M2458" s="85"/>
      <c r="N2458" s="85"/>
      <c r="O2458" s="85"/>
      <c r="P2458" s="85"/>
      <c r="Q2458" s="85"/>
      <c r="R2458" s="85"/>
      <c r="S2458" s="85"/>
      <c r="T2458" s="85"/>
      <c r="U2458" s="82"/>
      <c r="V2458" s="82"/>
      <c r="W2458" s="83"/>
      <c r="X2458" s="83"/>
      <c r="Y2458" s="83"/>
    </row>
    <row r="2459" spans="1:25" ht="13.8">
      <c r="A2459" s="78"/>
      <c r="B2459" s="79"/>
      <c r="C2459" s="78"/>
      <c r="D2459" s="78"/>
      <c r="E2459" s="80"/>
      <c r="F2459" s="86"/>
      <c r="G2459" s="86"/>
      <c r="H2459" s="86"/>
      <c r="I2459" s="86"/>
      <c r="J2459" s="85"/>
      <c r="K2459" s="85"/>
      <c r="L2459" s="85"/>
      <c r="M2459" s="85"/>
      <c r="N2459" s="85"/>
      <c r="O2459" s="85"/>
      <c r="P2459" s="85"/>
      <c r="Q2459" s="85"/>
      <c r="R2459" s="85"/>
      <c r="S2459" s="85"/>
      <c r="T2459" s="85"/>
      <c r="U2459" s="82"/>
      <c r="V2459" s="82"/>
      <c r="W2459" s="83"/>
      <c r="X2459" s="83"/>
      <c r="Y2459" s="83"/>
    </row>
    <row r="2460" spans="1:25" ht="13.8">
      <c r="A2460" s="78"/>
      <c r="B2460" s="79"/>
      <c r="C2460" s="78"/>
      <c r="D2460" s="78"/>
      <c r="E2460" s="80"/>
      <c r="F2460" s="86"/>
      <c r="G2460" s="86"/>
      <c r="H2460" s="86"/>
      <c r="I2460" s="86"/>
      <c r="J2460" s="85"/>
      <c r="K2460" s="85"/>
      <c r="L2460" s="85"/>
      <c r="M2460" s="85"/>
      <c r="N2460" s="85"/>
      <c r="O2460" s="85"/>
      <c r="P2460" s="85"/>
      <c r="Q2460" s="85"/>
      <c r="R2460" s="85"/>
      <c r="S2460" s="85"/>
      <c r="T2460" s="85"/>
      <c r="U2460" s="82"/>
      <c r="V2460" s="82"/>
      <c r="W2460" s="83"/>
      <c r="X2460" s="83"/>
      <c r="Y2460" s="83"/>
    </row>
    <row r="2461" spans="1:25" ht="13.8">
      <c r="A2461" s="78"/>
      <c r="B2461" s="79"/>
      <c r="C2461" s="78"/>
      <c r="D2461" s="78"/>
      <c r="E2461" s="80"/>
      <c r="F2461" s="86"/>
      <c r="G2461" s="86"/>
      <c r="H2461" s="86"/>
      <c r="I2461" s="86"/>
      <c r="J2461" s="85"/>
      <c r="K2461" s="85"/>
      <c r="L2461" s="85"/>
      <c r="M2461" s="85"/>
      <c r="N2461" s="85"/>
      <c r="O2461" s="85"/>
      <c r="P2461" s="85"/>
      <c r="Q2461" s="85"/>
      <c r="R2461" s="85"/>
      <c r="S2461" s="85"/>
      <c r="T2461" s="85"/>
      <c r="U2461" s="82"/>
      <c r="V2461" s="82"/>
      <c r="W2461" s="83"/>
      <c r="X2461" s="83"/>
      <c r="Y2461" s="83"/>
    </row>
    <row r="2462" spans="1:25" ht="13.8">
      <c r="A2462" s="78"/>
      <c r="B2462" s="79"/>
      <c r="C2462" s="78"/>
      <c r="D2462" s="78"/>
      <c r="E2462" s="80"/>
      <c r="F2462" s="86"/>
      <c r="G2462" s="86"/>
      <c r="H2462" s="86"/>
      <c r="I2462" s="86"/>
      <c r="J2462" s="85"/>
      <c r="K2462" s="85"/>
      <c r="L2462" s="85"/>
      <c r="M2462" s="85"/>
      <c r="N2462" s="85"/>
      <c r="O2462" s="85"/>
      <c r="P2462" s="85"/>
      <c r="Q2462" s="85"/>
      <c r="R2462" s="85"/>
      <c r="S2462" s="85"/>
      <c r="T2462" s="85"/>
      <c r="U2462" s="82"/>
      <c r="V2462" s="82"/>
      <c r="W2462" s="83"/>
      <c r="X2462" s="83"/>
      <c r="Y2462" s="83"/>
    </row>
    <row r="2463" spans="1:25" ht="13.8">
      <c r="A2463" s="78"/>
      <c r="B2463" s="79"/>
      <c r="C2463" s="78"/>
      <c r="D2463" s="78"/>
      <c r="E2463" s="80"/>
      <c r="F2463" s="86"/>
      <c r="G2463" s="86"/>
      <c r="H2463" s="86"/>
      <c r="I2463" s="86"/>
      <c r="J2463" s="85"/>
      <c r="K2463" s="85"/>
      <c r="L2463" s="85"/>
      <c r="M2463" s="85"/>
      <c r="N2463" s="85"/>
      <c r="O2463" s="85"/>
      <c r="P2463" s="85"/>
      <c r="Q2463" s="85"/>
      <c r="R2463" s="85"/>
      <c r="S2463" s="85"/>
      <c r="T2463" s="85"/>
      <c r="U2463" s="82"/>
      <c r="V2463" s="82"/>
      <c r="W2463" s="83"/>
      <c r="X2463" s="83"/>
      <c r="Y2463" s="83"/>
    </row>
    <row r="2464" spans="1:25" ht="13.8">
      <c r="A2464" s="78"/>
      <c r="B2464" s="79"/>
      <c r="C2464" s="78"/>
      <c r="D2464" s="78"/>
      <c r="E2464" s="80"/>
      <c r="F2464" s="86"/>
      <c r="G2464" s="86"/>
      <c r="H2464" s="86"/>
      <c r="I2464" s="86"/>
      <c r="J2464" s="85"/>
      <c r="K2464" s="85"/>
      <c r="L2464" s="85"/>
      <c r="M2464" s="85"/>
      <c r="N2464" s="85"/>
      <c r="O2464" s="85"/>
      <c r="P2464" s="85"/>
      <c r="Q2464" s="85"/>
      <c r="R2464" s="85"/>
      <c r="S2464" s="85"/>
      <c r="T2464" s="85"/>
      <c r="U2464" s="82"/>
      <c r="V2464" s="82"/>
      <c r="W2464" s="83"/>
      <c r="X2464" s="83"/>
      <c r="Y2464" s="83"/>
    </row>
    <row r="2465" spans="1:25" ht="13.8">
      <c r="A2465" s="78"/>
      <c r="B2465" s="79"/>
      <c r="C2465" s="78"/>
      <c r="D2465" s="78"/>
      <c r="E2465" s="80"/>
      <c r="F2465" s="86"/>
      <c r="G2465" s="86"/>
      <c r="H2465" s="86"/>
      <c r="I2465" s="86"/>
      <c r="J2465" s="85"/>
      <c r="K2465" s="85"/>
      <c r="L2465" s="85"/>
      <c r="M2465" s="85"/>
      <c r="N2465" s="85"/>
      <c r="O2465" s="85"/>
      <c r="P2465" s="85"/>
      <c r="Q2465" s="85"/>
      <c r="R2465" s="85"/>
      <c r="S2465" s="85"/>
      <c r="T2465" s="85"/>
      <c r="U2465" s="82"/>
      <c r="V2465" s="82"/>
      <c r="W2465" s="83"/>
      <c r="X2465" s="83"/>
      <c r="Y2465" s="83"/>
    </row>
    <row r="2466" spans="1:25" ht="13.8">
      <c r="A2466" s="78"/>
      <c r="B2466" s="79"/>
      <c r="C2466" s="78"/>
      <c r="D2466" s="78"/>
      <c r="E2466" s="80"/>
      <c r="F2466" s="86"/>
      <c r="G2466" s="86"/>
      <c r="H2466" s="86"/>
      <c r="I2466" s="86"/>
      <c r="J2466" s="85"/>
      <c r="K2466" s="85"/>
      <c r="L2466" s="85"/>
      <c r="M2466" s="85"/>
      <c r="N2466" s="85"/>
      <c r="O2466" s="85"/>
      <c r="P2466" s="85"/>
      <c r="Q2466" s="85"/>
      <c r="R2466" s="85"/>
      <c r="S2466" s="85"/>
      <c r="T2466" s="85"/>
      <c r="U2466" s="82"/>
      <c r="V2466" s="82"/>
      <c r="W2466" s="83"/>
      <c r="X2466" s="83"/>
      <c r="Y2466" s="83"/>
    </row>
    <row r="2467" spans="1:25" ht="13.8">
      <c r="A2467" s="78"/>
      <c r="B2467" s="79"/>
      <c r="C2467" s="78"/>
      <c r="D2467" s="78"/>
      <c r="E2467" s="80"/>
      <c r="F2467" s="86"/>
      <c r="G2467" s="86"/>
      <c r="H2467" s="86"/>
      <c r="I2467" s="86"/>
      <c r="J2467" s="85"/>
      <c r="K2467" s="85"/>
      <c r="L2467" s="85"/>
      <c r="M2467" s="85"/>
      <c r="N2467" s="85"/>
      <c r="O2467" s="85"/>
      <c r="P2467" s="85"/>
      <c r="Q2467" s="85"/>
      <c r="R2467" s="85"/>
      <c r="S2467" s="85"/>
      <c r="T2467" s="85"/>
      <c r="U2467" s="82"/>
      <c r="V2467" s="82"/>
      <c r="W2467" s="83"/>
      <c r="X2467" s="83"/>
      <c r="Y2467" s="83"/>
    </row>
    <row r="2468" spans="1:25" ht="13.8">
      <c r="A2468" s="78"/>
      <c r="B2468" s="79"/>
      <c r="C2468" s="78"/>
      <c r="D2468" s="78"/>
      <c r="E2468" s="80"/>
      <c r="F2468" s="86"/>
      <c r="G2468" s="86"/>
      <c r="H2468" s="86"/>
      <c r="I2468" s="86"/>
      <c r="J2468" s="85"/>
      <c r="K2468" s="85"/>
      <c r="L2468" s="85"/>
      <c r="M2468" s="85"/>
      <c r="N2468" s="85"/>
      <c r="O2468" s="85"/>
      <c r="P2468" s="85"/>
      <c r="Q2468" s="85"/>
      <c r="R2468" s="85"/>
      <c r="S2468" s="85"/>
      <c r="T2468" s="85"/>
      <c r="U2468" s="82"/>
      <c r="V2468" s="82"/>
      <c r="W2468" s="83"/>
      <c r="X2468" s="83"/>
      <c r="Y2468" s="83"/>
    </row>
    <row r="2469" spans="1:25" ht="13.8">
      <c r="A2469" s="78"/>
      <c r="B2469" s="79"/>
      <c r="C2469" s="78"/>
      <c r="D2469" s="78"/>
      <c r="E2469" s="80"/>
      <c r="F2469" s="86"/>
      <c r="G2469" s="86"/>
      <c r="H2469" s="86"/>
      <c r="I2469" s="86"/>
      <c r="J2469" s="85"/>
      <c r="K2469" s="85"/>
      <c r="L2469" s="85"/>
      <c r="M2469" s="85"/>
      <c r="N2469" s="85"/>
      <c r="O2469" s="85"/>
      <c r="P2469" s="85"/>
      <c r="Q2469" s="85"/>
      <c r="R2469" s="85"/>
      <c r="S2469" s="85"/>
      <c r="T2469" s="85"/>
      <c r="U2469" s="82"/>
      <c r="V2469" s="82"/>
      <c r="W2469" s="83"/>
      <c r="X2469" s="83"/>
      <c r="Y2469" s="83"/>
    </row>
    <row r="2470" spans="1:25" ht="13.8">
      <c r="A2470" s="78"/>
      <c r="B2470" s="79"/>
      <c r="C2470" s="78"/>
      <c r="D2470" s="78"/>
      <c r="E2470" s="80"/>
      <c r="F2470" s="86"/>
      <c r="G2470" s="86"/>
      <c r="H2470" s="86"/>
      <c r="I2470" s="86"/>
      <c r="J2470" s="85"/>
      <c r="K2470" s="85"/>
      <c r="L2470" s="85"/>
      <c r="M2470" s="85"/>
      <c r="N2470" s="85"/>
      <c r="O2470" s="85"/>
      <c r="P2470" s="85"/>
      <c r="Q2470" s="85"/>
      <c r="R2470" s="85"/>
      <c r="S2470" s="85"/>
      <c r="T2470" s="85"/>
      <c r="U2470" s="82"/>
      <c r="V2470" s="82"/>
      <c r="W2470" s="83"/>
      <c r="X2470" s="83"/>
      <c r="Y2470" s="83"/>
    </row>
    <row r="2471" spans="1:25" ht="13.8">
      <c r="A2471" s="78"/>
      <c r="B2471" s="79"/>
      <c r="C2471" s="78"/>
      <c r="D2471" s="78"/>
      <c r="E2471" s="80"/>
      <c r="F2471" s="86"/>
      <c r="G2471" s="86"/>
      <c r="H2471" s="86"/>
      <c r="I2471" s="86"/>
      <c r="J2471" s="85"/>
      <c r="K2471" s="85"/>
      <c r="L2471" s="85"/>
      <c r="M2471" s="85"/>
      <c r="N2471" s="85"/>
      <c r="O2471" s="85"/>
      <c r="P2471" s="85"/>
      <c r="Q2471" s="85"/>
      <c r="R2471" s="85"/>
      <c r="S2471" s="85"/>
      <c r="T2471" s="85"/>
      <c r="U2471" s="82"/>
      <c r="V2471" s="82"/>
      <c r="W2471" s="83"/>
      <c r="X2471" s="83"/>
      <c r="Y2471" s="83"/>
    </row>
    <row r="2472" spans="1:25" ht="13.8">
      <c r="A2472" s="78"/>
      <c r="B2472" s="79"/>
      <c r="C2472" s="78"/>
      <c r="D2472" s="78"/>
      <c r="E2472" s="80"/>
      <c r="F2472" s="86"/>
      <c r="G2472" s="86"/>
      <c r="H2472" s="86"/>
      <c r="I2472" s="86"/>
      <c r="J2472" s="85"/>
      <c r="K2472" s="85"/>
      <c r="L2472" s="85"/>
      <c r="M2472" s="85"/>
      <c r="N2472" s="85"/>
      <c r="O2472" s="85"/>
      <c r="P2472" s="85"/>
      <c r="Q2472" s="85"/>
      <c r="R2472" s="85"/>
      <c r="S2472" s="85"/>
      <c r="T2472" s="85"/>
      <c r="U2472" s="82"/>
      <c r="V2472" s="82"/>
      <c r="W2472" s="83"/>
      <c r="X2472" s="83"/>
      <c r="Y2472" s="83"/>
    </row>
    <row r="2473" spans="1:25" ht="13.8">
      <c r="A2473" s="78"/>
      <c r="B2473" s="79"/>
      <c r="C2473" s="78"/>
      <c r="D2473" s="78"/>
      <c r="E2473" s="80"/>
      <c r="F2473" s="86"/>
      <c r="G2473" s="86"/>
      <c r="H2473" s="86"/>
      <c r="I2473" s="86"/>
      <c r="J2473" s="85"/>
      <c r="K2473" s="85"/>
      <c r="L2473" s="85"/>
      <c r="M2473" s="85"/>
      <c r="N2473" s="85"/>
      <c r="O2473" s="85"/>
      <c r="P2473" s="85"/>
      <c r="Q2473" s="85"/>
      <c r="R2473" s="85"/>
      <c r="S2473" s="85"/>
      <c r="T2473" s="85"/>
      <c r="U2473" s="82"/>
      <c r="V2473" s="82"/>
      <c r="W2473" s="83"/>
      <c r="X2473" s="83"/>
      <c r="Y2473" s="83"/>
    </row>
    <row r="2474" spans="1:25" ht="13.8">
      <c r="A2474" s="78"/>
      <c r="B2474" s="79"/>
      <c r="C2474" s="78"/>
      <c r="D2474" s="78"/>
      <c r="E2474" s="80"/>
      <c r="F2474" s="86"/>
      <c r="G2474" s="86"/>
      <c r="H2474" s="86"/>
      <c r="I2474" s="86"/>
      <c r="J2474" s="85"/>
      <c r="K2474" s="85"/>
      <c r="L2474" s="85"/>
      <c r="M2474" s="85"/>
      <c r="N2474" s="85"/>
      <c r="O2474" s="85"/>
      <c r="P2474" s="85"/>
      <c r="Q2474" s="85"/>
      <c r="R2474" s="85"/>
      <c r="S2474" s="85"/>
      <c r="T2474" s="85"/>
      <c r="U2474" s="82"/>
      <c r="V2474" s="82"/>
      <c r="W2474" s="83"/>
      <c r="X2474" s="83"/>
      <c r="Y2474" s="83"/>
    </row>
    <row r="2475" spans="1:25" ht="13.8">
      <c r="A2475" s="78"/>
      <c r="B2475" s="79"/>
      <c r="C2475" s="78"/>
      <c r="D2475" s="78"/>
      <c r="E2475" s="80"/>
      <c r="F2475" s="86"/>
      <c r="G2475" s="86"/>
      <c r="H2475" s="86"/>
      <c r="I2475" s="86"/>
      <c r="J2475" s="85"/>
      <c r="K2475" s="85"/>
      <c r="L2475" s="85"/>
      <c r="M2475" s="85"/>
      <c r="N2475" s="85"/>
      <c r="O2475" s="85"/>
      <c r="P2475" s="85"/>
      <c r="Q2475" s="85"/>
      <c r="R2475" s="85"/>
      <c r="S2475" s="85"/>
      <c r="T2475" s="85"/>
      <c r="U2475" s="82"/>
      <c r="V2475" s="82"/>
      <c r="W2475" s="83"/>
      <c r="X2475" s="83"/>
      <c r="Y2475" s="83"/>
    </row>
    <row r="2476" spans="1:25" ht="13.8">
      <c r="A2476" s="78"/>
      <c r="B2476" s="79"/>
      <c r="C2476" s="78"/>
      <c r="D2476" s="78"/>
      <c r="E2476" s="80"/>
      <c r="F2476" s="86"/>
      <c r="G2476" s="86"/>
      <c r="H2476" s="86"/>
      <c r="I2476" s="86"/>
      <c r="J2476" s="85"/>
      <c r="K2476" s="85"/>
      <c r="L2476" s="85"/>
      <c r="M2476" s="85"/>
      <c r="N2476" s="85"/>
      <c r="O2476" s="85"/>
      <c r="P2476" s="85"/>
      <c r="Q2476" s="85"/>
      <c r="R2476" s="85"/>
      <c r="S2476" s="85"/>
      <c r="T2476" s="85"/>
      <c r="U2476" s="82"/>
      <c r="V2476" s="82"/>
      <c r="W2476" s="83"/>
      <c r="X2476" s="83"/>
      <c r="Y2476" s="83"/>
    </row>
    <row r="2477" spans="1:25" ht="13.8">
      <c r="A2477" s="78"/>
      <c r="B2477" s="79"/>
      <c r="C2477" s="78"/>
      <c r="D2477" s="78"/>
      <c r="E2477" s="80"/>
      <c r="F2477" s="86"/>
      <c r="G2477" s="86"/>
      <c r="H2477" s="86"/>
      <c r="I2477" s="86"/>
      <c r="J2477" s="85"/>
      <c r="K2477" s="85"/>
      <c r="L2477" s="85"/>
      <c r="M2477" s="85"/>
      <c r="N2477" s="85"/>
      <c r="O2477" s="85"/>
      <c r="P2477" s="85"/>
      <c r="Q2477" s="85"/>
      <c r="R2477" s="85"/>
      <c r="S2477" s="85"/>
      <c r="T2477" s="85"/>
      <c r="U2477" s="82"/>
      <c r="V2477" s="82"/>
      <c r="W2477" s="83"/>
      <c r="X2477" s="83"/>
      <c r="Y2477" s="83"/>
    </row>
    <row r="2478" spans="1:25" ht="13.8">
      <c r="A2478" s="78"/>
      <c r="B2478" s="79"/>
      <c r="C2478" s="78"/>
      <c r="D2478" s="78"/>
      <c r="E2478" s="80"/>
      <c r="F2478" s="86"/>
      <c r="G2478" s="86"/>
      <c r="H2478" s="86"/>
      <c r="I2478" s="86"/>
      <c r="J2478" s="85"/>
      <c r="K2478" s="85"/>
      <c r="L2478" s="85"/>
      <c r="M2478" s="85"/>
      <c r="N2478" s="85"/>
      <c r="O2478" s="85"/>
      <c r="P2478" s="85"/>
      <c r="Q2478" s="85"/>
      <c r="R2478" s="85"/>
      <c r="S2478" s="85"/>
      <c r="T2478" s="85"/>
      <c r="U2478" s="82"/>
      <c r="V2478" s="82"/>
      <c r="W2478" s="83"/>
      <c r="X2478" s="83"/>
      <c r="Y2478" s="83"/>
    </row>
    <row r="2479" spans="1:25" ht="13.8">
      <c r="A2479" s="78"/>
      <c r="B2479" s="79"/>
      <c r="C2479" s="78"/>
      <c r="D2479" s="78"/>
      <c r="E2479" s="80"/>
      <c r="F2479" s="86"/>
      <c r="G2479" s="86"/>
      <c r="H2479" s="86"/>
      <c r="I2479" s="86"/>
      <c r="J2479" s="85"/>
      <c r="K2479" s="85"/>
      <c r="L2479" s="85"/>
      <c r="M2479" s="85"/>
      <c r="N2479" s="85"/>
      <c r="O2479" s="85"/>
      <c r="P2479" s="85"/>
      <c r="Q2479" s="85"/>
      <c r="R2479" s="85"/>
      <c r="S2479" s="85"/>
      <c r="T2479" s="85"/>
      <c r="U2479" s="82"/>
      <c r="V2479" s="82"/>
      <c r="W2479" s="83"/>
      <c r="X2479" s="83"/>
      <c r="Y2479" s="83"/>
    </row>
    <row r="2480" spans="1:25" ht="13.8">
      <c r="A2480" s="78"/>
      <c r="B2480" s="79"/>
      <c r="C2480" s="78"/>
      <c r="D2480" s="78"/>
      <c r="E2480" s="80"/>
      <c r="F2480" s="86"/>
      <c r="G2480" s="86"/>
      <c r="H2480" s="86"/>
      <c r="I2480" s="86"/>
      <c r="J2480" s="85"/>
      <c r="K2480" s="85"/>
      <c r="L2480" s="85"/>
      <c r="M2480" s="85"/>
      <c r="N2480" s="85"/>
      <c r="O2480" s="85"/>
      <c r="P2480" s="85"/>
      <c r="Q2480" s="85"/>
      <c r="R2480" s="85"/>
      <c r="S2480" s="85"/>
      <c r="T2480" s="85"/>
      <c r="U2480" s="82"/>
      <c r="V2480" s="82"/>
      <c r="W2480" s="83"/>
      <c r="X2480" s="83"/>
      <c r="Y2480" s="83"/>
    </row>
    <row r="2481" spans="1:25" ht="13.8">
      <c r="A2481" s="78"/>
      <c r="B2481" s="79"/>
      <c r="C2481" s="78"/>
      <c r="D2481" s="78"/>
      <c r="E2481" s="80"/>
      <c r="F2481" s="86"/>
      <c r="G2481" s="86"/>
      <c r="H2481" s="86"/>
      <c r="I2481" s="86"/>
      <c r="J2481" s="85"/>
      <c r="K2481" s="85"/>
      <c r="L2481" s="85"/>
      <c r="M2481" s="85"/>
      <c r="N2481" s="85"/>
      <c r="O2481" s="85"/>
      <c r="P2481" s="85"/>
      <c r="Q2481" s="85"/>
      <c r="R2481" s="85"/>
      <c r="S2481" s="85"/>
      <c r="T2481" s="85"/>
      <c r="U2481" s="82"/>
      <c r="V2481" s="82"/>
      <c r="W2481" s="83"/>
      <c r="X2481" s="83"/>
      <c r="Y2481" s="83"/>
    </row>
    <row r="2482" spans="1:25" ht="13.8">
      <c r="A2482" s="78"/>
      <c r="B2482" s="79"/>
      <c r="C2482" s="78"/>
      <c r="D2482" s="78"/>
      <c r="E2482" s="80"/>
      <c r="F2482" s="86"/>
      <c r="G2482" s="86"/>
      <c r="H2482" s="86"/>
      <c r="I2482" s="86"/>
      <c r="J2482" s="85"/>
      <c r="K2482" s="85"/>
      <c r="L2482" s="85"/>
      <c r="M2482" s="85"/>
      <c r="N2482" s="85"/>
      <c r="O2482" s="85"/>
      <c r="P2482" s="85"/>
      <c r="Q2482" s="85"/>
      <c r="R2482" s="85"/>
      <c r="S2482" s="85"/>
      <c r="T2482" s="85"/>
      <c r="U2482" s="82"/>
      <c r="V2482" s="82"/>
      <c r="W2482" s="83"/>
      <c r="X2482" s="83"/>
      <c r="Y2482" s="83"/>
    </row>
    <row r="2483" spans="1:25" ht="13.8">
      <c r="A2483" s="78"/>
      <c r="B2483" s="79"/>
      <c r="C2483" s="78"/>
      <c r="D2483" s="78"/>
      <c r="E2483" s="80"/>
      <c r="F2483" s="86"/>
      <c r="G2483" s="86"/>
      <c r="H2483" s="86"/>
      <c r="I2483" s="86"/>
      <c r="J2483" s="85"/>
      <c r="K2483" s="85"/>
      <c r="L2483" s="85"/>
      <c r="M2483" s="85"/>
      <c r="N2483" s="85"/>
      <c r="O2483" s="85"/>
      <c r="P2483" s="85"/>
      <c r="Q2483" s="85"/>
      <c r="R2483" s="85"/>
      <c r="S2483" s="85"/>
      <c r="T2483" s="85"/>
      <c r="U2483" s="82"/>
      <c r="V2483" s="82"/>
      <c r="W2483" s="83"/>
      <c r="X2483" s="83"/>
      <c r="Y2483" s="83"/>
    </row>
    <row r="2484" spans="1:25" ht="13.8">
      <c r="A2484" s="78"/>
      <c r="B2484" s="79"/>
      <c r="C2484" s="78"/>
      <c r="D2484" s="78"/>
      <c r="E2484" s="80"/>
      <c r="F2484" s="86"/>
      <c r="G2484" s="86"/>
      <c r="H2484" s="86"/>
      <c r="I2484" s="86"/>
      <c r="J2484" s="85"/>
      <c r="K2484" s="85"/>
      <c r="L2484" s="85"/>
      <c r="M2484" s="85"/>
      <c r="N2484" s="85"/>
      <c r="O2484" s="85"/>
      <c r="P2484" s="85"/>
      <c r="Q2484" s="85"/>
      <c r="R2484" s="85"/>
      <c r="S2484" s="85"/>
      <c r="T2484" s="85"/>
      <c r="U2484" s="82"/>
      <c r="V2484" s="82"/>
      <c r="W2484" s="83"/>
      <c r="X2484" s="83"/>
      <c r="Y2484" s="83"/>
    </row>
    <row r="2485" spans="1:25" ht="13.8">
      <c r="A2485" s="78"/>
      <c r="B2485" s="79"/>
      <c r="C2485" s="78"/>
      <c r="D2485" s="78"/>
      <c r="E2485" s="80"/>
      <c r="F2485" s="86"/>
      <c r="G2485" s="86"/>
      <c r="H2485" s="86"/>
      <c r="I2485" s="86"/>
      <c r="J2485" s="85"/>
      <c r="K2485" s="85"/>
      <c r="L2485" s="85"/>
      <c r="M2485" s="85"/>
      <c r="N2485" s="85"/>
      <c r="O2485" s="85"/>
      <c r="P2485" s="85"/>
      <c r="Q2485" s="85"/>
      <c r="R2485" s="85"/>
      <c r="S2485" s="85"/>
      <c r="T2485" s="85"/>
      <c r="U2485" s="82"/>
      <c r="V2485" s="82"/>
      <c r="W2485" s="83"/>
      <c r="X2485" s="83"/>
      <c r="Y2485" s="83"/>
    </row>
    <row r="2486" spans="1:25" ht="13.8">
      <c r="A2486" s="78"/>
      <c r="B2486" s="79"/>
      <c r="C2486" s="78"/>
      <c r="D2486" s="78"/>
      <c r="E2486" s="80"/>
      <c r="F2486" s="86"/>
      <c r="G2486" s="86"/>
      <c r="H2486" s="86"/>
      <c r="I2486" s="86"/>
      <c r="J2486" s="85"/>
      <c r="K2486" s="85"/>
      <c r="L2486" s="85"/>
      <c r="M2486" s="85"/>
      <c r="N2486" s="85"/>
      <c r="O2486" s="85"/>
      <c r="P2486" s="85"/>
      <c r="Q2486" s="85"/>
      <c r="R2486" s="85"/>
      <c r="S2486" s="85"/>
      <c r="T2486" s="85"/>
      <c r="U2486" s="82"/>
      <c r="V2486" s="82"/>
      <c r="W2486" s="83"/>
      <c r="X2486" s="83"/>
      <c r="Y2486" s="83"/>
    </row>
    <row r="2487" spans="1:25" ht="13.8">
      <c r="A2487" s="78"/>
      <c r="B2487" s="79"/>
      <c r="C2487" s="78"/>
      <c r="D2487" s="78"/>
      <c r="E2487" s="80"/>
      <c r="F2487" s="86"/>
      <c r="G2487" s="86"/>
      <c r="H2487" s="86"/>
      <c r="I2487" s="86"/>
      <c r="J2487" s="85"/>
      <c r="K2487" s="85"/>
      <c r="L2487" s="85"/>
      <c r="M2487" s="85"/>
      <c r="N2487" s="85"/>
      <c r="O2487" s="85"/>
      <c r="P2487" s="85"/>
      <c r="Q2487" s="85"/>
      <c r="R2487" s="85"/>
      <c r="S2487" s="85"/>
      <c r="T2487" s="85"/>
      <c r="U2487" s="82"/>
      <c r="V2487" s="82"/>
      <c r="W2487" s="83"/>
      <c r="X2487" s="83"/>
      <c r="Y2487" s="83"/>
    </row>
    <row r="2488" spans="1:25" ht="13.8">
      <c r="A2488" s="78"/>
      <c r="B2488" s="79"/>
      <c r="C2488" s="78"/>
      <c r="D2488" s="78"/>
      <c r="E2488" s="80"/>
      <c r="F2488" s="86"/>
      <c r="G2488" s="86"/>
      <c r="H2488" s="86"/>
      <c r="I2488" s="86"/>
      <c r="J2488" s="85"/>
      <c r="K2488" s="85"/>
      <c r="L2488" s="85"/>
      <c r="M2488" s="85"/>
      <c r="N2488" s="85"/>
      <c r="O2488" s="85"/>
      <c r="P2488" s="85"/>
      <c r="Q2488" s="85"/>
      <c r="R2488" s="85"/>
      <c r="S2488" s="85"/>
      <c r="T2488" s="85"/>
      <c r="U2488" s="82"/>
      <c r="V2488" s="82"/>
      <c r="W2488" s="83"/>
      <c r="X2488" s="83"/>
      <c r="Y2488" s="83"/>
    </row>
    <row r="2489" spans="1:25" ht="13.8">
      <c r="A2489" s="78"/>
      <c r="B2489" s="79"/>
      <c r="C2489" s="78"/>
      <c r="D2489" s="78"/>
      <c r="E2489" s="80"/>
      <c r="F2489" s="86"/>
      <c r="G2489" s="86"/>
      <c r="H2489" s="86"/>
      <c r="I2489" s="86"/>
      <c r="J2489" s="85"/>
      <c r="K2489" s="85"/>
      <c r="L2489" s="85"/>
      <c r="M2489" s="85"/>
      <c r="N2489" s="85"/>
      <c r="O2489" s="85"/>
      <c r="P2489" s="85"/>
      <c r="Q2489" s="85"/>
      <c r="R2489" s="85"/>
      <c r="S2489" s="85"/>
      <c r="T2489" s="85"/>
      <c r="U2489" s="82"/>
      <c r="V2489" s="82"/>
      <c r="W2489" s="83"/>
      <c r="X2489" s="83"/>
      <c r="Y2489" s="83"/>
    </row>
    <row r="2490" spans="1:25" ht="13.8">
      <c r="A2490" s="78"/>
      <c r="B2490" s="79"/>
      <c r="C2490" s="78"/>
      <c r="D2490" s="78"/>
      <c r="E2490" s="80"/>
      <c r="F2490" s="86"/>
      <c r="G2490" s="86"/>
      <c r="H2490" s="86"/>
      <c r="I2490" s="86"/>
      <c r="J2490" s="85"/>
      <c r="K2490" s="85"/>
      <c r="L2490" s="85"/>
      <c r="M2490" s="85"/>
      <c r="N2490" s="85"/>
      <c r="O2490" s="85"/>
      <c r="P2490" s="85"/>
      <c r="Q2490" s="85"/>
      <c r="R2490" s="85"/>
      <c r="S2490" s="85"/>
      <c r="T2490" s="85"/>
      <c r="U2490" s="82"/>
      <c r="V2490" s="82"/>
      <c r="W2490" s="83"/>
      <c r="X2490" s="83"/>
      <c r="Y2490" s="83"/>
    </row>
    <row r="2491" spans="1:25" ht="13.8">
      <c r="A2491" s="78"/>
      <c r="B2491" s="79"/>
      <c r="C2491" s="78"/>
      <c r="D2491" s="78"/>
      <c r="E2491" s="80"/>
      <c r="F2491" s="86"/>
      <c r="G2491" s="86"/>
      <c r="H2491" s="86"/>
      <c r="I2491" s="86"/>
      <c r="J2491" s="85"/>
      <c r="K2491" s="85"/>
      <c r="L2491" s="85"/>
      <c r="M2491" s="85"/>
      <c r="N2491" s="85"/>
      <c r="O2491" s="85"/>
      <c r="P2491" s="85"/>
      <c r="Q2491" s="85"/>
      <c r="R2491" s="85"/>
      <c r="S2491" s="85"/>
      <c r="T2491" s="85"/>
      <c r="U2491" s="82"/>
      <c r="V2491" s="82"/>
      <c r="W2491" s="83"/>
      <c r="X2491" s="83"/>
      <c r="Y2491" s="83"/>
    </row>
    <row r="2492" spans="1:25" ht="13.8">
      <c r="A2492" s="78"/>
      <c r="B2492" s="79"/>
      <c r="C2492" s="78"/>
      <c r="D2492" s="78"/>
      <c r="E2492" s="80"/>
      <c r="F2492" s="86"/>
      <c r="G2492" s="86"/>
      <c r="H2492" s="86"/>
      <c r="I2492" s="86"/>
      <c r="J2492" s="85"/>
      <c r="K2492" s="85"/>
      <c r="L2492" s="85"/>
      <c r="M2492" s="85"/>
      <c r="N2492" s="85"/>
      <c r="O2492" s="85"/>
      <c r="P2492" s="85"/>
      <c r="Q2492" s="85"/>
      <c r="R2492" s="85"/>
      <c r="S2492" s="85"/>
      <c r="T2492" s="85"/>
      <c r="U2492" s="82"/>
      <c r="V2492" s="82"/>
      <c r="W2492" s="83"/>
      <c r="X2492" s="83"/>
      <c r="Y2492" s="83"/>
    </row>
    <row r="2493" spans="1:25" ht="13.8">
      <c r="A2493" s="78"/>
      <c r="B2493" s="79"/>
      <c r="C2493" s="78"/>
      <c r="D2493" s="78"/>
      <c r="E2493" s="80"/>
      <c r="F2493" s="86"/>
      <c r="G2493" s="86"/>
      <c r="H2493" s="86"/>
      <c r="I2493" s="86"/>
      <c r="J2493" s="85"/>
      <c r="K2493" s="85"/>
      <c r="L2493" s="85"/>
      <c r="M2493" s="85"/>
      <c r="N2493" s="85"/>
      <c r="O2493" s="85"/>
      <c r="P2493" s="85"/>
      <c r="Q2493" s="85"/>
      <c r="R2493" s="85"/>
      <c r="S2493" s="85"/>
      <c r="T2493" s="85"/>
      <c r="U2493" s="82"/>
      <c r="V2493" s="82"/>
      <c r="W2493" s="83"/>
      <c r="X2493" s="83"/>
      <c r="Y2493" s="83"/>
    </row>
    <row r="2494" spans="1:25" ht="13.8">
      <c r="A2494" s="78"/>
      <c r="B2494" s="79"/>
      <c r="C2494" s="78"/>
      <c r="D2494" s="78"/>
      <c r="E2494" s="80"/>
      <c r="F2494" s="86"/>
      <c r="G2494" s="86"/>
      <c r="H2494" s="86"/>
      <c r="I2494" s="86"/>
      <c r="J2494" s="85"/>
      <c r="K2494" s="85"/>
      <c r="L2494" s="85"/>
      <c r="M2494" s="85"/>
      <c r="N2494" s="85"/>
      <c r="O2494" s="85"/>
      <c r="P2494" s="85"/>
      <c r="Q2494" s="85"/>
      <c r="R2494" s="85"/>
      <c r="S2494" s="85"/>
      <c r="T2494" s="85"/>
      <c r="U2494" s="82"/>
      <c r="V2494" s="82"/>
      <c r="W2494" s="83"/>
      <c r="X2494" s="83"/>
      <c r="Y2494" s="83"/>
    </row>
    <row r="2495" spans="1:25" ht="13.8">
      <c r="A2495" s="78"/>
      <c r="B2495" s="79"/>
      <c r="C2495" s="78"/>
      <c r="D2495" s="78"/>
      <c r="E2495" s="80"/>
      <c r="F2495" s="86"/>
      <c r="G2495" s="86"/>
      <c r="H2495" s="86"/>
      <c r="I2495" s="86"/>
      <c r="J2495" s="85"/>
      <c r="K2495" s="85"/>
      <c r="L2495" s="85"/>
      <c r="M2495" s="85"/>
      <c r="N2495" s="85"/>
      <c r="O2495" s="85"/>
      <c r="P2495" s="85"/>
      <c r="Q2495" s="85"/>
      <c r="R2495" s="85"/>
      <c r="S2495" s="85"/>
      <c r="T2495" s="85"/>
      <c r="U2495" s="82"/>
      <c r="V2495" s="82"/>
      <c r="W2495" s="83"/>
      <c r="X2495" s="83"/>
      <c r="Y2495" s="83"/>
    </row>
    <row r="2496" spans="1:25" ht="13.8">
      <c r="A2496" s="78"/>
      <c r="B2496" s="79"/>
      <c r="C2496" s="78"/>
      <c r="D2496" s="78"/>
      <c r="E2496" s="80"/>
      <c r="F2496" s="86"/>
      <c r="G2496" s="86"/>
      <c r="H2496" s="86"/>
      <c r="I2496" s="86"/>
      <c r="J2496" s="85"/>
      <c r="K2496" s="85"/>
      <c r="L2496" s="85"/>
      <c r="M2496" s="85"/>
      <c r="N2496" s="85"/>
      <c r="O2496" s="85"/>
      <c r="P2496" s="85"/>
      <c r="Q2496" s="85"/>
      <c r="R2496" s="85"/>
      <c r="S2496" s="85"/>
      <c r="T2496" s="85"/>
      <c r="U2496" s="82"/>
      <c r="V2496" s="82"/>
      <c r="W2496" s="83"/>
      <c r="X2496" s="83"/>
      <c r="Y2496" s="83"/>
    </row>
    <row r="2497" spans="1:25" ht="13.8">
      <c r="A2497" s="78"/>
      <c r="B2497" s="79"/>
      <c r="C2497" s="78"/>
      <c r="D2497" s="78"/>
      <c r="E2497" s="80"/>
      <c r="F2497" s="86"/>
      <c r="G2497" s="86"/>
      <c r="H2497" s="86"/>
      <c r="I2497" s="86"/>
      <c r="J2497" s="85"/>
      <c r="K2497" s="85"/>
      <c r="L2497" s="85"/>
      <c r="M2497" s="85"/>
      <c r="N2497" s="85"/>
      <c r="O2497" s="85"/>
      <c r="P2497" s="85"/>
      <c r="Q2497" s="85"/>
      <c r="R2497" s="85"/>
      <c r="S2497" s="85"/>
      <c r="T2497" s="85"/>
      <c r="U2497" s="82"/>
      <c r="V2497" s="82"/>
      <c r="W2497" s="83"/>
      <c r="X2497" s="83"/>
      <c r="Y2497" s="83"/>
    </row>
    <row r="2498" spans="1:25" ht="13.8">
      <c r="A2498" s="78"/>
      <c r="B2498" s="79"/>
      <c r="C2498" s="78"/>
      <c r="D2498" s="78"/>
      <c r="E2498" s="80"/>
      <c r="F2498" s="86"/>
      <c r="G2498" s="86"/>
      <c r="H2498" s="86"/>
      <c r="I2498" s="86"/>
      <c r="J2498" s="85"/>
      <c r="K2498" s="85"/>
      <c r="L2498" s="85"/>
      <c r="M2498" s="85"/>
      <c r="N2498" s="85"/>
      <c r="O2498" s="85"/>
      <c r="P2498" s="85"/>
      <c r="Q2498" s="85"/>
      <c r="R2498" s="85"/>
      <c r="S2498" s="85"/>
      <c r="T2498" s="85"/>
      <c r="U2498" s="82"/>
      <c r="V2498" s="82"/>
      <c r="W2498" s="83"/>
      <c r="X2498" s="83"/>
      <c r="Y2498" s="83"/>
    </row>
    <row r="2499" spans="1:25" ht="13.8">
      <c r="A2499" s="78"/>
      <c r="B2499" s="79"/>
      <c r="C2499" s="78"/>
      <c r="D2499" s="78"/>
      <c r="E2499" s="80"/>
      <c r="F2499" s="86"/>
      <c r="G2499" s="86"/>
      <c r="H2499" s="86"/>
      <c r="I2499" s="86"/>
      <c r="J2499" s="85"/>
      <c r="K2499" s="85"/>
      <c r="L2499" s="85"/>
      <c r="M2499" s="85"/>
      <c r="N2499" s="85"/>
      <c r="O2499" s="85"/>
      <c r="P2499" s="85"/>
      <c r="Q2499" s="85"/>
      <c r="R2499" s="85"/>
      <c r="S2499" s="85"/>
      <c r="T2499" s="85"/>
      <c r="U2499" s="82"/>
      <c r="V2499" s="82"/>
      <c r="W2499" s="83"/>
      <c r="X2499" s="83"/>
      <c r="Y2499" s="83"/>
    </row>
    <row r="2500" spans="1:25" ht="13.8">
      <c r="A2500" s="78"/>
      <c r="B2500" s="79"/>
      <c r="C2500" s="78"/>
      <c r="D2500" s="78"/>
      <c r="E2500" s="80"/>
      <c r="F2500" s="86"/>
      <c r="G2500" s="86"/>
      <c r="H2500" s="86"/>
      <c r="I2500" s="86"/>
      <c r="J2500" s="85"/>
      <c r="K2500" s="85"/>
      <c r="L2500" s="85"/>
      <c r="M2500" s="85"/>
      <c r="N2500" s="85"/>
      <c r="O2500" s="85"/>
      <c r="P2500" s="85"/>
      <c r="Q2500" s="85"/>
      <c r="R2500" s="85"/>
      <c r="S2500" s="85"/>
      <c r="T2500" s="85"/>
      <c r="U2500" s="82"/>
      <c r="V2500" s="82"/>
      <c r="W2500" s="83"/>
      <c r="X2500" s="83"/>
      <c r="Y2500" s="83"/>
    </row>
    <row r="2501" spans="1:25" ht="13.8">
      <c r="A2501" s="78"/>
      <c r="B2501" s="79"/>
      <c r="C2501" s="78"/>
      <c r="D2501" s="78"/>
      <c r="E2501" s="80"/>
      <c r="F2501" s="86"/>
      <c r="G2501" s="86"/>
      <c r="H2501" s="86"/>
      <c r="I2501" s="86"/>
      <c r="J2501" s="85"/>
      <c r="K2501" s="85"/>
      <c r="L2501" s="85"/>
      <c r="M2501" s="85"/>
      <c r="N2501" s="85"/>
      <c r="O2501" s="85"/>
      <c r="P2501" s="85"/>
      <c r="Q2501" s="85"/>
      <c r="R2501" s="85"/>
      <c r="S2501" s="85"/>
      <c r="T2501" s="85"/>
      <c r="U2501" s="82"/>
      <c r="V2501" s="82"/>
      <c r="W2501" s="83"/>
      <c r="X2501" s="83"/>
      <c r="Y2501" s="83"/>
    </row>
    <row r="2502" spans="1:25" ht="13.8">
      <c r="A2502" s="78"/>
      <c r="B2502" s="79"/>
      <c r="C2502" s="78"/>
      <c r="D2502" s="78"/>
      <c r="E2502" s="80"/>
      <c r="F2502" s="86"/>
      <c r="G2502" s="86"/>
      <c r="H2502" s="86"/>
      <c r="I2502" s="86"/>
      <c r="J2502" s="85"/>
      <c r="K2502" s="85"/>
      <c r="L2502" s="85"/>
      <c r="M2502" s="85"/>
      <c r="N2502" s="85"/>
      <c r="O2502" s="85"/>
      <c r="P2502" s="85"/>
      <c r="Q2502" s="85"/>
      <c r="R2502" s="85"/>
      <c r="S2502" s="85"/>
      <c r="T2502" s="85"/>
      <c r="U2502" s="82"/>
      <c r="V2502" s="82"/>
      <c r="W2502" s="83"/>
      <c r="X2502" s="83"/>
      <c r="Y2502" s="83"/>
    </row>
    <row r="2503" spans="1:25" ht="13.8">
      <c r="A2503" s="78"/>
      <c r="B2503" s="79"/>
      <c r="C2503" s="78"/>
      <c r="D2503" s="78"/>
      <c r="E2503" s="80"/>
      <c r="F2503" s="86"/>
      <c r="G2503" s="86"/>
      <c r="H2503" s="86"/>
      <c r="I2503" s="86"/>
      <c r="J2503" s="85"/>
      <c r="K2503" s="85"/>
      <c r="L2503" s="85"/>
      <c r="M2503" s="85"/>
      <c r="N2503" s="85"/>
      <c r="O2503" s="85"/>
      <c r="P2503" s="85"/>
      <c r="Q2503" s="85"/>
      <c r="R2503" s="85"/>
      <c r="S2503" s="85"/>
      <c r="T2503" s="85"/>
      <c r="U2503" s="82"/>
      <c r="V2503" s="82"/>
      <c r="W2503" s="83"/>
      <c r="X2503" s="83"/>
      <c r="Y2503" s="83"/>
    </row>
    <row r="2504" spans="1:25" ht="13.8">
      <c r="A2504" s="78"/>
      <c r="B2504" s="79"/>
      <c r="C2504" s="78"/>
      <c r="D2504" s="78"/>
      <c r="E2504" s="80"/>
      <c r="F2504" s="86"/>
      <c r="G2504" s="86"/>
      <c r="H2504" s="86"/>
      <c r="I2504" s="86"/>
      <c r="J2504" s="85"/>
      <c r="K2504" s="85"/>
      <c r="L2504" s="85"/>
      <c r="M2504" s="85"/>
      <c r="N2504" s="85"/>
      <c r="O2504" s="85"/>
      <c r="P2504" s="85"/>
      <c r="Q2504" s="85"/>
      <c r="R2504" s="85"/>
      <c r="S2504" s="85"/>
      <c r="T2504" s="85"/>
      <c r="U2504" s="82"/>
      <c r="V2504" s="82"/>
      <c r="W2504" s="83"/>
      <c r="X2504" s="83"/>
      <c r="Y2504" s="83"/>
    </row>
    <row r="2505" spans="1:25" ht="13.8">
      <c r="A2505" s="78"/>
      <c r="B2505" s="79"/>
      <c r="C2505" s="78"/>
      <c r="D2505" s="78"/>
      <c r="E2505" s="80"/>
      <c r="F2505" s="86"/>
      <c r="G2505" s="86"/>
      <c r="H2505" s="86"/>
      <c r="I2505" s="86"/>
      <c r="J2505" s="85"/>
      <c r="K2505" s="85"/>
      <c r="L2505" s="85"/>
      <c r="M2505" s="85"/>
      <c r="N2505" s="85"/>
      <c r="O2505" s="85"/>
      <c r="P2505" s="85"/>
      <c r="Q2505" s="85"/>
      <c r="R2505" s="85"/>
      <c r="S2505" s="85"/>
      <c r="T2505" s="85"/>
      <c r="U2505" s="82"/>
      <c r="V2505" s="82"/>
      <c r="W2505" s="83"/>
      <c r="X2505" s="83"/>
      <c r="Y2505" s="83"/>
    </row>
    <row r="2506" spans="1:25" ht="13.8">
      <c r="A2506" s="78"/>
      <c r="B2506" s="79"/>
      <c r="C2506" s="78"/>
      <c r="D2506" s="78"/>
      <c r="E2506" s="80"/>
      <c r="F2506" s="86"/>
      <c r="G2506" s="86"/>
      <c r="H2506" s="86"/>
      <c r="I2506" s="86"/>
      <c r="J2506" s="85"/>
      <c r="K2506" s="85"/>
      <c r="L2506" s="85"/>
      <c r="M2506" s="85"/>
      <c r="N2506" s="85"/>
      <c r="O2506" s="85"/>
      <c r="P2506" s="85"/>
      <c r="Q2506" s="85"/>
      <c r="R2506" s="85"/>
      <c r="S2506" s="85"/>
      <c r="T2506" s="85"/>
      <c r="U2506" s="82"/>
      <c r="V2506" s="82"/>
      <c r="W2506" s="83"/>
      <c r="X2506" s="83"/>
      <c r="Y2506" s="83"/>
    </row>
    <row r="2507" spans="1:25" ht="13.8">
      <c r="A2507" s="78"/>
      <c r="B2507" s="79"/>
      <c r="C2507" s="78"/>
      <c r="D2507" s="78"/>
      <c r="E2507" s="80"/>
      <c r="F2507" s="86"/>
      <c r="G2507" s="86"/>
      <c r="H2507" s="86"/>
      <c r="I2507" s="86"/>
      <c r="J2507" s="85"/>
      <c r="K2507" s="85"/>
      <c r="L2507" s="85"/>
      <c r="M2507" s="85"/>
      <c r="N2507" s="85"/>
      <c r="O2507" s="85"/>
      <c r="P2507" s="85"/>
      <c r="Q2507" s="85"/>
      <c r="R2507" s="85"/>
      <c r="S2507" s="85"/>
      <c r="T2507" s="85"/>
      <c r="U2507" s="82"/>
      <c r="V2507" s="82"/>
      <c r="W2507" s="83"/>
      <c r="X2507" s="83"/>
      <c r="Y2507" s="83"/>
    </row>
    <row r="2508" spans="1:25" ht="13.8">
      <c r="A2508" s="78"/>
      <c r="B2508" s="79"/>
      <c r="C2508" s="78"/>
      <c r="D2508" s="78"/>
      <c r="E2508" s="80"/>
      <c r="F2508" s="86"/>
      <c r="G2508" s="86"/>
      <c r="H2508" s="86"/>
      <c r="I2508" s="86"/>
      <c r="J2508" s="85"/>
      <c r="K2508" s="85"/>
      <c r="L2508" s="85"/>
      <c r="M2508" s="85"/>
      <c r="N2508" s="85"/>
      <c r="O2508" s="85"/>
      <c r="P2508" s="85"/>
      <c r="Q2508" s="85"/>
      <c r="R2508" s="85"/>
      <c r="S2508" s="85"/>
      <c r="T2508" s="85"/>
      <c r="U2508" s="82"/>
      <c r="V2508" s="82"/>
      <c r="W2508" s="83"/>
      <c r="X2508" s="83"/>
      <c r="Y2508" s="83"/>
    </row>
    <row r="2509" spans="1:25" ht="13.8">
      <c r="A2509" s="78"/>
      <c r="B2509" s="79"/>
      <c r="C2509" s="78"/>
      <c r="D2509" s="78"/>
      <c r="E2509" s="80"/>
      <c r="F2509" s="86"/>
      <c r="G2509" s="86"/>
      <c r="H2509" s="86"/>
      <c r="I2509" s="86"/>
      <c r="J2509" s="85"/>
      <c r="K2509" s="85"/>
      <c r="L2509" s="85"/>
      <c r="M2509" s="85"/>
      <c r="N2509" s="85"/>
      <c r="O2509" s="85"/>
      <c r="P2509" s="85"/>
      <c r="Q2509" s="85"/>
      <c r="R2509" s="85"/>
      <c r="S2509" s="85"/>
      <c r="T2509" s="85"/>
      <c r="U2509" s="82"/>
      <c r="V2509" s="82"/>
      <c r="W2509" s="83"/>
      <c r="X2509" s="83"/>
      <c r="Y2509" s="83"/>
    </row>
    <row r="2510" spans="1:25" ht="13.8">
      <c r="A2510" s="78"/>
      <c r="B2510" s="79"/>
      <c r="C2510" s="78"/>
      <c r="D2510" s="78"/>
      <c r="E2510" s="80"/>
      <c r="F2510" s="86"/>
      <c r="G2510" s="86"/>
      <c r="H2510" s="86"/>
      <c r="I2510" s="86"/>
      <c r="J2510" s="85"/>
      <c r="K2510" s="85"/>
      <c r="L2510" s="85"/>
      <c r="M2510" s="85"/>
      <c r="N2510" s="85"/>
      <c r="O2510" s="85"/>
      <c r="P2510" s="85"/>
      <c r="Q2510" s="85"/>
      <c r="R2510" s="85"/>
      <c r="S2510" s="85"/>
      <c r="T2510" s="85"/>
      <c r="U2510" s="82"/>
      <c r="V2510" s="82"/>
      <c r="W2510" s="83"/>
      <c r="X2510" s="83"/>
      <c r="Y2510" s="83"/>
    </row>
    <row r="2511" spans="1:25" ht="13.8">
      <c r="A2511" s="78"/>
      <c r="B2511" s="79"/>
      <c r="C2511" s="78"/>
      <c r="D2511" s="78"/>
      <c r="E2511" s="80"/>
      <c r="F2511" s="86"/>
      <c r="G2511" s="86"/>
      <c r="H2511" s="86"/>
      <c r="I2511" s="86"/>
      <c r="J2511" s="85"/>
      <c r="K2511" s="85"/>
      <c r="L2511" s="85"/>
      <c r="M2511" s="85"/>
      <c r="N2511" s="85"/>
      <c r="O2511" s="85"/>
      <c r="P2511" s="85"/>
      <c r="Q2511" s="85"/>
      <c r="R2511" s="85"/>
      <c r="S2511" s="85"/>
      <c r="T2511" s="85"/>
      <c r="U2511" s="82"/>
      <c r="V2511" s="82"/>
      <c r="W2511" s="83"/>
      <c r="X2511" s="83"/>
      <c r="Y2511" s="83"/>
    </row>
    <row r="2512" spans="1:25" ht="13.8">
      <c r="A2512" s="78"/>
      <c r="B2512" s="79"/>
      <c r="C2512" s="78"/>
      <c r="D2512" s="78"/>
      <c r="E2512" s="80"/>
      <c r="F2512" s="86"/>
      <c r="G2512" s="86"/>
      <c r="H2512" s="86"/>
      <c r="I2512" s="86"/>
      <c r="J2512" s="85"/>
      <c r="K2512" s="85"/>
      <c r="L2512" s="85"/>
      <c r="M2512" s="85"/>
      <c r="N2512" s="85"/>
      <c r="O2512" s="85"/>
      <c r="P2512" s="85"/>
      <c r="Q2512" s="85"/>
      <c r="R2512" s="85"/>
      <c r="S2512" s="85"/>
      <c r="T2512" s="85"/>
      <c r="U2512" s="82"/>
      <c r="V2512" s="82"/>
      <c r="W2512" s="83"/>
      <c r="X2512" s="83"/>
      <c r="Y2512" s="83"/>
    </row>
    <row r="2513" spans="1:25" ht="13.8">
      <c r="A2513" s="78"/>
      <c r="B2513" s="79"/>
      <c r="C2513" s="78"/>
      <c r="D2513" s="78"/>
      <c r="E2513" s="80"/>
      <c r="F2513" s="86"/>
      <c r="G2513" s="86"/>
      <c r="H2513" s="86"/>
      <c r="I2513" s="86"/>
      <c r="J2513" s="85"/>
      <c r="K2513" s="85"/>
      <c r="L2513" s="85"/>
      <c r="M2513" s="85"/>
      <c r="N2513" s="85"/>
      <c r="O2513" s="85"/>
      <c r="P2513" s="85"/>
      <c r="Q2513" s="85"/>
      <c r="R2513" s="85"/>
      <c r="S2513" s="85"/>
      <c r="T2513" s="85"/>
      <c r="U2513" s="82"/>
      <c r="V2513" s="82"/>
      <c r="W2513" s="83"/>
      <c r="X2513" s="83"/>
      <c r="Y2513" s="83"/>
    </row>
    <row r="2514" spans="1:25" ht="13.8">
      <c r="A2514" s="78"/>
      <c r="B2514" s="79"/>
      <c r="C2514" s="78"/>
      <c r="D2514" s="78"/>
      <c r="E2514" s="80"/>
      <c r="F2514" s="86"/>
      <c r="G2514" s="86"/>
      <c r="H2514" s="86"/>
      <c r="I2514" s="86"/>
      <c r="J2514" s="85"/>
      <c r="K2514" s="85"/>
      <c r="L2514" s="85"/>
      <c r="M2514" s="85"/>
      <c r="N2514" s="85"/>
      <c r="O2514" s="85"/>
      <c r="P2514" s="85"/>
      <c r="Q2514" s="85"/>
      <c r="R2514" s="85"/>
      <c r="S2514" s="85"/>
      <c r="T2514" s="85"/>
      <c r="U2514" s="82"/>
      <c r="V2514" s="82"/>
      <c r="W2514" s="83"/>
      <c r="X2514" s="83"/>
      <c r="Y2514" s="83"/>
    </row>
    <row r="2515" spans="1:25" ht="13.8">
      <c r="A2515" s="78"/>
      <c r="B2515" s="79"/>
      <c r="C2515" s="78"/>
      <c r="D2515" s="78"/>
      <c r="E2515" s="80"/>
      <c r="F2515" s="86"/>
      <c r="G2515" s="86"/>
      <c r="H2515" s="86"/>
      <c r="I2515" s="86"/>
      <c r="J2515" s="85"/>
      <c r="K2515" s="85"/>
      <c r="L2515" s="85"/>
      <c r="M2515" s="85"/>
      <c r="N2515" s="85"/>
      <c r="O2515" s="85"/>
      <c r="P2515" s="85"/>
      <c r="Q2515" s="85"/>
      <c r="R2515" s="85"/>
      <c r="S2515" s="85"/>
      <c r="T2515" s="85"/>
      <c r="U2515" s="82"/>
      <c r="V2515" s="82"/>
      <c r="W2515" s="83"/>
      <c r="X2515" s="83"/>
      <c r="Y2515" s="83"/>
    </row>
    <row r="2516" spans="1:25" ht="13.8">
      <c r="A2516" s="78"/>
      <c r="B2516" s="79"/>
      <c r="C2516" s="78"/>
      <c r="D2516" s="78"/>
      <c r="E2516" s="80"/>
      <c r="F2516" s="86"/>
      <c r="G2516" s="86"/>
      <c r="H2516" s="86"/>
      <c r="I2516" s="86"/>
      <c r="J2516" s="85"/>
      <c r="K2516" s="85"/>
      <c r="L2516" s="85"/>
      <c r="M2516" s="85"/>
      <c r="N2516" s="85"/>
      <c r="O2516" s="85"/>
      <c r="P2516" s="85"/>
      <c r="Q2516" s="85"/>
      <c r="R2516" s="85"/>
      <c r="S2516" s="85"/>
      <c r="T2516" s="85"/>
      <c r="U2516" s="82"/>
      <c r="V2516" s="82"/>
      <c r="W2516" s="83"/>
      <c r="X2516" s="83"/>
      <c r="Y2516" s="83"/>
    </row>
    <row r="2517" spans="1:25" ht="13.8">
      <c r="A2517" s="78"/>
      <c r="B2517" s="79"/>
      <c r="C2517" s="78"/>
      <c r="D2517" s="78"/>
      <c r="E2517" s="80"/>
      <c r="F2517" s="86"/>
      <c r="G2517" s="86"/>
      <c r="H2517" s="86"/>
      <c r="I2517" s="86"/>
      <c r="J2517" s="85"/>
      <c r="K2517" s="85"/>
      <c r="L2517" s="85"/>
      <c r="M2517" s="85"/>
      <c r="N2517" s="85"/>
      <c r="O2517" s="85"/>
      <c r="P2517" s="85"/>
      <c r="Q2517" s="85"/>
      <c r="R2517" s="85"/>
      <c r="S2517" s="85"/>
      <c r="T2517" s="85"/>
      <c r="U2517" s="82"/>
      <c r="V2517" s="82"/>
      <c r="W2517" s="83"/>
      <c r="X2517" s="83"/>
      <c r="Y2517" s="83"/>
    </row>
    <row r="2518" spans="1:25" ht="13.8">
      <c r="A2518" s="78"/>
      <c r="B2518" s="79"/>
      <c r="C2518" s="78"/>
      <c r="D2518" s="78"/>
      <c r="E2518" s="80"/>
      <c r="F2518" s="86"/>
      <c r="G2518" s="86"/>
      <c r="H2518" s="86"/>
      <c r="I2518" s="86"/>
      <c r="J2518" s="85"/>
      <c r="K2518" s="85"/>
      <c r="L2518" s="85"/>
      <c r="M2518" s="85"/>
      <c r="N2518" s="85"/>
      <c r="O2518" s="85"/>
      <c r="P2518" s="85"/>
      <c r="Q2518" s="85"/>
      <c r="R2518" s="85"/>
      <c r="S2518" s="85"/>
      <c r="T2518" s="85"/>
      <c r="U2518" s="82"/>
      <c r="V2518" s="82"/>
      <c r="W2518" s="83"/>
      <c r="X2518" s="83"/>
      <c r="Y2518" s="83"/>
    </row>
    <row r="2519" spans="1:25" ht="13.8">
      <c r="A2519" s="78"/>
      <c r="B2519" s="79"/>
      <c r="C2519" s="78"/>
      <c r="D2519" s="78"/>
      <c r="E2519" s="80"/>
      <c r="F2519" s="86"/>
      <c r="G2519" s="86"/>
      <c r="H2519" s="86"/>
      <c r="I2519" s="86"/>
      <c r="J2519" s="85"/>
      <c r="K2519" s="85"/>
      <c r="L2519" s="85"/>
      <c r="M2519" s="85"/>
      <c r="N2519" s="85"/>
      <c r="O2519" s="85"/>
      <c r="P2519" s="85"/>
      <c r="Q2519" s="85"/>
      <c r="R2519" s="85"/>
      <c r="S2519" s="85"/>
      <c r="T2519" s="85"/>
      <c r="U2519" s="82"/>
      <c r="V2519" s="82"/>
      <c r="W2519" s="83"/>
      <c r="X2519" s="83"/>
      <c r="Y2519" s="83"/>
    </row>
    <row r="2520" spans="1:25" ht="13.8">
      <c r="A2520" s="78"/>
      <c r="B2520" s="79"/>
      <c r="C2520" s="78"/>
      <c r="D2520" s="78"/>
      <c r="E2520" s="80"/>
      <c r="F2520" s="86"/>
      <c r="G2520" s="86"/>
      <c r="H2520" s="86"/>
      <c r="I2520" s="86"/>
      <c r="J2520" s="85"/>
      <c r="K2520" s="85"/>
      <c r="L2520" s="85"/>
      <c r="M2520" s="85"/>
      <c r="N2520" s="85"/>
      <c r="O2520" s="85"/>
      <c r="P2520" s="85"/>
      <c r="Q2520" s="85"/>
      <c r="R2520" s="85"/>
      <c r="S2520" s="85"/>
      <c r="T2520" s="85"/>
      <c r="U2520" s="82"/>
      <c r="V2520" s="82"/>
      <c r="W2520" s="83"/>
      <c r="X2520" s="83"/>
      <c r="Y2520" s="83"/>
    </row>
    <row r="2521" spans="1:25" ht="13.8">
      <c r="A2521" s="78"/>
      <c r="B2521" s="79"/>
      <c r="C2521" s="78"/>
      <c r="D2521" s="78"/>
      <c r="E2521" s="80"/>
      <c r="F2521" s="86"/>
      <c r="G2521" s="86"/>
      <c r="H2521" s="86"/>
      <c r="I2521" s="86"/>
      <c r="J2521" s="85"/>
      <c r="K2521" s="85"/>
      <c r="L2521" s="85"/>
      <c r="M2521" s="85"/>
      <c r="N2521" s="85"/>
      <c r="O2521" s="85"/>
      <c r="P2521" s="85"/>
      <c r="Q2521" s="85"/>
      <c r="R2521" s="85"/>
      <c r="S2521" s="85"/>
      <c r="T2521" s="85"/>
      <c r="U2521" s="82"/>
      <c r="V2521" s="82"/>
      <c r="W2521" s="83"/>
      <c r="X2521" s="83"/>
      <c r="Y2521" s="83"/>
    </row>
    <row r="2522" spans="1:25" ht="13.8">
      <c r="A2522" s="78"/>
      <c r="B2522" s="79"/>
      <c r="C2522" s="78"/>
      <c r="D2522" s="78"/>
      <c r="E2522" s="80"/>
      <c r="F2522" s="86"/>
      <c r="G2522" s="86"/>
      <c r="H2522" s="86"/>
      <c r="I2522" s="86"/>
      <c r="J2522" s="85"/>
      <c r="K2522" s="85"/>
      <c r="L2522" s="85"/>
      <c r="M2522" s="85"/>
      <c r="N2522" s="85"/>
      <c r="O2522" s="85"/>
      <c r="P2522" s="85"/>
      <c r="Q2522" s="85"/>
      <c r="R2522" s="85"/>
      <c r="S2522" s="85"/>
      <c r="T2522" s="85"/>
      <c r="U2522" s="82"/>
      <c r="V2522" s="82"/>
      <c r="W2522" s="83"/>
      <c r="X2522" s="83"/>
      <c r="Y2522" s="83"/>
    </row>
    <row r="2523" spans="1:25" ht="13.8">
      <c r="A2523" s="78"/>
      <c r="B2523" s="79"/>
      <c r="C2523" s="78"/>
      <c r="D2523" s="78"/>
      <c r="E2523" s="80"/>
      <c r="F2523" s="86"/>
      <c r="G2523" s="86"/>
      <c r="H2523" s="86"/>
      <c r="I2523" s="86"/>
      <c r="J2523" s="85"/>
      <c r="K2523" s="85"/>
      <c r="L2523" s="85"/>
      <c r="M2523" s="85"/>
      <c r="N2523" s="85"/>
      <c r="O2523" s="85"/>
      <c r="P2523" s="85"/>
      <c r="Q2523" s="85"/>
      <c r="R2523" s="85"/>
      <c r="S2523" s="85"/>
      <c r="T2523" s="85"/>
      <c r="U2523" s="82"/>
      <c r="V2523" s="82"/>
      <c r="W2523" s="83"/>
      <c r="X2523" s="83"/>
      <c r="Y2523" s="83"/>
    </row>
    <row r="2524" spans="1:25" ht="13.8">
      <c r="A2524" s="78"/>
      <c r="B2524" s="79"/>
      <c r="C2524" s="78"/>
      <c r="D2524" s="78"/>
      <c r="E2524" s="80"/>
      <c r="F2524" s="86"/>
      <c r="G2524" s="86"/>
      <c r="H2524" s="86"/>
      <c r="I2524" s="86"/>
      <c r="J2524" s="85"/>
      <c r="K2524" s="85"/>
      <c r="L2524" s="85"/>
      <c r="M2524" s="85"/>
      <c r="N2524" s="85"/>
      <c r="O2524" s="85"/>
      <c r="P2524" s="85"/>
      <c r="Q2524" s="85"/>
      <c r="R2524" s="85"/>
      <c r="S2524" s="85"/>
      <c r="T2524" s="85"/>
      <c r="U2524" s="82"/>
      <c r="V2524" s="82"/>
      <c r="W2524" s="83"/>
      <c r="X2524" s="83"/>
      <c r="Y2524" s="83"/>
    </row>
    <row r="2525" spans="1:25" ht="13.8">
      <c r="A2525" s="78"/>
      <c r="B2525" s="79"/>
      <c r="C2525" s="78"/>
      <c r="D2525" s="78"/>
      <c r="E2525" s="80"/>
      <c r="F2525" s="86"/>
      <c r="G2525" s="86"/>
      <c r="H2525" s="86"/>
      <c r="I2525" s="86"/>
      <c r="J2525" s="85"/>
      <c r="K2525" s="85"/>
      <c r="L2525" s="85"/>
      <c r="M2525" s="85"/>
      <c r="N2525" s="85"/>
      <c r="O2525" s="85"/>
      <c r="P2525" s="85"/>
      <c r="Q2525" s="85"/>
      <c r="R2525" s="85"/>
      <c r="S2525" s="85"/>
      <c r="T2525" s="85"/>
      <c r="U2525" s="82"/>
      <c r="V2525" s="82"/>
      <c r="W2525" s="83"/>
      <c r="X2525" s="83"/>
      <c r="Y2525" s="83"/>
    </row>
    <row r="2526" spans="1:25" ht="13.8">
      <c r="A2526" s="78"/>
      <c r="B2526" s="79"/>
      <c r="C2526" s="78"/>
      <c r="D2526" s="78"/>
      <c r="E2526" s="80"/>
      <c r="F2526" s="86"/>
      <c r="G2526" s="86"/>
      <c r="H2526" s="86"/>
      <c r="I2526" s="86"/>
      <c r="J2526" s="85"/>
      <c r="K2526" s="85"/>
      <c r="L2526" s="85"/>
      <c r="M2526" s="85"/>
      <c r="N2526" s="85"/>
      <c r="O2526" s="85"/>
      <c r="P2526" s="85"/>
      <c r="Q2526" s="85"/>
      <c r="R2526" s="85"/>
      <c r="S2526" s="85"/>
      <c r="T2526" s="85"/>
      <c r="U2526" s="82"/>
      <c r="V2526" s="82"/>
      <c r="W2526" s="83"/>
      <c r="X2526" s="83"/>
      <c r="Y2526" s="83"/>
    </row>
    <row r="2527" spans="1:25" ht="13.8">
      <c r="A2527" s="78"/>
      <c r="B2527" s="79"/>
      <c r="C2527" s="78"/>
      <c r="D2527" s="78"/>
      <c r="E2527" s="80"/>
      <c r="F2527" s="86"/>
      <c r="G2527" s="86"/>
      <c r="H2527" s="86"/>
      <c r="I2527" s="86"/>
      <c r="J2527" s="85"/>
      <c r="K2527" s="85"/>
      <c r="L2527" s="85"/>
      <c r="M2527" s="85"/>
      <c r="N2527" s="85"/>
      <c r="O2527" s="85"/>
      <c r="P2527" s="85"/>
      <c r="Q2527" s="85"/>
      <c r="R2527" s="85"/>
      <c r="S2527" s="85"/>
      <c r="T2527" s="85"/>
      <c r="U2527" s="82"/>
      <c r="V2527" s="82"/>
      <c r="W2527" s="83"/>
      <c r="X2527" s="83"/>
      <c r="Y2527" s="83"/>
    </row>
    <row r="2528" spans="1:25" ht="13.8">
      <c r="A2528" s="78"/>
      <c r="B2528" s="79"/>
      <c r="C2528" s="78"/>
      <c r="D2528" s="78"/>
      <c r="E2528" s="80"/>
      <c r="F2528" s="86"/>
      <c r="G2528" s="86"/>
      <c r="H2528" s="86"/>
      <c r="I2528" s="86"/>
      <c r="J2528" s="85"/>
      <c r="K2528" s="85"/>
      <c r="L2528" s="85"/>
      <c r="M2528" s="85"/>
      <c r="N2528" s="85"/>
      <c r="O2528" s="85"/>
      <c r="P2528" s="85"/>
      <c r="Q2528" s="85"/>
      <c r="R2528" s="85"/>
      <c r="S2528" s="85"/>
      <c r="T2528" s="85"/>
      <c r="U2528" s="82"/>
      <c r="V2528" s="82"/>
      <c r="W2528" s="83"/>
      <c r="X2528" s="83"/>
      <c r="Y2528" s="83"/>
    </row>
    <row r="2529" spans="1:25" ht="13.8">
      <c r="A2529" s="78"/>
      <c r="B2529" s="79"/>
      <c r="C2529" s="78"/>
      <c r="D2529" s="78"/>
      <c r="E2529" s="80"/>
      <c r="F2529" s="86"/>
      <c r="G2529" s="86"/>
      <c r="H2529" s="86"/>
      <c r="I2529" s="86"/>
      <c r="J2529" s="85"/>
      <c r="K2529" s="85"/>
      <c r="L2529" s="85"/>
      <c r="M2529" s="85"/>
      <c r="N2529" s="85"/>
      <c r="O2529" s="85"/>
      <c r="P2529" s="85"/>
      <c r="Q2529" s="85"/>
      <c r="R2529" s="85"/>
      <c r="S2529" s="85"/>
      <c r="T2529" s="85"/>
      <c r="U2529" s="82"/>
      <c r="V2529" s="82"/>
      <c r="W2529" s="83"/>
      <c r="X2529" s="83"/>
      <c r="Y2529" s="83"/>
    </row>
    <row r="2530" spans="1:25" ht="13.8">
      <c r="A2530" s="78"/>
      <c r="B2530" s="79"/>
      <c r="C2530" s="78"/>
      <c r="D2530" s="78"/>
      <c r="E2530" s="80"/>
      <c r="F2530" s="86"/>
      <c r="G2530" s="86"/>
      <c r="H2530" s="86"/>
      <c r="I2530" s="86"/>
      <c r="J2530" s="85"/>
      <c r="K2530" s="85"/>
      <c r="L2530" s="85"/>
      <c r="M2530" s="85"/>
      <c r="N2530" s="85"/>
      <c r="O2530" s="85"/>
      <c r="P2530" s="85"/>
      <c r="Q2530" s="85"/>
      <c r="R2530" s="85"/>
      <c r="S2530" s="85"/>
      <c r="T2530" s="85"/>
      <c r="U2530" s="82"/>
      <c r="V2530" s="82"/>
      <c r="W2530" s="83"/>
      <c r="X2530" s="83"/>
      <c r="Y2530" s="83"/>
    </row>
    <row r="2531" spans="1:25" ht="13.8">
      <c r="A2531" s="78"/>
      <c r="B2531" s="79"/>
      <c r="C2531" s="78"/>
      <c r="D2531" s="78"/>
      <c r="E2531" s="80"/>
      <c r="F2531" s="86"/>
      <c r="G2531" s="86"/>
      <c r="H2531" s="86"/>
      <c r="I2531" s="86"/>
      <c r="J2531" s="85"/>
      <c r="K2531" s="85"/>
      <c r="L2531" s="85"/>
      <c r="M2531" s="85"/>
      <c r="N2531" s="85"/>
      <c r="O2531" s="85"/>
      <c r="P2531" s="85"/>
      <c r="Q2531" s="85"/>
      <c r="R2531" s="85"/>
      <c r="S2531" s="85"/>
      <c r="T2531" s="85"/>
      <c r="U2531" s="82"/>
      <c r="V2531" s="82"/>
      <c r="W2531" s="83"/>
      <c r="X2531" s="83"/>
      <c r="Y2531" s="83"/>
    </row>
    <row r="2532" spans="1:25" ht="13.8">
      <c r="A2532" s="78"/>
      <c r="B2532" s="79"/>
      <c r="C2532" s="78"/>
      <c r="D2532" s="78"/>
      <c r="E2532" s="80"/>
      <c r="F2532" s="86"/>
      <c r="G2532" s="86"/>
      <c r="H2532" s="86"/>
      <c r="I2532" s="86"/>
      <c r="J2532" s="85"/>
      <c r="K2532" s="85"/>
      <c r="L2532" s="85"/>
      <c r="M2532" s="85"/>
      <c r="N2532" s="85"/>
      <c r="O2532" s="85"/>
      <c r="P2532" s="85"/>
      <c r="Q2532" s="85"/>
      <c r="R2532" s="85"/>
      <c r="S2532" s="85"/>
      <c r="T2532" s="85"/>
      <c r="U2532" s="82"/>
      <c r="V2532" s="82"/>
      <c r="W2532" s="83"/>
      <c r="X2532" s="83"/>
      <c r="Y2532" s="83"/>
    </row>
    <row r="2533" spans="1:25" ht="13.8">
      <c r="A2533" s="78"/>
      <c r="B2533" s="79"/>
      <c r="C2533" s="78"/>
      <c r="D2533" s="78"/>
      <c r="E2533" s="80"/>
      <c r="F2533" s="86"/>
      <c r="G2533" s="86"/>
      <c r="H2533" s="86"/>
      <c r="I2533" s="86"/>
      <c r="J2533" s="85"/>
      <c r="K2533" s="85"/>
      <c r="L2533" s="85"/>
      <c r="M2533" s="85"/>
      <c r="N2533" s="85"/>
      <c r="O2533" s="85"/>
      <c r="P2533" s="85"/>
      <c r="Q2533" s="85"/>
      <c r="R2533" s="85"/>
      <c r="S2533" s="85"/>
      <c r="T2533" s="85"/>
      <c r="U2533" s="82"/>
      <c r="V2533" s="82"/>
      <c r="W2533" s="83"/>
      <c r="X2533" s="83"/>
      <c r="Y2533" s="83"/>
    </row>
    <row r="2534" spans="1:25" ht="13.8">
      <c r="A2534" s="78"/>
      <c r="B2534" s="79"/>
      <c r="C2534" s="78"/>
      <c r="D2534" s="78"/>
      <c r="E2534" s="80"/>
      <c r="F2534" s="86"/>
      <c r="G2534" s="86"/>
      <c r="H2534" s="86"/>
      <c r="I2534" s="86"/>
      <c r="J2534" s="85"/>
      <c r="K2534" s="85"/>
      <c r="L2534" s="85"/>
      <c r="M2534" s="85"/>
      <c r="N2534" s="85"/>
      <c r="O2534" s="85"/>
      <c r="P2534" s="85"/>
      <c r="Q2534" s="85"/>
      <c r="R2534" s="85"/>
      <c r="S2534" s="85"/>
      <c r="T2534" s="85"/>
      <c r="U2534" s="82"/>
      <c r="V2534" s="82"/>
      <c r="W2534" s="83"/>
      <c r="X2534" s="83"/>
      <c r="Y2534" s="83"/>
    </row>
    <row r="2535" spans="1:25" ht="13.8">
      <c r="A2535" s="78"/>
      <c r="B2535" s="79"/>
      <c r="C2535" s="78"/>
      <c r="D2535" s="78"/>
      <c r="E2535" s="80"/>
      <c r="F2535" s="86"/>
      <c r="G2535" s="86"/>
      <c r="H2535" s="86"/>
      <c r="I2535" s="86"/>
      <c r="J2535" s="85"/>
      <c r="K2535" s="85"/>
      <c r="L2535" s="85"/>
      <c r="M2535" s="85"/>
      <c r="N2535" s="85"/>
      <c r="O2535" s="85"/>
      <c r="P2535" s="85"/>
      <c r="Q2535" s="85"/>
      <c r="R2535" s="85"/>
      <c r="S2535" s="85"/>
      <c r="T2535" s="85"/>
      <c r="U2535" s="82"/>
      <c r="V2535" s="82"/>
      <c r="W2535" s="83"/>
      <c r="X2535" s="83"/>
      <c r="Y2535" s="83"/>
    </row>
    <row r="2536" spans="1:25" ht="13.8">
      <c r="A2536" s="78"/>
      <c r="B2536" s="79"/>
      <c r="C2536" s="78"/>
      <c r="D2536" s="78"/>
      <c r="E2536" s="80"/>
      <c r="F2536" s="86"/>
      <c r="G2536" s="86"/>
      <c r="H2536" s="86"/>
      <c r="I2536" s="86"/>
      <c r="J2536" s="85"/>
      <c r="K2536" s="85"/>
      <c r="L2536" s="85"/>
      <c r="M2536" s="85"/>
      <c r="N2536" s="85"/>
      <c r="O2536" s="85"/>
      <c r="P2536" s="85"/>
      <c r="Q2536" s="85"/>
      <c r="R2536" s="85"/>
      <c r="S2536" s="85"/>
      <c r="T2536" s="85"/>
      <c r="U2536" s="82"/>
      <c r="V2536" s="82"/>
      <c r="W2536" s="83"/>
      <c r="X2536" s="83"/>
      <c r="Y2536" s="83"/>
    </row>
    <row r="2537" spans="1:25" ht="13.8">
      <c r="A2537" s="78"/>
      <c r="B2537" s="79"/>
      <c r="C2537" s="78"/>
      <c r="D2537" s="78"/>
      <c r="E2537" s="80"/>
      <c r="F2537" s="86"/>
      <c r="G2537" s="86"/>
      <c r="H2537" s="86"/>
      <c r="I2537" s="86"/>
      <c r="J2537" s="85"/>
      <c r="K2537" s="85"/>
      <c r="L2537" s="85"/>
      <c r="M2537" s="85"/>
      <c r="N2537" s="85"/>
      <c r="O2537" s="85"/>
      <c r="P2537" s="85"/>
      <c r="Q2537" s="85"/>
      <c r="R2537" s="85"/>
      <c r="S2537" s="85"/>
      <c r="T2537" s="85"/>
      <c r="U2537" s="82"/>
      <c r="V2537" s="82"/>
      <c r="W2537" s="83"/>
      <c r="X2537" s="83"/>
      <c r="Y2537" s="83"/>
    </row>
    <row r="2538" spans="1:25" ht="13.8">
      <c r="A2538" s="78"/>
      <c r="B2538" s="79"/>
      <c r="C2538" s="78"/>
      <c r="D2538" s="78"/>
      <c r="E2538" s="80"/>
      <c r="F2538" s="86"/>
      <c r="G2538" s="86"/>
      <c r="H2538" s="86"/>
      <c r="I2538" s="86"/>
      <c r="J2538" s="85"/>
      <c r="K2538" s="85"/>
      <c r="L2538" s="85"/>
      <c r="M2538" s="85"/>
      <c r="N2538" s="85"/>
      <c r="O2538" s="85"/>
      <c r="P2538" s="85"/>
      <c r="Q2538" s="85"/>
      <c r="R2538" s="85"/>
      <c r="S2538" s="85"/>
      <c r="T2538" s="85"/>
      <c r="U2538" s="82"/>
      <c r="V2538" s="82"/>
      <c r="W2538" s="83"/>
      <c r="X2538" s="83"/>
      <c r="Y2538" s="83"/>
    </row>
    <row r="2539" spans="1:25" ht="13.8">
      <c r="A2539" s="78"/>
      <c r="B2539" s="79"/>
      <c r="C2539" s="78"/>
      <c r="D2539" s="78"/>
      <c r="E2539" s="80"/>
      <c r="F2539" s="86"/>
      <c r="G2539" s="86"/>
      <c r="H2539" s="86"/>
      <c r="I2539" s="86"/>
      <c r="J2539" s="85"/>
      <c r="K2539" s="85"/>
      <c r="L2539" s="85"/>
      <c r="M2539" s="85"/>
      <c r="N2539" s="85"/>
      <c r="O2539" s="85"/>
      <c r="P2539" s="85"/>
      <c r="Q2539" s="85"/>
      <c r="R2539" s="85"/>
      <c r="S2539" s="85"/>
      <c r="T2539" s="85"/>
      <c r="U2539" s="82"/>
      <c r="V2539" s="82"/>
      <c r="W2539" s="83"/>
      <c r="X2539" s="83"/>
      <c r="Y2539" s="83"/>
    </row>
    <row r="2540" spans="1:25" ht="13.8">
      <c r="A2540" s="78"/>
      <c r="B2540" s="79"/>
      <c r="C2540" s="78"/>
      <c r="D2540" s="78"/>
      <c r="E2540" s="80"/>
      <c r="F2540" s="86"/>
      <c r="G2540" s="86"/>
      <c r="H2540" s="86"/>
      <c r="I2540" s="86"/>
      <c r="J2540" s="85"/>
      <c r="K2540" s="85"/>
      <c r="L2540" s="85"/>
      <c r="M2540" s="85"/>
      <c r="N2540" s="85"/>
      <c r="O2540" s="85"/>
      <c r="P2540" s="85"/>
      <c r="Q2540" s="85"/>
      <c r="R2540" s="85"/>
      <c r="S2540" s="85"/>
      <c r="T2540" s="85"/>
      <c r="U2540" s="82"/>
      <c r="V2540" s="82"/>
      <c r="W2540" s="83"/>
      <c r="X2540" s="83"/>
      <c r="Y2540" s="83"/>
    </row>
    <row r="2541" spans="1:25" ht="13.8">
      <c r="A2541" s="78"/>
      <c r="B2541" s="79"/>
      <c r="C2541" s="78"/>
      <c r="D2541" s="78"/>
      <c r="E2541" s="80"/>
      <c r="F2541" s="86"/>
      <c r="G2541" s="86"/>
      <c r="H2541" s="86"/>
      <c r="I2541" s="86"/>
      <c r="J2541" s="85"/>
      <c r="K2541" s="85"/>
      <c r="L2541" s="85"/>
      <c r="M2541" s="85"/>
      <c r="N2541" s="85"/>
      <c r="O2541" s="85"/>
      <c r="P2541" s="85"/>
      <c r="Q2541" s="85"/>
      <c r="R2541" s="85"/>
      <c r="S2541" s="85"/>
      <c r="T2541" s="85"/>
      <c r="U2541" s="82"/>
      <c r="V2541" s="82"/>
      <c r="W2541" s="83"/>
      <c r="X2541" s="83"/>
      <c r="Y2541" s="83"/>
    </row>
    <row r="2542" spans="1:25" ht="13.8">
      <c r="A2542" s="78"/>
      <c r="B2542" s="79"/>
      <c r="C2542" s="78"/>
      <c r="D2542" s="78"/>
      <c r="E2542" s="80"/>
      <c r="F2542" s="86"/>
      <c r="G2542" s="86"/>
      <c r="H2542" s="86"/>
      <c r="I2542" s="86"/>
      <c r="J2542" s="85"/>
      <c r="K2542" s="85"/>
      <c r="L2542" s="85"/>
      <c r="M2542" s="85"/>
      <c r="N2542" s="85"/>
      <c r="O2542" s="85"/>
      <c r="P2542" s="85"/>
      <c r="Q2542" s="85"/>
      <c r="R2542" s="85"/>
      <c r="S2542" s="85"/>
      <c r="T2542" s="85"/>
      <c r="U2542" s="82"/>
      <c r="V2542" s="82"/>
      <c r="W2542" s="83"/>
      <c r="X2542" s="83"/>
      <c r="Y2542" s="83"/>
    </row>
    <row r="2543" spans="1:25" ht="13.8">
      <c r="A2543" s="78"/>
      <c r="B2543" s="79"/>
      <c r="C2543" s="78"/>
      <c r="D2543" s="78"/>
      <c r="E2543" s="80"/>
      <c r="F2543" s="86"/>
      <c r="G2543" s="86"/>
      <c r="H2543" s="86"/>
      <c r="I2543" s="86"/>
      <c r="J2543" s="85"/>
      <c r="K2543" s="85"/>
      <c r="L2543" s="85"/>
      <c r="M2543" s="85"/>
      <c r="N2543" s="85"/>
      <c r="O2543" s="85"/>
      <c r="P2543" s="85"/>
      <c r="Q2543" s="85"/>
      <c r="R2543" s="85"/>
      <c r="S2543" s="85"/>
      <c r="T2543" s="85"/>
      <c r="U2543" s="82"/>
      <c r="V2543" s="82"/>
      <c r="W2543" s="83"/>
      <c r="X2543" s="83"/>
      <c r="Y2543" s="83"/>
    </row>
    <row r="2544" spans="1:25" ht="13.8">
      <c r="A2544" s="78"/>
      <c r="B2544" s="79"/>
      <c r="C2544" s="78"/>
      <c r="D2544" s="78"/>
      <c r="E2544" s="80"/>
      <c r="F2544" s="86"/>
      <c r="G2544" s="86"/>
      <c r="H2544" s="86"/>
      <c r="I2544" s="86"/>
      <c r="J2544" s="85"/>
      <c r="K2544" s="85"/>
      <c r="L2544" s="85"/>
      <c r="M2544" s="85"/>
      <c r="N2544" s="85"/>
      <c r="O2544" s="85"/>
      <c r="P2544" s="85"/>
      <c r="Q2544" s="85"/>
      <c r="R2544" s="85"/>
      <c r="S2544" s="85"/>
      <c r="T2544" s="85"/>
      <c r="U2544" s="82"/>
      <c r="V2544" s="82"/>
      <c r="W2544" s="83"/>
      <c r="X2544" s="83"/>
      <c r="Y2544" s="83"/>
    </row>
    <row r="2545" spans="1:25" ht="13.8">
      <c r="A2545" s="78"/>
      <c r="B2545" s="79"/>
      <c r="C2545" s="78"/>
      <c r="D2545" s="78"/>
      <c r="E2545" s="80"/>
      <c r="F2545" s="86"/>
      <c r="G2545" s="86"/>
      <c r="H2545" s="86"/>
      <c r="I2545" s="86"/>
      <c r="J2545" s="85"/>
      <c r="K2545" s="85"/>
      <c r="L2545" s="85"/>
      <c r="M2545" s="85"/>
      <c r="N2545" s="85"/>
      <c r="O2545" s="85"/>
      <c r="P2545" s="85"/>
      <c r="Q2545" s="85"/>
      <c r="R2545" s="85"/>
      <c r="S2545" s="85"/>
      <c r="T2545" s="85"/>
      <c r="U2545" s="82"/>
      <c r="V2545" s="82"/>
      <c r="W2545" s="83"/>
      <c r="X2545" s="83"/>
      <c r="Y2545" s="83"/>
    </row>
    <row r="2546" spans="1:25" ht="13.8">
      <c r="A2546" s="78"/>
      <c r="B2546" s="79"/>
      <c r="C2546" s="78"/>
      <c r="D2546" s="78"/>
      <c r="E2546" s="80"/>
      <c r="F2546" s="86"/>
      <c r="G2546" s="86"/>
      <c r="H2546" s="86"/>
      <c r="I2546" s="86"/>
      <c r="J2546" s="85"/>
      <c r="K2546" s="85"/>
      <c r="L2546" s="85"/>
      <c r="M2546" s="85"/>
      <c r="N2546" s="85"/>
      <c r="O2546" s="85"/>
      <c r="P2546" s="85"/>
      <c r="Q2546" s="85"/>
      <c r="R2546" s="85"/>
      <c r="S2546" s="85"/>
      <c r="T2546" s="85"/>
      <c r="U2546" s="82"/>
      <c r="V2546" s="82"/>
      <c r="W2546" s="83"/>
      <c r="X2546" s="83"/>
      <c r="Y2546" s="83"/>
    </row>
    <row r="2547" spans="1:25" ht="13.8">
      <c r="A2547" s="78"/>
      <c r="B2547" s="79"/>
      <c r="C2547" s="78"/>
      <c r="D2547" s="78"/>
      <c r="E2547" s="80"/>
      <c r="F2547" s="86"/>
      <c r="G2547" s="86"/>
      <c r="H2547" s="86"/>
      <c r="I2547" s="86"/>
      <c r="J2547" s="85"/>
      <c r="K2547" s="85"/>
      <c r="L2547" s="85"/>
      <c r="M2547" s="85"/>
      <c r="N2547" s="85"/>
      <c r="O2547" s="85"/>
      <c r="P2547" s="85"/>
      <c r="Q2547" s="85"/>
      <c r="R2547" s="85"/>
      <c r="S2547" s="85"/>
      <c r="T2547" s="85"/>
      <c r="U2547" s="82"/>
      <c r="V2547" s="82"/>
      <c r="W2547" s="83"/>
      <c r="X2547" s="83"/>
      <c r="Y2547" s="83"/>
    </row>
    <row r="2548" spans="1:25" ht="13.8">
      <c r="A2548" s="78"/>
      <c r="B2548" s="79"/>
      <c r="C2548" s="78"/>
      <c r="D2548" s="78"/>
      <c r="E2548" s="80"/>
      <c r="F2548" s="86"/>
      <c r="G2548" s="86"/>
      <c r="H2548" s="86"/>
      <c r="I2548" s="86"/>
      <c r="J2548" s="85"/>
      <c r="K2548" s="85"/>
      <c r="L2548" s="85"/>
      <c r="M2548" s="85"/>
      <c r="N2548" s="85"/>
      <c r="O2548" s="85"/>
      <c r="P2548" s="85"/>
      <c r="Q2548" s="85"/>
      <c r="R2548" s="85"/>
      <c r="S2548" s="85"/>
      <c r="T2548" s="85"/>
      <c r="U2548" s="82"/>
      <c r="V2548" s="82"/>
      <c r="W2548" s="83"/>
      <c r="X2548" s="83"/>
      <c r="Y2548" s="83"/>
    </row>
    <row r="2549" spans="1:25" ht="13.8">
      <c r="A2549" s="78"/>
      <c r="B2549" s="79"/>
      <c r="C2549" s="78"/>
      <c r="D2549" s="78"/>
      <c r="E2549" s="80"/>
      <c r="F2549" s="86"/>
      <c r="G2549" s="86"/>
      <c r="H2549" s="86"/>
      <c r="I2549" s="86"/>
      <c r="J2549" s="85"/>
      <c r="K2549" s="85"/>
      <c r="L2549" s="85"/>
      <c r="M2549" s="85"/>
      <c r="N2549" s="85"/>
      <c r="O2549" s="85"/>
      <c r="P2549" s="85"/>
      <c r="Q2549" s="85"/>
      <c r="R2549" s="85"/>
      <c r="S2549" s="85"/>
      <c r="T2549" s="85"/>
      <c r="U2549" s="82"/>
      <c r="V2549" s="82"/>
      <c r="W2549" s="83"/>
      <c r="X2549" s="83"/>
      <c r="Y2549" s="83"/>
    </row>
    <row r="2550" spans="1:25" ht="13.8">
      <c r="A2550" s="78"/>
      <c r="B2550" s="79"/>
      <c r="C2550" s="78"/>
      <c r="D2550" s="78"/>
      <c r="E2550" s="80"/>
      <c r="F2550" s="86"/>
      <c r="G2550" s="86"/>
      <c r="H2550" s="86"/>
      <c r="I2550" s="86"/>
      <c r="J2550" s="85"/>
      <c r="K2550" s="85"/>
      <c r="L2550" s="85"/>
      <c r="M2550" s="85"/>
      <c r="N2550" s="85"/>
      <c r="O2550" s="85"/>
      <c r="P2550" s="85"/>
      <c r="Q2550" s="85"/>
      <c r="R2550" s="85"/>
      <c r="S2550" s="85"/>
      <c r="T2550" s="85"/>
      <c r="U2550" s="82"/>
      <c r="V2550" s="82"/>
      <c r="W2550" s="83"/>
      <c r="X2550" s="83"/>
      <c r="Y2550" s="83"/>
    </row>
    <row r="2551" spans="1:25" ht="13.8">
      <c r="A2551" s="78"/>
      <c r="B2551" s="79"/>
      <c r="C2551" s="78"/>
      <c r="D2551" s="78"/>
      <c r="E2551" s="80"/>
      <c r="F2551" s="86"/>
      <c r="G2551" s="86"/>
      <c r="H2551" s="86"/>
      <c r="I2551" s="86"/>
      <c r="J2551" s="85"/>
      <c r="K2551" s="85"/>
      <c r="L2551" s="85"/>
      <c r="M2551" s="85"/>
      <c r="N2551" s="85"/>
      <c r="O2551" s="85"/>
      <c r="P2551" s="85"/>
      <c r="Q2551" s="85"/>
      <c r="R2551" s="85"/>
      <c r="S2551" s="85"/>
      <c r="T2551" s="85"/>
      <c r="U2551" s="82"/>
      <c r="V2551" s="82"/>
      <c r="W2551" s="83"/>
      <c r="X2551" s="83"/>
      <c r="Y2551" s="83"/>
    </row>
    <row r="2552" spans="1:25" ht="13.8">
      <c r="A2552" s="78"/>
      <c r="B2552" s="79"/>
      <c r="C2552" s="78"/>
      <c r="D2552" s="78"/>
      <c r="E2552" s="80"/>
      <c r="F2552" s="86"/>
      <c r="G2552" s="86"/>
      <c r="H2552" s="86"/>
      <c r="I2552" s="86"/>
      <c r="J2552" s="85"/>
      <c r="K2552" s="85"/>
      <c r="L2552" s="85"/>
      <c r="M2552" s="85"/>
      <c r="N2552" s="85"/>
      <c r="O2552" s="85"/>
      <c r="P2552" s="85"/>
      <c r="Q2552" s="85"/>
      <c r="R2552" s="85"/>
      <c r="S2552" s="85"/>
      <c r="T2552" s="85"/>
      <c r="U2552" s="82"/>
      <c r="V2552" s="82"/>
      <c r="W2552" s="83"/>
      <c r="X2552" s="83"/>
      <c r="Y2552" s="83"/>
    </row>
    <row r="2553" spans="1:25" ht="13.8">
      <c r="A2553" s="78"/>
      <c r="B2553" s="79"/>
      <c r="C2553" s="78"/>
      <c r="D2553" s="78"/>
      <c r="E2553" s="80"/>
      <c r="F2553" s="86"/>
      <c r="G2553" s="86"/>
      <c r="H2553" s="86"/>
      <c r="I2553" s="86"/>
      <c r="J2553" s="85"/>
      <c r="K2553" s="85"/>
      <c r="L2553" s="85"/>
      <c r="M2553" s="85"/>
      <c r="N2553" s="85"/>
      <c r="O2553" s="85"/>
      <c r="P2553" s="85"/>
      <c r="Q2553" s="85"/>
      <c r="R2553" s="85"/>
      <c r="S2553" s="85"/>
      <c r="T2553" s="85"/>
      <c r="U2553" s="82"/>
      <c r="V2553" s="82"/>
      <c r="W2553" s="83"/>
      <c r="X2553" s="83"/>
      <c r="Y2553" s="83"/>
    </row>
    <row r="2554" spans="1:25" ht="13.8">
      <c r="A2554" s="78"/>
      <c r="B2554" s="79"/>
      <c r="C2554" s="78"/>
      <c r="D2554" s="78"/>
      <c r="E2554" s="80"/>
      <c r="F2554" s="86"/>
      <c r="G2554" s="86"/>
      <c r="H2554" s="86"/>
      <c r="I2554" s="86"/>
      <c r="J2554" s="85"/>
      <c r="K2554" s="85"/>
      <c r="L2554" s="85"/>
      <c r="M2554" s="85"/>
      <c r="N2554" s="85"/>
      <c r="O2554" s="85"/>
      <c r="P2554" s="85"/>
      <c r="Q2554" s="85"/>
      <c r="R2554" s="85"/>
      <c r="S2554" s="85"/>
      <c r="T2554" s="85"/>
      <c r="U2554" s="82"/>
      <c r="V2554" s="82"/>
      <c r="W2554" s="83"/>
      <c r="X2554" s="83"/>
      <c r="Y2554" s="83"/>
    </row>
    <row r="2555" spans="1:25" ht="13.8">
      <c r="A2555" s="78"/>
      <c r="B2555" s="79"/>
      <c r="C2555" s="78"/>
      <c r="D2555" s="78"/>
      <c r="E2555" s="80"/>
      <c r="F2555" s="86"/>
      <c r="G2555" s="86"/>
      <c r="H2555" s="86"/>
      <c r="I2555" s="86"/>
      <c r="J2555" s="85"/>
      <c r="K2555" s="85"/>
      <c r="L2555" s="85"/>
      <c r="M2555" s="85"/>
      <c r="N2555" s="85"/>
      <c r="O2555" s="85"/>
      <c r="P2555" s="85"/>
      <c r="Q2555" s="85"/>
      <c r="R2555" s="85"/>
      <c r="S2555" s="85"/>
      <c r="T2555" s="85"/>
      <c r="U2555" s="82"/>
      <c r="V2555" s="82"/>
      <c r="W2555" s="83"/>
      <c r="X2555" s="83"/>
      <c r="Y2555" s="83"/>
    </row>
    <row r="2556" spans="1:25" ht="13.8">
      <c r="A2556" s="78"/>
      <c r="B2556" s="79"/>
      <c r="C2556" s="78"/>
      <c r="D2556" s="78"/>
      <c r="E2556" s="80"/>
      <c r="F2556" s="86"/>
      <c r="G2556" s="86"/>
      <c r="H2556" s="86"/>
      <c r="I2556" s="86"/>
      <c r="J2556" s="85"/>
      <c r="K2556" s="85"/>
      <c r="L2556" s="85"/>
      <c r="M2556" s="85"/>
      <c r="N2556" s="85"/>
      <c r="O2556" s="85"/>
      <c r="P2556" s="85"/>
      <c r="Q2556" s="85"/>
      <c r="R2556" s="85"/>
      <c r="S2556" s="85"/>
      <c r="T2556" s="85"/>
      <c r="U2556" s="82"/>
      <c r="V2556" s="82"/>
      <c r="W2556" s="83"/>
      <c r="X2556" s="83"/>
      <c r="Y2556" s="83"/>
    </row>
    <row r="2557" spans="1:25" ht="13.8">
      <c r="A2557" s="78"/>
      <c r="B2557" s="79"/>
      <c r="C2557" s="78"/>
      <c r="D2557" s="78"/>
      <c r="E2557" s="80"/>
      <c r="F2557" s="86"/>
      <c r="G2557" s="86"/>
      <c r="H2557" s="86"/>
      <c r="I2557" s="86"/>
      <c r="J2557" s="85"/>
      <c r="K2557" s="85"/>
      <c r="L2557" s="85"/>
      <c r="M2557" s="85"/>
      <c r="N2557" s="85"/>
      <c r="O2557" s="85"/>
      <c r="P2557" s="85"/>
      <c r="Q2557" s="85"/>
      <c r="R2557" s="85"/>
      <c r="S2557" s="85"/>
      <c r="T2557" s="85"/>
      <c r="U2557" s="82"/>
      <c r="V2557" s="82"/>
      <c r="W2557" s="83"/>
      <c r="X2557" s="83"/>
      <c r="Y2557" s="83"/>
    </row>
    <row r="2558" spans="1:25" ht="13.8">
      <c r="A2558" s="78"/>
      <c r="B2558" s="79"/>
      <c r="C2558" s="78"/>
      <c r="D2558" s="78"/>
      <c r="E2558" s="80"/>
      <c r="F2558" s="86"/>
      <c r="G2558" s="86"/>
      <c r="H2558" s="86"/>
      <c r="I2558" s="86"/>
      <c r="J2558" s="85"/>
      <c r="K2558" s="85"/>
      <c r="L2558" s="85"/>
      <c r="M2558" s="85"/>
      <c r="N2558" s="85"/>
      <c r="O2558" s="85"/>
      <c r="P2558" s="85"/>
      <c r="Q2558" s="85"/>
      <c r="R2558" s="85"/>
      <c r="S2558" s="85"/>
      <c r="T2558" s="85"/>
      <c r="U2558" s="82"/>
      <c r="V2558" s="82"/>
      <c r="W2558" s="83"/>
      <c r="X2558" s="83"/>
      <c r="Y2558" s="83"/>
    </row>
    <row r="2559" spans="1:25" ht="13.8">
      <c r="A2559" s="78"/>
      <c r="B2559" s="79"/>
      <c r="C2559" s="78"/>
      <c r="D2559" s="78"/>
      <c r="E2559" s="80"/>
      <c r="F2559" s="86"/>
      <c r="G2559" s="86"/>
      <c r="H2559" s="86"/>
      <c r="I2559" s="86"/>
      <c r="J2559" s="85"/>
      <c r="K2559" s="85"/>
      <c r="L2559" s="85"/>
      <c r="M2559" s="85"/>
      <c r="N2559" s="85"/>
      <c r="O2559" s="85"/>
      <c r="P2559" s="85"/>
      <c r="Q2559" s="85"/>
      <c r="R2559" s="85"/>
      <c r="S2559" s="85"/>
      <c r="T2559" s="85"/>
      <c r="U2559" s="82"/>
      <c r="V2559" s="82"/>
      <c r="W2559" s="83"/>
      <c r="X2559" s="83"/>
      <c r="Y2559" s="83"/>
    </row>
    <row r="2560" spans="1:25" ht="13.8">
      <c r="A2560" s="78"/>
      <c r="B2560" s="79"/>
      <c r="C2560" s="78"/>
      <c r="D2560" s="78"/>
      <c r="E2560" s="80"/>
      <c r="F2560" s="86"/>
      <c r="G2560" s="86"/>
      <c r="H2560" s="86"/>
      <c r="I2560" s="86"/>
      <c r="J2560" s="85"/>
      <c r="K2560" s="85"/>
      <c r="L2560" s="85"/>
      <c r="M2560" s="85"/>
      <c r="N2560" s="85"/>
      <c r="O2560" s="85"/>
      <c r="P2560" s="85"/>
      <c r="Q2560" s="85"/>
      <c r="R2560" s="85"/>
      <c r="S2560" s="85"/>
      <c r="T2560" s="85"/>
      <c r="U2560" s="82"/>
      <c r="V2560" s="82"/>
      <c r="W2560" s="83"/>
      <c r="X2560" s="83"/>
      <c r="Y2560" s="83"/>
    </row>
    <row r="2561" spans="1:25" ht="13.8">
      <c r="A2561" s="78"/>
      <c r="B2561" s="79"/>
      <c r="C2561" s="78"/>
      <c r="D2561" s="78"/>
      <c r="E2561" s="80"/>
      <c r="F2561" s="86"/>
      <c r="G2561" s="86"/>
      <c r="H2561" s="86"/>
      <c r="I2561" s="86"/>
      <c r="J2561" s="85"/>
      <c r="K2561" s="85"/>
      <c r="L2561" s="85"/>
      <c r="M2561" s="85"/>
      <c r="N2561" s="85"/>
      <c r="O2561" s="85"/>
      <c r="P2561" s="85"/>
      <c r="Q2561" s="85"/>
      <c r="R2561" s="85"/>
      <c r="S2561" s="85"/>
      <c r="T2561" s="85"/>
      <c r="U2561" s="82"/>
      <c r="V2561" s="82"/>
      <c r="W2561" s="83"/>
      <c r="X2561" s="83"/>
      <c r="Y2561" s="83"/>
    </row>
    <row r="2562" spans="1:25" ht="13.8">
      <c r="A2562" s="78"/>
      <c r="B2562" s="79"/>
      <c r="C2562" s="78"/>
      <c r="D2562" s="78"/>
      <c r="E2562" s="80"/>
      <c r="F2562" s="86"/>
      <c r="G2562" s="86"/>
      <c r="H2562" s="86"/>
      <c r="I2562" s="86"/>
      <c r="J2562" s="85"/>
      <c r="K2562" s="85"/>
      <c r="L2562" s="85"/>
      <c r="M2562" s="85"/>
      <c r="N2562" s="85"/>
      <c r="O2562" s="85"/>
      <c r="P2562" s="85"/>
      <c r="Q2562" s="85"/>
      <c r="R2562" s="85"/>
      <c r="S2562" s="85"/>
      <c r="T2562" s="85"/>
      <c r="U2562" s="82"/>
      <c r="V2562" s="82"/>
      <c r="W2562" s="83"/>
      <c r="X2562" s="83"/>
      <c r="Y2562" s="83"/>
    </row>
    <row r="2563" spans="1:25" ht="13.8">
      <c r="A2563" s="78"/>
      <c r="B2563" s="79"/>
      <c r="C2563" s="78"/>
      <c r="D2563" s="78"/>
      <c r="E2563" s="80"/>
      <c r="F2563" s="86"/>
      <c r="G2563" s="86"/>
      <c r="H2563" s="86"/>
      <c r="I2563" s="86"/>
      <c r="J2563" s="85"/>
      <c r="K2563" s="85"/>
      <c r="L2563" s="85"/>
      <c r="M2563" s="85"/>
      <c r="N2563" s="85"/>
      <c r="O2563" s="85"/>
      <c r="P2563" s="85"/>
      <c r="Q2563" s="85"/>
      <c r="R2563" s="85"/>
      <c r="S2563" s="85"/>
      <c r="T2563" s="85"/>
      <c r="U2563" s="82"/>
      <c r="V2563" s="82"/>
      <c r="W2563" s="83"/>
      <c r="X2563" s="83"/>
      <c r="Y2563" s="83"/>
    </row>
    <row r="2564" spans="1:25" ht="13.8">
      <c r="A2564" s="78"/>
      <c r="B2564" s="79"/>
      <c r="C2564" s="78"/>
      <c r="D2564" s="78"/>
      <c r="E2564" s="80"/>
      <c r="F2564" s="86"/>
      <c r="G2564" s="86"/>
      <c r="H2564" s="86"/>
      <c r="I2564" s="86"/>
      <c r="J2564" s="85"/>
      <c r="K2564" s="85"/>
      <c r="L2564" s="85"/>
      <c r="M2564" s="85"/>
      <c r="N2564" s="85"/>
      <c r="O2564" s="85"/>
      <c r="P2564" s="85"/>
      <c r="Q2564" s="85"/>
      <c r="R2564" s="85"/>
      <c r="S2564" s="85"/>
      <c r="T2564" s="85"/>
      <c r="U2564" s="82"/>
      <c r="V2564" s="82"/>
      <c r="W2564" s="83"/>
      <c r="X2564" s="83"/>
      <c r="Y2564" s="83"/>
    </row>
    <row r="2565" spans="1:25" ht="13.8">
      <c r="A2565" s="78"/>
      <c r="B2565" s="79"/>
      <c r="C2565" s="78"/>
      <c r="D2565" s="78"/>
      <c r="E2565" s="80"/>
      <c r="F2565" s="86"/>
      <c r="G2565" s="86"/>
      <c r="H2565" s="86"/>
      <c r="I2565" s="86"/>
      <c r="J2565" s="85"/>
      <c r="K2565" s="85"/>
      <c r="L2565" s="85"/>
      <c r="M2565" s="85"/>
      <c r="N2565" s="85"/>
      <c r="O2565" s="85"/>
      <c r="P2565" s="85"/>
      <c r="Q2565" s="85"/>
      <c r="R2565" s="85"/>
      <c r="S2565" s="85"/>
      <c r="T2565" s="85"/>
      <c r="U2565" s="82"/>
      <c r="V2565" s="82"/>
      <c r="W2565" s="83"/>
      <c r="X2565" s="83"/>
      <c r="Y2565" s="83"/>
    </row>
    <row r="2566" spans="1:25" ht="13.8">
      <c r="A2566" s="78"/>
      <c r="B2566" s="79"/>
      <c r="C2566" s="78"/>
      <c r="D2566" s="78"/>
      <c r="E2566" s="80"/>
      <c r="F2566" s="86"/>
      <c r="G2566" s="86"/>
      <c r="H2566" s="86"/>
      <c r="I2566" s="86"/>
      <c r="J2566" s="85"/>
      <c r="K2566" s="85"/>
      <c r="L2566" s="85"/>
      <c r="M2566" s="85"/>
      <c r="N2566" s="85"/>
      <c r="O2566" s="85"/>
      <c r="P2566" s="85"/>
      <c r="Q2566" s="85"/>
      <c r="R2566" s="85"/>
      <c r="S2566" s="85"/>
      <c r="T2566" s="85"/>
      <c r="U2566" s="82"/>
      <c r="V2566" s="82"/>
      <c r="W2566" s="83"/>
      <c r="X2566" s="83"/>
      <c r="Y2566" s="83"/>
    </row>
    <row r="2567" spans="1:25" ht="13.8">
      <c r="A2567" s="78"/>
      <c r="B2567" s="79"/>
      <c r="C2567" s="78"/>
      <c r="D2567" s="78"/>
      <c r="E2567" s="80"/>
      <c r="F2567" s="86"/>
      <c r="G2567" s="86"/>
      <c r="H2567" s="86"/>
      <c r="I2567" s="86"/>
      <c r="J2567" s="85"/>
      <c r="K2567" s="85"/>
      <c r="L2567" s="85"/>
      <c r="M2567" s="85"/>
      <c r="N2567" s="85"/>
      <c r="O2567" s="85"/>
      <c r="P2567" s="85"/>
      <c r="Q2567" s="85"/>
      <c r="R2567" s="85"/>
      <c r="S2567" s="85"/>
      <c r="T2567" s="85"/>
      <c r="U2567" s="82"/>
      <c r="V2567" s="82"/>
      <c r="W2567" s="83"/>
      <c r="X2567" s="83"/>
      <c r="Y2567" s="83"/>
    </row>
    <row r="2568" spans="1:25" ht="13.8">
      <c r="A2568" s="78"/>
      <c r="B2568" s="79"/>
      <c r="C2568" s="78"/>
      <c r="D2568" s="78"/>
      <c r="E2568" s="80"/>
      <c r="F2568" s="86"/>
      <c r="G2568" s="86"/>
      <c r="H2568" s="86"/>
      <c r="I2568" s="86"/>
      <c r="J2568" s="85"/>
      <c r="K2568" s="85"/>
      <c r="L2568" s="85"/>
      <c r="M2568" s="85"/>
      <c r="N2568" s="85"/>
      <c r="O2568" s="85"/>
      <c r="P2568" s="85"/>
      <c r="Q2568" s="85"/>
      <c r="R2568" s="85"/>
      <c r="S2568" s="85"/>
      <c r="T2568" s="85"/>
      <c r="U2568" s="82"/>
      <c r="V2568" s="82"/>
      <c r="W2568" s="83"/>
      <c r="X2568" s="83"/>
      <c r="Y2568" s="83"/>
    </row>
    <row r="2569" spans="1:25" ht="13.8">
      <c r="A2569" s="78"/>
      <c r="B2569" s="79"/>
      <c r="C2569" s="78"/>
      <c r="D2569" s="78"/>
      <c r="E2569" s="80"/>
      <c r="F2569" s="86"/>
      <c r="G2569" s="86"/>
      <c r="H2569" s="86"/>
      <c r="I2569" s="86"/>
      <c r="J2569" s="85"/>
      <c r="K2569" s="85"/>
      <c r="L2569" s="85"/>
      <c r="M2569" s="85"/>
      <c r="N2569" s="85"/>
      <c r="O2569" s="85"/>
      <c r="P2569" s="85"/>
      <c r="Q2569" s="85"/>
      <c r="R2569" s="85"/>
      <c r="S2569" s="85"/>
      <c r="T2569" s="85"/>
      <c r="U2569" s="82"/>
      <c r="V2569" s="82"/>
      <c r="W2569" s="83"/>
      <c r="X2569" s="83"/>
      <c r="Y2569" s="83"/>
    </row>
    <row r="2570" spans="1:25" ht="13.8">
      <c r="A2570" s="78"/>
      <c r="B2570" s="79"/>
      <c r="C2570" s="78"/>
      <c r="D2570" s="78"/>
      <c r="E2570" s="80"/>
      <c r="F2570" s="86"/>
      <c r="G2570" s="86"/>
      <c r="H2570" s="86"/>
      <c r="I2570" s="86"/>
      <c r="J2570" s="85"/>
      <c r="K2570" s="85"/>
      <c r="L2570" s="85"/>
      <c r="M2570" s="85"/>
      <c r="N2570" s="85"/>
      <c r="O2570" s="85"/>
      <c r="P2570" s="85"/>
      <c r="Q2570" s="85"/>
      <c r="R2570" s="85"/>
      <c r="S2570" s="85"/>
      <c r="T2570" s="85"/>
      <c r="U2570" s="82"/>
      <c r="V2570" s="82"/>
      <c r="W2570" s="83"/>
      <c r="X2570" s="83"/>
      <c r="Y2570" s="83"/>
    </row>
    <row r="2571" spans="1:25" ht="13.8">
      <c r="A2571" s="78"/>
      <c r="B2571" s="79"/>
      <c r="C2571" s="78"/>
      <c r="D2571" s="78"/>
      <c r="E2571" s="80"/>
      <c r="F2571" s="86"/>
      <c r="G2571" s="86"/>
      <c r="H2571" s="86"/>
      <c r="I2571" s="86"/>
      <c r="J2571" s="85"/>
      <c r="K2571" s="85"/>
      <c r="L2571" s="85"/>
      <c r="M2571" s="85"/>
      <c r="N2571" s="85"/>
      <c r="O2571" s="85"/>
      <c r="P2571" s="85"/>
      <c r="Q2571" s="85"/>
      <c r="R2571" s="85"/>
      <c r="S2571" s="85"/>
      <c r="T2571" s="85"/>
      <c r="U2571" s="82"/>
      <c r="V2571" s="82"/>
      <c r="W2571" s="83"/>
      <c r="X2571" s="83"/>
      <c r="Y2571" s="83"/>
    </row>
    <row r="2572" spans="1:25" ht="13.8">
      <c r="A2572" s="78"/>
      <c r="B2572" s="79"/>
      <c r="C2572" s="78"/>
      <c r="D2572" s="78"/>
      <c r="E2572" s="80"/>
      <c r="F2572" s="86"/>
      <c r="G2572" s="86"/>
      <c r="H2572" s="86"/>
      <c r="I2572" s="86"/>
      <c r="J2572" s="85"/>
      <c r="K2572" s="85"/>
      <c r="L2572" s="85"/>
      <c r="M2572" s="85"/>
      <c r="N2572" s="85"/>
      <c r="O2572" s="85"/>
      <c r="P2572" s="85"/>
      <c r="Q2572" s="85"/>
      <c r="R2572" s="85"/>
      <c r="S2572" s="85"/>
      <c r="T2572" s="85"/>
      <c r="U2572" s="82"/>
      <c r="V2572" s="82"/>
      <c r="W2572" s="83"/>
      <c r="X2572" s="83"/>
      <c r="Y2572" s="83"/>
    </row>
    <row r="2573" spans="1:25" ht="13.8">
      <c r="A2573" s="78"/>
      <c r="B2573" s="79"/>
      <c r="C2573" s="78"/>
      <c r="D2573" s="78"/>
      <c r="E2573" s="80"/>
      <c r="F2573" s="86"/>
      <c r="G2573" s="86"/>
      <c r="H2573" s="86"/>
      <c r="I2573" s="86"/>
      <c r="J2573" s="85"/>
      <c r="K2573" s="85"/>
      <c r="L2573" s="85"/>
      <c r="M2573" s="85"/>
      <c r="N2573" s="85"/>
      <c r="O2573" s="85"/>
      <c r="P2573" s="85"/>
      <c r="Q2573" s="85"/>
      <c r="R2573" s="85"/>
      <c r="S2573" s="85"/>
      <c r="T2573" s="85"/>
      <c r="U2573" s="82"/>
      <c r="V2573" s="82"/>
      <c r="W2573" s="83"/>
      <c r="X2573" s="83"/>
      <c r="Y2573" s="83"/>
    </row>
    <row r="2574" spans="1:25" ht="13.8">
      <c r="A2574" s="78"/>
      <c r="B2574" s="79"/>
      <c r="C2574" s="78"/>
      <c r="D2574" s="78"/>
      <c r="E2574" s="80"/>
      <c r="F2574" s="86"/>
      <c r="G2574" s="86"/>
      <c r="H2574" s="86"/>
      <c r="I2574" s="86"/>
      <c r="J2574" s="85"/>
      <c r="K2574" s="85"/>
      <c r="L2574" s="85"/>
      <c r="M2574" s="85"/>
      <c r="N2574" s="85"/>
      <c r="O2574" s="85"/>
      <c r="P2574" s="85"/>
      <c r="Q2574" s="85"/>
      <c r="R2574" s="85"/>
      <c r="S2574" s="85"/>
      <c r="T2574" s="85"/>
      <c r="U2574" s="82"/>
      <c r="V2574" s="82"/>
      <c r="W2574" s="83"/>
      <c r="X2574" s="83"/>
      <c r="Y2574" s="83"/>
    </row>
    <row r="2575" spans="1:25" ht="13.8">
      <c r="A2575" s="78"/>
      <c r="B2575" s="79"/>
      <c r="C2575" s="78"/>
      <c r="D2575" s="78"/>
      <c r="E2575" s="80"/>
      <c r="F2575" s="86"/>
      <c r="G2575" s="86"/>
      <c r="H2575" s="86"/>
      <c r="I2575" s="86"/>
      <c r="J2575" s="85"/>
      <c r="K2575" s="85"/>
      <c r="L2575" s="85"/>
      <c r="M2575" s="85"/>
      <c r="N2575" s="85"/>
      <c r="O2575" s="85"/>
      <c r="P2575" s="85"/>
      <c r="Q2575" s="85"/>
      <c r="R2575" s="85"/>
      <c r="S2575" s="85"/>
      <c r="T2575" s="85"/>
      <c r="U2575" s="82"/>
      <c r="V2575" s="82"/>
      <c r="W2575" s="83"/>
      <c r="X2575" s="83"/>
      <c r="Y2575" s="83"/>
    </row>
    <row r="2576" spans="1:25" ht="13.8">
      <c r="A2576" s="78"/>
      <c r="B2576" s="79"/>
      <c r="C2576" s="78"/>
      <c r="D2576" s="78"/>
      <c r="E2576" s="80"/>
      <c r="F2576" s="86"/>
      <c r="G2576" s="86"/>
      <c r="H2576" s="86"/>
      <c r="I2576" s="86"/>
      <c r="J2576" s="85"/>
      <c r="K2576" s="85"/>
      <c r="L2576" s="85"/>
      <c r="M2576" s="85"/>
      <c r="N2576" s="85"/>
      <c r="O2576" s="85"/>
      <c r="P2576" s="85"/>
      <c r="Q2576" s="85"/>
      <c r="R2576" s="85"/>
      <c r="S2576" s="85"/>
      <c r="T2576" s="85"/>
      <c r="U2576" s="82"/>
      <c r="V2576" s="82"/>
      <c r="W2576" s="83"/>
      <c r="X2576" s="83"/>
      <c r="Y2576" s="83"/>
    </row>
    <row r="2577" spans="1:25" ht="13.8">
      <c r="A2577" s="78"/>
      <c r="B2577" s="79"/>
      <c r="C2577" s="78"/>
      <c r="D2577" s="78"/>
      <c r="E2577" s="80"/>
      <c r="F2577" s="86"/>
      <c r="G2577" s="86"/>
      <c r="H2577" s="86"/>
      <c r="I2577" s="86"/>
      <c r="J2577" s="85"/>
      <c r="K2577" s="85"/>
      <c r="L2577" s="85"/>
      <c r="M2577" s="85"/>
      <c r="N2577" s="85"/>
      <c r="O2577" s="85"/>
      <c r="P2577" s="85"/>
      <c r="Q2577" s="85"/>
      <c r="R2577" s="85"/>
      <c r="S2577" s="85"/>
      <c r="T2577" s="85"/>
      <c r="U2577" s="82"/>
      <c r="V2577" s="82"/>
      <c r="W2577" s="83"/>
      <c r="X2577" s="83"/>
      <c r="Y2577" s="83"/>
    </row>
    <row r="2578" spans="1:25" ht="13.8">
      <c r="A2578" s="78"/>
      <c r="B2578" s="79"/>
      <c r="C2578" s="78"/>
      <c r="D2578" s="78"/>
      <c r="E2578" s="80"/>
      <c r="F2578" s="86"/>
      <c r="G2578" s="86"/>
      <c r="H2578" s="86"/>
      <c r="I2578" s="86"/>
      <c r="J2578" s="85"/>
      <c r="K2578" s="85"/>
      <c r="L2578" s="85"/>
      <c r="M2578" s="85"/>
      <c r="N2578" s="85"/>
      <c r="O2578" s="85"/>
      <c r="P2578" s="85"/>
      <c r="Q2578" s="85"/>
      <c r="R2578" s="85"/>
      <c r="S2578" s="85"/>
      <c r="T2578" s="85"/>
      <c r="U2578" s="82"/>
      <c r="V2578" s="82"/>
      <c r="W2578" s="83"/>
      <c r="X2578" s="83"/>
      <c r="Y2578" s="83"/>
    </row>
    <row r="2579" spans="1:25" ht="13.8">
      <c r="A2579" s="78"/>
      <c r="B2579" s="79"/>
      <c r="C2579" s="78"/>
      <c r="D2579" s="78"/>
      <c r="E2579" s="80"/>
      <c r="F2579" s="86"/>
      <c r="G2579" s="86"/>
      <c r="H2579" s="86"/>
      <c r="I2579" s="86"/>
      <c r="J2579" s="85"/>
      <c r="K2579" s="85"/>
      <c r="L2579" s="85"/>
      <c r="M2579" s="85"/>
      <c r="N2579" s="85"/>
      <c r="O2579" s="85"/>
      <c r="P2579" s="85"/>
      <c r="Q2579" s="85"/>
      <c r="R2579" s="85"/>
      <c r="S2579" s="85"/>
      <c r="T2579" s="85"/>
      <c r="U2579" s="82"/>
      <c r="V2579" s="82"/>
      <c r="W2579" s="83"/>
      <c r="X2579" s="83"/>
      <c r="Y2579" s="83"/>
    </row>
    <row r="2580" spans="1:25" ht="13.8">
      <c r="A2580" s="78"/>
      <c r="B2580" s="79"/>
      <c r="C2580" s="78"/>
      <c r="D2580" s="78"/>
      <c r="E2580" s="80"/>
      <c r="F2580" s="86"/>
      <c r="G2580" s="86"/>
      <c r="H2580" s="86"/>
      <c r="I2580" s="86"/>
      <c r="J2580" s="85"/>
      <c r="K2580" s="85"/>
      <c r="L2580" s="85"/>
      <c r="M2580" s="85"/>
      <c r="N2580" s="85"/>
      <c r="O2580" s="85"/>
      <c r="P2580" s="85"/>
      <c r="Q2580" s="85"/>
      <c r="R2580" s="85"/>
      <c r="S2580" s="85"/>
      <c r="T2580" s="85"/>
      <c r="U2580" s="82"/>
      <c r="V2580" s="82"/>
      <c r="W2580" s="83"/>
      <c r="X2580" s="83"/>
      <c r="Y2580" s="83"/>
    </row>
    <row r="2581" spans="1:25" ht="13.8">
      <c r="A2581" s="78"/>
      <c r="B2581" s="79"/>
      <c r="C2581" s="78"/>
      <c r="D2581" s="78"/>
      <c r="E2581" s="80"/>
      <c r="F2581" s="86"/>
      <c r="G2581" s="86"/>
      <c r="H2581" s="86"/>
      <c r="I2581" s="86"/>
      <c r="J2581" s="85"/>
      <c r="K2581" s="85"/>
      <c r="L2581" s="85"/>
      <c r="M2581" s="85"/>
      <c r="N2581" s="85"/>
      <c r="O2581" s="85"/>
      <c r="P2581" s="85"/>
      <c r="Q2581" s="85"/>
      <c r="R2581" s="85"/>
      <c r="S2581" s="85"/>
      <c r="T2581" s="85"/>
      <c r="U2581" s="82"/>
      <c r="V2581" s="82"/>
      <c r="W2581" s="83"/>
      <c r="X2581" s="83"/>
      <c r="Y2581" s="83"/>
    </row>
    <row r="2582" spans="1:25" ht="13.8">
      <c r="A2582" s="78"/>
      <c r="B2582" s="79"/>
      <c r="C2582" s="78"/>
      <c r="D2582" s="78"/>
      <c r="E2582" s="80"/>
      <c r="F2582" s="86"/>
      <c r="G2582" s="86"/>
      <c r="H2582" s="86"/>
      <c r="I2582" s="86"/>
      <c r="J2582" s="85"/>
      <c r="K2582" s="85"/>
      <c r="L2582" s="85"/>
      <c r="M2582" s="85"/>
      <c r="N2582" s="85"/>
      <c r="O2582" s="85"/>
      <c r="P2582" s="85"/>
      <c r="Q2582" s="85"/>
      <c r="R2582" s="85"/>
      <c r="S2582" s="85"/>
      <c r="T2582" s="85"/>
      <c r="U2582" s="82"/>
      <c r="V2582" s="82"/>
      <c r="W2582" s="83"/>
      <c r="X2582" s="83"/>
      <c r="Y2582" s="83"/>
    </row>
    <row r="2583" spans="1:25" ht="13.8">
      <c r="A2583" s="78"/>
      <c r="B2583" s="79"/>
      <c r="C2583" s="78"/>
      <c r="D2583" s="78"/>
      <c r="E2583" s="80"/>
      <c r="F2583" s="86"/>
      <c r="G2583" s="86"/>
      <c r="H2583" s="86"/>
      <c r="I2583" s="86"/>
      <c r="J2583" s="85"/>
      <c r="K2583" s="85"/>
      <c r="L2583" s="85"/>
      <c r="M2583" s="85"/>
      <c r="N2583" s="85"/>
      <c r="O2583" s="85"/>
      <c r="P2583" s="85"/>
      <c r="Q2583" s="85"/>
      <c r="R2583" s="85"/>
      <c r="S2583" s="85"/>
      <c r="T2583" s="85"/>
      <c r="U2583" s="82"/>
      <c r="V2583" s="82"/>
      <c r="W2583" s="83"/>
      <c r="X2583" s="83"/>
      <c r="Y2583" s="83"/>
    </row>
    <row r="2584" spans="1:25" ht="13.8">
      <c r="A2584" s="78"/>
      <c r="B2584" s="79"/>
      <c r="C2584" s="78"/>
      <c r="D2584" s="78"/>
      <c r="E2584" s="80"/>
      <c r="F2584" s="86"/>
      <c r="G2584" s="86"/>
      <c r="H2584" s="86"/>
      <c r="I2584" s="86"/>
      <c r="J2584" s="85"/>
      <c r="K2584" s="85"/>
      <c r="L2584" s="85"/>
      <c r="M2584" s="85"/>
      <c r="N2584" s="85"/>
      <c r="O2584" s="85"/>
      <c r="P2584" s="85"/>
      <c r="Q2584" s="85"/>
      <c r="R2584" s="85"/>
      <c r="S2584" s="85"/>
      <c r="T2584" s="85"/>
      <c r="U2584" s="82"/>
      <c r="V2584" s="82"/>
      <c r="W2584" s="83"/>
      <c r="X2584" s="83"/>
      <c r="Y2584" s="83"/>
    </row>
    <row r="2585" spans="1:25" ht="13.8">
      <c r="A2585" s="78"/>
      <c r="B2585" s="79"/>
      <c r="C2585" s="78"/>
      <c r="D2585" s="78"/>
      <c r="E2585" s="80"/>
      <c r="F2585" s="86"/>
      <c r="G2585" s="86"/>
      <c r="H2585" s="86"/>
      <c r="I2585" s="86"/>
      <c r="J2585" s="85"/>
      <c r="K2585" s="85"/>
      <c r="L2585" s="85"/>
      <c r="M2585" s="85"/>
      <c r="N2585" s="85"/>
      <c r="O2585" s="85"/>
      <c r="P2585" s="85"/>
      <c r="Q2585" s="85"/>
      <c r="R2585" s="85"/>
      <c r="S2585" s="85"/>
      <c r="T2585" s="85"/>
      <c r="U2585" s="82"/>
      <c r="V2585" s="82"/>
      <c r="W2585" s="83"/>
      <c r="X2585" s="83"/>
      <c r="Y2585" s="83"/>
    </row>
    <row r="2586" spans="1:25" ht="13.8">
      <c r="A2586" s="78"/>
      <c r="B2586" s="79"/>
      <c r="C2586" s="78"/>
      <c r="D2586" s="78"/>
      <c r="E2586" s="80"/>
      <c r="F2586" s="86"/>
      <c r="G2586" s="86"/>
      <c r="H2586" s="86"/>
      <c r="I2586" s="86"/>
      <c r="J2586" s="85"/>
      <c r="K2586" s="85"/>
      <c r="L2586" s="85"/>
      <c r="M2586" s="85"/>
      <c r="N2586" s="85"/>
      <c r="O2586" s="85"/>
      <c r="P2586" s="85"/>
      <c r="Q2586" s="85"/>
      <c r="R2586" s="85"/>
      <c r="S2586" s="85"/>
      <c r="T2586" s="85"/>
      <c r="U2586" s="82"/>
      <c r="V2586" s="82"/>
      <c r="W2586" s="83"/>
      <c r="X2586" s="83"/>
      <c r="Y2586" s="83"/>
    </row>
    <row r="2587" spans="1:25" ht="13.8">
      <c r="A2587" s="78"/>
      <c r="B2587" s="79"/>
      <c r="C2587" s="78"/>
      <c r="D2587" s="78"/>
      <c r="E2587" s="80"/>
      <c r="F2587" s="86"/>
      <c r="G2587" s="86"/>
      <c r="H2587" s="86"/>
      <c r="I2587" s="86"/>
      <c r="J2587" s="85"/>
      <c r="K2587" s="85"/>
      <c r="L2587" s="85"/>
      <c r="M2587" s="85"/>
      <c r="N2587" s="85"/>
      <c r="O2587" s="85"/>
      <c r="P2587" s="85"/>
      <c r="Q2587" s="85"/>
      <c r="R2587" s="85"/>
      <c r="S2587" s="85"/>
      <c r="T2587" s="85"/>
      <c r="U2587" s="82"/>
      <c r="V2587" s="82"/>
      <c r="W2587" s="83"/>
      <c r="X2587" s="83"/>
      <c r="Y2587" s="83"/>
    </row>
    <row r="2588" spans="1:25" ht="13.8">
      <c r="A2588" s="78"/>
      <c r="B2588" s="79"/>
      <c r="C2588" s="78"/>
      <c r="D2588" s="78"/>
      <c r="E2588" s="80"/>
      <c r="F2588" s="86"/>
      <c r="G2588" s="86"/>
      <c r="H2588" s="86"/>
      <c r="I2588" s="86"/>
      <c r="J2588" s="85"/>
      <c r="K2588" s="85"/>
      <c r="L2588" s="85"/>
      <c r="M2588" s="85"/>
      <c r="N2588" s="85"/>
      <c r="O2588" s="85"/>
      <c r="P2588" s="85"/>
      <c r="Q2588" s="85"/>
      <c r="R2588" s="85"/>
      <c r="S2588" s="85"/>
      <c r="T2588" s="85"/>
      <c r="U2588" s="82"/>
      <c r="V2588" s="82"/>
      <c r="W2588" s="83"/>
      <c r="X2588" s="83"/>
      <c r="Y2588" s="83"/>
    </row>
    <row r="2589" spans="1:25" ht="13.8">
      <c r="A2589" s="78"/>
      <c r="B2589" s="79"/>
      <c r="C2589" s="78"/>
      <c r="D2589" s="78"/>
      <c r="E2589" s="80"/>
      <c r="F2589" s="86"/>
      <c r="G2589" s="86"/>
      <c r="H2589" s="86"/>
      <c r="I2589" s="86"/>
      <c r="J2589" s="85"/>
      <c r="K2589" s="85"/>
      <c r="L2589" s="85"/>
      <c r="M2589" s="85"/>
      <c r="N2589" s="85"/>
      <c r="O2589" s="85"/>
      <c r="P2589" s="85"/>
      <c r="Q2589" s="85"/>
      <c r="R2589" s="85"/>
      <c r="S2589" s="85"/>
      <c r="T2589" s="85"/>
      <c r="U2589" s="82"/>
      <c r="V2589" s="82"/>
      <c r="W2589" s="83"/>
      <c r="X2589" s="83"/>
      <c r="Y2589" s="83"/>
    </row>
    <row r="2590" spans="1:25" ht="13.8">
      <c r="A2590" s="78"/>
      <c r="B2590" s="79"/>
      <c r="C2590" s="78"/>
      <c r="D2590" s="78"/>
      <c r="E2590" s="80"/>
      <c r="F2590" s="86"/>
      <c r="G2590" s="86"/>
      <c r="H2590" s="86"/>
      <c r="I2590" s="86"/>
      <c r="J2590" s="85"/>
      <c r="K2590" s="85"/>
      <c r="L2590" s="85"/>
      <c r="M2590" s="85"/>
      <c r="N2590" s="85"/>
      <c r="O2590" s="85"/>
      <c r="P2590" s="85"/>
      <c r="Q2590" s="85"/>
      <c r="R2590" s="85"/>
      <c r="S2590" s="85"/>
      <c r="T2590" s="85"/>
      <c r="U2590" s="82"/>
      <c r="V2590" s="82"/>
      <c r="W2590" s="83"/>
      <c r="X2590" s="83"/>
      <c r="Y2590" s="83"/>
    </row>
    <row r="2591" spans="1:25" ht="13.8">
      <c r="A2591" s="78"/>
      <c r="B2591" s="79"/>
      <c r="C2591" s="78"/>
      <c r="D2591" s="78"/>
      <c r="E2591" s="80"/>
      <c r="F2591" s="86"/>
      <c r="G2591" s="86"/>
      <c r="H2591" s="86"/>
      <c r="I2591" s="86"/>
      <c r="J2591" s="85"/>
      <c r="K2591" s="85"/>
      <c r="L2591" s="85"/>
      <c r="M2591" s="85"/>
      <c r="N2591" s="85"/>
      <c r="O2591" s="85"/>
      <c r="P2591" s="85"/>
      <c r="Q2591" s="85"/>
      <c r="R2591" s="85"/>
      <c r="S2591" s="85"/>
      <c r="T2591" s="85"/>
      <c r="U2591" s="82"/>
      <c r="V2591" s="82"/>
      <c r="W2591" s="83"/>
      <c r="X2591" s="83"/>
      <c r="Y2591" s="83"/>
    </row>
    <row r="2592" spans="1:25" ht="13.8">
      <c r="A2592" s="78"/>
      <c r="B2592" s="79"/>
      <c r="C2592" s="78"/>
      <c r="D2592" s="78"/>
      <c r="E2592" s="80"/>
      <c r="F2592" s="86"/>
      <c r="G2592" s="86"/>
      <c r="H2592" s="86"/>
      <c r="I2592" s="86"/>
      <c r="J2592" s="85"/>
      <c r="K2592" s="85"/>
      <c r="L2592" s="85"/>
      <c r="M2592" s="85"/>
      <c r="N2592" s="85"/>
      <c r="O2592" s="85"/>
      <c r="P2592" s="85"/>
      <c r="Q2592" s="85"/>
      <c r="R2592" s="85"/>
      <c r="S2592" s="85"/>
      <c r="T2592" s="85"/>
      <c r="U2592" s="82"/>
      <c r="V2592" s="82"/>
      <c r="W2592" s="83"/>
      <c r="X2592" s="83"/>
      <c r="Y2592" s="83"/>
    </row>
    <row r="2593" spans="1:25" ht="13.8">
      <c r="A2593" s="78"/>
      <c r="B2593" s="79"/>
      <c r="C2593" s="78"/>
      <c r="D2593" s="78"/>
      <c r="E2593" s="80"/>
      <c r="F2593" s="86"/>
      <c r="G2593" s="86"/>
      <c r="H2593" s="86"/>
      <c r="I2593" s="86"/>
      <c r="J2593" s="85"/>
      <c r="K2593" s="85"/>
      <c r="L2593" s="85"/>
      <c r="M2593" s="85"/>
      <c r="N2593" s="85"/>
      <c r="O2593" s="85"/>
      <c r="P2593" s="85"/>
      <c r="Q2593" s="85"/>
      <c r="R2593" s="85"/>
      <c r="S2593" s="85"/>
      <c r="T2593" s="85"/>
      <c r="U2593" s="82"/>
      <c r="V2593" s="82"/>
      <c r="W2593" s="83"/>
      <c r="X2593" s="83"/>
      <c r="Y2593" s="83"/>
    </row>
    <row r="2594" spans="1:25" ht="13.8">
      <c r="A2594" s="78"/>
      <c r="B2594" s="79"/>
      <c r="C2594" s="78"/>
      <c r="D2594" s="78"/>
      <c r="E2594" s="80"/>
      <c r="F2594" s="86"/>
      <c r="G2594" s="86"/>
      <c r="H2594" s="86"/>
      <c r="I2594" s="86"/>
      <c r="J2594" s="85"/>
      <c r="K2594" s="85"/>
      <c r="L2594" s="85"/>
      <c r="M2594" s="85"/>
      <c r="N2594" s="85"/>
      <c r="O2594" s="85"/>
      <c r="P2594" s="85"/>
      <c r="Q2594" s="85"/>
      <c r="R2594" s="85"/>
      <c r="S2594" s="85"/>
      <c r="T2594" s="85"/>
      <c r="U2594" s="82"/>
      <c r="V2594" s="82"/>
      <c r="W2594" s="83"/>
      <c r="X2594" s="83"/>
      <c r="Y2594" s="83"/>
    </row>
    <row r="2595" spans="1:25" ht="13.8">
      <c r="A2595" s="78"/>
      <c r="B2595" s="79"/>
      <c r="C2595" s="78"/>
      <c r="D2595" s="78"/>
      <c r="E2595" s="80"/>
      <c r="F2595" s="86"/>
      <c r="G2595" s="86"/>
      <c r="H2595" s="86"/>
      <c r="I2595" s="86"/>
      <c r="J2595" s="85"/>
      <c r="K2595" s="85"/>
      <c r="L2595" s="85"/>
      <c r="M2595" s="85"/>
      <c r="N2595" s="85"/>
      <c r="O2595" s="85"/>
      <c r="P2595" s="85"/>
      <c r="Q2595" s="85"/>
      <c r="R2595" s="85"/>
      <c r="S2595" s="85"/>
      <c r="T2595" s="85"/>
      <c r="U2595" s="82"/>
      <c r="V2595" s="82"/>
      <c r="W2595" s="83"/>
      <c r="X2595" s="83"/>
      <c r="Y2595" s="83"/>
    </row>
    <row r="2596" spans="1:25" ht="13.8">
      <c r="A2596" s="78"/>
      <c r="B2596" s="79"/>
      <c r="C2596" s="78"/>
      <c r="D2596" s="78"/>
      <c r="E2596" s="80"/>
      <c r="F2596" s="86"/>
      <c r="G2596" s="86"/>
      <c r="H2596" s="86"/>
      <c r="I2596" s="86"/>
      <c r="J2596" s="85"/>
      <c r="K2596" s="85"/>
      <c r="L2596" s="85"/>
      <c r="M2596" s="85"/>
      <c r="N2596" s="85"/>
      <c r="O2596" s="85"/>
      <c r="P2596" s="85"/>
      <c r="Q2596" s="85"/>
      <c r="R2596" s="85"/>
      <c r="S2596" s="85"/>
      <c r="T2596" s="85"/>
      <c r="U2596" s="82"/>
      <c r="V2596" s="82"/>
      <c r="W2596" s="83"/>
      <c r="X2596" s="83"/>
      <c r="Y2596" s="83"/>
    </row>
    <row r="2597" spans="1:25" ht="13.8">
      <c r="A2597" s="78"/>
      <c r="B2597" s="79"/>
      <c r="C2597" s="78"/>
      <c r="D2597" s="78"/>
      <c r="E2597" s="80"/>
      <c r="F2597" s="86"/>
      <c r="G2597" s="86"/>
      <c r="H2597" s="86"/>
      <c r="I2597" s="86"/>
      <c r="J2597" s="85"/>
      <c r="K2597" s="85"/>
      <c r="L2597" s="85"/>
      <c r="M2597" s="85"/>
      <c r="N2597" s="85"/>
      <c r="O2597" s="85"/>
      <c r="P2597" s="85"/>
      <c r="Q2597" s="85"/>
      <c r="R2597" s="85"/>
      <c r="S2597" s="85"/>
      <c r="T2597" s="85"/>
      <c r="U2597" s="82"/>
      <c r="V2597" s="82"/>
      <c r="W2597" s="83"/>
      <c r="X2597" s="83"/>
      <c r="Y2597" s="83"/>
    </row>
    <row r="2598" spans="1:25" ht="13.8">
      <c r="A2598" s="78"/>
      <c r="B2598" s="79"/>
      <c r="C2598" s="78"/>
      <c r="D2598" s="78"/>
      <c r="E2598" s="80"/>
      <c r="F2598" s="86"/>
      <c r="G2598" s="86"/>
      <c r="H2598" s="86"/>
      <c r="I2598" s="86"/>
      <c r="J2598" s="85"/>
      <c r="K2598" s="85"/>
      <c r="L2598" s="85"/>
      <c r="M2598" s="85"/>
      <c r="N2598" s="85"/>
      <c r="O2598" s="85"/>
      <c r="P2598" s="85"/>
      <c r="Q2598" s="85"/>
      <c r="R2598" s="85"/>
      <c r="S2598" s="85"/>
      <c r="T2598" s="85"/>
      <c r="U2598" s="82"/>
      <c r="V2598" s="82"/>
      <c r="W2598" s="83"/>
      <c r="X2598" s="83"/>
      <c r="Y2598" s="83"/>
    </row>
    <row r="2599" spans="1:25" ht="13.8">
      <c r="A2599" s="78"/>
      <c r="B2599" s="79"/>
      <c r="C2599" s="78"/>
      <c r="D2599" s="78"/>
      <c r="E2599" s="80"/>
      <c r="F2599" s="86"/>
      <c r="G2599" s="86"/>
      <c r="H2599" s="86"/>
      <c r="I2599" s="86"/>
      <c r="J2599" s="85"/>
      <c r="K2599" s="85"/>
      <c r="L2599" s="85"/>
      <c r="M2599" s="85"/>
      <c r="N2599" s="85"/>
      <c r="O2599" s="85"/>
      <c r="P2599" s="85"/>
      <c r="Q2599" s="85"/>
      <c r="R2599" s="85"/>
      <c r="S2599" s="85"/>
      <c r="T2599" s="85"/>
      <c r="U2599" s="82"/>
      <c r="V2599" s="82"/>
      <c r="W2599" s="83"/>
      <c r="X2599" s="83"/>
      <c r="Y2599" s="83"/>
    </row>
    <row r="2600" spans="1:25" ht="13.8">
      <c r="A2600" s="78"/>
      <c r="B2600" s="79"/>
      <c r="C2600" s="78"/>
      <c r="D2600" s="78"/>
      <c r="E2600" s="80"/>
      <c r="F2600" s="86"/>
      <c r="G2600" s="86"/>
      <c r="H2600" s="86"/>
      <c r="I2600" s="86"/>
      <c r="J2600" s="85"/>
      <c r="K2600" s="85"/>
      <c r="L2600" s="85"/>
      <c r="M2600" s="85"/>
      <c r="N2600" s="85"/>
      <c r="O2600" s="85"/>
      <c r="P2600" s="85"/>
      <c r="Q2600" s="85"/>
      <c r="R2600" s="85"/>
      <c r="S2600" s="85"/>
      <c r="T2600" s="85"/>
      <c r="U2600" s="82"/>
      <c r="V2600" s="82"/>
      <c r="W2600" s="83"/>
      <c r="X2600" s="83"/>
      <c r="Y2600" s="83"/>
    </row>
    <row r="2601" spans="1:25" ht="13.8">
      <c r="A2601" s="78"/>
      <c r="B2601" s="79"/>
      <c r="C2601" s="78"/>
      <c r="D2601" s="78"/>
      <c r="E2601" s="80"/>
      <c r="F2601" s="86"/>
      <c r="G2601" s="86"/>
      <c r="H2601" s="86"/>
      <c r="I2601" s="86"/>
      <c r="J2601" s="85"/>
      <c r="K2601" s="85"/>
      <c r="L2601" s="85"/>
      <c r="M2601" s="85"/>
      <c r="N2601" s="85"/>
      <c r="O2601" s="85"/>
      <c r="P2601" s="85"/>
      <c r="Q2601" s="85"/>
      <c r="R2601" s="85"/>
      <c r="S2601" s="85"/>
      <c r="T2601" s="85"/>
      <c r="U2601" s="82"/>
      <c r="V2601" s="82"/>
      <c r="W2601" s="83"/>
      <c r="X2601" s="83"/>
      <c r="Y2601" s="83"/>
    </row>
    <row r="2602" spans="1:25" ht="13.8">
      <c r="A2602" s="78"/>
      <c r="B2602" s="79"/>
      <c r="C2602" s="78"/>
      <c r="D2602" s="78"/>
      <c r="E2602" s="80"/>
      <c r="F2602" s="86"/>
      <c r="G2602" s="86"/>
      <c r="H2602" s="86"/>
      <c r="I2602" s="86"/>
      <c r="J2602" s="85"/>
      <c r="K2602" s="85"/>
      <c r="L2602" s="85"/>
      <c r="M2602" s="85"/>
      <c r="N2602" s="85"/>
      <c r="O2602" s="85"/>
      <c r="P2602" s="85"/>
      <c r="Q2602" s="85"/>
      <c r="R2602" s="85"/>
      <c r="S2602" s="85"/>
      <c r="T2602" s="85"/>
      <c r="U2602" s="82"/>
      <c r="V2602" s="82"/>
      <c r="W2602" s="83"/>
      <c r="X2602" s="83"/>
      <c r="Y2602" s="83"/>
    </row>
    <row r="2603" spans="1:25" ht="13.8">
      <c r="A2603" s="78"/>
      <c r="B2603" s="79"/>
      <c r="C2603" s="78"/>
      <c r="D2603" s="78"/>
      <c r="E2603" s="80"/>
      <c r="F2603" s="86"/>
      <c r="G2603" s="86"/>
      <c r="H2603" s="86"/>
      <c r="I2603" s="86"/>
      <c r="J2603" s="85"/>
      <c r="K2603" s="85"/>
      <c r="L2603" s="85"/>
      <c r="M2603" s="85"/>
      <c r="N2603" s="85"/>
      <c r="O2603" s="85"/>
      <c r="P2603" s="85"/>
      <c r="Q2603" s="85"/>
      <c r="R2603" s="85"/>
      <c r="S2603" s="85"/>
      <c r="T2603" s="85"/>
      <c r="U2603" s="82"/>
      <c r="V2603" s="82"/>
      <c r="W2603" s="83"/>
      <c r="X2603" s="83"/>
      <c r="Y2603" s="83"/>
    </row>
    <row r="2604" spans="1:25" ht="13.8">
      <c r="A2604" s="78"/>
      <c r="B2604" s="79"/>
      <c r="C2604" s="78"/>
      <c r="D2604" s="78"/>
      <c r="E2604" s="80"/>
      <c r="F2604" s="86"/>
      <c r="G2604" s="86"/>
      <c r="H2604" s="86"/>
      <c r="I2604" s="86"/>
      <c r="J2604" s="85"/>
      <c r="K2604" s="85"/>
      <c r="L2604" s="85"/>
      <c r="M2604" s="85"/>
      <c r="N2604" s="85"/>
      <c r="O2604" s="85"/>
      <c r="P2604" s="85"/>
      <c r="Q2604" s="85"/>
      <c r="R2604" s="85"/>
      <c r="S2604" s="85"/>
      <c r="T2604" s="85"/>
      <c r="U2604" s="82"/>
      <c r="V2604" s="82"/>
      <c r="W2604" s="83"/>
      <c r="X2604" s="83"/>
      <c r="Y2604" s="83"/>
    </row>
    <row r="2605" spans="1:25" ht="13.8">
      <c r="A2605" s="78"/>
      <c r="B2605" s="79"/>
      <c r="C2605" s="78"/>
      <c r="D2605" s="78"/>
      <c r="E2605" s="80"/>
      <c r="F2605" s="86"/>
      <c r="G2605" s="86"/>
      <c r="H2605" s="86"/>
      <c r="I2605" s="86"/>
      <c r="J2605" s="85"/>
      <c r="K2605" s="85"/>
      <c r="L2605" s="85"/>
      <c r="M2605" s="85"/>
      <c r="N2605" s="85"/>
      <c r="O2605" s="85"/>
      <c r="P2605" s="85"/>
      <c r="Q2605" s="85"/>
      <c r="R2605" s="85"/>
      <c r="S2605" s="85"/>
      <c r="T2605" s="85"/>
      <c r="U2605" s="82"/>
      <c r="V2605" s="82"/>
      <c r="W2605" s="83"/>
      <c r="X2605" s="83"/>
      <c r="Y2605" s="83"/>
    </row>
    <row r="2606" spans="1:25" ht="13.8">
      <c r="A2606" s="78"/>
      <c r="B2606" s="79"/>
      <c r="C2606" s="78"/>
      <c r="D2606" s="78"/>
      <c r="E2606" s="80"/>
      <c r="F2606" s="86"/>
      <c r="G2606" s="86"/>
      <c r="H2606" s="86"/>
      <c r="I2606" s="86"/>
      <c r="J2606" s="85"/>
      <c r="K2606" s="85"/>
      <c r="L2606" s="85"/>
      <c r="M2606" s="85"/>
      <c r="N2606" s="85"/>
      <c r="O2606" s="85"/>
      <c r="P2606" s="85"/>
      <c r="Q2606" s="85"/>
      <c r="R2606" s="85"/>
      <c r="S2606" s="85"/>
      <c r="T2606" s="85"/>
      <c r="U2606" s="82"/>
      <c r="V2606" s="82"/>
      <c r="W2606" s="83"/>
      <c r="X2606" s="83"/>
      <c r="Y2606" s="83"/>
    </row>
    <row r="2607" spans="1:25" ht="13.8">
      <c r="A2607" s="78"/>
      <c r="B2607" s="79"/>
      <c r="C2607" s="78"/>
      <c r="D2607" s="78"/>
      <c r="E2607" s="80"/>
      <c r="F2607" s="86"/>
      <c r="G2607" s="86"/>
      <c r="H2607" s="86"/>
      <c r="I2607" s="86"/>
      <c r="J2607" s="85"/>
      <c r="K2607" s="85"/>
      <c r="L2607" s="85"/>
      <c r="M2607" s="85"/>
      <c r="N2607" s="85"/>
      <c r="O2607" s="85"/>
      <c r="P2607" s="85"/>
      <c r="Q2607" s="85"/>
      <c r="R2607" s="85"/>
      <c r="S2607" s="85"/>
      <c r="T2607" s="85"/>
      <c r="U2607" s="82"/>
      <c r="V2607" s="82"/>
      <c r="W2607" s="83"/>
      <c r="X2607" s="83"/>
      <c r="Y2607" s="83"/>
    </row>
    <row r="2608" spans="1:25" ht="13.8">
      <c r="A2608" s="78"/>
      <c r="B2608" s="79"/>
      <c r="C2608" s="78"/>
      <c r="D2608" s="78"/>
      <c r="E2608" s="80"/>
      <c r="F2608" s="86"/>
      <c r="G2608" s="86"/>
      <c r="H2608" s="86"/>
      <c r="I2608" s="86"/>
      <c r="J2608" s="85"/>
      <c r="K2608" s="85"/>
      <c r="L2608" s="85"/>
      <c r="M2608" s="85"/>
      <c r="N2608" s="85"/>
      <c r="O2608" s="85"/>
      <c r="P2608" s="85"/>
      <c r="Q2608" s="85"/>
      <c r="R2608" s="85"/>
      <c r="S2608" s="85"/>
      <c r="T2608" s="85"/>
      <c r="U2608" s="82"/>
      <c r="V2608" s="82"/>
      <c r="W2608" s="83"/>
      <c r="X2608" s="83"/>
      <c r="Y2608" s="83"/>
    </row>
    <row r="2609" spans="1:25" ht="13.8">
      <c r="A2609" s="78"/>
      <c r="B2609" s="79"/>
      <c r="C2609" s="78"/>
      <c r="D2609" s="78"/>
      <c r="E2609" s="80"/>
      <c r="F2609" s="86"/>
      <c r="G2609" s="86"/>
      <c r="H2609" s="86"/>
      <c r="I2609" s="86"/>
      <c r="J2609" s="85"/>
      <c r="K2609" s="85"/>
      <c r="L2609" s="85"/>
      <c r="M2609" s="85"/>
      <c r="N2609" s="85"/>
      <c r="O2609" s="85"/>
      <c r="P2609" s="85"/>
      <c r="Q2609" s="85"/>
      <c r="R2609" s="85"/>
      <c r="S2609" s="85"/>
      <c r="T2609" s="85"/>
      <c r="U2609" s="82"/>
      <c r="V2609" s="82"/>
      <c r="W2609" s="83"/>
      <c r="X2609" s="83"/>
      <c r="Y2609" s="83"/>
    </row>
    <row r="2610" spans="1:25" ht="13.8">
      <c r="A2610" s="78"/>
      <c r="B2610" s="79"/>
      <c r="C2610" s="78"/>
      <c r="D2610" s="78"/>
      <c r="E2610" s="80"/>
      <c r="F2610" s="86"/>
      <c r="G2610" s="86"/>
      <c r="H2610" s="86"/>
      <c r="I2610" s="86"/>
      <c r="J2610" s="85"/>
      <c r="K2610" s="85"/>
      <c r="L2610" s="85"/>
      <c r="M2610" s="85"/>
      <c r="N2610" s="85"/>
      <c r="O2610" s="85"/>
      <c r="P2610" s="85"/>
      <c r="Q2610" s="85"/>
      <c r="R2610" s="85"/>
      <c r="S2610" s="85"/>
      <c r="T2610" s="85"/>
      <c r="U2610" s="82"/>
      <c r="V2610" s="82"/>
      <c r="W2610" s="83"/>
      <c r="X2610" s="83"/>
      <c r="Y2610" s="83"/>
    </row>
    <row r="2611" spans="1:25" ht="13.8">
      <c r="A2611" s="78"/>
      <c r="B2611" s="79"/>
      <c r="C2611" s="78"/>
      <c r="D2611" s="78"/>
      <c r="E2611" s="80"/>
      <c r="F2611" s="86"/>
      <c r="G2611" s="86"/>
      <c r="H2611" s="86"/>
      <c r="I2611" s="86"/>
      <c r="J2611" s="85"/>
      <c r="K2611" s="85"/>
      <c r="L2611" s="85"/>
      <c r="M2611" s="85"/>
      <c r="N2611" s="85"/>
      <c r="O2611" s="85"/>
      <c r="P2611" s="85"/>
      <c r="Q2611" s="85"/>
      <c r="R2611" s="85"/>
      <c r="S2611" s="85"/>
      <c r="T2611" s="85"/>
      <c r="U2611" s="82"/>
      <c r="V2611" s="82"/>
      <c r="W2611" s="83"/>
      <c r="X2611" s="83"/>
      <c r="Y2611" s="83"/>
    </row>
    <row r="2612" spans="1:25" ht="13.8">
      <c r="A2612" s="78"/>
      <c r="B2612" s="79"/>
      <c r="C2612" s="78"/>
      <c r="D2612" s="78"/>
      <c r="E2612" s="80"/>
      <c r="F2612" s="86"/>
      <c r="G2612" s="86"/>
      <c r="H2612" s="86"/>
      <c r="I2612" s="86"/>
      <c r="J2612" s="85"/>
      <c r="K2612" s="85"/>
      <c r="L2612" s="85"/>
      <c r="M2612" s="85"/>
      <c r="N2612" s="85"/>
      <c r="O2612" s="85"/>
      <c r="P2612" s="85"/>
      <c r="Q2612" s="85"/>
      <c r="R2612" s="85"/>
      <c r="S2612" s="85"/>
      <c r="T2612" s="85"/>
      <c r="U2612" s="82"/>
      <c r="V2612" s="82"/>
      <c r="W2612" s="83"/>
      <c r="X2612" s="83"/>
      <c r="Y2612" s="83"/>
    </row>
    <row r="2613" spans="1:25" ht="13.8">
      <c r="A2613" s="78"/>
      <c r="B2613" s="79"/>
      <c r="C2613" s="78"/>
      <c r="D2613" s="78"/>
      <c r="E2613" s="80"/>
      <c r="F2613" s="86"/>
      <c r="G2613" s="86"/>
      <c r="H2613" s="86"/>
      <c r="I2613" s="86"/>
      <c r="J2613" s="85"/>
      <c r="K2613" s="85"/>
      <c r="L2613" s="85"/>
      <c r="M2613" s="85"/>
      <c r="N2613" s="85"/>
      <c r="O2613" s="85"/>
      <c r="P2613" s="85"/>
      <c r="Q2613" s="85"/>
      <c r="R2613" s="85"/>
      <c r="S2613" s="85"/>
      <c r="T2613" s="85"/>
      <c r="U2613" s="82"/>
      <c r="V2613" s="82"/>
      <c r="W2613" s="83"/>
      <c r="X2613" s="83"/>
      <c r="Y2613" s="83"/>
    </row>
    <row r="2614" spans="1:25" ht="13.8">
      <c r="A2614" s="78"/>
      <c r="B2614" s="79"/>
      <c r="C2614" s="78"/>
      <c r="D2614" s="78"/>
      <c r="E2614" s="80"/>
      <c r="F2614" s="86"/>
      <c r="G2614" s="86"/>
      <c r="H2614" s="86"/>
      <c r="I2614" s="86"/>
      <c r="J2614" s="85"/>
      <c r="K2614" s="85"/>
      <c r="L2614" s="85"/>
      <c r="M2614" s="85"/>
      <c r="N2614" s="85"/>
      <c r="O2614" s="85"/>
      <c r="P2614" s="85"/>
      <c r="Q2614" s="85"/>
      <c r="R2614" s="85"/>
      <c r="S2614" s="85"/>
      <c r="T2614" s="85"/>
      <c r="U2614" s="82"/>
      <c r="V2614" s="82"/>
      <c r="W2614" s="83"/>
      <c r="X2614" s="83"/>
      <c r="Y2614" s="83"/>
    </row>
    <row r="2615" spans="1:25" ht="13.8">
      <c r="A2615" s="78"/>
      <c r="B2615" s="79"/>
      <c r="C2615" s="78"/>
      <c r="D2615" s="78"/>
      <c r="E2615" s="80"/>
      <c r="F2615" s="86"/>
      <c r="G2615" s="86"/>
      <c r="H2615" s="86"/>
      <c r="I2615" s="86"/>
      <c r="J2615" s="85"/>
      <c r="K2615" s="85"/>
      <c r="L2615" s="85"/>
      <c r="M2615" s="85"/>
      <c r="N2615" s="85"/>
      <c r="O2615" s="85"/>
      <c r="P2615" s="85"/>
      <c r="Q2615" s="85"/>
      <c r="R2615" s="85"/>
      <c r="S2615" s="85"/>
      <c r="T2615" s="85"/>
      <c r="U2615" s="82"/>
      <c r="V2615" s="82"/>
      <c r="W2615" s="83"/>
      <c r="X2615" s="83"/>
      <c r="Y2615" s="83"/>
    </row>
    <row r="2616" spans="1:25" ht="13.8">
      <c r="A2616" s="78"/>
      <c r="B2616" s="79"/>
      <c r="C2616" s="78"/>
      <c r="D2616" s="78"/>
      <c r="E2616" s="80"/>
      <c r="F2616" s="86"/>
      <c r="G2616" s="86"/>
      <c r="H2616" s="86"/>
      <c r="I2616" s="86"/>
      <c r="J2616" s="85"/>
      <c r="K2616" s="85"/>
      <c r="L2616" s="85"/>
      <c r="M2616" s="85"/>
      <c r="N2616" s="85"/>
      <c r="O2616" s="85"/>
      <c r="P2616" s="85"/>
      <c r="Q2616" s="85"/>
      <c r="R2616" s="85"/>
      <c r="S2616" s="85"/>
      <c r="T2616" s="85"/>
      <c r="U2616" s="82"/>
      <c r="V2616" s="82"/>
      <c r="W2616" s="83"/>
      <c r="X2616" s="83"/>
      <c r="Y2616" s="83"/>
    </row>
    <row r="2617" spans="1:25" ht="13.8">
      <c r="A2617" s="78"/>
      <c r="B2617" s="79"/>
      <c r="C2617" s="78"/>
      <c r="D2617" s="78"/>
      <c r="E2617" s="80"/>
      <c r="F2617" s="86"/>
      <c r="G2617" s="86"/>
      <c r="H2617" s="86"/>
      <c r="I2617" s="86"/>
      <c r="J2617" s="85"/>
      <c r="K2617" s="85"/>
      <c r="L2617" s="85"/>
      <c r="M2617" s="85"/>
      <c r="N2617" s="85"/>
      <c r="O2617" s="85"/>
      <c r="P2617" s="85"/>
      <c r="Q2617" s="85"/>
      <c r="R2617" s="85"/>
      <c r="S2617" s="85"/>
      <c r="T2617" s="85"/>
      <c r="U2617" s="82"/>
      <c r="V2617" s="82"/>
      <c r="W2617" s="83"/>
      <c r="X2617" s="83"/>
      <c r="Y2617" s="83"/>
    </row>
    <row r="2618" spans="1:25" ht="13.8">
      <c r="A2618" s="78"/>
      <c r="B2618" s="79"/>
      <c r="C2618" s="78"/>
      <c r="D2618" s="78"/>
      <c r="E2618" s="80"/>
      <c r="F2618" s="86"/>
      <c r="G2618" s="86"/>
      <c r="H2618" s="86"/>
      <c r="I2618" s="86"/>
      <c r="J2618" s="85"/>
      <c r="K2618" s="85"/>
      <c r="L2618" s="85"/>
      <c r="M2618" s="85"/>
      <c r="N2618" s="85"/>
      <c r="O2618" s="85"/>
      <c r="P2618" s="85"/>
      <c r="Q2618" s="85"/>
      <c r="R2618" s="85"/>
      <c r="S2618" s="85"/>
      <c r="T2618" s="85"/>
      <c r="U2618" s="82"/>
      <c r="V2618" s="82"/>
      <c r="W2618" s="83"/>
      <c r="X2618" s="83"/>
      <c r="Y2618" s="83"/>
    </row>
    <row r="2619" spans="1:25" ht="13.8">
      <c r="A2619" s="78"/>
      <c r="B2619" s="79"/>
      <c r="C2619" s="78"/>
      <c r="D2619" s="78"/>
      <c r="E2619" s="80"/>
      <c r="F2619" s="86"/>
      <c r="G2619" s="86"/>
      <c r="H2619" s="86"/>
      <c r="I2619" s="86"/>
      <c r="J2619" s="85"/>
      <c r="K2619" s="85"/>
      <c r="L2619" s="85"/>
      <c r="M2619" s="85"/>
      <c r="N2619" s="85"/>
      <c r="O2619" s="85"/>
      <c r="P2619" s="85"/>
      <c r="Q2619" s="85"/>
      <c r="R2619" s="85"/>
      <c r="S2619" s="85"/>
      <c r="T2619" s="85"/>
      <c r="U2619" s="82"/>
      <c r="V2619" s="82"/>
      <c r="W2619" s="83"/>
      <c r="X2619" s="83"/>
      <c r="Y2619" s="83"/>
    </row>
    <row r="2620" spans="1:25" ht="13.8">
      <c r="A2620" s="78"/>
      <c r="B2620" s="79"/>
      <c r="C2620" s="78"/>
      <c r="D2620" s="78"/>
      <c r="E2620" s="80"/>
      <c r="F2620" s="86"/>
      <c r="G2620" s="86"/>
      <c r="H2620" s="86"/>
      <c r="I2620" s="86"/>
      <c r="J2620" s="85"/>
      <c r="K2620" s="85"/>
      <c r="L2620" s="85"/>
      <c r="M2620" s="85"/>
      <c r="N2620" s="85"/>
      <c r="O2620" s="85"/>
      <c r="P2620" s="85"/>
      <c r="Q2620" s="85"/>
      <c r="R2620" s="85"/>
      <c r="S2620" s="85"/>
      <c r="T2620" s="85"/>
      <c r="U2620" s="82"/>
      <c r="V2620" s="82"/>
      <c r="W2620" s="83"/>
      <c r="X2620" s="83"/>
      <c r="Y2620" s="83"/>
    </row>
    <row r="2621" spans="1:25" ht="13.8">
      <c r="A2621" s="78"/>
      <c r="B2621" s="79"/>
      <c r="C2621" s="78"/>
      <c r="D2621" s="78"/>
      <c r="E2621" s="80"/>
      <c r="F2621" s="86"/>
      <c r="G2621" s="86"/>
      <c r="H2621" s="86"/>
      <c r="I2621" s="86"/>
      <c r="J2621" s="85"/>
      <c r="K2621" s="85"/>
      <c r="L2621" s="85"/>
      <c r="M2621" s="85"/>
      <c r="N2621" s="85"/>
      <c r="O2621" s="85"/>
      <c r="P2621" s="85"/>
      <c r="Q2621" s="85"/>
      <c r="R2621" s="85"/>
      <c r="S2621" s="85"/>
      <c r="T2621" s="85"/>
      <c r="U2621" s="82"/>
      <c r="V2621" s="82"/>
      <c r="W2621" s="83"/>
      <c r="X2621" s="83"/>
      <c r="Y2621" s="83"/>
    </row>
    <row r="2622" spans="1:25" ht="13.8">
      <c r="A2622" s="78"/>
      <c r="B2622" s="79"/>
      <c r="C2622" s="78"/>
      <c r="D2622" s="78"/>
      <c r="E2622" s="80"/>
      <c r="F2622" s="86"/>
      <c r="G2622" s="86"/>
      <c r="H2622" s="86"/>
      <c r="I2622" s="86"/>
      <c r="J2622" s="85"/>
      <c r="K2622" s="85"/>
      <c r="L2622" s="85"/>
      <c r="M2622" s="85"/>
      <c r="N2622" s="85"/>
      <c r="O2622" s="85"/>
      <c r="P2622" s="85"/>
      <c r="Q2622" s="85"/>
      <c r="R2622" s="85"/>
      <c r="S2622" s="85"/>
      <c r="T2622" s="85"/>
      <c r="U2622" s="82"/>
      <c r="V2622" s="82"/>
      <c r="W2622" s="83"/>
      <c r="X2622" s="83"/>
      <c r="Y2622" s="83"/>
    </row>
    <row r="2623" spans="1:25" ht="13.8">
      <c r="A2623" s="78"/>
      <c r="B2623" s="79"/>
      <c r="C2623" s="78"/>
      <c r="D2623" s="78"/>
      <c r="E2623" s="80"/>
      <c r="F2623" s="86"/>
      <c r="G2623" s="86"/>
      <c r="H2623" s="86"/>
      <c r="I2623" s="86"/>
      <c r="J2623" s="85"/>
      <c r="K2623" s="85"/>
      <c r="L2623" s="85"/>
      <c r="M2623" s="85"/>
      <c r="N2623" s="85"/>
      <c r="O2623" s="85"/>
      <c r="P2623" s="85"/>
      <c r="Q2623" s="85"/>
      <c r="R2623" s="85"/>
      <c r="S2623" s="85"/>
      <c r="T2623" s="85"/>
      <c r="U2623" s="82"/>
      <c r="V2623" s="82"/>
      <c r="W2623" s="83"/>
      <c r="X2623" s="83"/>
      <c r="Y2623" s="83"/>
    </row>
    <row r="2624" spans="1:25" ht="13.8">
      <c r="A2624" s="78"/>
      <c r="B2624" s="79"/>
      <c r="C2624" s="78"/>
      <c r="D2624" s="78"/>
      <c r="E2624" s="80"/>
      <c r="F2624" s="86"/>
      <c r="G2624" s="86"/>
      <c r="H2624" s="86"/>
      <c r="I2624" s="86"/>
      <c r="J2624" s="85"/>
      <c r="K2624" s="85"/>
      <c r="L2624" s="85"/>
      <c r="M2624" s="85"/>
      <c r="N2624" s="85"/>
      <c r="O2624" s="85"/>
      <c r="P2624" s="85"/>
      <c r="Q2624" s="85"/>
      <c r="R2624" s="85"/>
      <c r="S2624" s="85"/>
      <c r="T2624" s="85"/>
      <c r="U2624" s="82"/>
      <c r="V2624" s="82"/>
      <c r="W2624" s="83"/>
      <c r="X2624" s="83"/>
      <c r="Y2624" s="83"/>
    </row>
    <row r="2625" spans="1:25" ht="13.8">
      <c r="A2625" s="78"/>
      <c r="B2625" s="79"/>
      <c r="C2625" s="78"/>
      <c r="D2625" s="78"/>
      <c r="E2625" s="80"/>
      <c r="F2625" s="86"/>
      <c r="G2625" s="86"/>
      <c r="H2625" s="86"/>
      <c r="I2625" s="86"/>
      <c r="J2625" s="85"/>
      <c r="K2625" s="85"/>
      <c r="L2625" s="85"/>
      <c r="M2625" s="85"/>
      <c r="N2625" s="85"/>
      <c r="O2625" s="85"/>
      <c r="P2625" s="85"/>
      <c r="Q2625" s="85"/>
      <c r="R2625" s="85"/>
      <c r="S2625" s="85"/>
      <c r="T2625" s="85"/>
      <c r="U2625" s="82"/>
      <c r="V2625" s="82"/>
      <c r="W2625" s="83"/>
      <c r="X2625" s="83"/>
      <c r="Y2625" s="83"/>
    </row>
    <row r="2626" spans="1:25" ht="13.8">
      <c r="A2626" s="78"/>
      <c r="B2626" s="79"/>
      <c r="C2626" s="78"/>
      <c r="D2626" s="78"/>
      <c r="E2626" s="80"/>
      <c r="F2626" s="86"/>
      <c r="G2626" s="86"/>
      <c r="H2626" s="86"/>
      <c r="I2626" s="86"/>
      <c r="J2626" s="85"/>
      <c r="K2626" s="85"/>
      <c r="L2626" s="85"/>
      <c r="M2626" s="85"/>
      <c r="N2626" s="85"/>
      <c r="O2626" s="85"/>
      <c r="P2626" s="85"/>
      <c r="Q2626" s="85"/>
      <c r="R2626" s="85"/>
      <c r="S2626" s="85"/>
      <c r="T2626" s="85"/>
      <c r="U2626" s="82"/>
      <c r="V2626" s="82"/>
      <c r="W2626" s="83"/>
      <c r="X2626" s="83"/>
      <c r="Y2626" s="83"/>
    </row>
    <row r="2627" spans="1:25" ht="13.8">
      <c r="A2627" s="78"/>
      <c r="B2627" s="79"/>
      <c r="C2627" s="78"/>
      <c r="D2627" s="78"/>
      <c r="E2627" s="80"/>
      <c r="F2627" s="86"/>
      <c r="G2627" s="86"/>
      <c r="H2627" s="86"/>
      <c r="I2627" s="86"/>
      <c r="J2627" s="85"/>
      <c r="K2627" s="85"/>
      <c r="L2627" s="85"/>
      <c r="M2627" s="85"/>
      <c r="N2627" s="85"/>
      <c r="O2627" s="85"/>
      <c r="P2627" s="85"/>
      <c r="Q2627" s="85"/>
      <c r="R2627" s="85"/>
      <c r="S2627" s="85"/>
      <c r="T2627" s="85"/>
      <c r="U2627" s="82"/>
      <c r="V2627" s="82"/>
      <c r="W2627" s="83"/>
      <c r="X2627" s="83"/>
      <c r="Y2627" s="83"/>
    </row>
    <row r="2628" spans="1:25" ht="13.8">
      <c r="A2628" s="78"/>
      <c r="B2628" s="79"/>
      <c r="C2628" s="78"/>
      <c r="D2628" s="78"/>
      <c r="E2628" s="80"/>
      <c r="F2628" s="86"/>
      <c r="G2628" s="86"/>
      <c r="H2628" s="86"/>
      <c r="I2628" s="86"/>
      <c r="J2628" s="85"/>
      <c r="K2628" s="85"/>
      <c r="L2628" s="85"/>
      <c r="M2628" s="85"/>
      <c r="N2628" s="85"/>
      <c r="O2628" s="85"/>
      <c r="P2628" s="85"/>
      <c r="Q2628" s="85"/>
      <c r="R2628" s="85"/>
      <c r="S2628" s="85"/>
      <c r="T2628" s="85"/>
      <c r="U2628" s="82"/>
      <c r="V2628" s="82"/>
      <c r="W2628" s="83"/>
      <c r="X2628" s="83"/>
      <c r="Y2628" s="83"/>
    </row>
    <row r="2629" spans="1:25" ht="13.8">
      <c r="A2629" s="78"/>
      <c r="B2629" s="79"/>
      <c r="C2629" s="78"/>
      <c r="D2629" s="78"/>
      <c r="E2629" s="80"/>
      <c r="F2629" s="86"/>
      <c r="G2629" s="86"/>
      <c r="H2629" s="86"/>
      <c r="I2629" s="86"/>
      <c r="J2629" s="85"/>
      <c r="K2629" s="85"/>
      <c r="L2629" s="85"/>
      <c r="M2629" s="85"/>
      <c r="N2629" s="85"/>
      <c r="O2629" s="85"/>
      <c r="P2629" s="85"/>
      <c r="Q2629" s="85"/>
      <c r="R2629" s="85"/>
      <c r="S2629" s="85"/>
      <c r="T2629" s="85"/>
      <c r="U2629" s="82"/>
      <c r="V2629" s="82"/>
      <c r="W2629" s="83"/>
      <c r="X2629" s="83"/>
      <c r="Y2629" s="83"/>
    </row>
    <row r="2630" spans="1:25" ht="13.8">
      <c r="A2630" s="78"/>
      <c r="B2630" s="79"/>
      <c r="C2630" s="78"/>
      <c r="D2630" s="78"/>
      <c r="E2630" s="80"/>
      <c r="F2630" s="86"/>
      <c r="G2630" s="86"/>
      <c r="H2630" s="86"/>
      <c r="I2630" s="86"/>
      <c r="J2630" s="85"/>
      <c r="K2630" s="85"/>
      <c r="L2630" s="85"/>
      <c r="M2630" s="85"/>
      <c r="N2630" s="85"/>
      <c r="O2630" s="85"/>
      <c r="P2630" s="85"/>
      <c r="Q2630" s="85"/>
      <c r="R2630" s="85"/>
      <c r="S2630" s="85"/>
      <c r="T2630" s="85"/>
      <c r="U2630" s="82"/>
      <c r="V2630" s="82"/>
      <c r="W2630" s="83"/>
      <c r="X2630" s="83"/>
      <c r="Y2630" s="83"/>
    </row>
    <row r="2631" spans="1:25" ht="13.8">
      <c r="A2631" s="78"/>
      <c r="B2631" s="79"/>
      <c r="C2631" s="78"/>
      <c r="D2631" s="78"/>
      <c r="E2631" s="80"/>
      <c r="F2631" s="86"/>
      <c r="G2631" s="86"/>
      <c r="H2631" s="86"/>
      <c r="I2631" s="86"/>
      <c r="J2631" s="85"/>
      <c r="K2631" s="85"/>
      <c r="L2631" s="85"/>
      <c r="M2631" s="85"/>
      <c r="N2631" s="85"/>
      <c r="O2631" s="85"/>
      <c r="P2631" s="85"/>
      <c r="Q2631" s="85"/>
      <c r="R2631" s="85"/>
      <c r="S2631" s="85"/>
      <c r="T2631" s="85"/>
      <c r="U2631" s="82"/>
      <c r="V2631" s="82"/>
      <c r="W2631" s="83"/>
      <c r="X2631" s="83"/>
      <c r="Y2631" s="83"/>
    </row>
    <row r="2632" spans="1:25" ht="13.8">
      <c r="A2632" s="78"/>
      <c r="B2632" s="79"/>
      <c r="C2632" s="78"/>
      <c r="D2632" s="78"/>
      <c r="E2632" s="80"/>
      <c r="F2632" s="86"/>
      <c r="G2632" s="86"/>
      <c r="H2632" s="86"/>
      <c r="I2632" s="86"/>
      <c r="J2632" s="85"/>
      <c r="K2632" s="85"/>
      <c r="L2632" s="85"/>
      <c r="M2632" s="85"/>
      <c r="N2632" s="85"/>
      <c r="O2632" s="85"/>
      <c r="P2632" s="85"/>
      <c r="Q2632" s="85"/>
      <c r="R2632" s="85"/>
      <c r="S2632" s="85"/>
      <c r="T2632" s="85"/>
      <c r="U2632" s="82"/>
      <c r="V2632" s="82"/>
      <c r="W2632" s="83"/>
      <c r="X2632" s="83"/>
      <c r="Y2632" s="83"/>
    </row>
    <row r="2633" spans="1:25" ht="13.8">
      <c r="A2633" s="78"/>
      <c r="B2633" s="79"/>
      <c r="C2633" s="78"/>
      <c r="D2633" s="78"/>
      <c r="E2633" s="80"/>
      <c r="F2633" s="86"/>
      <c r="G2633" s="86"/>
      <c r="H2633" s="86"/>
      <c r="I2633" s="86"/>
      <c r="J2633" s="85"/>
      <c r="K2633" s="85"/>
      <c r="L2633" s="85"/>
      <c r="M2633" s="85"/>
      <c r="N2633" s="85"/>
      <c r="O2633" s="85"/>
      <c r="P2633" s="85"/>
      <c r="Q2633" s="85"/>
      <c r="R2633" s="85"/>
      <c r="S2633" s="85"/>
      <c r="T2633" s="85"/>
      <c r="U2633" s="82"/>
      <c r="V2633" s="82"/>
      <c r="W2633" s="83"/>
      <c r="X2633" s="83"/>
      <c r="Y2633" s="83"/>
    </row>
    <row r="2634" spans="1:25" ht="13.8">
      <c r="A2634" s="78"/>
      <c r="B2634" s="79"/>
      <c r="C2634" s="78"/>
      <c r="D2634" s="78"/>
      <c r="E2634" s="80"/>
      <c r="F2634" s="86"/>
      <c r="G2634" s="86"/>
      <c r="H2634" s="86"/>
      <c r="I2634" s="86"/>
      <c r="J2634" s="85"/>
      <c r="K2634" s="85"/>
      <c r="L2634" s="85"/>
      <c r="M2634" s="85"/>
      <c r="N2634" s="85"/>
      <c r="O2634" s="85"/>
      <c r="P2634" s="85"/>
      <c r="Q2634" s="85"/>
      <c r="R2634" s="85"/>
      <c r="S2634" s="85"/>
      <c r="T2634" s="85"/>
      <c r="U2634" s="82"/>
      <c r="V2634" s="82"/>
      <c r="W2634" s="83"/>
      <c r="X2634" s="83"/>
      <c r="Y2634" s="83"/>
    </row>
    <row r="2635" spans="1:25" ht="13.8">
      <c r="A2635" s="78"/>
      <c r="B2635" s="79"/>
      <c r="C2635" s="78"/>
      <c r="D2635" s="78"/>
      <c r="E2635" s="80"/>
      <c r="F2635" s="86"/>
      <c r="G2635" s="86"/>
      <c r="H2635" s="86"/>
      <c r="I2635" s="86"/>
      <c r="J2635" s="85"/>
      <c r="K2635" s="85"/>
      <c r="L2635" s="85"/>
      <c r="M2635" s="85"/>
      <c r="N2635" s="85"/>
      <c r="O2635" s="85"/>
      <c r="P2635" s="85"/>
      <c r="Q2635" s="85"/>
      <c r="R2635" s="85"/>
      <c r="S2635" s="85"/>
      <c r="T2635" s="85"/>
      <c r="U2635" s="82"/>
      <c r="V2635" s="82"/>
      <c r="W2635" s="83"/>
      <c r="X2635" s="83"/>
      <c r="Y2635" s="83"/>
    </row>
    <row r="2636" spans="1:25" ht="13.8">
      <c r="A2636" s="78"/>
      <c r="B2636" s="79"/>
      <c r="C2636" s="78"/>
      <c r="D2636" s="78"/>
      <c r="E2636" s="80"/>
      <c r="F2636" s="86"/>
      <c r="G2636" s="86"/>
      <c r="H2636" s="86"/>
      <c r="I2636" s="86"/>
      <c r="J2636" s="85"/>
      <c r="K2636" s="85"/>
      <c r="L2636" s="85"/>
      <c r="M2636" s="85"/>
      <c r="N2636" s="85"/>
      <c r="O2636" s="85"/>
      <c r="P2636" s="85"/>
      <c r="Q2636" s="85"/>
      <c r="R2636" s="85"/>
      <c r="S2636" s="85"/>
      <c r="T2636" s="85"/>
      <c r="U2636" s="82"/>
      <c r="V2636" s="82"/>
      <c r="W2636" s="83"/>
      <c r="X2636" s="83"/>
      <c r="Y2636" s="83"/>
    </row>
    <row r="2637" spans="1:25" ht="13.8">
      <c r="A2637" s="78"/>
      <c r="B2637" s="79"/>
      <c r="C2637" s="78"/>
      <c r="D2637" s="78"/>
      <c r="E2637" s="80"/>
      <c r="F2637" s="86"/>
      <c r="G2637" s="86"/>
      <c r="H2637" s="86"/>
      <c r="I2637" s="86"/>
      <c r="J2637" s="85"/>
      <c r="K2637" s="85"/>
      <c r="L2637" s="85"/>
      <c r="M2637" s="85"/>
      <c r="N2637" s="85"/>
      <c r="O2637" s="85"/>
      <c r="P2637" s="85"/>
      <c r="Q2637" s="85"/>
      <c r="R2637" s="85"/>
      <c r="S2637" s="85"/>
      <c r="T2637" s="85"/>
      <c r="U2637" s="82"/>
      <c r="V2637" s="82"/>
      <c r="W2637" s="83"/>
      <c r="X2637" s="83"/>
      <c r="Y2637" s="83"/>
    </row>
    <row r="2638" spans="1:25" ht="13.8">
      <c r="A2638" s="78"/>
      <c r="B2638" s="79"/>
      <c r="C2638" s="78"/>
      <c r="D2638" s="78"/>
      <c r="E2638" s="80"/>
      <c r="F2638" s="86"/>
      <c r="G2638" s="86"/>
      <c r="H2638" s="86"/>
      <c r="I2638" s="86"/>
      <c r="J2638" s="85"/>
      <c r="K2638" s="85"/>
      <c r="L2638" s="85"/>
      <c r="M2638" s="85"/>
      <c r="N2638" s="85"/>
      <c r="O2638" s="85"/>
      <c r="P2638" s="85"/>
      <c r="Q2638" s="85"/>
      <c r="R2638" s="85"/>
      <c r="S2638" s="85"/>
      <c r="T2638" s="85"/>
      <c r="U2638" s="82"/>
      <c r="V2638" s="82"/>
      <c r="W2638" s="83"/>
      <c r="X2638" s="83"/>
      <c r="Y2638" s="83"/>
    </row>
    <row r="2639" spans="1:25" ht="13.8">
      <c r="A2639" s="78"/>
      <c r="B2639" s="79"/>
      <c r="C2639" s="78"/>
      <c r="D2639" s="78"/>
      <c r="E2639" s="80"/>
      <c r="F2639" s="86"/>
      <c r="G2639" s="86"/>
      <c r="H2639" s="86"/>
      <c r="I2639" s="86"/>
      <c r="J2639" s="85"/>
      <c r="K2639" s="85"/>
      <c r="L2639" s="85"/>
      <c r="M2639" s="85"/>
      <c r="N2639" s="85"/>
      <c r="O2639" s="85"/>
      <c r="P2639" s="85"/>
      <c r="Q2639" s="85"/>
      <c r="R2639" s="85"/>
      <c r="S2639" s="85"/>
      <c r="T2639" s="85"/>
      <c r="U2639" s="82"/>
      <c r="V2639" s="82"/>
      <c r="W2639" s="83"/>
      <c r="X2639" s="83"/>
      <c r="Y2639" s="83"/>
    </row>
    <row r="2640" spans="1:25" ht="13.8">
      <c r="A2640" s="78"/>
      <c r="B2640" s="79"/>
      <c r="C2640" s="78"/>
      <c r="D2640" s="78"/>
      <c r="E2640" s="80"/>
      <c r="F2640" s="86"/>
      <c r="G2640" s="86"/>
      <c r="H2640" s="86"/>
      <c r="I2640" s="86"/>
      <c r="J2640" s="85"/>
      <c r="K2640" s="85"/>
      <c r="L2640" s="85"/>
      <c r="M2640" s="85"/>
      <c r="N2640" s="85"/>
      <c r="O2640" s="85"/>
      <c r="P2640" s="85"/>
      <c r="Q2640" s="85"/>
      <c r="R2640" s="85"/>
      <c r="S2640" s="85"/>
      <c r="T2640" s="85"/>
      <c r="U2640" s="82"/>
      <c r="V2640" s="82"/>
      <c r="W2640" s="83"/>
      <c r="X2640" s="83"/>
      <c r="Y2640" s="83"/>
    </row>
    <row r="2641" spans="1:25" ht="13.8">
      <c r="A2641" s="78"/>
      <c r="B2641" s="79"/>
      <c r="C2641" s="78"/>
      <c r="D2641" s="78"/>
      <c r="E2641" s="80"/>
      <c r="F2641" s="86"/>
      <c r="G2641" s="86"/>
      <c r="H2641" s="86"/>
      <c r="I2641" s="86"/>
      <c r="J2641" s="85"/>
      <c r="K2641" s="85"/>
      <c r="L2641" s="85"/>
      <c r="M2641" s="85"/>
      <c r="N2641" s="85"/>
      <c r="O2641" s="85"/>
      <c r="P2641" s="85"/>
      <c r="Q2641" s="85"/>
      <c r="R2641" s="85"/>
      <c r="S2641" s="85"/>
      <c r="T2641" s="85"/>
      <c r="U2641" s="82"/>
      <c r="V2641" s="82"/>
      <c r="W2641" s="83"/>
      <c r="X2641" s="83"/>
      <c r="Y2641" s="83"/>
    </row>
    <row r="2642" spans="1:25" ht="13.8">
      <c r="A2642" s="78"/>
      <c r="B2642" s="79"/>
      <c r="C2642" s="78"/>
      <c r="D2642" s="78"/>
      <c r="E2642" s="80"/>
      <c r="F2642" s="86"/>
      <c r="G2642" s="86"/>
      <c r="H2642" s="86"/>
      <c r="I2642" s="86"/>
      <c r="J2642" s="85"/>
      <c r="K2642" s="85"/>
      <c r="L2642" s="85"/>
      <c r="M2642" s="85"/>
      <c r="N2642" s="85"/>
      <c r="O2642" s="85"/>
      <c r="P2642" s="85"/>
      <c r="Q2642" s="85"/>
      <c r="R2642" s="85"/>
      <c r="S2642" s="85"/>
      <c r="T2642" s="85"/>
      <c r="U2642" s="82"/>
      <c r="V2642" s="82"/>
      <c r="W2642" s="83"/>
      <c r="X2642" s="83"/>
      <c r="Y2642" s="83"/>
    </row>
    <row r="2643" spans="1:25" ht="13.8">
      <c r="A2643" s="78"/>
      <c r="B2643" s="79"/>
      <c r="C2643" s="78"/>
      <c r="D2643" s="78"/>
      <c r="E2643" s="80"/>
      <c r="F2643" s="86"/>
      <c r="G2643" s="86"/>
      <c r="H2643" s="86"/>
      <c r="I2643" s="86"/>
      <c r="J2643" s="85"/>
      <c r="K2643" s="85"/>
      <c r="L2643" s="85"/>
      <c r="M2643" s="85"/>
      <c r="N2643" s="85"/>
      <c r="O2643" s="85"/>
      <c r="P2643" s="85"/>
      <c r="Q2643" s="85"/>
      <c r="R2643" s="85"/>
      <c r="S2643" s="85"/>
      <c r="T2643" s="85"/>
      <c r="U2643" s="82"/>
      <c r="V2643" s="82"/>
      <c r="W2643" s="83"/>
      <c r="X2643" s="83"/>
      <c r="Y2643" s="83"/>
    </row>
    <row r="2644" spans="1:25" ht="13.8">
      <c r="A2644" s="78"/>
      <c r="B2644" s="79"/>
      <c r="C2644" s="78"/>
      <c r="D2644" s="78"/>
      <c r="E2644" s="80"/>
      <c r="F2644" s="86"/>
      <c r="G2644" s="86"/>
      <c r="H2644" s="86"/>
      <c r="I2644" s="86"/>
      <c r="J2644" s="85"/>
      <c r="K2644" s="85"/>
      <c r="L2644" s="85"/>
      <c r="M2644" s="85"/>
      <c r="N2644" s="85"/>
      <c r="O2644" s="85"/>
      <c r="P2644" s="85"/>
      <c r="Q2644" s="85"/>
      <c r="R2644" s="85"/>
      <c r="S2644" s="85"/>
      <c r="T2644" s="85"/>
      <c r="U2644" s="82"/>
      <c r="V2644" s="82"/>
      <c r="W2644" s="83"/>
      <c r="X2644" s="83"/>
      <c r="Y2644" s="83"/>
    </row>
    <row r="2645" spans="1:25" ht="13.8">
      <c r="A2645" s="78"/>
      <c r="B2645" s="79"/>
      <c r="C2645" s="78"/>
      <c r="D2645" s="78"/>
      <c r="E2645" s="80"/>
      <c r="F2645" s="86"/>
      <c r="G2645" s="86"/>
      <c r="H2645" s="86"/>
      <c r="I2645" s="86"/>
      <c r="J2645" s="85"/>
      <c r="K2645" s="85"/>
      <c r="L2645" s="85"/>
      <c r="M2645" s="85"/>
      <c r="N2645" s="85"/>
      <c r="O2645" s="85"/>
      <c r="P2645" s="85"/>
      <c r="Q2645" s="85"/>
      <c r="R2645" s="85"/>
      <c r="S2645" s="85"/>
      <c r="T2645" s="85"/>
      <c r="U2645" s="82"/>
      <c r="V2645" s="82"/>
      <c r="W2645" s="83"/>
      <c r="X2645" s="83"/>
      <c r="Y2645" s="83"/>
    </row>
    <row r="2646" spans="1:25" ht="13.8">
      <c r="A2646" s="78"/>
      <c r="B2646" s="79"/>
      <c r="C2646" s="78"/>
      <c r="D2646" s="78"/>
      <c r="E2646" s="80"/>
      <c r="F2646" s="86"/>
      <c r="G2646" s="86"/>
      <c r="H2646" s="86"/>
      <c r="I2646" s="86"/>
      <c r="J2646" s="85"/>
      <c r="K2646" s="85"/>
      <c r="L2646" s="85"/>
      <c r="M2646" s="85"/>
      <c r="N2646" s="85"/>
      <c r="O2646" s="85"/>
      <c r="P2646" s="85"/>
      <c r="Q2646" s="85"/>
      <c r="R2646" s="85"/>
      <c r="S2646" s="85"/>
      <c r="T2646" s="85"/>
      <c r="U2646" s="82"/>
      <c r="V2646" s="82"/>
      <c r="W2646" s="83"/>
      <c r="X2646" s="83"/>
      <c r="Y2646" s="83"/>
    </row>
    <row r="2647" spans="1:25" ht="13.8">
      <c r="A2647" s="78"/>
      <c r="B2647" s="79"/>
      <c r="C2647" s="78"/>
      <c r="D2647" s="78"/>
      <c r="E2647" s="80"/>
      <c r="F2647" s="86"/>
      <c r="G2647" s="86"/>
      <c r="H2647" s="86"/>
      <c r="I2647" s="86"/>
      <c r="J2647" s="85"/>
      <c r="K2647" s="85"/>
      <c r="L2647" s="85"/>
      <c r="M2647" s="85"/>
      <c r="N2647" s="85"/>
      <c r="O2647" s="85"/>
      <c r="P2647" s="85"/>
      <c r="Q2647" s="85"/>
      <c r="R2647" s="85"/>
      <c r="S2647" s="85"/>
      <c r="T2647" s="85"/>
      <c r="U2647" s="82"/>
      <c r="V2647" s="82"/>
      <c r="W2647" s="83"/>
      <c r="X2647" s="83"/>
      <c r="Y2647" s="83"/>
    </row>
    <row r="2648" spans="1:25" ht="13.8">
      <c r="A2648" s="78"/>
      <c r="B2648" s="79"/>
      <c r="C2648" s="78"/>
      <c r="D2648" s="78"/>
      <c r="E2648" s="80"/>
      <c r="F2648" s="86"/>
      <c r="G2648" s="86"/>
      <c r="H2648" s="86"/>
      <c r="I2648" s="86"/>
      <c r="J2648" s="85"/>
      <c r="K2648" s="85"/>
      <c r="L2648" s="85"/>
      <c r="M2648" s="85"/>
      <c r="N2648" s="85"/>
      <c r="O2648" s="85"/>
      <c r="P2648" s="85"/>
      <c r="Q2648" s="85"/>
      <c r="R2648" s="85"/>
      <c r="S2648" s="85"/>
      <c r="T2648" s="85"/>
      <c r="U2648" s="82"/>
      <c r="V2648" s="82"/>
      <c r="W2648" s="83"/>
      <c r="X2648" s="83"/>
      <c r="Y2648" s="83"/>
    </row>
    <row r="2649" spans="1:25" ht="13.8">
      <c r="A2649" s="78"/>
      <c r="B2649" s="79"/>
      <c r="C2649" s="78"/>
      <c r="D2649" s="78"/>
      <c r="E2649" s="80"/>
      <c r="F2649" s="86"/>
      <c r="G2649" s="86"/>
      <c r="H2649" s="86"/>
      <c r="I2649" s="86"/>
      <c r="J2649" s="85"/>
      <c r="K2649" s="85"/>
      <c r="L2649" s="85"/>
      <c r="M2649" s="85"/>
      <c r="N2649" s="85"/>
      <c r="O2649" s="85"/>
      <c r="P2649" s="85"/>
      <c r="Q2649" s="85"/>
      <c r="R2649" s="85"/>
      <c r="S2649" s="85"/>
      <c r="T2649" s="85"/>
      <c r="U2649" s="82"/>
      <c r="V2649" s="82"/>
      <c r="W2649" s="83"/>
      <c r="X2649" s="83"/>
      <c r="Y2649" s="83"/>
    </row>
    <row r="2650" spans="1:25" ht="13.8">
      <c r="A2650" s="78"/>
      <c r="B2650" s="79"/>
      <c r="C2650" s="78"/>
      <c r="D2650" s="78"/>
      <c r="E2650" s="80"/>
      <c r="F2650" s="86"/>
      <c r="G2650" s="86"/>
      <c r="H2650" s="86"/>
      <c r="I2650" s="86"/>
      <c r="J2650" s="85"/>
      <c r="K2650" s="85"/>
      <c r="L2650" s="85"/>
      <c r="M2650" s="85"/>
      <c r="N2650" s="85"/>
      <c r="O2650" s="85"/>
      <c r="P2650" s="85"/>
      <c r="Q2650" s="85"/>
      <c r="R2650" s="85"/>
      <c r="S2650" s="85"/>
      <c r="T2650" s="85"/>
      <c r="U2650" s="82"/>
      <c r="V2650" s="82"/>
      <c r="W2650" s="83"/>
      <c r="X2650" s="83"/>
      <c r="Y2650" s="83"/>
    </row>
    <row r="2651" spans="1:25" ht="13.8">
      <c r="A2651" s="78"/>
      <c r="B2651" s="79"/>
      <c r="C2651" s="78"/>
      <c r="D2651" s="78"/>
      <c r="E2651" s="80"/>
      <c r="F2651" s="86"/>
      <c r="G2651" s="86"/>
      <c r="H2651" s="86"/>
      <c r="I2651" s="86"/>
      <c r="J2651" s="85"/>
      <c r="K2651" s="85"/>
      <c r="L2651" s="85"/>
      <c r="M2651" s="85"/>
      <c r="N2651" s="85"/>
      <c r="O2651" s="85"/>
      <c r="P2651" s="85"/>
      <c r="Q2651" s="85"/>
      <c r="R2651" s="85"/>
      <c r="S2651" s="85"/>
      <c r="T2651" s="85"/>
      <c r="U2651" s="82"/>
      <c r="V2651" s="82"/>
      <c r="W2651" s="83"/>
      <c r="X2651" s="83"/>
      <c r="Y2651" s="83"/>
    </row>
    <row r="2652" spans="1:25" ht="13.8">
      <c r="A2652" s="78"/>
      <c r="B2652" s="79"/>
      <c r="C2652" s="78"/>
      <c r="D2652" s="78"/>
      <c r="E2652" s="80"/>
      <c r="F2652" s="86"/>
      <c r="G2652" s="86"/>
      <c r="H2652" s="86"/>
      <c r="I2652" s="86"/>
      <c r="J2652" s="85"/>
      <c r="K2652" s="85"/>
      <c r="L2652" s="85"/>
      <c r="M2652" s="85"/>
      <c r="N2652" s="85"/>
      <c r="O2652" s="85"/>
      <c r="P2652" s="85"/>
      <c r="Q2652" s="85"/>
      <c r="R2652" s="85"/>
      <c r="S2652" s="85"/>
      <c r="T2652" s="85"/>
      <c r="U2652" s="82"/>
      <c r="V2652" s="82"/>
      <c r="W2652" s="83"/>
      <c r="X2652" s="83"/>
      <c r="Y2652" s="83"/>
    </row>
    <row r="2653" spans="1:25" ht="13.8">
      <c r="A2653" s="78"/>
      <c r="B2653" s="79"/>
      <c r="C2653" s="78"/>
      <c r="D2653" s="78"/>
      <c r="E2653" s="80"/>
      <c r="F2653" s="86"/>
      <c r="G2653" s="86"/>
      <c r="H2653" s="86"/>
      <c r="I2653" s="86"/>
      <c r="J2653" s="85"/>
      <c r="K2653" s="85"/>
      <c r="L2653" s="85"/>
      <c r="M2653" s="85"/>
      <c r="N2653" s="85"/>
      <c r="O2653" s="85"/>
      <c r="P2653" s="85"/>
      <c r="Q2653" s="85"/>
      <c r="R2653" s="85"/>
      <c r="S2653" s="85"/>
      <c r="T2653" s="85"/>
      <c r="U2653" s="82"/>
      <c r="V2653" s="82"/>
      <c r="W2653" s="83"/>
      <c r="X2653" s="83"/>
      <c r="Y2653" s="83"/>
    </row>
    <row r="2654" spans="1:25" ht="13.8">
      <c r="A2654" s="78"/>
      <c r="B2654" s="79"/>
      <c r="C2654" s="78"/>
      <c r="D2654" s="78"/>
      <c r="E2654" s="80"/>
      <c r="F2654" s="86"/>
      <c r="G2654" s="86"/>
      <c r="H2654" s="86"/>
      <c r="I2654" s="86"/>
      <c r="J2654" s="85"/>
      <c r="K2654" s="85"/>
      <c r="L2654" s="85"/>
      <c r="M2654" s="85"/>
      <c r="N2654" s="85"/>
      <c r="O2654" s="85"/>
      <c r="P2654" s="85"/>
      <c r="Q2654" s="85"/>
      <c r="R2654" s="85"/>
      <c r="S2654" s="85"/>
      <c r="T2654" s="85"/>
      <c r="U2654" s="82"/>
      <c r="V2654" s="82"/>
      <c r="W2654" s="83"/>
      <c r="X2654" s="83"/>
      <c r="Y2654" s="83"/>
    </row>
    <row r="2655" spans="1:25" ht="13.8">
      <c r="A2655" s="78"/>
      <c r="B2655" s="79"/>
      <c r="C2655" s="78"/>
      <c r="D2655" s="78"/>
      <c r="E2655" s="80"/>
      <c r="F2655" s="86"/>
      <c r="G2655" s="86"/>
      <c r="H2655" s="86"/>
      <c r="I2655" s="86"/>
      <c r="J2655" s="85"/>
      <c r="K2655" s="85"/>
      <c r="L2655" s="85"/>
      <c r="M2655" s="85"/>
      <c r="N2655" s="85"/>
      <c r="O2655" s="85"/>
      <c r="P2655" s="85"/>
      <c r="Q2655" s="85"/>
      <c r="R2655" s="85"/>
      <c r="S2655" s="85"/>
      <c r="T2655" s="85"/>
      <c r="U2655" s="82"/>
      <c r="V2655" s="82"/>
      <c r="W2655" s="83"/>
      <c r="X2655" s="83"/>
      <c r="Y2655" s="83"/>
    </row>
    <row r="2656" spans="1:25" ht="13.8">
      <c r="A2656" s="78"/>
      <c r="B2656" s="79"/>
      <c r="C2656" s="78"/>
      <c r="D2656" s="78"/>
      <c r="E2656" s="80"/>
      <c r="F2656" s="86"/>
      <c r="G2656" s="86"/>
      <c r="H2656" s="86"/>
      <c r="I2656" s="86"/>
      <c r="J2656" s="85"/>
      <c r="K2656" s="85"/>
      <c r="L2656" s="85"/>
      <c r="M2656" s="85"/>
      <c r="N2656" s="85"/>
      <c r="O2656" s="85"/>
      <c r="P2656" s="85"/>
      <c r="Q2656" s="85"/>
      <c r="R2656" s="85"/>
      <c r="S2656" s="85"/>
      <c r="T2656" s="85"/>
      <c r="U2656" s="82"/>
      <c r="V2656" s="82"/>
      <c r="W2656" s="83"/>
      <c r="X2656" s="83"/>
      <c r="Y2656" s="83"/>
    </row>
    <row r="2657" spans="1:25" ht="13.8">
      <c r="A2657" s="78"/>
      <c r="B2657" s="79"/>
      <c r="C2657" s="78"/>
      <c r="D2657" s="78"/>
      <c r="E2657" s="80"/>
      <c r="F2657" s="86"/>
      <c r="G2657" s="86"/>
      <c r="H2657" s="86"/>
      <c r="I2657" s="86"/>
      <c r="J2657" s="85"/>
      <c r="K2657" s="85"/>
      <c r="L2657" s="85"/>
      <c r="M2657" s="85"/>
      <c r="N2657" s="85"/>
      <c r="O2657" s="85"/>
      <c r="P2657" s="85"/>
      <c r="Q2657" s="85"/>
      <c r="R2657" s="85"/>
      <c r="S2657" s="85"/>
      <c r="T2657" s="85"/>
      <c r="U2657" s="82"/>
      <c r="V2657" s="82"/>
      <c r="W2657" s="83"/>
      <c r="X2657" s="83"/>
      <c r="Y2657" s="83"/>
    </row>
    <row r="2658" spans="1:25" ht="13.8">
      <c r="A2658" s="78"/>
      <c r="B2658" s="79"/>
      <c r="C2658" s="78"/>
      <c r="D2658" s="78"/>
      <c r="E2658" s="80"/>
      <c r="F2658" s="86"/>
      <c r="G2658" s="86"/>
      <c r="H2658" s="86"/>
      <c r="I2658" s="86"/>
      <c r="J2658" s="85"/>
      <c r="K2658" s="85"/>
      <c r="L2658" s="85"/>
      <c r="M2658" s="85"/>
      <c r="N2658" s="85"/>
      <c r="O2658" s="85"/>
      <c r="P2658" s="85"/>
      <c r="Q2658" s="85"/>
      <c r="R2658" s="85"/>
      <c r="S2658" s="85"/>
      <c r="T2658" s="85"/>
      <c r="U2658" s="82"/>
      <c r="V2658" s="82"/>
      <c r="W2658" s="83"/>
      <c r="X2658" s="83"/>
      <c r="Y2658" s="83"/>
    </row>
    <row r="2659" spans="1:25" ht="13.8">
      <c r="A2659" s="78"/>
      <c r="B2659" s="79"/>
      <c r="C2659" s="78"/>
      <c r="D2659" s="78"/>
      <c r="E2659" s="80"/>
      <c r="F2659" s="86"/>
      <c r="G2659" s="86"/>
      <c r="H2659" s="86"/>
      <c r="I2659" s="86"/>
      <c r="J2659" s="85"/>
      <c r="K2659" s="85"/>
      <c r="L2659" s="85"/>
      <c r="M2659" s="85"/>
      <c r="N2659" s="85"/>
      <c r="O2659" s="85"/>
      <c r="P2659" s="85"/>
      <c r="Q2659" s="85"/>
      <c r="R2659" s="85"/>
      <c r="S2659" s="85"/>
      <c r="T2659" s="85"/>
      <c r="U2659" s="82"/>
      <c r="V2659" s="82"/>
      <c r="W2659" s="83"/>
      <c r="X2659" s="83"/>
      <c r="Y2659" s="83"/>
    </row>
    <row r="2660" spans="1:25" ht="13.8">
      <c r="A2660" s="78"/>
      <c r="B2660" s="79"/>
      <c r="C2660" s="78"/>
      <c r="D2660" s="78"/>
      <c r="E2660" s="80"/>
      <c r="F2660" s="86"/>
      <c r="G2660" s="86"/>
      <c r="H2660" s="86"/>
      <c r="I2660" s="86"/>
      <c r="J2660" s="85"/>
      <c r="K2660" s="85"/>
      <c r="L2660" s="85"/>
      <c r="M2660" s="85"/>
      <c r="N2660" s="85"/>
      <c r="O2660" s="85"/>
      <c r="P2660" s="85"/>
      <c r="Q2660" s="85"/>
      <c r="R2660" s="85"/>
      <c r="S2660" s="85"/>
      <c r="T2660" s="85"/>
      <c r="U2660" s="82"/>
      <c r="V2660" s="82"/>
      <c r="W2660" s="83"/>
      <c r="X2660" s="83"/>
      <c r="Y2660" s="83"/>
    </row>
    <row r="2661" spans="1:25" ht="13.8">
      <c r="A2661" s="78"/>
      <c r="B2661" s="79"/>
      <c r="C2661" s="78"/>
      <c r="D2661" s="78"/>
      <c r="E2661" s="80"/>
      <c r="F2661" s="86"/>
      <c r="G2661" s="86"/>
      <c r="H2661" s="86"/>
      <c r="I2661" s="86"/>
      <c r="J2661" s="85"/>
      <c r="K2661" s="85"/>
      <c r="L2661" s="85"/>
      <c r="M2661" s="85"/>
      <c r="N2661" s="85"/>
      <c r="O2661" s="85"/>
      <c r="P2661" s="85"/>
      <c r="Q2661" s="85"/>
      <c r="R2661" s="85"/>
      <c r="S2661" s="85"/>
      <c r="T2661" s="85"/>
      <c r="U2661" s="82"/>
      <c r="V2661" s="82"/>
      <c r="W2661" s="83"/>
      <c r="X2661" s="83"/>
      <c r="Y2661" s="83"/>
    </row>
    <row r="2662" spans="1:25" ht="13.8">
      <c r="A2662" s="78"/>
      <c r="B2662" s="79"/>
      <c r="C2662" s="78"/>
      <c r="D2662" s="78"/>
      <c r="E2662" s="80"/>
      <c r="F2662" s="86"/>
      <c r="G2662" s="86"/>
      <c r="H2662" s="86"/>
      <c r="I2662" s="86"/>
      <c r="J2662" s="85"/>
      <c r="K2662" s="85"/>
      <c r="L2662" s="85"/>
      <c r="M2662" s="85"/>
      <c r="N2662" s="85"/>
      <c r="O2662" s="85"/>
      <c r="P2662" s="85"/>
      <c r="Q2662" s="85"/>
      <c r="R2662" s="85"/>
      <c r="S2662" s="85"/>
      <c r="T2662" s="85"/>
      <c r="U2662" s="82"/>
      <c r="V2662" s="82"/>
      <c r="W2662" s="83"/>
      <c r="X2662" s="83"/>
      <c r="Y2662" s="83"/>
    </row>
    <row r="2663" spans="1:25" ht="13.8">
      <c r="A2663" s="78"/>
      <c r="B2663" s="79"/>
      <c r="C2663" s="78"/>
      <c r="D2663" s="78"/>
      <c r="E2663" s="80"/>
      <c r="F2663" s="86"/>
      <c r="G2663" s="86"/>
      <c r="H2663" s="86"/>
      <c r="I2663" s="86"/>
      <c r="J2663" s="85"/>
      <c r="K2663" s="85"/>
      <c r="L2663" s="85"/>
      <c r="M2663" s="85"/>
      <c r="N2663" s="85"/>
      <c r="O2663" s="85"/>
      <c r="P2663" s="85"/>
      <c r="Q2663" s="85"/>
      <c r="R2663" s="85"/>
      <c r="S2663" s="85"/>
      <c r="T2663" s="85"/>
      <c r="U2663" s="82"/>
      <c r="V2663" s="82"/>
      <c r="W2663" s="83"/>
      <c r="X2663" s="83"/>
      <c r="Y2663" s="83"/>
    </row>
    <row r="2664" spans="1:25" ht="13.8">
      <c r="A2664" s="78"/>
      <c r="B2664" s="79"/>
      <c r="C2664" s="78"/>
      <c r="D2664" s="78"/>
      <c r="E2664" s="80"/>
      <c r="F2664" s="86"/>
      <c r="G2664" s="86"/>
      <c r="H2664" s="86"/>
      <c r="I2664" s="86"/>
      <c r="J2664" s="85"/>
      <c r="K2664" s="85"/>
      <c r="L2664" s="85"/>
      <c r="M2664" s="85"/>
      <c r="N2664" s="85"/>
      <c r="O2664" s="85"/>
      <c r="P2664" s="85"/>
      <c r="Q2664" s="85"/>
      <c r="R2664" s="85"/>
      <c r="S2664" s="85"/>
      <c r="T2664" s="85"/>
      <c r="U2664" s="82"/>
      <c r="V2664" s="82"/>
      <c r="W2664" s="83"/>
      <c r="X2664" s="83"/>
      <c r="Y2664" s="83"/>
    </row>
    <row r="2665" spans="1:25" ht="13.8">
      <c r="A2665" s="78"/>
      <c r="B2665" s="79"/>
      <c r="C2665" s="78"/>
      <c r="D2665" s="78"/>
      <c r="E2665" s="80"/>
      <c r="F2665" s="86"/>
      <c r="G2665" s="86"/>
      <c r="H2665" s="86"/>
      <c r="I2665" s="86"/>
      <c r="J2665" s="85"/>
      <c r="K2665" s="85"/>
      <c r="L2665" s="85"/>
      <c r="M2665" s="85"/>
      <c r="N2665" s="85"/>
      <c r="O2665" s="85"/>
      <c r="P2665" s="85"/>
      <c r="Q2665" s="85"/>
      <c r="R2665" s="85"/>
      <c r="S2665" s="85"/>
      <c r="T2665" s="85"/>
      <c r="U2665" s="82"/>
      <c r="V2665" s="82"/>
      <c r="W2665" s="83"/>
      <c r="X2665" s="83"/>
      <c r="Y2665" s="83"/>
    </row>
    <row r="2666" spans="1:25" ht="13.8">
      <c r="A2666" s="78"/>
      <c r="B2666" s="79"/>
      <c r="C2666" s="78"/>
      <c r="D2666" s="78"/>
      <c r="E2666" s="80"/>
      <c r="F2666" s="86"/>
      <c r="G2666" s="86"/>
      <c r="H2666" s="86"/>
      <c r="I2666" s="86"/>
      <c r="J2666" s="85"/>
      <c r="K2666" s="85"/>
      <c r="L2666" s="85"/>
      <c r="M2666" s="85"/>
      <c r="N2666" s="85"/>
      <c r="O2666" s="85"/>
      <c r="P2666" s="85"/>
      <c r="Q2666" s="85"/>
      <c r="R2666" s="85"/>
      <c r="S2666" s="85"/>
      <c r="T2666" s="85"/>
      <c r="U2666" s="82"/>
      <c r="V2666" s="82"/>
      <c r="W2666" s="83"/>
      <c r="X2666" s="83"/>
      <c r="Y2666" s="83"/>
    </row>
    <row r="2667" spans="1:25" ht="13.8">
      <c r="A2667" s="78"/>
      <c r="B2667" s="79"/>
      <c r="C2667" s="78"/>
      <c r="D2667" s="78"/>
      <c r="E2667" s="80"/>
      <c r="F2667" s="86"/>
      <c r="G2667" s="86"/>
      <c r="H2667" s="86"/>
      <c r="I2667" s="86"/>
      <c r="J2667" s="85"/>
      <c r="K2667" s="85"/>
      <c r="L2667" s="85"/>
      <c r="M2667" s="85"/>
      <c r="N2667" s="85"/>
      <c r="O2667" s="85"/>
      <c r="P2667" s="85"/>
      <c r="Q2667" s="85"/>
      <c r="R2667" s="85"/>
      <c r="S2667" s="85"/>
      <c r="T2667" s="85"/>
      <c r="U2667" s="82"/>
      <c r="V2667" s="82"/>
      <c r="W2667" s="83"/>
      <c r="X2667" s="83"/>
      <c r="Y2667" s="83"/>
    </row>
    <row r="2668" spans="1:25" ht="13.8">
      <c r="A2668" s="78"/>
      <c r="B2668" s="79"/>
      <c r="C2668" s="78"/>
      <c r="D2668" s="78"/>
      <c r="E2668" s="80"/>
      <c r="F2668" s="86"/>
      <c r="G2668" s="86"/>
      <c r="H2668" s="86"/>
      <c r="I2668" s="86"/>
      <c r="J2668" s="85"/>
      <c r="K2668" s="85"/>
      <c r="L2668" s="85"/>
      <c r="M2668" s="85"/>
      <c r="N2668" s="85"/>
      <c r="O2668" s="85"/>
      <c r="P2668" s="85"/>
      <c r="Q2668" s="85"/>
      <c r="R2668" s="85"/>
      <c r="S2668" s="85"/>
      <c r="T2668" s="85"/>
      <c r="U2668" s="82"/>
      <c r="V2668" s="82"/>
      <c r="W2668" s="83"/>
      <c r="X2668" s="83"/>
      <c r="Y2668" s="83"/>
    </row>
    <row r="2669" spans="1:25" ht="13.8">
      <c r="A2669" s="78"/>
      <c r="B2669" s="79"/>
      <c r="C2669" s="78"/>
      <c r="D2669" s="78"/>
      <c r="E2669" s="80"/>
      <c r="F2669" s="86"/>
      <c r="G2669" s="86"/>
      <c r="H2669" s="86"/>
      <c r="I2669" s="86"/>
      <c r="J2669" s="85"/>
      <c r="K2669" s="85"/>
      <c r="L2669" s="85"/>
      <c r="M2669" s="85"/>
      <c r="N2669" s="85"/>
      <c r="O2669" s="85"/>
      <c r="P2669" s="85"/>
      <c r="Q2669" s="85"/>
      <c r="R2669" s="85"/>
      <c r="S2669" s="85"/>
      <c r="T2669" s="85"/>
      <c r="U2669" s="82"/>
      <c r="V2669" s="82"/>
      <c r="W2669" s="83"/>
      <c r="X2669" s="83"/>
      <c r="Y2669" s="83"/>
    </row>
    <row r="2670" spans="1:25" ht="13.8">
      <c r="A2670" s="78"/>
      <c r="B2670" s="79"/>
      <c r="C2670" s="78"/>
      <c r="D2670" s="78"/>
      <c r="E2670" s="80"/>
      <c r="F2670" s="86"/>
      <c r="G2670" s="86"/>
      <c r="H2670" s="86"/>
      <c r="I2670" s="86"/>
      <c r="J2670" s="85"/>
      <c r="K2670" s="85"/>
      <c r="L2670" s="85"/>
      <c r="M2670" s="85"/>
      <c r="N2670" s="85"/>
      <c r="O2670" s="85"/>
      <c r="P2670" s="85"/>
      <c r="Q2670" s="85"/>
      <c r="R2670" s="85"/>
      <c r="S2670" s="85"/>
      <c r="T2670" s="85"/>
      <c r="U2670" s="82"/>
      <c r="V2670" s="82"/>
      <c r="W2670" s="83"/>
      <c r="X2670" s="83"/>
      <c r="Y2670" s="83"/>
    </row>
    <row r="2671" spans="1:25" ht="13.8">
      <c r="A2671" s="78"/>
      <c r="B2671" s="79"/>
      <c r="C2671" s="78"/>
      <c r="D2671" s="78"/>
      <c r="E2671" s="80"/>
      <c r="F2671" s="86"/>
      <c r="G2671" s="86"/>
      <c r="H2671" s="86"/>
      <c r="I2671" s="86"/>
      <c r="J2671" s="85"/>
      <c r="K2671" s="85"/>
      <c r="L2671" s="85"/>
      <c r="M2671" s="85"/>
      <c r="N2671" s="85"/>
      <c r="O2671" s="85"/>
      <c r="P2671" s="85"/>
      <c r="Q2671" s="85"/>
      <c r="R2671" s="85"/>
      <c r="S2671" s="85"/>
      <c r="T2671" s="85"/>
      <c r="U2671" s="82"/>
      <c r="V2671" s="82"/>
      <c r="W2671" s="83"/>
      <c r="X2671" s="83"/>
      <c r="Y2671" s="83"/>
    </row>
    <row r="2672" spans="1:25" ht="13.8">
      <c r="A2672" s="78"/>
      <c r="B2672" s="79"/>
      <c r="C2672" s="78"/>
      <c r="D2672" s="78"/>
      <c r="E2672" s="80"/>
      <c r="F2672" s="86"/>
      <c r="G2672" s="86"/>
      <c r="H2672" s="86"/>
      <c r="I2672" s="86"/>
      <c r="J2672" s="85"/>
      <c r="K2672" s="85"/>
      <c r="L2672" s="85"/>
      <c r="M2672" s="85"/>
      <c r="N2672" s="85"/>
      <c r="O2672" s="85"/>
      <c r="P2672" s="85"/>
      <c r="Q2672" s="85"/>
      <c r="R2672" s="85"/>
      <c r="S2672" s="85"/>
      <c r="T2672" s="85"/>
      <c r="U2672" s="82"/>
      <c r="V2672" s="82"/>
      <c r="W2672" s="83"/>
      <c r="X2672" s="83"/>
      <c r="Y2672" s="83"/>
    </row>
    <row r="2673" spans="1:25" ht="13.8">
      <c r="A2673" s="78"/>
      <c r="B2673" s="79"/>
      <c r="C2673" s="78"/>
      <c r="D2673" s="78"/>
      <c r="E2673" s="80"/>
      <c r="F2673" s="86"/>
      <c r="G2673" s="86"/>
      <c r="H2673" s="86"/>
      <c r="I2673" s="86"/>
      <c r="J2673" s="85"/>
      <c r="K2673" s="85"/>
      <c r="L2673" s="85"/>
      <c r="M2673" s="85"/>
      <c r="N2673" s="85"/>
      <c r="O2673" s="85"/>
      <c r="P2673" s="85"/>
      <c r="Q2673" s="85"/>
      <c r="R2673" s="85"/>
      <c r="S2673" s="85"/>
      <c r="T2673" s="85"/>
      <c r="U2673" s="82"/>
      <c r="V2673" s="82"/>
      <c r="W2673" s="83"/>
      <c r="X2673" s="83"/>
      <c r="Y2673" s="83"/>
    </row>
    <row r="2674" spans="1:25" ht="13.8">
      <c r="A2674" s="78"/>
      <c r="B2674" s="79"/>
      <c r="C2674" s="78"/>
      <c r="D2674" s="78"/>
      <c r="E2674" s="80"/>
      <c r="F2674" s="86"/>
      <c r="G2674" s="86"/>
      <c r="H2674" s="86"/>
      <c r="I2674" s="86"/>
      <c r="J2674" s="85"/>
      <c r="K2674" s="85"/>
      <c r="L2674" s="85"/>
      <c r="M2674" s="85"/>
      <c r="N2674" s="85"/>
      <c r="O2674" s="85"/>
      <c r="P2674" s="85"/>
      <c r="Q2674" s="85"/>
      <c r="R2674" s="85"/>
      <c r="S2674" s="85"/>
      <c r="T2674" s="85"/>
      <c r="U2674" s="82"/>
      <c r="V2674" s="82"/>
      <c r="W2674" s="83"/>
      <c r="X2674" s="83"/>
      <c r="Y2674" s="83"/>
    </row>
    <row r="2675" spans="1:25" ht="13.8">
      <c r="A2675" s="78"/>
      <c r="B2675" s="79"/>
      <c r="C2675" s="78"/>
      <c r="D2675" s="78"/>
      <c r="E2675" s="80"/>
      <c r="F2675" s="86"/>
      <c r="G2675" s="86"/>
      <c r="H2675" s="86"/>
      <c r="I2675" s="86"/>
      <c r="J2675" s="85"/>
      <c r="K2675" s="85"/>
      <c r="L2675" s="85"/>
      <c r="M2675" s="85"/>
      <c r="N2675" s="85"/>
      <c r="O2675" s="85"/>
      <c r="P2675" s="85"/>
      <c r="Q2675" s="85"/>
      <c r="R2675" s="85"/>
      <c r="S2675" s="85"/>
      <c r="T2675" s="85"/>
      <c r="U2675" s="82"/>
      <c r="V2675" s="82"/>
      <c r="W2675" s="83"/>
      <c r="X2675" s="83"/>
      <c r="Y2675" s="83"/>
    </row>
    <row r="2676" spans="1:25" ht="13.8">
      <c r="A2676" s="78"/>
      <c r="B2676" s="79"/>
      <c r="C2676" s="78"/>
      <c r="D2676" s="78"/>
      <c r="E2676" s="80"/>
      <c r="F2676" s="86"/>
      <c r="G2676" s="86"/>
      <c r="H2676" s="86"/>
      <c r="I2676" s="86"/>
      <c r="J2676" s="85"/>
      <c r="K2676" s="85"/>
      <c r="L2676" s="85"/>
      <c r="M2676" s="85"/>
      <c r="N2676" s="85"/>
      <c r="O2676" s="85"/>
      <c r="P2676" s="85"/>
      <c r="Q2676" s="85"/>
      <c r="R2676" s="85"/>
      <c r="S2676" s="85"/>
      <c r="T2676" s="85"/>
      <c r="U2676" s="82"/>
      <c r="V2676" s="82"/>
      <c r="W2676" s="83"/>
      <c r="X2676" s="83"/>
      <c r="Y2676" s="83"/>
    </row>
    <row r="2677" spans="1:25" ht="13.8">
      <c r="A2677" s="78"/>
      <c r="B2677" s="79"/>
      <c r="C2677" s="78"/>
      <c r="D2677" s="78"/>
      <c r="E2677" s="80"/>
      <c r="F2677" s="86"/>
      <c r="G2677" s="86"/>
      <c r="H2677" s="86"/>
      <c r="I2677" s="86"/>
      <c r="J2677" s="85"/>
      <c r="K2677" s="85"/>
      <c r="L2677" s="85"/>
      <c r="M2677" s="85"/>
      <c r="N2677" s="85"/>
      <c r="O2677" s="85"/>
      <c r="P2677" s="85"/>
      <c r="Q2677" s="85"/>
      <c r="R2677" s="85"/>
      <c r="S2677" s="85"/>
      <c r="T2677" s="85"/>
      <c r="U2677" s="82"/>
      <c r="V2677" s="82"/>
      <c r="W2677" s="83"/>
      <c r="X2677" s="83"/>
      <c r="Y2677" s="83"/>
    </row>
    <row r="2678" spans="1:25" ht="13.8">
      <c r="A2678" s="78"/>
      <c r="B2678" s="79"/>
      <c r="C2678" s="78"/>
      <c r="D2678" s="78"/>
      <c r="E2678" s="80"/>
      <c r="F2678" s="86"/>
      <c r="G2678" s="86"/>
      <c r="H2678" s="86"/>
      <c r="I2678" s="86"/>
      <c r="J2678" s="85"/>
      <c r="K2678" s="85"/>
      <c r="L2678" s="85"/>
      <c r="M2678" s="85"/>
      <c r="N2678" s="85"/>
      <c r="O2678" s="85"/>
      <c r="P2678" s="85"/>
      <c r="Q2678" s="85"/>
      <c r="R2678" s="85"/>
      <c r="S2678" s="85"/>
      <c r="T2678" s="85"/>
      <c r="U2678" s="82"/>
      <c r="V2678" s="82"/>
      <c r="W2678" s="83"/>
      <c r="X2678" s="83"/>
      <c r="Y2678" s="83"/>
    </row>
    <row r="2679" spans="1:25" ht="13.8">
      <c r="A2679" s="78"/>
      <c r="B2679" s="79"/>
      <c r="C2679" s="78"/>
      <c r="D2679" s="78"/>
      <c r="E2679" s="80"/>
      <c r="F2679" s="86"/>
      <c r="G2679" s="86"/>
      <c r="H2679" s="86"/>
      <c r="I2679" s="86"/>
      <c r="J2679" s="85"/>
      <c r="K2679" s="85"/>
      <c r="L2679" s="85"/>
      <c r="M2679" s="85"/>
      <c r="N2679" s="85"/>
      <c r="O2679" s="85"/>
      <c r="P2679" s="85"/>
      <c r="Q2679" s="85"/>
      <c r="R2679" s="85"/>
      <c r="S2679" s="85"/>
      <c r="T2679" s="85"/>
      <c r="U2679" s="82"/>
      <c r="V2679" s="82"/>
      <c r="W2679" s="83"/>
      <c r="X2679" s="83"/>
      <c r="Y2679" s="83"/>
    </row>
    <row r="2680" spans="1:25" ht="13.8">
      <c r="A2680" s="78"/>
      <c r="B2680" s="79"/>
      <c r="C2680" s="78"/>
      <c r="D2680" s="78"/>
      <c r="E2680" s="80"/>
      <c r="F2680" s="86"/>
      <c r="G2680" s="86"/>
      <c r="H2680" s="86"/>
      <c r="I2680" s="86"/>
      <c r="J2680" s="85"/>
      <c r="K2680" s="85"/>
      <c r="L2680" s="85"/>
      <c r="M2680" s="85"/>
      <c r="N2680" s="85"/>
      <c r="O2680" s="85"/>
      <c r="P2680" s="85"/>
      <c r="Q2680" s="85"/>
      <c r="R2680" s="85"/>
      <c r="S2680" s="85"/>
      <c r="T2680" s="85"/>
      <c r="U2680" s="82"/>
      <c r="V2680" s="82"/>
      <c r="W2680" s="83"/>
      <c r="X2680" s="83"/>
      <c r="Y2680" s="83"/>
    </row>
    <row r="2681" spans="1:25" ht="13.8">
      <c r="A2681" s="78"/>
      <c r="B2681" s="79"/>
      <c r="C2681" s="78"/>
      <c r="D2681" s="78"/>
      <c r="E2681" s="80"/>
      <c r="F2681" s="86"/>
      <c r="G2681" s="86"/>
      <c r="H2681" s="86"/>
      <c r="I2681" s="86"/>
      <c r="J2681" s="85"/>
      <c r="K2681" s="85"/>
      <c r="L2681" s="85"/>
      <c r="M2681" s="85"/>
      <c r="N2681" s="85"/>
      <c r="O2681" s="85"/>
      <c r="P2681" s="85"/>
      <c r="Q2681" s="85"/>
      <c r="R2681" s="85"/>
      <c r="S2681" s="85"/>
      <c r="T2681" s="85"/>
      <c r="U2681" s="82"/>
      <c r="V2681" s="82"/>
      <c r="W2681" s="83"/>
      <c r="X2681" s="83"/>
      <c r="Y2681" s="83"/>
    </row>
    <row r="2682" spans="1:25" ht="13.8">
      <c r="A2682" s="78"/>
      <c r="B2682" s="79"/>
      <c r="C2682" s="78"/>
      <c r="D2682" s="78"/>
      <c r="E2682" s="80"/>
      <c r="F2682" s="86"/>
      <c r="G2682" s="86"/>
      <c r="H2682" s="86"/>
      <c r="I2682" s="86"/>
      <c r="J2682" s="85"/>
      <c r="K2682" s="85"/>
      <c r="L2682" s="85"/>
      <c r="M2682" s="85"/>
      <c r="N2682" s="85"/>
      <c r="O2682" s="85"/>
      <c r="P2682" s="85"/>
      <c r="Q2682" s="85"/>
      <c r="R2682" s="85"/>
      <c r="S2682" s="85"/>
      <c r="T2682" s="85"/>
      <c r="U2682" s="82"/>
      <c r="V2682" s="82"/>
      <c r="W2682" s="83"/>
      <c r="X2682" s="83"/>
      <c r="Y2682" s="83"/>
    </row>
    <row r="2683" spans="1:25" ht="13.8">
      <c r="A2683" s="78"/>
      <c r="B2683" s="79"/>
      <c r="C2683" s="78"/>
      <c r="D2683" s="78"/>
      <c r="E2683" s="80"/>
      <c r="F2683" s="86"/>
      <c r="G2683" s="86"/>
      <c r="H2683" s="86"/>
      <c r="I2683" s="86"/>
      <c r="J2683" s="85"/>
      <c r="K2683" s="85"/>
      <c r="L2683" s="85"/>
      <c r="M2683" s="85"/>
      <c r="N2683" s="85"/>
      <c r="O2683" s="85"/>
      <c r="P2683" s="85"/>
      <c r="Q2683" s="85"/>
      <c r="R2683" s="85"/>
      <c r="S2683" s="85"/>
      <c r="T2683" s="85"/>
      <c r="U2683" s="82"/>
      <c r="V2683" s="82"/>
      <c r="W2683" s="83"/>
      <c r="X2683" s="83"/>
      <c r="Y2683" s="83"/>
    </row>
    <row r="2684" spans="1:25" ht="13.8">
      <c r="A2684" s="78"/>
      <c r="B2684" s="79"/>
      <c r="C2684" s="78"/>
      <c r="D2684" s="78"/>
      <c r="E2684" s="80"/>
      <c r="F2684" s="86"/>
      <c r="G2684" s="86"/>
      <c r="H2684" s="86"/>
      <c r="I2684" s="86"/>
      <c r="J2684" s="85"/>
      <c r="K2684" s="85"/>
      <c r="L2684" s="85"/>
      <c r="M2684" s="85"/>
      <c r="N2684" s="85"/>
      <c r="O2684" s="85"/>
      <c r="P2684" s="85"/>
      <c r="Q2684" s="85"/>
      <c r="R2684" s="85"/>
      <c r="S2684" s="85"/>
      <c r="T2684" s="85"/>
      <c r="U2684" s="82"/>
      <c r="V2684" s="82"/>
      <c r="W2684" s="83"/>
      <c r="X2684" s="83"/>
      <c r="Y2684" s="83"/>
    </row>
    <row r="2685" spans="1:25" ht="13.8">
      <c r="A2685" s="78"/>
      <c r="B2685" s="79"/>
      <c r="C2685" s="78"/>
      <c r="D2685" s="78"/>
      <c r="E2685" s="80"/>
      <c r="F2685" s="86"/>
      <c r="G2685" s="86"/>
      <c r="H2685" s="86"/>
      <c r="I2685" s="86"/>
      <c r="J2685" s="85"/>
      <c r="K2685" s="85"/>
      <c r="L2685" s="85"/>
      <c r="M2685" s="85"/>
      <c r="N2685" s="85"/>
      <c r="O2685" s="85"/>
      <c r="P2685" s="85"/>
      <c r="Q2685" s="85"/>
      <c r="R2685" s="85"/>
      <c r="S2685" s="85"/>
      <c r="T2685" s="85"/>
      <c r="U2685" s="82"/>
      <c r="V2685" s="82"/>
      <c r="W2685" s="83"/>
      <c r="X2685" s="83"/>
      <c r="Y2685" s="83"/>
    </row>
    <row r="2686" spans="1:25" ht="13.8">
      <c r="A2686" s="78"/>
      <c r="B2686" s="79"/>
      <c r="C2686" s="78"/>
      <c r="D2686" s="78"/>
      <c r="E2686" s="80"/>
      <c r="F2686" s="86"/>
      <c r="G2686" s="86"/>
      <c r="H2686" s="86"/>
      <c r="I2686" s="86"/>
      <c r="J2686" s="85"/>
      <c r="K2686" s="85"/>
      <c r="L2686" s="85"/>
      <c r="M2686" s="85"/>
      <c r="N2686" s="85"/>
      <c r="O2686" s="85"/>
      <c r="P2686" s="85"/>
      <c r="Q2686" s="85"/>
      <c r="R2686" s="85"/>
      <c r="S2686" s="85"/>
      <c r="T2686" s="85"/>
      <c r="U2686" s="82"/>
      <c r="V2686" s="82"/>
      <c r="W2686" s="83"/>
      <c r="X2686" s="83"/>
      <c r="Y2686" s="83"/>
    </row>
    <row r="2687" spans="1:25" ht="13.8">
      <c r="A2687" s="78"/>
      <c r="B2687" s="79"/>
      <c r="C2687" s="78"/>
      <c r="D2687" s="78"/>
      <c r="E2687" s="80"/>
      <c r="F2687" s="86"/>
      <c r="G2687" s="86"/>
      <c r="H2687" s="86"/>
      <c r="I2687" s="86"/>
      <c r="J2687" s="85"/>
      <c r="K2687" s="85"/>
      <c r="L2687" s="85"/>
      <c r="M2687" s="85"/>
      <c r="N2687" s="85"/>
      <c r="O2687" s="85"/>
      <c r="P2687" s="85"/>
      <c r="Q2687" s="85"/>
      <c r="R2687" s="85"/>
      <c r="S2687" s="85"/>
      <c r="T2687" s="85"/>
      <c r="U2687" s="82"/>
      <c r="V2687" s="82"/>
      <c r="W2687" s="83"/>
      <c r="X2687" s="83"/>
      <c r="Y2687" s="83"/>
    </row>
    <row r="2688" spans="1:25" ht="13.8">
      <c r="A2688" s="78"/>
      <c r="B2688" s="79"/>
      <c r="C2688" s="78"/>
      <c r="D2688" s="78"/>
      <c r="E2688" s="80"/>
      <c r="F2688" s="86"/>
      <c r="G2688" s="86"/>
      <c r="H2688" s="86"/>
      <c r="I2688" s="86"/>
      <c r="J2688" s="85"/>
      <c r="K2688" s="85"/>
      <c r="L2688" s="85"/>
      <c r="M2688" s="85"/>
      <c r="N2688" s="85"/>
      <c r="O2688" s="85"/>
      <c r="P2688" s="85"/>
      <c r="Q2688" s="85"/>
      <c r="R2688" s="85"/>
      <c r="S2688" s="85"/>
      <c r="T2688" s="85"/>
      <c r="U2688" s="82"/>
      <c r="V2688" s="82"/>
      <c r="W2688" s="83"/>
      <c r="X2688" s="83"/>
      <c r="Y2688" s="83"/>
    </row>
    <row r="2689" spans="1:25" ht="13.8">
      <c r="A2689" s="78"/>
      <c r="B2689" s="79"/>
      <c r="C2689" s="78"/>
      <c r="D2689" s="78"/>
      <c r="E2689" s="80"/>
      <c r="F2689" s="86"/>
      <c r="G2689" s="86"/>
      <c r="H2689" s="86"/>
      <c r="I2689" s="86"/>
      <c r="J2689" s="85"/>
      <c r="K2689" s="85"/>
      <c r="L2689" s="85"/>
      <c r="M2689" s="85"/>
      <c r="N2689" s="85"/>
      <c r="O2689" s="85"/>
      <c r="P2689" s="85"/>
      <c r="Q2689" s="85"/>
      <c r="R2689" s="85"/>
      <c r="S2689" s="85"/>
      <c r="T2689" s="85"/>
      <c r="U2689" s="82"/>
      <c r="V2689" s="82"/>
      <c r="W2689" s="83"/>
      <c r="X2689" s="83"/>
      <c r="Y2689" s="83"/>
    </row>
    <row r="2690" spans="1:25" ht="13.8">
      <c r="A2690" s="78"/>
      <c r="B2690" s="79"/>
      <c r="C2690" s="78"/>
      <c r="D2690" s="78"/>
      <c r="E2690" s="80"/>
      <c r="F2690" s="86"/>
      <c r="G2690" s="86"/>
      <c r="H2690" s="86"/>
      <c r="I2690" s="86"/>
      <c r="J2690" s="85"/>
      <c r="K2690" s="85"/>
      <c r="L2690" s="85"/>
      <c r="M2690" s="85"/>
      <c r="N2690" s="85"/>
      <c r="O2690" s="85"/>
      <c r="P2690" s="85"/>
      <c r="Q2690" s="85"/>
      <c r="R2690" s="85"/>
      <c r="S2690" s="85"/>
      <c r="T2690" s="85"/>
      <c r="U2690" s="82"/>
      <c r="V2690" s="82"/>
      <c r="W2690" s="83"/>
      <c r="X2690" s="83"/>
      <c r="Y2690" s="83"/>
    </row>
    <row r="2691" spans="1:25" ht="13.8">
      <c r="A2691" s="78"/>
      <c r="B2691" s="79"/>
      <c r="C2691" s="78"/>
      <c r="D2691" s="78"/>
      <c r="E2691" s="80"/>
      <c r="F2691" s="86"/>
      <c r="G2691" s="86"/>
      <c r="H2691" s="86"/>
      <c r="I2691" s="86"/>
      <c r="J2691" s="85"/>
      <c r="K2691" s="85"/>
      <c r="L2691" s="85"/>
      <c r="M2691" s="85"/>
      <c r="N2691" s="85"/>
      <c r="O2691" s="85"/>
      <c r="P2691" s="85"/>
      <c r="Q2691" s="85"/>
      <c r="R2691" s="85"/>
      <c r="S2691" s="85"/>
      <c r="T2691" s="85"/>
      <c r="U2691" s="82"/>
      <c r="V2691" s="82"/>
      <c r="W2691" s="83"/>
      <c r="X2691" s="83"/>
      <c r="Y2691" s="83"/>
    </row>
    <row r="2692" spans="1:25" ht="13.8">
      <c r="A2692" s="78"/>
      <c r="B2692" s="79"/>
      <c r="C2692" s="78"/>
      <c r="D2692" s="78"/>
      <c r="E2692" s="80"/>
      <c r="F2692" s="86"/>
      <c r="G2692" s="86"/>
      <c r="H2692" s="86"/>
      <c r="I2692" s="86"/>
      <c r="J2692" s="85"/>
      <c r="K2692" s="85"/>
      <c r="L2692" s="85"/>
      <c r="M2692" s="85"/>
      <c r="N2692" s="85"/>
      <c r="O2692" s="85"/>
      <c r="P2692" s="85"/>
      <c r="Q2692" s="85"/>
      <c r="R2692" s="85"/>
      <c r="S2692" s="85"/>
      <c r="T2692" s="85"/>
      <c r="U2692" s="82"/>
      <c r="V2692" s="82"/>
      <c r="W2692" s="83"/>
      <c r="X2692" s="83"/>
      <c r="Y2692" s="83"/>
    </row>
    <row r="2693" spans="1:25" ht="13.8">
      <c r="A2693" s="78"/>
      <c r="B2693" s="79"/>
      <c r="C2693" s="78"/>
      <c r="D2693" s="78"/>
      <c r="E2693" s="80"/>
      <c r="F2693" s="86"/>
      <c r="G2693" s="86"/>
      <c r="H2693" s="86"/>
      <c r="I2693" s="86"/>
      <c r="J2693" s="85"/>
      <c r="K2693" s="85"/>
      <c r="L2693" s="85"/>
      <c r="M2693" s="85"/>
      <c r="N2693" s="85"/>
      <c r="O2693" s="85"/>
      <c r="P2693" s="85"/>
      <c r="Q2693" s="85"/>
      <c r="R2693" s="85"/>
      <c r="S2693" s="85"/>
      <c r="T2693" s="85"/>
      <c r="U2693" s="82"/>
      <c r="V2693" s="82"/>
      <c r="W2693" s="83"/>
      <c r="X2693" s="83"/>
      <c r="Y2693" s="83"/>
    </row>
    <row r="2694" spans="1:25" ht="13.8">
      <c r="A2694" s="78"/>
      <c r="B2694" s="79"/>
      <c r="C2694" s="78"/>
      <c r="D2694" s="78"/>
      <c r="E2694" s="80"/>
      <c r="F2694" s="86"/>
      <c r="G2694" s="86"/>
      <c r="H2694" s="86"/>
      <c r="I2694" s="86"/>
      <c r="J2694" s="85"/>
      <c r="K2694" s="85"/>
      <c r="L2694" s="85"/>
      <c r="M2694" s="85"/>
      <c r="N2694" s="85"/>
      <c r="O2694" s="85"/>
      <c r="P2694" s="85"/>
      <c r="Q2694" s="85"/>
      <c r="R2694" s="85"/>
      <c r="S2694" s="85"/>
      <c r="T2694" s="85"/>
      <c r="U2694" s="82"/>
      <c r="V2694" s="82"/>
      <c r="W2694" s="83"/>
      <c r="X2694" s="83"/>
      <c r="Y2694" s="83"/>
    </row>
    <row r="2695" spans="1:25" ht="13.8">
      <c r="A2695" s="78"/>
      <c r="B2695" s="79"/>
      <c r="C2695" s="78"/>
      <c r="D2695" s="78"/>
      <c r="E2695" s="80"/>
      <c r="F2695" s="86"/>
      <c r="G2695" s="86"/>
      <c r="H2695" s="86"/>
      <c r="I2695" s="86"/>
      <c r="J2695" s="85"/>
      <c r="K2695" s="85"/>
      <c r="L2695" s="85"/>
      <c r="M2695" s="85"/>
      <c r="N2695" s="85"/>
      <c r="O2695" s="85"/>
      <c r="P2695" s="85"/>
      <c r="Q2695" s="85"/>
      <c r="R2695" s="85"/>
      <c r="S2695" s="85"/>
      <c r="T2695" s="85"/>
      <c r="U2695" s="82"/>
      <c r="V2695" s="82"/>
      <c r="W2695" s="83"/>
      <c r="X2695" s="83"/>
      <c r="Y2695" s="83"/>
    </row>
    <row r="2696" spans="1:25" ht="13.8">
      <c r="A2696" s="78"/>
      <c r="B2696" s="79"/>
      <c r="C2696" s="78"/>
      <c r="D2696" s="78"/>
      <c r="E2696" s="80"/>
      <c r="F2696" s="86"/>
      <c r="G2696" s="86"/>
      <c r="H2696" s="86"/>
      <c r="I2696" s="86"/>
      <c r="J2696" s="85"/>
      <c r="K2696" s="85"/>
      <c r="L2696" s="85"/>
      <c r="M2696" s="85"/>
      <c r="N2696" s="85"/>
      <c r="O2696" s="85"/>
      <c r="P2696" s="85"/>
      <c r="Q2696" s="85"/>
      <c r="R2696" s="85"/>
      <c r="S2696" s="85"/>
      <c r="T2696" s="85"/>
      <c r="U2696" s="82"/>
      <c r="V2696" s="82"/>
      <c r="W2696" s="83"/>
      <c r="X2696" s="83"/>
      <c r="Y2696" s="83"/>
    </row>
    <row r="2697" spans="1:25" ht="13.8">
      <c r="A2697" s="78"/>
      <c r="B2697" s="79"/>
      <c r="C2697" s="78"/>
      <c r="D2697" s="78"/>
      <c r="E2697" s="80"/>
      <c r="F2697" s="86"/>
      <c r="G2697" s="86"/>
      <c r="H2697" s="86"/>
      <c r="I2697" s="86"/>
      <c r="J2697" s="85"/>
      <c r="K2697" s="85"/>
      <c r="L2697" s="85"/>
      <c r="M2697" s="85"/>
      <c r="N2697" s="85"/>
      <c r="O2697" s="85"/>
      <c r="P2697" s="85"/>
      <c r="Q2697" s="85"/>
      <c r="R2697" s="85"/>
      <c r="S2697" s="85"/>
      <c r="T2697" s="85"/>
      <c r="U2697" s="82"/>
      <c r="V2697" s="82"/>
      <c r="W2697" s="83"/>
      <c r="X2697" s="83"/>
      <c r="Y2697" s="83"/>
    </row>
    <row r="2698" spans="1:25" ht="13.8">
      <c r="A2698" s="78"/>
      <c r="B2698" s="79"/>
      <c r="C2698" s="78"/>
      <c r="D2698" s="78"/>
      <c r="E2698" s="80"/>
      <c r="F2698" s="86"/>
      <c r="G2698" s="86"/>
      <c r="H2698" s="86"/>
      <c r="I2698" s="86"/>
      <c r="J2698" s="85"/>
      <c r="K2698" s="85"/>
      <c r="L2698" s="85"/>
      <c r="M2698" s="85"/>
      <c r="N2698" s="85"/>
      <c r="O2698" s="85"/>
      <c r="P2698" s="85"/>
      <c r="Q2698" s="85"/>
      <c r="R2698" s="85"/>
      <c r="S2698" s="85"/>
      <c r="T2698" s="85"/>
      <c r="U2698" s="82"/>
      <c r="V2698" s="82"/>
      <c r="W2698" s="83"/>
      <c r="X2698" s="83"/>
      <c r="Y2698" s="83"/>
    </row>
    <row r="2699" spans="1:25" ht="13.8">
      <c r="A2699" s="78"/>
      <c r="B2699" s="79"/>
      <c r="C2699" s="78"/>
      <c r="D2699" s="78"/>
      <c r="E2699" s="80"/>
      <c r="F2699" s="86"/>
      <c r="G2699" s="86"/>
      <c r="H2699" s="86"/>
      <c r="I2699" s="86"/>
      <c r="J2699" s="85"/>
      <c r="K2699" s="85"/>
      <c r="L2699" s="85"/>
      <c r="M2699" s="85"/>
      <c r="N2699" s="85"/>
      <c r="O2699" s="85"/>
      <c r="P2699" s="85"/>
      <c r="Q2699" s="85"/>
      <c r="R2699" s="85"/>
      <c r="S2699" s="85"/>
      <c r="T2699" s="85"/>
      <c r="U2699" s="82"/>
      <c r="V2699" s="82"/>
      <c r="W2699" s="83"/>
      <c r="X2699" s="83"/>
      <c r="Y2699" s="83"/>
    </row>
    <row r="2700" spans="1:25" ht="13.8">
      <c r="A2700" s="78"/>
      <c r="B2700" s="79"/>
      <c r="C2700" s="78"/>
      <c r="D2700" s="78"/>
      <c r="E2700" s="80"/>
      <c r="F2700" s="86"/>
      <c r="G2700" s="86"/>
      <c r="H2700" s="86"/>
      <c r="I2700" s="86"/>
      <c r="J2700" s="85"/>
      <c r="K2700" s="85"/>
      <c r="L2700" s="85"/>
      <c r="M2700" s="85"/>
      <c r="N2700" s="85"/>
      <c r="O2700" s="85"/>
      <c r="P2700" s="85"/>
      <c r="Q2700" s="85"/>
      <c r="R2700" s="85"/>
      <c r="S2700" s="85"/>
      <c r="T2700" s="85"/>
      <c r="U2700" s="82"/>
      <c r="V2700" s="82"/>
      <c r="W2700" s="83"/>
      <c r="X2700" s="83"/>
      <c r="Y2700" s="83"/>
    </row>
    <row r="2701" spans="1:25" ht="13.8">
      <c r="A2701" s="78"/>
      <c r="B2701" s="79"/>
      <c r="C2701" s="78"/>
      <c r="D2701" s="78"/>
      <c r="E2701" s="80"/>
      <c r="F2701" s="86"/>
      <c r="G2701" s="86"/>
      <c r="H2701" s="86"/>
      <c r="I2701" s="86"/>
      <c r="J2701" s="85"/>
      <c r="K2701" s="85"/>
      <c r="L2701" s="85"/>
      <c r="M2701" s="85"/>
      <c r="N2701" s="85"/>
      <c r="O2701" s="85"/>
      <c r="P2701" s="85"/>
      <c r="Q2701" s="85"/>
      <c r="R2701" s="85"/>
      <c r="S2701" s="85"/>
      <c r="T2701" s="85"/>
      <c r="U2701" s="82"/>
      <c r="V2701" s="82"/>
      <c r="W2701" s="83"/>
      <c r="X2701" s="83"/>
      <c r="Y2701" s="83"/>
    </row>
    <row r="2702" spans="1:25" ht="13.8">
      <c r="A2702" s="78"/>
      <c r="B2702" s="79"/>
      <c r="C2702" s="78"/>
      <c r="D2702" s="78"/>
      <c r="E2702" s="80"/>
      <c r="F2702" s="86"/>
      <c r="G2702" s="86"/>
      <c r="H2702" s="86"/>
      <c r="I2702" s="86"/>
      <c r="J2702" s="85"/>
      <c r="K2702" s="85"/>
      <c r="L2702" s="85"/>
      <c r="M2702" s="85"/>
      <c r="N2702" s="85"/>
      <c r="O2702" s="85"/>
      <c r="P2702" s="85"/>
      <c r="Q2702" s="85"/>
      <c r="R2702" s="85"/>
      <c r="S2702" s="85"/>
      <c r="T2702" s="85"/>
      <c r="U2702" s="82"/>
      <c r="V2702" s="82"/>
      <c r="W2702" s="83"/>
      <c r="X2702" s="83"/>
      <c r="Y2702" s="83"/>
    </row>
    <row r="2703" spans="1:25" ht="13.8">
      <c r="A2703" s="78"/>
      <c r="B2703" s="79"/>
      <c r="C2703" s="78"/>
      <c r="D2703" s="78"/>
      <c r="E2703" s="80"/>
      <c r="F2703" s="86"/>
      <c r="G2703" s="86"/>
      <c r="H2703" s="86"/>
      <c r="I2703" s="86"/>
      <c r="J2703" s="85"/>
      <c r="K2703" s="85"/>
      <c r="L2703" s="85"/>
      <c r="M2703" s="85"/>
      <c r="N2703" s="85"/>
      <c r="O2703" s="85"/>
      <c r="P2703" s="85"/>
      <c r="Q2703" s="85"/>
      <c r="R2703" s="85"/>
      <c r="S2703" s="85"/>
      <c r="T2703" s="85"/>
      <c r="U2703" s="82"/>
      <c r="V2703" s="82"/>
      <c r="W2703" s="83"/>
      <c r="X2703" s="83"/>
      <c r="Y2703" s="83"/>
    </row>
    <row r="2704" spans="1:25" ht="13.8">
      <c r="A2704" s="78"/>
      <c r="B2704" s="79"/>
      <c r="C2704" s="78"/>
      <c r="D2704" s="78"/>
      <c r="E2704" s="80"/>
      <c r="F2704" s="86"/>
      <c r="G2704" s="86"/>
      <c r="H2704" s="86"/>
      <c r="I2704" s="86"/>
      <c r="J2704" s="85"/>
      <c r="K2704" s="85"/>
      <c r="L2704" s="85"/>
      <c r="M2704" s="85"/>
      <c r="N2704" s="85"/>
      <c r="O2704" s="85"/>
      <c r="P2704" s="85"/>
      <c r="Q2704" s="85"/>
      <c r="R2704" s="85"/>
      <c r="S2704" s="85"/>
      <c r="T2704" s="85"/>
      <c r="U2704" s="82"/>
      <c r="V2704" s="82"/>
      <c r="W2704" s="83"/>
      <c r="X2704" s="83"/>
      <c r="Y2704" s="83"/>
    </row>
    <row r="2705" spans="1:25" ht="13.8">
      <c r="A2705" s="78"/>
      <c r="B2705" s="79"/>
      <c r="C2705" s="78"/>
      <c r="D2705" s="78"/>
      <c r="E2705" s="80"/>
      <c r="F2705" s="86"/>
      <c r="G2705" s="86"/>
      <c r="H2705" s="86"/>
      <c r="I2705" s="86"/>
      <c r="J2705" s="85"/>
      <c r="K2705" s="85"/>
      <c r="L2705" s="85"/>
      <c r="M2705" s="85"/>
      <c r="N2705" s="85"/>
      <c r="O2705" s="85"/>
      <c r="P2705" s="85"/>
      <c r="Q2705" s="85"/>
      <c r="R2705" s="85"/>
      <c r="S2705" s="85"/>
      <c r="T2705" s="85"/>
      <c r="U2705" s="82"/>
      <c r="V2705" s="82"/>
      <c r="W2705" s="83"/>
      <c r="X2705" s="83"/>
      <c r="Y2705" s="83"/>
    </row>
    <row r="2706" spans="1:25" ht="13.8">
      <c r="A2706" s="78"/>
      <c r="B2706" s="79"/>
      <c r="C2706" s="78"/>
      <c r="D2706" s="78"/>
      <c r="E2706" s="80"/>
      <c r="F2706" s="86"/>
      <c r="G2706" s="86"/>
      <c r="H2706" s="86"/>
      <c r="I2706" s="86"/>
      <c r="J2706" s="85"/>
      <c r="K2706" s="85"/>
      <c r="L2706" s="85"/>
      <c r="M2706" s="85"/>
      <c r="N2706" s="85"/>
      <c r="O2706" s="85"/>
      <c r="P2706" s="85"/>
      <c r="Q2706" s="85"/>
      <c r="R2706" s="85"/>
      <c r="S2706" s="85"/>
      <c r="T2706" s="85"/>
      <c r="U2706" s="82"/>
      <c r="V2706" s="82"/>
      <c r="W2706" s="83"/>
      <c r="X2706" s="83"/>
      <c r="Y2706" s="83"/>
    </row>
    <row r="2707" spans="1:25" ht="13.8">
      <c r="A2707" s="78"/>
      <c r="B2707" s="79"/>
      <c r="C2707" s="78"/>
      <c r="D2707" s="78"/>
      <c r="E2707" s="80"/>
      <c r="F2707" s="86"/>
      <c r="G2707" s="86"/>
      <c r="H2707" s="86"/>
      <c r="I2707" s="86"/>
      <c r="J2707" s="85"/>
      <c r="K2707" s="85"/>
      <c r="L2707" s="85"/>
      <c r="M2707" s="85"/>
      <c r="N2707" s="85"/>
      <c r="O2707" s="85"/>
      <c r="P2707" s="85"/>
      <c r="Q2707" s="85"/>
      <c r="R2707" s="85"/>
      <c r="S2707" s="85"/>
      <c r="T2707" s="85"/>
      <c r="U2707" s="82"/>
      <c r="V2707" s="82"/>
      <c r="W2707" s="83"/>
      <c r="X2707" s="83"/>
      <c r="Y2707" s="83"/>
    </row>
    <row r="2708" spans="1:25" ht="13.8">
      <c r="A2708" s="78"/>
      <c r="B2708" s="79"/>
      <c r="C2708" s="78"/>
      <c r="D2708" s="78"/>
      <c r="E2708" s="80"/>
      <c r="F2708" s="86"/>
      <c r="G2708" s="86"/>
      <c r="H2708" s="86"/>
      <c r="I2708" s="86"/>
      <c r="J2708" s="85"/>
      <c r="K2708" s="85"/>
      <c r="L2708" s="85"/>
      <c r="M2708" s="85"/>
      <c r="N2708" s="85"/>
      <c r="O2708" s="85"/>
      <c r="P2708" s="85"/>
      <c r="Q2708" s="85"/>
      <c r="R2708" s="85"/>
      <c r="S2708" s="85"/>
      <c r="T2708" s="85"/>
      <c r="U2708" s="82"/>
      <c r="V2708" s="82"/>
      <c r="W2708" s="83"/>
      <c r="X2708" s="83"/>
      <c r="Y2708" s="83"/>
    </row>
    <row r="2709" spans="1:25" ht="13.8">
      <c r="A2709" s="78"/>
      <c r="B2709" s="79"/>
      <c r="C2709" s="78"/>
      <c r="D2709" s="78"/>
      <c r="E2709" s="80"/>
      <c r="F2709" s="86"/>
      <c r="G2709" s="86"/>
      <c r="H2709" s="86"/>
      <c r="I2709" s="86"/>
      <c r="J2709" s="85"/>
      <c r="K2709" s="85"/>
      <c r="L2709" s="85"/>
      <c r="M2709" s="85"/>
      <c r="N2709" s="85"/>
      <c r="O2709" s="85"/>
      <c r="P2709" s="85"/>
      <c r="Q2709" s="85"/>
      <c r="R2709" s="85"/>
      <c r="S2709" s="85"/>
      <c r="T2709" s="85"/>
      <c r="U2709" s="82"/>
      <c r="V2709" s="82"/>
      <c r="W2709" s="83"/>
      <c r="X2709" s="83"/>
      <c r="Y2709" s="83"/>
    </row>
    <row r="2710" spans="1:25" ht="13.8">
      <c r="A2710" s="78"/>
      <c r="B2710" s="79"/>
      <c r="C2710" s="78"/>
      <c r="D2710" s="78"/>
      <c r="E2710" s="80"/>
      <c r="F2710" s="86"/>
      <c r="G2710" s="86"/>
      <c r="H2710" s="86"/>
      <c r="I2710" s="86"/>
      <c r="J2710" s="85"/>
      <c r="K2710" s="85"/>
      <c r="L2710" s="85"/>
      <c r="M2710" s="85"/>
      <c r="N2710" s="85"/>
      <c r="O2710" s="85"/>
      <c r="P2710" s="85"/>
      <c r="Q2710" s="85"/>
      <c r="R2710" s="85"/>
      <c r="S2710" s="85"/>
      <c r="T2710" s="85"/>
      <c r="U2710" s="82"/>
      <c r="V2710" s="82"/>
      <c r="W2710" s="83"/>
      <c r="X2710" s="83"/>
      <c r="Y2710" s="83"/>
    </row>
    <row r="2711" spans="1:25" ht="13.8">
      <c r="A2711" s="78"/>
      <c r="B2711" s="79"/>
      <c r="C2711" s="78"/>
      <c r="D2711" s="78"/>
      <c r="E2711" s="80"/>
      <c r="F2711" s="86"/>
      <c r="G2711" s="86"/>
      <c r="H2711" s="86"/>
      <c r="I2711" s="86"/>
      <c r="J2711" s="85"/>
      <c r="K2711" s="85"/>
      <c r="L2711" s="85"/>
      <c r="M2711" s="85"/>
      <c r="N2711" s="85"/>
      <c r="O2711" s="85"/>
      <c r="P2711" s="85"/>
      <c r="Q2711" s="85"/>
      <c r="R2711" s="85"/>
      <c r="S2711" s="85"/>
      <c r="T2711" s="85"/>
      <c r="U2711" s="82"/>
      <c r="V2711" s="82"/>
      <c r="W2711" s="83"/>
      <c r="X2711" s="83"/>
      <c r="Y2711" s="83"/>
    </row>
    <row r="2712" spans="1:25" ht="13.8">
      <c r="A2712" s="78"/>
      <c r="B2712" s="79"/>
      <c r="C2712" s="78"/>
      <c r="D2712" s="78"/>
      <c r="E2712" s="80"/>
      <c r="F2712" s="86"/>
      <c r="G2712" s="86"/>
      <c r="H2712" s="86"/>
      <c r="I2712" s="86"/>
      <c r="J2712" s="85"/>
      <c r="K2712" s="85"/>
      <c r="L2712" s="85"/>
      <c r="M2712" s="85"/>
      <c r="N2712" s="85"/>
      <c r="O2712" s="85"/>
      <c r="P2712" s="85"/>
      <c r="Q2712" s="85"/>
      <c r="R2712" s="85"/>
      <c r="S2712" s="85"/>
      <c r="T2712" s="85"/>
      <c r="U2712" s="82"/>
      <c r="V2712" s="82"/>
      <c r="W2712" s="83"/>
      <c r="X2712" s="83"/>
      <c r="Y2712" s="83"/>
    </row>
    <row r="2713" spans="1:25" ht="13.8">
      <c r="A2713" s="78"/>
      <c r="B2713" s="79"/>
      <c r="C2713" s="78"/>
      <c r="D2713" s="78"/>
      <c r="E2713" s="80"/>
      <c r="F2713" s="86"/>
      <c r="G2713" s="86"/>
      <c r="H2713" s="86"/>
      <c r="I2713" s="86"/>
      <c r="J2713" s="85"/>
      <c r="K2713" s="85"/>
      <c r="L2713" s="85"/>
      <c r="M2713" s="85"/>
      <c r="N2713" s="85"/>
      <c r="O2713" s="85"/>
      <c r="P2713" s="85"/>
      <c r="Q2713" s="85"/>
      <c r="R2713" s="85"/>
      <c r="S2713" s="85"/>
      <c r="T2713" s="85"/>
      <c r="U2713" s="82"/>
      <c r="V2713" s="82"/>
      <c r="W2713" s="83"/>
      <c r="X2713" s="83"/>
      <c r="Y2713" s="83"/>
    </row>
    <row r="2714" spans="1:25" ht="13.8">
      <c r="A2714" s="78"/>
      <c r="B2714" s="79"/>
      <c r="C2714" s="78"/>
      <c r="D2714" s="78"/>
      <c r="E2714" s="80"/>
      <c r="F2714" s="86"/>
      <c r="G2714" s="86"/>
      <c r="H2714" s="86"/>
      <c r="I2714" s="86"/>
      <c r="J2714" s="85"/>
      <c r="K2714" s="85"/>
      <c r="L2714" s="85"/>
      <c r="M2714" s="85"/>
      <c r="N2714" s="85"/>
      <c r="O2714" s="85"/>
      <c r="P2714" s="85"/>
      <c r="Q2714" s="85"/>
      <c r="R2714" s="85"/>
      <c r="S2714" s="85"/>
      <c r="T2714" s="85"/>
      <c r="U2714" s="82"/>
      <c r="V2714" s="82"/>
      <c r="W2714" s="83"/>
      <c r="X2714" s="83"/>
      <c r="Y2714" s="83"/>
    </row>
    <row r="2715" spans="1:25" ht="13.8">
      <c r="A2715" s="78"/>
      <c r="B2715" s="79"/>
      <c r="C2715" s="78"/>
      <c r="D2715" s="78"/>
      <c r="E2715" s="80"/>
      <c r="F2715" s="86"/>
      <c r="G2715" s="86"/>
      <c r="H2715" s="86"/>
      <c r="I2715" s="86"/>
      <c r="J2715" s="85"/>
      <c r="K2715" s="85"/>
      <c r="L2715" s="85"/>
      <c r="M2715" s="85"/>
      <c r="N2715" s="85"/>
      <c r="O2715" s="85"/>
      <c r="P2715" s="85"/>
      <c r="Q2715" s="85"/>
      <c r="R2715" s="85"/>
      <c r="S2715" s="85"/>
      <c r="T2715" s="85"/>
      <c r="U2715" s="82"/>
      <c r="V2715" s="82"/>
      <c r="W2715" s="83"/>
      <c r="X2715" s="83"/>
      <c r="Y2715" s="83"/>
    </row>
    <row r="2716" spans="1:25" ht="13.8">
      <c r="A2716" s="78"/>
      <c r="B2716" s="79"/>
      <c r="C2716" s="78"/>
      <c r="D2716" s="78"/>
      <c r="E2716" s="80"/>
      <c r="F2716" s="86"/>
      <c r="G2716" s="86"/>
      <c r="H2716" s="86"/>
      <c r="I2716" s="86"/>
      <c r="J2716" s="85"/>
      <c r="K2716" s="85"/>
      <c r="L2716" s="85"/>
      <c r="M2716" s="85"/>
      <c r="N2716" s="85"/>
      <c r="O2716" s="85"/>
      <c r="P2716" s="85"/>
      <c r="Q2716" s="85"/>
      <c r="R2716" s="85"/>
      <c r="S2716" s="85"/>
      <c r="T2716" s="85"/>
      <c r="U2716" s="82"/>
      <c r="V2716" s="82"/>
      <c r="W2716" s="83"/>
      <c r="X2716" s="83"/>
      <c r="Y2716" s="83"/>
    </row>
    <row r="2717" spans="1:25" ht="13.8">
      <c r="A2717" s="78"/>
      <c r="B2717" s="79"/>
      <c r="C2717" s="78"/>
      <c r="D2717" s="78"/>
      <c r="E2717" s="80"/>
      <c r="F2717" s="86"/>
      <c r="G2717" s="86"/>
      <c r="H2717" s="86"/>
      <c r="I2717" s="86"/>
      <c r="J2717" s="85"/>
      <c r="K2717" s="85"/>
      <c r="L2717" s="85"/>
      <c r="M2717" s="85"/>
      <c r="N2717" s="85"/>
      <c r="O2717" s="85"/>
      <c r="P2717" s="85"/>
      <c r="Q2717" s="85"/>
      <c r="R2717" s="85"/>
      <c r="S2717" s="85"/>
      <c r="T2717" s="85"/>
      <c r="U2717" s="82"/>
      <c r="V2717" s="82"/>
      <c r="W2717" s="83"/>
      <c r="X2717" s="83"/>
      <c r="Y2717" s="83"/>
    </row>
    <row r="2718" spans="1:25" ht="13.8">
      <c r="A2718" s="78"/>
      <c r="B2718" s="79"/>
      <c r="C2718" s="78"/>
      <c r="D2718" s="78"/>
      <c r="E2718" s="80"/>
      <c r="F2718" s="86"/>
      <c r="G2718" s="86"/>
      <c r="H2718" s="86"/>
      <c r="I2718" s="86"/>
      <c r="J2718" s="85"/>
      <c r="K2718" s="85"/>
      <c r="L2718" s="85"/>
      <c r="M2718" s="85"/>
      <c r="N2718" s="85"/>
      <c r="O2718" s="85"/>
      <c r="P2718" s="85"/>
      <c r="Q2718" s="85"/>
      <c r="R2718" s="85"/>
      <c r="S2718" s="85"/>
      <c r="T2718" s="85"/>
      <c r="U2718" s="82"/>
      <c r="V2718" s="82"/>
      <c r="W2718" s="83"/>
      <c r="X2718" s="83"/>
      <c r="Y2718" s="83"/>
    </row>
    <row r="2719" spans="1:25" ht="13.8">
      <c r="A2719" s="78"/>
      <c r="B2719" s="79"/>
      <c r="C2719" s="78"/>
      <c r="D2719" s="78"/>
      <c r="E2719" s="80"/>
      <c r="F2719" s="86"/>
      <c r="G2719" s="86"/>
      <c r="H2719" s="86"/>
      <c r="I2719" s="86"/>
      <c r="J2719" s="85"/>
      <c r="K2719" s="85"/>
      <c r="L2719" s="85"/>
      <c r="M2719" s="85"/>
      <c r="N2719" s="85"/>
      <c r="O2719" s="85"/>
      <c r="P2719" s="85"/>
      <c r="Q2719" s="85"/>
      <c r="R2719" s="85"/>
      <c r="S2719" s="85"/>
      <c r="T2719" s="85"/>
      <c r="U2719" s="82"/>
      <c r="V2719" s="82"/>
      <c r="W2719" s="83"/>
      <c r="X2719" s="83"/>
      <c r="Y2719" s="83"/>
    </row>
    <row r="2720" spans="1:25" ht="13.8">
      <c r="A2720" s="78"/>
      <c r="B2720" s="79"/>
      <c r="C2720" s="78"/>
      <c r="D2720" s="78"/>
      <c r="E2720" s="80"/>
      <c r="F2720" s="86"/>
      <c r="G2720" s="86"/>
      <c r="H2720" s="86"/>
      <c r="I2720" s="86"/>
      <c r="J2720" s="85"/>
      <c r="K2720" s="85"/>
      <c r="L2720" s="85"/>
      <c r="M2720" s="85"/>
      <c r="N2720" s="85"/>
      <c r="O2720" s="85"/>
      <c r="P2720" s="85"/>
      <c r="Q2720" s="85"/>
      <c r="R2720" s="85"/>
      <c r="S2720" s="85"/>
      <c r="T2720" s="85"/>
      <c r="U2720" s="82"/>
      <c r="V2720" s="82"/>
      <c r="W2720" s="83"/>
      <c r="X2720" s="83"/>
      <c r="Y2720" s="83"/>
    </row>
    <row r="2721" spans="1:25" ht="13.8">
      <c r="A2721" s="78"/>
      <c r="B2721" s="79"/>
      <c r="C2721" s="78"/>
      <c r="D2721" s="78"/>
      <c r="E2721" s="80"/>
      <c r="F2721" s="86"/>
      <c r="G2721" s="86"/>
      <c r="H2721" s="86"/>
      <c r="I2721" s="86"/>
      <c r="J2721" s="85"/>
      <c r="K2721" s="85"/>
      <c r="L2721" s="85"/>
      <c r="M2721" s="85"/>
      <c r="N2721" s="85"/>
      <c r="O2721" s="85"/>
      <c r="P2721" s="85"/>
      <c r="Q2721" s="85"/>
      <c r="R2721" s="85"/>
      <c r="S2721" s="85"/>
      <c r="T2721" s="85"/>
      <c r="U2721" s="82"/>
      <c r="V2721" s="82"/>
      <c r="W2721" s="83"/>
      <c r="X2721" s="83"/>
      <c r="Y2721" s="83"/>
    </row>
    <row r="2722" spans="1:25" ht="13.8">
      <c r="A2722" s="78"/>
      <c r="B2722" s="79"/>
      <c r="C2722" s="78"/>
      <c r="D2722" s="78"/>
      <c r="E2722" s="80"/>
      <c r="F2722" s="86"/>
      <c r="G2722" s="86"/>
      <c r="H2722" s="86"/>
      <c r="I2722" s="86"/>
      <c r="J2722" s="85"/>
      <c r="K2722" s="85"/>
      <c r="L2722" s="85"/>
      <c r="M2722" s="85"/>
      <c r="N2722" s="85"/>
      <c r="O2722" s="85"/>
      <c r="P2722" s="85"/>
      <c r="Q2722" s="85"/>
      <c r="R2722" s="85"/>
      <c r="S2722" s="85"/>
      <c r="T2722" s="85"/>
      <c r="U2722" s="82"/>
      <c r="V2722" s="82"/>
      <c r="W2722" s="83"/>
      <c r="X2722" s="83"/>
      <c r="Y2722" s="83"/>
    </row>
    <row r="2723" spans="1:25" ht="13.8">
      <c r="A2723" s="78"/>
      <c r="B2723" s="79"/>
      <c r="C2723" s="78"/>
      <c r="D2723" s="78"/>
      <c r="E2723" s="80"/>
      <c r="F2723" s="86"/>
      <c r="G2723" s="86"/>
      <c r="H2723" s="86"/>
      <c r="I2723" s="86"/>
      <c r="J2723" s="85"/>
      <c r="K2723" s="85"/>
      <c r="L2723" s="85"/>
      <c r="M2723" s="85"/>
      <c r="N2723" s="85"/>
      <c r="O2723" s="85"/>
      <c r="P2723" s="85"/>
      <c r="Q2723" s="85"/>
      <c r="R2723" s="85"/>
      <c r="S2723" s="85"/>
      <c r="T2723" s="85"/>
      <c r="U2723" s="82"/>
      <c r="V2723" s="82"/>
      <c r="W2723" s="83"/>
      <c r="X2723" s="83"/>
      <c r="Y2723" s="83"/>
    </row>
    <row r="2724" spans="1:25" ht="13.8">
      <c r="A2724" s="78"/>
      <c r="B2724" s="79"/>
      <c r="C2724" s="78"/>
      <c r="D2724" s="78"/>
      <c r="E2724" s="80"/>
      <c r="F2724" s="86"/>
      <c r="G2724" s="86"/>
      <c r="H2724" s="86"/>
      <c r="I2724" s="86"/>
      <c r="J2724" s="85"/>
      <c r="K2724" s="85"/>
      <c r="L2724" s="85"/>
      <c r="M2724" s="85"/>
      <c r="N2724" s="85"/>
      <c r="O2724" s="85"/>
      <c r="P2724" s="85"/>
      <c r="Q2724" s="85"/>
      <c r="R2724" s="85"/>
      <c r="S2724" s="85"/>
      <c r="T2724" s="85"/>
      <c r="U2724" s="82"/>
      <c r="V2724" s="82"/>
      <c r="W2724" s="83"/>
      <c r="X2724" s="83"/>
      <c r="Y2724" s="83"/>
    </row>
    <row r="2725" spans="1:25" ht="13.8">
      <c r="A2725" s="78"/>
      <c r="B2725" s="79"/>
      <c r="C2725" s="78"/>
      <c r="D2725" s="78"/>
      <c r="E2725" s="80"/>
      <c r="F2725" s="86"/>
      <c r="G2725" s="86"/>
      <c r="H2725" s="86"/>
      <c r="I2725" s="86"/>
      <c r="J2725" s="85"/>
      <c r="K2725" s="85"/>
      <c r="L2725" s="85"/>
      <c r="M2725" s="85"/>
      <c r="N2725" s="85"/>
      <c r="O2725" s="85"/>
      <c r="P2725" s="85"/>
      <c r="Q2725" s="85"/>
      <c r="R2725" s="85"/>
      <c r="S2725" s="85"/>
      <c r="T2725" s="85"/>
      <c r="U2725" s="82"/>
      <c r="V2725" s="82"/>
      <c r="W2725" s="83"/>
      <c r="X2725" s="83"/>
      <c r="Y2725" s="83"/>
    </row>
    <row r="2726" spans="1:25" ht="13.8">
      <c r="A2726" s="78"/>
      <c r="B2726" s="79"/>
      <c r="C2726" s="78"/>
      <c r="D2726" s="78"/>
      <c r="E2726" s="80"/>
      <c r="F2726" s="86"/>
      <c r="G2726" s="86"/>
      <c r="H2726" s="86"/>
      <c r="I2726" s="86"/>
      <c r="J2726" s="85"/>
      <c r="K2726" s="85"/>
      <c r="L2726" s="85"/>
      <c r="M2726" s="85"/>
      <c r="N2726" s="85"/>
      <c r="O2726" s="85"/>
      <c r="P2726" s="85"/>
      <c r="Q2726" s="85"/>
      <c r="R2726" s="85"/>
      <c r="S2726" s="85"/>
      <c r="T2726" s="85"/>
      <c r="U2726" s="82"/>
      <c r="V2726" s="82"/>
      <c r="W2726" s="83"/>
      <c r="X2726" s="83"/>
      <c r="Y2726" s="83"/>
    </row>
    <row r="2727" spans="1:25" ht="13.8">
      <c r="A2727" s="78"/>
      <c r="B2727" s="79"/>
      <c r="C2727" s="78"/>
      <c r="D2727" s="78"/>
      <c r="E2727" s="80"/>
      <c r="F2727" s="86"/>
      <c r="G2727" s="86"/>
      <c r="H2727" s="86"/>
      <c r="I2727" s="86"/>
      <c r="J2727" s="85"/>
      <c r="K2727" s="85"/>
      <c r="L2727" s="85"/>
      <c r="M2727" s="85"/>
      <c r="N2727" s="85"/>
      <c r="O2727" s="85"/>
      <c r="P2727" s="85"/>
      <c r="Q2727" s="85"/>
      <c r="R2727" s="85"/>
      <c r="S2727" s="85"/>
      <c r="T2727" s="85"/>
      <c r="U2727" s="82"/>
      <c r="V2727" s="82"/>
      <c r="W2727" s="83"/>
      <c r="X2727" s="83"/>
      <c r="Y2727" s="83"/>
    </row>
    <row r="2728" spans="1:25" ht="13.8">
      <c r="A2728" s="78"/>
      <c r="B2728" s="79"/>
      <c r="C2728" s="78"/>
      <c r="D2728" s="78"/>
      <c r="E2728" s="80"/>
      <c r="F2728" s="86"/>
      <c r="G2728" s="86"/>
      <c r="H2728" s="86"/>
      <c r="I2728" s="86"/>
      <c r="J2728" s="85"/>
      <c r="K2728" s="85"/>
      <c r="L2728" s="85"/>
      <c r="M2728" s="85"/>
      <c r="N2728" s="85"/>
      <c r="O2728" s="85"/>
      <c r="P2728" s="85"/>
      <c r="Q2728" s="85"/>
      <c r="R2728" s="85"/>
      <c r="S2728" s="85"/>
      <c r="T2728" s="85"/>
      <c r="U2728" s="82"/>
      <c r="V2728" s="82"/>
      <c r="W2728" s="83"/>
      <c r="X2728" s="83"/>
      <c r="Y2728" s="83"/>
    </row>
    <row r="2729" spans="1:25" ht="13.8">
      <c r="A2729" s="78"/>
      <c r="B2729" s="79"/>
      <c r="C2729" s="78"/>
      <c r="D2729" s="78"/>
      <c r="E2729" s="80"/>
      <c r="F2729" s="86"/>
      <c r="G2729" s="86"/>
      <c r="H2729" s="86"/>
      <c r="I2729" s="86"/>
      <c r="J2729" s="85"/>
      <c r="K2729" s="85"/>
      <c r="L2729" s="85"/>
      <c r="M2729" s="85"/>
      <c r="N2729" s="85"/>
      <c r="O2729" s="85"/>
      <c r="P2729" s="85"/>
      <c r="Q2729" s="85"/>
      <c r="R2729" s="85"/>
      <c r="S2729" s="85"/>
      <c r="T2729" s="85"/>
      <c r="U2729" s="82"/>
      <c r="V2729" s="82"/>
      <c r="W2729" s="83"/>
      <c r="X2729" s="83"/>
      <c r="Y2729" s="83"/>
    </row>
    <row r="2730" spans="1:25" ht="13.8">
      <c r="A2730" s="78"/>
      <c r="B2730" s="79"/>
      <c r="C2730" s="78"/>
      <c r="D2730" s="78"/>
      <c r="E2730" s="80"/>
      <c r="F2730" s="86"/>
      <c r="G2730" s="86"/>
      <c r="H2730" s="86"/>
      <c r="I2730" s="86"/>
      <c r="J2730" s="85"/>
      <c r="K2730" s="85"/>
      <c r="L2730" s="85"/>
      <c r="M2730" s="85"/>
      <c r="N2730" s="85"/>
      <c r="O2730" s="85"/>
      <c r="P2730" s="85"/>
      <c r="Q2730" s="85"/>
      <c r="R2730" s="85"/>
      <c r="S2730" s="85"/>
      <c r="T2730" s="85"/>
      <c r="U2730" s="82"/>
      <c r="V2730" s="82"/>
      <c r="W2730" s="83"/>
      <c r="X2730" s="83"/>
      <c r="Y2730" s="83"/>
    </row>
    <row r="2731" spans="1:25" ht="13.8">
      <c r="A2731" s="78"/>
      <c r="B2731" s="79"/>
      <c r="C2731" s="78"/>
      <c r="D2731" s="78"/>
      <c r="E2731" s="80"/>
      <c r="F2731" s="86"/>
      <c r="G2731" s="86"/>
      <c r="H2731" s="86"/>
      <c r="I2731" s="86"/>
      <c r="J2731" s="85"/>
      <c r="K2731" s="85"/>
      <c r="L2731" s="85"/>
      <c r="M2731" s="85"/>
      <c r="N2731" s="85"/>
      <c r="O2731" s="85"/>
      <c r="P2731" s="85"/>
      <c r="Q2731" s="85"/>
      <c r="R2731" s="85"/>
      <c r="S2731" s="85"/>
      <c r="T2731" s="85"/>
      <c r="U2731" s="82"/>
      <c r="V2731" s="82"/>
      <c r="W2731" s="83"/>
      <c r="X2731" s="83"/>
      <c r="Y2731" s="83"/>
    </row>
    <row r="2732" spans="1:25" ht="13.8">
      <c r="A2732" s="78"/>
      <c r="B2732" s="79"/>
      <c r="C2732" s="78"/>
      <c r="D2732" s="78"/>
      <c r="E2732" s="80"/>
      <c r="F2732" s="86"/>
      <c r="G2732" s="86"/>
      <c r="H2732" s="86"/>
      <c r="I2732" s="86"/>
      <c r="J2732" s="85"/>
      <c r="K2732" s="85"/>
      <c r="L2732" s="85"/>
      <c r="M2732" s="85"/>
      <c r="N2732" s="85"/>
      <c r="O2732" s="85"/>
      <c r="P2732" s="85"/>
      <c r="Q2732" s="85"/>
      <c r="R2732" s="85"/>
      <c r="S2732" s="85"/>
      <c r="T2732" s="85"/>
      <c r="U2732" s="82"/>
      <c r="V2732" s="82"/>
      <c r="W2732" s="83"/>
      <c r="X2732" s="83"/>
      <c r="Y2732" s="83"/>
    </row>
    <row r="2733" spans="1:25" ht="13.8">
      <c r="A2733" s="78"/>
      <c r="B2733" s="79"/>
      <c r="C2733" s="78"/>
      <c r="D2733" s="78"/>
      <c r="E2733" s="80"/>
      <c r="F2733" s="86"/>
      <c r="G2733" s="86"/>
      <c r="H2733" s="86"/>
      <c r="I2733" s="86"/>
      <c r="J2733" s="85"/>
      <c r="K2733" s="85"/>
      <c r="L2733" s="85"/>
      <c r="M2733" s="85"/>
      <c r="N2733" s="85"/>
      <c r="O2733" s="85"/>
      <c r="P2733" s="85"/>
      <c r="Q2733" s="85"/>
      <c r="R2733" s="85"/>
      <c r="S2733" s="85"/>
      <c r="T2733" s="85"/>
      <c r="U2733" s="82"/>
      <c r="V2733" s="82"/>
      <c r="W2733" s="83"/>
      <c r="X2733" s="83"/>
      <c r="Y2733" s="83"/>
    </row>
    <row r="2734" spans="1:25" ht="13.8">
      <c r="A2734" s="78"/>
      <c r="B2734" s="79"/>
      <c r="C2734" s="78"/>
      <c r="D2734" s="78"/>
      <c r="E2734" s="80"/>
      <c r="F2734" s="86"/>
      <c r="G2734" s="86"/>
      <c r="H2734" s="86"/>
      <c r="I2734" s="86"/>
      <c r="J2734" s="85"/>
      <c r="K2734" s="85"/>
      <c r="L2734" s="85"/>
      <c r="M2734" s="85"/>
      <c r="N2734" s="85"/>
      <c r="O2734" s="85"/>
      <c r="P2734" s="85"/>
      <c r="Q2734" s="85"/>
      <c r="R2734" s="85"/>
      <c r="S2734" s="85"/>
      <c r="T2734" s="85"/>
      <c r="U2734" s="82"/>
      <c r="V2734" s="82"/>
      <c r="W2734" s="83"/>
      <c r="X2734" s="83"/>
      <c r="Y2734" s="83"/>
    </row>
    <row r="2735" spans="1:25" ht="13.8">
      <c r="A2735" s="78"/>
      <c r="B2735" s="79"/>
      <c r="C2735" s="78"/>
      <c r="D2735" s="78"/>
      <c r="E2735" s="80"/>
      <c r="F2735" s="86"/>
      <c r="G2735" s="86"/>
      <c r="H2735" s="86"/>
      <c r="I2735" s="86"/>
      <c r="J2735" s="85"/>
      <c r="K2735" s="85"/>
      <c r="L2735" s="85"/>
      <c r="M2735" s="85"/>
      <c r="N2735" s="85"/>
      <c r="O2735" s="85"/>
      <c r="P2735" s="85"/>
      <c r="Q2735" s="85"/>
      <c r="R2735" s="85"/>
      <c r="S2735" s="85"/>
      <c r="T2735" s="85"/>
      <c r="U2735" s="82"/>
      <c r="V2735" s="82"/>
      <c r="W2735" s="83"/>
      <c r="X2735" s="83"/>
      <c r="Y2735" s="83"/>
    </row>
    <row r="2736" spans="1:25" ht="13.8">
      <c r="A2736" s="78"/>
      <c r="B2736" s="79"/>
      <c r="C2736" s="78"/>
      <c r="D2736" s="78"/>
      <c r="E2736" s="80"/>
      <c r="F2736" s="86"/>
      <c r="G2736" s="86"/>
      <c r="H2736" s="86"/>
      <c r="I2736" s="86"/>
      <c r="J2736" s="85"/>
      <c r="K2736" s="85"/>
      <c r="L2736" s="85"/>
      <c r="M2736" s="85"/>
      <c r="N2736" s="85"/>
      <c r="O2736" s="85"/>
      <c r="P2736" s="85"/>
      <c r="Q2736" s="85"/>
      <c r="R2736" s="85"/>
      <c r="S2736" s="85"/>
      <c r="T2736" s="85"/>
      <c r="U2736" s="82"/>
      <c r="V2736" s="82"/>
      <c r="W2736" s="83"/>
      <c r="X2736" s="83"/>
      <c r="Y2736" s="83"/>
    </row>
    <row r="2737" spans="1:25" ht="13.8">
      <c r="A2737" s="78"/>
      <c r="B2737" s="79"/>
      <c r="C2737" s="78"/>
      <c r="D2737" s="78"/>
      <c r="E2737" s="80"/>
      <c r="F2737" s="86"/>
      <c r="G2737" s="86"/>
      <c r="H2737" s="86"/>
      <c r="I2737" s="86"/>
      <c r="J2737" s="85"/>
      <c r="K2737" s="85"/>
      <c r="L2737" s="85"/>
      <c r="M2737" s="85"/>
      <c r="N2737" s="85"/>
      <c r="O2737" s="85"/>
      <c r="P2737" s="85"/>
      <c r="Q2737" s="85"/>
      <c r="R2737" s="85"/>
      <c r="S2737" s="85"/>
      <c r="T2737" s="85"/>
      <c r="U2737" s="82"/>
      <c r="V2737" s="82"/>
      <c r="W2737" s="83"/>
      <c r="X2737" s="83"/>
      <c r="Y2737" s="83"/>
    </row>
    <row r="2738" spans="1:25" ht="13.8">
      <c r="A2738" s="78"/>
      <c r="B2738" s="79"/>
      <c r="C2738" s="78"/>
      <c r="D2738" s="78"/>
      <c r="E2738" s="80"/>
      <c r="F2738" s="86"/>
      <c r="G2738" s="86"/>
      <c r="H2738" s="86"/>
      <c r="I2738" s="86"/>
      <c r="J2738" s="85"/>
      <c r="K2738" s="85"/>
      <c r="L2738" s="85"/>
      <c r="M2738" s="85"/>
      <c r="N2738" s="85"/>
      <c r="O2738" s="85"/>
      <c r="P2738" s="85"/>
      <c r="Q2738" s="85"/>
      <c r="R2738" s="85"/>
      <c r="S2738" s="85"/>
      <c r="T2738" s="85"/>
      <c r="U2738" s="82"/>
      <c r="V2738" s="82"/>
      <c r="W2738" s="83"/>
      <c r="X2738" s="83"/>
      <c r="Y2738" s="83"/>
    </row>
    <row r="2739" spans="1:25" ht="13.8">
      <c r="A2739" s="78"/>
      <c r="B2739" s="79"/>
      <c r="C2739" s="78"/>
      <c r="D2739" s="78"/>
      <c r="E2739" s="80"/>
      <c r="F2739" s="86"/>
      <c r="G2739" s="86"/>
      <c r="H2739" s="86"/>
      <c r="I2739" s="86"/>
      <c r="J2739" s="85"/>
      <c r="K2739" s="85"/>
      <c r="L2739" s="85"/>
      <c r="M2739" s="85"/>
      <c r="N2739" s="85"/>
      <c r="O2739" s="85"/>
      <c r="P2739" s="85"/>
      <c r="Q2739" s="85"/>
      <c r="R2739" s="85"/>
      <c r="S2739" s="85"/>
      <c r="T2739" s="85"/>
      <c r="U2739" s="82"/>
      <c r="V2739" s="82"/>
      <c r="W2739" s="83"/>
      <c r="X2739" s="83"/>
      <c r="Y2739" s="83"/>
    </row>
    <row r="2740" spans="1:25" ht="13.8">
      <c r="A2740" s="78"/>
      <c r="B2740" s="79"/>
      <c r="C2740" s="78"/>
      <c r="D2740" s="78"/>
      <c r="E2740" s="80"/>
      <c r="F2740" s="86"/>
      <c r="G2740" s="86"/>
      <c r="H2740" s="86"/>
      <c r="I2740" s="86"/>
      <c r="J2740" s="85"/>
      <c r="K2740" s="85"/>
      <c r="L2740" s="85"/>
      <c r="M2740" s="85"/>
      <c r="N2740" s="85"/>
      <c r="O2740" s="85"/>
      <c r="P2740" s="85"/>
      <c r="Q2740" s="85"/>
      <c r="R2740" s="85"/>
      <c r="S2740" s="85"/>
      <c r="T2740" s="85"/>
      <c r="U2740" s="82"/>
      <c r="V2740" s="82"/>
      <c r="W2740" s="83"/>
      <c r="X2740" s="83"/>
      <c r="Y2740" s="83"/>
    </row>
    <row r="2741" spans="1:25" ht="13.8">
      <c r="A2741" s="78"/>
      <c r="B2741" s="79"/>
      <c r="C2741" s="78"/>
      <c r="D2741" s="78"/>
      <c r="E2741" s="80"/>
      <c r="F2741" s="86"/>
      <c r="G2741" s="86"/>
      <c r="H2741" s="86"/>
      <c r="I2741" s="86"/>
      <c r="J2741" s="85"/>
      <c r="K2741" s="85"/>
      <c r="L2741" s="85"/>
      <c r="M2741" s="85"/>
      <c r="N2741" s="85"/>
      <c r="O2741" s="85"/>
      <c r="P2741" s="85"/>
      <c r="Q2741" s="85"/>
      <c r="R2741" s="85"/>
      <c r="S2741" s="85"/>
      <c r="T2741" s="85"/>
      <c r="U2741" s="82"/>
      <c r="V2741" s="82"/>
      <c r="W2741" s="83"/>
      <c r="X2741" s="83"/>
      <c r="Y2741" s="83"/>
    </row>
    <row r="2742" spans="1:25" ht="13.8">
      <c r="A2742" s="78"/>
      <c r="B2742" s="79"/>
      <c r="C2742" s="78"/>
      <c r="D2742" s="78"/>
      <c r="E2742" s="80"/>
      <c r="F2742" s="86"/>
      <c r="G2742" s="86"/>
      <c r="H2742" s="86"/>
      <c r="I2742" s="86"/>
      <c r="J2742" s="85"/>
      <c r="K2742" s="85"/>
      <c r="L2742" s="85"/>
      <c r="M2742" s="85"/>
      <c r="N2742" s="85"/>
      <c r="O2742" s="85"/>
      <c r="P2742" s="85"/>
      <c r="Q2742" s="85"/>
      <c r="R2742" s="85"/>
      <c r="S2742" s="85"/>
      <c r="T2742" s="85"/>
      <c r="U2742" s="82"/>
      <c r="V2742" s="82"/>
      <c r="W2742" s="83"/>
      <c r="X2742" s="83"/>
      <c r="Y2742" s="83"/>
    </row>
    <row r="2743" spans="1:25" ht="13.8">
      <c r="A2743" s="78"/>
      <c r="B2743" s="79"/>
      <c r="C2743" s="78"/>
      <c r="D2743" s="78"/>
      <c r="E2743" s="80"/>
      <c r="F2743" s="86"/>
      <c r="G2743" s="86"/>
      <c r="H2743" s="86"/>
      <c r="I2743" s="86"/>
      <c r="J2743" s="85"/>
      <c r="K2743" s="85"/>
      <c r="L2743" s="85"/>
      <c r="M2743" s="85"/>
      <c r="N2743" s="85"/>
      <c r="O2743" s="85"/>
      <c r="P2743" s="85"/>
      <c r="Q2743" s="85"/>
      <c r="R2743" s="85"/>
      <c r="S2743" s="85"/>
      <c r="T2743" s="85"/>
      <c r="U2743" s="82"/>
      <c r="V2743" s="82"/>
      <c r="W2743" s="83"/>
      <c r="X2743" s="83"/>
      <c r="Y2743" s="83"/>
    </row>
    <row r="2744" spans="1:25" ht="13.8">
      <c r="A2744" s="78"/>
      <c r="B2744" s="79"/>
      <c r="C2744" s="78"/>
      <c r="D2744" s="78"/>
      <c r="E2744" s="80"/>
      <c r="F2744" s="86"/>
      <c r="G2744" s="86"/>
      <c r="H2744" s="86"/>
      <c r="I2744" s="86"/>
      <c r="J2744" s="85"/>
      <c r="K2744" s="85"/>
      <c r="L2744" s="85"/>
      <c r="M2744" s="85"/>
      <c r="N2744" s="85"/>
      <c r="O2744" s="85"/>
      <c r="P2744" s="85"/>
      <c r="Q2744" s="85"/>
      <c r="R2744" s="85"/>
      <c r="S2744" s="85"/>
      <c r="T2744" s="85"/>
      <c r="U2744" s="82"/>
      <c r="V2744" s="82"/>
      <c r="W2744" s="83"/>
      <c r="X2744" s="83"/>
      <c r="Y2744" s="83"/>
    </row>
    <row r="2745" spans="1:25" ht="13.8">
      <c r="A2745" s="78"/>
      <c r="B2745" s="79"/>
      <c r="C2745" s="78"/>
      <c r="D2745" s="78"/>
      <c r="E2745" s="80"/>
      <c r="F2745" s="86"/>
      <c r="G2745" s="86"/>
      <c r="H2745" s="86"/>
      <c r="I2745" s="86"/>
      <c r="J2745" s="85"/>
      <c r="K2745" s="85"/>
      <c r="L2745" s="85"/>
      <c r="M2745" s="85"/>
      <c r="N2745" s="85"/>
      <c r="O2745" s="85"/>
      <c r="P2745" s="85"/>
      <c r="Q2745" s="85"/>
      <c r="R2745" s="85"/>
      <c r="S2745" s="85"/>
      <c r="T2745" s="85"/>
      <c r="U2745" s="82"/>
      <c r="V2745" s="82"/>
      <c r="W2745" s="83"/>
      <c r="X2745" s="83"/>
      <c r="Y2745" s="83"/>
    </row>
    <row r="2746" spans="1:25" ht="13.8">
      <c r="A2746" s="78"/>
      <c r="B2746" s="79"/>
      <c r="C2746" s="78"/>
      <c r="D2746" s="78"/>
      <c r="E2746" s="80"/>
      <c r="F2746" s="86"/>
      <c r="G2746" s="86"/>
      <c r="H2746" s="86"/>
      <c r="I2746" s="86"/>
      <c r="J2746" s="85"/>
      <c r="K2746" s="85"/>
      <c r="L2746" s="85"/>
      <c r="M2746" s="85"/>
      <c r="N2746" s="85"/>
      <c r="O2746" s="85"/>
      <c r="P2746" s="85"/>
      <c r="Q2746" s="85"/>
      <c r="R2746" s="85"/>
      <c r="S2746" s="85"/>
      <c r="T2746" s="85"/>
      <c r="U2746" s="82"/>
      <c r="V2746" s="82"/>
      <c r="W2746" s="83"/>
      <c r="X2746" s="83"/>
      <c r="Y2746" s="83"/>
    </row>
    <row r="2747" spans="1:25" ht="13.8">
      <c r="A2747" s="78"/>
      <c r="B2747" s="79"/>
      <c r="C2747" s="78"/>
      <c r="D2747" s="78"/>
      <c r="E2747" s="80"/>
      <c r="F2747" s="86"/>
      <c r="G2747" s="86"/>
      <c r="H2747" s="86"/>
      <c r="I2747" s="86"/>
      <c r="J2747" s="85"/>
      <c r="K2747" s="85"/>
      <c r="L2747" s="85"/>
      <c r="M2747" s="85"/>
      <c r="N2747" s="85"/>
      <c r="O2747" s="85"/>
      <c r="P2747" s="85"/>
      <c r="Q2747" s="85"/>
      <c r="R2747" s="85"/>
      <c r="S2747" s="85"/>
      <c r="T2747" s="85"/>
      <c r="U2747" s="82"/>
      <c r="V2747" s="82"/>
      <c r="W2747" s="83"/>
      <c r="X2747" s="83"/>
      <c r="Y2747" s="83"/>
    </row>
    <row r="2748" spans="1:25" ht="13.8">
      <c r="A2748" s="78"/>
      <c r="B2748" s="79"/>
      <c r="C2748" s="78"/>
      <c r="D2748" s="78"/>
      <c r="E2748" s="80"/>
      <c r="F2748" s="86"/>
      <c r="G2748" s="86"/>
      <c r="H2748" s="86"/>
      <c r="I2748" s="86"/>
      <c r="J2748" s="85"/>
      <c r="K2748" s="85"/>
      <c r="L2748" s="85"/>
      <c r="M2748" s="85"/>
      <c r="N2748" s="85"/>
      <c r="O2748" s="85"/>
      <c r="P2748" s="85"/>
      <c r="Q2748" s="85"/>
      <c r="R2748" s="85"/>
      <c r="S2748" s="85"/>
      <c r="T2748" s="85"/>
      <c r="U2748" s="82"/>
      <c r="V2748" s="82"/>
      <c r="W2748" s="83"/>
      <c r="X2748" s="83"/>
      <c r="Y2748" s="83"/>
    </row>
    <row r="2749" spans="1:25" ht="13.8">
      <c r="A2749" s="78"/>
      <c r="B2749" s="79"/>
      <c r="C2749" s="78"/>
      <c r="D2749" s="78"/>
      <c r="E2749" s="80"/>
      <c r="F2749" s="86"/>
      <c r="G2749" s="86"/>
      <c r="H2749" s="86"/>
      <c r="I2749" s="86"/>
      <c r="J2749" s="85"/>
      <c r="K2749" s="85"/>
      <c r="L2749" s="85"/>
      <c r="M2749" s="85"/>
      <c r="N2749" s="85"/>
      <c r="O2749" s="85"/>
      <c r="P2749" s="85"/>
      <c r="Q2749" s="85"/>
      <c r="R2749" s="85"/>
      <c r="S2749" s="85"/>
      <c r="T2749" s="85"/>
      <c r="U2749" s="82"/>
      <c r="V2749" s="82"/>
      <c r="W2749" s="83"/>
      <c r="X2749" s="83"/>
      <c r="Y2749" s="83"/>
    </row>
    <row r="2750" spans="1:25" ht="13.8">
      <c r="A2750" s="78"/>
      <c r="B2750" s="79"/>
      <c r="C2750" s="78"/>
      <c r="D2750" s="78"/>
      <c r="E2750" s="80"/>
      <c r="F2750" s="86"/>
      <c r="G2750" s="86"/>
      <c r="H2750" s="86"/>
      <c r="I2750" s="86"/>
      <c r="J2750" s="85"/>
      <c r="K2750" s="85"/>
      <c r="L2750" s="85"/>
      <c r="M2750" s="85"/>
      <c r="N2750" s="85"/>
      <c r="O2750" s="85"/>
      <c r="P2750" s="85"/>
      <c r="Q2750" s="85"/>
      <c r="R2750" s="85"/>
      <c r="S2750" s="85"/>
      <c r="T2750" s="85"/>
      <c r="U2750" s="82"/>
      <c r="V2750" s="82"/>
      <c r="W2750" s="83"/>
      <c r="X2750" s="83"/>
      <c r="Y2750" s="83"/>
    </row>
    <row r="2751" spans="1:25" ht="13.8">
      <c r="A2751" s="78"/>
      <c r="B2751" s="79"/>
      <c r="C2751" s="78"/>
      <c r="D2751" s="78"/>
      <c r="E2751" s="80"/>
      <c r="F2751" s="86"/>
      <c r="G2751" s="86"/>
      <c r="H2751" s="86"/>
      <c r="I2751" s="86"/>
      <c r="J2751" s="85"/>
      <c r="K2751" s="85"/>
      <c r="L2751" s="85"/>
      <c r="M2751" s="85"/>
      <c r="N2751" s="85"/>
      <c r="O2751" s="85"/>
      <c r="P2751" s="85"/>
      <c r="Q2751" s="85"/>
      <c r="R2751" s="85"/>
      <c r="S2751" s="85"/>
      <c r="T2751" s="85"/>
      <c r="U2751" s="82"/>
      <c r="V2751" s="82"/>
      <c r="W2751" s="83"/>
      <c r="X2751" s="83"/>
      <c r="Y2751" s="83"/>
    </row>
    <row r="2752" spans="1:25" ht="13.8">
      <c r="A2752" s="78"/>
      <c r="B2752" s="79"/>
      <c r="C2752" s="78"/>
      <c r="D2752" s="78"/>
      <c r="E2752" s="80"/>
      <c r="F2752" s="86"/>
      <c r="G2752" s="86"/>
      <c r="H2752" s="86"/>
      <c r="I2752" s="86"/>
      <c r="J2752" s="85"/>
      <c r="K2752" s="85"/>
      <c r="L2752" s="85"/>
      <c r="M2752" s="85"/>
      <c r="N2752" s="85"/>
      <c r="O2752" s="85"/>
      <c r="P2752" s="85"/>
      <c r="Q2752" s="85"/>
      <c r="R2752" s="85"/>
      <c r="S2752" s="85"/>
      <c r="T2752" s="85"/>
      <c r="U2752" s="82"/>
      <c r="V2752" s="82"/>
      <c r="W2752" s="83"/>
      <c r="X2752" s="83"/>
      <c r="Y2752" s="83"/>
    </row>
    <row r="2753" spans="1:25" ht="13.8">
      <c r="A2753" s="78"/>
      <c r="B2753" s="79"/>
      <c r="C2753" s="78"/>
      <c r="D2753" s="78"/>
      <c r="E2753" s="80"/>
      <c r="F2753" s="86"/>
      <c r="G2753" s="86"/>
      <c r="H2753" s="86"/>
      <c r="I2753" s="86"/>
      <c r="J2753" s="85"/>
      <c r="K2753" s="85"/>
      <c r="L2753" s="85"/>
      <c r="M2753" s="85"/>
      <c r="N2753" s="85"/>
      <c r="O2753" s="85"/>
      <c r="P2753" s="85"/>
      <c r="Q2753" s="85"/>
      <c r="R2753" s="85"/>
      <c r="S2753" s="85"/>
      <c r="T2753" s="85"/>
      <c r="U2753" s="82"/>
      <c r="V2753" s="82"/>
      <c r="W2753" s="83"/>
      <c r="X2753" s="83"/>
      <c r="Y2753" s="83"/>
    </row>
    <row r="2754" spans="1:25" ht="13.8">
      <c r="A2754" s="78"/>
      <c r="B2754" s="79"/>
      <c r="C2754" s="78"/>
      <c r="D2754" s="78"/>
      <c r="E2754" s="80"/>
      <c r="F2754" s="86"/>
      <c r="G2754" s="86"/>
      <c r="H2754" s="86"/>
      <c r="I2754" s="86"/>
      <c r="J2754" s="85"/>
      <c r="K2754" s="85"/>
      <c r="L2754" s="85"/>
      <c r="M2754" s="85"/>
      <c r="N2754" s="85"/>
      <c r="O2754" s="85"/>
      <c r="P2754" s="85"/>
      <c r="Q2754" s="85"/>
      <c r="R2754" s="85"/>
      <c r="S2754" s="85"/>
      <c r="T2754" s="85"/>
      <c r="U2754" s="82"/>
      <c r="V2754" s="82"/>
      <c r="W2754" s="83"/>
      <c r="X2754" s="83"/>
      <c r="Y2754" s="83"/>
    </row>
    <row r="2755" spans="1:25" ht="13.8">
      <c r="A2755" s="78"/>
      <c r="B2755" s="79"/>
      <c r="C2755" s="78"/>
      <c r="D2755" s="78"/>
      <c r="E2755" s="80"/>
      <c r="F2755" s="86"/>
      <c r="G2755" s="86"/>
      <c r="H2755" s="86"/>
      <c r="I2755" s="86"/>
      <c r="J2755" s="85"/>
      <c r="K2755" s="85"/>
      <c r="L2755" s="85"/>
      <c r="M2755" s="85"/>
      <c r="N2755" s="85"/>
      <c r="O2755" s="85"/>
      <c r="P2755" s="85"/>
      <c r="Q2755" s="85"/>
      <c r="R2755" s="85"/>
      <c r="S2755" s="85"/>
      <c r="T2755" s="85"/>
      <c r="U2755" s="82"/>
      <c r="V2755" s="82"/>
      <c r="W2755" s="83"/>
      <c r="X2755" s="83"/>
      <c r="Y2755" s="83"/>
    </row>
    <row r="2756" spans="1:25" ht="13.8">
      <c r="A2756" s="78"/>
      <c r="B2756" s="79"/>
      <c r="C2756" s="78"/>
      <c r="D2756" s="78"/>
      <c r="E2756" s="80"/>
      <c r="F2756" s="86"/>
      <c r="G2756" s="86"/>
      <c r="H2756" s="86"/>
      <c r="I2756" s="86"/>
      <c r="J2756" s="85"/>
      <c r="K2756" s="85"/>
      <c r="L2756" s="85"/>
      <c r="M2756" s="85"/>
      <c r="N2756" s="85"/>
      <c r="O2756" s="85"/>
      <c r="P2756" s="85"/>
      <c r="Q2756" s="85"/>
      <c r="R2756" s="85"/>
      <c r="S2756" s="85"/>
      <c r="T2756" s="85"/>
      <c r="U2756" s="82"/>
      <c r="V2756" s="82"/>
      <c r="W2756" s="83"/>
      <c r="X2756" s="83"/>
      <c r="Y2756" s="83"/>
    </row>
    <row r="2757" spans="1:25" ht="13.8">
      <c r="A2757" s="78"/>
      <c r="B2757" s="79"/>
      <c r="C2757" s="78"/>
      <c r="D2757" s="78"/>
      <c r="E2757" s="80"/>
      <c r="F2757" s="86"/>
      <c r="G2757" s="86"/>
      <c r="H2757" s="86"/>
      <c r="I2757" s="86"/>
      <c r="J2757" s="85"/>
      <c r="K2757" s="85"/>
      <c r="L2757" s="85"/>
      <c r="M2757" s="85"/>
      <c r="N2757" s="85"/>
      <c r="O2757" s="85"/>
      <c r="P2757" s="85"/>
      <c r="Q2757" s="85"/>
      <c r="R2757" s="85"/>
      <c r="S2757" s="85"/>
      <c r="T2757" s="85"/>
      <c r="U2757" s="82"/>
      <c r="V2757" s="82"/>
      <c r="W2757" s="83"/>
      <c r="X2757" s="83"/>
      <c r="Y2757" s="83"/>
    </row>
    <row r="2758" spans="1:25" ht="13.8">
      <c r="A2758" s="78"/>
      <c r="B2758" s="79"/>
      <c r="C2758" s="78"/>
      <c r="D2758" s="78"/>
      <c r="E2758" s="80"/>
      <c r="F2758" s="86"/>
      <c r="G2758" s="86"/>
      <c r="H2758" s="86"/>
      <c r="I2758" s="86"/>
      <c r="J2758" s="85"/>
      <c r="K2758" s="85"/>
      <c r="L2758" s="85"/>
      <c r="M2758" s="85"/>
      <c r="N2758" s="85"/>
      <c r="O2758" s="85"/>
      <c r="P2758" s="85"/>
      <c r="Q2758" s="85"/>
      <c r="R2758" s="85"/>
      <c r="S2758" s="85"/>
      <c r="T2758" s="85"/>
      <c r="U2758" s="82"/>
      <c r="V2758" s="82"/>
      <c r="W2758" s="83"/>
      <c r="X2758" s="83"/>
      <c r="Y2758" s="83"/>
    </row>
    <row r="2759" spans="1:25" ht="13.8">
      <c r="A2759" s="78"/>
      <c r="B2759" s="79"/>
      <c r="C2759" s="78"/>
      <c r="D2759" s="78"/>
      <c r="E2759" s="80"/>
      <c r="F2759" s="86"/>
      <c r="G2759" s="86"/>
      <c r="H2759" s="86"/>
      <c r="I2759" s="86"/>
      <c r="J2759" s="85"/>
      <c r="K2759" s="85"/>
      <c r="L2759" s="85"/>
      <c r="M2759" s="85"/>
      <c r="N2759" s="85"/>
      <c r="O2759" s="85"/>
      <c r="P2759" s="85"/>
      <c r="Q2759" s="85"/>
      <c r="R2759" s="85"/>
      <c r="S2759" s="85"/>
      <c r="T2759" s="85"/>
      <c r="U2759" s="82"/>
      <c r="V2759" s="82"/>
      <c r="W2759" s="83"/>
      <c r="X2759" s="83"/>
      <c r="Y2759" s="83"/>
    </row>
    <row r="2760" spans="1:25" ht="13.8">
      <c r="A2760" s="78"/>
      <c r="B2760" s="79"/>
      <c r="C2760" s="78"/>
      <c r="D2760" s="78"/>
      <c r="E2760" s="80"/>
      <c r="F2760" s="86"/>
      <c r="G2760" s="86"/>
      <c r="H2760" s="86"/>
      <c r="I2760" s="86"/>
      <c r="J2760" s="85"/>
      <c r="K2760" s="85"/>
      <c r="L2760" s="85"/>
      <c r="M2760" s="85"/>
      <c r="N2760" s="85"/>
      <c r="O2760" s="85"/>
      <c r="P2760" s="85"/>
      <c r="Q2760" s="85"/>
      <c r="R2760" s="85"/>
      <c r="S2760" s="85"/>
      <c r="T2760" s="85"/>
      <c r="U2760" s="82"/>
      <c r="V2760" s="82"/>
      <c r="W2760" s="83"/>
      <c r="X2760" s="83"/>
      <c r="Y2760" s="83"/>
    </row>
    <row r="2761" spans="1:25" ht="13.8">
      <c r="A2761" s="78"/>
      <c r="B2761" s="79"/>
      <c r="C2761" s="78"/>
      <c r="D2761" s="78"/>
      <c r="E2761" s="80"/>
      <c r="F2761" s="86"/>
      <c r="G2761" s="86"/>
      <c r="H2761" s="86"/>
      <c r="I2761" s="86"/>
      <c r="J2761" s="85"/>
      <c r="K2761" s="85"/>
      <c r="L2761" s="85"/>
      <c r="M2761" s="85"/>
      <c r="N2761" s="85"/>
      <c r="O2761" s="85"/>
      <c r="P2761" s="85"/>
      <c r="Q2761" s="85"/>
      <c r="R2761" s="85"/>
      <c r="S2761" s="85"/>
      <c r="T2761" s="85"/>
      <c r="U2761" s="82"/>
      <c r="V2761" s="82"/>
      <c r="W2761" s="83"/>
      <c r="X2761" s="83"/>
      <c r="Y2761" s="83"/>
    </row>
    <row r="2762" spans="1:25" ht="13.8">
      <c r="A2762" s="78"/>
      <c r="B2762" s="79"/>
      <c r="C2762" s="78"/>
      <c r="D2762" s="78"/>
      <c r="E2762" s="80"/>
      <c r="F2762" s="86"/>
      <c r="G2762" s="86"/>
      <c r="H2762" s="86"/>
      <c r="I2762" s="86"/>
      <c r="J2762" s="85"/>
      <c r="K2762" s="85"/>
      <c r="L2762" s="85"/>
      <c r="M2762" s="85"/>
      <c r="N2762" s="85"/>
      <c r="O2762" s="85"/>
      <c r="P2762" s="85"/>
      <c r="Q2762" s="85"/>
      <c r="R2762" s="85"/>
      <c r="S2762" s="85"/>
      <c r="T2762" s="85"/>
      <c r="U2762" s="82"/>
      <c r="V2762" s="82"/>
      <c r="W2762" s="83"/>
      <c r="X2762" s="83"/>
      <c r="Y2762" s="83"/>
    </row>
    <row r="2763" spans="1:25" ht="13.8">
      <c r="A2763" s="78"/>
      <c r="B2763" s="79"/>
      <c r="C2763" s="78"/>
      <c r="D2763" s="78"/>
      <c r="E2763" s="80"/>
      <c r="F2763" s="86"/>
      <c r="G2763" s="86"/>
      <c r="H2763" s="86"/>
      <c r="I2763" s="86"/>
      <c r="J2763" s="85"/>
      <c r="K2763" s="85"/>
      <c r="L2763" s="85"/>
      <c r="M2763" s="85"/>
      <c r="N2763" s="85"/>
      <c r="O2763" s="85"/>
      <c r="P2763" s="85"/>
      <c r="Q2763" s="85"/>
      <c r="R2763" s="85"/>
      <c r="S2763" s="85"/>
      <c r="T2763" s="85"/>
      <c r="U2763" s="82"/>
      <c r="V2763" s="82"/>
      <c r="W2763" s="83"/>
      <c r="X2763" s="83"/>
      <c r="Y2763" s="83"/>
    </row>
    <row r="2764" spans="1:25" ht="13.8">
      <c r="A2764" s="78"/>
      <c r="B2764" s="79"/>
      <c r="C2764" s="78"/>
      <c r="D2764" s="78"/>
      <c r="E2764" s="80"/>
      <c r="F2764" s="86"/>
      <c r="G2764" s="86"/>
      <c r="H2764" s="86"/>
      <c r="I2764" s="86"/>
      <c r="J2764" s="85"/>
      <c r="K2764" s="85"/>
      <c r="L2764" s="85"/>
      <c r="M2764" s="85"/>
      <c r="N2764" s="85"/>
      <c r="O2764" s="85"/>
      <c r="P2764" s="85"/>
      <c r="Q2764" s="85"/>
      <c r="R2764" s="85"/>
      <c r="S2764" s="85"/>
      <c r="T2764" s="85"/>
      <c r="U2764" s="82"/>
      <c r="V2764" s="82"/>
      <c r="W2764" s="83"/>
      <c r="X2764" s="83"/>
      <c r="Y2764" s="83"/>
    </row>
    <row r="2765" spans="1:25" ht="13.8">
      <c r="A2765" s="78"/>
      <c r="B2765" s="79"/>
      <c r="C2765" s="78"/>
      <c r="D2765" s="78"/>
      <c r="E2765" s="80"/>
      <c r="F2765" s="86"/>
      <c r="G2765" s="86"/>
      <c r="H2765" s="86"/>
      <c r="I2765" s="86"/>
      <c r="J2765" s="85"/>
      <c r="K2765" s="85"/>
      <c r="L2765" s="85"/>
      <c r="M2765" s="85"/>
      <c r="N2765" s="85"/>
      <c r="O2765" s="85"/>
      <c r="P2765" s="85"/>
      <c r="Q2765" s="85"/>
      <c r="R2765" s="85"/>
      <c r="S2765" s="85"/>
      <c r="T2765" s="85"/>
      <c r="U2765" s="82"/>
      <c r="V2765" s="82"/>
      <c r="W2765" s="83"/>
      <c r="X2765" s="83"/>
      <c r="Y2765" s="83"/>
    </row>
    <row r="2766" spans="1:25" ht="13.8">
      <c r="A2766" s="78"/>
      <c r="B2766" s="79"/>
      <c r="C2766" s="78"/>
      <c r="D2766" s="78"/>
      <c r="E2766" s="80"/>
      <c r="F2766" s="86"/>
      <c r="G2766" s="86"/>
      <c r="H2766" s="86"/>
      <c r="I2766" s="86"/>
      <c r="J2766" s="85"/>
      <c r="K2766" s="85"/>
      <c r="L2766" s="85"/>
      <c r="M2766" s="85"/>
      <c r="N2766" s="85"/>
      <c r="O2766" s="85"/>
      <c r="P2766" s="85"/>
      <c r="Q2766" s="85"/>
      <c r="R2766" s="85"/>
      <c r="S2766" s="85"/>
      <c r="T2766" s="85"/>
      <c r="U2766" s="82"/>
      <c r="V2766" s="82"/>
      <c r="W2766" s="83"/>
      <c r="X2766" s="83"/>
      <c r="Y2766" s="83"/>
    </row>
    <row r="2767" spans="1:25" ht="13.8">
      <c r="A2767" s="78"/>
      <c r="B2767" s="79"/>
      <c r="C2767" s="78"/>
      <c r="D2767" s="78"/>
      <c r="E2767" s="80"/>
      <c r="F2767" s="86"/>
      <c r="G2767" s="86"/>
      <c r="H2767" s="86"/>
      <c r="I2767" s="86"/>
      <c r="J2767" s="85"/>
      <c r="K2767" s="85"/>
      <c r="L2767" s="85"/>
      <c r="M2767" s="85"/>
      <c r="N2767" s="85"/>
      <c r="O2767" s="85"/>
      <c r="P2767" s="85"/>
      <c r="Q2767" s="85"/>
      <c r="R2767" s="85"/>
      <c r="S2767" s="85"/>
      <c r="T2767" s="85"/>
      <c r="U2767" s="82"/>
      <c r="V2767" s="82"/>
      <c r="W2767" s="83"/>
      <c r="X2767" s="83"/>
      <c r="Y2767" s="83"/>
    </row>
    <row r="2768" spans="1:25" ht="13.8">
      <c r="A2768" s="78"/>
      <c r="B2768" s="79"/>
      <c r="C2768" s="78"/>
      <c r="D2768" s="78"/>
      <c r="E2768" s="80"/>
      <c r="F2768" s="86"/>
      <c r="G2768" s="86"/>
      <c r="H2768" s="86"/>
      <c r="I2768" s="86"/>
      <c r="J2768" s="85"/>
      <c r="K2768" s="85"/>
      <c r="L2768" s="85"/>
      <c r="M2768" s="85"/>
      <c r="N2768" s="85"/>
      <c r="O2768" s="85"/>
      <c r="P2768" s="85"/>
      <c r="Q2768" s="85"/>
      <c r="R2768" s="85"/>
      <c r="S2768" s="85"/>
      <c r="T2768" s="85"/>
      <c r="U2768" s="82"/>
      <c r="V2768" s="82"/>
      <c r="W2768" s="83"/>
      <c r="X2768" s="83"/>
      <c r="Y2768" s="83"/>
    </row>
    <row r="2769" spans="1:25" ht="13.8">
      <c r="A2769" s="78"/>
      <c r="B2769" s="79"/>
      <c r="C2769" s="78"/>
      <c r="D2769" s="78"/>
      <c r="E2769" s="80"/>
      <c r="F2769" s="86"/>
      <c r="G2769" s="86"/>
      <c r="H2769" s="86"/>
      <c r="I2769" s="86"/>
      <c r="J2769" s="85"/>
      <c r="K2769" s="85"/>
      <c r="L2769" s="85"/>
      <c r="M2769" s="85"/>
      <c r="N2769" s="85"/>
      <c r="O2769" s="85"/>
      <c r="P2769" s="85"/>
      <c r="Q2769" s="85"/>
      <c r="R2769" s="85"/>
      <c r="S2769" s="85"/>
      <c r="T2769" s="85"/>
      <c r="U2769" s="82"/>
      <c r="V2769" s="82"/>
      <c r="W2769" s="83"/>
      <c r="X2769" s="83"/>
      <c r="Y2769" s="83"/>
    </row>
    <row r="2770" spans="1:25" ht="13.8">
      <c r="A2770" s="78"/>
      <c r="B2770" s="79"/>
      <c r="C2770" s="78"/>
      <c r="D2770" s="78"/>
      <c r="E2770" s="80"/>
      <c r="F2770" s="86"/>
      <c r="G2770" s="86"/>
      <c r="H2770" s="86"/>
      <c r="I2770" s="86"/>
      <c r="J2770" s="85"/>
      <c r="K2770" s="85"/>
      <c r="L2770" s="85"/>
      <c r="M2770" s="85"/>
      <c r="N2770" s="85"/>
      <c r="O2770" s="85"/>
      <c r="P2770" s="85"/>
      <c r="Q2770" s="85"/>
      <c r="R2770" s="85"/>
      <c r="S2770" s="85"/>
      <c r="T2770" s="85"/>
      <c r="U2770" s="82"/>
      <c r="V2770" s="82"/>
      <c r="W2770" s="83"/>
      <c r="X2770" s="83"/>
      <c r="Y2770" s="83"/>
    </row>
    <row r="2771" spans="1:25" ht="13.8">
      <c r="A2771" s="78"/>
      <c r="B2771" s="79"/>
      <c r="C2771" s="78"/>
      <c r="D2771" s="78"/>
      <c r="E2771" s="80"/>
      <c r="F2771" s="86"/>
      <c r="G2771" s="86"/>
      <c r="H2771" s="86"/>
      <c r="I2771" s="86"/>
      <c r="J2771" s="85"/>
      <c r="K2771" s="85"/>
      <c r="L2771" s="85"/>
      <c r="M2771" s="85"/>
      <c r="N2771" s="85"/>
      <c r="O2771" s="85"/>
      <c r="P2771" s="85"/>
      <c r="Q2771" s="85"/>
      <c r="R2771" s="85"/>
      <c r="S2771" s="85"/>
      <c r="T2771" s="85"/>
      <c r="U2771" s="82"/>
      <c r="V2771" s="82"/>
      <c r="W2771" s="83"/>
      <c r="X2771" s="83"/>
      <c r="Y2771" s="83"/>
    </row>
    <row r="2772" spans="1:25" ht="13.8">
      <c r="A2772" s="78"/>
      <c r="B2772" s="79"/>
      <c r="C2772" s="78"/>
      <c r="D2772" s="78"/>
      <c r="E2772" s="80"/>
      <c r="F2772" s="86"/>
      <c r="G2772" s="86"/>
      <c r="H2772" s="86"/>
      <c r="I2772" s="86"/>
      <c r="J2772" s="85"/>
      <c r="K2772" s="85"/>
      <c r="L2772" s="85"/>
      <c r="M2772" s="85"/>
      <c r="N2772" s="85"/>
      <c r="O2772" s="85"/>
      <c r="P2772" s="85"/>
      <c r="Q2772" s="85"/>
      <c r="R2772" s="85"/>
      <c r="S2772" s="85"/>
      <c r="T2772" s="85"/>
      <c r="U2772" s="82"/>
      <c r="V2772" s="82"/>
      <c r="W2772" s="83"/>
      <c r="X2772" s="83"/>
      <c r="Y2772" s="83"/>
    </row>
    <row r="2773" spans="1:25" ht="13.8">
      <c r="A2773" s="78"/>
      <c r="B2773" s="79"/>
      <c r="C2773" s="78"/>
      <c r="D2773" s="78"/>
      <c r="E2773" s="80"/>
      <c r="F2773" s="86"/>
      <c r="G2773" s="86"/>
      <c r="H2773" s="86"/>
      <c r="I2773" s="86"/>
      <c r="J2773" s="85"/>
      <c r="K2773" s="85"/>
      <c r="L2773" s="85"/>
      <c r="M2773" s="85"/>
      <c r="N2773" s="85"/>
      <c r="O2773" s="85"/>
      <c r="P2773" s="85"/>
      <c r="Q2773" s="85"/>
      <c r="R2773" s="85"/>
      <c r="S2773" s="85"/>
      <c r="T2773" s="85"/>
      <c r="U2773" s="82"/>
      <c r="V2773" s="82"/>
      <c r="W2773" s="83"/>
      <c r="X2773" s="83"/>
      <c r="Y2773" s="83"/>
    </row>
    <row r="2774" spans="1:25" ht="13.8">
      <c r="A2774" s="78"/>
      <c r="B2774" s="79"/>
      <c r="C2774" s="78"/>
      <c r="D2774" s="78"/>
      <c r="E2774" s="80"/>
      <c r="F2774" s="86"/>
      <c r="G2774" s="86"/>
      <c r="H2774" s="86"/>
      <c r="I2774" s="86"/>
      <c r="J2774" s="85"/>
      <c r="K2774" s="85"/>
      <c r="L2774" s="85"/>
      <c r="M2774" s="85"/>
      <c r="N2774" s="85"/>
      <c r="O2774" s="85"/>
      <c r="P2774" s="85"/>
      <c r="Q2774" s="85"/>
      <c r="R2774" s="85"/>
      <c r="S2774" s="85"/>
      <c r="T2774" s="85"/>
      <c r="U2774" s="82"/>
      <c r="V2774" s="82"/>
      <c r="W2774" s="83"/>
      <c r="X2774" s="83"/>
      <c r="Y2774" s="83"/>
    </row>
    <row r="2775" spans="1:25" ht="13.8">
      <c r="A2775" s="78"/>
      <c r="B2775" s="79"/>
      <c r="C2775" s="78"/>
      <c r="D2775" s="78"/>
      <c r="E2775" s="80"/>
      <c r="F2775" s="86"/>
      <c r="G2775" s="86"/>
      <c r="H2775" s="86"/>
      <c r="I2775" s="86"/>
      <c r="J2775" s="85"/>
      <c r="K2775" s="85"/>
      <c r="L2775" s="85"/>
      <c r="M2775" s="85"/>
      <c r="N2775" s="85"/>
      <c r="O2775" s="85"/>
      <c r="P2775" s="85"/>
      <c r="Q2775" s="85"/>
      <c r="R2775" s="85"/>
      <c r="S2775" s="85"/>
      <c r="T2775" s="85"/>
      <c r="U2775" s="82"/>
      <c r="V2775" s="82"/>
      <c r="W2775" s="83"/>
      <c r="X2775" s="83"/>
      <c r="Y2775" s="83"/>
    </row>
    <row r="2776" spans="1:25" ht="13.8">
      <c r="A2776" s="78"/>
      <c r="B2776" s="79"/>
      <c r="C2776" s="78"/>
      <c r="D2776" s="78"/>
      <c r="E2776" s="80"/>
      <c r="F2776" s="86"/>
      <c r="G2776" s="86"/>
      <c r="H2776" s="86"/>
      <c r="I2776" s="86"/>
      <c r="J2776" s="85"/>
      <c r="K2776" s="85"/>
      <c r="L2776" s="85"/>
      <c r="M2776" s="85"/>
      <c r="N2776" s="85"/>
      <c r="O2776" s="85"/>
      <c r="P2776" s="85"/>
      <c r="Q2776" s="85"/>
      <c r="R2776" s="85"/>
      <c r="S2776" s="85"/>
      <c r="T2776" s="85"/>
      <c r="U2776" s="82"/>
      <c r="V2776" s="82"/>
      <c r="W2776" s="83"/>
      <c r="X2776" s="83"/>
      <c r="Y2776" s="83"/>
    </row>
    <row r="2777" spans="1:25" ht="13.8">
      <c r="A2777" s="78"/>
      <c r="B2777" s="79"/>
      <c r="C2777" s="78"/>
      <c r="D2777" s="78"/>
      <c r="E2777" s="80"/>
      <c r="F2777" s="86"/>
      <c r="G2777" s="86"/>
      <c r="H2777" s="86"/>
      <c r="I2777" s="86"/>
      <c r="J2777" s="85"/>
      <c r="K2777" s="85"/>
      <c r="L2777" s="85"/>
      <c r="M2777" s="85"/>
      <c r="N2777" s="85"/>
      <c r="O2777" s="85"/>
      <c r="P2777" s="85"/>
      <c r="Q2777" s="85"/>
      <c r="R2777" s="85"/>
      <c r="S2777" s="85"/>
      <c r="T2777" s="85"/>
      <c r="U2777" s="82"/>
      <c r="V2777" s="82"/>
      <c r="W2777" s="83"/>
      <c r="X2777" s="83"/>
      <c r="Y2777" s="83"/>
    </row>
    <row r="2778" spans="1:25" ht="13.8">
      <c r="A2778" s="78"/>
      <c r="B2778" s="79"/>
      <c r="C2778" s="78"/>
      <c r="D2778" s="78"/>
      <c r="E2778" s="80"/>
      <c r="F2778" s="86"/>
      <c r="G2778" s="86"/>
      <c r="H2778" s="86"/>
      <c r="I2778" s="86"/>
      <c r="J2778" s="85"/>
      <c r="K2778" s="85"/>
      <c r="L2778" s="85"/>
      <c r="M2778" s="85"/>
      <c r="N2778" s="85"/>
      <c r="O2778" s="85"/>
      <c r="P2778" s="85"/>
      <c r="Q2778" s="85"/>
      <c r="R2778" s="85"/>
      <c r="S2778" s="85"/>
      <c r="T2778" s="85"/>
      <c r="U2778" s="82"/>
      <c r="V2778" s="82"/>
      <c r="W2778" s="83"/>
      <c r="X2778" s="83"/>
      <c r="Y2778" s="83"/>
    </row>
    <row r="2779" spans="1:25" ht="13.8">
      <c r="A2779" s="78"/>
      <c r="B2779" s="79"/>
      <c r="C2779" s="78"/>
      <c r="D2779" s="78"/>
      <c r="E2779" s="80"/>
      <c r="F2779" s="86"/>
      <c r="G2779" s="86"/>
      <c r="H2779" s="86"/>
      <c r="I2779" s="86"/>
      <c r="J2779" s="85"/>
      <c r="K2779" s="85"/>
      <c r="L2779" s="85"/>
      <c r="M2779" s="85"/>
      <c r="N2779" s="85"/>
      <c r="O2779" s="85"/>
      <c r="P2779" s="85"/>
      <c r="Q2779" s="85"/>
      <c r="R2779" s="85"/>
      <c r="S2779" s="85"/>
      <c r="T2779" s="85"/>
      <c r="U2779" s="82"/>
      <c r="V2779" s="82"/>
      <c r="W2779" s="83"/>
      <c r="X2779" s="83"/>
      <c r="Y2779" s="83"/>
    </row>
    <row r="2780" spans="1:25" ht="13.8">
      <c r="A2780" s="78"/>
      <c r="B2780" s="79"/>
      <c r="C2780" s="78"/>
      <c r="D2780" s="78"/>
      <c r="E2780" s="80"/>
      <c r="F2780" s="86"/>
      <c r="G2780" s="86"/>
      <c r="H2780" s="86"/>
      <c r="I2780" s="86"/>
      <c r="J2780" s="85"/>
      <c r="K2780" s="85"/>
      <c r="L2780" s="85"/>
      <c r="M2780" s="85"/>
      <c r="N2780" s="85"/>
      <c r="O2780" s="85"/>
      <c r="P2780" s="85"/>
      <c r="Q2780" s="85"/>
      <c r="R2780" s="85"/>
      <c r="S2780" s="85"/>
      <c r="T2780" s="85"/>
      <c r="U2780" s="82"/>
      <c r="V2780" s="82"/>
      <c r="W2780" s="83"/>
      <c r="X2780" s="83"/>
      <c r="Y2780" s="83"/>
    </row>
    <row r="2781" spans="1:25" ht="13.8">
      <c r="A2781" s="78"/>
      <c r="B2781" s="79"/>
      <c r="C2781" s="78"/>
      <c r="D2781" s="78"/>
      <c r="E2781" s="80"/>
      <c r="F2781" s="86"/>
      <c r="G2781" s="86"/>
      <c r="H2781" s="86"/>
      <c r="I2781" s="86"/>
      <c r="J2781" s="85"/>
      <c r="K2781" s="85"/>
      <c r="L2781" s="85"/>
      <c r="M2781" s="85"/>
      <c r="N2781" s="85"/>
      <c r="O2781" s="85"/>
      <c r="P2781" s="85"/>
      <c r="Q2781" s="85"/>
      <c r="R2781" s="85"/>
      <c r="S2781" s="85"/>
      <c r="T2781" s="85"/>
      <c r="U2781" s="82"/>
      <c r="V2781" s="82"/>
      <c r="W2781" s="83"/>
      <c r="X2781" s="83"/>
      <c r="Y2781" s="83"/>
    </row>
    <row r="2782" spans="1:25" ht="13.8">
      <c r="A2782" s="78"/>
      <c r="B2782" s="79"/>
      <c r="C2782" s="78"/>
      <c r="D2782" s="78"/>
      <c r="E2782" s="80"/>
      <c r="F2782" s="86"/>
      <c r="G2782" s="86"/>
      <c r="H2782" s="86"/>
      <c r="I2782" s="86"/>
      <c r="J2782" s="85"/>
      <c r="K2782" s="85"/>
      <c r="L2782" s="85"/>
      <c r="M2782" s="85"/>
      <c r="N2782" s="85"/>
      <c r="O2782" s="85"/>
      <c r="P2782" s="85"/>
      <c r="Q2782" s="85"/>
      <c r="R2782" s="85"/>
      <c r="S2782" s="85"/>
      <c r="T2782" s="85"/>
      <c r="U2782" s="82"/>
      <c r="V2782" s="82"/>
      <c r="W2782" s="83"/>
      <c r="X2782" s="83"/>
      <c r="Y2782" s="83"/>
    </row>
    <row r="2783" spans="1:25" ht="13.8">
      <c r="A2783" s="78"/>
      <c r="B2783" s="79"/>
      <c r="C2783" s="78"/>
      <c r="D2783" s="78"/>
      <c r="E2783" s="80"/>
      <c r="F2783" s="86"/>
      <c r="G2783" s="86"/>
      <c r="H2783" s="86"/>
      <c r="I2783" s="86"/>
      <c r="J2783" s="85"/>
      <c r="K2783" s="85"/>
      <c r="L2783" s="85"/>
      <c r="M2783" s="85"/>
      <c r="N2783" s="85"/>
      <c r="O2783" s="85"/>
      <c r="P2783" s="85"/>
      <c r="Q2783" s="85"/>
      <c r="R2783" s="85"/>
      <c r="S2783" s="85"/>
      <c r="T2783" s="85"/>
      <c r="U2783" s="82"/>
      <c r="V2783" s="82"/>
      <c r="W2783" s="83"/>
      <c r="X2783" s="83"/>
      <c r="Y2783" s="83"/>
    </row>
    <row r="2784" spans="1:25" ht="13.8">
      <c r="A2784" s="78"/>
      <c r="B2784" s="79"/>
      <c r="C2784" s="78"/>
      <c r="D2784" s="78"/>
      <c r="E2784" s="80"/>
      <c r="F2784" s="86"/>
      <c r="G2784" s="86"/>
      <c r="H2784" s="86"/>
      <c r="I2784" s="86"/>
      <c r="J2784" s="85"/>
      <c r="K2784" s="85"/>
      <c r="L2784" s="85"/>
      <c r="M2784" s="85"/>
      <c r="N2784" s="85"/>
      <c r="O2784" s="85"/>
      <c r="P2784" s="85"/>
      <c r="Q2784" s="85"/>
      <c r="R2784" s="85"/>
      <c r="S2784" s="85"/>
      <c r="T2784" s="85"/>
      <c r="U2784" s="82"/>
      <c r="V2784" s="82"/>
      <c r="W2784" s="83"/>
      <c r="X2784" s="83"/>
      <c r="Y2784" s="83"/>
    </row>
    <row r="2785" spans="1:25" ht="13.8">
      <c r="A2785" s="78"/>
      <c r="B2785" s="79"/>
      <c r="C2785" s="78"/>
      <c r="D2785" s="78"/>
      <c r="E2785" s="80"/>
      <c r="F2785" s="86"/>
      <c r="G2785" s="86"/>
      <c r="H2785" s="86"/>
      <c r="I2785" s="86"/>
      <c r="J2785" s="85"/>
      <c r="K2785" s="85"/>
      <c r="L2785" s="85"/>
      <c r="M2785" s="85"/>
      <c r="N2785" s="85"/>
      <c r="O2785" s="85"/>
      <c r="P2785" s="85"/>
      <c r="Q2785" s="85"/>
      <c r="R2785" s="85"/>
      <c r="S2785" s="85"/>
      <c r="T2785" s="85"/>
      <c r="U2785" s="82"/>
      <c r="V2785" s="82"/>
      <c r="W2785" s="83"/>
      <c r="X2785" s="83"/>
      <c r="Y2785" s="83"/>
    </row>
    <row r="2786" spans="1:25" ht="13.8">
      <c r="A2786" s="78"/>
      <c r="B2786" s="79"/>
      <c r="C2786" s="78"/>
      <c r="D2786" s="78"/>
      <c r="E2786" s="80"/>
      <c r="F2786" s="86"/>
      <c r="G2786" s="86"/>
      <c r="H2786" s="86"/>
      <c r="I2786" s="86"/>
      <c r="J2786" s="85"/>
      <c r="K2786" s="85"/>
      <c r="L2786" s="85"/>
      <c r="M2786" s="85"/>
      <c r="N2786" s="85"/>
      <c r="O2786" s="85"/>
      <c r="P2786" s="85"/>
      <c r="Q2786" s="85"/>
      <c r="R2786" s="85"/>
      <c r="S2786" s="85"/>
      <c r="T2786" s="85"/>
      <c r="U2786" s="82"/>
      <c r="V2786" s="82"/>
      <c r="W2786" s="83"/>
      <c r="X2786" s="83"/>
      <c r="Y2786" s="83"/>
    </row>
    <row r="2787" spans="1:25" ht="13.8">
      <c r="A2787" s="78"/>
      <c r="B2787" s="79"/>
      <c r="C2787" s="78"/>
      <c r="D2787" s="78"/>
      <c r="E2787" s="80"/>
      <c r="F2787" s="86"/>
      <c r="G2787" s="86"/>
      <c r="H2787" s="86"/>
      <c r="I2787" s="86"/>
      <c r="J2787" s="85"/>
      <c r="K2787" s="85"/>
      <c r="L2787" s="85"/>
      <c r="M2787" s="85"/>
      <c r="N2787" s="85"/>
      <c r="O2787" s="85"/>
      <c r="P2787" s="85"/>
      <c r="Q2787" s="85"/>
      <c r="R2787" s="85"/>
      <c r="S2787" s="85"/>
      <c r="T2787" s="85"/>
      <c r="U2787" s="82"/>
      <c r="V2787" s="82"/>
      <c r="W2787" s="83"/>
      <c r="X2787" s="83"/>
      <c r="Y2787" s="83"/>
    </row>
    <row r="2788" spans="1:25" ht="13.8">
      <c r="A2788" s="78"/>
      <c r="B2788" s="79"/>
      <c r="C2788" s="78"/>
      <c r="D2788" s="78"/>
      <c r="E2788" s="80"/>
      <c r="F2788" s="86"/>
      <c r="G2788" s="86"/>
      <c r="H2788" s="86"/>
      <c r="I2788" s="86"/>
      <c r="J2788" s="85"/>
      <c r="K2788" s="85"/>
      <c r="L2788" s="85"/>
      <c r="M2788" s="85"/>
      <c r="N2788" s="85"/>
      <c r="O2788" s="85"/>
      <c r="P2788" s="85"/>
      <c r="Q2788" s="85"/>
      <c r="R2788" s="85"/>
      <c r="S2788" s="85"/>
      <c r="T2788" s="85"/>
      <c r="U2788" s="82"/>
      <c r="V2788" s="82"/>
      <c r="W2788" s="83"/>
      <c r="X2788" s="83"/>
      <c r="Y2788" s="83"/>
    </row>
    <row r="2789" spans="1:25" ht="13.8">
      <c r="A2789" s="78"/>
      <c r="B2789" s="79"/>
      <c r="C2789" s="78"/>
      <c r="D2789" s="78"/>
      <c r="E2789" s="80"/>
      <c r="F2789" s="86"/>
      <c r="G2789" s="86"/>
      <c r="H2789" s="86"/>
      <c r="I2789" s="86"/>
      <c r="J2789" s="85"/>
      <c r="K2789" s="85"/>
      <c r="L2789" s="85"/>
      <c r="M2789" s="85"/>
      <c r="N2789" s="85"/>
      <c r="O2789" s="85"/>
      <c r="P2789" s="85"/>
      <c r="Q2789" s="85"/>
      <c r="R2789" s="85"/>
      <c r="S2789" s="85"/>
      <c r="T2789" s="85"/>
      <c r="U2789" s="82"/>
      <c r="V2789" s="82"/>
      <c r="W2789" s="83"/>
      <c r="X2789" s="83"/>
      <c r="Y2789" s="83"/>
    </row>
    <row r="2790" spans="1:25" ht="13.8">
      <c r="A2790" s="78"/>
      <c r="B2790" s="79"/>
      <c r="C2790" s="78"/>
      <c r="D2790" s="78"/>
      <c r="E2790" s="80"/>
      <c r="F2790" s="86"/>
      <c r="G2790" s="86"/>
      <c r="H2790" s="86"/>
      <c r="I2790" s="86"/>
      <c r="J2790" s="85"/>
      <c r="K2790" s="85"/>
      <c r="L2790" s="85"/>
      <c r="M2790" s="85"/>
      <c r="N2790" s="85"/>
      <c r="O2790" s="85"/>
      <c r="P2790" s="85"/>
      <c r="Q2790" s="85"/>
      <c r="R2790" s="85"/>
      <c r="S2790" s="85"/>
      <c r="T2790" s="85"/>
      <c r="U2790" s="82"/>
      <c r="V2790" s="82"/>
      <c r="W2790" s="83"/>
      <c r="X2790" s="83"/>
      <c r="Y2790" s="83"/>
    </row>
    <row r="2791" spans="1:25" ht="13.8">
      <c r="A2791" s="78"/>
      <c r="B2791" s="79"/>
      <c r="C2791" s="78"/>
      <c r="D2791" s="78"/>
      <c r="E2791" s="80"/>
      <c r="F2791" s="86"/>
      <c r="G2791" s="86"/>
      <c r="H2791" s="86"/>
      <c r="I2791" s="86"/>
      <c r="J2791" s="85"/>
      <c r="K2791" s="85"/>
      <c r="L2791" s="85"/>
      <c r="M2791" s="85"/>
      <c r="N2791" s="85"/>
      <c r="O2791" s="85"/>
      <c r="P2791" s="85"/>
      <c r="Q2791" s="85"/>
      <c r="R2791" s="85"/>
      <c r="S2791" s="85"/>
      <c r="T2791" s="85"/>
      <c r="U2791" s="82"/>
      <c r="V2791" s="82"/>
      <c r="W2791" s="83"/>
      <c r="X2791" s="83"/>
      <c r="Y2791" s="83"/>
    </row>
    <row r="2792" spans="1:25" ht="13.8">
      <c r="A2792" s="78"/>
      <c r="B2792" s="79"/>
      <c r="C2792" s="78"/>
      <c r="D2792" s="78"/>
      <c r="E2792" s="80"/>
      <c r="F2792" s="86"/>
      <c r="G2792" s="86"/>
      <c r="H2792" s="86"/>
      <c r="I2792" s="86"/>
      <c r="J2792" s="85"/>
      <c r="K2792" s="85"/>
      <c r="L2792" s="85"/>
      <c r="M2792" s="85"/>
      <c r="N2792" s="85"/>
      <c r="O2792" s="85"/>
      <c r="P2792" s="85"/>
      <c r="Q2792" s="85"/>
      <c r="R2792" s="85"/>
      <c r="S2792" s="85"/>
      <c r="T2792" s="85"/>
      <c r="U2792" s="82"/>
      <c r="V2792" s="82"/>
      <c r="W2792" s="83"/>
      <c r="X2792" s="83"/>
      <c r="Y2792" s="83"/>
    </row>
    <row r="2793" spans="1:25" ht="13.8">
      <c r="A2793" s="78"/>
      <c r="B2793" s="79"/>
      <c r="C2793" s="78"/>
      <c r="D2793" s="78"/>
      <c r="E2793" s="80"/>
      <c r="F2793" s="86"/>
      <c r="G2793" s="86"/>
      <c r="H2793" s="86"/>
      <c r="I2793" s="86"/>
      <c r="J2793" s="85"/>
      <c r="K2793" s="85"/>
      <c r="L2793" s="85"/>
      <c r="M2793" s="85"/>
      <c r="N2793" s="85"/>
      <c r="O2793" s="85"/>
      <c r="P2793" s="85"/>
      <c r="Q2793" s="85"/>
      <c r="R2793" s="85"/>
      <c r="S2793" s="85"/>
      <c r="T2793" s="85"/>
      <c r="U2793" s="82"/>
      <c r="V2793" s="82"/>
      <c r="W2793" s="83"/>
      <c r="X2793" s="83"/>
      <c r="Y2793" s="83"/>
    </row>
    <row r="2794" spans="1:25" ht="13.8">
      <c r="A2794" s="78"/>
      <c r="B2794" s="79"/>
      <c r="C2794" s="78"/>
      <c r="D2794" s="78"/>
      <c r="E2794" s="80"/>
      <c r="F2794" s="86"/>
      <c r="G2794" s="86"/>
      <c r="H2794" s="86"/>
      <c r="I2794" s="86"/>
      <c r="J2794" s="85"/>
      <c r="K2794" s="85"/>
      <c r="L2794" s="85"/>
      <c r="M2794" s="85"/>
      <c r="N2794" s="85"/>
      <c r="O2794" s="85"/>
      <c r="P2794" s="85"/>
      <c r="Q2794" s="85"/>
      <c r="R2794" s="85"/>
      <c r="S2794" s="85"/>
      <c r="T2794" s="85"/>
      <c r="U2794" s="82"/>
      <c r="V2794" s="82"/>
      <c r="W2794" s="83"/>
      <c r="X2794" s="83"/>
      <c r="Y2794" s="83"/>
    </row>
    <row r="2795" spans="1:25" ht="13.8">
      <c r="A2795" s="78"/>
      <c r="B2795" s="79"/>
      <c r="C2795" s="78"/>
      <c r="D2795" s="78"/>
      <c r="E2795" s="80"/>
      <c r="F2795" s="86"/>
      <c r="G2795" s="86"/>
      <c r="H2795" s="86"/>
      <c r="I2795" s="86"/>
      <c r="J2795" s="85"/>
      <c r="K2795" s="85"/>
      <c r="L2795" s="85"/>
      <c r="M2795" s="85"/>
      <c r="N2795" s="85"/>
      <c r="O2795" s="85"/>
      <c r="P2795" s="85"/>
      <c r="Q2795" s="85"/>
      <c r="R2795" s="85"/>
      <c r="S2795" s="85"/>
      <c r="T2795" s="85"/>
      <c r="U2795" s="82"/>
      <c r="V2795" s="82"/>
      <c r="W2795" s="83"/>
      <c r="X2795" s="83"/>
      <c r="Y2795" s="83"/>
    </row>
    <row r="2796" spans="1:25" ht="13.8">
      <c r="A2796" s="78"/>
      <c r="B2796" s="79"/>
      <c r="C2796" s="78"/>
      <c r="D2796" s="78"/>
      <c r="E2796" s="80"/>
      <c r="F2796" s="86"/>
      <c r="G2796" s="86"/>
      <c r="H2796" s="86"/>
      <c r="I2796" s="86"/>
      <c r="J2796" s="85"/>
      <c r="K2796" s="85"/>
      <c r="L2796" s="85"/>
      <c r="M2796" s="85"/>
      <c r="N2796" s="85"/>
      <c r="O2796" s="85"/>
      <c r="P2796" s="85"/>
      <c r="Q2796" s="85"/>
      <c r="R2796" s="85"/>
      <c r="S2796" s="85"/>
      <c r="T2796" s="85"/>
      <c r="U2796" s="82"/>
      <c r="V2796" s="82"/>
      <c r="W2796" s="83"/>
      <c r="X2796" s="83"/>
      <c r="Y2796" s="83"/>
    </row>
    <row r="2797" spans="1:25" ht="13.8">
      <c r="A2797" s="78"/>
      <c r="B2797" s="79"/>
      <c r="C2797" s="78"/>
      <c r="D2797" s="78"/>
      <c r="E2797" s="80"/>
      <c r="F2797" s="86"/>
      <c r="G2797" s="86"/>
      <c r="H2797" s="86"/>
      <c r="I2797" s="86"/>
      <c r="J2797" s="85"/>
      <c r="K2797" s="85"/>
      <c r="L2797" s="85"/>
      <c r="M2797" s="85"/>
      <c r="N2797" s="85"/>
      <c r="O2797" s="85"/>
      <c r="P2797" s="85"/>
      <c r="Q2797" s="85"/>
      <c r="R2797" s="85"/>
      <c r="S2797" s="85"/>
      <c r="T2797" s="85"/>
      <c r="U2797" s="82"/>
      <c r="V2797" s="82"/>
      <c r="W2797" s="83"/>
      <c r="X2797" s="83"/>
      <c r="Y2797" s="83"/>
    </row>
    <row r="2798" spans="1:25" ht="13.8">
      <c r="A2798" s="78"/>
      <c r="B2798" s="79"/>
      <c r="C2798" s="78"/>
      <c r="D2798" s="78"/>
      <c r="E2798" s="80"/>
      <c r="F2798" s="86"/>
      <c r="G2798" s="86"/>
      <c r="H2798" s="86"/>
      <c r="I2798" s="86"/>
      <c r="J2798" s="85"/>
      <c r="K2798" s="85"/>
      <c r="L2798" s="85"/>
      <c r="M2798" s="85"/>
      <c r="N2798" s="85"/>
      <c r="O2798" s="85"/>
      <c r="P2798" s="85"/>
      <c r="Q2798" s="85"/>
      <c r="R2798" s="85"/>
      <c r="S2798" s="85"/>
      <c r="T2798" s="85"/>
      <c r="U2798" s="82"/>
      <c r="V2798" s="82"/>
      <c r="W2798" s="83"/>
      <c r="X2798" s="83"/>
      <c r="Y2798" s="83"/>
    </row>
    <row r="2799" spans="1:25" ht="13.8">
      <c r="A2799" s="78"/>
      <c r="B2799" s="79"/>
      <c r="C2799" s="78"/>
      <c r="D2799" s="78"/>
      <c r="E2799" s="80"/>
      <c r="F2799" s="86"/>
      <c r="G2799" s="86"/>
      <c r="H2799" s="86"/>
      <c r="I2799" s="86"/>
      <c r="J2799" s="85"/>
      <c r="K2799" s="85"/>
      <c r="L2799" s="85"/>
      <c r="M2799" s="85"/>
      <c r="N2799" s="85"/>
      <c r="O2799" s="85"/>
      <c r="P2799" s="85"/>
      <c r="Q2799" s="85"/>
      <c r="R2799" s="85"/>
      <c r="S2799" s="85"/>
      <c r="T2799" s="85"/>
      <c r="U2799" s="82"/>
      <c r="V2799" s="82"/>
      <c r="W2799" s="83"/>
      <c r="X2799" s="83"/>
      <c r="Y2799" s="83"/>
    </row>
    <row r="2800" spans="1:25" ht="13.8">
      <c r="A2800" s="78"/>
      <c r="B2800" s="79"/>
      <c r="C2800" s="78"/>
      <c r="D2800" s="78"/>
      <c r="E2800" s="80"/>
      <c r="F2800" s="86"/>
      <c r="G2800" s="86"/>
      <c r="H2800" s="86"/>
      <c r="I2800" s="86"/>
      <c r="J2800" s="85"/>
      <c r="K2800" s="85"/>
      <c r="L2800" s="85"/>
      <c r="M2800" s="85"/>
      <c r="N2800" s="85"/>
      <c r="O2800" s="85"/>
      <c r="P2800" s="85"/>
      <c r="Q2800" s="85"/>
      <c r="R2800" s="85"/>
      <c r="S2800" s="85"/>
      <c r="T2800" s="85"/>
      <c r="U2800" s="82"/>
      <c r="V2800" s="82"/>
      <c r="W2800" s="83"/>
      <c r="X2800" s="83"/>
      <c r="Y2800" s="83"/>
    </row>
    <row r="2801" spans="1:25" ht="13.8">
      <c r="A2801" s="78"/>
      <c r="B2801" s="79"/>
      <c r="C2801" s="78"/>
      <c r="D2801" s="78"/>
      <c r="E2801" s="80"/>
      <c r="F2801" s="86"/>
      <c r="G2801" s="86"/>
      <c r="H2801" s="86"/>
      <c r="I2801" s="86"/>
      <c r="J2801" s="85"/>
      <c r="K2801" s="85"/>
      <c r="L2801" s="85"/>
      <c r="M2801" s="85"/>
      <c r="N2801" s="85"/>
      <c r="O2801" s="85"/>
      <c r="P2801" s="85"/>
      <c r="Q2801" s="85"/>
      <c r="R2801" s="85"/>
      <c r="S2801" s="85"/>
      <c r="T2801" s="85"/>
      <c r="U2801" s="82"/>
      <c r="V2801" s="82"/>
      <c r="W2801" s="83"/>
      <c r="X2801" s="83"/>
      <c r="Y2801" s="83"/>
    </row>
    <row r="2802" spans="1:25" ht="13.8">
      <c r="A2802" s="78"/>
      <c r="B2802" s="79"/>
      <c r="C2802" s="78"/>
      <c r="D2802" s="78"/>
      <c r="E2802" s="80"/>
      <c r="F2802" s="86"/>
      <c r="G2802" s="86"/>
      <c r="H2802" s="86"/>
      <c r="I2802" s="86"/>
      <c r="J2802" s="85"/>
      <c r="K2802" s="85"/>
      <c r="L2802" s="85"/>
      <c r="M2802" s="85"/>
      <c r="N2802" s="85"/>
      <c r="O2802" s="85"/>
      <c r="P2802" s="85"/>
      <c r="Q2802" s="85"/>
      <c r="R2802" s="85"/>
      <c r="S2802" s="85"/>
      <c r="T2802" s="85"/>
      <c r="U2802" s="82"/>
      <c r="V2802" s="82"/>
      <c r="W2802" s="83"/>
      <c r="X2802" s="83"/>
      <c r="Y2802" s="83"/>
    </row>
    <row r="2803" spans="1:25" ht="13.8">
      <c r="A2803" s="78"/>
      <c r="B2803" s="79"/>
      <c r="C2803" s="78"/>
      <c r="D2803" s="78"/>
      <c r="E2803" s="80"/>
      <c r="F2803" s="86"/>
      <c r="G2803" s="86"/>
      <c r="H2803" s="86"/>
      <c r="I2803" s="86"/>
      <c r="J2803" s="85"/>
      <c r="K2803" s="85"/>
      <c r="L2803" s="85"/>
      <c r="M2803" s="85"/>
      <c r="N2803" s="85"/>
      <c r="O2803" s="85"/>
      <c r="P2803" s="85"/>
      <c r="Q2803" s="85"/>
      <c r="R2803" s="85"/>
      <c r="S2803" s="85"/>
      <c r="T2803" s="85"/>
      <c r="U2803" s="82"/>
      <c r="V2803" s="82"/>
      <c r="W2803" s="83"/>
      <c r="X2803" s="83"/>
      <c r="Y2803" s="83"/>
    </row>
    <row r="2804" spans="1:25" ht="13.8">
      <c r="A2804" s="78"/>
      <c r="B2804" s="79"/>
      <c r="C2804" s="78"/>
      <c r="D2804" s="78"/>
      <c r="E2804" s="80"/>
      <c r="F2804" s="86"/>
      <c r="G2804" s="86"/>
      <c r="H2804" s="86"/>
      <c r="I2804" s="86"/>
      <c r="J2804" s="85"/>
      <c r="K2804" s="85"/>
      <c r="L2804" s="85"/>
      <c r="M2804" s="85"/>
      <c r="N2804" s="85"/>
      <c r="O2804" s="85"/>
      <c r="P2804" s="85"/>
      <c r="Q2804" s="85"/>
      <c r="R2804" s="85"/>
      <c r="S2804" s="85"/>
      <c r="T2804" s="85"/>
      <c r="U2804" s="82"/>
      <c r="V2804" s="82"/>
      <c r="W2804" s="83"/>
      <c r="X2804" s="83"/>
      <c r="Y2804" s="83"/>
    </row>
    <row r="2805" spans="1:25" ht="13.8">
      <c r="A2805" s="78"/>
      <c r="B2805" s="79"/>
      <c r="C2805" s="78"/>
      <c r="D2805" s="78"/>
      <c r="E2805" s="80"/>
      <c r="F2805" s="86"/>
      <c r="G2805" s="86"/>
      <c r="H2805" s="86"/>
      <c r="I2805" s="86"/>
      <c r="J2805" s="85"/>
      <c r="K2805" s="85"/>
      <c r="L2805" s="85"/>
      <c r="M2805" s="85"/>
      <c r="N2805" s="85"/>
      <c r="O2805" s="85"/>
      <c r="P2805" s="85"/>
      <c r="Q2805" s="85"/>
      <c r="R2805" s="85"/>
      <c r="S2805" s="85"/>
      <c r="T2805" s="85"/>
      <c r="U2805" s="82"/>
      <c r="V2805" s="82"/>
      <c r="W2805" s="83"/>
      <c r="X2805" s="83"/>
      <c r="Y2805" s="83"/>
    </row>
    <row r="2806" spans="1:25" ht="13.8">
      <c r="A2806" s="78"/>
      <c r="B2806" s="79"/>
      <c r="C2806" s="78"/>
      <c r="D2806" s="78"/>
      <c r="E2806" s="80"/>
      <c r="F2806" s="86"/>
      <c r="G2806" s="86"/>
      <c r="H2806" s="86"/>
      <c r="I2806" s="86"/>
      <c r="J2806" s="85"/>
      <c r="K2806" s="85"/>
      <c r="L2806" s="85"/>
      <c r="M2806" s="85"/>
      <c r="N2806" s="85"/>
      <c r="O2806" s="85"/>
      <c r="P2806" s="85"/>
      <c r="Q2806" s="85"/>
      <c r="R2806" s="85"/>
      <c r="S2806" s="85"/>
      <c r="T2806" s="85"/>
      <c r="U2806" s="82"/>
      <c r="V2806" s="82"/>
      <c r="W2806" s="83"/>
      <c r="X2806" s="83"/>
      <c r="Y2806" s="83"/>
    </row>
    <row r="2807" spans="1:25" ht="13.8">
      <c r="A2807" s="78"/>
      <c r="B2807" s="79"/>
      <c r="C2807" s="78"/>
      <c r="D2807" s="78"/>
      <c r="E2807" s="80"/>
      <c r="F2807" s="86"/>
      <c r="G2807" s="86"/>
      <c r="H2807" s="86"/>
      <c r="I2807" s="86"/>
      <c r="J2807" s="85"/>
      <c r="K2807" s="85"/>
      <c r="L2807" s="85"/>
      <c r="M2807" s="85"/>
      <c r="N2807" s="85"/>
      <c r="O2807" s="85"/>
      <c r="P2807" s="85"/>
      <c r="Q2807" s="85"/>
      <c r="R2807" s="85"/>
      <c r="S2807" s="85"/>
      <c r="T2807" s="85"/>
      <c r="U2807" s="82"/>
      <c r="V2807" s="82"/>
      <c r="W2807" s="83"/>
      <c r="X2807" s="83"/>
      <c r="Y2807" s="83"/>
    </row>
    <row r="2808" spans="1:25" ht="13.8">
      <c r="A2808" s="78"/>
      <c r="B2808" s="79"/>
      <c r="C2808" s="78"/>
      <c r="D2808" s="78"/>
      <c r="E2808" s="80"/>
      <c r="F2808" s="86"/>
      <c r="G2808" s="86"/>
      <c r="H2808" s="86"/>
      <c r="I2808" s="86"/>
      <c r="J2808" s="85"/>
      <c r="K2808" s="85"/>
      <c r="L2808" s="85"/>
      <c r="M2808" s="85"/>
      <c r="N2808" s="85"/>
      <c r="O2808" s="85"/>
      <c r="P2808" s="85"/>
      <c r="Q2808" s="85"/>
      <c r="R2808" s="85"/>
      <c r="S2808" s="85"/>
      <c r="T2808" s="85"/>
      <c r="U2808" s="82"/>
      <c r="V2808" s="82"/>
      <c r="W2808" s="83"/>
      <c r="X2808" s="83"/>
      <c r="Y2808" s="83"/>
    </row>
    <row r="2809" spans="1:25" ht="13.8">
      <c r="A2809" s="78"/>
      <c r="B2809" s="79"/>
      <c r="C2809" s="78"/>
      <c r="D2809" s="78"/>
      <c r="E2809" s="80"/>
      <c r="F2809" s="86"/>
      <c r="G2809" s="86"/>
      <c r="H2809" s="86"/>
      <c r="I2809" s="86"/>
      <c r="J2809" s="85"/>
      <c r="K2809" s="85"/>
      <c r="L2809" s="85"/>
      <c r="M2809" s="85"/>
      <c r="N2809" s="85"/>
      <c r="O2809" s="85"/>
      <c r="P2809" s="85"/>
      <c r="Q2809" s="85"/>
      <c r="R2809" s="85"/>
      <c r="S2809" s="85"/>
      <c r="T2809" s="85"/>
      <c r="U2809" s="82"/>
      <c r="V2809" s="82"/>
      <c r="W2809" s="83"/>
      <c r="X2809" s="83"/>
      <c r="Y2809" s="83"/>
    </row>
    <row r="2810" spans="1:25" ht="13.8">
      <c r="A2810" s="78"/>
      <c r="B2810" s="79"/>
      <c r="C2810" s="78"/>
      <c r="D2810" s="78"/>
      <c r="E2810" s="80"/>
      <c r="F2810" s="86"/>
      <c r="G2810" s="86"/>
      <c r="H2810" s="86"/>
      <c r="I2810" s="86"/>
      <c r="J2810" s="85"/>
      <c r="K2810" s="85"/>
      <c r="L2810" s="85"/>
      <c r="M2810" s="85"/>
      <c r="N2810" s="85"/>
      <c r="O2810" s="85"/>
      <c r="P2810" s="85"/>
      <c r="Q2810" s="85"/>
      <c r="R2810" s="85"/>
      <c r="S2810" s="85"/>
      <c r="T2810" s="85"/>
      <c r="U2810" s="82"/>
      <c r="V2810" s="82"/>
      <c r="W2810" s="83"/>
      <c r="X2810" s="83"/>
      <c r="Y2810" s="83"/>
    </row>
    <row r="2811" spans="1:25" ht="13.8">
      <c r="A2811" s="78"/>
      <c r="B2811" s="79"/>
      <c r="C2811" s="78"/>
      <c r="D2811" s="78"/>
      <c r="E2811" s="80"/>
      <c r="F2811" s="86"/>
      <c r="G2811" s="86"/>
      <c r="H2811" s="86"/>
      <c r="I2811" s="86"/>
      <c r="J2811" s="85"/>
      <c r="K2811" s="85"/>
      <c r="L2811" s="85"/>
      <c r="M2811" s="85"/>
      <c r="N2811" s="85"/>
      <c r="O2811" s="85"/>
      <c r="P2811" s="85"/>
      <c r="Q2811" s="85"/>
      <c r="R2811" s="85"/>
      <c r="S2811" s="85"/>
      <c r="T2811" s="85"/>
      <c r="U2811" s="82"/>
      <c r="V2811" s="82"/>
      <c r="W2811" s="83"/>
      <c r="X2811" s="83"/>
      <c r="Y2811" s="83"/>
    </row>
    <row r="2812" spans="1:25" ht="13.8">
      <c r="A2812" s="78"/>
      <c r="B2812" s="79"/>
      <c r="C2812" s="78"/>
      <c r="D2812" s="78"/>
      <c r="E2812" s="80"/>
      <c r="F2812" s="86"/>
      <c r="G2812" s="86"/>
      <c r="H2812" s="86"/>
      <c r="I2812" s="86"/>
      <c r="J2812" s="85"/>
      <c r="K2812" s="85"/>
      <c r="L2812" s="85"/>
      <c r="M2812" s="85"/>
      <c r="N2812" s="85"/>
      <c r="O2812" s="85"/>
      <c r="P2812" s="85"/>
      <c r="Q2812" s="85"/>
      <c r="R2812" s="85"/>
      <c r="S2812" s="85"/>
      <c r="T2812" s="85"/>
      <c r="U2812" s="82"/>
      <c r="V2812" s="82"/>
      <c r="W2812" s="83"/>
      <c r="X2812" s="83"/>
      <c r="Y2812" s="83"/>
    </row>
    <row r="2813" spans="1:25" ht="13.8">
      <c r="A2813" s="78"/>
      <c r="B2813" s="79"/>
      <c r="C2813" s="78"/>
      <c r="D2813" s="78"/>
      <c r="E2813" s="80"/>
      <c r="F2813" s="86"/>
      <c r="G2813" s="86"/>
      <c r="H2813" s="86"/>
      <c r="I2813" s="86"/>
      <c r="J2813" s="85"/>
      <c r="K2813" s="85"/>
      <c r="L2813" s="85"/>
      <c r="M2813" s="85"/>
      <c r="N2813" s="85"/>
      <c r="O2813" s="85"/>
      <c r="P2813" s="85"/>
      <c r="Q2813" s="85"/>
      <c r="R2813" s="85"/>
      <c r="S2813" s="85"/>
      <c r="T2813" s="85"/>
      <c r="U2813" s="82"/>
      <c r="V2813" s="82"/>
      <c r="W2813" s="83"/>
      <c r="X2813" s="83"/>
      <c r="Y2813" s="83"/>
    </row>
    <row r="2814" spans="1:25" ht="13.8">
      <c r="A2814" s="78"/>
      <c r="B2814" s="79"/>
      <c r="C2814" s="78"/>
      <c r="D2814" s="78"/>
      <c r="E2814" s="80"/>
      <c r="F2814" s="86"/>
      <c r="G2814" s="86"/>
      <c r="H2814" s="86"/>
      <c r="I2814" s="86"/>
      <c r="J2814" s="85"/>
      <c r="K2814" s="85"/>
      <c r="L2814" s="85"/>
      <c r="M2814" s="85"/>
      <c r="N2814" s="85"/>
      <c r="O2814" s="85"/>
      <c r="P2814" s="85"/>
      <c r="Q2814" s="85"/>
      <c r="R2814" s="85"/>
      <c r="S2814" s="85"/>
      <c r="T2814" s="85"/>
      <c r="U2814" s="82"/>
      <c r="V2814" s="82"/>
      <c r="W2814" s="83"/>
      <c r="X2814" s="83"/>
      <c r="Y2814" s="83"/>
    </row>
    <row r="2815" spans="1:25" ht="13.8">
      <c r="A2815" s="78"/>
      <c r="B2815" s="79"/>
      <c r="C2815" s="78"/>
      <c r="D2815" s="78"/>
      <c r="E2815" s="80"/>
      <c r="F2815" s="86"/>
      <c r="G2815" s="86"/>
      <c r="H2815" s="86"/>
      <c r="I2815" s="86"/>
      <c r="J2815" s="85"/>
      <c r="K2815" s="85"/>
      <c r="L2815" s="85"/>
      <c r="M2815" s="85"/>
      <c r="N2815" s="85"/>
      <c r="O2815" s="85"/>
      <c r="P2815" s="85"/>
      <c r="Q2815" s="85"/>
      <c r="R2815" s="85"/>
      <c r="S2815" s="85"/>
      <c r="T2815" s="85"/>
      <c r="U2815" s="82"/>
      <c r="V2815" s="82"/>
      <c r="W2815" s="83"/>
      <c r="X2815" s="83"/>
      <c r="Y2815" s="83"/>
    </row>
    <row r="2816" spans="1:25" ht="13.8">
      <c r="A2816" s="78"/>
      <c r="B2816" s="79"/>
      <c r="C2816" s="78"/>
      <c r="D2816" s="78"/>
      <c r="E2816" s="80"/>
      <c r="F2816" s="86"/>
      <c r="G2816" s="86"/>
      <c r="H2816" s="86"/>
      <c r="I2816" s="86"/>
      <c r="J2816" s="85"/>
      <c r="K2816" s="85"/>
      <c r="L2816" s="85"/>
      <c r="M2816" s="85"/>
      <c r="N2816" s="85"/>
      <c r="O2816" s="85"/>
      <c r="P2816" s="85"/>
      <c r="Q2816" s="85"/>
      <c r="R2816" s="85"/>
      <c r="S2816" s="85"/>
      <c r="T2816" s="85"/>
      <c r="U2816" s="82"/>
      <c r="V2816" s="82"/>
      <c r="W2816" s="83"/>
      <c r="X2816" s="83"/>
      <c r="Y2816" s="83"/>
    </row>
    <row r="2817" spans="1:25" ht="13.8">
      <c r="A2817" s="78"/>
      <c r="B2817" s="79"/>
      <c r="C2817" s="78"/>
      <c r="D2817" s="78"/>
      <c r="E2817" s="80"/>
      <c r="F2817" s="86"/>
      <c r="G2817" s="86"/>
      <c r="H2817" s="86"/>
      <c r="I2817" s="86"/>
      <c r="J2817" s="85"/>
      <c r="K2817" s="85"/>
      <c r="L2817" s="85"/>
      <c r="M2817" s="85"/>
      <c r="N2817" s="85"/>
      <c r="O2817" s="85"/>
      <c r="P2817" s="85"/>
      <c r="Q2817" s="85"/>
      <c r="R2817" s="85"/>
      <c r="S2817" s="85"/>
      <c r="T2817" s="85"/>
      <c r="U2817" s="82"/>
      <c r="V2817" s="82"/>
      <c r="W2817" s="83"/>
      <c r="X2817" s="83"/>
      <c r="Y2817" s="83"/>
    </row>
    <row r="2818" spans="1:25" ht="13.8">
      <c r="A2818" s="78"/>
      <c r="B2818" s="79"/>
      <c r="C2818" s="78"/>
      <c r="D2818" s="78"/>
      <c r="E2818" s="80"/>
      <c r="F2818" s="86"/>
      <c r="G2818" s="86"/>
      <c r="H2818" s="86"/>
      <c r="I2818" s="86"/>
      <c r="J2818" s="85"/>
      <c r="K2818" s="85"/>
      <c r="L2818" s="85"/>
      <c r="M2818" s="85"/>
      <c r="N2818" s="85"/>
      <c r="O2818" s="85"/>
      <c r="P2818" s="85"/>
      <c r="Q2818" s="85"/>
      <c r="R2818" s="85"/>
      <c r="S2818" s="85"/>
      <c r="T2818" s="85"/>
      <c r="U2818" s="82"/>
      <c r="V2818" s="82"/>
      <c r="W2818" s="83"/>
      <c r="X2818" s="83"/>
      <c r="Y2818" s="83"/>
    </row>
    <row r="2819" spans="1:25" ht="13.8">
      <c r="A2819" s="78"/>
      <c r="B2819" s="79"/>
      <c r="C2819" s="78"/>
      <c r="D2819" s="78"/>
      <c r="E2819" s="80"/>
      <c r="F2819" s="86"/>
      <c r="G2819" s="86"/>
      <c r="H2819" s="86"/>
      <c r="I2819" s="86"/>
      <c r="J2819" s="85"/>
      <c r="K2819" s="85"/>
      <c r="L2819" s="85"/>
      <c r="M2819" s="85"/>
      <c r="N2819" s="85"/>
      <c r="O2819" s="85"/>
      <c r="P2819" s="85"/>
      <c r="Q2819" s="85"/>
      <c r="R2819" s="85"/>
      <c r="S2819" s="85"/>
      <c r="T2819" s="85"/>
      <c r="U2819" s="82"/>
      <c r="V2819" s="82"/>
      <c r="W2819" s="83"/>
      <c r="X2819" s="83"/>
      <c r="Y2819" s="83"/>
    </row>
    <row r="2820" spans="1:25" ht="13.8">
      <c r="A2820" s="78"/>
      <c r="B2820" s="79"/>
      <c r="C2820" s="78"/>
      <c r="D2820" s="78"/>
      <c r="E2820" s="80"/>
      <c r="F2820" s="86"/>
      <c r="G2820" s="86"/>
      <c r="H2820" s="86"/>
      <c r="I2820" s="86"/>
      <c r="J2820" s="85"/>
      <c r="K2820" s="85"/>
      <c r="L2820" s="85"/>
      <c r="M2820" s="85"/>
      <c r="N2820" s="85"/>
      <c r="O2820" s="85"/>
      <c r="P2820" s="85"/>
      <c r="Q2820" s="85"/>
      <c r="R2820" s="85"/>
      <c r="S2820" s="85"/>
      <c r="T2820" s="85"/>
      <c r="U2820" s="82"/>
      <c r="V2820" s="82"/>
      <c r="W2820" s="83"/>
      <c r="X2820" s="83"/>
      <c r="Y2820" s="83"/>
    </row>
    <row r="2821" spans="1:25" ht="13.8">
      <c r="A2821" s="78"/>
      <c r="B2821" s="79"/>
      <c r="C2821" s="78"/>
      <c r="D2821" s="78"/>
      <c r="E2821" s="80"/>
      <c r="F2821" s="86"/>
      <c r="G2821" s="86"/>
      <c r="H2821" s="86"/>
      <c r="I2821" s="86"/>
      <c r="J2821" s="85"/>
      <c r="K2821" s="85"/>
      <c r="L2821" s="85"/>
      <c r="M2821" s="85"/>
      <c r="N2821" s="85"/>
      <c r="O2821" s="85"/>
      <c r="P2821" s="85"/>
      <c r="Q2821" s="85"/>
      <c r="R2821" s="85"/>
      <c r="S2821" s="85"/>
      <c r="T2821" s="85"/>
      <c r="U2821" s="82"/>
      <c r="V2821" s="82"/>
      <c r="W2821" s="83"/>
      <c r="X2821" s="83"/>
      <c r="Y2821" s="83"/>
    </row>
    <row r="2822" spans="1:25" ht="13.8">
      <c r="A2822" s="78"/>
      <c r="B2822" s="79"/>
      <c r="C2822" s="78"/>
      <c r="D2822" s="78"/>
      <c r="E2822" s="80"/>
      <c r="F2822" s="86"/>
      <c r="G2822" s="86"/>
      <c r="H2822" s="86"/>
      <c r="I2822" s="86"/>
      <c r="J2822" s="85"/>
      <c r="K2822" s="85"/>
      <c r="L2822" s="85"/>
      <c r="M2822" s="85"/>
      <c r="N2822" s="85"/>
      <c r="O2822" s="85"/>
      <c r="P2822" s="85"/>
      <c r="Q2822" s="85"/>
      <c r="R2822" s="85"/>
      <c r="S2822" s="85"/>
      <c r="T2822" s="85"/>
      <c r="U2822" s="82"/>
      <c r="V2822" s="82"/>
      <c r="W2822" s="83"/>
      <c r="X2822" s="83"/>
      <c r="Y2822" s="83"/>
    </row>
    <row r="2823" spans="1:25" ht="13.8">
      <c r="A2823" s="78"/>
      <c r="B2823" s="79"/>
      <c r="C2823" s="78"/>
      <c r="D2823" s="78"/>
      <c r="E2823" s="80"/>
      <c r="F2823" s="86"/>
      <c r="G2823" s="86"/>
      <c r="H2823" s="86"/>
      <c r="I2823" s="86"/>
      <c r="J2823" s="85"/>
      <c r="K2823" s="85"/>
      <c r="L2823" s="85"/>
      <c r="M2823" s="85"/>
      <c r="N2823" s="85"/>
      <c r="O2823" s="85"/>
      <c r="P2823" s="85"/>
      <c r="Q2823" s="85"/>
      <c r="R2823" s="85"/>
      <c r="S2823" s="85"/>
      <c r="T2823" s="85"/>
      <c r="U2823" s="82"/>
      <c r="V2823" s="82"/>
      <c r="W2823" s="83"/>
      <c r="X2823" s="83"/>
      <c r="Y2823" s="83"/>
    </row>
    <row r="2824" spans="1:25" ht="13.8">
      <c r="A2824" s="78"/>
      <c r="B2824" s="79"/>
      <c r="C2824" s="78"/>
      <c r="D2824" s="78"/>
      <c r="E2824" s="80"/>
      <c r="F2824" s="86"/>
      <c r="G2824" s="86"/>
      <c r="H2824" s="86"/>
      <c r="I2824" s="86"/>
      <c r="J2824" s="85"/>
      <c r="K2824" s="85"/>
      <c r="L2824" s="85"/>
      <c r="M2824" s="85"/>
      <c r="N2824" s="85"/>
      <c r="O2824" s="85"/>
      <c r="P2824" s="85"/>
      <c r="Q2824" s="85"/>
      <c r="R2824" s="85"/>
      <c r="S2824" s="85"/>
      <c r="T2824" s="85"/>
      <c r="U2824" s="82"/>
      <c r="V2824" s="82"/>
      <c r="W2824" s="83"/>
      <c r="X2824" s="83"/>
      <c r="Y2824" s="83"/>
    </row>
    <row r="2825" spans="1:25" ht="13.8">
      <c r="A2825" s="78"/>
      <c r="B2825" s="79"/>
      <c r="C2825" s="78"/>
      <c r="D2825" s="78"/>
      <c r="E2825" s="80"/>
      <c r="F2825" s="86"/>
      <c r="G2825" s="86"/>
      <c r="H2825" s="86"/>
      <c r="I2825" s="86"/>
      <c r="J2825" s="85"/>
      <c r="K2825" s="85"/>
      <c r="L2825" s="85"/>
      <c r="M2825" s="85"/>
      <c r="N2825" s="85"/>
      <c r="O2825" s="85"/>
      <c r="P2825" s="85"/>
      <c r="Q2825" s="85"/>
      <c r="R2825" s="85"/>
      <c r="S2825" s="85"/>
      <c r="T2825" s="85"/>
      <c r="U2825" s="82"/>
      <c r="V2825" s="82"/>
      <c r="W2825" s="83"/>
      <c r="X2825" s="83"/>
      <c r="Y2825" s="83"/>
    </row>
    <row r="2826" spans="1:25" ht="13.8">
      <c r="A2826" s="78"/>
      <c r="B2826" s="79"/>
      <c r="C2826" s="78"/>
      <c r="D2826" s="78"/>
      <c r="E2826" s="80"/>
      <c r="F2826" s="86"/>
      <c r="G2826" s="86"/>
      <c r="H2826" s="86"/>
      <c r="I2826" s="86"/>
      <c r="J2826" s="85"/>
      <c r="K2826" s="85"/>
      <c r="L2826" s="85"/>
      <c r="M2826" s="85"/>
      <c r="N2826" s="85"/>
      <c r="O2826" s="85"/>
      <c r="P2826" s="85"/>
      <c r="Q2826" s="85"/>
      <c r="R2826" s="85"/>
      <c r="S2826" s="85"/>
      <c r="T2826" s="85"/>
      <c r="U2826" s="82"/>
      <c r="V2826" s="82"/>
      <c r="W2826" s="83"/>
      <c r="X2826" s="83"/>
      <c r="Y2826" s="83"/>
    </row>
    <row r="2827" spans="1:25" ht="13.8">
      <c r="A2827" s="78"/>
      <c r="B2827" s="79"/>
      <c r="C2827" s="78"/>
      <c r="D2827" s="78"/>
      <c r="E2827" s="80"/>
      <c r="F2827" s="86"/>
      <c r="G2827" s="86"/>
      <c r="H2827" s="86"/>
      <c r="I2827" s="86"/>
      <c r="J2827" s="85"/>
      <c r="K2827" s="85"/>
      <c r="L2827" s="85"/>
      <c r="M2827" s="85"/>
      <c r="N2827" s="85"/>
      <c r="O2827" s="85"/>
      <c r="P2827" s="85"/>
      <c r="Q2827" s="85"/>
      <c r="R2827" s="85"/>
      <c r="S2827" s="85"/>
      <c r="T2827" s="85"/>
      <c r="U2827" s="82"/>
      <c r="V2827" s="82"/>
      <c r="W2827" s="83"/>
      <c r="X2827" s="83"/>
      <c r="Y2827" s="83"/>
    </row>
    <row r="2828" spans="1:25" ht="13.8">
      <c r="A2828" s="78"/>
      <c r="B2828" s="79"/>
      <c r="C2828" s="78"/>
      <c r="D2828" s="78"/>
      <c r="E2828" s="80"/>
      <c r="F2828" s="86"/>
      <c r="G2828" s="86"/>
      <c r="H2828" s="86"/>
      <c r="I2828" s="86"/>
      <c r="J2828" s="85"/>
      <c r="K2828" s="85"/>
      <c r="L2828" s="85"/>
      <c r="M2828" s="85"/>
      <c r="N2828" s="85"/>
      <c r="O2828" s="85"/>
      <c r="P2828" s="85"/>
      <c r="Q2828" s="85"/>
      <c r="R2828" s="85"/>
      <c r="S2828" s="85"/>
      <c r="T2828" s="85"/>
      <c r="U2828" s="82"/>
      <c r="V2828" s="82"/>
      <c r="W2828" s="83"/>
      <c r="X2828" s="83"/>
      <c r="Y2828" s="83"/>
    </row>
    <row r="2829" spans="1:25" ht="13.8">
      <c r="A2829" s="78"/>
      <c r="B2829" s="79"/>
      <c r="C2829" s="78"/>
      <c r="D2829" s="78"/>
      <c r="E2829" s="80"/>
      <c r="F2829" s="86"/>
      <c r="G2829" s="86"/>
      <c r="H2829" s="86"/>
      <c r="I2829" s="86"/>
      <c r="J2829" s="85"/>
      <c r="K2829" s="85"/>
      <c r="L2829" s="85"/>
      <c r="M2829" s="85"/>
      <c r="N2829" s="85"/>
      <c r="O2829" s="85"/>
      <c r="P2829" s="85"/>
      <c r="Q2829" s="85"/>
      <c r="R2829" s="85"/>
      <c r="S2829" s="85"/>
      <c r="T2829" s="85"/>
      <c r="U2829" s="82"/>
      <c r="V2829" s="82"/>
      <c r="W2829" s="83"/>
      <c r="X2829" s="83"/>
      <c r="Y2829" s="83"/>
    </row>
    <row r="2830" spans="1:25" ht="13.8">
      <c r="A2830" s="78"/>
      <c r="B2830" s="79"/>
      <c r="C2830" s="78"/>
      <c r="D2830" s="78"/>
      <c r="E2830" s="80"/>
      <c r="F2830" s="86"/>
      <c r="G2830" s="86"/>
      <c r="H2830" s="86"/>
      <c r="I2830" s="86"/>
      <c r="J2830" s="85"/>
      <c r="K2830" s="85"/>
      <c r="L2830" s="85"/>
      <c r="M2830" s="85"/>
      <c r="N2830" s="85"/>
      <c r="O2830" s="85"/>
      <c r="P2830" s="85"/>
      <c r="Q2830" s="85"/>
      <c r="R2830" s="85"/>
      <c r="S2830" s="85"/>
      <c r="T2830" s="85"/>
      <c r="U2830" s="82"/>
      <c r="V2830" s="82"/>
      <c r="W2830" s="83"/>
      <c r="X2830" s="83"/>
      <c r="Y2830" s="83"/>
    </row>
    <row r="2831" spans="1:25" ht="13.8">
      <c r="A2831" s="78"/>
      <c r="B2831" s="79"/>
      <c r="C2831" s="78"/>
      <c r="D2831" s="78"/>
      <c r="E2831" s="80"/>
      <c r="F2831" s="86"/>
      <c r="G2831" s="86"/>
      <c r="H2831" s="86"/>
      <c r="I2831" s="86"/>
      <c r="J2831" s="85"/>
      <c r="K2831" s="85"/>
      <c r="L2831" s="85"/>
      <c r="M2831" s="85"/>
      <c r="N2831" s="85"/>
      <c r="O2831" s="85"/>
      <c r="P2831" s="85"/>
      <c r="Q2831" s="85"/>
      <c r="R2831" s="85"/>
      <c r="S2831" s="85"/>
      <c r="T2831" s="85"/>
      <c r="U2831" s="82"/>
      <c r="V2831" s="82"/>
      <c r="W2831" s="83"/>
      <c r="X2831" s="83"/>
      <c r="Y2831" s="83"/>
    </row>
    <row r="2832" spans="1:25" ht="13.8">
      <c r="A2832" s="78"/>
      <c r="B2832" s="79"/>
      <c r="C2832" s="78"/>
      <c r="D2832" s="78"/>
      <c r="E2832" s="80"/>
      <c r="F2832" s="86"/>
      <c r="G2832" s="86"/>
      <c r="H2832" s="86"/>
      <c r="I2832" s="86"/>
      <c r="J2832" s="85"/>
      <c r="K2832" s="85"/>
      <c r="L2832" s="85"/>
      <c r="M2832" s="85"/>
      <c r="N2832" s="85"/>
      <c r="O2832" s="85"/>
      <c r="P2832" s="85"/>
      <c r="Q2832" s="85"/>
      <c r="R2832" s="85"/>
      <c r="S2832" s="85"/>
      <c r="T2832" s="85"/>
      <c r="U2832" s="82"/>
      <c r="V2832" s="82"/>
      <c r="W2832" s="83"/>
      <c r="X2832" s="83"/>
      <c r="Y2832" s="83"/>
    </row>
    <row r="2833" spans="1:25" ht="13.8">
      <c r="A2833" s="78"/>
      <c r="B2833" s="79"/>
      <c r="C2833" s="78"/>
      <c r="D2833" s="78"/>
      <c r="E2833" s="80"/>
      <c r="F2833" s="86"/>
      <c r="G2833" s="86"/>
      <c r="H2833" s="86"/>
      <c r="I2833" s="86"/>
      <c r="J2833" s="85"/>
      <c r="K2833" s="85"/>
      <c r="L2833" s="85"/>
      <c r="M2833" s="85"/>
      <c r="N2833" s="85"/>
      <c r="O2833" s="85"/>
      <c r="P2833" s="85"/>
      <c r="Q2833" s="85"/>
      <c r="R2833" s="85"/>
      <c r="S2833" s="85"/>
      <c r="T2833" s="85"/>
      <c r="U2833" s="82"/>
      <c r="V2833" s="82"/>
      <c r="W2833" s="83"/>
      <c r="X2833" s="83"/>
      <c r="Y2833" s="83"/>
    </row>
    <row r="2834" spans="1:25" ht="13.8">
      <c r="A2834" s="78"/>
      <c r="B2834" s="79"/>
      <c r="C2834" s="78"/>
      <c r="D2834" s="78"/>
      <c r="E2834" s="80"/>
      <c r="F2834" s="86"/>
      <c r="G2834" s="86"/>
      <c r="H2834" s="86"/>
      <c r="I2834" s="86"/>
      <c r="J2834" s="85"/>
      <c r="K2834" s="85"/>
      <c r="L2834" s="85"/>
      <c r="M2834" s="85"/>
      <c r="N2834" s="85"/>
      <c r="O2834" s="85"/>
      <c r="P2834" s="85"/>
      <c r="Q2834" s="85"/>
      <c r="R2834" s="85"/>
      <c r="S2834" s="85"/>
      <c r="T2834" s="85"/>
      <c r="U2834" s="82"/>
      <c r="V2834" s="82"/>
      <c r="W2834" s="83"/>
      <c r="X2834" s="83"/>
      <c r="Y2834" s="83"/>
    </row>
    <row r="2835" spans="1:25" ht="13.8">
      <c r="A2835" s="78"/>
      <c r="B2835" s="79"/>
      <c r="C2835" s="78"/>
      <c r="D2835" s="78"/>
      <c r="E2835" s="80"/>
      <c r="F2835" s="86"/>
      <c r="G2835" s="86"/>
      <c r="H2835" s="86"/>
      <c r="I2835" s="86"/>
      <c r="J2835" s="85"/>
      <c r="K2835" s="85"/>
      <c r="L2835" s="85"/>
      <c r="M2835" s="85"/>
      <c r="N2835" s="85"/>
      <c r="O2835" s="85"/>
      <c r="P2835" s="85"/>
      <c r="Q2835" s="85"/>
      <c r="R2835" s="85"/>
      <c r="S2835" s="85"/>
      <c r="T2835" s="85"/>
      <c r="U2835" s="82"/>
      <c r="V2835" s="82"/>
      <c r="W2835" s="83"/>
      <c r="X2835" s="83"/>
      <c r="Y2835" s="83"/>
    </row>
    <row r="2836" spans="1:25" ht="13.8">
      <c r="A2836" s="78"/>
      <c r="B2836" s="79"/>
      <c r="C2836" s="78"/>
      <c r="D2836" s="78"/>
      <c r="E2836" s="80"/>
      <c r="F2836" s="86"/>
      <c r="G2836" s="86"/>
      <c r="H2836" s="86"/>
      <c r="I2836" s="86"/>
      <c r="J2836" s="85"/>
      <c r="K2836" s="85"/>
      <c r="L2836" s="85"/>
      <c r="M2836" s="85"/>
      <c r="N2836" s="85"/>
      <c r="O2836" s="85"/>
      <c r="P2836" s="85"/>
      <c r="Q2836" s="85"/>
      <c r="R2836" s="85"/>
      <c r="S2836" s="85"/>
      <c r="T2836" s="85"/>
      <c r="U2836" s="82"/>
      <c r="V2836" s="82"/>
      <c r="W2836" s="83"/>
      <c r="X2836" s="83"/>
      <c r="Y2836" s="83"/>
    </row>
    <row r="2837" spans="1:25" ht="13.8">
      <c r="A2837" s="78"/>
      <c r="B2837" s="79"/>
      <c r="C2837" s="78"/>
      <c r="D2837" s="78"/>
      <c r="E2837" s="80"/>
      <c r="F2837" s="86"/>
      <c r="G2837" s="86"/>
      <c r="H2837" s="86"/>
      <c r="I2837" s="86"/>
      <c r="J2837" s="85"/>
      <c r="K2837" s="85"/>
      <c r="L2837" s="85"/>
      <c r="M2837" s="85"/>
      <c r="N2837" s="85"/>
      <c r="O2837" s="85"/>
      <c r="P2837" s="85"/>
      <c r="Q2837" s="85"/>
      <c r="R2837" s="85"/>
      <c r="S2837" s="85"/>
      <c r="T2837" s="85"/>
      <c r="U2837" s="82"/>
      <c r="V2837" s="82"/>
      <c r="W2837" s="83"/>
      <c r="X2837" s="83"/>
      <c r="Y2837" s="83"/>
    </row>
    <row r="2838" spans="1:25" ht="13.8">
      <c r="A2838" s="78"/>
      <c r="B2838" s="79"/>
      <c r="C2838" s="78"/>
      <c r="D2838" s="78"/>
      <c r="E2838" s="80"/>
      <c r="F2838" s="86"/>
      <c r="G2838" s="86"/>
      <c r="H2838" s="86"/>
      <c r="I2838" s="86"/>
      <c r="J2838" s="85"/>
      <c r="K2838" s="85"/>
      <c r="L2838" s="85"/>
      <c r="M2838" s="85"/>
      <c r="N2838" s="85"/>
      <c r="O2838" s="85"/>
      <c r="P2838" s="85"/>
      <c r="Q2838" s="85"/>
      <c r="R2838" s="85"/>
      <c r="S2838" s="85"/>
      <c r="T2838" s="85"/>
      <c r="U2838" s="82"/>
      <c r="V2838" s="82"/>
      <c r="W2838" s="83"/>
      <c r="X2838" s="83"/>
      <c r="Y2838" s="83"/>
    </row>
    <row r="2839" spans="1:25" ht="13.8">
      <c r="A2839" s="78"/>
      <c r="B2839" s="79"/>
      <c r="C2839" s="78"/>
      <c r="D2839" s="78"/>
      <c r="E2839" s="80"/>
      <c r="F2839" s="86"/>
      <c r="G2839" s="86"/>
      <c r="H2839" s="86"/>
      <c r="I2839" s="86"/>
      <c r="J2839" s="85"/>
      <c r="K2839" s="85"/>
      <c r="L2839" s="85"/>
      <c r="M2839" s="85"/>
      <c r="N2839" s="85"/>
      <c r="O2839" s="85"/>
      <c r="P2839" s="85"/>
      <c r="Q2839" s="85"/>
      <c r="R2839" s="85"/>
      <c r="S2839" s="85"/>
      <c r="T2839" s="85"/>
      <c r="U2839" s="82"/>
      <c r="V2839" s="82"/>
      <c r="W2839" s="83"/>
      <c r="X2839" s="83"/>
      <c r="Y2839" s="83"/>
    </row>
    <row r="2840" spans="1:25" ht="13.8">
      <c r="A2840" s="78"/>
      <c r="B2840" s="79"/>
      <c r="C2840" s="78"/>
      <c r="D2840" s="78"/>
      <c r="E2840" s="80"/>
      <c r="F2840" s="86"/>
      <c r="G2840" s="86"/>
      <c r="H2840" s="86"/>
      <c r="I2840" s="86"/>
      <c r="J2840" s="85"/>
      <c r="K2840" s="85"/>
      <c r="L2840" s="85"/>
      <c r="M2840" s="85"/>
      <c r="N2840" s="85"/>
      <c r="O2840" s="85"/>
      <c r="P2840" s="85"/>
      <c r="Q2840" s="85"/>
      <c r="R2840" s="85"/>
      <c r="S2840" s="85"/>
      <c r="T2840" s="85"/>
      <c r="U2840" s="82"/>
      <c r="V2840" s="82"/>
      <c r="W2840" s="83"/>
      <c r="X2840" s="83"/>
      <c r="Y2840" s="83"/>
    </row>
    <row r="2841" spans="1:25" ht="13.8">
      <c r="A2841" s="78"/>
      <c r="B2841" s="79"/>
      <c r="C2841" s="78"/>
      <c r="D2841" s="78"/>
      <c r="E2841" s="80"/>
      <c r="F2841" s="86"/>
      <c r="G2841" s="86"/>
      <c r="H2841" s="86"/>
      <c r="I2841" s="86"/>
      <c r="J2841" s="85"/>
      <c r="K2841" s="85"/>
      <c r="L2841" s="85"/>
      <c r="M2841" s="85"/>
      <c r="N2841" s="85"/>
      <c r="O2841" s="85"/>
      <c r="P2841" s="85"/>
      <c r="Q2841" s="85"/>
      <c r="R2841" s="85"/>
      <c r="S2841" s="85"/>
      <c r="T2841" s="85"/>
      <c r="U2841" s="82"/>
      <c r="V2841" s="82"/>
      <c r="W2841" s="83"/>
      <c r="X2841" s="83"/>
      <c r="Y2841" s="83"/>
    </row>
    <row r="2842" spans="1:25" ht="13.8">
      <c r="A2842" s="78"/>
      <c r="B2842" s="79"/>
      <c r="C2842" s="78"/>
      <c r="D2842" s="78"/>
      <c r="E2842" s="80"/>
      <c r="F2842" s="86"/>
      <c r="G2842" s="86"/>
      <c r="H2842" s="86"/>
      <c r="I2842" s="86"/>
      <c r="J2842" s="85"/>
      <c r="K2842" s="85"/>
      <c r="L2842" s="85"/>
      <c r="M2842" s="85"/>
      <c r="N2842" s="85"/>
      <c r="O2842" s="85"/>
      <c r="P2842" s="85"/>
      <c r="Q2842" s="85"/>
      <c r="R2842" s="85"/>
      <c r="S2842" s="85"/>
      <c r="T2842" s="85"/>
      <c r="U2842" s="82"/>
      <c r="V2842" s="82"/>
      <c r="W2842" s="83"/>
      <c r="X2842" s="83"/>
      <c r="Y2842" s="83"/>
    </row>
    <row r="2843" spans="1:25" ht="13.8">
      <c r="A2843" s="78"/>
      <c r="B2843" s="79"/>
      <c r="C2843" s="78"/>
      <c r="D2843" s="78"/>
      <c r="E2843" s="80"/>
      <c r="F2843" s="86"/>
      <c r="G2843" s="86"/>
      <c r="H2843" s="86"/>
      <c r="I2843" s="86"/>
      <c r="J2843" s="85"/>
      <c r="K2843" s="85"/>
      <c r="L2843" s="85"/>
      <c r="M2843" s="85"/>
      <c r="N2843" s="85"/>
      <c r="O2843" s="85"/>
      <c r="P2843" s="85"/>
      <c r="Q2843" s="85"/>
      <c r="R2843" s="85"/>
      <c r="S2843" s="85"/>
      <c r="T2843" s="85"/>
      <c r="U2843" s="82"/>
      <c r="V2843" s="82"/>
      <c r="W2843" s="83"/>
      <c r="X2843" s="83"/>
      <c r="Y2843" s="83"/>
    </row>
    <row r="2844" spans="1:25" ht="13.8">
      <c r="A2844" s="78"/>
      <c r="B2844" s="79"/>
      <c r="C2844" s="78"/>
      <c r="D2844" s="78"/>
      <c r="E2844" s="80"/>
      <c r="F2844" s="86"/>
      <c r="G2844" s="86"/>
      <c r="H2844" s="86"/>
      <c r="I2844" s="86"/>
      <c r="J2844" s="85"/>
      <c r="K2844" s="85"/>
      <c r="L2844" s="85"/>
      <c r="M2844" s="85"/>
      <c r="N2844" s="85"/>
      <c r="O2844" s="85"/>
      <c r="P2844" s="85"/>
      <c r="Q2844" s="85"/>
      <c r="R2844" s="85"/>
      <c r="S2844" s="85"/>
      <c r="T2844" s="85"/>
      <c r="U2844" s="82"/>
      <c r="V2844" s="82"/>
      <c r="W2844" s="83"/>
      <c r="X2844" s="83"/>
      <c r="Y2844" s="83"/>
    </row>
    <row r="2845" spans="1:25" ht="13.8">
      <c r="A2845" s="78"/>
      <c r="B2845" s="79"/>
      <c r="C2845" s="78"/>
      <c r="D2845" s="78"/>
      <c r="E2845" s="80"/>
      <c r="F2845" s="86"/>
      <c r="G2845" s="86"/>
      <c r="H2845" s="86"/>
      <c r="I2845" s="86"/>
      <c r="J2845" s="85"/>
      <c r="K2845" s="85"/>
      <c r="L2845" s="85"/>
      <c r="M2845" s="85"/>
      <c r="N2845" s="85"/>
      <c r="O2845" s="85"/>
      <c r="P2845" s="85"/>
      <c r="Q2845" s="85"/>
      <c r="R2845" s="85"/>
      <c r="S2845" s="85"/>
      <c r="T2845" s="85"/>
      <c r="U2845" s="82"/>
      <c r="V2845" s="82"/>
      <c r="W2845" s="83"/>
      <c r="X2845" s="83"/>
      <c r="Y2845" s="83"/>
    </row>
    <row r="2846" spans="1:25" ht="13.8">
      <c r="A2846" s="78"/>
      <c r="B2846" s="79"/>
      <c r="C2846" s="78"/>
      <c r="D2846" s="78"/>
      <c r="E2846" s="80"/>
      <c r="F2846" s="86"/>
      <c r="G2846" s="86"/>
      <c r="H2846" s="86"/>
      <c r="I2846" s="86"/>
      <c r="J2846" s="85"/>
      <c r="K2846" s="85"/>
      <c r="L2846" s="85"/>
      <c r="M2846" s="85"/>
      <c r="N2846" s="85"/>
      <c r="O2846" s="85"/>
      <c r="P2846" s="85"/>
      <c r="Q2846" s="85"/>
      <c r="R2846" s="85"/>
      <c r="S2846" s="85"/>
      <c r="T2846" s="85"/>
      <c r="U2846" s="82"/>
      <c r="V2846" s="82"/>
      <c r="W2846" s="83"/>
      <c r="X2846" s="83"/>
      <c r="Y2846" s="83"/>
    </row>
    <row r="2847" spans="1:25" ht="13.8">
      <c r="A2847" s="78"/>
      <c r="B2847" s="79"/>
      <c r="C2847" s="78"/>
      <c r="D2847" s="78"/>
      <c r="E2847" s="80"/>
      <c r="F2847" s="86"/>
      <c r="G2847" s="86"/>
      <c r="H2847" s="86"/>
      <c r="I2847" s="86"/>
      <c r="J2847" s="85"/>
      <c r="K2847" s="85"/>
      <c r="L2847" s="85"/>
      <c r="M2847" s="85"/>
      <c r="N2847" s="85"/>
      <c r="O2847" s="85"/>
      <c r="P2847" s="85"/>
      <c r="Q2847" s="85"/>
      <c r="R2847" s="85"/>
      <c r="S2847" s="85"/>
      <c r="T2847" s="85"/>
      <c r="U2847" s="82"/>
      <c r="V2847" s="82"/>
      <c r="W2847" s="83"/>
      <c r="X2847" s="83"/>
      <c r="Y2847" s="83"/>
    </row>
    <row r="2848" spans="1:25" ht="13.8">
      <c r="A2848" s="78"/>
      <c r="B2848" s="79"/>
      <c r="C2848" s="78"/>
      <c r="D2848" s="78"/>
      <c r="E2848" s="80"/>
      <c r="F2848" s="86"/>
      <c r="G2848" s="86"/>
      <c r="H2848" s="86"/>
      <c r="I2848" s="86"/>
      <c r="J2848" s="85"/>
      <c r="K2848" s="85"/>
      <c r="L2848" s="85"/>
      <c r="M2848" s="85"/>
      <c r="N2848" s="85"/>
      <c r="O2848" s="85"/>
      <c r="P2848" s="85"/>
      <c r="Q2848" s="85"/>
      <c r="R2848" s="85"/>
      <c r="S2848" s="85"/>
      <c r="T2848" s="85"/>
      <c r="U2848" s="82"/>
      <c r="V2848" s="82"/>
      <c r="W2848" s="83"/>
      <c r="X2848" s="83"/>
      <c r="Y2848" s="83"/>
    </row>
    <row r="2849" spans="1:25" ht="13.8">
      <c r="A2849" s="78"/>
      <c r="B2849" s="79"/>
      <c r="C2849" s="78"/>
      <c r="D2849" s="78"/>
      <c r="E2849" s="80"/>
      <c r="F2849" s="86"/>
      <c r="G2849" s="86"/>
      <c r="H2849" s="86"/>
      <c r="I2849" s="86"/>
      <c r="J2849" s="85"/>
      <c r="K2849" s="85"/>
      <c r="L2849" s="85"/>
      <c r="M2849" s="85"/>
      <c r="N2849" s="85"/>
      <c r="O2849" s="85"/>
      <c r="P2849" s="85"/>
      <c r="Q2849" s="85"/>
      <c r="R2849" s="85"/>
      <c r="S2849" s="85"/>
      <c r="T2849" s="85"/>
      <c r="U2849" s="82"/>
      <c r="V2849" s="82"/>
      <c r="W2849" s="83"/>
      <c r="X2849" s="83"/>
      <c r="Y2849" s="83"/>
    </row>
    <row r="2850" spans="1:25" ht="13.8">
      <c r="A2850" s="78"/>
      <c r="B2850" s="79"/>
      <c r="C2850" s="78"/>
      <c r="D2850" s="78"/>
      <c r="E2850" s="80"/>
      <c r="F2850" s="86"/>
      <c r="G2850" s="86"/>
      <c r="H2850" s="86"/>
      <c r="I2850" s="86"/>
      <c r="J2850" s="85"/>
      <c r="K2850" s="85"/>
      <c r="L2850" s="85"/>
      <c r="M2850" s="85"/>
      <c r="N2850" s="85"/>
      <c r="O2850" s="85"/>
      <c r="P2850" s="85"/>
      <c r="Q2850" s="85"/>
      <c r="R2850" s="85"/>
      <c r="S2850" s="85"/>
      <c r="T2850" s="85"/>
      <c r="U2850" s="82"/>
      <c r="V2850" s="82"/>
      <c r="W2850" s="83"/>
      <c r="X2850" s="83"/>
      <c r="Y2850" s="83"/>
    </row>
    <row r="2851" spans="1:25" ht="13.8">
      <c r="A2851" s="78"/>
      <c r="B2851" s="79"/>
      <c r="C2851" s="78"/>
      <c r="D2851" s="78"/>
      <c r="E2851" s="80"/>
      <c r="F2851" s="86"/>
      <c r="G2851" s="86"/>
      <c r="H2851" s="86"/>
      <c r="I2851" s="86"/>
      <c r="J2851" s="85"/>
      <c r="K2851" s="85"/>
      <c r="L2851" s="85"/>
      <c r="M2851" s="85"/>
      <c r="N2851" s="85"/>
      <c r="O2851" s="85"/>
      <c r="P2851" s="85"/>
      <c r="Q2851" s="85"/>
      <c r="R2851" s="85"/>
      <c r="S2851" s="85"/>
      <c r="T2851" s="85"/>
      <c r="U2851" s="82"/>
      <c r="V2851" s="82"/>
      <c r="W2851" s="83"/>
      <c r="X2851" s="83"/>
      <c r="Y2851" s="83"/>
    </row>
    <row r="2852" spans="1:25" ht="13.8">
      <c r="A2852" s="78"/>
      <c r="B2852" s="79"/>
      <c r="C2852" s="78"/>
      <c r="D2852" s="78"/>
      <c r="E2852" s="80"/>
      <c r="F2852" s="86"/>
      <c r="G2852" s="86"/>
      <c r="H2852" s="86"/>
      <c r="I2852" s="86"/>
      <c r="J2852" s="85"/>
      <c r="K2852" s="85"/>
      <c r="L2852" s="85"/>
      <c r="M2852" s="85"/>
      <c r="N2852" s="85"/>
      <c r="O2852" s="85"/>
      <c r="P2852" s="85"/>
      <c r="Q2852" s="85"/>
      <c r="R2852" s="85"/>
      <c r="S2852" s="85"/>
      <c r="T2852" s="85"/>
      <c r="U2852" s="82"/>
      <c r="V2852" s="82"/>
      <c r="W2852" s="83"/>
      <c r="X2852" s="83"/>
      <c r="Y2852" s="83"/>
    </row>
    <row r="2853" spans="1:25" ht="13.8">
      <c r="A2853" s="78"/>
      <c r="B2853" s="79"/>
      <c r="C2853" s="78"/>
      <c r="D2853" s="78"/>
      <c r="E2853" s="80"/>
      <c r="F2853" s="86"/>
      <c r="G2853" s="86"/>
      <c r="H2853" s="86"/>
      <c r="I2853" s="86"/>
      <c r="J2853" s="85"/>
      <c r="K2853" s="85"/>
      <c r="L2853" s="85"/>
      <c r="M2853" s="85"/>
      <c r="N2853" s="85"/>
      <c r="O2853" s="85"/>
      <c r="P2853" s="85"/>
      <c r="Q2853" s="85"/>
      <c r="R2853" s="85"/>
      <c r="S2853" s="85"/>
      <c r="T2853" s="85"/>
      <c r="U2853" s="82"/>
      <c r="V2853" s="82"/>
      <c r="W2853" s="83"/>
      <c r="X2853" s="83"/>
      <c r="Y2853" s="83"/>
    </row>
    <row r="2854" spans="1:25" ht="13.8">
      <c r="A2854" s="78"/>
      <c r="B2854" s="79"/>
      <c r="C2854" s="78"/>
      <c r="D2854" s="78"/>
      <c r="E2854" s="80"/>
      <c r="F2854" s="86"/>
      <c r="G2854" s="86"/>
      <c r="H2854" s="86"/>
      <c r="I2854" s="86"/>
      <c r="J2854" s="85"/>
      <c r="K2854" s="85"/>
      <c r="L2854" s="85"/>
      <c r="M2854" s="85"/>
      <c r="N2854" s="85"/>
      <c r="O2854" s="85"/>
      <c r="P2854" s="85"/>
      <c r="Q2854" s="85"/>
      <c r="R2854" s="85"/>
      <c r="S2854" s="85"/>
      <c r="T2854" s="85"/>
      <c r="U2854" s="82"/>
      <c r="V2854" s="82"/>
      <c r="W2854" s="83"/>
      <c r="X2854" s="83"/>
      <c r="Y2854" s="83"/>
    </row>
    <row r="2855" spans="1:25" ht="13.8">
      <c r="A2855" s="78"/>
      <c r="B2855" s="79"/>
      <c r="C2855" s="78"/>
      <c r="D2855" s="78"/>
      <c r="E2855" s="80"/>
      <c r="F2855" s="86"/>
      <c r="G2855" s="86"/>
      <c r="H2855" s="86"/>
      <c r="I2855" s="86"/>
      <c r="J2855" s="85"/>
      <c r="K2855" s="85"/>
      <c r="L2855" s="85"/>
      <c r="M2855" s="85"/>
      <c r="N2855" s="85"/>
      <c r="O2855" s="85"/>
      <c r="P2855" s="85"/>
      <c r="Q2855" s="85"/>
      <c r="R2855" s="85"/>
      <c r="S2855" s="85"/>
      <c r="T2855" s="85"/>
      <c r="U2855" s="82"/>
      <c r="V2855" s="82"/>
      <c r="W2855" s="83"/>
      <c r="X2855" s="83"/>
      <c r="Y2855" s="83"/>
    </row>
    <row r="2856" spans="1:25" ht="13.8">
      <c r="A2856" s="78"/>
      <c r="B2856" s="79"/>
      <c r="C2856" s="78"/>
      <c r="D2856" s="78"/>
      <c r="E2856" s="80"/>
      <c r="F2856" s="86"/>
      <c r="G2856" s="86"/>
      <c r="H2856" s="86"/>
      <c r="I2856" s="86"/>
      <c r="J2856" s="85"/>
      <c r="K2856" s="85"/>
      <c r="L2856" s="85"/>
      <c r="M2856" s="85"/>
      <c r="N2856" s="85"/>
      <c r="O2856" s="85"/>
      <c r="P2856" s="85"/>
      <c r="Q2856" s="85"/>
      <c r="R2856" s="85"/>
      <c r="S2856" s="85"/>
      <c r="T2856" s="85"/>
      <c r="U2856" s="82"/>
      <c r="V2856" s="82"/>
      <c r="W2856" s="83"/>
      <c r="X2856" s="83"/>
      <c r="Y2856" s="83"/>
    </row>
    <row r="2857" spans="1:25" ht="13.8">
      <c r="A2857" s="78"/>
      <c r="B2857" s="79"/>
      <c r="C2857" s="78"/>
      <c r="D2857" s="78"/>
      <c r="E2857" s="80"/>
      <c r="F2857" s="86"/>
      <c r="G2857" s="86"/>
      <c r="H2857" s="86"/>
      <c r="I2857" s="86"/>
      <c r="J2857" s="85"/>
      <c r="K2857" s="85"/>
      <c r="L2857" s="85"/>
      <c r="M2857" s="85"/>
      <c r="N2857" s="85"/>
      <c r="O2857" s="85"/>
      <c r="P2857" s="85"/>
      <c r="Q2857" s="85"/>
      <c r="R2857" s="85"/>
      <c r="S2857" s="85"/>
      <c r="T2857" s="85"/>
      <c r="U2857" s="82"/>
      <c r="V2857" s="82"/>
      <c r="W2857" s="83"/>
      <c r="X2857" s="83"/>
      <c r="Y2857" s="83"/>
    </row>
    <row r="2858" spans="1:25" ht="13.8">
      <c r="A2858" s="78"/>
      <c r="B2858" s="79"/>
      <c r="C2858" s="78"/>
      <c r="D2858" s="78"/>
      <c r="E2858" s="80"/>
      <c r="F2858" s="86"/>
      <c r="G2858" s="86"/>
      <c r="H2858" s="86"/>
      <c r="I2858" s="86"/>
      <c r="J2858" s="85"/>
      <c r="K2858" s="85"/>
      <c r="L2858" s="85"/>
      <c r="M2858" s="85"/>
      <c r="N2858" s="85"/>
      <c r="O2858" s="85"/>
      <c r="P2858" s="85"/>
      <c r="Q2858" s="85"/>
      <c r="R2858" s="85"/>
      <c r="S2858" s="85"/>
      <c r="T2858" s="85"/>
      <c r="U2858" s="82"/>
      <c r="V2858" s="82"/>
      <c r="W2858" s="83"/>
      <c r="X2858" s="83"/>
      <c r="Y2858" s="83"/>
    </row>
    <row r="2859" spans="1:25" ht="13.8">
      <c r="A2859" s="78"/>
      <c r="B2859" s="79"/>
      <c r="C2859" s="78"/>
      <c r="D2859" s="78"/>
      <c r="E2859" s="80"/>
      <c r="F2859" s="86"/>
      <c r="G2859" s="86"/>
      <c r="H2859" s="86"/>
      <c r="I2859" s="86"/>
      <c r="J2859" s="85"/>
      <c r="K2859" s="85"/>
      <c r="L2859" s="85"/>
      <c r="M2859" s="85"/>
      <c r="N2859" s="85"/>
      <c r="O2859" s="85"/>
      <c r="P2859" s="85"/>
      <c r="Q2859" s="85"/>
      <c r="R2859" s="85"/>
      <c r="S2859" s="85"/>
      <c r="T2859" s="85"/>
      <c r="U2859" s="82"/>
      <c r="V2859" s="82"/>
      <c r="W2859" s="83"/>
      <c r="X2859" s="83"/>
      <c r="Y2859" s="83"/>
    </row>
    <row r="2860" spans="1:25" ht="13.8">
      <c r="A2860" s="78"/>
      <c r="B2860" s="79"/>
      <c r="C2860" s="78"/>
      <c r="D2860" s="78"/>
      <c r="E2860" s="80"/>
      <c r="F2860" s="86"/>
      <c r="G2860" s="86"/>
      <c r="H2860" s="86"/>
      <c r="I2860" s="86"/>
      <c r="J2860" s="85"/>
      <c r="K2860" s="85"/>
      <c r="L2860" s="85"/>
      <c r="M2860" s="85"/>
      <c r="N2860" s="85"/>
      <c r="O2860" s="85"/>
      <c r="P2860" s="85"/>
      <c r="Q2860" s="85"/>
      <c r="R2860" s="85"/>
      <c r="S2860" s="85"/>
      <c r="T2860" s="85"/>
      <c r="U2860" s="82"/>
      <c r="V2860" s="82"/>
      <c r="W2860" s="83"/>
      <c r="X2860" s="83"/>
      <c r="Y2860" s="83"/>
    </row>
    <row r="2861" spans="1:25" ht="13.8">
      <c r="A2861" s="78"/>
      <c r="B2861" s="79"/>
      <c r="C2861" s="78"/>
      <c r="D2861" s="78"/>
      <c r="E2861" s="80"/>
      <c r="F2861" s="86"/>
      <c r="G2861" s="86"/>
      <c r="H2861" s="86"/>
      <c r="I2861" s="86"/>
      <c r="J2861" s="85"/>
      <c r="K2861" s="85"/>
      <c r="L2861" s="85"/>
      <c r="M2861" s="85"/>
      <c r="N2861" s="85"/>
      <c r="O2861" s="85"/>
      <c r="P2861" s="85"/>
      <c r="Q2861" s="85"/>
      <c r="R2861" s="85"/>
      <c r="S2861" s="85"/>
      <c r="T2861" s="85"/>
      <c r="U2861" s="82"/>
      <c r="V2861" s="82"/>
      <c r="W2861" s="83"/>
      <c r="X2861" s="83"/>
      <c r="Y2861" s="83"/>
    </row>
    <row r="2862" spans="1:25" ht="13.8">
      <c r="A2862" s="78"/>
      <c r="B2862" s="79"/>
      <c r="C2862" s="78"/>
      <c r="D2862" s="78"/>
      <c r="E2862" s="80"/>
      <c r="F2862" s="86"/>
      <c r="G2862" s="86"/>
      <c r="H2862" s="86"/>
      <c r="I2862" s="86"/>
      <c r="J2862" s="85"/>
      <c r="K2862" s="85"/>
      <c r="L2862" s="85"/>
      <c r="M2862" s="85"/>
      <c r="N2862" s="85"/>
      <c r="O2862" s="85"/>
      <c r="P2862" s="85"/>
      <c r="Q2862" s="85"/>
      <c r="R2862" s="85"/>
      <c r="S2862" s="85"/>
      <c r="T2862" s="85"/>
      <c r="U2862" s="82"/>
      <c r="V2862" s="82"/>
      <c r="W2862" s="83"/>
      <c r="X2862" s="83"/>
      <c r="Y2862" s="83"/>
    </row>
    <row r="2863" spans="1:25" ht="13.8">
      <c r="A2863" s="78"/>
      <c r="B2863" s="79"/>
      <c r="C2863" s="78"/>
      <c r="D2863" s="78"/>
      <c r="E2863" s="80"/>
      <c r="F2863" s="86"/>
      <c r="G2863" s="86"/>
      <c r="H2863" s="86"/>
      <c r="I2863" s="86"/>
      <c r="J2863" s="85"/>
      <c r="K2863" s="85"/>
      <c r="L2863" s="85"/>
      <c r="M2863" s="85"/>
      <c r="N2863" s="85"/>
      <c r="O2863" s="85"/>
      <c r="P2863" s="85"/>
      <c r="Q2863" s="85"/>
      <c r="R2863" s="85"/>
      <c r="S2863" s="85"/>
      <c r="T2863" s="85"/>
      <c r="U2863" s="82"/>
      <c r="V2863" s="82"/>
      <c r="W2863" s="83"/>
      <c r="X2863" s="83"/>
      <c r="Y2863" s="83"/>
    </row>
    <row r="2864" spans="1:25" ht="13.8">
      <c r="A2864" s="78"/>
      <c r="B2864" s="79"/>
      <c r="C2864" s="78"/>
      <c r="D2864" s="78"/>
      <c r="E2864" s="80"/>
      <c r="F2864" s="86"/>
      <c r="G2864" s="86"/>
      <c r="H2864" s="86"/>
      <c r="I2864" s="86"/>
      <c r="J2864" s="85"/>
      <c r="K2864" s="85"/>
      <c r="L2864" s="85"/>
      <c r="M2864" s="85"/>
      <c r="N2864" s="85"/>
      <c r="O2864" s="85"/>
      <c r="P2864" s="85"/>
      <c r="Q2864" s="85"/>
      <c r="R2864" s="85"/>
      <c r="S2864" s="85"/>
      <c r="T2864" s="85"/>
      <c r="U2864" s="82"/>
      <c r="V2864" s="82"/>
      <c r="W2864" s="83"/>
      <c r="X2864" s="83"/>
      <c r="Y2864" s="83"/>
    </row>
    <row r="2865" spans="1:25" ht="13.8">
      <c r="A2865" s="78"/>
      <c r="B2865" s="79"/>
      <c r="C2865" s="78"/>
      <c r="D2865" s="78"/>
      <c r="E2865" s="80"/>
      <c r="F2865" s="86"/>
      <c r="G2865" s="86"/>
      <c r="H2865" s="86"/>
      <c r="I2865" s="86"/>
      <c r="J2865" s="85"/>
      <c r="K2865" s="85"/>
      <c r="L2865" s="85"/>
      <c r="M2865" s="85"/>
      <c r="N2865" s="85"/>
      <c r="O2865" s="85"/>
      <c r="P2865" s="85"/>
      <c r="Q2865" s="85"/>
      <c r="R2865" s="85"/>
      <c r="S2865" s="85"/>
      <c r="T2865" s="85"/>
      <c r="U2865" s="82"/>
      <c r="V2865" s="82"/>
      <c r="W2865" s="83"/>
      <c r="X2865" s="83"/>
      <c r="Y2865" s="83"/>
    </row>
    <row r="2866" spans="1:25" ht="13.8">
      <c r="A2866" s="78"/>
      <c r="B2866" s="79"/>
      <c r="C2866" s="78"/>
      <c r="D2866" s="78"/>
      <c r="E2866" s="80"/>
      <c r="F2866" s="86"/>
      <c r="G2866" s="86"/>
      <c r="H2866" s="86"/>
      <c r="I2866" s="86"/>
      <c r="J2866" s="85"/>
      <c r="K2866" s="85"/>
      <c r="L2866" s="85"/>
      <c r="M2866" s="85"/>
      <c r="N2866" s="85"/>
      <c r="O2866" s="85"/>
      <c r="P2866" s="85"/>
      <c r="Q2866" s="85"/>
      <c r="R2866" s="85"/>
      <c r="S2866" s="85"/>
      <c r="T2866" s="85"/>
      <c r="U2866" s="82"/>
      <c r="V2866" s="82"/>
      <c r="W2866" s="83"/>
      <c r="X2866" s="83"/>
      <c r="Y2866" s="83"/>
    </row>
    <row r="2867" spans="1:25" ht="13.8">
      <c r="A2867" s="78"/>
      <c r="B2867" s="79"/>
      <c r="C2867" s="78"/>
      <c r="D2867" s="78"/>
      <c r="E2867" s="80"/>
      <c r="F2867" s="86"/>
      <c r="G2867" s="86"/>
      <c r="H2867" s="86"/>
      <c r="I2867" s="86"/>
      <c r="J2867" s="85"/>
      <c r="K2867" s="85"/>
      <c r="L2867" s="85"/>
      <c r="M2867" s="85"/>
      <c r="N2867" s="85"/>
      <c r="O2867" s="85"/>
      <c r="P2867" s="85"/>
      <c r="Q2867" s="85"/>
      <c r="R2867" s="85"/>
      <c r="S2867" s="85"/>
      <c r="T2867" s="85"/>
      <c r="U2867" s="82"/>
      <c r="V2867" s="82"/>
      <c r="W2867" s="83"/>
      <c r="X2867" s="83"/>
      <c r="Y2867" s="83"/>
    </row>
    <row r="2868" spans="1:25" ht="13.8">
      <c r="A2868" s="78"/>
      <c r="B2868" s="79"/>
      <c r="C2868" s="78"/>
      <c r="D2868" s="78"/>
      <c r="E2868" s="80"/>
      <c r="F2868" s="86"/>
      <c r="G2868" s="86"/>
      <c r="H2868" s="86"/>
      <c r="I2868" s="86"/>
      <c r="J2868" s="85"/>
      <c r="K2868" s="85"/>
      <c r="L2868" s="85"/>
      <c r="M2868" s="85"/>
      <c r="N2868" s="85"/>
      <c r="O2868" s="85"/>
      <c r="P2868" s="85"/>
      <c r="Q2868" s="85"/>
      <c r="R2868" s="85"/>
      <c r="S2868" s="85"/>
      <c r="T2868" s="85"/>
      <c r="U2868" s="82"/>
      <c r="V2868" s="82"/>
      <c r="W2868" s="83"/>
      <c r="X2868" s="83"/>
      <c r="Y2868" s="83"/>
    </row>
    <row r="2869" spans="1:25" ht="13.8">
      <c r="A2869" s="78"/>
      <c r="B2869" s="79"/>
      <c r="C2869" s="78"/>
      <c r="D2869" s="78"/>
      <c r="E2869" s="80"/>
      <c r="F2869" s="86"/>
      <c r="G2869" s="86"/>
      <c r="H2869" s="86"/>
      <c r="I2869" s="86"/>
      <c r="J2869" s="85"/>
      <c r="K2869" s="85"/>
      <c r="L2869" s="85"/>
      <c r="M2869" s="85"/>
      <c r="N2869" s="85"/>
      <c r="O2869" s="85"/>
      <c r="P2869" s="85"/>
      <c r="Q2869" s="85"/>
      <c r="R2869" s="85"/>
      <c r="S2869" s="85"/>
      <c r="T2869" s="85"/>
      <c r="U2869" s="82"/>
      <c r="V2869" s="82"/>
      <c r="W2869" s="83"/>
      <c r="X2869" s="83"/>
      <c r="Y2869" s="83"/>
    </row>
    <row r="2870" spans="1:25" ht="13.8">
      <c r="A2870" s="78"/>
      <c r="B2870" s="79"/>
      <c r="C2870" s="78"/>
      <c r="D2870" s="78"/>
      <c r="E2870" s="80"/>
      <c r="F2870" s="86"/>
      <c r="G2870" s="86"/>
      <c r="H2870" s="86"/>
      <c r="I2870" s="86"/>
      <c r="J2870" s="85"/>
      <c r="K2870" s="85"/>
      <c r="L2870" s="85"/>
      <c r="M2870" s="85"/>
      <c r="N2870" s="85"/>
      <c r="O2870" s="85"/>
      <c r="P2870" s="85"/>
      <c r="Q2870" s="85"/>
      <c r="R2870" s="85"/>
      <c r="S2870" s="85"/>
      <c r="T2870" s="85"/>
      <c r="U2870" s="82"/>
      <c r="V2870" s="82"/>
      <c r="W2870" s="83"/>
      <c r="X2870" s="83"/>
      <c r="Y2870" s="83"/>
    </row>
    <row r="2871" spans="1:25" ht="13.8">
      <c r="A2871" s="78"/>
      <c r="B2871" s="79"/>
      <c r="C2871" s="78"/>
      <c r="D2871" s="78"/>
      <c r="E2871" s="80"/>
      <c r="F2871" s="86"/>
      <c r="G2871" s="86"/>
      <c r="H2871" s="86"/>
      <c r="I2871" s="86"/>
      <c r="J2871" s="85"/>
      <c r="K2871" s="85"/>
      <c r="L2871" s="85"/>
      <c r="M2871" s="85"/>
      <c r="N2871" s="85"/>
      <c r="O2871" s="85"/>
      <c r="P2871" s="85"/>
      <c r="Q2871" s="85"/>
      <c r="R2871" s="85"/>
      <c r="S2871" s="85"/>
      <c r="T2871" s="85"/>
      <c r="U2871" s="82"/>
      <c r="V2871" s="82"/>
      <c r="W2871" s="83"/>
      <c r="X2871" s="83"/>
      <c r="Y2871" s="83"/>
    </row>
    <row r="2872" spans="1:25" ht="13.8">
      <c r="A2872" s="78"/>
      <c r="B2872" s="79"/>
      <c r="C2872" s="78"/>
      <c r="D2872" s="78"/>
      <c r="E2872" s="80"/>
      <c r="F2872" s="86"/>
      <c r="G2872" s="86"/>
      <c r="H2872" s="86"/>
      <c r="I2872" s="86"/>
      <c r="J2872" s="85"/>
      <c r="K2872" s="85"/>
      <c r="L2872" s="85"/>
      <c r="M2872" s="85"/>
      <c r="N2872" s="85"/>
      <c r="O2872" s="85"/>
      <c r="P2872" s="85"/>
      <c r="Q2872" s="85"/>
      <c r="R2872" s="85"/>
      <c r="S2872" s="85"/>
      <c r="T2872" s="85"/>
      <c r="U2872" s="82"/>
      <c r="V2872" s="82"/>
      <c r="W2872" s="83"/>
      <c r="X2872" s="83"/>
      <c r="Y2872" s="83"/>
    </row>
    <row r="2873" spans="1:25" ht="13.8">
      <c r="A2873" s="78"/>
      <c r="B2873" s="79"/>
      <c r="C2873" s="78"/>
      <c r="D2873" s="78"/>
      <c r="E2873" s="80"/>
      <c r="F2873" s="86"/>
      <c r="G2873" s="86"/>
      <c r="H2873" s="86"/>
      <c r="I2873" s="86"/>
      <c r="J2873" s="85"/>
      <c r="K2873" s="85"/>
      <c r="L2873" s="85"/>
      <c r="M2873" s="85"/>
      <c r="N2873" s="85"/>
      <c r="O2873" s="85"/>
      <c r="P2873" s="85"/>
      <c r="Q2873" s="85"/>
      <c r="R2873" s="85"/>
      <c r="S2873" s="85"/>
      <c r="T2873" s="85"/>
      <c r="U2873" s="82"/>
      <c r="V2873" s="82"/>
      <c r="W2873" s="83"/>
      <c r="X2873" s="83"/>
      <c r="Y2873" s="83"/>
    </row>
    <row r="2874" spans="1:25" ht="13.8">
      <c r="A2874" s="78"/>
      <c r="B2874" s="79"/>
      <c r="C2874" s="78"/>
      <c r="D2874" s="78"/>
      <c r="E2874" s="80"/>
      <c r="F2874" s="86"/>
      <c r="G2874" s="86"/>
      <c r="H2874" s="86"/>
      <c r="I2874" s="86"/>
      <c r="J2874" s="85"/>
      <c r="K2874" s="85"/>
      <c r="L2874" s="85"/>
      <c r="M2874" s="85"/>
      <c r="N2874" s="85"/>
      <c r="O2874" s="85"/>
      <c r="P2874" s="85"/>
      <c r="Q2874" s="85"/>
      <c r="R2874" s="85"/>
      <c r="S2874" s="85"/>
      <c r="T2874" s="85"/>
      <c r="U2874" s="82"/>
      <c r="V2874" s="82"/>
      <c r="W2874" s="83"/>
      <c r="X2874" s="83"/>
      <c r="Y2874" s="83"/>
    </row>
    <row r="2875" spans="1:25" ht="13.8">
      <c r="A2875" s="78"/>
      <c r="B2875" s="79"/>
      <c r="C2875" s="78"/>
      <c r="D2875" s="78"/>
      <c r="E2875" s="80"/>
      <c r="F2875" s="86"/>
      <c r="G2875" s="86"/>
      <c r="H2875" s="86"/>
      <c r="I2875" s="86"/>
      <c r="J2875" s="85"/>
      <c r="K2875" s="85"/>
      <c r="L2875" s="85"/>
      <c r="M2875" s="85"/>
      <c r="N2875" s="85"/>
      <c r="O2875" s="85"/>
      <c r="P2875" s="85"/>
      <c r="Q2875" s="85"/>
      <c r="R2875" s="85"/>
      <c r="S2875" s="85"/>
      <c r="T2875" s="85"/>
      <c r="U2875" s="82"/>
      <c r="V2875" s="82"/>
      <c r="W2875" s="83"/>
      <c r="X2875" s="83"/>
      <c r="Y2875" s="83"/>
    </row>
    <row r="2876" spans="1:25" ht="13.8">
      <c r="A2876" s="78"/>
      <c r="B2876" s="79"/>
      <c r="C2876" s="78"/>
      <c r="D2876" s="78"/>
      <c r="E2876" s="80"/>
      <c r="F2876" s="86"/>
      <c r="G2876" s="86"/>
      <c r="H2876" s="86"/>
      <c r="I2876" s="86"/>
      <c r="J2876" s="85"/>
      <c r="K2876" s="85"/>
      <c r="L2876" s="85"/>
      <c r="M2876" s="85"/>
      <c r="N2876" s="85"/>
      <c r="O2876" s="85"/>
      <c r="P2876" s="85"/>
      <c r="Q2876" s="85"/>
      <c r="R2876" s="85"/>
      <c r="S2876" s="85"/>
      <c r="T2876" s="85"/>
      <c r="U2876" s="82"/>
      <c r="V2876" s="82"/>
      <c r="W2876" s="83"/>
      <c r="X2876" s="83"/>
      <c r="Y2876" s="83"/>
    </row>
    <row r="2877" spans="1:25" ht="13.8">
      <c r="A2877" s="78"/>
      <c r="B2877" s="79"/>
      <c r="C2877" s="78"/>
      <c r="D2877" s="78"/>
      <c r="E2877" s="80"/>
      <c r="F2877" s="86"/>
      <c r="G2877" s="86"/>
      <c r="H2877" s="86"/>
      <c r="I2877" s="86"/>
      <c r="J2877" s="85"/>
      <c r="K2877" s="85"/>
      <c r="L2877" s="85"/>
      <c r="M2877" s="85"/>
      <c r="N2877" s="85"/>
      <c r="O2877" s="85"/>
      <c r="P2877" s="85"/>
      <c r="Q2877" s="85"/>
      <c r="R2877" s="85"/>
      <c r="S2877" s="85"/>
      <c r="T2877" s="85"/>
      <c r="U2877" s="82"/>
      <c r="V2877" s="82"/>
      <c r="W2877" s="83"/>
      <c r="X2877" s="83"/>
      <c r="Y2877" s="83"/>
    </row>
    <row r="2878" spans="1:25" ht="13.8">
      <c r="A2878" s="78"/>
      <c r="B2878" s="79"/>
      <c r="C2878" s="78"/>
      <c r="D2878" s="78"/>
      <c r="E2878" s="80"/>
      <c r="F2878" s="86"/>
      <c r="G2878" s="86"/>
      <c r="H2878" s="86"/>
      <c r="I2878" s="86"/>
      <c r="J2878" s="85"/>
      <c r="K2878" s="85"/>
      <c r="L2878" s="85"/>
      <c r="M2878" s="85"/>
      <c r="N2878" s="85"/>
      <c r="O2878" s="85"/>
      <c r="P2878" s="85"/>
      <c r="Q2878" s="85"/>
      <c r="R2878" s="85"/>
      <c r="S2878" s="85"/>
      <c r="T2878" s="85"/>
      <c r="U2878" s="82"/>
      <c r="V2878" s="82"/>
      <c r="W2878" s="83"/>
      <c r="X2878" s="83"/>
      <c r="Y2878" s="83"/>
    </row>
    <row r="2879" spans="1:25" ht="13.8">
      <c r="A2879" s="78"/>
      <c r="B2879" s="79"/>
      <c r="C2879" s="78"/>
      <c r="D2879" s="78"/>
      <c r="E2879" s="80"/>
      <c r="F2879" s="86"/>
      <c r="G2879" s="86"/>
      <c r="H2879" s="86"/>
      <c r="I2879" s="86"/>
      <c r="J2879" s="85"/>
      <c r="K2879" s="85"/>
      <c r="L2879" s="85"/>
      <c r="M2879" s="85"/>
      <c r="N2879" s="85"/>
      <c r="O2879" s="85"/>
      <c r="P2879" s="85"/>
      <c r="Q2879" s="85"/>
      <c r="R2879" s="85"/>
      <c r="S2879" s="85"/>
      <c r="T2879" s="85"/>
      <c r="U2879" s="82"/>
      <c r="V2879" s="82"/>
      <c r="W2879" s="83"/>
      <c r="X2879" s="83"/>
      <c r="Y2879" s="83"/>
    </row>
    <row r="2880" spans="1:25" ht="13.8">
      <c r="A2880" s="78"/>
      <c r="B2880" s="79"/>
      <c r="C2880" s="78"/>
      <c r="D2880" s="78"/>
      <c r="E2880" s="80"/>
      <c r="F2880" s="86"/>
      <c r="G2880" s="86"/>
      <c r="H2880" s="86"/>
      <c r="I2880" s="86"/>
      <c r="J2880" s="85"/>
      <c r="K2880" s="85"/>
      <c r="L2880" s="85"/>
      <c r="M2880" s="85"/>
      <c r="N2880" s="85"/>
      <c r="O2880" s="85"/>
      <c r="P2880" s="85"/>
      <c r="Q2880" s="85"/>
      <c r="R2880" s="85"/>
      <c r="S2880" s="85"/>
      <c r="T2880" s="85"/>
      <c r="U2880" s="82"/>
      <c r="V2880" s="82"/>
      <c r="W2880" s="83"/>
      <c r="X2880" s="83"/>
      <c r="Y2880" s="83"/>
    </row>
    <row r="2881" spans="1:25" ht="13.8">
      <c r="A2881" s="78"/>
      <c r="B2881" s="79"/>
      <c r="C2881" s="78"/>
      <c r="D2881" s="78"/>
      <c r="E2881" s="80"/>
      <c r="F2881" s="86"/>
      <c r="G2881" s="86"/>
      <c r="H2881" s="86"/>
      <c r="I2881" s="86"/>
      <c r="J2881" s="85"/>
      <c r="K2881" s="85"/>
      <c r="L2881" s="85"/>
      <c r="M2881" s="85"/>
      <c r="N2881" s="85"/>
      <c r="O2881" s="85"/>
      <c r="P2881" s="85"/>
      <c r="Q2881" s="85"/>
      <c r="R2881" s="85"/>
      <c r="S2881" s="85"/>
      <c r="T2881" s="85"/>
      <c r="U2881" s="82"/>
      <c r="V2881" s="82"/>
      <c r="W2881" s="83"/>
      <c r="X2881" s="83"/>
      <c r="Y2881" s="83"/>
    </row>
    <row r="2882" spans="1:25" ht="13.8">
      <c r="A2882" s="78"/>
      <c r="B2882" s="79"/>
      <c r="C2882" s="78"/>
      <c r="D2882" s="78"/>
      <c r="E2882" s="80"/>
      <c r="F2882" s="86"/>
      <c r="G2882" s="86"/>
      <c r="H2882" s="86"/>
      <c r="I2882" s="86"/>
      <c r="J2882" s="85"/>
      <c r="K2882" s="85"/>
      <c r="L2882" s="85"/>
      <c r="M2882" s="85"/>
      <c r="N2882" s="85"/>
      <c r="O2882" s="85"/>
      <c r="P2882" s="85"/>
      <c r="Q2882" s="85"/>
      <c r="R2882" s="85"/>
      <c r="S2882" s="85"/>
      <c r="T2882" s="85"/>
      <c r="U2882" s="82"/>
      <c r="V2882" s="82"/>
      <c r="W2882" s="83"/>
      <c r="X2882" s="83"/>
      <c r="Y2882" s="83"/>
    </row>
    <row r="2883" spans="1:25" ht="13.8">
      <c r="A2883" s="78"/>
      <c r="B2883" s="79"/>
      <c r="C2883" s="78"/>
      <c r="D2883" s="78"/>
      <c r="E2883" s="80"/>
      <c r="F2883" s="86"/>
      <c r="G2883" s="86"/>
      <c r="H2883" s="86"/>
      <c r="I2883" s="86"/>
      <c r="J2883" s="85"/>
      <c r="K2883" s="85"/>
      <c r="L2883" s="85"/>
      <c r="M2883" s="85"/>
      <c r="N2883" s="85"/>
      <c r="O2883" s="85"/>
      <c r="P2883" s="85"/>
      <c r="Q2883" s="85"/>
      <c r="R2883" s="85"/>
      <c r="S2883" s="85"/>
      <c r="T2883" s="85"/>
      <c r="U2883" s="82"/>
      <c r="V2883" s="82"/>
      <c r="W2883" s="83"/>
      <c r="X2883" s="83"/>
      <c r="Y2883" s="83"/>
    </row>
    <row r="2884" spans="1:25" ht="13.8">
      <c r="A2884" s="78"/>
      <c r="B2884" s="79"/>
      <c r="C2884" s="78"/>
      <c r="D2884" s="78"/>
      <c r="E2884" s="80"/>
      <c r="F2884" s="86"/>
      <c r="G2884" s="86"/>
      <c r="H2884" s="86"/>
      <c r="I2884" s="86"/>
      <c r="J2884" s="85"/>
      <c r="K2884" s="85"/>
      <c r="L2884" s="85"/>
      <c r="M2884" s="85"/>
      <c r="N2884" s="85"/>
      <c r="O2884" s="85"/>
      <c r="P2884" s="85"/>
      <c r="Q2884" s="85"/>
      <c r="R2884" s="85"/>
      <c r="S2884" s="85"/>
      <c r="T2884" s="85"/>
      <c r="U2884" s="82"/>
      <c r="V2884" s="82"/>
      <c r="W2884" s="83"/>
      <c r="X2884" s="83"/>
      <c r="Y2884" s="83"/>
    </row>
    <row r="2885" spans="1:25" ht="13.8">
      <c r="A2885" s="78"/>
      <c r="B2885" s="79"/>
      <c r="C2885" s="78"/>
      <c r="D2885" s="78"/>
      <c r="E2885" s="80"/>
      <c r="F2885" s="86"/>
      <c r="G2885" s="86"/>
      <c r="H2885" s="86"/>
      <c r="I2885" s="86"/>
      <c r="J2885" s="85"/>
      <c r="K2885" s="85"/>
      <c r="L2885" s="85"/>
      <c r="M2885" s="85"/>
      <c r="N2885" s="85"/>
      <c r="O2885" s="85"/>
      <c r="P2885" s="85"/>
      <c r="Q2885" s="85"/>
      <c r="R2885" s="85"/>
      <c r="S2885" s="85"/>
      <c r="T2885" s="85"/>
      <c r="U2885" s="82"/>
      <c r="V2885" s="82"/>
      <c r="W2885" s="83"/>
      <c r="X2885" s="83"/>
      <c r="Y2885" s="83"/>
    </row>
    <row r="2886" spans="1:25" ht="13.8">
      <c r="A2886" s="78"/>
      <c r="B2886" s="79"/>
      <c r="C2886" s="78"/>
      <c r="D2886" s="78"/>
      <c r="E2886" s="80"/>
      <c r="F2886" s="86"/>
      <c r="G2886" s="86"/>
      <c r="H2886" s="86"/>
      <c r="I2886" s="86"/>
      <c r="J2886" s="85"/>
      <c r="K2886" s="85"/>
      <c r="L2886" s="85"/>
      <c r="M2886" s="85"/>
      <c r="N2886" s="85"/>
      <c r="O2886" s="85"/>
      <c r="P2886" s="85"/>
      <c r="Q2886" s="85"/>
      <c r="R2886" s="85"/>
      <c r="S2886" s="85"/>
      <c r="T2886" s="85"/>
      <c r="U2886" s="82"/>
      <c r="V2886" s="82"/>
      <c r="W2886" s="83"/>
      <c r="X2886" s="83"/>
      <c r="Y2886" s="83"/>
    </row>
    <row r="2887" spans="1:25" ht="13.8">
      <c r="A2887" s="78"/>
      <c r="B2887" s="79"/>
      <c r="C2887" s="78"/>
      <c r="D2887" s="78"/>
      <c r="E2887" s="80"/>
      <c r="F2887" s="86"/>
      <c r="G2887" s="86"/>
      <c r="H2887" s="86"/>
      <c r="I2887" s="86"/>
      <c r="J2887" s="85"/>
      <c r="K2887" s="85"/>
      <c r="L2887" s="85"/>
      <c r="M2887" s="85"/>
      <c r="N2887" s="85"/>
      <c r="O2887" s="85"/>
      <c r="P2887" s="85"/>
      <c r="Q2887" s="85"/>
      <c r="R2887" s="85"/>
      <c r="S2887" s="85"/>
      <c r="T2887" s="85"/>
      <c r="U2887" s="82"/>
      <c r="V2887" s="82"/>
      <c r="W2887" s="83"/>
      <c r="X2887" s="83"/>
      <c r="Y2887" s="83"/>
    </row>
    <row r="2888" spans="1:25" ht="13.8">
      <c r="A2888" s="78"/>
      <c r="B2888" s="79"/>
      <c r="C2888" s="78"/>
      <c r="D2888" s="78"/>
      <c r="E2888" s="80"/>
      <c r="F2888" s="86"/>
      <c r="G2888" s="86"/>
      <c r="H2888" s="86"/>
      <c r="I2888" s="86"/>
      <c r="J2888" s="85"/>
      <c r="K2888" s="85"/>
      <c r="L2888" s="85"/>
      <c r="M2888" s="85"/>
      <c r="N2888" s="85"/>
      <c r="O2888" s="85"/>
      <c r="P2888" s="85"/>
      <c r="Q2888" s="85"/>
      <c r="R2888" s="85"/>
      <c r="S2888" s="85"/>
      <c r="T2888" s="85"/>
      <c r="U2888" s="82"/>
      <c r="V2888" s="82"/>
      <c r="W2888" s="83"/>
      <c r="X2888" s="83"/>
      <c r="Y2888" s="83"/>
    </row>
    <row r="2889" spans="1:25" ht="13.8">
      <c r="A2889" s="78"/>
      <c r="B2889" s="79"/>
      <c r="C2889" s="78"/>
      <c r="D2889" s="78"/>
      <c r="E2889" s="80"/>
      <c r="F2889" s="86"/>
      <c r="G2889" s="86"/>
      <c r="H2889" s="86"/>
      <c r="I2889" s="86"/>
      <c r="J2889" s="85"/>
      <c r="K2889" s="85"/>
      <c r="L2889" s="85"/>
      <c r="M2889" s="85"/>
      <c r="N2889" s="85"/>
      <c r="O2889" s="85"/>
      <c r="P2889" s="85"/>
      <c r="Q2889" s="85"/>
      <c r="R2889" s="85"/>
      <c r="S2889" s="85"/>
      <c r="T2889" s="85"/>
      <c r="U2889" s="82"/>
      <c r="V2889" s="82"/>
      <c r="W2889" s="83"/>
      <c r="X2889" s="83"/>
      <c r="Y2889" s="83"/>
    </row>
    <row r="2890" spans="1:25" ht="13.8">
      <c r="A2890" s="78"/>
      <c r="B2890" s="79"/>
      <c r="C2890" s="78"/>
      <c r="D2890" s="78"/>
      <c r="E2890" s="80"/>
      <c r="F2890" s="86"/>
      <c r="G2890" s="86"/>
      <c r="H2890" s="86"/>
      <c r="I2890" s="86"/>
      <c r="J2890" s="85"/>
      <c r="K2890" s="85"/>
      <c r="L2890" s="85"/>
      <c r="M2890" s="85"/>
      <c r="N2890" s="85"/>
      <c r="O2890" s="85"/>
      <c r="P2890" s="85"/>
      <c r="Q2890" s="85"/>
      <c r="R2890" s="85"/>
      <c r="S2890" s="85"/>
      <c r="T2890" s="85"/>
      <c r="U2890" s="82"/>
      <c r="V2890" s="82"/>
      <c r="W2890" s="83"/>
      <c r="X2890" s="83"/>
      <c r="Y2890" s="83"/>
    </row>
    <row r="2891" spans="1:25" ht="13.8">
      <c r="A2891" s="78"/>
      <c r="B2891" s="79"/>
      <c r="C2891" s="78"/>
      <c r="D2891" s="78"/>
      <c r="E2891" s="80"/>
      <c r="F2891" s="86"/>
      <c r="G2891" s="86"/>
      <c r="H2891" s="86"/>
      <c r="I2891" s="86"/>
      <c r="J2891" s="85"/>
      <c r="K2891" s="85"/>
      <c r="L2891" s="85"/>
      <c r="M2891" s="85"/>
      <c r="N2891" s="85"/>
      <c r="O2891" s="85"/>
      <c r="P2891" s="85"/>
      <c r="Q2891" s="85"/>
      <c r="R2891" s="85"/>
      <c r="S2891" s="85"/>
      <c r="T2891" s="85"/>
      <c r="U2891" s="82"/>
      <c r="V2891" s="82"/>
      <c r="W2891" s="83"/>
      <c r="X2891" s="83"/>
      <c r="Y2891" s="83"/>
    </row>
    <row r="2892" spans="1:25" ht="13.8">
      <c r="A2892" s="78"/>
      <c r="B2892" s="79"/>
      <c r="C2892" s="78"/>
      <c r="D2892" s="78"/>
      <c r="E2892" s="80"/>
      <c r="F2892" s="86"/>
      <c r="G2892" s="86"/>
      <c r="H2892" s="86"/>
      <c r="I2892" s="86"/>
      <c r="J2892" s="85"/>
      <c r="K2892" s="85"/>
      <c r="L2892" s="85"/>
      <c r="M2892" s="85"/>
      <c r="N2892" s="85"/>
      <c r="O2892" s="85"/>
      <c r="P2892" s="85"/>
      <c r="Q2892" s="85"/>
      <c r="R2892" s="85"/>
      <c r="S2892" s="85"/>
      <c r="T2892" s="85"/>
      <c r="U2892" s="82"/>
      <c r="V2892" s="82"/>
      <c r="W2892" s="83"/>
      <c r="X2892" s="83"/>
      <c r="Y2892" s="83"/>
    </row>
    <row r="2893" spans="1:25" ht="13.8">
      <c r="A2893" s="78"/>
      <c r="B2893" s="79"/>
      <c r="C2893" s="78"/>
      <c r="D2893" s="78"/>
      <c r="E2893" s="80"/>
      <c r="F2893" s="86"/>
      <c r="G2893" s="86"/>
      <c r="H2893" s="86"/>
      <c r="I2893" s="86"/>
      <c r="J2893" s="85"/>
      <c r="K2893" s="85"/>
      <c r="L2893" s="85"/>
      <c r="M2893" s="85"/>
      <c r="N2893" s="85"/>
      <c r="O2893" s="85"/>
      <c r="P2893" s="85"/>
      <c r="Q2893" s="85"/>
      <c r="R2893" s="85"/>
      <c r="S2893" s="85"/>
      <c r="T2893" s="85"/>
      <c r="U2893" s="82"/>
      <c r="V2893" s="82"/>
      <c r="W2893" s="83"/>
      <c r="X2893" s="83"/>
      <c r="Y2893" s="83"/>
    </row>
    <row r="2894" spans="1:25" ht="13.8">
      <c r="A2894" s="78"/>
      <c r="B2894" s="79"/>
      <c r="C2894" s="78"/>
      <c r="D2894" s="78"/>
      <c r="E2894" s="80"/>
      <c r="F2894" s="86"/>
      <c r="G2894" s="86"/>
      <c r="H2894" s="86"/>
      <c r="I2894" s="86"/>
      <c r="J2894" s="85"/>
      <c r="K2894" s="85"/>
      <c r="L2894" s="85"/>
      <c r="M2894" s="85"/>
      <c r="N2894" s="85"/>
      <c r="O2894" s="85"/>
      <c r="P2894" s="85"/>
      <c r="Q2894" s="85"/>
      <c r="R2894" s="85"/>
      <c r="S2894" s="85"/>
      <c r="T2894" s="85"/>
      <c r="U2894" s="82"/>
      <c r="V2894" s="82"/>
      <c r="W2894" s="83"/>
      <c r="X2894" s="83"/>
      <c r="Y2894" s="83"/>
    </row>
    <row r="2895" spans="1:25" ht="13.8">
      <c r="A2895" s="78"/>
      <c r="B2895" s="79"/>
      <c r="C2895" s="78"/>
      <c r="D2895" s="78"/>
      <c r="E2895" s="80"/>
      <c r="F2895" s="86"/>
      <c r="G2895" s="86"/>
      <c r="H2895" s="86"/>
      <c r="I2895" s="86"/>
      <c r="J2895" s="85"/>
      <c r="K2895" s="85"/>
      <c r="L2895" s="85"/>
      <c r="M2895" s="85"/>
      <c r="N2895" s="85"/>
      <c r="O2895" s="85"/>
      <c r="P2895" s="85"/>
      <c r="Q2895" s="85"/>
      <c r="R2895" s="85"/>
      <c r="S2895" s="85"/>
      <c r="T2895" s="85"/>
      <c r="U2895" s="82"/>
      <c r="V2895" s="82"/>
      <c r="W2895" s="83"/>
      <c r="X2895" s="83"/>
      <c r="Y2895" s="83"/>
    </row>
    <row r="2896" spans="1:25" ht="13.8">
      <c r="A2896" s="78"/>
      <c r="B2896" s="79"/>
      <c r="C2896" s="78"/>
      <c r="D2896" s="78"/>
      <c r="E2896" s="80"/>
      <c r="F2896" s="86"/>
      <c r="G2896" s="86"/>
      <c r="H2896" s="86"/>
      <c r="I2896" s="86"/>
      <c r="J2896" s="85"/>
      <c r="K2896" s="85"/>
      <c r="L2896" s="85"/>
      <c r="M2896" s="85"/>
      <c r="N2896" s="85"/>
      <c r="O2896" s="85"/>
      <c r="P2896" s="85"/>
      <c r="Q2896" s="85"/>
      <c r="R2896" s="85"/>
      <c r="S2896" s="85"/>
      <c r="T2896" s="85"/>
      <c r="U2896" s="82"/>
      <c r="V2896" s="82"/>
      <c r="W2896" s="83"/>
      <c r="X2896" s="83"/>
      <c r="Y2896" s="83"/>
    </row>
    <row r="2897" spans="1:25" ht="13.8">
      <c r="A2897" s="78"/>
      <c r="B2897" s="79"/>
      <c r="C2897" s="78"/>
      <c r="D2897" s="78"/>
      <c r="E2897" s="80"/>
      <c r="F2897" s="86"/>
      <c r="G2897" s="86"/>
      <c r="H2897" s="86"/>
      <c r="I2897" s="86"/>
      <c r="J2897" s="85"/>
      <c r="K2897" s="85"/>
      <c r="L2897" s="85"/>
      <c r="M2897" s="85"/>
      <c r="N2897" s="85"/>
      <c r="O2897" s="85"/>
      <c r="P2897" s="85"/>
      <c r="Q2897" s="85"/>
      <c r="R2897" s="85"/>
      <c r="S2897" s="85"/>
      <c r="T2897" s="85"/>
      <c r="U2897" s="82"/>
      <c r="V2897" s="82"/>
      <c r="W2897" s="83"/>
      <c r="X2897" s="83"/>
      <c r="Y2897" s="83"/>
    </row>
    <row r="2898" spans="1:25" ht="13.8">
      <c r="A2898" s="78"/>
      <c r="B2898" s="79"/>
      <c r="C2898" s="78"/>
      <c r="D2898" s="78"/>
      <c r="E2898" s="80"/>
      <c r="F2898" s="86"/>
      <c r="G2898" s="86"/>
      <c r="H2898" s="86"/>
      <c r="I2898" s="86"/>
      <c r="J2898" s="85"/>
      <c r="K2898" s="85"/>
      <c r="L2898" s="85"/>
      <c r="M2898" s="85"/>
      <c r="N2898" s="85"/>
      <c r="O2898" s="85"/>
      <c r="P2898" s="85"/>
      <c r="Q2898" s="85"/>
      <c r="R2898" s="85"/>
      <c r="S2898" s="85"/>
      <c r="T2898" s="85"/>
      <c r="U2898" s="82"/>
      <c r="V2898" s="82"/>
      <c r="W2898" s="83"/>
      <c r="X2898" s="83"/>
      <c r="Y2898" s="83"/>
    </row>
    <row r="2899" spans="1:25" ht="13.8">
      <c r="A2899" s="78"/>
      <c r="B2899" s="79"/>
      <c r="C2899" s="78"/>
      <c r="D2899" s="78"/>
      <c r="E2899" s="80"/>
      <c r="F2899" s="86"/>
      <c r="G2899" s="86"/>
      <c r="H2899" s="86"/>
      <c r="I2899" s="86"/>
      <c r="J2899" s="85"/>
      <c r="K2899" s="85"/>
      <c r="L2899" s="85"/>
      <c r="M2899" s="85"/>
      <c r="N2899" s="85"/>
      <c r="O2899" s="85"/>
      <c r="P2899" s="85"/>
      <c r="Q2899" s="85"/>
      <c r="R2899" s="85"/>
      <c r="S2899" s="85"/>
      <c r="T2899" s="85"/>
      <c r="U2899" s="82"/>
      <c r="V2899" s="82"/>
      <c r="W2899" s="83"/>
      <c r="X2899" s="83"/>
      <c r="Y2899" s="83"/>
    </row>
    <row r="2900" spans="1:25" ht="13.8">
      <c r="A2900" s="78"/>
      <c r="B2900" s="79"/>
      <c r="C2900" s="78"/>
      <c r="D2900" s="78"/>
      <c r="E2900" s="80"/>
      <c r="F2900" s="86"/>
      <c r="G2900" s="86"/>
      <c r="H2900" s="86"/>
      <c r="I2900" s="86"/>
      <c r="J2900" s="85"/>
      <c r="K2900" s="85"/>
      <c r="L2900" s="85"/>
      <c r="M2900" s="85"/>
      <c r="N2900" s="85"/>
      <c r="O2900" s="85"/>
      <c r="P2900" s="85"/>
      <c r="Q2900" s="85"/>
      <c r="R2900" s="85"/>
      <c r="S2900" s="85"/>
      <c r="T2900" s="85"/>
      <c r="U2900" s="82"/>
      <c r="V2900" s="82"/>
      <c r="W2900" s="83"/>
      <c r="X2900" s="83"/>
      <c r="Y2900" s="83"/>
    </row>
    <row r="2901" spans="1:25" ht="13.8">
      <c r="A2901" s="78"/>
      <c r="B2901" s="79"/>
      <c r="C2901" s="78"/>
      <c r="D2901" s="78"/>
      <c r="E2901" s="80"/>
      <c r="F2901" s="86"/>
      <c r="G2901" s="86"/>
      <c r="H2901" s="86"/>
      <c r="I2901" s="86"/>
      <c r="J2901" s="85"/>
      <c r="K2901" s="85"/>
      <c r="L2901" s="85"/>
      <c r="M2901" s="85"/>
      <c r="N2901" s="85"/>
      <c r="O2901" s="85"/>
      <c r="P2901" s="85"/>
      <c r="Q2901" s="85"/>
      <c r="R2901" s="85"/>
      <c r="S2901" s="85"/>
      <c r="T2901" s="85"/>
      <c r="U2901" s="82"/>
      <c r="V2901" s="82"/>
      <c r="W2901" s="83"/>
      <c r="X2901" s="83"/>
      <c r="Y2901" s="83"/>
    </row>
    <row r="2902" spans="1:25" ht="13.8">
      <c r="A2902" s="78"/>
      <c r="B2902" s="79"/>
      <c r="C2902" s="78"/>
      <c r="D2902" s="78"/>
      <c r="E2902" s="80"/>
      <c r="F2902" s="86"/>
      <c r="G2902" s="86"/>
      <c r="H2902" s="86"/>
      <c r="I2902" s="86"/>
      <c r="J2902" s="85"/>
      <c r="K2902" s="85"/>
      <c r="L2902" s="85"/>
      <c r="M2902" s="85"/>
      <c r="N2902" s="85"/>
      <c r="O2902" s="85"/>
      <c r="P2902" s="85"/>
      <c r="Q2902" s="85"/>
      <c r="R2902" s="85"/>
      <c r="S2902" s="85"/>
      <c r="T2902" s="85"/>
      <c r="U2902" s="82"/>
      <c r="V2902" s="82"/>
      <c r="W2902" s="83"/>
      <c r="X2902" s="83"/>
      <c r="Y2902" s="83"/>
    </row>
    <row r="2903" spans="1:25" ht="13.8">
      <c r="A2903" s="78"/>
      <c r="B2903" s="79"/>
      <c r="C2903" s="78"/>
      <c r="D2903" s="78"/>
      <c r="E2903" s="80"/>
      <c r="F2903" s="86"/>
      <c r="G2903" s="86"/>
      <c r="H2903" s="86"/>
      <c r="I2903" s="86"/>
      <c r="J2903" s="85"/>
      <c r="K2903" s="85"/>
      <c r="L2903" s="85"/>
      <c r="M2903" s="85"/>
      <c r="N2903" s="85"/>
      <c r="O2903" s="85"/>
      <c r="P2903" s="85"/>
      <c r="Q2903" s="85"/>
      <c r="R2903" s="85"/>
      <c r="S2903" s="85"/>
      <c r="T2903" s="85"/>
      <c r="U2903" s="82"/>
      <c r="V2903" s="82"/>
      <c r="W2903" s="83"/>
      <c r="X2903" s="83"/>
      <c r="Y2903" s="83"/>
    </row>
    <row r="2904" spans="1:25" ht="13.8">
      <c r="A2904" s="78"/>
      <c r="B2904" s="79"/>
      <c r="C2904" s="78"/>
      <c r="D2904" s="78"/>
      <c r="E2904" s="80"/>
      <c r="F2904" s="86"/>
      <c r="G2904" s="86"/>
      <c r="H2904" s="86"/>
      <c r="I2904" s="86"/>
      <c r="J2904" s="85"/>
      <c r="K2904" s="85"/>
      <c r="L2904" s="85"/>
      <c r="M2904" s="85"/>
      <c r="N2904" s="85"/>
      <c r="O2904" s="85"/>
      <c r="P2904" s="85"/>
      <c r="Q2904" s="85"/>
      <c r="R2904" s="85"/>
      <c r="S2904" s="85"/>
      <c r="T2904" s="85"/>
      <c r="U2904" s="82"/>
      <c r="V2904" s="82"/>
      <c r="W2904" s="83"/>
      <c r="X2904" s="83"/>
      <c r="Y2904" s="83"/>
    </row>
    <row r="2905" spans="1:25" ht="13.8">
      <c r="A2905" s="78"/>
      <c r="B2905" s="79"/>
      <c r="C2905" s="78"/>
      <c r="D2905" s="78"/>
      <c r="E2905" s="80"/>
      <c r="F2905" s="86"/>
      <c r="G2905" s="86"/>
      <c r="H2905" s="86"/>
      <c r="I2905" s="86"/>
      <c r="J2905" s="85"/>
      <c r="K2905" s="85"/>
      <c r="L2905" s="85"/>
      <c r="M2905" s="85"/>
      <c r="N2905" s="85"/>
      <c r="O2905" s="85"/>
      <c r="P2905" s="85"/>
      <c r="Q2905" s="85"/>
      <c r="R2905" s="85"/>
      <c r="S2905" s="85"/>
      <c r="T2905" s="85"/>
      <c r="U2905" s="82"/>
      <c r="V2905" s="82"/>
      <c r="W2905" s="83"/>
      <c r="X2905" s="83"/>
      <c r="Y2905" s="83"/>
    </row>
    <row r="2906" spans="1:25" ht="13.8">
      <c r="A2906" s="78"/>
      <c r="B2906" s="79"/>
      <c r="C2906" s="78"/>
      <c r="D2906" s="78"/>
      <c r="E2906" s="80"/>
      <c r="F2906" s="86"/>
      <c r="G2906" s="86"/>
      <c r="H2906" s="86"/>
      <c r="I2906" s="86"/>
      <c r="J2906" s="85"/>
      <c r="K2906" s="85"/>
      <c r="L2906" s="85"/>
      <c r="M2906" s="85"/>
      <c r="N2906" s="85"/>
      <c r="O2906" s="85"/>
      <c r="P2906" s="85"/>
      <c r="Q2906" s="85"/>
      <c r="R2906" s="85"/>
      <c r="S2906" s="85"/>
      <c r="T2906" s="85"/>
      <c r="U2906" s="82"/>
      <c r="V2906" s="82"/>
      <c r="W2906" s="83"/>
      <c r="X2906" s="83"/>
      <c r="Y2906" s="83"/>
    </row>
    <row r="2907" spans="1:25" ht="13.8">
      <c r="A2907" s="78"/>
      <c r="B2907" s="79"/>
      <c r="C2907" s="78"/>
      <c r="D2907" s="78"/>
      <c r="E2907" s="80"/>
      <c r="F2907" s="86"/>
      <c r="G2907" s="86"/>
      <c r="H2907" s="86"/>
      <c r="I2907" s="86"/>
      <c r="J2907" s="85"/>
      <c r="K2907" s="85"/>
      <c r="L2907" s="85"/>
      <c r="M2907" s="85"/>
      <c r="N2907" s="85"/>
      <c r="O2907" s="85"/>
      <c r="P2907" s="85"/>
      <c r="Q2907" s="85"/>
      <c r="R2907" s="85"/>
      <c r="S2907" s="85"/>
      <c r="T2907" s="85"/>
      <c r="U2907" s="82"/>
      <c r="V2907" s="82"/>
      <c r="W2907" s="83"/>
      <c r="X2907" s="83"/>
      <c r="Y2907" s="83"/>
    </row>
    <row r="2908" spans="1:25" ht="13.8">
      <c r="A2908" s="78"/>
      <c r="B2908" s="79"/>
      <c r="C2908" s="78"/>
      <c r="D2908" s="78"/>
      <c r="E2908" s="80"/>
      <c r="F2908" s="86"/>
      <c r="G2908" s="86"/>
      <c r="H2908" s="86"/>
      <c r="I2908" s="86"/>
      <c r="J2908" s="85"/>
      <c r="K2908" s="85"/>
      <c r="L2908" s="85"/>
      <c r="M2908" s="85"/>
      <c r="N2908" s="85"/>
      <c r="O2908" s="85"/>
      <c r="P2908" s="85"/>
      <c r="Q2908" s="85"/>
      <c r="R2908" s="85"/>
      <c r="S2908" s="85"/>
      <c r="T2908" s="85"/>
      <c r="U2908" s="82"/>
      <c r="V2908" s="82"/>
      <c r="W2908" s="83"/>
      <c r="X2908" s="83"/>
      <c r="Y2908" s="83"/>
    </row>
    <row r="2909" spans="1:25" ht="13.8">
      <c r="A2909" s="78"/>
      <c r="B2909" s="79"/>
      <c r="C2909" s="78"/>
      <c r="D2909" s="78"/>
      <c r="E2909" s="80"/>
      <c r="F2909" s="86"/>
      <c r="G2909" s="86"/>
      <c r="H2909" s="86"/>
      <c r="I2909" s="86"/>
      <c r="J2909" s="85"/>
      <c r="K2909" s="85"/>
      <c r="L2909" s="85"/>
      <c r="M2909" s="85"/>
      <c r="N2909" s="85"/>
      <c r="O2909" s="85"/>
      <c r="P2909" s="85"/>
      <c r="Q2909" s="85"/>
      <c r="R2909" s="85"/>
      <c r="S2909" s="85"/>
      <c r="T2909" s="85"/>
      <c r="U2909" s="82"/>
      <c r="V2909" s="82"/>
      <c r="W2909" s="83"/>
      <c r="X2909" s="83"/>
      <c r="Y2909" s="83"/>
    </row>
    <row r="2910" spans="1:25" ht="13.8">
      <c r="A2910" s="78"/>
      <c r="B2910" s="79"/>
      <c r="C2910" s="78"/>
      <c r="D2910" s="78"/>
      <c r="E2910" s="80"/>
      <c r="F2910" s="86"/>
      <c r="G2910" s="86"/>
      <c r="H2910" s="86"/>
      <c r="I2910" s="86"/>
      <c r="J2910" s="85"/>
      <c r="K2910" s="85"/>
      <c r="L2910" s="85"/>
      <c r="M2910" s="85"/>
      <c r="N2910" s="85"/>
      <c r="O2910" s="85"/>
      <c r="P2910" s="85"/>
      <c r="Q2910" s="85"/>
      <c r="R2910" s="85"/>
      <c r="S2910" s="85"/>
      <c r="T2910" s="85"/>
      <c r="U2910" s="82"/>
      <c r="V2910" s="82"/>
      <c r="W2910" s="83"/>
      <c r="X2910" s="83"/>
      <c r="Y2910" s="83"/>
    </row>
    <row r="2911" spans="1:25" ht="13.8">
      <c r="A2911" s="78"/>
      <c r="B2911" s="79"/>
      <c r="C2911" s="78"/>
      <c r="D2911" s="78"/>
      <c r="E2911" s="80"/>
      <c r="F2911" s="86"/>
      <c r="G2911" s="86"/>
      <c r="H2911" s="86"/>
      <c r="I2911" s="86"/>
      <c r="J2911" s="85"/>
      <c r="K2911" s="85"/>
      <c r="L2911" s="85"/>
      <c r="M2911" s="85"/>
      <c r="N2911" s="85"/>
      <c r="O2911" s="85"/>
      <c r="P2911" s="85"/>
      <c r="Q2911" s="85"/>
      <c r="R2911" s="85"/>
      <c r="S2911" s="85"/>
      <c r="T2911" s="85"/>
      <c r="U2911" s="82"/>
      <c r="V2911" s="82"/>
      <c r="W2911" s="83"/>
      <c r="X2911" s="83"/>
      <c r="Y2911" s="83"/>
    </row>
    <row r="2912" spans="1:25" ht="13.8">
      <c r="A2912" s="78"/>
      <c r="B2912" s="79"/>
      <c r="C2912" s="78"/>
      <c r="D2912" s="78"/>
      <c r="E2912" s="80"/>
      <c r="F2912" s="86"/>
      <c r="G2912" s="86"/>
      <c r="H2912" s="86"/>
      <c r="I2912" s="86"/>
      <c r="J2912" s="85"/>
      <c r="K2912" s="85"/>
      <c r="L2912" s="85"/>
      <c r="M2912" s="85"/>
      <c r="N2912" s="85"/>
      <c r="O2912" s="85"/>
      <c r="P2912" s="85"/>
      <c r="Q2912" s="85"/>
      <c r="R2912" s="85"/>
      <c r="S2912" s="85"/>
      <c r="T2912" s="85"/>
      <c r="U2912" s="82"/>
      <c r="V2912" s="82"/>
      <c r="W2912" s="83"/>
      <c r="X2912" s="83"/>
      <c r="Y2912" s="83"/>
    </row>
    <row r="2913" spans="1:25" ht="13.8">
      <c r="A2913" s="78"/>
      <c r="B2913" s="79"/>
      <c r="C2913" s="78"/>
      <c r="D2913" s="78"/>
      <c r="E2913" s="80"/>
      <c r="F2913" s="86"/>
      <c r="G2913" s="86"/>
      <c r="H2913" s="86"/>
      <c r="I2913" s="86"/>
      <c r="J2913" s="85"/>
      <c r="K2913" s="85"/>
      <c r="L2913" s="85"/>
      <c r="M2913" s="85"/>
      <c r="N2913" s="85"/>
      <c r="O2913" s="85"/>
      <c r="P2913" s="85"/>
      <c r="Q2913" s="85"/>
      <c r="R2913" s="85"/>
      <c r="S2913" s="85"/>
      <c r="T2913" s="85"/>
      <c r="U2913" s="82"/>
      <c r="V2913" s="82"/>
      <c r="W2913" s="83"/>
      <c r="X2913" s="83"/>
      <c r="Y2913" s="83"/>
    </row>
    <row r="2914" spans="1:25" ht="13.8">
      <c r="A2914" s="78"/>
      <c r="B2914" s="79"/>
      <c r="C2914" s="78"/>
      <c r="D2914" s="78"/>
      <c r="E2914" s="80"/>
      <c r="F2914" s="86"/>
      <c r="G2914" s="86"/>
      <c r="H2914" s="86"/>
      <c r="I2914" s="86"/>
      <c r="J2914" s="85"/>
      <c r="K2914" s="85"/>
      <c r="L2914" s="85"/>
      <c r="M2914" s="85"/>
      <c r="N2914" s="85"/>
      <c r="O2914" s="85"/>
      <c r="P2914" s="85"/>
      <c r="Q2914" s="85"/>
      <c r="R2914" s="85"/>
      <c r="S2914" s="85"/>
      <c r="T2914" s="85"/>
      <c r="U2914" s="82"/>
      <c r="V2914" s="82"/>
      <c r="W2914" s="83"/>
      <c r="X2914" s="83"/>
      <c r="Y2914" s="83"/>
    </row>
    <row r="2915" spans="1:25" ht="13.8">
      <c r="A2915" s="78"/>
      <c r="B2915" s="79"/>
      <c r="C2915" s="78"/>
      <c r="D2915" s="78"/>
      <c r="E2915" s="80"/>
      <c r="F2915" s="86"/>
      <c r="G2915" s="86"/>
      <c r="H2915" s="86"/>
      <c r="I2915" s="86"/>
      <c r="J2915" s="85"/>
      <c r="K2915" s="85"/>
      <c r="L2915" s="85"/>
      <c r="M2915" s="85"/>
      <c r="N2915" s="85"/>
      <c r="O2915" s="85"/>
      <c r="P2915" s="85"/>
      <c r="Q2915" s="85"/>
      <c r="R2915" s="85"/>
      <c r="S2915" s="85"/>
      <c r="T2915" s="85"/>
      <c r="U2915" s="82"/>
      <c r="V2915" s="82"/>
      <c r="W2915" s="83"/>
      <c r="X2915" s="83"/>
      <c r="Y2915" s="83"/>
    </row>
    <row r="2916" spans="1:25" ht="13.8">
      <c r="A2916" s="78"/>
      <c r="B2916" s="79"/>
      <c r="C2916" s="78"/>
      <c r="D2916" s="78"/>
      <c r="E2916" s="80"/>
      <c r="F2916" s="86"/>
      <c r="G2916" s="86"/>
      <c r="H2916" s="86"/>
      <c r="I2916" s="86"/>
      <c r="J2916" s="85"/>
      <c r="K2916" s="85"/>
      <c r="L2916" s="85"/>
      <c r="M2916" s="85"/>
      <c r="N2916" s="85"/>
      <c r="O2916" s="85"/>
      <c r="P2916" s="85"/>
      <c r="Q2916" s="85"/>
      <c r="R2916" s="85"/>
      <c r="S2916" s="85"/>
      <c r="T2916" s="85"/>
      <c r="U2916" s="82"/>
      <c r="V2916" s="82"/>
      <c r="W2916" s="83"/>
      <c r="X2916" s="83"/>
      <c r="Y2916" s="83"/>
    </row>
    <row r="2917" spans="1:25" ht="13.8">
      <c r="A2917" s="78"/>
      <c r="B2917" s="79"/>
      <c r="C2917" s="78"/>
      <c r="D2917" s="78"/>
      <c r="E2917" s="80"/>
      <c r="F2917" s="86"/>
      <c r="G2917" s="86"/>
      <c r="H2917" s="86"/>
      <c r="I2917" s="86"/>
      <c r="J2917" s="85"/>
      <c r="K2917" s="85"/>
      <c r="L2917" s="85"/>
      <c r="M2917" s="85"/>
      <c r="N2917" s="85"/>
      <c r="O2917" s="85"/>
      <c r="P2917" s="85"/>
      <c r="Q2917" s="85"/>
      <c r="R2917" s="85"/>
      <c r="S2917" s="85"/>
      <c r="T2917" s="85"/>
      <c r="U2917" s="82"/>
      <c r="V2917" s="82"/>
      <c r="W2917" s="83"/>
      <c r="X2917" s="83"/>
      <c r="Y2917" s="83"/>
    </row>
    <row r="2918" spans="1:25" ht="13.8">
      <c r="A2918" s="78"/>
      <c r="B2918" s="79"/>
      <c r="C2918" s="78"/>
      <c r="D2918" s="78"/>
      <c r="E2918" s="80"/>
      <c r="F2918" s="86"/>
      <c r="G2918" s="86"/>
      <c r="H2918" s="86"/>
      <c r="I2918" s="86"/>
      <c r="J2918" s="85"/>
      <c r="K2918" s="85"/>
      <c r="L2918" s="85"/>
      <c r="M2918" s="85"/>
      <c r="N2918" s="85"/>
      <c r="O2918" s="85"/>
      <c r="P2918" s="85"/>
      <c r="Q2918" s="85"/>
      <c r="R2918" s="85"/>
      <c r="S2918" s="85"/>
      <c r="T2918" s="85"/>
      <c r="U2918" s="82"/>
      <c r="V2918" s="82"/>
      <c r="W2918" s="83"/>
      <c r="X2918" s="83"/>
      <c r="Y2918" s="83"/>
    </row>
    <row r="2919" spans="1:25" ht="13.8">
      <c r="A2919" s="78"/>
      <c r="B2919" s="79"/>
      <c r="C2919" s="78"/>
      <c r="D2919" s="78"/>
      <c r="E2919" s="80"/>
      <c r="F2919" s="86"/>
      <c r="G2919" s="86"/>
      <c r="H2919" s="86"/>
      <c r="I2919" s="86"/>
      <c r="J2919" s="85"/>
      <c r="K2919" s="85"/>
      <c r="L2919" s="85"/>
      <c r="M2919" s="85"/>
      <c r="N2919" s="85"/>
      <c r="O2919" s="85"/>
      <c r="P2919" s="85"/>
      <c r="Q2919" s="85"/>
      <c r="R2919" s="85"/>
      <c r="S2919" s="85"/>
      <c r="T2919" s="85"/>
      <c r="U2919" s="82"/>
      <c r="V2919" s="82"/>
      <c r="W2919" s="83"/>
      <c r="X2919" s="83"/>
      <c r="Y2919" s="83"/>
    </row>
    <row r="2920" spans="1:25" ht="13.8">
      <c r="A2920" s="78"/>
      <c r="B2920" s="79"/>
      <c r="C2920" s="78"/>
      <c r="D2920" s="78"/>
      <c r="E2920" s="80"/>
      <c r="F2920" s="86"/>
      <c r="G2920" s="86"/>
      <c r="H2920" s="86"/>
      <c r="I2920" s="86"/>
      <c r="J2920" s="85"/>
      <c r="K2920" s="85"/>
      <c r="L2920" s="85"/>
      <c r="M2920" s="85"/>
      <c r="N2920" s="85"/>
      <c r="O2920" s="85"/>
      <c r="P2920" s="85"/>
      <c r="Q2920" s="85"/>
      <c r="R2920" s="85"/>
      <c r="S2920" s="85"/>
      <c r="T2920" s="85"/>
      <c r="U2920" s="82"/>
      <c r="V2920" s="82"/>
      <c r="W2920" s="83"/>
      <c r="X2920" s="83"/>
      <c r="Y2920" s="83"/>
    </row>
    <row r="2921" spans="1:25" ht="13.8">
      <c r="A2921" s="78"/>
      <c r="B2921" s="79"/>
      <c r="C2921" s="78"/>
      <c r="D2921" s="78"/>
      <c r="E2921" s="80"/>
      <c r="F2921" s="86"/>
      <c r="G2921" s="86"/>
      <c r="H2921" s="86"/>
      <c r="I2921" s="86"/>
      <c r="J2921" s="85"/>
      <c r="K2921" s="85"/>
      <c r="L2921" s="85"/>
      <c r="M2921" s="85"/>
      <c r="N2921" s="85"/>
      <c r="O2921" s="85"/>
      <c r="P2921" s="85"/>
      <c r="Q2921" s="85"/>
      <c r="R2921" s="85"/>
      <c r="S2921" s="85"/>
      <c r="T2921" s="85"/>
      <c r="U2921" s="82"/>
      <c r="V2921" s="82"/>
      <c r="W2921" s="83"/>
      <c r="X2921" s="83"/>
      <c r="Y2921" s="83"/>
    </row>
    <row r="2922" spans="1:25" ht="13.8">
      <c r="A2922" s="78"/>
      <c r="B2922" s="79"/>
      <c r="C2922" s="78"/>
      <c r="D2922" s="78"/>
      <c r="E2922" s="80"/>
      <c r="F2922" s="86"/>
      <c r="G2922" s="86"/>
      <c r="H2922" s="86"/>
      <c r="I2922" s="86"/>
      <c r="J2922" s="85"/>
      <c r="K2922" s="85"/>
      <c r="L2922" s="85"/>
      <c r="M2922" s="85"/>
      <c r="N2922" s="85"/>
      <c r="O2922" s="85"/>
      <c r="P2922" s="85"/>
      <c r="Q2922" s="85"/>
      <c r="R2922" s="85"/>
      <c r="S2922" s="85"/>
      <c r="T2922" s="85"/>
      <c r="U2922" s="82"/>
      <c r="V2922" s="82"/>
      <c r="W2922" s="83"/>
      <c r="X2922" s="83"/>
      <c r="Y2922" s="83"/>
    </row>
    <row r="2923" spans="1:25" ht="13.8">
      <c r="A2923" s="78"/>
      <c r="B2923" s="79"/>
      <c r="C2923" s="78"/>
      <c r="D2923" s="78"/>
      <c r="E2923" s="80"/>
      <c r="F2923" s="86"/>
      <c r="G2923" s="86"/>
      <c r="H2923" s="86"/>
      <c r="I2923" s="86"/>
      <c r="J2923" s="85"/>
      <c r="K2923" s="85"/>
      <c r="L2923" s="85"/>
      <c r="M2923" s="85"/>
      <c r="N2923" s="85"/>
      <c r="O2923" s="85"/>
      <c r="P2923" s="85"/>
      <c r="Q2923" s="85"/>
      <c r="R2923" s="85"/>
      <c r="S2923" s="85"/>
      <c r="T2923" s="85"/>
      <c r="U2923" s="82"/>
      <c r="V2923" s="82"/>
      <c r="W2923" s="83"/>
      <c r="X2923" s="83"/>
      <c r="Y2923" s="83"/>
    </row>
    <row r="2924" spans="1:25" ht="13.8">
      <c r="A2924" s="78"/>
      <c r="B2924" s="79"/>
      <c r="C2924" s="78"/>
      <c r="D2924" s="78"/>
      <c r="E2924" s="80"/>
      <c r="F2924" s="86"/>
      <c r="G2924" s="86"/>
      <c r="H2924" s="86"/>
      <c r="I2924" s="86"/>
      <c r="J2924" s="85"/>
      <c r="K2924" s="85"/>
      <c r="L2924" s="85"/>
      <c r="M2924" s="85"/>
      <c r="N2924" s="85"/>
      <c r="O2924" s="85"/>
      <c r="P2924" s="85"/>
      <c r="Q2924" s="85"/>
      <c r="R2924" s="85"/>
      <c r="S2924" s="85"/>
      <c r="T2924" s="85"/>
      <c r="U2924" s="82"/>
      <c r="V2924" s="82"/>
      <c r="W2924" s="83"/>
      <c r="X2924" s="83"/>
      <c r="Y2924" s="83"/>
    </row>
    <row r="2925" spans="1:25" ht="13.8">
      <c r="A2925" s="78"/>
      <c r="B2925" s="79"/>
      <c r="C2925" s="78"/>
      <c r="D2925" s="78"/>
      <c r="E2925" s="80"/>
      <c r="F2925" s="86"/>
      <c r="G2925" s="86"/>
      <c r="H2925" s="86"/>
      <c r="I2925" s="86"/>
      <c r="J2925" s="85"/>
      <c r="K2925" s="85"/>
      <c r="L2925" s="85"/>
      <c r="M2925" s="85"/>
      <c r="N2925" s="85"/>
      <c r="O2925" s="85"/>
      <c r="P2925" s="85"/>
      <c r="Q2925" s="85"/>
      <c r="R2925" s="85"/>
      <c r="S2925" s="85"/>
      <c r="T2925" s="85"/>
      <c r="U2925" s="82"/>
      <c r="V2925" s="82"/>
      <c r="W2925" s="83"/>
      <c r="X2925" s="83"/>
      <c r="Y2925" s="83"/>
    </row>
    <row r="2926" spans="1:25" ht="13.8">
      <c r="A2926" s="78"/>
      <c r="B2926" s="79"/>
      <c r="C2926" s="78"/>
      <c r="D2926" s="78"/>
      <c r="E2926" s="80"/>
      <c r="F2926" s="86"/>
      <c r="G2926" s="86"/>
      <c r="H2926" s="86"/>
      <c r="I2926" s="86"/>
      <c r="J2926" s="85"/>
      <c r="K2926" s="85"/>
      <c r="L2926" s="85"/>
      <c r="M2926" s="85"/>
      <c r="N2926" s="85"/>
      <c r="O2926" s="85"/>
      <c r="P2926" s="85"/>
      <c r="Q2926" s="85"/>
      <c r="R2926" s="85"/>
      <c r="S2926" s="85"/>
      <c r="T2926" s="85"/>
      <c r="U2926" s="82"/>
      <c r="V2926" s="82"/>
      <c r="W2926" s="83"/>
      <c r="X2926" s="83"/>
      <c r="Y2926" s="83"/>
    </row>
    <row r="2927" spans="1:25" ht="13.8">
      <c r="A2927" s="78"/>
      <c r="B2927" s="79"/>
      <c r="C2927" s="78"/>
      <c r="D2927" s="78"/>
      <c r="E2927" s="80"/>
      <c r="F2927" s="86"/>
      <c r="G2927" s="86"/>
      <c r="H2927" s="86"/>
      <c r="I2927" s="86"/>
      <c r="J2927" s="85"/>
      <c r="K2927" s="85"/>
      <c r="L2927" s="85"/>
      <c r="M2927" s="85"/>
      <c r="N2927" s="85"/>
      <c r="O2927" s="85"/>
      <c r="P2927" s="85"/>
      <c r="Q2927" s="85"/>
      <c r="R2927" s="85"/>
      <c r="S2927" s="85"/>
      <c r="T2927" s="85"/>
      <c r="U2927" s="82"/>
      <c r="V2927" s="82"/>
      <c r="W2927" s="83"/>
      <c r="X2927" s="83"/>
      <c r="Y2927" s="83"/>
    </row>
    <row r="2928" spans="1:25" ht="13.8">
      <c r="A2928" s="78"/>
      <c r="B2928" s="79"/>
      <c r="C2928" s="78"/>
      <c r="D2928" s="78"/>
      <c r="E2928" s="80"/>
      <c r="F2928" s="86"/>
      <c r="G2928" s="86"/>
      <c r="H2928" s="86"/>
      <c r="I2928" s="86"/>
      <c r="J2928" s="85"/>
      <c r="K2928" s="85"/>
      <c r="L2928" s="85"/>
      <c r="M2928" s="85"/>
      <c r="N2928" s="85"/>
      <c r="O2928" s="85"/>
      <c r="P2928" s="85"/>
      <c r="Q2928" s="85"/>
      <c r="R2928" s="85"/>
      <c r="S2928" s="85"/>
      <c r="T2928" s="85"/>
      <c r="U2928" s="82"/>
      <c r="V2928" s="82"/>
      <c r="W2928" s="83"/>
      <c r="X2928" s="83"/>
      <c r="Y2928" s="83"/>
    </row>
    <row r="2929" spans="1:25" ht="13.8">
      <c r="A2929" s="78"/>
      <c r="B2929" s="79"/>
      <c r="C2929" s="78"/>
      <c r="D2929" s="78"/>
      <c r="E2929" s="80"/>
      <c r="F2929" s="86"/>
      <c r="G2929" s="86"/>
      <c r="H2929" s="86"/>
      <c r="I2929" s="86"/>
      <c r="J2929" s="85"/>
      <c r="K2929" s="85"/>
      <c r="L2929" s="85"/>
      <c r="M2929" s="85"/>
      <c r="N2929" s="85"/>
      <c r="O2929" s="85"/>
      <c r="P2929" s="85"/>
      <c r="Q2929" s="85"/>
      <c r="R2929" s="85"/>
      <c r="S2929" s="85"/>
      <c r="T2929" s="85"/>
      <c r="U2929" s="82"/>
      <c r="V2929" s="82"/>
      <c r="W2929" s="83"/>
      <c r="X2929" s="83"/>
      <c r="Y2929" s="83"/>
    </row>
    <row r="2930" spans="1:25" ht="13.8">
      <c r="A2930" s="78"/>
      <c r="B2930" s="79"/>
      <c r="C2930" s="78"/>
      <c r="D2930" s="78"/>
      <c r="E2930" s="80"/>
      <c r="F2930" s="86"/>
      <c r="G2930" s="86"/>
      <c r="H2930" s="86"/>
      <c r="I2930" s="86"/>
      <c r="J2930" s="85"/>
      <c r="K2930" s="85"/>
      <c r="L2930" s="85"/>
      <c r="M2930" s="85"/>
      <c r="N2930" s="85"/>
      <c r="O2930" s="85"/>
      <c r="P2930" s="85"/>
      <c r="Q2930" s="85"/>
      <c r="R2930" s="85"/>
      <c r="S2930" s="85"/>
      <c r="T2930" s="85"/>
      <c r="U2930" s="82"/>
      <c r="V2930" s="82"/>
      <c r="W2930" s="83"/>
      <c r="X2930" s="83"/>
      <c r="Y2930" s="83"/>
    </row>
    <row r="2931" spans="1:25" ht="13.8">
      <c r="A2931" s="78"/>
      <c r="B2931" s="79"/>
      <c r="C2931" s="78"/>
      <c r="D2931" s="78"/>
      <c r="E2931" s="80"/>
      <c r="F2931" s="86"/>
      <c r="G2931" s="86"/>
      <c r="H2931" s="86"/>
      <c r="I2931" s="86"/>
      <c r="J2931" s="85"/>
      <c r="K2931" s="85"/>
      <c r="L2931" s="85"/>
      <c r="M2931" s="85"/>
      <c r="N2931" s="85"/>
      <c r="O2931" s="85"/>
      <c r="P2931" s="85"/>
      <c r="Q2931" s="85"/>
      <c r="R2931" s="85"/>
      <c r="S2931" s="85"/>
      <c r="T2931" s="85"/>
      <c r="U2931" s="82"/>
      <c r="V2931" s="82"/>
      <c r="W2931" s="83"/>
      <c r="X2931" s="83"/>
      <c r="Y2931" s="83"/>
    </row>
    <row r="2932" spans="1:25" ht="13.8">
      <c r="A2932" s="78"/>
      <c r="B2932" s="79"/>
      <c r="C2932" s="78"/>
      <c r="D2932" s="78"/>
      <c r="E2932" s="80"/>
      <c r="F2932" s="86"/>
      <c r="G2932" s="86"/>
      <c r="H2932" s="86"/>
      <c r="I2932" s="86"/>
      <c r="J2932" s="85"/>
      <c r="K2932" s="85"/>
      <c r="L2932" s="85"/>
      <c r="M2932" s="85"/>
      <c r="N2932" s="85"/>
      <c r="O2932" s="85"/>
      <c r="P2932" s="85"/>
      <c r="Q2932" s="85"/>
      <c r="R2932" s="85"/>
      <c r="S2932" s="85"/>
      <c r="T2932" s="85"/>
      <c r="U2932" s="82"/>
      <c r="V2932" s="82"/>
      <c r="W2932" s="83"/>
      <c r="X2932" s="83"/>
      <c r="Y2932" s="83"/>
    </row>
    <row r="2933" spans="1:25" ht="13.8">
      <c r="A2933" s="78"/>
      <c r="B2933" s="79"/>
      <c r="C2933" s="78"/>
      <c r="D2933" s="78"/>
      <c r="E2933" s="80"/>
      <c r="F2933" s="86"/>
      <c r="G2933" s="86"/>
      <c r="H2933" s="86"/>
      <c r="I2933" s="86"/>
      <c r="J2933" s="85"/>
      <c r="K2933" s="85"/>
      <c r="L2933" s="85"/>
      <c r="M2933" s="85"/>
      <c r="N2933" s="85"/>
      <c r="O2933" s="85"/>
      <c r="P2933" s="85"/>
      <c r="Q2933" s="85"/>
      <c r="R2933" s="85"/>
      <c r="S2933" s="85"/>
      <c r="T2933" s="85"/>
      <c r="U2933" s="82"/>
      <c r="V2933" s="82"/>
      <c r="W2933" s="83"/>
      <c r="X2933" s="83"/>
      <c r="Y2933" s="83"/>
    </row>
    <row r="2934" spans="1:25" ht="13.8">
      <c r="A2934" s="78"/>
      <c r="B2934" s="79"/>
      <c r="C2934" s="78"/>
      <c r="D2934" s="78"/>
      <c r="E2934" s="80"/>
      <c r="F2934" s="86"/>
      <c r="G2934" s="86"/>
      <c r="H2934" s="86"/>
      <c r="I2934" s="86"/>
      <c r="J2934" s="85"/>
      <c r="K2934" s="85"/>
      <c r="L2934" s="85"/>
      <c r="M2934" s="85"/>
      <c r="N2934" s="85"/>
      <c r="O2934" s="85"/>
      <c r="P2934" s="85"/>
      <c r="Q2934" s="85"/>
      <c r="R2934" s="85"/>
      <c r="S2934" s="85"/>
      <c r="T2934" s="85"/>
      <c r="U2934" s="82"/>
      <c r="V2934" s="82"/>
      <c r="W2934" s="83"/>
      <c r="X2934" s="83"/>
      <c r="Y2934" s="83"/>
    </row>
    <row r="2935" spans="1:25" ht="13.8">
      <c r="A2935" s="78"/>
      <c r="B2935" s="79"/>
      <c r="C2935" s="78"/>
      <c r="D2935" s="78"/>
      <c r="E2935" s="80"/>
      <c r="F2935" s="86"/>
      <c r="G2935" s="86"/>
      <c r="H2935" s="86"/>
      <c r="I2935" s="86"/>
      <c r="J2935" s="85"/>
      <c r="K2935" s="85"/>
      <c r="L2935" s="85"/>
      <c r="M2935" s="85"/>
      <c r="N2935" s="85"/>
      <c r="O2935" s="85"/>
      <c r="P2935" s="85"/>
      <c r="Q2935" s="85"/>
      <c r="R2935" s="85"/>
      <c r="S2935" s="85"/>
      <c r="T2935" s="85"/>
      <c r="U2935" s="82"/>
      <c r="V2935" s="82"/>
      <c r="W2935" s="83"/>
      <c r="X2935" s="83"/>
      <c r="Y2935" s="83"/>
    </row>
    <row r="2936" spans="1:25" ht="13.8">
      <c r="A2936" s="78"/>
      <c r="B2936" s="79"/>
      <c r="C2936" s="78"/>
      <c r="D2936" s="78"/>
      <c r="E2936" s="80"/>
      <c r="F2936" s="86"/>
      <c r="G2936" s="86"/>
      <c r="H2936" s="86"/>
      <c r="I2936" s="86"/>
      <c r="J2936" s="85"/>
      <c r="K2936" s="85"/>
      <c r="L2936" s="85"/>
      <c r="M2936" s="85"/>
      <c r="N2936" s="85"/>
      <c r="O2936" s="85"/>
      <c r="P2936" s="85"/>
      <c r="Q2936" s="85"/>
      <c r="R2936" s="85"/>
      <c r="S2936" s="85"/>
      <c r="T2936" s="85"/>
      <c r="U2936" s="82"/>
      <c r="V2936" s="82"/>
      <c r="W2936" s="83"/>
      <c r="X2936" s="83"/>
      <c r="Y2936" s="83"/>
    </row>
    <row r="2937" spans="1:25" ht="13.8">
      <c r="A2937" s="78"/>
      <c r="B2937" s="79"/>
      <c r="C2937" s="78"/>
      <c r="D2937" s="78"/>
      <c r="E2937" s="80"/>
      <c r="F2937" s="86"/>
      <c r="G2937" s="86"/>
      <c r="H2937" s="86"/>
      <c r="I2937" s="86"/>
      <c r="J2937" s="85"/>
      <c r="K2937" s="85"/>
      <c r="L2937" s="85"/>
      <c r="M2937" s="85"/>
      <c r="N2937" s="85"/>
      <c r="O2937" s="85"/>
      <c r="P2937" s="85"/>
      <c r="Q2937" s="85"/>
      <c r="R2937" s="85"/>
      <c r="S2937" s="85"/>
      <c r="T2937" s="85"/>
      <c r="U2937" s="82"/>
      <c r="V2937" s="82"/>
      <c r="W2937" s="83"/>
      <c r="X2937" s="83"/>
      <c r="Y2937" s="83"/>
    </row>
    <row r="2938" spans="1:25" ht="13.8">
      <c r="A2938" s="78"/>
      <c r="B2938" s="79"/>
      <c r="C2938" s="78"/>
      <c r="D2938" s="78"/>
      <c r="E2938" s="80"/>
      <c r="F2938" s="86"/>
      <c r="G2938" s="86"/>
      <c r="H2938" s="86"/>
      <c r="I2938" s="86"/>
      <c r="J2938" s="85"/>
      <c r="K2938" s="85"/>
      <c r="L2938" s="85"/>
      <c r="M2938" s="85"/>
      <c r="N2938" s="85"/>
      <c r="O2938" s="85"/>
      <c r="P2938" s="85"/>
      <c r="Q2938" s="85"/>
      <c r="R2938" s="85"/>
      <c r="S2938" s="85"/>
      <c r="T2938" s="85"/>
      <c r="U2938" s="82"/>
      <c r="V2938" s="82"/>
      <c r="W2938" s="83"/>
      <c r="X2938" s="83"/>
      <c r="Y2938" s="83"/>
    </row>
    <row r="2939" spans="1:25" ht="13.8">
      <c r="A2939" s="78"/>
      <c r="B2939" s="79"/>
      <c r="C2939" s="78"/>
      <c r="D2939" s="78"/>
      <c r="E2939" s="80"/>
      <c r="F2939" s="86"/>
      <c r="G2939" s="86"/>
      <c r="H2939" s="86"/>
      <c r="I2939" s="86"/>
      <c r="J2939" s="85"/>
      <c r="K2939" s="85"/>
      <c r="L2939" s="85"/>
      <c r="M2939" s="85"/>
      <c r="N2939" s="85"/>
      <c r="O2939" s="85"/>
      <c r="P2939" s="85"/>
      <c r="Q2939" s="85"/>
      <c r="R2939" s="85"/>
      <c r="S2939" s="85"/>
      <c r="T2939" s="85"/>
      <c r="U2939" s="82"/>
      <c r="V2939" s="82"/>
      <c r="W2939" s="83"/>
      <c r="X2939" s="83"/>
      <c r="Y2939" s="83"/>
    </row>
    <row r="2940" spans="1:25" ht="13.8">
      <c r="A2940" s="78"/>
      <c r="B2940" s="79"/>
      <c r="C2940" s="78"/>
      <c r="D2940" s="78"/>
      <c r="E2940" s="80"/>
      <c r="F2940" s="86"/>
      <c r="G2940" s="86"/>
      <c r="H2940" s="86"/>
      <c r="I2940" s="86"/>
      <c r="J2940" s="85"/>
      <c r="K2940" s="85"/>
      <c r="L2940" s="85"/>
      <c r="M2940" s="85"/>
      <c r="N2940" s="85"/>
      <c r="O2940" s="85"/>
      <c r="P2940" s="85"/>
      <c r="Q2940" s="85"/>
      <c r="R2940" s="85"/>
      <c r="S2940" s="85"/>
      <c r="T2940" s="85"/>
      <c r="U2940" s="82"/>
      <c r="V2940" s="82"/>
      <c r="W2940" s="83"/>
      <c r="X2940" s="83"/>
      <c r="Y2940" s="83"/>
    </row>
    <row r="2941" spans="1:25" ht="13.8">
      <c r="A2941" s="78"/>
      <c r="B2941" s="79"/>
      <c r="C2941" s="78"/>
      <c r="D2941" s="78"/>
      <c r="E2941" s="80"/>
      <c r="F2941" s="86"/>
      <c r="G2941" s="86"/>
      <c r="H2941" s="86"/>
      <c r="I2941" s="86"/>
      <c r="J2941" s="85"/>
      <c r="K2941" s="85"/>
      <c r="L2941" s="85"/>
      <c r="M2941" s="85"/>
      <c r="N2941" s="85"/>
      <c r="O2941" s="85"/>
      <c r="P2941" s="85"/>
      <c r="Q2941" s="85"/>
      <c r="R2941" s="85"/>
      <c r="S2941" s="85"/>
      <c r="T2941" s="85"/>
      <c r="U2941" s="82"/>
      <c r="V2941" s="82"/>
      <c r="W2941" s="83"/>
      <c r="X2941" s="83"/>
      <c r="Y2941" s="83"/>
    </row>
    <row r="2942" spans="1:25" ht="13.8">
      <c r="A2942" s="78"/>
      <c r="B2942" s="79"/>
      <c r="C2942" s="78"/>
      <c r="D2942" s="78"/>
      <c r="E2942" s="80"/>
      <c r="F2942" s="86"/>
      <c r="G2942" s="86"/>
      <c r="H2942" s="86"/>
      <c r="I2942" s="86"/>
      <c r="J2942" s="85"/>
      <c r="K2942" s="85"/>
      <c r="L2942" s="85"/>
      <c r="M2942" s="85"/>
      <c r="N2942" s="85"/>
      <c r="O2942" s="85"/>
      <c r="P2942" s="85"/>
      <c r="Q2942" s="85"/>
      <c r="R2942" s="85"/>
      <c r="S2942" s="85"/>
      <c r="T2942" s="85"/>
      <c r="U2942" s="82"/>
      <c r="V2942" s="82"/>
      <c r="W2942" s="83"/>
      <c r="X2942" s="83"/>
      <c r="Y2942" s="83"/>
    </row>
    <row r="2943" spans="1:25" ht="13.8">
      <c r="A2943" s="78"/>
      <c r="B2943" s="79"/>
      <c r="C2943" s="78"/>
      <c r="D2943" s="78"/>
      <c r="E2943" s="80"/>
      <c r="F2943" s="86"/>
      <c r="G2943" s="86"/>
      <c r="H2943" s="86"/>
      <c r="I2943" s="86"/>
      <c r="J2943" s="85"/>
      <c r="K2943" s="85"/>
      <c r="L2943" s="85"/>
      <c r="M2943" s="85"/>
      <c r="N2943" s="85"/>
      <c r="O2943" s="85"/>
      <c r="P2943" s="85"/>
      <c r="Q2943" s="85"/>
      <c r="R2943" s="85"/>
      <c r="S2943" s="85"/>
      <c r="T2943" s="85"/>
      <c r="U2943" s="82"/>
      <c r="V2943" s="82"/>
      <c r="W2943" s="83"/>
      <c r="X2943" s="83"/>
      <c r="Y2943" s="83"/>
    </row>
    <row r="2944" spans="1:25" ht="13.8">
      <c r="A2944" s="78"/>
      <c r="B2944" s="79"/>
      <c r="C2944" s="78"/>
      <c r="D2944" s="78"/>
      <c r="E2944" s="80"/>
      <c r="F2944" s="86"/>
      <c r="G2944" s="86"/>
      <c r="H2944" s="86"/>
      <c r="I2944" s="86"/>
      <c r="J2944" s="85"/>
      <c r="K2944" s="85"/>
      <c r="L2944" s="85"/>
      <c r="M2944" s="85"/>
      <c r="N2944" s="85"/>
      <c r="O2944" s="85"/>
      <c r="P2944" s="85"/>
      <c r="Q2944" s="85"/>
      <c r="R2944" s="85"/>
      <c r="S2944" s="85"/>
      <c r="T2944" s="85"/>
      <c r="U2944" s="82"/>
      <c r="V2944" s="82"/>
      <c r="W2944" s="83"/>
      <c r="X2944" s="83"/>
      <c r="Y2944" s="83"/>
    </row>
    <row r="2945" spans="1:25" ht="13.8">
      <c r="A2945" s="78"/>
      <c r="B2945" s="79"/>
      <c r="C2945" s="78"/>
      <c r="D2945" s="78"/>
      <c r="E2945" s="80"/>
      <c r="F2945" s="86"/>
      <c r="G2945" s="86"/>
      <c r="H2945" s="86"/>
      <c r="I2945" s="86"/>
      <c r="J2945" s="85"/>
      <c r="K2945" s="85"/>
      <c r="L2945" s="85"/>
      <c r="M2945" s="85"/>
      <c r="N2945" s="85"/>
      <c r="O2945" s="85"/>
      <c r="P2945" s="85"/>
      <c r="Q2945" s="85"/>
      <c r="R2945" s="85"/>
      <c r="S2945" s="85"/>
      <c r="T2945" s="85"/>
      <c r="U2945" s="82"/>
      <c r="V2945" s="82"/>
      <c r="W2945" s="83"/>
      <c r="X2945" s="83"/>
      <c r="Y2945" s="83"/>
    </row>
    <row r="2946" spans="1:25" ht="13.8">
      <c r="A2946" s="78"/>
      <c r="B2946" s="79"/>
      <c r="C2946" s="78"/>
      <c r="D2946" s="78"/>
      <c r="E2946" s="80"/>
      <c r="F2946" s="86"/>
      <c r="G2946" s="86"/>
      <c r="H2946" s="86"/>
      <c r="I2946" s="86"/>
      <c r="J2946" s="85"/>
      <c r="K2946" s="85"/>
      <c r="L2946" s="85"/>
      <c r="M2946" s="85"/>
      <c r="N2946" s="85"/>
      <c r="O2946" s="85"/>
      <c r="P2946" s="85"/>
      <c r="Q2946" s="85"/>
      <c r="R2946" s="85"/>
      <c r="S2946" s="85"/>
      <c r="T2946" s="85"/>
      <c r="U2946" s="82"/>
      <c r="V2946" s="82"/>
      <c r="W2946" s="83"/>
      <c r="X2946" s="83"/>
      <c r="Y2946" s="83"/>
    </row>
    <row r="2947" spans="1:25" ht="13.8">
      <c r="A2947" s="78"/>
      <c r="B2947" s="79"/>
      <c r="C2947" s="78"/>
      <c r="D2947" s="78"/>
      <c r="E2947" s="80"/>
      <c r="F2947" s="86"/>
      <c r="G2947" s="86"/>
      <c r="H2947" s="86"/>
      <c r="I2947" s="86"/>
      <c r="J2947" s="85"/>
      <c r="K2947" s="85"/>
      <c r="L2947" s="85"/>
      <c r="M2947" s="85"/>
      <c r="N2947" s="85"/>
      <c r="O2947" s="85"/>
      <c r="P2947" s="85"/>
      <c r="Q2947" s="85"/>
      <c r="R2947" s="85"/>
      <c r="S2947" s="85"/>
      <c r="T2947" s="85"/>
      <c r="U2947" s="82"/>
      <c r="V2947" s="82"/>
      <c r="W2947" s="83"/>
      <c r="X2947" s="83"/>
      <c r="Y2947" s="83"/>
    </row>
    <row r="2948" spans="1:25" ht="13.8">
      <c r="A2948" s="78"/>
      <c r="B2948" s="79"/>
      <c r="C2948" s="78"/>
      <c r="D2948" s="78"/>
      <c r="E2948" s="80"/>
      <c r="F2948" s="86"/>
      <c r="G2948" s="86"/>
      <c r="H2948" s="86"/>
      <c r="I2948" s="86"/>
      <c r="J2948" s="85"/>
      <c r="K2948" s="85"/>
      <c r="L2948" s="85"/>
      <c r="M2948" s="85"/>
      <c r="N2948" s="85"/>
      <c r="O2948" s="85"/>
      <c r="P2948" s="85"/>
      <c r="Q2948" s="85"/>
      <c r="R2948" s="85"/>
      <c r="S2948" s="85"/>
      <c r="T2948" s="85"/>
      <c r="U2948" s="82"/>
      <c r="V2948" s="82"/>
      <c r="W2948" s="83"/>
      <c r="X2948" s="83"/>
      <c r="Y2948" s="83"/>
    </row>
    <row r="2949" spans="1:25" ht="13.8">
      <c r="A2949" s="78"/>
      <c r="B2949" s="79"/>
      <c r="C2949" s="78"/>
      <c r="D2949" s="78"/>
      <c r="E2949" s="80"/>
      <c r="F2949" s="86"/>
      <c r="G2949" s="86"/>
      <c r="H2949" s="86"/>
      <c r="I2949" s="86"/>
      <c r="J2949" s="85"/>
      <c r="K2949" s="85"/>
      <c r="L2949" s="85"/>
      <c r="M2949" s="85"/>
      <c r="N2949" s="85"/>
      <c r="O2949" s="85"/>
      <c r="P2949" s="85"/>
      <c r="Q2949" s="85"/>
      <c r="R2949" s="85"/>
      <c r="S2949" s="85"/>
      <c r="T2949" s="85"/>
      <c r="U2949" s="82"/>
      <c r="V2949" s="82"/>
      <c r="W2949" s="83"/>
      <c r="X2949" s="83"/>
      <c r="Y2949" s="83"/>
    </row>
    <row r="2950" spans="1:25" ht="13.8">
      <c r="A2950" s="78"/>
      <c r="B2950" s="79"/>
      <c r="C2950" s="78"/>
      <c r="D2950" s="78"/>
      <c r="E2950" s="80"/>
      <c r="F2950" s="86"/>
      <c r="G2950" s="86"/>
      <c r="H2950" s="86"/>
      <c r="I2950" s="86"/>
      <c r="J2950" s="85"/>
      <c r="K2950" s="85"/>
      <c r="L2950" s="85"/>
      <c r="M2950" s="85"/>
      <c r="N2950" s="85"/>
      <c r="O2950" s="85"/>
      <c r="P2950" s="85"/>
      <c r="Q2950" s="85"/>
      <c r="R2950" s="85"/>
      <c r="S2950" s="85"/>
      <c r="T2950" s="85"/>
      <c r="U2950" s="82"/>
      <c r="V2950" s="82"/>
      <c r="W2950" s="83"/>
      <c r="X2950" s="83"/>
      <c r="Y2950" s="83"/>
    </row>
    <row r="2951" spans="1:25" ht="13.8">
      <c r="A2951" s="78"/>
      <c r="B2951" s="79"/>
      <c r="C2951" s="78"/>
      <c r="D2951" s="78"/>
      <c r="E2951" s="80"/>
      <c r="F2951" s="86"/>
      <c r="G2951" s="86"/>
      <c r="H2951" s="86"/>
      <c r="I2951" s="86"/>
      <c r="J2951" s="85"/>
      <c r="K2951" s="85"/>
      <c r="L2951" s="85"/>
      <c r="M2951" s="85"/>
      <c r="N2951" s="85"/>
      <c r="O2951" s="85"/>
      <c r="P2951" s="85"/>
      <c r="Q2951" s="85"/>
      <c r="R2951" s="85"/>
      <c r="S2951" s="85"/>
      <c r="T2951" s="85"/>
      <c r="U2951" s="82"/>
      <c r="V2951" s="82"/>
      <c r="W2951" s="83"/>
      <c r="X2951" s="83"/>
      <c r="Y2951" s="83"/>
    </row>
    <row r="2952" spans="1:25" ht="13.8">
      <c r="A2952" s="78"/>
      <c r="B2952" s="79"/>
      <c r="C2952" s="78"/>
      <c r="D2952" s="78"/>
      <c r="E2952" s="80"/>
      <c r="F2952" s="86"/>
      <c r="G2952" s="86"/>
      <c r="H2952" s="86"/>
      <c r="I2952" s="86"/>
      <c r="J2952" s="85"/>
      <c r="K2952" s="85"/>
      <c r="L2952" s="85"/>
      <c r="M2952" s="85"/>
      <c r="N2952" s="85"/>
      <c r="O2952" s="85"/>
      <c r="P2952" s="85"/>
      <c r="Q2952" s="85"/>
      <c r="R2952" s="85"/>
      <c r="S2952" s="85"/>
      <c r="T2952" s="85"/>
      <c r="U2952" s="82"/>
      <c r="V2952" s="82"/>
      <c r="W2952" s="83"/>
      <c r="X2952" s="83"/>
      <c r="Y2952" s="83"/>
    </row>
    <row r="2953" spans="1:25" ht="13.8">
      <c r="A2953" s="78"/>
      <c r="B2953" s="79"/>
      <c r="C2953" s="78"/>
      <c r="D2953" s="78"/>
      <c r="E2953" s="80"/>
      <c r="F2953" s="86"/>
      <c r="G2953" s="86"/>
      <c r="H2953" s="86"/>
      <c r="I2953" s="86"/>
      <c r="J2953" s="85"/>
      <c r="K2953" s="85"/>
      <c r="L2953" s="85"/>
      <c r="M2953" s="85"/>
      <c r="N2953" s="85"/>
      <c r="O2953" s="85"/>
      <c r="P2953" s="85"/>
      <c r="Q2953" s="85"/>
      <c r="R2953" s="85"/>
      <c r="S2953" s="85"/>
      <c r="T2953" s="85"/>
      <c r="U2953" s="82"/>
      <c r="V2953" s="82"/>
      <c r="W2953" s="83"/>
      <c r="X2953" s="83"/>
      <c r="Y2953" s="83"/>
    </row>
    <row r="2954" spans="1:25" ht="13.8">
      <c r="A2954" s="78"/>
      <c r="B2954" s="79"/>
      <c r="C2954" s="78"/>
      <c r="D2954" s="78"/>
      <c r="E2954" s="80"/>
      <c r="F2954" s="86"/>
      <c r="G2954" s="86"/>
      <c r="H2954" s="86"/>
      <c r="I2954" s="86"/>
      <c r="J2954" s="85"/>
      <c r="K2954" s="85"/>
      <c r="L2954" s="85"/>
      <c r="M2954" s="85"/>
      <c r="N2954" s="85"/>
      <c r="O2954" s="85"/>
      <c r="P2954" s="85"/>
      <c r="Q2954" s="85"/>
      <c r="R2954" s="85"/>
      <c r="S2954" s="85"/>
      <c r="T2954" s="85"/>
      <c r="U2954" s="82"/>
      <c r="V2954" s="82"/>
      <c r="W2954" s="83"/>
      <c r="X2954" s="83"/>
      <c r="Y2954" s="83"/>
    </row>
    <row r="2955" spans="1:25" ht="13.8">
      <c r="A2955" s="78"/>
      <c r="B2955" s="79"/>
      <c r="C2955" s="78"/>
      <c r="D2955" s="78"/>
      <c r="E2955" s="80"/>
      <c r="F2955" s="86"/>
      <c r="G2955" s="86"/>
      <c r="H2955" s="86"/>
      <c r="I2955" s="86"/>
      <c r="J2955" s="85"/>
      <c r="K2955" s="85"/>
      <c r="L2955" s="85"/>
      <c r="M2955" s="85"/>
      <c r="N2955" s="85"/>
      <c r="O2955" s="85"/>
      <c r="P2955" s="85"/>
      <c r="Q2955" s="85"/>
      <c r="R2955" s="85"/>
      <c r="S2955" s="85"/>
      <c r="T2955" s="85"/>
      <c r="U2955" s="82"/>
      <c r="V2955" s="82"/>
      <c r="W2955" s="83"/>
      <c r="X2955" s="83"/>
      <c r="Y2955" s="83"/>
    </row>
    <row r="2956" spans="1:25" ht="13.8">
      <c r="A2956" s="78"/>
      <c r="B2956" s="79"/>
      <c r="C2956" s="78"/>
      <c r="D2956" s="78"/>
      <c r="E2956" s="80"/>
      <c r="F2956" s="86"/>
      <c r="G2956" s="86"/>
      <c r="H2956" s="86"/>
      <c r="I2956" s="86"/>
      <c r="J2956" s="85"/>
      <c r="K2956" s="85"/>
      <c r="L2956" s="85"/>
      <c r="M2956" s="85"/>
      <c r="N2956" s="85"/>
      <c r="O2956" s="85"/>
      <c r="P2956" s="85"/>
      <c r="Q2956" s="85"/>
      <c r="R2956" s="85"/>
      <c r="S2956" s="85"/>
      <c r="T2956" s="85"/>
      <c r="U2956" s="82"/>
      <c r="V2956" s="82"/>
      <c r="W2956" s="83"/>
      <c r="X2956" s="83"/>
      <c r="Y2956" s="83"/>
    </row>
    <row r="2957" spans="1:25" ht="13.8">
      <c r="A2957" s="78"/>
      <c r="B2957" s="79"/>
      <c r="C2957" s="78"/>
      <c r="D2957" s="78"/>
      <c r="E2957" s="80"/>
      <c r="F2957" s="86"/>
      <c r="G2957" s="86"/>
      <c r="H2957" s="86"/>
      <c r="I2957" s="86"/>
      <c r="J2957" s="85"/>
      <c r="K2957" s="85"/>
      <c r="L2957" s="85"/>
      <c r="M2957" s="85"/>
      <c r="N2957" s="85"/>
      <c r="O2957" s="85"/>
      <c r="P2957" s="85"/>
      <c r="Q2957" s="85"/>
      <c r="R2957" s="85"/>
      <c r="S2957" s="85"/>
      <c r="T2957" s="85"/>
      <c r="U2957" s="82"/>
      <c r="V2957" s="82"/>
      <c r="W2957" s="83"/>
      <c r="X2957" s="83"/>
      <c r="Y2957" s="83"/>
    </row>
  </sheetData>
  <conditionalFormatting sqref="C1:C2957">
    <cfRule type="containsBlanks" dxfId="3" priority="1">
      <formula>LEN(TRIM(C1))=0</formula>
    </cfRule>
  </conditionalFormatting>
  <conditionalFormatting sqref="C1:C2957">
    <cfRule type="cellIs" dxfId="2" priority="2" operator="lessThan">
      <formula>5</formula>
    </cfRule>
  </conditionalFormatting>
  <conditionalFormatting sqref="C1:C2957">
    <cfRule type="cellIs" dxfId="1" priority="3" operator="greaterThan">
      <formula>18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outlinePr summaryBelow="0" summaryRight="0"/>
  </sheetPr>
  <dimension ref="A1:R1002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.75" customHeight="1"/>
  <cols>
    <col min="1" max="1" width="3.109375" customWidth="1"/>
    <col min="2" max="2" width="4" customWidth="1"/>
    <col min="8" max="8" width="4" customWidth="1"/>
    <col min="9" max="9" width="18.33203125" customWidth="1"/>
    <col min="10" max="10" width="18.6640625" customWidth="1"/>
  </cols>
  <sheetData>
    <row r="1" spans="1:18" ht="15.75" customHeight="1">
      <c r="A1" s="87" t="str">
        <f ca="1">IFERROR(__xludf.DUMMYFUNCTION("importrange(""https://docs.google.com/a/marlinmultimedia.com/spreadsheets/d/1oSDZlRpKI1Rl18gp2l040IpPIw0MfV9v42_cGvRLN3k/edit"",""Lookup-schedule-""&amp;$R$1&amp;""!a1:l50"")"),"#REF!")</f>
        <v>#REF!</v>
      </c>
      <c r="B1" s="88"/>
      <c r="C1" s="89"/>
      <c r="E1" s="89"/>
      <c r="H1" s="88"/>
      <c r="I1" s="89"/>
      <c r="J1" s="89"/>
      <c r="K1" s="90"/>
      <c r="L1" s="90"/>
      <c r="Q1" s="90" t="s">
        <v>512</v>
      </c>
      <c r="R1" s="90">
        <v>20170705</v>
      </c>
    </row>
    <row r="2" spans="1:18">
      <c r="A2" s="91"/>
      <c r="B2" s="88"/>
      <c r="C2" s="92"/>
      <c r="D2" s="88"/>
      <c r="E2" s="88"/>
      <c r="F2" s="88"/>
      <c r="G2" s="88"/>
      <c r="H2" s="88"/>
    </row>
    <row r="3" spans="1:18">
      <c r="A3" s="91"/>
      <c r="B3" s="88"/>
      <c r="C3" s="227"/>
      <c r="D3" s="194"/>
      <c r="E3" s="194"/>
      <c r="F3" s="194"/>
      <c r="G3" s="194"/>
      <c r="H3" s="88"/>
    </row>
    <row r="4" spans="1:18" ht="15.75" customHeight="1">
      <c r="B4" s="88"/>
      <c r="H4" s="88"/>
    </row>
    <row r="5" spans="1:18">
      <c r="A5" s="93"/>
      <c r="B5" s="88"/>
      <c r="C5" s="93"/>
      <c r="H5" s="88"/>
    </row>
    <row r="6" spans="1:18" ht="15.75" customHeight="1">
      <c r="A6" s="94"/>
      <c r="B6" s="88"/>
      <c r="C6" s="95"/>
      <c r="D6" s="96"/>
      <c r="E6" s="95"/>
      <c r="F6" s="97"/>
      <c r="G6" s="95"/>
      <c r="H6" s="88"/>
      <c r="I6" s="98"/>
      <c r="J6" s="98"/>
    </row>
    <row r="7" spans="1:18" ht="15.75" customHeight="1">
      <c r="A7" s="99"/>
      <c r="B7" s="88"/>
      <c r="C7" s="100"/>
      <c r="D7" s="101"/>
      <c r="E7" s="100"/>
      <c r="F7" s="102"/>
      <c r="G7" s="100"/>
      <c r="H7" s="88"/>
      <c r="I7" s="98"/>
      <c r="J7" s="98"/>
    </row>
    <row r="8" spans="1:18" ht="15.75" customHeight="1">
      <c r="A8" s="94"/>
      <c r="B8" s="88"/>
      <c r="C8" s="95"/>
      <c r="D8" s="96"/>
      <c r="E8" s="95"/>
      <c r="F8" s="97"/>
      <c r="G8" s="95"/>
      <c r="H8" s="88"/>
      <c r="I8" s="98"/>
      <c r="J8" s="98"/>
    </row>
    <row r="9" spans="1:18">
      <c r="A9" s="93"/>
      <c r="B9" s="88"/>
      <c r="C9" s="228"/>
      <c r="D9" s="194"/>
      <c r="E9" s="194"/>
      <c r="F9" s="194"/>
      <c r="G9" s="194"/>
      <c r="H9" s="88"/>
      <c r="I9" s="98"/>
      <c r="J9" s="98"/>
    </row>
    <row r="10" spans="1:18" ht="15.75" customHeight="1">
      <c r="A10" s="94"/>
      <c r="B10" s="88"/>
      <c r="C10" s="100"/>
      <c r="D10" s="101"/>
      <c r="E10" s="100"/>
      <c r="F10" s="102"/>
      <c r="G10" s="100"/>
      <c r="H10" s="88"/>
      <c r="I10" s="98"/>
      <c r="J10" s="98"/>
    </row>
    <row r="11" spans="1:18" ht="15.75" customHeight="1">
      <c r="A11" s="99"/>
      <c r="B11" s="88"/>
      <c r="C11" s="95"/>
      <c r="D11" s="96"/>
      <c r="E11" s="95"/>
      <c r="F11" s="97"/>
      <c r="G11" s="95"/>
      <c r="H11" s="88"/>
      <c r="I11" s="98"/>
      <c r="J11" s="98"/>
    </row>
    <row r="12" spans="1:18" ht="15.75" customHeight="1">
      <c r="A12" s="94"/>
      <c r="B12" s="88"/>
      <c r="C12" s="100"/>
      <c r="D12" s="101"/>
      <c r="E12" s="100"/>
      <c r="F12" s="102"/>
      <c r="G12" s="100"/>
      <c r="H12" s="88"/>
      <c r="I12" s="98"/>
      <c r="J12" s="98"/>
    </row>
    <row r="13" spans="1:18">
      <c r="A13" s="93"/>
      <c r="B13" s="88"/>
      <c r="C13" s="228"/>
      <c r="D13" s="194"/>
      <c r="E13" s="194"/>
      <c r="F13" s="194"/>
      <c r="G13" s="194"/>
      <c r="H13" s="88"/>
      <c r="I13" s="98"/>
      <c r="J13" s="98"/>
    </row>
    <row r="14" spans="1:18" ht="15.75" customHeight="1">
      <c r="A14" s="94"/>
      <c r="B14" s="88"/>
      <c r="C14" s="95"/>
      <c r="D14" s="96"/>
      <c r="E14" s="95"/>
      <c r="F14" s="97"/>
      <c r="G14" s="95"/>
      <c r="H14" s="88"/>
      <c r="I14" s="98"/>
      <c r="J14" s="98"/>
    </row>
    <row r="15" spans="1:18" ht="15.75" customHeight="1">
      <c r="A15" s="99"/>
      <c r="B15" s="88"/>
      <c r="C15" s="100"/>
      <c r="D15" s="101"/>
      <c r="E15" s="100"/>
      <c r="F15" s="102"/>
      <c r="G15" s="100"/>
      <c r="H15" s="88"/>
      <c r="I15" s="98"/>
      <c r="J15" s="98"/>
    </row>
    <row r="16" spans="1:18" ht="15.75" customHeight="1">
      <c r="A16" s="94"/>
      <c r="B16" s="88"/>
      <c r="C16" s="95"/>
      <c r="D16" s="96"/>
      <c r="E16" s="95"/>
      <c r="F16" s="97"/>
      <c r="G16" s="95"/>
      <c r="H16" s="88"/>
      <c r="I16" s="98"/>
      <c r="J16" s="98"/>
    </row>
    <row r="17" spans="1:10">
      <c r="A17" s="93"/>
      <c r="B17" s="88"/>
      <c r="C17" s="228"/>
      <c r="D17" s="194"/>
      <c r="E17" s="194"/>
      <c r="F17" s="194"/>
      <c r="G17" s="194"/>
      <c r="H17" s="88"/>
      <c r="I17" s="98"/>
      <c r="J17" s="98"/>
    </row>
    <row r="18" spans="1:10" ht="15.75" customHeight="1">
      <c r="A18" s="94"/>
      <c r="B18" s="88"/>
      <c r="C18" s="100"/>
      <c r="D18" s="101"/>
      <c r="E18" s="100"/>
      <c r="F18" s="102"/>
      <c r="G18" s="100"/>
      <c r="H18" s="88"/>
      <c r="I18" s="98"/>
      <c r="J18" s="98"/>
    </row>
    <row r="19" spans="1:10" ht="15.75" customHeight="1">
      <c r="A19" s="99"/>
      <c r="B19" s="88"/>
      <c r="C19" s="95"/>
      <c r="D19" s="96"/>
      <c r="E19" s="95"/>
      <c r="F19" s="97"/>
      <c r="G19" s="95"/>
      <c r="H19" s="88"/>
      <c r="I19" s="98"/>
      <c r="J19" s="98"/>
    </row>
    <row r="20" spans="1:10" ht="15.75" customHeight="1">
      <c r="A20" s="94"/>
      <c r="B20" s="88"/>
      <c r="C20" s="100"/>
      <c r="D20" s="101"/>
      <c r="E20" s="100"/>
      <c r="F20" s="102"/>
      <c r="G20" s="100"/>
      <c r="H20" s="88"/>
      <c r="I20" s="98"/>
      <c r="J20" s="98"/>
    </row>
    <row r="21" spans="1:10">
      <c r="A21" s="93"/>
      <c r="B21" s="88"/>
      <c r="C21" s="228"/>
      <c r="D21" s="194"/>
      <c r="E21" s="194"/>
      <c r="F21" s="194"/>
      <c r="G21" s="194"/>
      <c r="H21" s="88"/>
      <c r="I21" s="98"/>
      <c r="J21" s="98"/>
    </row>
    <row r="22" spans="1:10" ht="15.75" customHeight="1">
      <c r="A22" s="94"/>
      <c r="B22" s="88"/>
      <c r="C22" s="95"/>
      <c r="D22" s="96"/>
      <c r="E22" s="95"/>
      <c r="F22" s="97"/>
      <c r="G22" s="95"/>
      <c r="H22" s="88"/>
      <c r="I22" s="98"/>
      <c r="J22" s="98"/>
    </row>
    <row r="23" spans="1:10" ht="15.75" customHeight="1">
      <c r="A23" s="99"/>
      <c r="B23" s="88"/>
      <c r="C23" s="100"/>
      <c r="D23" s="101"/>
      <c r="E23" s="100"/>
      <c r="F23" s="102"/>
      <c r="G23" s="100"/>
      <c r="H23" s="88"/>
      <c r="I23" s="98"/>
      <c r="J23" s="98"/>
    </row>
    <row r="24" spans="1:10" ht="15.75" customHeight="1">
      <c r="A24" s="94"/>
      <c r="B24" s="88"/>
      <c r="C24" s="95"/>
      <c r="D24" s="96"/>
      <c r="E24" s="95"/>
      <c r="F24" s="97"/>
      <c r="G24" s="95"/>
      <c r="H24" s="88"/>
      <c r="I24" s="98"/>
      <c r="J24" s="98"/>
    </row>
    <row r="25" spans="1:10">
      <c r="A25" s="93"/>
      <c r="B25" s="88"/>
      <c r="C25" s="228"/>
      <c r="D25" s="194"/>
      <c r="E25" s="194"/>
      <c r="F25" s="194"/>
      <c r="G25" s="194"/>
      <c r="H25" s="88"/>
      <c r="I25" s="98"/>
      <c r="J25" s="98"/>
    </row>
    <row r="26" spans="1:10" ht="15.75" customHeight="1">
      <c r="A26" s="94"/>
      <c r="B26" s="88"/>
      <c r="C26" s="100"/>
      <c r="D26" s="101"/>
      <c r="E26" s="100"/>
      <c r="F26" s="102"/>
      <c r="G26" s="100"/>
      <c r="H26" s="88"/>
      <c r="I26" s="98"/>
      <c r="J26" s="98"/>
    </row>
    <row r="27" spans="1:10" ht="15.75" customHeight="1">
      <c r="A27" s="99"/>
      <c r="B27" s="88"/>
      <c r="C27" s="95"/>
      <c r="D27" s="96"/>
      <c r="E27" s="95"/>
      <c r="F27" s="97"/>
      <c r="G27" s="95"/>
      <c r="H27" s="88"/>
      <c r="I27" s="98"/>
      <c r="J27" s="98"/>
    </row>
    <row r="28" spans="1:10" ht="15.75" customHeight="1">
      <c r="A28" s="94"/>
      <c r="B28" s="88"/>
      <c r="C28" s="100"/>
      <c r="D28" s="101"/>
      <c r="E28" s="100"/>
      <c r="F28" s="102"/>
      <c r="G28" s="100"/>
      <c r="H28" s="88"/>
      <c r="I28" s="98"/>
      <c r="J28" s="98"/>
    </row>
    <row r="29" spans="1:10">
      <c r="A29" s="93"/>
      <c r="B29" s="88"/>
      <c r="C29" s="228"/>
      <c r="D29" s="194"/>
      <c r="E29" s="194"/>
      <c r="F29" s="194"/>
      <c r="G29" s="194"/>
      <c r="H29" s="88"/>
      <c r="I29" s="98"/>
      <c r="J29" s="98"/>
    </row>
    <row r="30" spans="1:10" ht="13.2">
      <c r="A30" s="94"/>
      <c r="B30" s="88"/>
      <c r="C30" s="95"/>
      <c r="D30" s="96"/>
      <c r="E30" s="95"/>
      <c r="F30" s="97"/>
      <c r="G30" s="95"/>
      <c r="H30" s="88"/>
      <c r="I30" s="98"/>
      <c r="J30" s="98"/>
    </row>
    <row r="31" spans="1:10" ht="16.2">
      <c r="A31" s="99"/>
      <c r="B31" s="88"/>
      <c r="C31" s="100"/>
      <c r="D31" s="101"/>
      <c r="E31" s="100"/>
      <c r="F31" s="102"/>
      <c r="G31" s="100"/>
      <c r="H31" s="88"/>
      <c r="I31" s="98"/>
      <c r="J31" s="98"/>
    </row>
    <row r="32" spans="1:10" ht="13.2">
      <c r="A32" s="94"/>
      <c r="B32" s="88"/>
      <c r="C32" s="95"/>
      <c r="D32" s="96"/>
      <c r="E32" s="95"/>
      <c r="F32" s="97"/>
      <c r="G32" s="95"/>
      <c r="H32" s="88"/>
      <c r="I32" s="98"/>
      <c r="J32" s="98"/>
    </row>
    <row r="33" spans="1:10" ht="16.8">
      <c r="A33" s="93"/>
      <c r="B33" s="88"/>
      <c r="C33" s="228"/>
      <c r="D33" s="194"/>
      <c r="E33" s="194"/>
      <c r="F33" s="194"/>
      <c r="G33" s="194"/>
      <c r="H33" s="88"/>
      <c r="I33" s="98"/>
      <c r="J33" s="98"/>
    </row>
    <row r="34" spans="1:10" ht="13.2">
      <c r="A34" s="94"/>
      <c r="B34" s="88"/>
      <c r="C34" s="100"/>
      <c r="D34" s="101"/>
      <c r="E34" s="100"/>
      <c r="F34" s="102"/>
      <c r="G34" s="100"/>
      <c r="H34" s="88"/>
      <c r="I34" s="98"/>
      <c r="J34" s="98"/>
    </row>
    <row r="35" spans="1:10" ht="16.2">
      <c r="A35" s="99"/>
      <c r="B35" s="88"/>
      <c r="C35" s="95"/>
      <c r="D35" s="96"/>
      <c r="E35" s="95"/>
      <c r="F35" s="97"/>
      <c r="G35" s="95"/>
      <c r="H35" s="88"/>
      <c r="I35" s="98"/>
      <c r="J35" s="98"/>
    </row>
    <row r="36" spans="1:10" ht="13.2">
      <c r="A36" s="94"/>
      <c r="B36" s="88"/>
      <c r="C36" s="100"/>
      <c r="D36" s="101"/>
      <c r="E36" s="100"/>
      <c r="F36" s="102"/>
      <c r="G36" s="100"/>
      <c r="H36" s="88"/>
      <c r="I36" s="98"/>
      <c r="J36" s="98"/>
    </row>
    <row r="37" spans="1:10" ht="13.2">
      <c r="B37" s="88"/>
      <c r="H37" s="88"/>
    </row>
    <row r="38" spans="1:10" ht="13.2">
      <c r="B38" s="88"/>
      <c r="H38" s="88"/>
    </row>
    <row r="39" spans="1:10" ht="13.2">
      <c r="B39" s="88"/>
      <c r="H39" s="88"/>
    </row>
    <row r="40" spans="1:10" ht="13.2">
      <c r="B40" s="88"/>
      <c r="H40" s="88"/>
    </row>
    <row r="41" spans="1:10" ht="13.2">
      <c r="B41" s="88"/>
      <c r="H41" s="88"/>
    </row>
    <row r="42" spans="1:10" ht="13.2">
      <c r="B42" s="88"/>
      <c r="H42" s="88"/>
    </row>
    <row r="43" spans="1:10" ht="13.2">
      <c r="B43" s="88"/>
      <c r="H43" s="88"/>
    </row>
    <row r="44" spans="1:10" ht="13.2">
      <c r="B44" s="88"/>
      <c r="H44" s="88"/>
    </row>
    <row r="45" spans="1:10" ht="13.2">
      <c r="B45" s="88"/>
      <c r="H45" s="88"/>
    </row>
    <row r="46" spans="1:10" ht="13.2">
      <c r="B46" s="88"/>
      <c r="H46" s="88"/>
    </row>
    <row r="47" spans="1:10" ht="13.2">
      <c r="B47" s="88"/>
      <c r="H47" s="88"/>
    </row>
    <row r="48" spans="1:10" ht="13.2">
      <c r="B48" s="88"/>
      <c r="H48" s="88"/>
    </row>
    <row r="49" spans="2:8" ht="13.2">
      <c r="B49" s="88"/>
      <c r="H49" s="88"/>
    </row>
    <row r="50" spans="2:8" ht="13.2">
      <c r="B50" s="88"/>
      <c r="H50" s="88"/>
    </row>
    <row r="51" spans="2:8" ht="13.2">
      <c r="B51" s="88"/>
      <c r="H51" s="88"/>
    </row>
    <row r="52" spans="2:8" ht="13.2">
      <c r="B52" s="88"/>
      <c r="H52" s="88"/>
    </row>
    <row r="53" spans="2:8" ht="13.2">
      <c r="B53" s="88"/>
      <c r="H53" s="88"/>
    </row>
    <row r="54" spans="2:8" ht="13.2">
      <c r="B54" s="88"/>
      <c r="H54" s="88"/>
    </row>
    <row r="55" spans="2:8" ht="13.2">
      <c r="B55" s="88"/>
      <c r="H55" s="88"/>
    </row>
    <row r="56" spans="2:8" ht="13.2">
      <c r="B56" s="88"/>
      <c r="H56" s="88"/>
    </row>
    <row r="57" spans="2:8" ht="13.2">
      <c r="B57" s="88"/>
      <c r="H57" s="88"/>
    </row>
    <row r="58" spans="2:8" ht="13.2">
      <c r="B58" s="88"/>
      <c r="H58" s="88"/>
    </row>
    <row r="59" spans="2:8" ht="13.2">
      <c r="B59" s="88"/>
      <c r="H59" s="88"/>
    </row>
    <row r="60" spans="2:8" ht="13.2">
      <c r="B60" s="88"/>
      <c r="H60" s="88"/>
    </row>
    <row r="61" spans="2:8" ht="13.2">
      <c r="B61" s="88"/>
      <c r="H61" s="88"/>
    </row>
    <row r="62" spans="2:8" ht="13.2">
      <c r="B62" s="88"/>
      <c r="H62" s="88"/>
    </row>
    <row r="63" spans="2:8" ht="13.2">
      <c r="B63" s="88"/>
      <c r="H63" s="88"/>
    </row>
    <row r="64" spans="2:8" ht="13.2">
      <c r="B64" s="88"/>
      <c r="H64" s="88"/>
    </row>
    <row r="65" spans="2:8" ht="13.2">
      <c r="B65" s="88"/>
      <c r="H65" s="88"/>
    </row>
    <row r="66" spans="2:8" ht="13.2">
      <c r="B66" s="88"/>
      <c r="H66" s="88"/>
    </row>
    <row r="67" spans="2:8" ht="13.2">
      <c r="B67" s="88"/>
      <c r="H67" s="88"/>
    </row>
    <row r="68" spans="2:8" ht="13.2">
      <c r="B68" s="88"/>
      <c r="H68" s="88"/>
    </row>
    <row r="69" spans="2:8" ht="13.2">
      <c r="B69" s="88"/>
      <c r="H69" s="88"/>
    </row>
    <row r="70" spans="2:8" ht="13.2">
      <c r="B70" s="88"/>
      <c r="H70" s="88"/>
    </row>
    <row r="71" spans="2:8" ht="13.2">
      <c r="B71" s="88"/>
      <c r="H71" s="88"/>
    </row>
    <row r="72" spans="2:8" ht="13.2">
      <c r="B72" s="88"/>
      <c r="H72" s="88"/>
    </row>
    <row r="73" spans="2:8" ht="13.2">
      <c r="B73" s="88"/>
      <c r="H73" s="88"/>
    </row>
    <row r="74" spans="2:8" ht="13.2">
      <c r="B74" s="88"/>
      <c r="H74" s="88"/>
    </row>
    <row r="75" spans="2:8" ht="13.2">
      <c r="B75" s="88"/>
      <c r="H75" s="88"/>
    </row>
    <row r="76" spans="2:8" ht="13.2">
      <c r="B76" s="88"/>
      <c r="H76" s="88"/>
    </row>
    <row r="77" spans="2:8" ht="13.2">
      <c r="B77" s="88"/>
      <c r="H77" s="88"/>
    </row>
    <row r="78" spans="2:8" ht="13.2">
      <c r="B78" s="88"/>
      <c r="H78" s="88"/>
    </row>
    <row r="79" spans="2:8" ht="13.2">
      <c r="B79" s="88"/>
      <c r="H79" s="88"/>
    </row>
    <row r="80" spans="2:8" ht="13.2">
      <c r="B80" s="88"/>
      <c r="H80" s="88"/>
    </row>
    <row r="81" spans="2:8" ht="13.2">
      <c r="B81" s="88"/>
      <c r="H81" s="88"/>
    </row>
    <row r="82" spans="2:8" ht="13.2">
      <c r="B82" s="88"/>
      <c r="H82" s="88"/>
    </row>
    <row r="83" spans="2:8" ht="13.2">
      <c r="B83" s="88"/>
      <c r="H83" s="88"/>
    </row>
    <row r="84" spans="2:8" ht="13.2">
      <c r="B84" s="88"/>
      <c r="H84" s="88"/>
    </row>
    <row r="85" spans="2:8" ht="13.2">
      <c r="B85" s="88"/>
      <c r="H85" s="88"/>
    </row>
    <row r="86" spans="2:8" ht="13.2">
      <c r="B86" s="88"/>
      <c r="H86" s="88"/>
    </row>
    <row r="87" spans="2:8" ht="13.2">
      <c r="B87" s="88"/>
      <c r="H87" s="88"/>
    </row>
    <row r="88" spans="2:8" ht="13.2">
      <c r="B88" s="88"/>
      <c r="H88" s="88"/>
    </row>
    <row r="89" spans="2:8" ht="13.2">
      <c r="B89" s="88"/>
      <c r="H89" s="88"/>
    </row>
    <row r="90" spans="2:8" ht="13.2">
      <c r="B90" s="88"/>
      <c r="H90" s="88"/>
    </row>
    <row r="91" spans="2:8" ht="13.2">
      <c r="B91" s="88"/>
      <c r="H91" s="88"/>
    </row>
    <row r="92" spans="2:8" ht="13.2">
      <c r="B92" s="88"/>
      <c r="H92" s="88"/>
    </row>
    <row r="93" spans="2:8" ht="13.2">
      <c r="B93" s="88"/>
      <c r="H93" s="88"/>
    </row>
    <row r="94" spans="2:8" ht="13.2">
      <c r="B94" s="88"/>
      <c r="H94" s="88"/>
    </row>
    <row r="95" spans="2:8" ht="13.2">
      <c r="B95" s="88"/>
      <c r="H95" s="88"/>
    </row>
    <row r="96" spans="2:8" ht="13.2">
      <c r="B96" s="88"/>
      <c r="H96" s="88"/>
    </row>
    <row r="97" spans="2:8" ht="13.2">
      <c r="B97" s="88"/>
      <c r="H97" s="88"/>
    </row>
    <row r="98" spans="2:8" ht="13.2">
      <c r="B98" s="88"/>
      <c r="H98" s="88"/>
    </row>
    <row r="99" spans="2:8" ht="13.2">
      <c r="B99" s="88"/>
      <c r="H99" s="88"/>
    </row>
    <row r="100" spans="2:8" ht="13.2">
      <c r="B100" s="88"/>
      <c r="H100" s="88"/>
    </row>
    <row r="101" spans="2:8" ht="13.2">
      <c r="B101" s="88"/>
      <c r="H101" s="88"/>
    </row>
    <row r="102" spans="2:8" ht="13.2">
      <c r="B102" s="88"/>
      <c r="H102" s="88"/>
    </row>
    <row r="103" spans="2:8" ht="13.2">
      <c r="B103" s="88"/>
      <c r="H103" s="88"/>
    </row>
    <row r="104" spans="2:8" ht="13.2">
      <c r="B104" s="88"/>
      <c r="H104" s="88"/>
    </row>
    <row r="105" spans="2:8" ht="13.2">
      <c r="B105" s="88"/>
      <c r="H105" s="88"/>
    </row>
    <row r="106" spans="2:8" ht="13.2">
      <c r="B106" s="88"/>
      <c r="H106" s="88"/>
    </row>
    <row r="107" spans="2:8" ht="13.2">
      <c r="B107" s="88"/>
      <c r="H107" s="88"/>
    </row>
    <row r="108" spans="2:8" ht="13.2">
      <c r="B108" s="88"/>
      <c r="H108" s="88"/>
    </row>
    <row r="109" spans="2:8" ht="13.2">
      <c r="B109" s="88"/>
      <c r="H109" s="88"/>
    </row>
    <row r="110" spans="2:8" ht="13.2">
      <c r="B110" s="88"/>
      <c r="H110" s="88"/>
    </row>
    <row r="111" spans="2:8" ht="13.2">
      <c r="B111" s="88"/>
      <c r="H111" s="88"/>
    </row>
    <row r="112" spans="2:8" ht="13.2">
      <c r="B112" s="88"/>
      <c r="H112" s="88"/>
    </row>
    <row r="113" spans="2:8" ht="13.2">
      <c r="B113" s="88"/>
      <c r="H113" s="88"/>
    </row>
    <row r="114" spans="2:8" ht="13.2">
      <c r="B114" s="88"/>
      <c r="H114" s="88"/>
    </row>
    <row r="115" spans="2:8" ht="13.2">
      <c r="B115" s="88"/>
      <c r="H115" s="88"/>
    </row>
    <row r="116" spans="2:8" ht="13.2">
      <c r="B116" s="88"/>
      <c r="H116" s="88"/>
    </row>
    <row r="117" spans="2:8" ht="13.2">
      <c r="B117" s="88"/>
      <c r="H117" s="88"/>
    </row>
    <row r="118" spans="2:8" ht="13.2">
      <c r="B118" s="88"/>
      <c r="H118" s="88"/>
    </row>
    <row r="119" spans="2:8" ht="13.2">
      <c r="B119" s="88"/>
      <c r="H119" s="88"/>
    </row>
    <row r="120" spans="2:8" ht="13.2">
      <c r="B120" s="88"/>
      <c r="H120" s="88"/>
    </row>
    <row r="121" spans="2:8" ht="13.2">
      <c r="B121" s="88"/>
      <c r="H121" s="88"/>
    </row>
    <row r="122" spans="2:8" ht="13.2">
      <c r="B122" s="88"/>
      <c r="H122" s="88"/>
    </row>
    <row r="123" spans="2:8" ht="13.2">
      <c r="B123" s="88"/>
      <c r="H123" s="88"/>
    </row>
    <row r="124" spans="2:8" ht="13.2">
      <c r="B124" s="88"/>
      <c r="H124" s="88"/>
    </row>
    <row r="125" spans="2:8" ht="13.2">
      <c r="B125" s="88"/>
      <c r="H125" s="88"/>
    </row>
    <row r="126" spans="2:8" ht="13.2">
      <c r="B126" s="88"/>
      <c r="H126" s="88"/>
    </row>
    <row r="127" spans="2:8" ht="13.2">
      <c r="B127" s="88"/>
      <c r="H127" s="88"/>
    </row>
    <row r="128" spans="2:8" ht="13.2">
      <c r="B128" s="88"/>
      <c r="H128" s="88"/>
    </row>
    <row r="129" spans="2:8" ht="13.2">
      <c r="B129" s="88"/>
      <c r="H129" s="88"/>
    </row>
    <row r="130" spans="2:8" ht="13.2">
      <c r="B130" s="88"/>
      <c r="H130" s="88"/>
    </row>
    <row r="131" spans="2:8" ht="13.2">
      <c r="B131" s="88"/>
      <c r="H131" s="88"/>
    </row>
    <row r="132" spans="2:8" ht="13.2">
      <c r="B132" s="88"/>
      <c r="H132" s="88"/>
    </row>
    <row r="133" spans="2:8" ht="13.2">
      <c r="B133" s="88"/>
      <c r="H133" s="88"/>
    </row>
    <row r="134" spans="2:8" ht="13.2">
      <c r="B134" s="88"/>
      <c r="H134" s="88"/>
    </row>
    <row r="135" spans="2:8" ht="13.2">
      <c r="B135" s="88"/>
      <c r="H135" s="88"/>
    </row>
    <row r="136" spans="2:8" ht="13.2">
      <c r="B136" s="88"/>
      <c r="H136" s="88"/>
    </row>
    <row r="137" spans="2:8" ht="13.2">
      <c r="B137" s="88"/>
      <c r="H137" s="88"/>
    </row>
    <row r="138" spans="2:8" ht="13.2">
      <c r="B138" s="88"/>
      <c r="H138" s="88"/>
    </row>
    <row r="139" spans="2:8" ht="13.2">
      <c r="B139" s="88"/>
      <c r="H139" s="88"/>
    </row>
    <row r="140" spans="2:8" ht="13.2">
      <c r="B140" s="88"/>
      <c r="H140" s="88"/>
    </row>
    <row r="141" spans="2:8" ht="13.2">
      <c r="B141" s="88"/>
      <c r="H141" s="88"/>
    </row>
    <row r="142" spans="2:8" ht="13.2">
      <c r="B142" s="88"/>
      <c r="H142" s="88"/>
    </row>
    <row r="143" spans="2:8" ht="13.2">
      <c r="B143" s="88"/>
      <c r="H143" s="88"/>
    </row>
    <row r="144" spans="2:8" ht="13.2">
      <c r="B144" s="88"/>
      <c r="H144" s="88"/>
    </row>
    <row r="145" spans="2:8" ht="13.2">
      <c r="B145" s="88"/>
      <c r="H145" s="88"/>
    </row>
    <row r="146" spans="2:8" ht="13.2">
      <c r="B146" s="88"/>
      <c r="H146" s="88"/>
    </row>
    <row r="147" spans="2:8" ht="13.2">
      <c r="B147" s="88"/>
      <c r="H147" s="88"/>
    </row>
    <row r="148" spans="2:8" ht="13.2">
      <c r="B148" s="88"/>
      <c r="H148" s="88"/>
    </row>
    <row r="149" spans="2:8" ht="13.2">
      <c r="B149" s="88"/>
      <c r="H149" s="88"/>
    </row>
    <row r="150" spans="2:8" ht="13.2">
      <c r="B150" s="88"/>
      <c r="H150" s="88"/>
    </row>
    <row r="151" spans="2:8" ht="13.2">
      <c r="B151" s="88"/>
      <c r="H151" s="88"/>
    </row>
    <row r="152" spans="2:8" ht="13.2">
      <c r="B152" s="88"/>
      <c r="H152" s="88"/>
    </row>
    <row r="153" spans="2:8" ht="13.2">
      <c r="B153" s="88"/>
      <c r="H153" s="88"/>
    </row>
    <row r="154" spans="2:8" ht="13.2">
      <c r="B154" s="88"/>
      <c r="H154" s="88"/>
    </row>
    <row r="155" spans="2:8" ht="13.2">
      <c r="B155" s="88"/>
      <c r="H155" s="88"/>
    </row>
    <row r="156" spans="2:8" ht="13.2">
      <c r="B156" s="88"/>
      <c r="H156" s="88"/>
    </row>
    <row r="157" spans="2:8" ht="13.2">
      <c r="B157" s="88"/>
      <c r="H157" s="88"/>
    </row>
    <row r="158" spans="2:8" ht="13.2">
      <c r="B158" s="88"/>
      <c r="H158" s="88"/>
    </row>
    <row r="159" spans="2:8" ht="13.2">
      <c r="B159" s="88"/>
      <c r="H159" s="88"/>
    </row>
    <row r="160" spans="2:8" ht="13.2">
      <c r="B160" s="88"/>
      <c r="H160" s="88"/>
    </row>
    <row r="161" spans="2:8" ht="13.2">
      <c r="B161" s="88"/>
      <c r="H161" s="88"/>
    </row>
    <row r="162" spans="2:8" ht="13.2">
      <c r="B162" s="88"/>
      <c r="H162" s="88"/>
    </row>
    <row r="163" spans="2:8" ht="13.2">
      <c r="B163" s="88"/>
      <c r="H163" s="88"/>
    </row>
    <row r="164" spans="2:8" ht="13.2">
      <c r="B164" s="88"/>
      <c r="H164" s="88"/>
    </row>
    <row r="165" spans="2:8" ht="13.2">
      <c r="B165" s="88"/>
      <c r="H165" s="88"/>
    </row>
    <row r="166" spans="2:8" ht="13.2">
      <c r="B166" s="88"/>
      <c r="H166" s="88"/>
    </row>
    <row r="167" spans="2:8" ht="13.2">
      <c r="B167" s="88"/>
      <c r="H167" s="88"/>
    </row>
    <row r="168" spans="2:8" ht="13.2">
      <c r="B168" s="88"/>
      <c r="H168" s="88"/>
    </row>
    <row r="169" spans="2:8" ht="13.2">
      <c r="B169" s="88"/>
      <c r="H169" s="88"/>
    </row>
    <row r="170" spans="2:8" ht="13.2">
      <c r="B170" s="88"/>
      <c r="H170" s="88"/>
    </row>
    <row r="171" spans="2:8" ht="13.2">
      <c r="B171" s="88"/>
      <c r="H171" s="88"/>
    </row>
    <row r="172" spans="2:8" ht="13.2">
      <c r="B172" s="88"/>
      <c r="H172" s="88"/>
    </row>
    <row r="173" spans="2:8" ht="13.2">
      <c r="B173" s="88"/>
      <c r="H173" s="88"/>
    </row>
    <row r="174" spans="2:8" ht="13.2">
      <c r="B174" s="88"/>
      <c r="H174" s="88"/>
    </row>
    <row r="175" spans="2:8" ht="13.2">
      <c r="B175" s="88"/>
      <c r="H175" s="88"/>
    </row>
    <row r="176" spans="2:8" ht="13.2">
      <c r="B176" s="88"/>
      <c r="H176" s="88"/>
    </row>
    <row r="177" spans="2:8" ht="13.2">
      <c r="B177" s="88"/>
      <c r="H177" s="88"/>
    </row>
    <row r="178" spans="2:8" ht="13.2">
      <c r="B178" s="88"/>
      <c r="H178" s="88"/>
    </row>
    <row r="179" spans="2:8" ht="13.2">
      <c r="B179" s="88"/>
      <c r="H179" s="88"/>
    </row>
    <row r="180" spans="2:8" ht="13.2">
      <c r="B180" s="88"/>
      <c r="H180" s="88"/>
    </row>
    <row r="181" spans="2:8" ht="13.2">
      <c r="B181" s="88"/>
      <c r="H181" s="88"/>
    </row>
    <row r="182" spans="2:8" ht="13.2">
      <c r="B182" s="88"/>
      <c r="H182" s="88"/>
    </row>
    <row r="183" spans="2:8" ht="13.2">
      <c r="B183" s="88"/>
      <c r="H183" s="88"/>
    </row>
    <row r="184" spans="2:8" ht="13.2">
      <c r="B184" s="88"/>
      <c r="H184" s="88"/>
    </row>
    <row r="185" spans="2:8" ht="13.2">
      <c r="B185" s="88"/>
      <c r="H185" s="88"/>
    </row>
    <row r="186" spans="2:8" ht="13.2">
      <c r="B186" s="88"/>
      <c r="H186" s="88"/>
    </row>
    <row r="187" spans="2:8" ht="13.2">
      <c r="B187" s="88"/>
      <c r="H187" s="88"/>
    </row>
    <row r="188" spans="2:8" ht="13.2">
      <c r="B188" s="88"/>
      <c r="H188" s="88"/>
    </row>
    <row r="189" spans="2:8" ht="13.2">
      <c r="B189" s="88"/>
      <c r="H189" s="88"/>
    </row>
    <row r="190" spans="2:8" ht="13.2">
      <c r="B190" s="88"/>
      <c r="H190" s="88"/>
    </row>
    <row r="191" spans="2:8" ht="13.2">
      <c r="B191" s="88"/>
      <c r="H191" s="88"/>
    </row>
    <row r="192" spans="2:8" ht="13.2">
      <c r="B192" s="88"/>
      <c r="H192" s="88"/>
    </row>
    <row r="193" spans="2:8" ht="13.2">
      <c r="B193" s="88"/>
      <c r="H193" s="88"/>
    </row>
    <row r="194" spans="2:8" ht="13.2">
      <c r="B194" s="88"/>
      <c r="H194" s="88"/>
    </row>
    <row r="195" spans="2:8" ht="13.2">
      <c r="B195" s="88"/>
      <c r="H195" s="88"/>
    </row>
    <row r="196" spans="2:8" ht="13.2">
      <c r="B196" s="88"/>
      <c r="H196" s="88"/>
    </row>
    <row r="197" spans="2:8" ht="13.2">
      <c r="B197" s="88"/>
      <c r="H197" s="88"/>
    </row>
    <row r="198" spans="2:8" ht="13.2">
      <c r="B198" s="88"/>
      <c r="H198" s="88"/>
    </row>
    <row r="199" spans="2:8" ht="13.2">
      <c r="B199" s="88"/>
      <c r="H199" s="88"/>
    </row>
    <row r="200" spans="2:8" ht="13.2">
      <c r="B200" s="88"/>
      <c r="H200" s="88"/>
    </row>
    <row r="201" spans="2:8" ht="13.2">
      <c r="B201" s="88"/>
      <c r="H201" s="88"/>
    </row>
    <row r="202" spans="2:8" ht="13.2">
      <c r="B202" s="88"/>
      <c r="H202" s="88"/>
    </row>
    <row r="203" spans="2:8" ht="13.2">
      <c r="B203" s="88"/>
      <c r="H203" s="88"/>
    </row>
    <row r="204" spans="2:8" ht="13.2">
      <c r="B204" s="88"/>
      <c r="H204" s="88"/>
    </row>
    <row r="205" spans="2:8" ht="13.2">
      <c r="B205" s="88"/>
      <c r="H205" s="88"/>
    </row>
    <row r="206" spans="2:8" ht="13.2">
      <c r="B206" s="88"/>
      <c r="H206" s="88"/>
    </row>
    <row r="207" spans="2:8" ht="13.2">
      <c r="B207" s="88"/>
      <c r="H207" s="88"/>
    </row>
    <row r="208" spans="2:8" ht="13.2">
      <c r="B208" s="88"/>
      <c r="H208" s="88"/>
    </row>
    <row r="209" spans="2:8" ht="13.2">
      <c r="B209" s="88"/>
      <c r="H209" s="88"/>
    </row>
    <row r="210" spans="2:8" ht="13.2">
      <c r="B210" s="88"/>
      <c r="H210" s="88"/>
    </row>
    <row r="211" spans="2:8" ht="13.2">
      <c r="B211" s="88"/>
      <c r="H211" s="88"/>
    </row>
    <row r="212" spans="2:8" ht="13.2">
      <c r="B212" s="88"/>
      <c r="H212" s="88"/>
    </row>
    <row r="213" spans="2:8" ht="13.2">
      <c r="B213" s="88"/>
      <c r="H213" s="88"/>
    </row>
    <row r="214" spans="2:8" ht="13.2">
      <c r="B214" s="88"/>
      <c r="H214" s="88"/>
    </row>
    <row r="215" spans="2:8" ht="13.2">
      <c r="B215" s="88"/>
      <c r="H215" s="88"/>
    </row>
    <row r="216" spans="2:8" ht="13.2">
      <c r="B216" s="88"/>
      <c r="H216" s="88"/>
    </row>
    <row r="217" spans="2:8" ht="13.2">
      <c r="B217" s="88"/>
      <c r="H217" s="88"/>
    </row>
    <row r="218" spans="2:8" ht="13.2">
      <c r="B218" s="88"/>
      <c r="H218" s="88"/>
    </row>
    <row r="219" spans="2:8" ht="13.2">
      <c r="B219" s="88"/>
      <c r="H219" s="88"/>
    </row>
    <row r="220" spans="2:8" ht="13.2">
      <c r="B220" s="88"/>
      <c r="H220" s="88"/>
    </row>
    <row r="221" spans="2:8" ht="13.2">
      <c r="B221" s="88"/>
      <c r="H221" s="88"/>
    </row>
    <row r="222" spans="2:8" ht="13.2">
      <c r="B222" s="88"/>
      <c r="H222" s="88"/>
    </row>
    <row r="223" spans="2:8" ht="13.2">
      <c r="B223" s="88"/>
      <c r="H223" s="88"/>
    </row>
    <row r="224" spans="2:8" ht="13.2">
      <c r="B224" s="88"/>
      <c r="H224" s="88"/>
    </row>
    <row r="225" spans="2:8" ht="13.2">
      <c r="B225" s="88"/>
      <c r="H225" s="88"/>
    </row>
    <row r="226" spans="2:8" ht="13.2">
      <c r="B226" s="88"/>
      <c r="H226" s="88"/>
    </row>
    <row r="227" spans="2:8" ht="13.2">
      <c r="B227" s="88"/>
      <c r="H227" s="88"/>
    </row>
    <row r="228" spans="2:8" ht="13.2">
      <c r="B228" s="88"/>
      <c r="H228" s="88"/>
    </row>
    <row r="229" spans="2:8" ht="13.2">
      <c r="B229" s="88"/>
      <c r="H229" s="88"/>
    </row>
    <row r="230" spans="2:8" ht="13.2">
      <c r="B230" s="88"/>
      <c r="H230" s="88"/>
    </row>
    <row r="231" spans="2:8" ht="13.2">
      <c r="B231" s="88"/>
      <c r="H231" s="88"/>
    </row>
    <row r="232" spans="2:8" ht="13.2">
      <c r="B232" s="88"/>
      <c r="H232" s="88"/>
    </row>
    <row r="233" spans="2:8" ht="13.2">
      <c r="B233" s="88"/>
      <c r="H233" s="88"/>
    </row>
    <row r="234" spans="2:8" ht="13.2">
      <c r="B234" s="88"/>
      <c r="H234" s="88"/>
    </row>
    <row r="235" spans="2:8" ht="13.2">
      <c r="B235" s="88"/>
      <c r="H235" s="88"/>
    </row>
    <row r="236" spans="2:8" ht="13.2">
      <c r="B236" s="88"/>
      <c r="H236" s="88"/>
    </row>
    <row r="237" spans="2:8" ht="13.2">
      <c r="B237" s="88"/>
      <c r="H237" s="88"/>
    </row>
    <row r="238" spans="2:8" ht="13.2">
      <c r="B238" s="88"/>
      <c r="H238" s="88"/>
    </row>
    <row r="239" spans="2:8" ht="13.2">
      <c r="B239" s="88"/>
      <c r="H239" s="88"/>
    </row>
    <row r="240" spans="2:8" ht="13.2">
      <c r="B240" s="88"/>
      <c r="H240" s="88"/>
    </row>
    <row r="241" spans="2:8" ht="13.2">
      <c r="B241" s="88"/>
      <c r="H241" s="88"/>
    </row>
    <row r="242" spans="2:8" ht="13.2">
      <c r="B242" s="88"/>
      <c r="H242" s="88"/>
    </row>
    <row r="243" spans="2:8" ht="13.2">
      <c r="B243" s="88"/>
      <c r="H243" s="88"/>
    </row>
    <row r="244" spans="2:8" ht="13.2">
      <c r="B244" s="88"/>
      <c r="H244" s="88"/>
    </row>
    <row r="245" spans="2:8" ht="13.2">
      <c r="B245" s="88"/>
      <c r="H245" s="88"/>
    </row>
    <row r="246" spans="2:8" ht="13.2">
      <c r="B246" s="88"/>
      <c r="H246" s="88"/>
    </row>
    <row r="247" spans="2:8" ht="13.2">
      <c r="B247" s="88"/>
      <c r="H247" s="88"/>
    </row>
    <row r="248" spans="2:8" ht="13.2">
      <c r="B248" s="88"/>
      <c r="H248" s="88"/>
    </row>
    <row r="249" spans="2:8" ht="13.2">
      <c r="B249" s="88"/>
      <c r="H249" s="88"/>
    </row>
    <row r="250" spans="2:8" ht="13.2">
      <c r="B250" s="88"/>
      <c r="H250" s="88"/>
    </row>
    <row r="251" spans="2:8" ht="13.2">
      <c r="B251" s="88"/>
      <c r="H251" s="88"/>
    </row>
    <row r="252" spans="2:8" ht="13.2">
      <c r="B252" s="88"/>
      <c r="H252" s="88"/>
    </row>
    <row r="253" spans="2:8" ht="13.2">
      <c r="B253" s="88"/>
      <c r="H253" s="88"/>
    </row>
    <row r="254" spans="2:8" ht="13.2">
      <c r="B254" s="88"/>
      <c r="H254" s="88"/>
    </row>
    <row r="255" spans="2:8" ht="13.2">
      <c r="B255" s="88"/>
      <c r="H255" s="88"/>
    </row>
    <row r="256" spans="2:8" ht="13.2">
      <c r="B256" s="88"/>
      <c r="H256" s="88"/>
    </row>
    <row r="257" spans="2:8" ht="13.2">
      <c r="B257" s="88"/>
      <c r="H257" s="88"/>
    </row>
    <row r="258" spans="2:8" ht="13.2">
      <c r="B258" s="88"/>
      <c r="H258" s="88"/>
    </row>
    <row r="259" spans="2:8" ht="13.2">
      <c r="B259" s="88"/>
      <c r="H259" s="88"/>
    </row>
    <row r="260" spans="2:8" ht="13.2">
      <c r="B260" s="88"/>
      <c r="H260" s="88"/>
    </row>
    <row r="261" spans="2:8" ht="13.2">
      <c r="B261" s="88"/>
      <c r="H261" s="88"/>
    </row>
    <row r="262" spans="2:8" ht="13.2">
      <c r="B262" s="88"/>
      <c r="H262" s="88"/>
    </row>
    <row r="263" spans="2:8" ht="13.2">
      <c r="B263" s="88"/>
      <c r="H263" s="88"/>
    </row>
    <row r="264" spans="2:8" ht="13.2">
      <c r="B264" s="88"/>
      <c r="H264" s="88"/>
    </row>
    <row r="265" spans="2:8" ht="13.2">
      <c r="B265" s="88"/>
      <c r="H265" s="88"/>
    </row>
    <row r="266" spans="2:8" ht="13.2">
      <c r="B266" s="88"/>
      <c r="H266" s="88"/>
    </row>
    <row r="267" spans="2:8" ht="13.2">
      <c r="B267" s="88"/>
      <c r="H267" s="88"/>
    </row>
    <row r="268" spans="2:8" ht="13.2">
      <c r="B268" s="88"/>
      <c r="H268" s="88"/>
    </row>
    <row r="269" spans="2:8" ht="13.2">
      <c r="B269" s="88"/>
      <c r="H269" s="88"/>
    </row>
    <row r="270" spans="2:8" ht="13.2">
      <c r="B270" s="88"/>
      <c r="H270" s="88"/>
    </row>
    <row r="271" spans="2:8" ht="13.2">
      <c r="B271" s="88"/>
      <c r="H271" s="88"/>
    </row>
    <row r="272" spans="2:8" ht="13.2">
      <c r="B272" s="88"/>
      <c r="H272" s="88"/>
    </row>
    <row r="273" spans="2:8" ht="13.2">
      <c r="B273" s="88"/>
      <c r="H273" s="88"/>
    </row>
    <row r="274" spans="2:8" ht="13.2">
      <c r="B274" s="88"/>
      <c r="H274" s="88"/>
    </row>
    <row r="275" spans="2:8" ht="13.2">
      <c r="B275" s="88"/>
      <c r="H275" s="88"/>
    </row>
    <row r="276" spans="2:8" ht="13.2">
      <c r="B276" s="88"/>
      <c r="H276" s="88"/>
    </row>
    <row r="277" spans="2:8" ht="13.2">
      <c r="B277" s="88"/>
      <c r="H277" s="88"/>
    </row>
    <row r="278" spans="2:8" ht="13.2">
      <c r="B278" s="88"/>
      <c r="H278" s="88"/>
    </row>
    <row r="279" spans="2:8" ht="13.2">
      <c r="B279" s="88"/>
      <c r="H279" s="88"/>
    </row>
    <row r="280" spans="2:8" ht="13.2">
      <c r="B280" s="88"/>
      <c r="H280" s="88"/>
    </row>
    <row r="281" spans="2:8" ht="13.2">
      <c r="B281" s="88"/>
      <c r="H281" s="88"/>
    </row>
    <row r="282" spans="2:8" ht="13.2">
      <c r="B282" s="88"/>
      <c r="H282" s="88"/>
    </row>
    <row r="283" spans="2:8" ht="13.2">
      <c r="B283" s="88"/>
      <c r="H283" s="88"/>
    </row>
    <row r="284" spans="2:8" ht="13.2">
      <c r="B284" s="88"/>
      <c r="H284" s="88"/>
    </row>
    <row r="285" spans="2:8" ht="13.2">
      <c r="B285" s="88"/>
      <c r="H285" s="88"/>
    </row>
    <row r="286" spans="2:8" ht="13.2">
      <c r="B286" s="88"/>
      <c r="H286" s="88"/>
    </row>
    <row r="287" spans="2:8" ht="13.2">
      <c r="B287" s="88"/>
      <c r="H287" s="88"/>
    </row>
    <row r="288" spans="2:8" ht="13.2">
      <c r="B288" s="88"/>
      <c r="H288" s="88"/>
    </row>
    <row r="289" spans="2:8" ht="13.2">
      <c r="B289" s="88"/>
      <c r="H289" s="88"/>
    </row>
    <row r="290" spans="2:8" ht="13.2">
      <c r="B290" s="88"/>
      <c r="H290" s="88"/>
    </row>
    <row r="291" spans="2:8" ht="13.2">
      <c r="B291" s="88"/>
      <c r="H291" s="88"/>
    </row>
    <row r="292" spans="2:8" ht="13.2">
      <c r="B292" s="88"/>
      <c r="H292" s="88"/>
    </row>
    <row r="293" spans="2:8" ht="13.2">
      <c r="B293" s="88"/>
      <c r="H293" s="88"/>
    </row>
    <row r="294" spans="2:8" ht="13.2">
      <c r="B294" s="88"/>
      <c r="H294" s="88"/>
    </row>
    <row r="295" spans="2:8" ht="13.2">
      <c r="B295" s="88"/>
      <c r="H295" s="88"/>
    </row>
    <row r="296" spans="2:8" ht="13.2">
      <c r="B296" s="88"/>
      <c r="H296" s="88"/>
    </row>
    <row r="297" spans="2:8" ht="13.2">
      <c r="B297" s="88"/>
      <c r="H297" s="88"/>
    </row>
    <row r="298" spans="2:8" ht="13.2">
      <c r="B298" s="88"/>
      <c r="H298" s="88"/>
    </row>
    <row r="299" spans="2:8" ht="13.2">
      <c r="B299" s="88"/>
      <c r="H299" s="88"/>
    </row>
    <row r="300" spans="2:8" ht="13.2">
      <c r="B300" s="88"/>
      <c r="H300" s="88"/>
    </row>
    <row r="301" spans="2:8" ht="13.2">
      <c r="B301" s="88"/>
      <c r="H301" s="88"/>
    </row>
    <row r="302" spans="2:8" ht="13.2">
      <c r="B302" s="88"/>
      <c r="H302" s="88"/>
    </row>
    <row r="303" spans="2:8" ht="13.2">
      <c r="B303" s="88"/>
      <c r="H303" s="88"/>
    </row>
    <row r="304" spans="2:8" ht="13.2">
      <c r="B304" s="88"/>
      <c r="H304" s="88"/>
    </row>
    <row r="305" spans="2:8" ht="13.2">
      <c r="B305" s="88"/>
      <c r="H305" s="88"/>
    </row>
    <row r="306" spans="2:8" ht="13.2">
      <c r="B306" s="88"/>
      <c r="H306" s="88"/>
    </row>
    <row r="307" spans="2:8" ht="13.2">
      <c r="B307" s="88"/>
      <c r="H307" s="88"/>
    </row>
    <row r="308" spans="2:8" ht="13.2">
      <c r="B308" s="88"/>
      <c r="H308" s="88"/>
    </row>
    <row r="309" spans="2:8" ht="13.2">
      <c r="B309" s="88"/>
      <c r="H309" s="88"/>
    </row>
    <row r="310" spans="2:8" ht="13.2">
      <c r="B310" s="88"/>
      <c r="H310" s="88"/>
    </row>
    <row r="311" spans="2:8" ht="13.2">
      <c r="B311" s="88"/>
      <c r="H311" s="88"/>
    </row>
    <row r="312" spans="2:8" ht="13.2">
      <c r="B312" s="88"/>
      <c r="H312" s="88"/>
    </row>
    <row r="313" spans="2:8" ht="13.2">
      <c r="B313" s="88"/>
      <c r="H313" s="88"/>
    </row>
    <row r="314" spans="2:8" ht="13.2">
      <c r="B314" s="88"/>
      <c r="H314" s="88"/>
    </row>
    <row r="315" spans="2:8" ht="13.2">
      <c r="B315" s="88"/>
      <c r="H315" s="88"/>
    </row>
    <row r="316" spans="2:8" ht="13.2">
      <c r="B316" s="88"/>
      <c r="H316" s="88"/>
    </row>
    <row r="317" spans="2:8" ht="13.2">
      <c r="B317" s="88"/>
      <c r="H317" s="88"/>
    </row>
    <row r="318" spans="2:8" ht="13.2">
      <c r="B318" s="88"/>
      <c r="H318" s="88"/>
    </row>
    <row r="319" spans="2:8" ht="13.2">
      <c r="B319" s="88"/>
      <c r="H319" s="88"/>
    </row>
    <row r="320" spans="2:8" ht="13.2">
      <c r="B320" s="88"/>
      <c r="H320" s="88"/>
    </row>
    <row r="321" spans="2:8" ht="13.2">
      <c r="B321" s="88"/>
      <c r="H321" s="88"/>
    </row>
    <row r="322" spans="2:8" ht="13.2">
      <c r="B322" s="88"/>
      <c r="H322" s="88"/>
    </row>
    <row r="323" spans="2:8" ht="13.2">
      <c r="B323" s="88"/>
      <c r="H323" s="88"/>
    </row>
    <row r="324" spans="2:8" ht="13.2">
      <c r="B324" s="88"/>
      <c r="H324" s="88"/>
    </row>
    <row r="325" spans="2:8" ht="13.2">
      <c r="B325" s="88"/>
      <c r="H325" s="88"/>
    </row>
    <row r="326" spans="2:8" ht="13.2">
      <c r="B326" s="88"/>
      <c r="H326" s="88"/>
    </row>
    <row r="327" spans="2:8" ht="13.2">
      <c r="B327" s="88"/>
      <c r="H327" s="88"/>
    </row>
    <row r="328" spans="2:8" ht="13.2">
      <c r="B328" s="88"/>
      <c r="H328" s="88"/>
    </row>
    <row r="329" spans="2:8" ht="13.2">
      <c r="B329" s="88"/>
      <c r="H329" s="88"/>
    </row>
    <row r="330" spans="2:8" ht="13.2">
      <c r="B330" s="88"/>
      <c r="H330" s="88"/>
    </row>
    <row r="331" spans="2:8" ht="13.2">
      <c r="B331" s="88"/>
      <c r="H331" s="88"/>
    </row>
    <row r="332" spans="2:8" ht="13.2">
      <c r="B332" s="88"/>
      <c r="H332" s="88"/>
    </row>
    <row r="333" spans="2:8" ht="13.2">
      <c r="B333" s="88"/>
      <c r="H333" s="88"/>
    </row>
    <row r="334" spans="2:8" ht="13.2">
      <c r="B334" s="88"/>
      <c r="H334" s="88"/>
    </row>
    <row r="335" spans="2:8" ht="13.2">
      <c r="B335" s="88"/>
      <c r="H335" s="88"/>
    </row>
    <row r="336" spans="2:8" ht="13.2">
      <c r="B336" s="88"/>
      <c r="H336" s="88"/>
    </row>
    <row r="337" spans="2:8" ht="13.2">
      <c r="B337" s="88"/>
      <c r="H337" s="88"/>
    </row>
    <row r="338" spans="2:8" ht="13.2">
      <c r="B338" s="88"/>
      <c r="H338" s="88"/>
    </row>
    <row r="339" spans="2:8" ht="13.2">
      <c r="B339" s="88"/>
      <c r="H339" s="88"/>
    </row>
    <row r="340" spans="2:8" ht="13.2">
      <c r="B340" s="88"/>
      <c r="H340" s="88"/>
    </row>
    <row r="341" spans="2:8" ht="13.2">
      <c r="B341" s="88"/>
      <c r="H341" s="88"/>
    </row>
    <row r="342" spans="2:8" ht="13.2">
      <c r="B342" s="88"/>
      <c r="H342" s="88"/>
    </row>
    <row r="343" spans="2:8" ht="13.2">
      <c r="B343" s="88"/>
      <c r="H343" s="88"/>
    </row>
    <row r="344" spans="2:8" ht="13.2">
      <c r="B344" s="88"/>
      <c r="H344" s="88"/>
    </row>
    <row r="345" spans="2:8" ht="13.2">
      <c r="B345" s="88"/>
      <c r="H345" s="88"/>
    </row>
    <row r="346" spans="2:8" ht="13.2">
      <c r="B346" s="88"/>
      <c r="H346" s="88"/>
    </row>
    <row r="347" spans="2:8" ht="13.2">
      <c r="B347" s="88"/>
      <c r="H347" s="88"/>
    </row>
    <row r="348" spans="2:8" ht="13.2">
      <c r="B348" s="88"/>
      <c r="H348" s="88"/>
    </row>
    <row r="349" spans="2:8" ht="13.2">
      <c r="B349" s="88"/>
      <c r="H349" s="88"/>
    </row>
    <row r="350" spans="2:8" ht="13.2">
      <c r="B350" s="88"/>
      <c r="H350" s="88"/>
    </row>
    <row r="351" spans="2:8" ht="13.2">
      <c r="B351" s="88"/>
      <c r="H351" s="88"/>
    </row>
    <row r="352" spans="2:8" ht="13.2">
      <c r="B352" s="88"/>
      <c r="H352" s="88"/>
    </row>
    <row r="353" spans="2:8" ht="13.2">
      <c r="B353" s="88"/>
      <c r="H353" s="88"/>
    </row>
    <row r="354" spans="2:8" ht="13.2">
      <c r="B354" s="88"/>
      <c r="H354" s="88"/>
    </row>
    <row r="355" spans="2:8" ht="13.2">
      <c r="B355" s="88"/>
      <c r="H355" s="88"/>
    </row>
    <row r="356" spans="2:8" ht="13.2">
      <c r="B356" s="88"/>
      <c r="H356" s="88"/>
    </row>
    <row r="357" spans="2:8" ht="13.2">
      <c r="B357" s="88"/>
      <c r="H357" s="88"/>
    </row>
    <row r="358" spans="2:8" ht="13.2">
      <c r="B358" s="88"/>
      <c r="H358" s="88"/>
    </row>
    <row r="359" spans="2:8" ht="13.2">
      <c r="B359" s="88"/>
      <c r="H359" s="88"/>
    </row>
    <row r="360" spans="2:8" ht="13.2">
      <c r="B360" s="88"/>
      <c r="H360" s="88"/>
    </row>
    <row r="361" spans="2:8" ht="13.2">
      <c r="B361" s="88"/>
      <c r="H361" s="88"/>
    </row>
    <row r="362" spans="2:8" ht="13.2">
      <c r="B362" s="88"/>
      <c r="H362" s="88"/>
    </row>
    <row r="363" spans="2:8" ht="13.2">
      <c r="B363" s="88"/>
      <c r="H363" s="88"/>
    </row>
    <row r="364" spans="2:8" ht="13.2">
      <c r="B364" s="88"/>
      <c r="H364" s="88"/>
    </row>
    <row r="365" spans="2:8" ht="13.2">
      <c r="B365" s="88"/>
      <c r="H365" s="88"/>
    </row>
    <row r="366" spans="2:8" ht="13.2">
      <c r="B366" s="88"/>
      <c r="H366" s="88"/>
    </row>
    <row r="367" spans="2:8" ht="13.2">
      <c r="B367" s="88"/>
      <c r="H367" s="88"/>
    </row>
    <row r="368" spans="2:8" ht="13.2">
      <c r="B368" s="88"/>
      <c r="H368" s="88"/>
    </row>
    <row r="369" spans="2:8" ht="13.2">
      <c r="B369" s="88"/>
      <c r="H369" s="88"/>
    </row>
    <row r="370" spans="2:8" ht="13.2">
      <c r="B370" s="88"/>
      <c r="H370" s="88"/>
    </row>
    <row r="371" spans="2:8" ht="13.2">
      <c r="B371" s="88"/>
      <c r="H371" s="88"/>
    </row>
    <row r="372" spans="2:8" ht="13.2">
      <c r="B372" s="88"/>
      <c r="H372" s="88"/>
    </row>
    <row r="373" spans="2:8" ht="13.2">
      <c r="B373" s="88"/>
      <c r="H373" s="88"/>
    </row>
    <row r="374" spans="2:8" ht="13.2">
      <c r="B374" s="88"/>
      <c r="H374" s="88"/>
    </row>
    <row r="375" spans="2:8" ht="13.2">
      <c r="B375" s="88"/>
      <c r="H375" s="88"/>
    </row>
    <row r="376" spans="2:8" ht="13.2">
      <c r="B376" s="88"/>
      <c r="H376" s="88"/>
    </row>
    <row r="377" spans="2:8" ht="13.2">
      <c r="B377" s="88"/>
      <c r="H377" s="88"/>
    </row>
    <row r="378" spans="2:8" ht="13.2">
      <c r="B378" s="88"/>
      <c r="H378" s="88"/>
    </row>
    <row r="379" spans="2:8" ht="13.2">
      <c r="B379" s="88"/>
      <c r="H379" s="88"/>
    </row>
    <row r="380" spans="2:8" ht="13.2">
      <c r="B380" s="88"/>
      <c r="H380" s="88"/>
    </row>
    <row r="381" spans="2:8" ht="13.2">
      <c r="B381" s="88"/>
      <c r="H381" s="88"/>
    </row>
    <row r="382" spans="2:8" ht="13.2">
      <c r="B382" s="88"/>
      <c r="H382" s="88"/>
    </row>
    <row r="383" spans="2:8" ht="13.2">
      <c r="B383" s="88"/>
      <c r="H383" s="88"/>
    </row>
    <row r="384" spans="2:8" ht="13.2">
      <c r="B384" s="88"/>
      <c r="H384" s="88"/>
    </row>
    <row r="385" spans="2:8" ht="13.2">
      <c r="B385" s="88"/>
      <c r="H385" s="88"/>
    </row>
    <row r="386" spans="2:8" ht="13.2">
      <c r="B386" s="88"/>
      <c r="H386" s="88"/>
    </row>
    <row r="387" spans="2:8" ht="13.2">
      <c r="B387" s="88"/>
      <c r="H387" s="88"/>
    </row>
    <row r="388" spans="2:8" ht="13.2">
      <c r="B388" s="88"/>
      <c r="H388" s="88"/>
    </row>
    <row r="389" spans="2:8" ht="13.2">
      <c r="B389" s="88"/>
      <c r="H389" s="88"/>
    </row>
    <row r="390" spans="2:8" ht="13.2">
      <c r="B390" s="88"/>
      <c r="H390" s="88"/>
    </row>
    <row r="391" spans="2:8" ht="13.2">
      <c r="B391" s="88"/>
      <c r="H391" s="88"/>
    </row>
    <row r="392" spans="2:8" ht="13.2">
      <c r="B392" s="88"/>
      <c r="H392" s="88"/>
    </row>
    <row r="393" spans="2:8" ht="13.2">
      <c r="B393" s="88"/>
      <c r="H393" s="88"/>
    </row>
    <row r="394" spans="2:8" ht="13.2">
      <c r="B394" s="88"/>
      <c r="H394" s="88"/>
    </row>
    <row r="395" spans="2:8" ht="13.2">
      <c r="B395" s="88"/>
      <c r="H395" s="88"/>
    </row>
    <row r="396" spans="2:8" ht="13.2">
      <c r="B396" s="88"/>
      <c r="H396" s="88"/>
    </row>
    <row r="397" spans="2:8" ht="13.2">
      <c r="B397" s="88"/>
      <c r="H397" s="88"/>
    </row>
    <row r="398" spans="2:8" ht="13.2">
      <c r="B398" s="88"/>
      <c r="H398" s="88"/>
    </row>
    <row r="399" spans="2:8" ht="13.2">
      <c r="B399" s="88"/>
      <c r="H399" s="88"/>
    </row>
    <row r="400" spans="2:8" ht="13.2">
      <c r="B400" s="88"/>
      <c r="H400" s="88"/>
    </row>
    <row r="401" spans="2:8" ht="13.2">
      <c r="B401" s="88"/>
      <c r="H401" s="88"/>
    </row>
    <row r="402" spans="2:8" ht="13.2">
      <c r="B402" s="88"/>
      <c r="H402" s="88"/>
    </row>
    <row r="403" spans="2:8" ht="13.2">
      <c r="B403" s="88"/>
      <c r="H403" s="88"/>
    </row>
    <row r="404" spans="2:8" ht="13.2">
      <c r="B404" s="88"/>
      <c r="H404" s="88"/>
    </row>
    <row r="405" spans="2:8" ht="13.2">
      <c r="B405" s="88"/>
      <c r="H405" s="88"/>
    </row>
    <row r="406" spans="2:8" ht="13.2">
      <c r="B406" s="88"/>
      <c r="H406" s="88"/>
    </row>
    <row r="407" spans="2:8" ht="13.2">
      <c r="B407" s="88"/>
      <c r="H407" s="88"/>
    </row>
    <row r="408" spans="2:8" ht="13.2">
      <c r="B408" s="88"/>
      <c r="H408" s="88"/>
    </row>
    <row r="409" spans="2:8" ht="13.2">
      <c r="B409" s="88"/>
      <c r="H409" s="88"/>
    </row>
    <row r="410" spans="2:8" ht="13.2">
      <c r="B410" s="88"/>
      <c r="H410" s="88"/>
    </row>
    <row r="411" spans="2:8" ht="13.2">
      <c r="B411" s="88"/>
      <c r="H411" s="88"/>
    </row>
    <row r="412" spans="2:8" ht="13.2">
      <c r="B412" s="88"/>
      <c r="H412" s="88"/>
    </row>
    <row r="413" spans="2:8" ht="13.2">
      <c r="B413" s="88"/>
      <c r="H413" s="88"/>
    </row>
    <row r="414" spans="2:8" ht="13.2">
      <c r="B414" s="88"/>
      <c r="H414" s="88"/>
    </row>
    <row r="415" spans="2:8" ht="13.2">
      <c r="B415" s="88"/>
      <c r="H415" s="88"/>
    </row>
    <row r="416" spans="2:8" ht="13.2">
      <c r="B416" s="88"/>
      <c r="H416" s="88"/>
    </row>
    <row r="417" spans="2:8" ht="13.2">
      <c r="B417" s="88"/>
      <c r="H417" s="88"/>
    </row>
    <row r="418" spans="2:8" ht="13.2">
      <c r="B418" s="88"/>
      <c r="H418" s="88"/>
    </row>
    <row r="419" spans="2:8" ht="13.2">
      <c r="B419" s="88"/>
      <c r="H419" s="88"/>
    </row>
    <row r="420" spans="2:8" ht="13.2">
      <c r="B420" s="88"/>
      <c r="H420" s="88"/>
    </row>
    <row r="421" spans="2:8" ht="13.2">
      <c r="B421" s="88"/>
      <c r="H421" s="88"/>
    </row>
    <row r="422" spans="2:8" ht="13.2">
      <c r="B422" s="88"/>
      <c r="H422" s="88"/>
    </row>
    <row r="423" spans="2:8" ht="13.2">
      <c r="B423" s="88"/>
      <c r="H423" s="88"/>
    </row>
    <row r="424" spans="2:8" ht="13.2">
      <c r="B424" s="88"/>
      <c r="H424" s="88"/>
    </row>
    <row r="425" spans="2:8" ht="13.2">
      <c r="B425" s="88"/>
      <c r="H425" s="88"/>
    </row>
    <row r="426" spans="2:8" ht="13.2">
      <c r="B426" s="88"/>
      <c r="H426" s="88"/>
    </row>
    <row r="427" spans="2:8" ht="13.2">
      <c r="B427" s="88"/>
      <c r="H427" s="88"/>
    </row>
    <row r="428" spans="2:8" ht="13.2">
      <c r="B428" s="88"/>
      <c r="H428" s="88"/>
    </row>
    <row r="429" spans="2:8" ht="13.2">
      <c r="B429" s="88"/>
      <c r="H429" s="88"/>
    </row>
    <row r="430" spans="2:8" ht="13.2">
      <c r="B430" s="88"/>
      <c r="H430" s="88"/>
    </row>
    <row r="431" spans="2:8" ht="13.2">
      <c r="B431" s="88"/>
      <c r="H431" s="88"/>
    </row>
    <row r="432" spans="2:8" ht="13.2">
      <c r="B432" s="88"/>
      <c r="H432" s="88"/>
    </row>
    <row r="433" spans="2:8" ht="13.2">
      <c r="B433" s="88"/>
      <c r="H433" s="88"/>
    </row>
    <row r="434" spans="2:8" ht="13.2">
      <c r="B434" s="88"/>
      <c r="H434" s="88"/>
    </row>
    <row r="435" spans="2:8" ht="13.2">
      <c r="B435" s="88"/>
      <c r="H435" s="88"/>
    </row>
    <row r="436" spans="2:8" ht="13.2">
      <c r="B436" s="88"/>
      <c r="H436" s="88"/>
    </row>
    <row r="437" spans="2:8" ht="13.2">
      <c r="B437" s="88"/>
      <c r="H437" s="88"/>
    </row>
    <row r="438" spans="2:8" ht="13.2">
      <c r="B438" s="88"/>
      <c r="H438" s="88"/>
    </row>
    <row r="439" spans="2:8" ht="13.2">
      <c r="B439" s="88"/>
      <c r="H439" s="88"/>
    </row>
    <row r="440" spans="2:8" ht="13.2">
      <c r="B440" s="88"/>
      <c r="H440" s="88"/>
    </row>
    <row r="441" spans="2:8" ht="13.2">
      <c r="B441" s="88"/>
      <c r="H441" s="88"/>
    </row>
    <row r="442" spans="2:8" ht="13.2">
      <c r="B442" s="88"/>
      <c r="H442" s="88"/>
    </row>
    <row r="443" spans="2:8" ht="13.2">
      <c r="B443" s="88"/>
      <c r="H443" s="88"/>
    </row>
    <row r="444" spans="2:8" ht="13.2">
      <c r="B444" s="88"/>
      <c r="H444" s="88"/>
    </row>
    <row r="445" spans="2:8" ht="13.2">
      <c r="B445" s="88"/>
      <c r="H445" s="88"/>
    </row>
    <row r="446" spans="2:8" ht="13.2">
      <c r="B446" s="88"/>
      <c r="H446" s="88"/>
    </row>
    <row r="447" spans="2:8" ht="13.2">
      <c r="B447" s="88"/>
      <c r="H447" s="88"/>
    </row>
    <row r="448" spans="2:8" ht="13.2">
      <c r="B448" s="88"/>
      <c r="H448" s="88"/>
    </row>
    <row r="449" spans="2:8" ht="13.2">
      <c r="B449" s="88"/>
      <c r="H449" s="88"/>
    </row>
    <row r="450" spans="2:8" ht="13.2">
      <c r="B450" s="88"/>
      <c r="H450" s="88"/>
    </row>
    <row r="451" spans="2:8" ht="13.2">
      <c r="B451" s="88"/>
      <c r="H451" s="88"/>
    </row>
    <row r="452" spans="2:8" ht="13.2">
      <c r="B452" s="88"/>
      <c r="H452" s="88"/>
    </row>
    <row r="453" spans="2:8" ht="13.2">
      <c r="B453" s="88"/>
      <c r="H453" s="88"/>
    </row>
    <row r="454" spans="2:8" ht="13.2">
      <c r="B454" s="88"/>
      <c r="H454" s="88"/>
    </row>
    <row r="455" spans="2:8" ht="13.2">
      <c r="B455" s="88"/>
      <c r="H455" s="88"/>
    </row>
    <row r="456" spans="2:8" ht="13.2">
      <c r="B456" s="88"/>
      <c r="H456" s="88"/>
    </row>
    <row r="457" spans="2:8" ht="13.2">
      <c r="B457" s="88"/>
      <c r="H457" s="88"/>
    </row>
    <row r="458" spans="2:8" ht="13.2">
      <c r="B458" s="88"/>
      <c r="H458" s="88"/>
    </row>
    <row r="459" spans="2:8" ht="13.2">
      <c r="B459" s="88"/>
      <c r="H459" s="88"/>
    </row>
    <row r="460" spans="2:8" ht="13.2">
      <c r="B460" s="88"/>
      <c r="H460" s="88"/>
    </row>
    <row r="461" spans="2:8" ht="13.2">
      <c r="B461" s="88"/>
      <c r="H461" s="88"/>
    </row>
    <row r="462" spans="2:8" ht="13.2">
      <c r="B462" s="88"/>
      <c r="H462" s="88"/>
    </row>
    <row r="463" spans="2:8" ht="13.2">
      <c r="B463" s="88"/>
      <c r="H463" s="88"/>
    </row>
    <row r="464" spans="2:8" ht="13.2">
      <c r="B464" s="88"/>
      <c r="H464" s="88"/>
    </row>
    <row r="465" spans="2:8" ht="13.2">
      <c r="B465" s="88"/>
      <c r="H465" s="88"/>
    </row>
    <row r="466" spans="2:8" ht="13.2">
      <c r="B466" s="88"/>
      <c r="H466" s="88"/>
    </row>
    <row r="467" spans="2:8" ht="13.2">
      <c r="B467" s="88"/>
      <c r="H467" s="88"/>
    </row>
    <row r="468" spans="2:8" ht="13.2">
      <c r="B468" s="88"/>
      <c r="H468" s="88"/>
    </row>
    <row r="469" spans="2:8" ht="13.2">
      <c r="B469" s="88"/>
      <c r="H469" s="88"/>
    </row>
    <row r="470" spans="2:8" ht="13.2">
      <c r="B470" s="88"/>
      <c r="H470" s="88"/>
    </row>
    <row r="471" spans="2:8" ht="13.2">
      <c r="B471" s="88"/>
      <c r="H471" s="88"/>
    </row>
    <row r="472" spans="2:8" ht="13.2">
      <c r="B472" s="88"/>
      <c r="H472" s="88"/>
    </row>
    <row r="473" spans="2:8" ht="13.2">
      <c r="B473" s="88"/>
      <c r="H473" s="88"/>
    </row>
    <row r="474" spans="2:8" ht="13.2">
      <c r="B474" s="88"/>
      <c r="H474" s="88"/>
    </row>
    <row r="475" spans="2:8" ht="13.2">
      <c r="B475" s="88"/>
      <c r="H475" s="88"/>
    </row>
    <row r="476" spans="2:8" ht="13.2">
      <c r="B476" s="88"/>
      <c r="H476" s="88"/>
    </row>
    <row r="477" spans="2:8" ht="13.2">
      <c r="B477" s="88"/>
      <c r="H477" s="88"/>
    </row>
    <row r="478" spans="2:8" ht="13.2">
      <c r="B478" s="88"/>
      <c r="H478" s="88"/>
    </row>
    <row r="479" spans="2:8" ht="13.2">
      <c r="B479" s="88"/>
      <c r="H479" s="88"/>
    </row>
    <row r="480" spans="2:8" ht="13.2">
      <c r="B480" s="88"/>
      <c r="H480" s="88"/>
    </row>
    <row r="481" spans="2:8" ht="13.2">
      <c r="B481" s="88"/>
      <c r="H481" s="88"/>
    </row>
    <row r="482" spans="2:8" ht="13.2">
      <c r="B482" s="88"/>
      <c r="H482" s="88"/>
    </row>
    <row r="483" spans="2:8" ht="13.2">
      <c r="B483" s="88"/>
      <c r="H483" s="88"/>
    </row>
    <row r="484" spans="2:8" ht="13.2">
      <c r="B484" s="88"/>
      <c r="H484" s="88"/>
    </row>
    <row r="485" spans="2:8" ht="13.2">
      <c r="B485" s="88"/>
      <c r="H485" s="88"/>
    </row>
    <row r="486" spans="2:8" ht="13.2">
      <c r="B486" s="88"/>
      <c r="H486" s="88"/>
    </row>
    <row r="487" spans="2:8" ht="13.2">
      <c r="B487" s="88"/>
      <c r="H487" s="88"/>
    </row>
    <row r="488" spans="2:8" ht="13.2">
      <c r="B488" s="88"/>
      <c r="H488" s="88"/>
    </row>
    <row r="489" spans="2:8" ht="13.2">
      <c r="B489" s="88"/>
      <c r="H489" s="88"/>
    </row>
    <row r="490" spans="2:8" ht="13.2">
      <c r="B490" s="88"/>
      <c r="H490" s="88"/>
    </row>
    <row r="491" spans="2:8" ht="13.2">
      <c r="B491" s="88"/>
      <c r="H491" s="88"/>
    </row>
    <row r="492" spans="2:8" ht="13.2">
      <c r="B492" s="88"/>
      <c r="H492" s="88"/>
    </row>
    <row r="493" spans="2:8" ht="13.2">
      <c r="B493" s="88"/>
      <c r="H493" s="88"/>
    </row>
    <row r="494" spans="2:8" ht="13.2">
      <c r="B494" s="88"/>
      <c r="H494" s="88"/>
    </row>
    <row r="495" spans="2:8" ht="13.2">
      <c r="B495" s="88"/>
      <c r="H495" s="88"/>
    </row>
    <row r="496" spans="2:8" ht="13.2">
      <c r="B496" s="88"/>
      <c r="H496" s="88"/>
    </row>
    <row r="497" spans="2:8" ht="13.2">
      <c r="B497" s="88"/>
      <c r="H497" s="88"/>
    </row>
    <row r="498" spans="2:8" ht="13.2">
      <c r="B498" s="88"/>
      <c r="H498" s="88"/>
    </row>
    <row r="499" spans="2:8" ht="13.2">
      <c r="B499" s="88"/>
      <c r="H499" s="88"/>
    </row>
    <row r="500" spans="2:8" ht="13.2">
      <c r="B500" s="88"/>
      <c r="H500" s="88"/>
    </row>
    <row r="501" spans="2:8" ht="13.2">
      <c r="B501" s="88"/>
      <c r="H501" s="88"/>
    </row>
    <row r="502" spans="2:8" ht="13.2">
      <c r="B502" s="88"/>
      <c r="H502" s="88"/>
    </row>
    <row r="503" spans="2:8" ht="13.2">
      <c r="B503" s="88"/>
      <c r="H503" s="88"/>
    </row>
    <row r="504" spans="2:8" ht="13.2">
      <c r="B504" s="88"/>
      <c r="H504" s="88"/>
    </row>
    <row r="505" spans="2:8" ht="13.2">
      <c r="B505" s="88"/>
      <c r="H505" s="88"/>
    </row>
    <row r="506" spans="2:8" ht="13.2">
      <c r="B506" s="88"/>
      <c r="H506" s="88"/>
    </row>
    <row r="507" spans="2:8" ht="13.2">
      <c r="B507" s="88"/>
      <c r="H507" s="88"/>
    </row>
    <row r="508" spans="2:8" ht="13.2">
      <c r="B508" s="88"/>
      <c r="H508" s="88"/>
    </row>
    <row r="509" spans="2:8" ht="13.2">
      <c r="B509" s="88"/>
      <c r="H509" s="88"/>
    </row>
    <row r="510" spans="2:8" ht="13.2">
      <c r="B510" s="88"/>
      <c r="H510" s="88"/>
    </row>
    <row r="511" spans="2:8" ht="13.2">
      <c r="B511" s="88"/>
      <c r="H511" s="88"/>
    </row>
    <row r="512" spans="2:8" ht="13.2">
      <c r="B512" s="88"/>
      <c r="H512" s="88"/>
    </row>
    <row r="513" spans="2:8" ht="13.2">
      <c r="B513" s="88"/>
      <c r="H513" s="88"/>
    </row>
    <row r="514" spans="2:8" ht="13.2">
      <c r="B514" s="88"/>
      <c r="H514" s="88"/>
    </row>
    <row r="515" spans="2:8" ht="13.2">
      <c r="B515" s="88"/>
      <c r="H515" s="88"/>
    </row>
    <row r="516" spans="2:8" ht="13.2">
      <c r="B516" s="88"/>
      <c r="H516" s="88"/>
    </row>
    <row r="517" spans="2:8" ht="13.2">
      <c r="B517" s="88"/>
      <c r="H517" s="88"/>
    </row>
    <row r="518" spans="2:8" ht="13.2">
      <c r="B518" s="88"/>
      <c r="H518" s="88"/>
    </row>
    <row r="519" spans="2:8" ht="13.2">
      <c r="B519" s="88"/>
      <c r="H519" s="88"/>
    </row>
    <row r="520" spans="2:8" ht="13.2">
      <c r="B520" s="88"/>
      <c r="H520" s="88"/>
    </row>
    <row r="521" spans="2:8" ht="13.2">
      <c r="B521" s="88"/>
      <c r="H521" s="88"/>
    </row>
    <row r="522" spans="2:8" ht="13.2">
      <c r="B522" s="88"/>
      <c r="H522" s="88"/>
    </row>
    <row r="523" spans="2:8" ht="13.2">
      <c r="B523" s="88"/>
      <c r="H523" s="88"/>
    </row>
    <row r="524" spans="2:8" ht="13.2">
      <c r="B524" s="88"/>
      <c r="H524" s="88"/>
    </row>
    <row r="525" spans="2:8" ht="13.2">
      <c r="B525" s="88"/>
      <c r="H525" s="88"/>
    </row>
    <row r="526" spans="2:8" ht="13.2">
      <c r="B526" s="88"/>
      <c r="H526" s="88"/>
    </row>
    <row r="527" spans="2:8" ht="13.2">
      <c r="B527" s="88"/>
      <c r="H527" s="88"/>
    </row>
    <row r="528" spans="2:8" ht="13.2">
      <c r="B528" s="88"/>
      <c r="H528" s="88"/>
    </row>
    <row r="529" spans="2:8" ht="13.2">
      <c r="B529" s="88"/>
      <c r="H529" s="88"/>
    </row>
    <row r="530" spans="2:8" ht="13.2">
      <c r="B530" s="88"/>
      <c r="H530" s="88"/>
    </row>
    <row r="531" spans="2:8" ht="13.2">
      <c r="B531" s="88"/>
      <c r="H531" s="88"/>
    </row>
    <row r="532" spans="2:8" ht="13.2">
      <c r="B532" s="88"/>
      <c r="H532" s="88"/>
    </row>
    <row r="533" spans="2:8" ht="13.2">
      <c r="B533" s="88"/>
      <c r="H533" s="88"/>
    </row>
    <row r="534" spans="2:8" ht="13.2">
      <c r="B534" s="88"/>
      <c r="H534" s="88"/>
    </row>
    <row r="535" spans="2:8" ht="13.2">
      <c r="B535" s="88"/>
      <c r="H535" s="88"/>
    </row>
    <row r="536" spans="2:8" ht="13.2">
      <c r="B536" s="88"/>
      <c r="H536" s="88"/>
    </row>
    <row r="537" spans="2:8" ht="13.2">
      <c r="B537" s="88"/>
      <c r="H537" s="88"/>
    </row>
    <row r="538" spans="2:8" ht="13.2">
      <c r="B538" s="88"/>
      <c r="H538" s="88"/>
    </row>
    <row r="539" spans="2:8" ht="13.2">
      <c r="B539" s="88"/>
      <c r="H539" s="88"/>
    </row>
    <row r="540" spans="2:8" ht="13.2">
      <c r="B540" s="88"/>
      <c r="H540" s="88"/>
    </row>
    <row r="541" spans="2:8" ht="13.2">
      <c r="B541" s="88"/>
      <c r="H541" s="88"/>
    </row>
    <row r="542" spans="2:8" ht="13.2">
      <c r="B542" s="88"/>
      <c r="H542" s="88"/>
    </row>
    <row r="543" spans="2:8" ht="13.2">
      <c r="B543" s="88"/>
      <c r="H543" s="88"/>
    </row>
    <row r="544" spans="2:8" ht="13.2">
      <c r="B544" s="88"/>
      <c r="H544" s="88"/>
    </row>
    <row r="545" spans="2:8" ht="13.2">
      <c r="B545" s="88"/>
      <c r="H545" s="88"/>
    </row>
    <row r="546" spans="2:8" ht="13.2">
      <c r="B546" s="88"/>
      <c r="H546" s="88"/>
    </row>
    <row r="547" spans="2:8" ht="13.2">
      <c r="B547" s="88"/>
      <c r="H547" s="88"/>
    </row>
    <row r="548" spans="2:8" ht="13.2">
      <c r="B548" s="88"/>
      <c r="H548" s="88"/>
    </row>
    <row r="549" spans="2:8" ht="13.2">
      <c r="B549" s="88"/>
      <c r="H549" s="88"/>
    </row>
    <row r="550" spans="2:8" ht="13.2">
      <c r="B550" s="88"/>
      <c r="H550" s="88"/>
    </row>
    <row r="551" spans="2:8" ht="13.2">
      <c r="B551" s="88"/>
      <c r="H551" s="88"/>
    </row>
    <row r="552" spans="2:8" ht="13.2">
      <c r="B552" s="88"/>
      <c r="H552" s="88"/>
    </row>
    <row r="553" spans="2:8" ht="13.2">
      <c r="B553" s="88"/>
      <c r="H553" s="88"/>
    </row>
    <row r="554" spans="2:8" ht="13.2">
      <c r="B554" s="88"/>
      <c r="H554" s="88"/>
    </row>
    <row r="555" spans="2:8" ht="13.2">
      <c r="B555" s="88"/>
      <c r="H555" s="88"/>
    </row>
    <row r="556" spans="2:8" ht="13.2">
      <c r="B556" s="88"/>
      <c r="H556" s="88"/>
    </row>
    <row r="557" spans="2:8" ht="13.2">
      <c r="B557" s="88"/>
      <c r="H557" s="88"/>
    </row>
    <row r="558" spans="2:8" ht="13.2">
      <c r="B558" s="88"/>
      <c r="H558" s="88"/>
    </row>
    <row r="559" spans="2:8" ht="13.2">
      <c r="B559" s="88"/>
      <c r="H559" s="88"/>
    </row>
    <row r="560" spans="2:8" ht="13.2">
      <c r="B560" s="88"/>
      <c r="H560" s="88"/>
    </row>
    <row r="561" spans="2:8" ht="13.2">
      <c r="B561" s="88"/>
      <c r="H561" s="88"/>
    </row>
    <row r="562" spans="2:8" ht="13.2">
      <c r="B562" s="88"/>
      <c r="H562" s="88"/>
    </row>
    <row r="563" spans="2:8" ht="13.2">
      <c r="B563" s="88"/>
      <c r="H563" s="88"/>
    </row>
    <row r="564" spans="2:8" ht="13.2">
      <c r="B564" s="88"/>
      <c r="H564" s="88"/>
    </row>
    <row r="565" spans="2:8" ht="13.2">
      <c r="B565" s="88"/>
      <c r="H565" s="88"/>
    </row>
    <row r="566" spans="2:8" ht="13.2">
      <c r="B566" s="88"/>
      <c r="H566" s="88"/>
    </row>
    <row r="567" spans="2:8" ht="13.2">
      <c r="B567" s="88"/>
      <c r="H567" s="88"/>
    </row>
    <row r="568" spans="2:8" ht="13.2">
      <c r="B568" s="88"/>
      <c r="H568" s="88"/>
    </row>
    <row r="569" spans="2:8" ht="13.2">
      <c r="B569" s="88"/>
      <c r="H569" s="88"/>
    </row>
    <row r="570" spans="2:8" ht="13.2">
      <c r="B570" s="88"/>
      <c r="H570" s="88"/>
    </row>
    <row r="571" spans="2:8" ht="13.2">
      <c r="B571" s="88"/>
      <c r="H571" s="88"/>
    </row>
    <row r="572" spans="2:8" ht="13.2">
      <c r="B572" s="88"/>
      <c r="H572" s="88"/>
    </row>
    <row r="573" spans="2:8" ht="13.2">
      <c r="B573" s="88"/>
      <c r="H573" s="88"/>
    </row>
    <row r="574" spans="2:8" ht="13.2">
      <c r="B574" s="88"/>
      <c r="H574" s="88"/>
    </row>
    <row r="575" spans="2:8" ht="13.2">
      <c r="B575" s="88"/>
      <c r="H575" s="88"/>
    </row>
    <row r="576" spans="2:8" ht="13.2">
      <c r="B576" s="88"/>
      <c r="H576" s="88"/>
    </row>
    <row r="577" spans="2:8" ht="13.2">
      <c r="B577" s="88"/>
      <c r="H577" s="88"/>
    </row>
    <row r="578" spans="2:8" ht="13.2">
      <c r="B578" s="88"/>
      <c r="H578" s="88"/>
    </row>
    <row r="579" spans="2:8" ht="13.2">
      <c r="B579" s="88"/>
      <c r="H579" s="88"/>
    </row>
    <row r="580" spans="2:8" ht="13.2">
      <c r="B580" s="88"/>
      <c r="H580" s="88"/>
    </row>
    <row r="581" spans="2:8" ht="13.2">
      <c r="B581" s="88"/>
      <c r="H581" s="88"/>
    </row>
    <row r="582" spans="2:8" ht="13.2">
      <c r="B582" s="88"/>
      <c r="H582" s="88"/>
    </row>
    <row r="583" spans="2:8" ht="13.2">
      <c r="B583" s="88"/>
      <c r="H583" s="88"/>
    </row>
    <row r="584" spans="2:8" ht="13.2">
      <c r="B584" s="88"/>
      <c r="H584" s="88"/>
    </row>
    <row r="585" spans="2:8" ht="13.2">
      <c r="B585" s="88"/>
      <c r="H585" s="88"/>
    </row>
    <row r="586" spans="2:8" ht="13.2">
      <c r="B586" s="88"/>
      <c r="H586" s="88"/>
    </row>
    <row r="587" spans="2:8" ht="13.2">
      <c r="B587" s="88"/>
      <c r="H587" s="88"/>
    </row>
    <row r="588" spans="2:8" ht="13.2">
      <c r="B588" s="88"/>
      <c r="H588" s="88"/>
    </row>
    <row r="589" spans="2:8" ht="13.2">
      <c r="B589" s="88"/>
      <c r="H589" s="88"/>
    </row>
    <row r="590" spans="2:8" ht="13.2">
      <c r="B590" s="88"/>
      <c r="H590" s="88"/>
    </row>
    <row r="591" spans="2:8" ht="13.2">
      <c r="B591" s="88"/>
      <c r="H591" s="88"/>
    </row>
    <row r="592" spans="2:8" ht="13.2">
      <c r="B592" s="88"/>
      <c r="H592" s="88"/>
    </row>
    <row r="593" spans="2:8" ht="13.2">
      <c r="B593" s="88"/>
      <c r="H593" s="88"/>
    </row>
    <row r="594" spans="2:8" ht="13.2">
      <c r="B594" s="88"/>
      <c r="H594" s="88"/>
    </row>
    <row r="595" spans="2:8" ht="13.2">
      <c r="B595" s="88"/>
      <c r="H595" s="88"/>
    </row>
    <row r="596" spans="2:8" ht="13.2">
      <c r="B596" s="88"/>
      <c r="H596" s="88"/>
    </row>
    <row r="597" spans="2:8" ht="13.2">
      <c r="B597" s="88"/>
      <c r="H597" s="88"/>
    </row>
    <row r="598" spans="2:8" ht="13.2">
      <c r="B598" s="88"/>
      <c r="H598" s="88"/>
    </row>
    <row r="599" spans="2:8" ht="13.2">
      <c r="B599" s="88"/>
      <c r="H599" s="88"/>
    </row>
    <row r="600" spans="2:8" ht="13.2">
      <c r="B600" s="88"/>
      <c r="H600" s="88"/>
    </row>
    <row r="601" spans="2:8" ht="13.2">
      <c r="B601" s="88"/>
      <c r="H601" s="88"/>
    </row>
    <row r="602" spans="2:8" ht="13.2">
      <c r="B602" s="88"/>
      <c r="H602" s="88"/>
    </row>
    <row r="603" spans="2:8" ht="13.2">
      <c r="B603" s="88"/>
      <c r="H603" s="88"/>
    </row>
    <row r="604" spans="2:8" ht="13.2">
      <c r="B604" s="88"/>
      <c r="H604" s="88"/>
    </row>
    <row r="605" spans="2:8" ht="13.2">
      <c r="B605" s="88"/>
      <c r="H605" s="88"/>
    </row>
    <row r="606" spans="2:8" ht="13.2">
      <c r="B606" s="88"/>
      <c r="H606" s="88"/>
    </row>
    <row r="607" spans="2:8" ht="13.2">
      <c r="B607" s="88"/>
      <c r="H607" s="88"/>
    </row>
    <row r="608" spans="2:8" ht="13.2">
      <c r="B608" s="88"/>
      <c r="H608" s="88"/>
    </row>
    <row r="609" spans="2:8" ht="13.2">
      <c r="B609" s="88"/>
      <c r="H609" s="88"/>
    </row>
    <row r="610" spans="2:8" ht="13.2">
      <c r="B610" s="88"/>
      <c r="H610" s="88"/>
    </row>
    <row r="611" spans="2:8" ht="13.2">
      <c r="B611" s="88"/>
      <c r="H611" s="88"/>
    </row>
    <row r="612" spans="2:8" ht="13.2">
      <c r="B612" s="88"/>
      <c r="H612" s="88"/>
    </row>
    <row r="613" spans="2:8" ht="13.2">
      <c r="B613" s="88"/>
      <c r="H613" s="88"/>
    </row>
    <row r="614" spans="2:8" ht="13.2">
      <c r="B614" s="88"/>
      <c r="H614" s="88"/>
    </row>
    <row r="615" spans="2:8" ht="13.2">
      <c r="B615" s="88"/>
      <c r="H615" s="88"/>
    </row>
    <row r="616" spans="2:8" ht="13.2">
      <c r="B616" s="88"/>
      <c r="H616" s="88"/>
    </row>
    <row r="617" spans="2:8" ht="13.2">
      <c r="B617" s="88"/>
      <c r="H617" s="88"/>
    </row>
    <row r="618" spans="2:8" ht="13.2">
      <c r="B618" s="88"/>
      <c r="H618" s="88"/>
    </row>
    <row r="619" spans="2:8" ht="13.2">
      <c r="B619" s="88"/>
      <c r="H619" s="88"/>
    </row>
    <row r="620" spans="2:8" ht="13.2">
      <c r="B620" s="88"/>
      <c r="H620" s="88"/>
    </row>
    <row r="621" spans="2:8" ht="13.2">
      <c r="B621" s="88"/>
      <c r="H621" s="88"/>
    </row>
    <row r="622" spans="2:8" ht="13.2">
      <c r="B622" s="88"/>
      <c r="H622" s="88"/>
    </row>
    <row r="623" spans="2:8" ht="13.2">
      <c r="B623" s="88"/>
      <c r="H623" s="88"/>
    </row>
    <row r="624" spans="2:8" ht="13.2">
      <c r="B624" s="88"/>
      <c r="H624" s="88"/>
    </row>
    <row r="625" spans="2:8" ht="13.2">
      <c r="B625" s="88"/>
      <c r="H625" s="88"/>
    </row>
    <row r="626" spans="2:8" ht="13.2">
      <c r="B626" s="88"/>
      <c r="H626" s="88"/>
    </row>
    <row r="627" spans="2:8" ht="13.2">
      <c r="B627" s="88"/>
      <c r="H627" s="88"/>
    </row>
    <row r="628" spans="2:8" ht="13.2">
      <c r="B628" s="88"/>
      <c r="H628" s="88"/>
    </row>
    <row r="629" spans="2:8" ht="13.2">
      <c r="B629" s="88"/>
      <c r="H629" s="88"/>
    </row>
    <row r="630" spans="2:8" ht="13.2">
      <c r="B630" s="88"/>
      <c r="H630" s="88"/>
    </row>
    <row r="631" spans="2:8" ht="13.2">
      <c r="B631" s="88"/>
      <c r="H631" s="88"/>
    </row>
    <row r="632" spans="2:8" ht="13.2">
      <c r="B632" s="88"/>
      <c r="H632" s="88"/>
    </row>
    <row r="633" spans="2:8" ht="13.2">
      <c r="B633" s="88"/>
      <c r="H633" s="88"/>
    </row>
    <row r="634" spans="2:8" ht="13.2">
      <c r="B634" s="88"/>
      <c r="H634" s="88"/>
    </row>
    <row r="635" spans="2:8" ht="13.2">
      <c r="B635" s="88"/>
      <c r="H635" s="88"/>
    </row>
    <row r="636" spans="2:8" ht="13.2">
      <c r="B636" s="88"/>
      <c r="H636" s="88"/>
    </row>
    <row r="637" spans="2:8" ht="13.2">
      <c r="B637" s="88"/>
      <c r="H637" s="88"/>
    </row>
    <row r="638" spans="2:8" ht="13.2">
      <c r="B638" s="88"/>
      <c r="H638" s="88"/>
    </row>
    <row r="639" spans="2:8" ht="13.2">
      <c r="B639" s="88"/>
      <c r="H639" s="88"/>
    </row>
    <row r="640" spans="2:8" ht="13.2">
      <c r="B640" s="88"/>
      <c r="H640" s="88"/>
    </row>
    <row r="641" spans="2:8" ht="13.2">
      <c r="B641" s="88"/>
      <c r="H641" s="88"/>
    </row>
    <row r="642" spans="2:8" ht="13.2">
      <c r="B642" s="88"/>
      <c r="H642" s="88"/>
    </row>
    <row r="643" spans="2:8" ht="13.2">
      <c r="B643" s="88"/>
      <c r="H643" s="88"/>
    </row>
    <row r="644" spans="2:8" ht="13.2">
      <c r="B644" s="88"/>
      <c r="H644" s="88"/>
    </row>
    <row r="645" spans="2:8" ht="13.2">
      <c r="B645" s="88"/>
      <c r="H645" s="88"/>
    </row>
    <row r="646" spans="2:8" ht="13.2">
      <c r="B646" s="88"/>
      <c r="H646" s="88"/>
    </row>
    <row r="647" spans="2:8" ht="13.2">
      <c r="B647" s="88"/>
      <c r="H647" s="88"/>
    </row>
    <row r="648" spans="2:8" ht="13.2">
      <c r="B648" s="88"/>
      <c r="H648" s="88"/>
    </row>
    <row r="649" spans="2:8" ht="13.2">
      <c r="B649" s="88"/>
      <c r="H649" s="88"/>
    </row>
    <row r="650" spans="2:8" ht="13.2">
      <c r="B650" s="88"/>
      <c r="H650" s="88"/>
    </row>
    <row r="651" spans="2:8" ht="13.2">
      <c r="B651" s="88"/>
      <c r="H651" s="88"/>
    </row>
    <row r="652" spans="2:8" ht="13.2">
      <c r="B652" s="88"/>
      <c r="H652" s="88"/>
    </row>
    <row r="653" spans="2:8" ht="13.2">
      <c r="B653" s="88"/>
      <c r="H653" s="88"/>
    </row>
    <row r="654" spans="2:8" ht="13.2">
      <c r="B654" s="88"/>
      <c r="H654" s="88"/>
    </row>
    <row r="655" spans="2:8" ht="13.2">
      <c r="B655" s="88"/>
      <c r="H655" s="88"/>
    </row>
    <row r="656" spans="2:8" ht="13.2">
      <c r="B656" s="88"/>
      <c r="H656" s="88"/>
    </row>
    <row r="657" spans="2:8" ht="13.2">
      <c r="B657" s="88"/>
      <c r="H657" s="88"/>
    </row>
    <row r="658" spans="2:8" ht="13.2">
      <c r="B658" s="88"/>
      <c r="H658" s="88"/>
    </row>
    <row r="659" spans="2:8" ht="13.2">
      <c r="B659" s="88"/>
      <c r="H659" s="88"/>
    </row>
    <row r="660" spans="2:8" ht="13.2">
      <c r="B660" s="88"/>
      <c r="H660" s="88"/>
    </row>
    <row r="661" spans="2:8" ht="13.2">
      <c r="B661" s="88"/>
      <c r="H661" s="88"/>
    </row>
    <row r="662" spans="2:8" ht="13.2">
      <c r="B662" s="88"/>
      <c r="H662" s="88"/>
    </row>
    <row r="663" spans="2:8" ht="13.2">
      <c r="B663" s="88"/>
      <c r="H663" s="88"/>
    </row>
    <row r="664" spans="2:8" ht="13.2">
      <c r="B664" s="88"/>
      <c r="H664" s="88"/>
    </row>
    <row r="665" spans="2:8" ht="13.2">
      <c r="B665" s="88"/>
      <c r="H665" s="88"/>
    </row>
    <row r="666" spans="2:8" ht="13.2">
      <c r="B666" s="88"/>
      <c r="H666" s="88"/>
    </row>
    <row r="667" spans="2:8" ht="13.2">
      <c r="B667" s="88"/>
      <c r="H667" s="88"/>
    </row>
    <row r="668" spans="2:8" ht="13.2">
      <c r="B668" s="88"/>
      <c r="H668" s="88"/>
    </row>
    <row r="669" spans="2:8" ht="13.2">
      <c r="B669" s="88"/>
      <c r="H669" s="88"/>
    </row>
    <row r="670" spans="2:8" ht="13.2">
      <c r="B670" s="88"/>
      <c r="H670" s="88"/>
    </row>
    <row r="671" spans="2:8" ht="13.2">
      <c r="B671" s="88"/>
      <c r="H671" s="88"/>
    </row>
    <row r="672" spans="2:8" ht="13.2">
      <c r="B672" s="88"/>
      <c r="H672" s="88"/>
    </row>
    <row r="673" spans="2:8" ht="13.2">
      <c r="B673" s="88"/>
      <c r="H673" s="88"/>
    </row>
    <row r="674" spans="2:8" ht="13.2">
      <c r="B674" s="88"/>
      <c r="H674" s="88"/>
    </row>
    <row r="675" spans="2:8" ht="13.2">
      <c r="B675" s="88"/>
      <c r="H675" s="88"/>
    </row>
    <row r="676" spans="2:8" ht="13.2">
      <c r="B676" s="88"/>
      <c r="H676" s="88"/>
    </row>
    <row r="677" spans="2:8" ht="13.2">
      <c r="B677" s="88"/>
      <c r="H677" s="88"/>
    </row>
    <row r="678" spans="2:8" ht="13.2">
      <c r="B678" s="88"/>
      <c r="H678" s="88"/>
    </row>
    <row r="679" spans="2:8" ht="13.2">
      <c r="B679" s="88"/>
      <c r="H679" s="88"/>
    </row>
    <row r="680" spans="2:8" ht="13.2">
      <c r="B680" s="88"/>
      <c r="H680" s="88"/>
    </row>
    <row r="681" spans="2:8" ht="13.2">
      <c r="B681" s="88"/>
      <c r="H681" s="88"/>
    </row>
    <row r="682" spans="2:8" ht="13.2">
      <c r="B682" s="88"/>
      <c r="H682" s="88"/>
    </row>
    <row r="683" spans="2:8" ht="13.2">
      <c r="B683" s="88"/>
      <c r="H683" s="88"/>
    </row>
    <row r="684" spans="2:8" ht="13.2">
      <c r="B684" s="88"/>
      <c r="H684" s="88"/>
    </row>
    <row r="685" spans="2:8" ht="13.2">
      <c r="B685" s="88"/>
      <c r="H685" s="88"/>
    </row>
    <row r="686" spans="2:8" ht="13.2">
      <c r="B686" s="88"/>
      <c r="H686" s="88"/>
    </row>
    <row r="687" spans="2:8" ht="13.2">
      <c r="B687" s="88"/>
      <c r="H687" s="88"/>
    </row>
    <row r="688" spans="2:8" ht="13.2">
      <c r="B688" s="88"/>
      <c r="H688" s="88"/>
    </row>
    <row r="689" spans="2:8" ht="13.2">
      <c r="B689" s="88"/>
      <c r="H689" s="88"/>
    </row>
    <row r="690" spans="2:8" ht="13.2">
      <c r="B690" s="88"/>
      <c r="H690" s="88"/>
    </row>
    <row r="691" spans="2:8" ht="13.2">
      <c r="B691" s="88"/>
      <c r="H691" s="88"/>
    </row>
    <row r="692" spans="2:8" ht="13.2">
      <c r="B692" s="88"/>
      <c r="H692" s="88"/>
    </row>
    <row r="693" spans="2:8" ht="13.2">
      <c r="B693" s="88"/>
      <c r="H693" s="88"/>
    </row>
    <row r="694" spans="2:8" ht="13.2">
      <c r="B694" s="88"/>
      <c r="H694" s="88"/>
    </row>
    <row r="695" spans="2:8" ht="13.2">
      <c r="B695" s="88"/>
      <c r="H695" s="88"/>
    </row>
    <row r="696" spans="2:8" ht="13.2">
      <c r="B696" s="88"/>
      <c r="H696" s="88"/>
    </row>
    <row r="697" spans="2:8" ht="13.2">
      <c r="B697" s="88"/>
      <c r="H697" s="88"/>
    </row>
    <row r="698" spans="2:8" ht="13.2">
      <c r="B698" s="88"/>
      <c r="H698" s="88"/>
    </row>
    <row r="699" spans="2:8" ht="13.2">
      <c r="B699" s="88"/>
      <c r="H699" s="88"/>
    </row>
    <row r="700" spans="2:8" ht="13.2">
      <c r="B700" s="88"/>
      <c r="H700" s="88"/>
    </row>
    <row r="701" spans="2:8" ht="13.2">
      <c r="B701" s="88"/>
      <c r="H701" s="88"/>
    </row>
    <row r="702" spans="2:8" ht="13.2">
      <c r="B702" s="88"/>
      <c r="H702" s="88"/>
    </row>
    <row r="703" spans="2:8" ht="13.2">
      <c r="B703" s="88"/>
      <c r="H703" s="88"/>
    </row>
    <row r="704" spans="2:8" ht="13.2">
      <c r="B704" s="88"/>
      <c r="H704" s="88"/>
    </row>
    <row r="705" spans="2:8" ht="13.2">
      <c r="B705" s="88"/>
      <c r="H705" s="88"/>
    </row>
    <row r="706" spans="2:8" ht="13.2">
      <c r="B706" s="88"/>
      <c r="H706" s="88"/>
    </row>
    <row r="707" spans="2:8" ht="13.2">
      <c r="B707" s="88"/>
      <c r="H707" s="88"/>
    </row>
    <row r="708" spans="2:8" ht="13.2">
      <c r="B708" s="88"/>
      <c r="H708" s="88"/>
    </row>
    <row r="709" spans="2:8" ht="13.2">
      <c r="B709" s="88"/>
      <c r="H709" s="88"/>
    </row>
    <row r="710" spans="2:8" ht="13.2">
      <c r="B710" s="88"/>
      <c r="H710" s="88"/>
    </row>
    <row r="711" spans="2:8" ht="13.2">
      <c r="B711" s="88"/>
      <c r="H711" s="88"/>
    </row>
    <row r="712" spans="2:8" ht="13.2">
      <c r="B712" s="88"/>
      <c r="H712" s="88"/>
    </row>
    <row r="713" spans="2:8" ht="13.2">
      <c r="B713" s="88"/>
      <c r="H713" s="88"/>
    </row>
    <row r="714" spans="2:8" ht="13.2">
      <c r="B714" s="88"/>
      <c r="H714" s="88"/>
    </row>
    <row r="715" spans="2:8" ht="13.2">
      <c r="B715" s="88"/>
      <c r="H715" s="88"/>
    </row>
    <row r="716" spans="2:8" ht="13.2">
      <c r="B716" s="88"/>
      <c r="H716" s="88"/>
    </row>
    <row r="717" spans="2:8" ht="13.2">
      <c r="B717" s="88"/>
      <c r="H717" s="88"/>
    </row>
    <row r="718" spans="2:8" ht="13.2">
      <c r="B718" s="88"/>
      <c r="H718" s="88"/>
    </row>
    <row r="719" spans="2:8" ht="13.2">
      <c r="B719" s="88"/>
      <c r="H719" s="88"/>
    </row>
    <row r="720" spans="2:8" ht="13.2">
      <c r="B720" s="88"/>
      <c r="H720" s="88"/>
    </row>
    <row r="721" spans="2:8" ht="13.2">
      <c r="B721" s="88"/>
      <c r="H721" s="88"/>
    </row>
    <row r="722" spans="2:8" ht="13.2">
      <c r="B722" s="88"/>
      <c r="H722" s="88"/>
    </row>
    <row r="723" spans="2:8" ht="13.2">
      <c r="B723" s="88"/>
      <c r="H723" s="88"/>
    </row>
    <row r="724" spans="2:8" ht="13.2">
      <c r="B724" s="88"/>
      <c r="H724" s="88"/>
    </row>
    <row r="725" spans="2:8" ht="13.2">
      <c r="B725" s="88"/>
      <c r="H725" s="88"/>
    </row>
    <row r="726" spans="2:8" ht="13.2">
      <c r="B726" s="88"/>
      <c r="H726" s="88"/>
    </row>
    <row r="727" spans="2:8" ht="13.2">
      <c r="B727" s="88"/>
      <c r="H727" s="88"/>
    </row>
    <row r="728" spans="2:8" ht="13.2">
      <c r="B728" s="88"/>
      <c r="H728" s="88"/>
    </row>
    <row r="729" spans="2:8" ht="13.2">
      <c r="B729" s="88"/>
      <c r="H729" s="88"/>
    </row>
    <row r="730" spans="2:8" ht="13.2">
      <c r="B730" s="88"/>
      <c r="H730" s="88"/>
    </row>
    <row r="731" spans="2:8" ht="13.2">
      <c r="B731" s="88"/>
      <c r="H731" s="88"/>
    </row>
    <row r="732" spans="2:8" ht="13.2">
      <c r="B732" s="88"/>
      <c r="H732" s="88"/>
    </row>
    <row r="733" spans="2:8" ht="13.2">
      <c r="B733" s="88"/>
      <c r="H733" s="88"/>
    </row>
    <row r="734" spans="2:8" ht="13.2">
      <c r="B734" s="88"/>
      <c r="H734" s="88"/>
    </row>
    <row r="735" spans="2:8" ht="13.2">
      <c r="B735" s="88"/>
      <c r="H735" s="88"/>
    </row>
    <row r="736" spans="2:8" ht="13.2">
      <c r="B736" s="88"/>
      <c r="H736" s="88"/>
    </row>
    <row r="737" spans="2:8" ht="13.2">
      <c r="B737" s="88"/>
      <c r="H737" s="88"/>
    </row>
    <row r="738" spans="2:8" ht="13.2">
      <c r="B738" s="88"/>
      <c r="H738" s="88"/>
    </row>
    <row r="739" spans="2:8" ht="13.2">
      <c r="B739" s="88"/>
      <c r="H739" s="88"/>
    </row>
    <row r="740" spans="2:8" ht="13.2">
      <c r="B740" s="88"/>
      <c r="H740" s="88"/>
    </row>
    <row r="741" spans="2:8" ht="13.2">
      <c r="B741" s="88"/>
      <c r="H741" s="88"/>
    </row>
    <row r="742" spans="2:8" ht="13.2">
      <c r="B742" s="88"/>
      <c r="H742" s="88"/>
    </row>
    <row r="743" spans="2:8" ht="13.2">
      <c r="B743" s="88"/>
      <c r="H743" s="88"/>
    </row>
    <row r="744" spans="2:8" ht="13.2">
      <c r="B744" s="88"/>
      <c r="H744" s="88"/>
    </row>
    <row r="745" spans="2:8" ht="13.2">
      <c r="B745" s="88"/>
      <c r="H745" s="88"/>
    </row>
    <row r="746" spans="2:8" ht="13.2">
      <c r="B746" s="88"/>
      <c r="H746" s="88"/>
    </row>
    <row r="747" spans="2:8" ht="13.2">
      <c r="B747" s="88"/>
      <c r="H747" s="88"/>
    </row>
    <row r="748" spans="2:8" ht="13.2">
      <c r="B748" s="88"/>
      <c r="H748" s="88"/>
    </row>
    <row r="749" spans="2:8" ht="13.2">
      <c r="B749" s="88"/>
      <c r="H749" s="88"/>
    </row>
    <row r="750" spans="2:8" ht="13.2">
      <c r="B750" s="88"/>
      <c r="H750" s="88"/>
    </row>
    <row r="751" spans="2:8" ht="13.2">
      <c r="B751" s="88"/>
      <c r="H751" s="88"/>
    </row>
    <row r="752" spans="2:8" ht="13.2">
      <c r="B752" s="88"/>
      <c r="H752" s="88"/>
    </row>
    <row r="753" spans="2:8" ht="13.2">
      <c r="B753" s="88"/>
      <c r="H753" s="88"/>
    </row>
    <row r="754" spans="2:8" ht="13.2">
      <c r="B754" s="88"/>
      <c r="H754" s="88"/>
    </row>
    <row r="755" spans="2:8" ht="13.2">
      <c r="B755" s="88"/>
      <c r="H755" s="88"/>
    </row>
    <row r="756" spans="2:8" ht="13.2">
      <c r="B756" s="88"/>
      <c r="H756" s="88"/>
    </row>
    <row r="757" spans="2:8" ht="13.2">
      <c r="B757" s="88"/>
      <c r="H757" s="88"/>
    </row>
    <row r="758" spans="2:8" ht="13.2">
      <c r="B758" s="88"/>
      <c r="H758" s="88"/>
    </row>
    <row r="759" spans="2:8" ht="13.2">
      <c r="B759" s="88"/>
      <c r="H759" s="88"/>
    </row>
    <row r="760" spans="2:8" ht="13.2">
      <c r="B760" s="88"/>
      <c r="H760" s="88"/>
    </row>
    <row r="761" spans="2:8" ht="13.2">
      <c r="B761" s="88"/>
      <c r="H761" s="88"/>
    </row>
    <row r="762" spans="2:8" ht="13.2">
      <c r="B762" s="88"/>
      <c r="H762" s="88"/>
    </row>
    <row r="763" spans="2:8" ht="13.2">
      <c r="B763" s="88"/>
      <c r="H763" s="88"/>
    </row>
    <row r="764" spans="2:8" ht="13.2">
      <c r="B764" s="88"/>
      <c r="H764" s="88"/>
    </row>
    <row r="765" spans="2:8" ht="13.2">
      <c r="B765" s="88"/>
      <c r="H765" s="88"/>
    </row>
    <row r="766" spans="2:8" ht="13.2">
      <c r="B766" s="88"/>
      <c r="H766" s="88"/>
    </row>
    <row r="767" spans="2:8" ht="13.2">
      <c r="B767" s="88"/>
      <c r="H767" s="88"/>
    </row>
    <row r="768" spans="2:8" ht="13.2">
      <c r="B768" s="88"/>
      <c r="H768" s="88"/>
    </row>
    <row r="769" spans="2:8" ht="13.2">
      <c r="B769" s="88"/>
      <c r="H769" s="88"/>
    </row>
    <row r="770" spans="2:8" ht="13.2">
      <c r="B770" s="88"/>
      <c r="H770" s="88"/>
    </row>
    <row r="771" spans="2:8" ht="13.2">
      <c r="B771" s="88"/>
      <c r="H771" s="88"/>
    </row>
    <row r="772" spans="2:8" ht="13.2">
      <c r="B772" s="88"/>
      <c r="H772" s="88"/>
    </row>
    <row r="773" spans="2:8" ht="13.2">
      <c r="B773" s="88"/>
      <c r="H773" s="88"/>
    </row>
    <row r="774" spans="2:8" ht="13.2">
      <c r="B774" s="88"/>
      <c r="H774" s="88"/>
    </row>
    <row r="775" spans="2:8" ht="13.2">
      <c r="B775" s="88"/>
      <c r="H775" s="88"/>
    </row>
    <row r="776" spans="2:8" ht="13.2">
      <c r="B776" s="88"/>
      <c r="H776" s="88"/>
    </row>
    <row r="777" spans="2:8" ht="13.2">
      <c r="B777" s="88"/>
      <c r="H777" s="88"/>
    </row>
    <row r="778" spans="2:8" ht="13.2">
      <c r="B778" s="88"/>
      <c r="H778" s="88"/>
    </row>
    <row r="779" spans="2:8" ht="13.2">
      <c r="B779" s="88"/>
      <c r="H779" s="88"/>
    </row>
    <row r="780" spans="2:8" ht="13.2">
      <c r="B780" s="88"/>
      <c r="H780" s="88"/>
    </row>
    <row r="781" spans="2:8" ht="13.2">
      <c r="B781" s="88"/>
      <c r="H781" s="88"/>
    </row>
    <row r="782" spans="2:8" ht="13.2">
      <c r="B782" s="88"/>
      <c r="H782" s="88"/>
    </row>
    <row r="783" spans="2:8" ht="13.2">
      <c r="B783" s="88"/>
      <c r="H783" s="88"/>
    </row>
    <row r="784" spans="2:8" ht="13.2">
      <c r="B784" s="88"/>
      <c r="H784" s="88"/>
    </row>
    <row r="785" spans="2:8" ht="13.2">
      <c r="B785" s="88"/>
      <c r="H785" s="88"/>
    </row>
    <row r="786" spans="2:8" ht="13.2">
      <c r="B786" s="88"/>
      <c r="H786" s="88"/>
    </row>
    <row r="787" spans="2:8" ht="13.2">
      <c r="B787" s="88"/>
      <c r="H787" s="88"/>
    </row>
    <row r="788" spans="2:8" ht="13.2">
      <c r="B788" s="88"/>
      <c r="H788" s="88"/>
    </row>
    <row r="789" spans="2:8" ht="13.2">
      <c r="B789" s="88"/>
      <c r="H789" s="88"/>
    </row>
    <row r="790" spans="2:8" ht="13.2">
      <c r="B790" s="88"/>
      <c r="H790" s="88"/>
    </row>
    <row r="791" spans="2:8" ht="13.2">
      <c r="B791" s="88"/>
      <c r="H791" s="88"/>
    </row>
    <row r="792" spans="2:8" ht="13.2">
      <c r="B792" s="88"/>
      <c r="H792" s="88"/>
    </row>
    <row r="793" spans="2:8" ht="13.2">
      <c r="B793" s="88"/>
      <c r="H793" s="88"/>
    </row>
    <row r="794" spans="2:8" ht="13.2">
      <c r="B794" s="88"/>
      <c r="H794" s="88"/>
    </row>
    <row r="795" spans="2:8" ht="13.2">
      <c r="B795" s="88"/>
      <c r="H795" s="88"/>
    </row>
    <row r="796" spans="2:8" ht="13.2">
      <c r="B796" s="88"/>
      <c r="H796" s="88"/>
    </row>
    <row r="797" spans="2:8" ht="13.2">
      <c r="B797" s="88"/>
      <c r="H797" s="88"/>
    </row>
    <row r="798" spans="2:8" ht="13.2">
      <c r="B798" s="88"/>
      <c r="H798" s="88"/>
    </row>
    <row r="799" spans="2:8" ht="13.2">
      <c r="B799" s="88"/>
      <c r="H799" s="88"/>
    </row>
    <row r="800" spans="2:8" ht="13.2">
      <c r="B800" s="88"/>
      <c r="H800" s="88"/>
    </row>
    <row r="801" spans="2:8" ht="13.2">
      <c r="B801" s="88"/>
      <c r="H801" s="88"/>
    </row>
    <row r="802" spans="2:8" ht="13.2">
      <c r="B802" s="88"/>
      <c r="H802" s="88"/>
    </row>
    <row r="803" spans="2:8" ht="13.2">
      <c r="B803" s="88"/>
      <c r="H803" s="88"/>
    </row>
    <row r="804" spans="2:8" ht="13.2">
      <c r="B804" s="88"/>
      <c r="H804" s="88"/>
    </row>
    <row r="805" spans="2:8" ht="13.2">
      <c r="B805" s="88"/>
      <c r="H805" s="88"/>
    </row>
    <row r="806" spans="2:8" ht="13.2">
      <c r="B806" s="88"/>
      <c r="H806" s="88"/>
    </row>
    <row r="807" spans="2:8" ht="13.2">
      <c r="B807" s="88"/>
      <c r="H807" s="88"/>
    </row>
    <row r="808" spans="2:8" ht="13.2">
      <c r="B808" s="88"/>
      <c r="H808" s="88"/>
    </row>
    <row r="809" spans="2:8" ht="13.2">
      <c r="B809" s="88"/>
      <c r="H809" s="88"/>
    </row>
    <row r="810" spans="2:8" ht="13.2">
      <c r="B810" s="88"/>
      <c r="H810" s="88"/>
    </row>
    <row r="811" spans="2:8" ht="13.2">
      <c r="B811" s="88"/>
      <c r="H811" s="88"/>
    </row>
    <row r="812" spans="2:8" ht="13.2">
      <c r="B812" s="88"/>
      <c r="H812" s="88"/>
    </row>
    <row r="813" spans="2:8" ht="13.2">
      <c r="B813" s="88"/>
      <c r="H813" s="88"/>
    </row>
    <row r="814" spans="2:8" ht="13.2">
      <c r="B814" s="88"/>
      <c r="H814" s="88"/>
    </row>
    <row r="815" spans="2:8" ht="13.2">
      <c r="B815" s="88"/>
      <c r="H815" s="88"/>
    </row>
    <row r="816" spans="2:8" ht="13.2">
      <c r="B816" s="88"/>
      <c r="H816" s="88"/>
    </row>
    <row r="817" spans="2:8" ht="13.2">
      <c r="B817" s="88"/>
      <c r="H817" s="88"/>
    </row>
    <row r="818" spans="2:8" ht="13.2">
      <c r="B818" s="88"/>
      <c r="H818" s="88"/>
    </row>
    <row r="819" spans="2:8" ht="13.2">
      <c r="B819" s="88"/>
      <c r="H819" s="88"/>
    </row>
    <row r="820" spans="2:8" ht="13.2">
      <c r="B820" s="88"/>
      <c r="H820" s="88"/>
    </row>
    <row r="821" spans="2:8" ht="13.2">
      <c r="B821" s="88"/>
      <c r="H821" s="88"/>
    </row>
    <row r="822" spans="2:8" ht="13.2">
      <c r="B822" s="88"/>
      <c r="H822" s="88"/>
    </row>
    <row r="823" spans="2:8" ht="13.2">
      <c r="B823" s="88"/>
      <c r="H823" s="88"/>
    </row>
    <row r="824" spans="2:8" ht="13.2">
      <c r="B824" s="88"/>
      <c r="H824" s="88"/>
    </row>
    <row r="825" spans="2:8" ht="13.2">
      <c r="B825" s="88"/>
      <c r="H825" s="88"/>
    </row>
    <row r="826" spans="2:8" ht="13.2">
      <c r="B826" s="88"/>
      <c r="H826" s="88"/>
    </row>
    <row r="827" spans="2:8" ht="13.2">
      <c r="B827" s="88"/>
      <c r="H827" s="88"/>
    </row>
    <row r="828" spans="2:8" ht="13.2">
      <c r="B828" s="88"/>
      <c r="H828" s="88"/>
    </row>
    <row r="829" spans="2:8" ht="13.2">
      <c r="B829" s="88"/>
      <c r="H829" s="88"/>
    </row>
    <row r="830" spans="2:8" ht="13.2">
      <c r="B830" s="88"/>
      <c r="H830" s="88"/>
    </row>
    <row r="831" spans="2:8" ht="13.2">
      <c r="B831" s="88"/>
      <c r="H831" s="88"/>
    </row>
    <row r="832" spans="2:8" ht="13.2">
      <c r="B832" s="88"/>
      <c r="H832" s="88"/>
    </row>
    <row r="833" spans="2:8" ht="13.2">
      <c r="B833" s="88"/>
      <c r="H833" s="88"/>
    </row>
    <row r="834" spans="2:8" ht="13.2">
      <c r="B834" s="88"/>
      <c r="H834" s="88"/>
    </row>
    <row r="835" spans="2:8" ht="13.2">
      <c r="B835" s="88"/>
      <c r="H835" s="88"/>
    </row>
    <row r="836" spans="2:8" ht="13.2">
      <c r="B836" s="88"/>
      <c r="H836" s="88"/>
    </row>
    <row r="837" spans="2:8" ht="13.2">
      <c r="B837" s="88"/>
      <c r="H837" s="88"/>
    </row>
    <row r="838" spans="2:8" ht="13.2">
      <c r="B838" s="88"/>
      <c r="H838" s="88"/>
    </row>
    <row r="839" spans="2:8" ht="13.2">
      <c r="B839" s="88"/>
      <c r="H839" s="88"/>
    </row>
    <row r="840" spans="2:8" ht="13.2">
      <c r="B840" s="88"/>
      <c r="H840" s="88"/>
    </row>
    <row r="841" spans="2:8" ht="13.2">
      <c r="B841" s="88"/>
      <c r="H841" s="88"/>
    </row>
    <row r="842" spans="2:8" ht="13.2">
      <c r="B842" s="88"/>
      <c r="H842" s="88"/>
    </row>
    <row r="843" spans="2:8" ht="13.2">
      <c r="B843" s="88"/>
      <c r="H843" s="88"/>
    </row>
    <row r="844" spans="2:8" ht="13.2">
      <c r="B844" s="88"/>
      <c r="H844" s="88"/>
    </row>
    <row r="845" spans="2:8" ht="13.2">
      <c r="B845" s="88"/>
      <c r="H845" s="88"/>
    </row>
    <row r="846" spans="2:8" ht="13.2">
      <c r="B846" s="88"/>
      <c r="H846" s="88"/>
    </row>
    <row r="847" spans="2:8" ht="13.2">
      <c r="B847" s="88"/>
      <c r="H847" s="88"/>
    </row>
    <row r="848" spans="2:8" ht="13.2">
      <c r="B848" s="88"/>
      <c r="H848" s="88"/>
    </row>
    <row r="849" spans="2:8" ht="13.2">
      <c r="B849" s="88"/>
      <c r="H849" s="88"/>
    </row>
    <row r="850" spans="2:8" ht="13.2">
      <c r="B850" s="88"/>
      <c r="H850" s="88"/>
    </row>
    <row r="851" spans="2:8" ht="13.2">
      <c r="B851" s="88"/>
      <c r="H851" s="88"/>
    </row>
    <row r="852" spans="2:8" ht="13.2">
      <c r="B852" s="88"/>
      <c r="H852" s="88"/>
    </row>
    <row r="853" spans="2:8" ht="13.2">
      <c r="B853" s="88"/>
      <c r="H853" s="88"/>
    </row>
    <row r="854" spans="2:8" ht="13.2">
      <c r="B854" s="88"/>
      <c r="H854" s="88"/>
    </row>
    <row r="855" spans="2:8" ht="13.2">
      <c r="B855" s="88"/>
      <c r="H855" s="88"/>
    </row>
    <row r="856" spans="2:8" ht="13.2">
      <c r="B856" s="88"/>
      <c r="H856" s="88"/>
    </row>
    <row r="857" spans="2:8" ht="13.2">
      <c r="B857" s="88"/>
      <c r="H857" s="88"/>
    </row>
    <row r="858" spans="2:8" ht="13.2">
      <c r="B858" s="88"/>
      <c r="H858" s="88"/>
    </row>
    <row r="859" spans="2:8" ht="13.2">
      <c r="B859" s="88"/>
      <c r="H859" s="88"/>
    </row>
    <row r="860" spans="2:8" ht="13.2">
      <c r="B860" s="88"/>
      <c r="H860" s="88"/>
    </row>
    <row r="861" spans="2:8" ht="13.2">
      <c r="B861" s="88"/>
      <c r="H861" s="88"/>
    </row>
    <row r="862" spans="2:8" ht="13.2">
      <c r="B862" s="88"/>
      <c r="H862" s="88"/>
    </row>
    <row r="863" spans="2:8" ht="13.2">
      <c r="B863" s="88"/>
      <c r="H863" s="88"/>
    </row>
    <row r="864" spans="2:8" ht="13.2">
      <c r="B864" s="88"/>
      <c r="H864" s="88"/>
    </row>
    <row r="865" spans="2:8" ht="13.2">
      <c r="B865" s="88"/>
      <c r="H865" s="88"/>
    </row>
    <row r="866" spans="2:8" ht="13.2">
      <c r="B866" s="88"/>
      <c r="H866" s="88"/>
    </row>
    <row r="867" spans="2:8" ht="13.2">
      <c r="B867" s="88"/>
      <c r="H867" s="88"/>
    </row>
    <row r="868" spans="2:8" ht="13.2">
      <c r="B868" s="88"/>
      <c r="H868" s="88"/>
    </row>
    <row r="869" spans="2:8" ht="13.2">
      <c r="B869" s="88"/>
      <c r="H869" s="88"/>
    </row>
    <row r="870" spans="2:8" ht="13.2">
      <c r="B870" s="88"/>
      <c r="H870" s="88"/>
    </row>
    <row r="871" spans="2:8" ht="13.2">
      <c r="B871" s="88"/>
      <c r="H871" s="88"/>
    </row>
    <row r="872" spans="2:8" ht="13.2">
      <c r="B872" s="88"/>
      <c r="H872" s="88"/>
    </row>
    <row r="873" spans="2:8" ht="13.2">
      <c r="B873" s="88"/>
      <c r="H873" s="88"/>
    </row>
    <row r="874" spans="2:8" ht="13.2">
      <c r="B874" s="88"/>
      <c r="H874" s="88"/>
    </row>
    <row r="875" spans="2:8" ht="13.2">
      <c r="B875" s="88"/>
      <c r="H875" s="88"/>
    </row>
    <row r="876" spans="2:8" ht="13.2">
      <c r="B876" s="88"/>
      <c r="H876" s="88"/>
    </row>
    <row r="877" spans="2:8" ht="13.2">
      <c r="B877" s="88"/>
      <c r="H877" s="88"/>
    </row>
    <row r="878" spans="2:8" ht="13.2">
      <c r="B878" s="88"/>
      <c r="H878" s="88"/>
    </row>
    <row r="879" spans="2:8" ht="13.2">
      <c r="B879" s="88"/>
      <c r="H879" s="88"/>
    </row>
    <row r="880" spans="2:8" ht="13.2">
      <c r="B880" s="88"/>
      <c r="H880" s="88"/>
    </row>
    <row r="881" spans="2:8" ht="13.2">
      <c r="B881" s="88"/>
      <c r="H881" s="88"/>
    </row>
    <row r="882" spans="2:8" ht="13.2">
      <c r="B882" s="88"/>
      <c r="H882" s="88"/>
    </row>
    <row r="883" spans="2:8" ht="13.2">
      <c r="B883" s="88"/>
      <c r="H883" s="88"/>
    </row>
    <row r="884" spans="2:8" ht="13.2">
      <c r="B884" s="88"/>
      <c r="H884" s="88"/>
    </row>
    <row r="885" spans="2:8" ht="13.2">
      <c r="B885" s="88"/>
      <c r="H885" s="88"/>
    </row>
    <row r="886" spans="2:8" ht="13.2">
      <c r="B886" s="88"/>
      <c r="H886" s="88"/>
    </row>
    <row r="887" spans="2:8" ht="13.2">
      <c r="B887" s="88"/>
      <c r="H887" s="88"/>
    </row>
    <row r="888" spans="2:8" ht="13.2">
      <c r="B888" s="88"/>
      <c r="H888" s="88"/>
    </row>
    <row r="889" spans="2:8" ht="13.2">
      <c r="B889" s="88"/>
      <c r="H889" s="88"/>
    </row>
    <row r="890" spans="2:8" ht="13.2">
      <c r="B890" s="88"/>
      <c r="H890" s="88"/>
    </row>
    <row r="891" spans="2:8" ht="13.2">
      <c r="B891" s="88"/>
      <c r="H891" s="88"/>
    </row>
    <row r="892" spans="2:8" ht="13.2">
      <c r="B892" s="88"/>
      <c r="H892" s="88"/>
    </row>
    <row r="893" spans="2:8" ht="13.2">
      <c r="B893" s="88"/>
      <c r="H893" s="88"/>
    </row>
    <row r="894" spans="2:8" ht="13.2">
      <c r="B894" s="88"/>
      <c r="H894" s="88"/>
    </row>
    <row r="895" spans="2:8" ht="13.2">
      <c r="B895" s="88"/>
      <c r="H895" s="88"/>
    </row>
    <row r="896" spans="2:8" ht="13.2">
      <c r="B896" s="88"/>
      <c r="H896" s="88"/>
    </row>
    <row r="897" spans="2:8" ht="13.2">
      <c r="B897" s="88"/>
      <c r="H897" s="88"/>
    </row>
    <row r="898" spans="2:8" ht="13.2">
      <c r="B898" s="88"/>
      <c r="H898" s="88"/>
    </row>
    <row r="899" spans="2:8" ht="13.2">
      <c r="B899" s="88"/>
      <c r="H899" s="88"/>
    </row>
    <row r="900" spans="2:8" ht="13.2">
      <c r="B900" s="88"/>
      <c r="H900" s="88"/>
    </row>
    <row r="901" spans="2:8" ht="13.2">
      <c r="B901" s="88"/>
      <c r="H901" s="88"/>
    </row>
    <row r="902" spans="2:8" ht="13.2">
      <c r="B902" s="88"/>
      <c r="H902" s="88"/>
    </row>
    <row r="903" spans="2:8" ht="13.2">
      <c r="B903" s="88"/>
      <c r="H903" s="88"/>
    </row>
    <row r="904" spans="2:8" ht="13.2">
      <c r="B904" s="88"/>
      <c r="H904" s="88"/>
    </row>
    <row r="905" spans="2:8" ht="13.2">
      <c r="B905" s="88"/>
      <c r="H905" s="88"/>
    </row>
    <row r="906" spans="2:8" ht="13.2">
      <c r="B906" s="88"/>
      <c r="H906" s="88"/>
    </row>
    <row r="907" spans="2:8" ht="13.2">
      <c r="B907" s="88"/>
      <c r="H907" s="88"/>
    </row>
    <row r="908" spans="2:8" ht="13.2">
      <c r="B908" s="88"/>
      <c r="H908" s="88"/>
    </row>
    <row r="909" spans="2:8" ht="13.2">
      <c r="B909" s="88"/>
      <c r="H909" s="88"/>
    </row>
    <row r="910" spans="2:8" ht="13.2">
      <c r="B910" s="88"/>
      <c r="H910" s="88"/>
    </row>
    <row r="911" spans="2:8" ht="13.2">
      <c r="B911" s="88"/>
      <c r="H911" s="88"/>
    </row>
    <row r="912" spans="2:8" ht="13.2">
      <c r="B912" s="88"/>
      <c r="H912" s="88"/>
    </row>
    <row r="913" spans="2:8" ht="13.2">
      <c r="B913" s="88"/>
      <c r="H913" s="88"/>
    </row>
    <row r="914" spans="2:8" ht="13.2">
      <c r="B914" s="88"/>
      <c r="H914" s="88"/>
    </row>
    <row r="915" spans="2:8" ht="13.2">
      <c r="B915" s="88"/>
      <c r="H915" s="88"/>
    </row>
    <row r="916" spans="2:8" ht="13.2">
      <c r="B916" s="88"/>
      <c r="H916" s="88"/>
    </row>
    <row r="917" spans="2:8" ht="13.2">
      <c r="B917" s="88"/>
      <c r="H917" s="88"/>
    </row>
    <row r="918" spans="2:8" ht="13.2">
      <c r="B918" s="88"/>
      <c r="H918" s="88"/>
    </row>
    <row r="919" spans="2:8" ht="13.2">
      <c r="B919" s="88"/>
      <c r="H919" s="88"/>
    </row>
    <row r="920" spans="2:8" ht="13.2">
      <c r="B920" s="88"/>
      <c r="H920" s="88"/>
    </row>
    <row r="921" spans="2:8" ht="13.2">
      <c r="B921" s="88"/>
      <c r="H921" s="88"/>
    </row>
    <row r="922" spans="2:8" ht="13.2">
      <c r="B922" s="88"/>
      <c r="H922" s="88"/>
    </row>
    <row r="923" spans="2:8" ht="13.2">
      <c r="B923" s="88"/>
      <c r="H923" s="88"/>
    </row>
    <row r="924" spans="2:8" ht="13.2">
      <c r="B924" s="88"/>
      <c r="H924" s="88"/>
    </row>
    <row r="925" spans="2:8" ht="13.2">
      <c r="B925" s="88"/>
      <c r="H925" s="88"/>
    </row>
    <row r="926" spans="2:8" ht="13.2">
      <c r="B926" s="88"/>
      <c r="H926" s="88"/>
    </row>
    <row r="927" spans="2:8" ht="13.2">
      <c r="B927" s="88"/>
      <c r="H927" s="88"/>
    </row>
    <row r="928" spans="2:8" ht="13.2">
      <c r="B928" s="88"/>
      <c r="H928" s="88"/>
    </row>
    <row r="929" spans="2:8" ht="13.2">
      <c r="B929" s="88"/>
      <c r="H929" s="88"/>
    </row>
    <row r="930" spans="2:8" ht="13.2">
      <c r="B930" s="88"/>
      <c r="H930" s="88"/>
    </row>
    <row r="931" spans="2:8" ht="13.2">
      <c r="B931" s="88"/>
      <c r="H931" s="88"/>
    </row>
    <row r="932" spans="2:8" ht="13.2">
      <c r="B932" s="88"/>
      <c r="H932" s="88"/>
    </row>
    <row r="933" spans="2:8" ht="13.2">
      <c r="B933" s="88"/>
      <c r="H933" s="88"/>
    </row>
    <row r="934" spans="2:8" ht="13.2">
      <c r="B934" s="88"/>
      <c r="H934" s="88"/>
    </row>
    <row r="935" spans="2:8" ht="13.2">
      <c r="B935" s="88"/>
      <c r="H935" s="88"/>
    </row>
    <row r="936" spans="2:8" ht="13.2">
      <c r="B936" s="88"/>
      <c r="H936" s="88"/>
    </row>
    <row r="937" spans="2:8" ht="13.2">
      <c r="B937" s="88"/>
      <c r="H937" s="88"/>
    </row>
    <row r="938" spans="2:8" ht="13.2">
      <c r="B938" s="88"/>
      <c r="H938" s="88"/>
    </row>
    <row r="939" spans="2:8" ht="13.2">
      <c r="B939" s="88"/>
      <c r="H939" s="88"/>
    </row>
    <row r="940" spans="2:8" ht="13.2">
      <c r="B940" s="88"/>
      <c r="H940" s="88"/>
    </row>
    <row r="941" spans="2:8" ht="13.2">
      <c r="B941" s="88"/>
      <c r="H941" s="88"/>
    </row>
    <row r="942" spans="2:8" ht="13.2">
      <c r="B942" s="88"/>
      <c r="H942" s="88"/>
    </row>
    <row r="943" spans="2:8" ht="13.2">
      <c r="B943" s="88"/>
      <c r="H943" s="88"/>
    </row>
    <row r="944" spans="2:8" ht="13.2">
      <c r="B944" s="88"/>
      <c r="H944" s="88"/>
    </row>
    <row r="945" spans="2:8" ht="13.2">
      <c r="B945" s="88"/>
      <c r="H945" s="88"/>
    </row>
    <row r="946" spans="2:8" ht="13.2">
      <c r="B946" s="88"/>
      <c r="H946" s="88"/>
    </row>
    <row r="947" spans="2:8" ht="13.2">
      <c r="B947" s="88"/>
      <c r="H947" s="88"/>
    </row>
    <row r="948" spans="2:8" ht="13.2">
      <c r="B948" s="88"/>
      <c r="H948" s="88"/>
    </row>
    <row r="949" spans="2:8" ht="13.2">
      <c r="B949" s="88"/>
      <c r="H949" s="88"/>
    </row>
    <row r="950" spans="2:8" ht="13.2">
      <c r="B950" s="88"/>
      <c r="H950" s="88"/>
    </row>
    <row r="951" spans="2:8" ht="13.2">
      <c r="B951" s="88"/>
      <c r="H951" s="88"/>
    </row>
    <row r="952" spans="2:8" ht="13.2">
      <c r="B952" s="88"/>
      <c r="H952" s="88"/>
    </row>
    <row r="953" spans="2:8" ht="13.2">
      <c r="B953" s="88"/>
      <c r="H953" s="88"/>
    </row>
    <row r="954" spans="2:8" ht="13.2">
      <c r="B954" s="88"/>
      <c r="H954" s="88"/>
    </row>
    <row r="955" spans="2:8" ht="13.2">
      <c r="B955" s="88"/>
      <c r="H955" s="88"/>
    </row>
    <row r="956" spans="2:8" ht="13.2">
      <c r="B956" s="88"/>
      <c r="H956" s="88"/>
    </row>
    <row r="957" spans="2:8" ht="13.2">
      <c r="B957" s="88"/>
      <c r="H957" s="88"/>
    </row>
    <row r="958" spans="2:8" ht="13.2">
      <c r="B958" s="88"/>
      <c r="H958" s="88"/>
    </row>
    <row r="959" spans="2:8" ht="13.2">
      <c r="B959" s="88"/>
      <c r="H959" s="88"/>
    </row>
    <row r="960" spans="2:8" ht="13.2">
      <c r="B960" s="88"/>
      <c r="H960" s="88"/>
    </row>
    <row r="961" spans="2:8" ht="13.2">
      <c r="B961" s="88"/>
      <c r="H961" s="88"/>
    </row>
    <row r="962" spans="2:8" ht="13.2">
      <c r="B962" s="88"/>
      <c r="H962" s="88"/>
    </row>
    <row r="963" spans="2:8" ht="13.2">
      <c r="B963" s="88"/>
      <c r="H963" s="88"/>
    </row>
    <row r="964" spans="2:8" ht="13.2">
      <c r="B964" s="88"/>
      <c r="H964" s="88"/>
    </row>
    <row r="965" spans="2:8" ht="13.2">
      <c r="B965" s="88"/>
      <c r="H965" s="88"/>
    </row>
    <row r="966" spans="2:8" ht="13.2">
      <c r="B966" s="88"/>
      <c r="H966" s="88"/>
    </row>
    <row r="967" spans="2:8" ht="13.2">
      <c r="B967" s="88"/>
      <c r="H967" s="88"/>
    </row>
    <row r="968" spans="2:8" ht="13.2">
      <c r="B968" s="88"/>
      <c r="H968" s="88"/>
    </row>
    <row r="969" spans="2:8" ht="13.2">
      <c r="B969" s="88"/>
      <c r="H969" s="88"/>
    </row>
    <row r="970" spans="2:8" ht="13.2">
      <c r="B970" s="88"/>
      <c r="H970" s="88"/>
    </row>
    <row r="971" spans="2:8" ht="13.2">
      <c r="B971" s="88"/>
      <c r="H971" s="88"/>
    </row>
    <row r="972" spans="2:8" ht="13.2">
      <c r="B972" s="88"/>
      <c r="H972" s="88"/>
    </row>
    <row r="973" spans="2:8" ht="13.2">
      <c r="B973" s="88"/>
      <c r="H973" s="88"/>
    </row>
    <row r="974" spans="2:8" ht="13.2">
      <c r="B974" s="88"/>
      <c r="H974" s="88"/>
    </row>
    <row r="975" spans="2:8" ht="13.2">
      <c r="B975" s="88"/>
      <c r="H975" s="88"/>
    </row>
    <row r="976" spans="2:8" ht="13.2">
      <c r="B976" s="88"/>
      <c r="H976" s="88"/>
    </row>
    <row r="977" spans="2:8" ht="13.2">
      <c r="B977" s="88"/>
      <c r="H977" s="88"/>
    </row>
    <row r="978" spans="2:8" ht="13.2">
      <c r="B978" s="88"/>
      <c r="H978" s="88"/>
    </row>
    <row r="979" spans="2:8" ht="13.2">
      <c r="B979" s="88"/>
      <c r="H979" s="88"/>
    </row>
    <row r="980" spans="2:8" ht="13.2">
      <c r="B980" s="88"/>
      <c r="H980" s="88"/>
    </row>
    <row r="981" spans="2:8" ht="13.2">
      <c r="B981" s="88"/>
      <c r="H981" s="88"/>
    </row>
    <row r="982" spans="2:8" ht="13.2">
      <c r="B982" s="88"/>
      <c r="H982" s="88"/>
    </row>
    <row r="983" spans="2:8" ht="13.2">
      <c r="B983" s="88"/>
      <c r="H983" s="88"/>
    </row>
    <row r="984" spans="2:8" ht="13.2">
      <c r="B984" s="88"/>
      <c r="H984" s="88"/>
    </row>
    <row r="985" spans="2:8" ht="13.2">
      <c r="B985" s="88"/>
      <c r="H985" s="88"/>
    </row>
    <row r="986" spans="2:8" ht="13.2">
      <c r="B986" s="88"/>
      <c r="H986" s="88"/>
    </row>
    <row r="987" spans="2:8" ht="13.2">
      <c r="B987" s="88"/>
      <c r="H987" s="88"/>
    </row>
    <row r="988" spans="2:8" ht="13.2">
      <c r="B988" s="88"/>
      <c r="H988" s="88"/>
    </row>
    <row r="989" spans="2:8" ht="13.2">
      <c r="B989" s="88"/>
      <c r="H989" s="88"/>
    </row>
    <row r="990" spans="2:8" ht="13.2">
      <c r="B990" s="88"/>
      <c r="H990" s="88"/>
    </row>
    <row r="991" spans="2:8" ht="13.2">
      <c r="B991" s="88"/>
      <c r="H991" s="88"/>
    </row>
    <row r="992" spans="2:8" ht="13.2">
      <c r="B992" s="88"/>
      <c r="H992" s="88"/>
    </row>
    <row r="993" spans="2:8" ht="13.2">
      <c r="B993" s="88"/>
      <c r="H993" s="88"/>
    </row>
    <row r="994" spans="2:8" ht="13.2">
      <c r="B994" s="88"/>
      <c r="H994" s="88"/>
    </row>
    <row r="995" spans="2:8" ht="13.2">
      <c r="B995" s="88"/>
      <c r="H995" s="88"/>
    </row>
    <row r="996" spans="2:8" ht="13.2">
      <c r="B996" s="88"/>
      <c r="H996" s="88"/>
    </row>
    <row r="997" spans="2:8" ht="13.2">
      <c r="B997" s="88"/>
      <c r="H997" s="88"/>
    </row>
    <row r="998" spans="2:8" ht="13.2">
      <c r="B998" s="88"/>
      <c r="H998" s="88"/>
    </row>
    <row r="999" spans="2:8" ht="13.2">
      <c r="B999" s="88"/>
      <c r="H999" s="88"/>
    </row>
    <row r="1000" spans="2:8" ht="13.2">
      <c r="B1000" s="88"/>
      <c r="H1000" s="88"/>
    </row>
    <row r="1001" spans="2:8" ht="13.2">
      <c r="B1001" s="88"/>
      <c r="H1001" s="88"/>
    </row>
    <row r="1002" spans="2:8" ht="13.2">
      <c r="B1002" s="88"/>
      <c r="H1002" s="88"/>
    </row>
  </sheetData>
  <mergeCells count="8">
    <mergeCell ref="C25:G25"/>
    <mergeCell ref="C29:G29"/>
    <mergeCell ref="C33:G33"/>
    <mergeCell ref="C3:G3"/>
    <mergeCell ref="C9:G9"/>
    <mergeCell ref="C13:G13"/>
    <mergeCell ref="C17:G17"/>
    <mergeCell ref="C21:G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400-000000000000}">
          <x14:formula1>
            <xm:f>'Lookup-Generic-old'!#REF!</xm:f>
          </x14:formula1>
          <xm:sqref>R1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outlinePr summaryBelow="0" summaryRight="0"/>
  </sheetPr>
  <dimension ref="A1:I2501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.75" customHeight="1"/>
  <cols>
    <col min="1" max="1" width="11.88671875" customWidth="1"/>
    <col min="2" max="2" width="18.109375" customWidth="1"/>
    <col min="5" max="7" width="13.44140625" customWidth="1"/>
    <col min="8" max="9" width="13" customWidth="1"/>
  </cols>
  <sheetData>
    <row r="1" spans="1:9" ht="15.75" customHeight="1">
      <c r="A1" s="103" t="str">
        <f ca="1">IFERROR(__xludf.DUMMYFUNCTION("sort(importrange(vlookup(""DiverDB"",'Lookup-Generic'!$O:$P,2,0),""Lookup-Diver-Secure!$i$1:$o""),1,true,5,true,4,true,2,true)"),"!2021
 DiverTeam: 
2334 Entries")</f>
        <v>!2021
 DiverTeam: 
2334 Entries</v>
      </c>
      <c r="B1" s="104" t="str">
        <f ca="1">IFERROR(__xludf.DUMMYFUNCTION("""COMPUTED_VALUE"""),"!2021
 DiverName: 
2334 Entries")</f>
        <v>!2021
 DiverName: 
2334 Entries</v>
      </c>
      <c r="C1" s="72" t="str">
        <f ca="1">IFERROR(__xludf.DUMMYFUNCTION("""COMPUTED_VALUE"""),"!2021
 DiverAgeOn61: 
2334 Entries")</f>
        <v>!2021
 DiverAgeOn61: 
2334 Entries</v>
      </c>
      <c r="D1" s="72" t="str">
        <f ca="1">IFERROR(__xludf.DUMMYFUNCTION("""COMPUTED_VALUE"""),"!2021
 DiverGender: 
2334 Entries
G:1288 B:1046")</f>
        <v>!2021
 DiverGender: 
2334 Entries
G:1288 B:1046</v>
      </c>
      <c r="E1" s="105" t="str">
        <f ca="1">IFERROR(__xludf.DUMMYFUNCTION("""COMPUTED_VALUE"""),"!Calculated DiverEvent
F:1214 J:500 I:346 S:274")</f>
        <v>!Calculated DiverEvent
F:1214 J:500 I:346 S:274</v>
      </c>
      <c r="F1" s="105" t="str">
        <f ca="1">IFERROR(__xludf.DUMMYFUNCTION("""COMPUTED_VALUE"""),"Calculated DiveUpEvent")</f>
        <v>Calculated DiveUpEvent</v>
      </c>
      <c r="G1" s="105" t="str">
        <f ca="1">IFERROR(__xludf.DUMMYFUNCTION("""COMPUTED_VALUE"""),"Division Lookup")</f>
        <v>Division Lookup</v>
      </c>
      <c r="H1" s="106" t="str">
        <f>TEXT(MeetResults!$D$1,"mm/dd/yy")&amp;" Dive Results Raw1"</f>
        <v>07/18/21 Dive Results Raw1</v>
      </c>
      <c r="I1" s="106" t="str">
        <f>TEXT(MeetResults!$D$1,"mm/dd/yy")&amp;" CJ Meet Results"</f>
        <v>07/18/21 CJ Meet Results</v>
      </c>
    </row>
    <row r="2" spans="1:9" ht="15.75" customHeight="1">
      <c r="A2" s="107" t="str">
        <f ca="1">IFERROR(__xludf.DUMMYFUNCTION("""COMPUTED_VALUE"""),"A")</f>
        <v>A</v>
      </c>
      <c r="B2" s="108" t="str">
        <f ca="1">IFERROR(__xludf.DUMMYFUNCTION("""COMPUTED_VALUE"""),"Ramona Kelshian")</f>
        <v>Ramona Kelshian</v>
      </c>
      <c r="C2" s="109">
        <f ca="1">IFERROR(__xludf.DUMMYFUNCTION("""COMPUTED_VALUE"""),8)</f>
        <v>8</v>
      </c>
      <c r="D2" s="107" t="str">
        <f ca="1">IFERROR(__xludf.DUMMYFUNCTION("""COMPUTED_VALUE"""),"G")</f>
        <v>G</v>
      </c>
      <c r="E2" s="110" t="str">
        <f ca="1">IFERROR(__xludf.DUMMYFUNCTION("""COMPUTED_VALUE"""),"F")</f>
        <v>F</v>
      </c>
      <c r="F2" s="110" t="str">
        <f ca="1">IFERROR(__xludf.DUMMYFUNCTION("""COMPUTED_VALUE"""),"J")</f>
        <v>J</v>
      </c>
      <c r="G2" s="110">
        <f ca="1">IFERROR(__xludf.DUMMYFUNCTION("""COMPUTED_VALUE"""),8)</f>
        <v>8</v>
      </c>
      <c r="H2" s="103" t="str">
        <f t="array" ref="H2:H2501" ca="1">IF($B2:B2501="","",IF(ISNA(VLOOKUP($B2:B2501,MeetResults!$D:$F,3,0)),"",VLOOKUP($B2:B2501,MeetResults!$D:$F,3,0))&amp;IF(ISNA(VLOOKUP($B2:B2501,MeetResults!$P:$R,3,0)),"",VLOOKUP($B2:B2501,MeetResults!$P:$R,3,0)))</f>
        <v/>
      </c>
      <c r="I2" s="111" t="str">
        <f t="array" ref="I2:I2501" ca="1">IF($H2:$H2501="","",IF($H2:$H2501="DQ","DQ",VALUE($H2:$H2501)))</f>
        <v/>
      </c>
    </row>
    <row r="3" spans="1:9" ht="15.75" customHeight="1">
      <c r="A3" s="107" t="str">
        <f ca="1">IFERROR(__xludf.DUMMYFUNCTION("""COMPUTED_VALUE"""),"A")</f>
        <v>A</v>
      </c>
      <c r="B3" s="108" t="str">
        <f ca="1">IFERROR(__xludf.DUMMYFUNCTION("""COMPUTED_VALUE"""),"Brian Tran")</f>
        <v>Brian Tran</v>
      </c>
      <c r="C3" s="109">
        <f ca="1">IFERROR(__xludf.DUMMYFUNCTION("""COMPUTED_VALUE"""),14)</f>
        <v>14</v>
      </c>
      <c r="D3" s="107" t="str">
        <f ca="1">IFERROR(__xludf.DUMMYFUNCTION("""COMPUTED_VALUE"""),"B")</f>
        <v>B</v>
      </c>
      <c r="E3" s="110" t="str">
        <f ca="1">IFERROR(__xludf.DUMMYFUNCTION("""COMPUTED_VALUE"""),"I")</f>
        <v>I</v>
      </c>
      <c r="F3" s="110" t="str">
        <f ca="1">IFERROR(__xludf.DUMMYFUNCTION("""COMPUTED_VALUE"""),"S")</f>
        <v>S</v>
      </c>
      <c r="G3" s="110">
        <f ca="1">IFERROR(__xludf.DUMMYFUNCTION("""COMPUTED_VALUE"""),8)</f>
        <v>8</v>
      </c>
      <c r="H3" s="112" t="str">
        <f ca="1"/>
        <v/>
      </c>
      <c r="I3" s="112" t="str">
        <f ca="1"/>
        <v/>
      </c>
    </row>
    <row r="4" spans="1:9" ht="15.75" customHeight="1">
      <c r="A4" s="107" t="str">
        <f ca="1">IFERROR(__xludf.DUMMYFUNCTION("""COMPUTED_VALUE"""),"A")</f>
        <v>A</v>
      </c>
      <c r="B4" s="108" t="str">
        <f ca="1">IFERROR(__xludf.DUMMYFUNCTION("""COMPUTED_VALUE"""),"Ethan Garvin")</f>
        <v>Ethan Garvin</v>
      </c>
      <c r="C4" s="107">
        <f ca="1">IFERROR(__xludf.DUMMYFUNCTION("""COMPUTED_VALUE"""),13)</f>
        <v>13</v>
      </c>
      <c r="D4" s="107" t="str">
        <f ca="1">IFERROR(__xludf.DUMMYFUNCTION("""COMPUTED_VALUE"""),"B")</f>
        <v>B</v>
      </c>
      <c r="E4" s="110" t="str">
        <f ca="1">IFERROR(__xludf.DUMMYFUNCTION("""COMPUTED_VALUE"""),"I")</f>
        <v>I</v>
      </c>
      <c r="F4" s="110" t="str">
        <f ca="1">IFERROR(__xludf.DUMMYFUNCTION("""COMPUTED_VALUE"""),"S")</f>
        <v>S</v>
      </c>
      <c r="G4" s="110">
        <f ca="1">IFERROR(__xludf.DUMMYFUNCTION("""COMPUTED_VALUE"""),8)</f>
        <v>8</v>
      </c>
      <c r="H4" s="112" t="str">
        <f ca="1"/>
        <v/>
      </c>
      <c r="I4" s="112" t="str">
        <f ca="1"/>
        <v/>
      </c>
    </row>
    <row r="5" spans="1:9" ht="15.75" customHeight="1">
      <c r="A5" s="107" t="str">
        <f ca="1">IFERROR(__xludf.DUMMYFUNCTION("""COMPUTED_VALUE"""),"A")</f>
        <v>A</v>
      </c>
      <c r="B5" s="108" t="str">
        <f ca="1">IFERROR(__xludf.DUMMYFUNCTION("""COMPUTED_VALUE"""),"Ben Tran")</f>
        <v>Ben Tran</v>
      </c>
      <c r="C5" s="107">
        <f ca="1">IFERROR(__xludf.DUMMYFUNCTION("""COMPUTED_VALUE"""),12)</f>
        <v>12</v>
      </c>
      <c r="D5" s="107" t="str">
        <f ca="1">IFERROR(__xludf.DUMMYFUNCTION("""COMPUTED_VALUE"""),"B")</f>
        <v>B</v>
      </c>
      <c r="E5" s="110" t="str">
        <f ca="1">IFERROR(__xludf.DUMMYFUNCTION("""COMPUTED_VALUE"""),"J")</f>
        <v>J</v>
      </c>
      <c r="F5" s="110" t="str">
        <f ca="1">IFERROR(__xludf.DUMMYFUNCTION("""COMPUTED_VALUE"""),"I")</f>
        <v>I</v>
      </c>
      <c r="G5" s="110">
        <f ca="1">IFERROR(__xludf.DUMMYFUNCTION("""COMPUTED_VALUE"""),8)</f>
        <v>8</v>
      </c>
      <c r="H5" s="112" t="str">
        <f ca="1"/>
        <v/>
      </c>
      <c r="I5" s="112" t="str">
        <f ca="1"/>
        <v/>
      </c>
    </row>
    <row r="6" spans="1:9" ht="15.75" customHeight="1">
      <c r="A6" s="107" t="str">
        <f ca="1">IFERROR(__xludf.DUMMYFUNCTION("""COMPUTED_VALUE"""),"A")</f>
        <v>A</v>
      </c>
      <c r="B6" s="108" t="str">
        <f ca="1">IFERROR(__xludf.DUMMYFUNCTION("""COMPUTED_VALUE"""),"Mason Du")</f>
        <v>Mason Du</v>
      </c>
      <c r="C6" s="107">
        <f ca="1">IFERROR(__xludf.DUMMYFUNCTION("""COMPUTED_VALUE"""),16)</f>
        <v>16</v>
      </c>
      <c r="D6" s="107" t="str">
        <f ca="1">IFERROR(__xludf.DUMMYFUNCTION("""COMPUTED_VALUE"""),"B")</f>
        <v>B</v>
      </c>
      <c r="E6" s="110" t="str">
        <f ca="1">IFERROR(__xludf.DUMMYFUNCTION("""COMPUTED_VALUE"""),"S")</f>
        <v>S</v>
      </c>
      <c r="F6" s="110" t="str">
        <f ca="1">IFERROR(__xludf.DUMMYFUNCTION("""COMPUTED_VALUE"""),"S")</f>
        <v>S</v>
      </c>
      <c r="G6" s="110">
        <f ca="1">IFERROR(__xludf.DUMMYFUNCTION("""COMPUTED_VALUE"""),8)</f>
        <v>8</v>
      </c>
      <c r="H6" s="112" t="str">
        <f ca="1"/>
        <v/>
      </c>
      <c r="I6" s="112" t="str">
        <f ca="1"/>
        <v/>
      </c>
    </row>
    <row r="7" spans="1:9" ht="15.75" customHeight="1">
      <c r="A7" s="107" t="str">
        <f ca="1">IFERROR(__xludf.DUMMYFUNCTION("""COMPUTED_VALUE"""),"A")</f>
        <v>A</v>
      </c>
      <c r="B7" s="108" t="str">
        <f ca="1">IFERROR(__xludf.DUMMYFUNCTION("""COMPUTED_VALUE"""),"Nathan Tran")</f>
        <v>Nathan Tran</v>
      </c>
      <c r="C7" s="107">
        <f ca="1">IFERROR(__xludf.DUMMYFUNCTION("""COMPUTED_VALUE"""),15)</f>
        <v>15</v>
      </c>
      <c r="D7" s="107" t="str">
        <f ca="1">IFERROR(__xludf.DUMMYFUNCTION("""COMPUTED_VALUE"""),"B")</f>
        <v>B</v>
      </c>
      <c r="E7" s="110" t="str">
        <f ca="1">IFERROR(__xludf.DUMMYFUNCTION("""COMPUTED_VALUE"""),"S")</f>
        <v>S</v>
      </c>
      <c r="F7" s="110" t="str">
        <f ca="1">IFERROR(__xludf.DUMMYFUNCTION("""COMPUTED_VALUE"""),"S")</f>
        <v>S</v>
      </c>
      <c r="G7" s="110">
        <f ca="1">IFERROR(__xludf.DUMMYFUNCTION("""COMPUTED_VALUE"""),8)</f>
        <v>8</v>
      </c>
      <c r="H7" s="112" t="str">
        <f ca="1"/>
        <v/>
      </c>
      <c r="I7" s="112" t="str">
        <f ca="1"/>
        <v/>
      </c>
    </row>
    <row r="8" spans="1:9" ht="15.75" customHeight="1">
      <c r="A8" s="107" t="str">
        <f ca="1">IFERROR(__xludf.DUMMYFUNCTION("""COMPUTED_VALUE"""),"AF")</f>
        <v>AF</v>
      </c>
      <c r="B8" s="108" t="str">
        <f ca="1">IFERROR(__xludf.DUMMYFUNCTION("""COMPUTED_VALUE"""),"Aiden Kunkle")</f>
        <v>Aiden Kunkle</v>
      </c>
      <c r="C8" s="107">
        <f ca="1">IFERROR(__xludf.DUMMYFUNCTION("""COMPUTED_VALUE"""),8)</f>
        <v>8</v>
      </c>
      <c r="D8" s="107" t="str">
        <f ca="1">IFERROR(__xludf.DUMMYFUNCTION("""COMPUTED_VALUE"""),"B")</f>
        <v>B</v>
      </c>
      <c r="E8" s="110" t="str">
        <f ca="1">IFERROR(__xludf.DUMMYFUNCTION("""COMPUTED_VALUE"""),"F")</f>
        <v>F</v>
      </c>
      <c r="F8" s="110" t="str">
        <f ca="1">IFERROR(__xludf.DUMMYFUNCTION("""COMPUTED_VALUE"""),"J")</f>
        <v>J</v>
      </c>
      <c r="G8" s="110">
        <f ca="1">IFERROR(__xludf.DUMMYFUNCTION("""COMPUTED_VALUE"""),3)</f>
        <v>3</v>
      </c>
      <c r="H8" s="112" t="str">
        <f ca="1"/>
        <v/>
      </c>
      <c r="I8" s="112" t="str">
        <f ca="1"/>
        <v/>
      </c>
    </row>
    <row r="9" spans="1:9" ht="15.75" customHeight="1">
      <c r="A9" s="107" t="str">
        <f ca="1">IFERROR(__xludf.DUMMYFUNCTION("""COMPUTED_VALUE"""),"AF")</f>
        <v>AF</v>
      </c>
      <c r="B9" s="108" t="str">
        <f ca="1">IFERROR(__xludf.DUMMYFUNCTION("""COMPUTED_VALUE"""),"Alex Stewart")</f>
        <v>Alex Stewart</v>
      </c>
      <c r="C9" s="107">
        <f ca="1">IFERROR(__xludf.DUMMYFUNCTION("""COMPUTED_VALUE"""),9)</f>
        <v>9</v>
      </c>
      <c r="D9" s="107" t="str">
        <f ca="1">IFERROR(__xludf.DUMMYFUNCTION("""COMPUTED_VALUE"""),"B")</f>
        <v>B</v>
      </c>
      <c r="E9" s="110" t="str">
        <f ca="1">IFERROR(__xludf.DUMMYFUNCTION("""COMPUTED_VALUE"""),"F")</f>
        <v>F</v>
      </c>
      <c r="F9" s="110" t="str">
        <f ca="1">IFERROR(__xludf.DUMMYFUNCTION("""COMPUTED_VALUE"""),"J")</f>
        <v>J</v>
      </c>
      <c r="G9" s="110">
        <f ca="1">IFERROR(__xludf.DUMMYFUNCTION("""COMPUTED_VALUE"""),3)</f>
        <v>3</v>
      </c>
      <c r="H9" s="112" t="str">
        <f ca="1"/>
        <v/>
      </c>
      <c r="I9" s="112" t="str">
        <f ca="1"/>
        <v/>
      </c>
    </row>
    <row r="10" spans="1:9" ht="15.75" customHeight="1">
      <c r="A10" s="107" t="str">
        <f ca="1">IFERROR(__xludf.DUMMYFUNCTION("""COMPUTED_VALUE"""),"AF")</f>
        <v>AF</v>
      </c>
      <c r="B10" s="108" t="str">
        <f ca="1">IFERROR(__xludf.DUMMYFUNCTION("""COMPUTED_VALUE"""),"Banks Buergler")</f>
        <v>Banks Buergler</v>
      </c>
      <c r="C10" s="107">
        <f ca="1">IFERROR(__xludf.DUMMYFUNCTION("""COMPUTED_VALUE"""),10)</f>
        <v>10</v>
      </c>
      <c r="D10" s="107" t="str">
        <f ca="1">IFERROR(__xludf.DUMMYFUNCTION("""COMPUTED_VALUE"""),"B")</f>
        <v>B</v>
      </c>
      <c r="E10" s="110" t="str">
        <f ca="1">IFERROR(__xludf.DUMMYFUNCTION("""COMPUTED_VALUE"""),"F")</f>
        <v>F</v>
      </c>
      <c r="F10" s="110" t="str">
        <f ca="1">IFERROR(__xludf.DUMMYFUNCTION("""COMPUTED_VALUE"""),"J")</f>
        <v>J</v>
      </c>
      <c r="G10" s="110">
        <f ca="1">IFERROR(__xludf.DUMMYFUNCTION("""COMPUTED_VALUE"""),3)</f>
        <v>3</v>
      </c>
      <c r="H10" s="112" t="str">
        <f ca="1"/>
        <v/>
      </c>
      <c r="I10" s="112" t="str">
        <f ca="1"/>
        <v/>
      </c>
    </row>
    <row r="11" spans="1:9" ht="15.75" customHeight="1">
      <c r="A11" s="107" t="str">
        <f ca="1">IFERROR(__xludf.DUMMYFUNCTION("""COMPUTED_VALUE"""),"AF")</f>
        <v>AF</v>
      </c>
      <c r="B11" s="108" t="str">
        <f ca="1">IFERROR(__xludf.DUMMYFUNCTION("""COMPUTED_VALUE"""),"Connor Bergen")</f>
        <v>Connor Bergen</v>
      </c>
      <c r="C11" s="107">
        <f ca="1">IFERROR(__xludf.DUMMYFUNCTION("""COMPUTED_VALUE"""),6)</f>
        <v>6</v>
      </c>
      <c r="D11" s="107" t="str">
        <f ca="1">IFERROR(__xludf.DUMMYFUNCTION("""COMPUTED_VALUE"""),"B")</f>
        <v>B</v>
      </c>
      <c r="E11" s="110" t="str">
        <f ca="1">IFERROR(__xludf.DUMMYFUNCTION("""COMPUTED_VALUE"""),"F")</f>
        <v>F</v>
      </c>
      <c r="F11" s="110" t="str">
        <f ca="1">IFERROR(__xludf.DUMMYFUNCTION("""COMPUTED_VALUE"""),"J")</f>
        <v>J</v>
      </c>
      <c r="G11" s="110">
        <f ca="1">IFERROR(__xludf.DUMMYFUNCTION("""COMPUTED_VALUE"""),3)</f>
        <v>3</v>
      </c>
      <c r="H11" s="112" t="str">
        <f ca="1"/>
        <v/>
      </c>
      <c r="I11" s="112" t="str">
        <f ca="1"/>
        <v/>
      </c>
    </row>
    <row r="12" spans="1:9" ht="15.75" customHeight="1">
      <c r="A12" s="107" t="str">
        <f ca="1">IFERROR(__xludf.DUMMYFUNCTION("""COMPUTED_VALUE"""),"AF")</f>
        <v>AF</v>
      </c>
      <c r="B12" s="108" t="str">
        <f ca="1">IFERROR(__xludf.DUMMYFUNCTION("""COMPUTED_VALUE"""),"Jackson Polsinelli")</f>
        <v>Jackson Polsinelli</v>
      </c>
      <c r="C12" s="107">
        <f ca="1">IFERROR(__xludf.DUMMYFUNCTION("""COMPUTED_VALUE"""),7)</f>
        <v>7</v>
      </c>
      <c r="D12" s="107" t="str">
        <f ca="1">IFERROR(__xludf.DUMMYFUNCTION("""COMPUTED_VALUE"""),"B")</f>
        <v>B</v>
      </c>
      <c r="E12" s="110" t="str">
        <f ca="1">IFERROR(__xludf.DUMMYFUNCTION("""COMPUTED_VALUE"""),"F")</f>
        <v>F</v>
      </c>
      <c r="F12" s="110" t="str">
        <f ca="1">IFERROR(__xludf.DUMMYFUNCTION("""COMPUTED_VALUE"""),"J")</f>
        <v>J</v>
      </c>
      <c r="G12" s="110">
        <f ca="1">IFERROR(__xludf.DUMMYFUNCTION("""COMPUTED_VALUE"""),3)</f>
        <v>3</v>
      </c>
      <c r="H12" s="112" t="str">
        <f ca="1"/>
        <v/>
      </c>
      <c r="I12" s="112" t="str">
        <f ca="1"/>
        <v/>
      </c>
    </row>
    <row r="13" spans="1:9" ht="15.75" customHeight="1">
      <c r="A13" s="107" t="str">
        <f ca="1">IFERROR(__xludf.DUMMYFUNCTION("""COMPUTED_VALUE"""),"AF")</f>
        <v>AF</v>
      </c>
      <c r="B13" s="108" t="str">
        <f ca="1">IFERROR(__xludf.DUMMYFUNCTION("""COMPUTED_VALUE"""),"Matthew Petrucelli")</f>
        <v>Matthew Petrucelli</v>
      </c>
      <c r="C13" s="107">
        <f ca="1">IFERROR(__xludf.DUMMYFUNCTION("""COMPUTED_VALUE"""),10)</f>
        <v>10</v>
      </c>
      <c r="D13" s="107" t="str">
        <f ca="1">IFERROR(__xludf.DUMMYFUNCTION("""COMPUTED_VALUE"""),"B")</f>
        <v>B</v>
      </c>
      <c r="E13" s="110" t="str">
        <f ca="1">IFERROR(__xludf.DUMMYFUNCTION("""COMPUTED_VALUE"""),"F")</f>
        <v>F</v>
      </c>
      <c r="F13" s="110" t="str">
        <f ca="1">IFERROR(__xludf.DUMMYFUNCTION("""COMPUTED_VALUE"""),"J")</f>
        <v>J</v>
      </c>
      <c r="G13" s="110">
        <f ca="1">IFERROR(__xludf.DUMMYFUNCTION("""COMPUTED_VALUE"""),3)</f>
        <v>3</v>
      </c>
      <c r="H13" s="112" t="str">
        <f ca="1"/>
        <v/>
      </c>
      <c r="I13" s="112" t="str">
        <f ca="1"/>
        <v/>
      </c>
    </row>
    <row r="14" spans="1:9" ht="15.75" customHeight="1">
      <c r="A14" s="109" t="str">
        <f ca="1">IFERROR(__xludf.DUMMYFUNCTION("""COMPUTED_VALUE"""),"AF")</f>
        <v>AF</v>
      </c>
      <c r="B14" s="108" t="str">
        <f ca="1">IFERROR(__xludf.DUMMYFUNCTION("""COMPUTED_VALUE"""),"Matthew Vogt")</f>
        <v>Matthew Vogt</v>
      </c>
      <c r="C14" s="109">
        <f ca="1">IFERROR(__xludf.DUMMYFUNCTION("""COMPUTED_VALUE"""),9)</f>
        <v>9</v>
      </c>
      <c r="D14" s="109" t="str">
        <f ca="1">IFERROR(__xludf.DUMMYFUNCTION("""COMPUTED_VALUE"""),"B")</f>
        <v>B</v>
      </c>
      <c r="E14" s="110" t="str">
        <f ca="1">IFERROR(__xludf.DUMMYFUNCTION("""COMPUTED_VALUE"""),"F")</f>
        <v>F</v>
      </c>
      <c r="F14" s="110" t="str">
        <f ca="1">IFERROR(__xludf.DUMMYFUNCTION("""COMPUTED_VALUE"""),"J")</f>
        <v>J</v>
      </c>
      <c r="G14" s="110">
        <f ca="1">IFERROR(__xludf.DUMMYFUNCTION("""COMPUTED_VALUE"""),3)</f>
        <v>3</v>
      </c>
      <c r="H14" s="112" t="str">
        <f ca="1"/>
        <v/>
      </c>
      <c r="I14" s="112" t="str">
        <f ca="1"/>
        <v/>
      </c>
    </row>
    <row r="15" spans="1:9" ht="15.75" customHeight="1">
      <c r="A15" s="109" t="str">
        <f ca="1">IFERROR(__xludf.DUMMYFUNCTION("""COMPUTED_VALUE"""),"AF")</f>
        <v>AF</v>
      </c>
      <c r="B15" s="108" t="str">
        <f ca="1">IFERROR(__xludf.DUMMYFUNCTION("""COMPUTED_VALUE"""),"Nicholas Petrucelli")</f>
        <v>Nicholas Petrucelli</v>
      </c>
      <c r="C15" s="109">
        <f ca="1">IFERROR(__xludf.DUMMYFUNCTION("""COMPUTED_VALUE"""),8)</f>
        <v>8</v>
      </c>
      <c r="D15" s="109" t="str">
        <f ca="1">IFERROR(__xludf.DUMMYFUNCTION("""COMPUTED_VALUE"""),"B")</f>
        <v>B</v>
      </c>
      <c r="E15" s="110" t="str">
        <f ca="1">IFERROR(__xludf.DUMMYFUNCTION("""COMPUTED_VALUE"""),"F")</f>
        <v>F</v>
      </c>
      <c r="F15" s="110" t="str">
        <f ca="1">IFERROR(__xludf.DUMMYFUNCTION("""COMPUTED_VALUE"""),"J")</f>
        <v>J</v>
      </c>
      <c r="G15" s="110">
        <f ca="1">IFERROR(__xludf.DUMMYFUNCTION("""COMPUTED_VALUE"""),3)</f>
        <v>3</v>
      </c>
      <c r="H15" s="112" t="str">
        <f ca="1"/>
        <v/>
      </c>
      <c r="I15" s="112" t="str">
        <f ca="1"/>
        <v/>
      </c>
    </row>
    <row r="16" spans="1:9" ht="15.75" customHeight="1">
      <c r="A16" s="109" t="str">
        <f ca="1">IFERROR(__xludf.DUMMYFUNCTION("""COMPUTED_VALUE"""),"AF")</f>
        <v>AF</v>
      </c>
      <c r="B16" s="108" t="str">
        <f ca="1">IFERROR(__xludf.DUMMYFUNCTION("""COMPUTED_VALUE"""),"Ryan Foshay")</f>
        <v>Ryan Foshay</v>
      </c>
      <c r="C16" s="109">
        <f ca="1">IFERROR(__xludf.DUMMYFUNCTION("""COMPUTED_VALUE"""),8)</f>
        <v>8</v>
      </c>
      <c r="D16" s="109" t="str">
        <f ca="1">IFERROR(__xludf.DUMMYFUNCTION("""COMPUTED_VALUE"""),"B")</f>
        <v>B</v>
      </c>
      <c r="E16" s="110" t="str">
        <f ca="1">IFERROR(__xludf.DUMMYFUNCTION("""COMPUTED_VALUE"""),"F")</f>
        <v>F</v>
      </c>
      <c r="F16" s="110" t="str">
        <f ca="1">IFERROR(__xludf.DUMMYFUNCTION("""COMPUTED_VALUE"""),"J")</f>
        <v>J</v>
      </c>
      <c r="G16" s="110">
        <f ca="1">IFERROR(__xludf.DUMMYFUNCTION("""COMPUTED_VALUE"""),3)</f>
        <v>3</v>
      </c>
      <c r="H16" s="112" t="str">
        <f ca="1"/>
        <v/>
      </c>
      <c r="I16" s="112" t="str">
        <f ca="1"/>
        <v/>
      </c>
    </row>
    <row r="17" spans="1:9" ht="15.75" customHeight="1">
      <c r="A17" s="109" t="str">
        <f ca="1">IFERROR(__xludf.DUMMYFUNCTION("""COMPUTED_VALUE"""),"AF")</f>
        <v>AF</v>
      </c>
      <c r="B17" s="108" t="str">
        <f ca="1">IFERROR(__xludf.DUMMYFUNCTION("""COMPUTED_VALUE"""),"Tanner Green")</f>
        <v>Tanner Green</v>
      </c>
      <c r="C17" s="109">
        <f ca="1">IFERROR(__xludf.DUMMYFUNCTION("""COMPUTED_VALUE"""),9)</f>
        <v>9</v>
      </c>
      <c r="D17" s="109" t="str">
        <f ca="1">IFERROR(__xludf.DUMMYFUNCTION("""COMPUTED_VALUE"""),"B")</f>
        <v>B</v>
      </c>
      <c r="E17" s="110" t="str">
        <f ca="1">IFERROR(__xludf.DUMMYFUNCTION("""COMPUTED_VALUE"""),"F")</f>
        <v>F</v>
      </c>
      <c r="F17" s="110" t="str">
        <f ca="1">IFERROR(__xludf.DUMMYFUNCTION("""COMPUTED_VALUE"""),"J")</f>
        <v>J</v>
      </c>
      <c r="G17" s="110">
        <f ca="1">IFERROR(__xludf.DUMMYFUNCTION("""COMPUTED_VALUE"""),3)</f>
        <v>3</v>
      </c>
      <c r="H17" s="112" t="str">
        <f ca="1"/>
        <v/>
      </c>
      <c r="I17" s="81" t="str">
        <f ca="1"/>
        <v/>
      </c>
    </row>
    <row r="18" spans="1:9" ht="15.75" customHeight="1">
      <c r="A18" s="109" t="str">
        <f ca="1">IFERROR(__xludf.DUMMYFUNCTION("""COMPUTED_VALUE"""),"AF")</f>
        <v>AF</v>
      </c>
      <c r="B18" s="108" t="str">
        <f ca="1">IFERROR(__xludf.DUMMYFUNCTION("""COMPUTED_VALUE"""),"Wesley Klapmust")</f>
        <v>Wesley Klapmust</v>
      </c>
      <c r="C18" s="109">
        <f ca="1">IFERROR(__xludf.DUMMYFUNCTION("""COMPUTED_VALUE"""),8)</f>
        <v>8</v>
      </c>
      <c r="D18" s="109" t="str">
        <f ca="1">IFERROR(__xludf.DUMMYFUNCTION("""COMPUTED_VALUE"""),"B")</f>
        <v>B</v>
      </c>
      <c r="E18" s="110" t="str">
        <f ca="1">IFERROR(__xludf.DUMMYFUNCTION("""COMPUTED_VALUE"""),"F")</f>
        <v>F</v>
      </c>
      <c r="F18" s="110" t="str">
        <f ca="1">IFERROR(__xludf.DUMMYFUNCTION("""COMPUTED_VALUE"""),"J")</f>
        <v>J</v>
      </c>
      <c r="G18" s="110">
        <f ca="1">IFERROR(__xludf.DUMMYFUNCTION("""COMPUTED_VALUE"""),3)</f>
        <v>3</v>
      </c>
      <c r="H18" s="112" t="str">
        <f ca="1"/>
        <v/>
      </c>
      <c r="I18" s="112" t="str">
        <f ca="1"/>
        <v/>
      </c>
    </row>
    <row r="19" spans="1:9" ht="15.75" customHeight="1">
      <c r="A19" s="109" t="str">
        <f ca="1">IFERROR(__xludf.DUMMYFUNCTION("""COMPUTED_VALUE"""),"AF")</f>
        <v>AF</v>
      </c>
      <c r="B19" s="108" t="str">
        <f ca="1">IFERROR(__xludf.DUMMYFUNCTION("""COMPUTED_VALUE"""),"Abby Galanes")</f>
        <v>Abby Galanes</v>
      </c>
      <c r="C19" s="109">
        <f ca="1">IFERROR(__xludf.DUMMYFUNCTION("""COMPUTED_VALUE"""),9)</f>
        <v>9</v>
      </c>
      <c r="D19" s="109" t="str">
        <f ca="1">IFERROR(__xludf.DUMMYFUNCTION("""COMPUTED_VALUE"""),"G")</f>
        <v>G</v>
      </c>
      <c r="E19" s="110" t="str">
        <f ca="1">IFERROR(__xludf.DUMMYFUNCTION("""COMPUTED_VALUE"""),"F")</f>
        <v>F</v>
      </c>
      <c r="F19" s="110" t="str">
        <f ca="1">IFERROR(__xludf.DUMMYFUNCTION("""COMPUTED_VALUE"""),"J")</f>
        <v>J</v>
      </c>
      <c r="G19" s="110">
        <f ca="1">IFERROR(__xludf.DUMMYFUNCTION("""COMPUTED_VALUE"""),3)</f>
        <v>3</v>
      </c>
      <c r="H19" s="112" t="str">
        <f ca="1"/>
        <v/>
      </c>
      <c r="I19" s="112" t="str">
        <f ca="1"/>
        <v/>
      </c>
    </row>
    <row r="20" spans="1:9" ht="15.75" customHeight="1">
      <c r="A20" s="109" t="str">
        <f ca="1">IFERROR(__xludf.DUMMYFUNCTION("""COMPUTED_VALUE"""),"AF")</f>
        <v>AF</v>
      </c>
      <c r="B20" s="108" t="str">
        <f ca="1">IFERROR(__xludf.DUMMYFUNCTION("""COMPUTED_VALUE"""),"Bella Foshay")</f>
        <v>Bella Foshay</v>
      </c>
      <c r="C20" s="109">
        <f ca="1">IFERROR(__xludf.DUMMYFUNCTION("""COMPUTED_VALUE"""),10)</f>
        <v>10</v>
      </c>
      <c r="D20" s="109" t="str">
        <f ca="1">IFERROR(__xludf.DUMMYFUNCTION("""COMPUTED_VALUE"""),"G")</f>
        <v>G</v>
      </c>
      <c r="E20" s="110" t="str">
        <f ca="1">IFERROR(__xludf.DUMMYFUNCTION("""COMPUTED_VALUE"""),"F")</f>
        <v>F</v>
      </c>
      <c r="F20" s="110" t="str">
        <f ca="1">IFERROR(__xludf.DUMMYFUNCTION("""COMPUTED_VALUE"""),"J")</f>
        <v>J</v>
      </c>
      <c r="G20" s="110">
        <f ca="1">IFERROR(__xludf.DUMMYFUNCTION("""COMPUTED_VALUE"""),3)</f>
        <v>3</v>
      </c>
      <c r="H20" s="112" t="str">
        <f ca="1"/>
        <v/>
      </c>
      <c r="I20" s="81" t="str">
        <f ca="1"/>
        <v/>
      </c>
    </row>
    <row r="21" spans="1:9" ht="15.75" customHeight="1">
      <c r="A21" s="109" t="str">
        <f ca="1">IFERROR(__xludf.DUMMYFUNCTION("""COMPUTED_VALUE"""),"AF")</f>
        <v>AF</v>
      </c>
      <c r="B21" s="108" t="str">
        <f ca="1">IFERROR(__xludf.DUMMYFUNCTION("""COMPUTED_VALUE"""),"Claire Bella Polsinelli")</f>
        <v>Claire Bella Polsinelli</v>
      </c>
      <c r="C21" s="109">
        <f ca="1">IFERROR(__xludf.DUMMYFUNCTION("""COMPUTED_VALUE"""),10)</f>
        <v>10</v>
      </c>
      <c r="D21" s="109" t="str">
        <f ca="1">IFERROR(__xludf.DUMMYFUNCTION("""COMPUTED_VALUE"""),"G")</f>
        <v>G</v>
      </c>
      <c r="E21" s="110" t="str">
        <f ca="1">IFERROR(__xludf.DUMMYFUNCTION("""COMPUTED_VALUE"""),"F")</f>
        <v>F</v>
      </c>
      <c r="F21" s="110" t="str">
        <f ca="1">IFERROR(__xludf.DUMMYFUNCTION("""COMPUTED_VALUE"""),"J")</f>
        <v>J</v>
      </c>
      <c r="G21" s="110">
        <f ca="1">IFERROR(__xludf.DUMMYFUNCTION("""COMPUTED_VALUE"""),3)</f>
        <v>3</v>
      </c>
      <c r="H21" s="112" t="str">
        <f ca="1"/>
        <v/>
      </c>
      <c r="I21" s="112" t="str">
        <f ca="1"/>
        <v/>
      </c>
    </row>
    <row r="22" spans="1:9" ht="15.75" customHeight="1">
      <c r="A22" s="109" t="str">
        <f ca="1">IFERROR(__xludf.DUMMYFUNCTION("""COMPUTED_VALUE"""),"AF")</f>
        <v>AF</v>
      </c>
      <c r="B22" s="108" t="str">
        <f ca="1">IFERROR(__xludf.DUMMYFUNCTION("""COMPUTED_VALUE"""),"Ella Turner")</f>
        <v>Ella Turner</v>
      </c>
      <c r="C22" s="109">
        <f ca="1">IFERROR(__xludf.DUMMYFUNCTION("""COMPUTED_VALUE"""),8)</f>
        <v>8</v>
      </c>
      <c r="D22" s="109" t="str">
        <f ca="1">IFERROR(__xludf.DUMMYFUNCTION("""COMPUTED_VALUE"""),"G")</f>
        <v>G</v>
      </c>
      <c r="E22" s="110" t="str">
        <f ca="1">IFERROR(__xludf.DUMMYFUNCTION("""COMPUTED_VALUE"""),"F")</f>
        <v>F</v>
      </c>
      <c r="F22" s="110" t="str">
        <f ca="1">IFERROR(__xludf.DUMMYFUNCTION("""COMPUTED_VALUE"""),"J")</f>
        <v>J</v>
      </c>
      <c r="G22" s="110">
        <f ca="1">IFERROR(__xludf.DUMMYFUNCTION("""COMPUTED_VALUE"""),3)</f>
        <v>3</v>
      </c>
      <c r="H22" s="112" t="str">
        <f ca="1"/>
        <v/>
      </c>
      <c r="I22" s="81" t="str">
        <f ca="1"/>
        <v/>
      </c>
    </row>
    <row r="23" spans="1:9" ht="15.75" customHeight="1">
      <c r="A23" s="109" t="str">
        <f ca="1">IFERROR(__xludf.DUMMYFUNCTION("""COMPUTED_VALUE"""),"AF")</f>
        <v>AF</v>
      </c>
      <c r="B23" s="108" t="str">
        <f ca="1">IFERROR(__xludf.DUMMYFUNCTION("""COMPUTED_VALUE"""),"Olivia Turner")</f>
        <v>Olivia Turner</v>
      </c>
      <c r="C23" s="109">
        <f ca="1">IFERROR(__xludf.DUMMYFUNCTION("""COMPUTED_VALUE"""),10)</f>
        <v>10</v>
      </c>
      <c r="D23" s="109" t="str">
        <f ca="1">IFERROR(__xludf.DUMMYFUNCTION("""COMPUTED_VALUE"""),"G")</f>
        <v>G</v>
      </c>
      <c r="E23" s="110" t="str">
        <f ca="1">IFERROR(__xludf.DUMMYFUNCTION("""COMPUTED_VALUE"""),"F")</f>
        <v>F</v>
      </c>
      <c r="F23" s="110" t="str">
        <f ca="1">IFERROR(__xludf.DUMMYFUNCTION("""COMPUTED_VALUE"""),"J")</f>
        <v>J</v>
      </c>
      <c r="G23" s="110">
        <f ca="1">IFERROR(__xludf.DUMMYFUNCTION("""COMPUTED_VALUE"""),3)</f>
        <v>3</v>
      </c>
      <c r="H23" s="112" t="str">
        <f ca="1"/>
        <v/>
      </c>
      <c r="I23" s="112" t="str">
        <f ca="1"/>
        <v/>
      </c>
    </row>
    <row r="24" spans="1:9" ht="15.75" customHeight="1">
      <c r="A24" s="109" t="str">
        <f ca="1">IFERROR(__xludf.DUMMYFUNCTION("""COMPUTED_VALUE"""),"AF")</f>
        <v>AF</v>
      </c>
      <c r="B24" s="108" t="str">
        <f ca="1">IFERROR(__xludf.DUMMYFUNCTION("""COMPUTED_VALUE"""),"Benjamin Tahu ")</f>
        <v xml:space="preserve">Benjamin Tahu </v>
      </c>
      <c r="C24" s="109">
        <f ca="1">IFERROR(__xludf.DUMMYFUNCTION("""COMPUTED_VALUE"""),13)</f>
        <v>13</v>
      </c>
      <c r="D24" s="109" t="str">
        <f ca="1">IFERROR(__xludf.DUMMYFUNCTION("""COMPUTED_VALUE"""),"B")</f>
        <v>B</v>
      </c>
      <c r="E24" s="110" t="str">
        <f ca="1">IFERROR(__xludf.DUMMYFUNCTION("""COMPUTED_VALUE"""),"I")</f>
        <v>I</v>
      </c>
      <c r="F24" s="110" t="str">
        <f ca="1">IFERROR(__xludf.DUMMYFUNCTION("""COMPUTED_VALUE"""),"S")</f>
        <v>S</v>
      </c>
      <c r="G24" s="110">
        <f ca="1">IFERROR(__xludf.DUMMYFUNCTION("""COMPUTED_VALUE"""),3)</f>
        <v>3</v>
      </c>
      <c r="H24" s="112" t="str">
        <f ca="1"/>
        <v/>
      </c>
      <c r="I24" s="112" t="str">
        <f ca="1"/>
        <v/>
      </c>
    </row>
    <row r="25" spans="1:9" ht="15.75" customHeight="1">
      <c r="A25" s="109" t="str">
        <f ca="1">IFERROR(__xludf.DUMMYFUNCTION("""COMPUTED_VALUE"""),"AF")</f>
        <v>AF</v>
      </c>
      <c r="B25" s="108" t="str">
        <f ca="1">IFERROR(__xludf.DUMMYFUNCTION("""COMPUTED_VALUE"""),"Greyson Schroeher")</f>
        <v>Greyson Schroeher</v>
      </c>
      <c r="C25" s="109">
        <f ca="1">IFERROR(__xludf.DUMMYFUNCTION("""COMPUTED_VALUE"""),13)</f>
        <v>13</v>
      </c>
      <c r="D25" s="109" t="str">
        <f ca="1">IFERROR(__xludf.DUMMYFUNCTION("""COMPUTED_VALUE"""),"B")</f>
        <v>B</v>
      </c>
      <c r="E25" s="110" t="str">
        <f ca="1">IFERROR(__xludf.DUMMYFUNCTION("""COMPUTED_VALUE"""),"I")</f>
        <v>I</v>
      </c>
      <c r="F25" s="110" t="str">
        <f ca="1">IFERROR(__xludf.DUMMYFUNCTION("""COMPUTED_VALUE"""),"S")</f>
        <v>S</v>
      </c>
      <c r="G25" s="110">
        <f ca="1">IFERROR(__xludf.DUMMYFUNCTION("""COMPUTED_VALUE"""),3)</f>
        <v>3</v>
      </c>
      <c r="H25" s="112" t="str">
        <f ca="1"/>
        <v/>
      </c>
      <c r="I25" s="81" t="str">
        <f ca="1"/>
        <v/>
      </c>
    </row>
    <row r="26" spans="1:9" ht="15.75" customHeight="1">
      <c r="A26" s="109" t="str">
        <f ca="1">IFERROR(__xludf.DUMMYFUNCTION("""COMPUTED_VALUE"""),"AF")</f>
        <v>AF</v>
      </c>
      <c r="B26" s="108" t="str">
        <f ca="1">IFERROR(__xludf.DUMMYFUNCTION("""COMPUTED_VALUE"""),"Ada Jordan")</f>
        <v>Ada Jordan</v>
      </c>
      <c r="C26" s="109">
        <f ca="1">IFERROR(__xludf.DUMMYFUNCTION("""COMPUTED_VALUE"""),13)</f>
        <v>13</v>
      </c>
      <c r="D26" s="109" t="str">
        <f ca="1">IFERROR(__xludf.DUMMYFUNCTION("""COMPUTED_VALUE"""),"G")</f>
        <v>G</v>
      </c>
      <c r="E26" s="110" t="str">
        <f ca="1">IFERROR(__xludf.DUMMYFUNCTION("""COMPUTED_VALUE"""),"I")</f>
        <v>I</v>
      </c>
      <c r="F26" s="110" t="str">
        <f ca="1">IFERROR(__xludf.DUMMYFUNCTION("""COMPUTED_VALUE"""),"S")</f>
        <v>S</v>
      </c>
      <c r="G26" s="110">
        <f ca="1">IFERROR(__xludf.DUMMYFUNCTION("""COMPUTED_VALUE"""),3)</f>
        <v>3</v>
      </c>
      <c r="H26" s="112" t="str">
        <f ca="1"/>
        <v/>
      </c>
      <c r="I26" s="81" t="str">
        <f ca="1"/>
        <v/>
      </c>
    </row>
    <row r="27" spans="1:9" ht="15.75" customHeight="1">
      <c r="A27" s="109" t="str">
        <f ca="1">IFERROR(__xludf.DUMMYFUNCTION("""COMPUTED_VALUE"""),"AF")</f>
        <v>AF</v>
      </c>
      <c r="B27" s="108" t="str">
        <f ca="1">IFERROR(__xludf.DUMMYFUNCTION("""COMPUTED_VALUE"""),"Allison Felluca")</f>
        <v>Allison Felluca</v>
      </c>
      <c r="C27" s="109">
        <f ca="1">IFERROR(__xludf.DUMMYFUNCTION("""COMPUTED_VALUE"""),13)</f>
        <v>13</v>
      </c>
      <c r="D27" s="109" t="str">
        <f ca="1">IFERROR(__xludf.DUMMYFUNCTION("""COMPUTED_VALUE"""),"G")</f>
        <v>G</v>
      </c>
      <c r="E27" s="110" t="str">
        <f ca="1">IFERROR(__xludf.DUMMYFUNCTION("""COMPUTED_VALUE"""),"I")</f>
        <v>I</v>
      </c>
      <c r="F27" s="110" t="str">
        <f ca="1">IFERROR(__xludf.DUMMYFUNCTION("""COMPUTED_VALUE"""),"S")</f>
        <v>S</v>
      </c>
      <c r="G27" s="110">
        <f ca="1">IFERROR(__xludf.DUMMYFUNCTION("""COMPUTED_VALUE"""),3)</f>
        <v>3</v>
      </c>
      <c r="H27" s="112" t="str">
        <f ca="1"/>
        <v/>
      </c>
      <c r="I27" s="81" t="str">
        <f ca="1"/>
        <v/>
      </c>
    </row>
    <row r="28" spans="1:9" ht="15.75" customHeight="1">
      <c r="A28" s="109" t="str">
        <f ca="1">IFERROR(__xludf.DUMMYFUNCTION("""COMPUTED_VALUE"""),"AF")</f>
        <v>AF</v>
      </c>
      <c r="B28" s="108" t="str">
        <f ca="1">IFERROR(__xludf.DUMMYFUNCTION("""COMPUTED_VALUE"""),"Teagan Boone")</f>
        <v>Teagan Boone</v>
      </c>
      <c r="C28" s="109">
        <f ca="1">IFERROR(__xludf.DUMMYFUNCTION("""COMPUTED_VALUE"""),14)</f>
        <v>14</v>
      </c>
      <c r="D28" s="109" t="str">
        <f ca="1">IFERROR(__xludf.DUMMYFUNCTION("""COMPUTED_VALUE"""),"G")</f>
        <v>G</v>
      </c>
      <c r="E28" s="110" t="str">
        <f ca="1">IFERROR(__xludf.DUMMYFUNCTION("""COMPUTED_VALUE"""),"I")</f>
        <v>I</v>
      </c>
      <c r="F28" s="110" t="str">
        <f ca="1">IFERROR(__xludf.DUMMYFUNCTION("""COMPUTED_VALUE"""),"S")</f>
        <v>S</v>
      </c>
      <c r="G28" s="110">
        <f ca="1">IFERROR(__xludf.DUMMYFUNCTION("""COMPUTED_VALUE"""),3)</f>
        <v>3</v>
      </c>
      <c r="H28" s="112" t="str">
        <f ca="1"/>
        <v/>
      </c>
      <c r="I28" s="112" t="str">
        <f ca="1"/>
        <v/>
      </c>
    </row>
    <row r="29" spans="1:9" ht="15.75" customHeight="1">
      <c r="A29" s="109" t="str">
        <f ca="1">IFERROR(__xludf.DUMMYFUNCTION("""COMPUTED_VALUE"""),"AF")</f>
        <v>AF</v>
      </c>
      <c r="B29" s="108" t="str">
        <f ca="1">IFERROR(__xludf.DUMMYFUNCTION("""COMPUTED_VALUE"""),"Connor Hogan")</f>
        <v>Connor Hogan</v>
      </c>
      <c r="C29" s="109">
        <f ca="1">IFERROR(__xludf.DUMMYFUNCTION("""COMPUTED_VALUE"""),12)</f>
        <v>12</v>
      </c>
      <c r="D29" s="109" t="str">
        <f ca="1">IFERROR(__xludf.DUMMYFUNCTION("""COMPUTED_VALUE"""),"B")</f>
        <v>B</v>
      </c>
      <c r="E29" s="110" t="str">
        <f ca="1">IFERROR(__xludf.DUMMYFUNCTION("""COMPUTED_VALUE"""),"J")</f>
        <v>J</v>
      </c>
      <c r="F29" s="110" t="str">
        <f ca="1">IFERROR(__xludf.DUMMYFUNCTION("""COMPUTED_VALUE"""),"I")</f>
        <v>I</v>
      </c>
      <c r="G29" s="110">
        <f ca="1">IFERROR(__xludf.DUMMYFUNCTION("""COMPUTED_VALUE"""),3)</f>
        <v>3</v>
      </c>
      <c r="H29" s="112" t="str">
        <f ca="1"/>
        <v/>
      </c>
      <c r="I29" s="81" t="str">
        <f ca="1"/>
        <v/>
      </c>
    </row>
    <row r="30" spans="1:9" ht="13.2">
      <c r="A30" s="109" t="str">
        <f ca="1">IFERROR(__xludf.DUMMYFUNCTION("""COMPUTED_VALUE"""),"AF")</f>
        <v>AF</v>
      </c>
      <c r="B30" s="108" t="str">
        <f ca="1">IFERROR(__xludf.DUMMYFUNCTION("""COMPUTED_VALUE"""),"Daniel Vogt")</f>
        <v>Daniel Vogt</v>
      </c>
      <c r="C30" s="109">
        <f ca="1">IFERROR(__xludf.DUMMYFUNCTION("""COMPUTED_VALUE"""),11)</f>
        <v>11</v>
      </c>
      <c r="D30" s="109" t="str">
        <f ca="1">IFERROR(__xludf.DUMMYFUNCTION("""COMPUTED_VALUE"""),"B")</f>
        <v>B</v>
      </c>
      <c r="E30" s="110" t="str">
        <f ca="1">IFERROR(__xludf.DUMMYFUNCTION("""COMPUTED_VALUE"""),"J")</f>
        <v>J</v>
      </c>
      <c r="F30" s="110" t="str">
        <f ca="1">IFERROR(__xludf.DUMMYFUNCTION("""COMPUTED_VALUE"""),"I")</f>
        <v>I</v>
      </c>
      <c r="G30" s="110">
        <f ca="1">IFERROR(__xludf.DUMMYFUNCTION("""COMPUTED_VALUE"""),3)</f>
        <v>3</v>
      </c>
      <c r="H30" s="112" t="str">
        <f ca="1"/>
        <v/>
      </c>
      <c r="I30" s="112" t="str">
        <f ca="1"/>
        <v/>
      </c>
    </row>
    <row r="31" spans="1:9" ht="13.2">
      <c r="A31" s="109" t="str">
        <f ca="1">IFERROR(__xludf.DUMMYFUNCTION("""COMPUTED_VALUE"""),"AF")</f>
        <v>AF</v>
      </c>
      <c r="B31" s="108" t="str">
        <f ca="1">IFERROR(__xludf.DUMMYFUNCTION("""COMPUTED_VALUE"""),"Lincoln Koller")</f>
        <v>Lincoln Koller</v>
      </c>
      <c r="C31" s="109">
        <f ca="1">IFERROR(__xludf.DUMMYFUNCTION("""COMPUTED_VALUE"""),11)</f>
        <v>11</v>
      </c>
      <c r="D31" s="109" t="str">
        <f ca="1">IFERROR(__xludf.DUMMYFUNCTION("""COMPUTED_VALUE"""),"B")</f>
        <v>B</v>
      </c>
      <c r="E31" s="110" t="str">
        <f ca="1">IFERROR(__xludf.DUMMYFUNCTION("""COMPUTED_VALUE"""),"J")</f>
        <v>J</v>
      </c>
      <c r="F31" s="110" t="str">
        <f ca="1">IFERROR(__xludf.DUMMYFUNCTION("""COMPUTED_VALUE"""),"I")</f>
        <v>I</v>
      </c>
      <c r="G31" s="110">
        <f ca="1">IFERROR(__xludf.DUMMYFUNCTION("""COMPUTED_VALUE"""),3)</f>
        <v>3</v>
      </c>
      <c r="H31" s="112" t="str">
        <f ca="1"/>
        <v/>
      </c>
      <c r="I31" s="112" t="str">
        <f ca="1"/>
        <v/>
      </c>
    </row>
    <row r="32" spans="1:9" ht="13.2">
      <c r="A32" s="109" t="str">
        <f ca="1">IFERROR(__xludf.DUMMYFUNCTION("""COMPUTED_VALUE"""),"AF")</f>
        <v>AF</v>
      </c>
      <c r="B32" s="108" t="str">
        <f ca="1">IFERROR(__xludf.DUMMYFUNCTION("""COMPUTED_VALUE"""),"David Alves")</f>
        <v>David Alves</v>
      </c>
      <c r="C32" s="109">
        <f ca="1">IFERROR(__xludf.DUMMYFUNCTION("""COMPUTED_VALUE"""),15)</f>
        <v>15</v>
      </c>
      <c r="D32" s="109" t="str">
        <f ca="1">IFERROR(__xludf.DUMMYFUNCTION("""COMPUTED_VALUE"""),"B")</f>
        <v>B</v>
      </c>
      <c r="E32" s="110" t="str">
        <f ca="1">IFERROR(__xludf.DUMMYFUNCTION("""COMPUTED_VALUE"""),"S")</f>
        <v>S</v>
      </c>
      <c r="F32" s="110" t="str">
        <f ca="1">IFERROR(__xludf.DUMMYFUNCTION("""COMPUTED_VALUE"""),"S")</f>
        <v>S</v>
      </c>
      <c r="G32" s="110">
        <f ca="1">IFERROR(__xludf.DUMMYFUNCTION("""COMPUTED_VALUE"""),3)</f>
        <v>3</v>
      </c>
      <c r="H32" s="112" t="str">
        <f ca="1"/>
        <v/>
      </c>
      <c r="I32" s="112" t="str">
        <f ca="1"/>
        <v/>
      </c>
    </row>
    <row r="33" spans="1:9" ht="13.2">
      <c r="A33" s="109" t="str">
        <f ca="1">IFERROR(__xludf.DUMMYFUNCTION("""COMPUTED_VALUE"""),"AF")</f>
        <v>AF</v>
      </c>
      <c r="B33" s="108" t="str">
        <f ca="1">IFERROR(__xludf.DUMMYFUNCTION("""COMPUTED_VALUE"""),"Max Cassatt")</f>
        <v>Max Cassatt</v>
      </c>
      <c r="C33" s="109">
        <f ca="1">IFERROR(__xludf.DUMMYFUNCTION("""COMPUTED_VALUE"""),15)</f>
        <v>15</v>
      </c>
      <c r="D33" s="109" t="str">
        <f ca="1">IFERROR(__xludf.DUMMYFUNCTION("""COMPUTED_VALUE"""),"B")</f>
        <v>B</v>
      </c>
      <c r="E33" s="110" t="str">
        <f ca="1">IFERROR(__xludf.DUMMYFUNCTION("""COMPUTED_VALUE"""),"S")</f>
        <v>S</v>
      </c>
      <c r="F33" s="110" t="str">
        <f ca="1">IFERROR(__xludf.DUMMYFUNCTION("""COMPUTED_VALUE"""),"S")</f>
        <v>S</v>
      </c>
      <c r="G33" s="110">
        <f ca="1">IFERROR(__xludf.DUMMYFUNCTION("""COMPUTED_VALUE"""),3)</f>
        <v>3</v>
      </c>
      <c r="H33" s="112" t="str">
        <f ca="1"/>
        <v/>
      </c>
      <c r="I33" s="81" t="str">
        <f ca="1"/>
        <v/>
      </c>
    </row>
    <row r="34" spans="1:9" ht="13.2">
      <c r="A34" s="109" t="str">
        <f ca="1">IFERROR(__xludf.DUMMYFUNCTION("""COMPUTED_VALUE"""),"AF")</f>
        <v>AF</v>
      </c>
      <c r="B34" s="108" t="str">
        <f ca="1">IFERROR(__xludf.DUMMYFUNCTION("""COMPUTED_VALUE"""),"Wyatt Hogan")</f>
        <v>Wyatt Hogan</v>
      </c>
      <c r="C34" s="109">
        <f ca="1">IFERROR(__xludf.DUMMYFUNCTION("""COMPUTED_VALUE"""),15)</f>
        <v>15</v>
      </c>
      <c r="D34" s="109" t="str">
        <f ca="1">IFERROR(__xludf.DUMMYFUNCTION("""COMPUTED_VALUE"""),"B")</f>
        <v>B</v>
      </c>
      <c r="E34" s="110" t="str">
        <f ca="1">IFERROR(__xludf.DUMMYFUNCTION("""COMPUTED_VALUE"""),"S")</f>
        <v>S</v>
      </c>
      <c r="F34" s="110" t="str">
        <f ca="1">IFERROR(__xludf.DUMMYFUNCTION("""COMPUTED_VALUE"""),"S")</f>
        <v>S</v>
      </c>
      <c r="G34" s="110">
        <f ca="1">IFERROR(__xludf.DUMMYFUNCTION("""COMPUTED_VALUE"""),3)</f>
        <v>3</v>
      </c>
      <c r="H34" s="112" t="str">
        <f ca="1"/>
        <v/>
      </c>
      <c r="I34" s="112" t="str">
        <f ca="1"/>
        <v/>
      </c>
    </row>
    <row r="35" spans="1:9" ht="13.2">
      <c r="A35" s="109" t="str">
        <f ca="1">IFERROR(__xludf.DUMMYFUNCTION("""COMPUTED_VALUE"""),"AF")</f>
        <v>AF</v>
      </c>
      <c r="B35" s="108" t="str">
        <f ca="1">IFERROR(__xludf.DUMMYFUNCTION("""COMPUTED_VALUE"""),"Alexa Brooke")</f>
        <v>Alexa Brooke</v>
      </c>
      <c r="C35" s="109">
        <f ca="1">IFERROR(__xludf.DUMMYFUNCTION("""COMPUTED_VALUE"""),16)</f>
        <v>16</v>
      </c>
      <c r="D35" s="109" t="str">
        <f ca="1">IFERROR(__xludf.DUMMYFUNCTION("""COMPUTED_VALUE"""),"G")</f>
        <v>G</v>
      </c>
      <c r="E35" s="110" t="str">
        <f ca="1">IFERROR(__xludf.DUMMYFUNCTION("""COMPUTED_VALUE"""),"S")</f>
        <v>S</v>
      </c>
      <c r="F35" s="110" t="str">
        <f ca="1">IFERROR(__xludf.DUMMYFUNCTION("""COMPUTED_VALUE"""),"S")</f>
        <v>S</v>
      </c>
      <c r="G35" s="110">
        <f ca="1">IFERROR(__xludf.DUMMYFUNCTION("""COMPUTED_VALUE"""),3)</f>
        <v>3</v>
      </c>
      <c r="H35" s="112" t="str">
        <f ca="1"/>
        <v/>
      </c>
      <c r="I35" s="112" t="str">
        <f ca="1"/>
        <v/>
      </c>
    </row>
    <row r="36" spans="1:9" ht="13.2">
      <c r="A36" s="109" t="str">
        <f ca="1">IFERROR(__xludf.DUMMYFUNCTION("""COMPUTED_VALUE"""),"AF")</f>
        <v>AF</v>
      </c>
      <c r="B36" s="108" t="str">
        <f ca="1">IFERROR(__xludf.DUMMYFUNCTION("""COMPUTED_VALUE"""),"Ava Smialowicz")</f>
        <v>Ava Smialowicz</v>
      </c>
      <c r="C36" s="109">
        <f ca="1">IFERROR(__xludf.DUMMYFUNCTION("""COMPUTED_VALUE"""),17)</f>
        <v>17</v>
      </c>
      <c r="D36" s="109" t="str">
        <f ca="1">IFERROR(__xludf.DUMMYFUNCTION("""COMPUTED_VALUE"""),"G")</f>
        <v>G</v>
      </c>
      <c r="E36" s="110" t="str">
        <f ca="1">IFERROR(__xludf.DUMMYFUNCTION("""COMPUTED_VALUE"""),"S")</f>
        <v>S</v>
      </c>
      <c r="F36" s="110" t="str">
        <f ca="1">IFERROR(__xludf.DUMMYFUNCTION("""COMPUTED_VALUE"""),"S")</f>
        <v>S</v>
      </c>
      <c r="G36" s="110">
        <f ca="1">IFERROR(__xludf.DUMMYFUNCTION("""COMPUTED_VALUE"""),3)</f>
        <v>3</v>
      </c>
      <c r="H36" s="112" t="str">
        <f ca="1"/>
        <v/>
      </c>
      <c r="I36" s="112" t="str">
        <f ca="1"/>
        <v/>
      </c>
    </row>
    <row r="37" spans="1:9" ht="13.2">
      <c r="A37" s="109" t="str">
        <f ca="1">IFERROR(__xludf.DUMMYFUNCTION("""COMPUTED_VALUE"""),"AF")</f>
        <v>AF</v>
      </c>
      <c r="B37" s="108" t="str">
        <f ca="1">IFERROR(__xludf.DUMMYFUNCTION("""COMPUTED_VALUE"""),"Charlotte Weir")</f>
        <v>Charlotte Weir</v>
      </c>
      <c r="C37" s="109">
        <f ca="1">IFERROR(__xludf.DUMMYFUNCTION("""COMPUTED_VALUE"""),15)</f>
        <v>15</v>
      </c>
      <c r="D37" s="109" t="str">
        <f ca="1">IFERROR(__xludf.DUMMYFUNCTION("""COMPUTED_VALUE"""),"G")</f>
        <v>G</v>
      </c>
      <c r="E37" s="110" t="str">
        <f ca="1">IFERROR(__xludf.DUMMYFUNCTION("""COMPUTED_VALUE"""),"S")</f>
        <v>S</v>
      </c>
      <c r="F37" s="110" t="str">
        <f ca="1">IFERROR(__xludf.DUMMYFUNCTION("""COMPUTED_VALUE"""),"S")</f>
        <v>S</v>
      </c>
      <c r="G37" s="110">
        <f ca="1">IFERROR(__xludf.DUMMYFUNCTION("""COMPUTED_VALUE"""),3)</f>
        <v>3</v>
      </c>
      <c r="H37" s="112" t="str">
        <f ca="1"/>
        <v/>
      </c>
      <c r="I37" s="112" t="str">
        <f ca="1"/>
        <v/>
      </c>
    </row>
    <row r="38" spans="1:9" ht="13.2">
      <c r="A38" s="109" t="str">
        <f ca="1">IFERROR(__xludf.DUMMYFUNCTION("""COMPUTED_VALUE"""),"AF")</f>
        <v>AF</v>
      </c>
      <c r="B38" s="108" t="str">
        <f ca="1">IFERROR(__xludf.DUMMYFUNCTION("""COMPUTED_VALUE"""),"Ella Wyman")</f>
        <v>Ella Wyman</v>
      </c>
      <c r="C38" s="109">
        <f ca="1">IFERROR(__xludf.DUMMYFUNCTION("""COMPUTED_VALUE"""),18)</f>
        <v>18</v>
      </c>
      <c r="D38" s="109" t="str">
        <f ca="1">IFERROR(__xludf.DUMMYFUNCTION("""COMPUTED_VALUE"""),"G")</f>
        <v>G</v>
      </c>
      <c r="E38" s="110" t="str">
        <f ca="1">IFERROR(__xludf.DUMMYFUNCTION("""COMPUTED_VALUE"""),"S")</f>
        <v>S</v>
      </c>
      <c r="F38" s="110" t="str">
        <f ca="1">IFERROR(__xludf.DUMMYFUNCTION("""COMPUTED_VALUE"""),"S")</f>
        <v>S</v>
      </c>
      <c r="G38" s="110">
        <f ca="1">IFERROR(__xludf.DUMMYFUNCTION("""COMPUTED_VALUE"""),3)</f>
        <v>3</v>
      </c>
      <c r="H38" s="112" t="str">
        <f ca="1"/>
        <v/>
      </c>
      <c r="I38" s="112" t="str">
        <f ca="1"/>
        <v/>
      </c>
    </row>
    <row r="39" spans="1:9" ht="13.2">
      <c r="A39" s="109" t="str">
        <f ca="1">IFERROR(__xludf.DUMMYFUNCTION("""COMPUTED_VALUE"""),"CB")</f>
        <v>CB</v>
      </c>
      <c r="B39" s="108" t="str">
        <f ca="1">IFERROR(__xludf.DUMMYFUNCTION("""COMPUTED_VALUE"""),"Charles Rogers")</f>
        <v>Charles Rogers</v>
      </c>
      <c r="C39" s="109">
        <f ca="1">IFERROR(__xludf.DUMMYFUNCTION("""COMPUTED_VALUE"""),8)</f>
        <v>8</v>
      </c>
      <c r="D39" s="109" t="str">
        <f ca="1">IFERROR(__xludf.DUMMYFUNCTION("""COMPUTED_VALUE"""),"B")</f>
        <v>B</v>
      </c>
      <c r="E39" s="110" t="str">
        <f ca="1">IFERROR(__xludf.DUMMYFUNCTION("""COMPUTED_VALUE"""),"F")</f>
        <v>F</v>
      </c>
      <c r="F39" s="110" t="str">
        <f ca="1">IFERROR(__xludf.DUMMYFUNCTION("""COMPUTED_VALUE"""),"J")</f>
        <v>J</v>
      </c>
      <c r="G39" s="110">
        <f ca="1">IFERROR(__xludf.DUMMYFUNCTION("""COMPUTED_VALUE"""),4)</f>
        <v>4</v>
      </c>
      <c r="H39" s="112" t="str">
        <f ca="1"/>
        <v/>
      </c>
      <c r="I39" s="81" t="str">
        <f ca="1"/>
        <v/>
      </c>
    </row>
    <row r="40" spans="1:9" ht="13.2">
      <c r="A40" s="109" t="str">
        <f ca="1">IFERROR(__xludf.DUMMYFUNCTION("""COMPUTED_VALUE"""),"CB")</f>
        <v>CB</v>
      </c>
      <c r="B40" s="108" t="str">
        <f ca="1">IFERROR(__xludf.DUMMYFUNCTION("""COMPUTED_VALUE"""),"Edison Tan")</f>
        <v>Edison Tan</v>
      </c>
      <c r="C40" s="109">
        <f ca="1">IFERROR(__xludf.DUMMYFUNCTION("""COMPUTED_VALUE"""),9)</f>
        <v>9</v>
      </c>
      <c r="D40" s="109" t="str">
        <f ca="1">IFERROR(__xludf.DUMMYFUNCTION("""COMPUTED_VALUE"""),"B")</f>
        <v>B</v>
      </c>
      <c r="E40" s="110" t="str">
        <f ca="1">IFERROR(__xludf.DUMMYFUNCTION("""COMPUTED_VALUE"""),"F")</f>
        <v>F</v>
      </c>
      <c r="F40" s="110" t="str">
        <f ca="1">IFERROR(__xludf.DUMMYFUNCTION("""COMPUTED_VALUE"""),"J")</f>
        <v>J</v>
      </c>
      <c r="G40" s="110">
        <f ca="1">IFERROR(__xludf.DUMMYFUNCTION("""COMPUTED_VALUE"""),4)</f>
        <v>4</v>
      </c>
      <c r="H40" s="112" t="str">
        <f ca="1"/>
        <v/>
      </c>
      <c r="I40" s="81" t="str">
        <f ca="1"/>
        <v/>
      </c>
    </row>
    <row r="41" spans="1:9" ht="13.2">
      <c r="A41" s="109" t="str">
        <f ca="1">IFERROR(__xludf.DUMMYFUNCTION("""COMPUTED_VALUE"""),"CB")</f>
        <v>CB</v>
      </c>
      <c r="B41" s="108" t="str">
        <f ca="1">IFERROR(__xludf.DUMMYFUNCTION("""COMPUTED_VALUE"""),"Evan Tan")</f>
        <v>Evan Tan</v>
      </c>
      <c r="C41" s="109">
        <f ca="1">IFERROR(__xludf.DUMMYFUNCTION("""COMPUTED_VALUE"""),6)</f>
        <v>6</v>
      </c>
      <c r="D41" s="109" t="str">
        <f ca="1">IFERROR(__xludf.DUMMYFUNCTION("""COMPUTED_VALUE"""),"B")</f>
        <v>B</v>
      </c>
      <c r="E41" s="110" t="str">
        <f ca="1">IFERROR(__xludf.DUMMYFUNCTION("""COMPUTED_VALUE"""),"F")</f>
        <v>F</v>
      </c>
      <c r="F41" s="110" t="str">
        <f ca="1">IFERROR(__xludf.DUMMYFUNCTION("""COMPUTED_VALUE"""),"J")</f>
        <v>J</v>
      </c>
      <c r="G41" s="110">
        <f ca="1">IFERROR(__xludf.DUMMYFUNCTION("""COMPUTED_VALUE"""),4)</f>
        <v>4</v>
      </c>
      <c r="H41" s="112" t="str">
        <f ca="1"/>
        <v>23.3</v>
      </c>
      <c r="I41" s="112">
        <f ca="1"/>
        <v>23.3</v>
      </c>
    </row>
    <row r="42" spans="1:9" ht="13.2">
      <c r="A42" s="109" t="str">
        <f ca="1">IFERROR(__xludf.DUMMYFUNCTION("""COMPUTED_VALUE"""),"CB")</f>
        <v>CB</v>
      </c>
      <c r="B42" s="108" t="str">
        <f ca="1">IFERROR(__xludf.DUMMYFUNCTION("""COMPUTED_VALUE"""),"Grayson Grass")</f>
        <v>Grayson Grass</v>
      </c>
      <c r="C42" s="109">
        <f ca="1">IFERROR(__xludf.DUMMYFUNCTION("""COMPUTED_VALUE"""),9)</f>
        <v>9</v>
      </c>
      <c r="D42" s="109" t="str">
        <f ca="1">IFERROR(__xludf.DUMMYFUNCTION("""COMPUTED_VALUE"""),"B")</f>
        <v>B</v>
      </c>
      <c r="E42" s="110" t="str">
        <f ca="1">IFERROR(__xludf.DUMMYFUNCTION("""COMPUTED_VALUE"""),"F")</f>
        <v>F</v>
      </c>
      <c r="F42" s="110" t="str">
        <f ca="1">IFERROR(__xludf.DUMMYFUNCTION("""COMPUTED_VALUE"""),"J")</f>
        <v>J</v>
      </c>
      <c r="G42" s="110">
        <f ca="1">IFERROR(__xludf.DUMMYFUNCTION("""COMPUTED_VALUE"""),4)</f>
        <v>4</v>
      </c>
      <c r="H42" s="112" t="str">
        <f ca="1"/>
        <v/>
      </c>
      <c r="I42" s="81" t="str">
        <f ca="1"/>
        <v/>
      </c>
    </row>
    <row r="43" spans="1:9" ht="13.2">
      <c r="A43" s="109" t="str">
        <f ca="1">IFERROR(__xludf.DUMMYFUNCTION("""COMPUTED_VALUE"""),"CB")</f>
        <v>CB</v>
      </c>
      <c r="B43" s="108" t="str">
        <f ca="1">IFERROR(__xludf.DUMMYFUNCTION("""COMPUTED_VALUE"""),"Gudrun Burnison")</f>
        <v>Gudrun Burnison</v>
      </c>
      <c r="C43" s="109">
        <f ca="1">IFERROR(__xludf.DUMMYFUNCTION("""COMPUTED_VALUE"""),10)</f>
        <v>10</v>
      </c>
      <c r="D43" s="109" t="str">
        <f ca="1">IFERROR(__xludf.DUMMYFUNCTION("""COMPUTED_VALUE"""),"B")</f>
        <v>B</v>
      </c>
      <c r="E43" s="110" t="str">
        <f ca="1">IFERROR(__xludf.DUMMYFUNCTION("""COMPUTED_VALUE"""),"F")</f>
        <v>F</v>
      </c>
      <c r="F43" s="110" t="str">
        <f ca="1">IFERROR(__xludf.DUMMYFUNCTION("""COMPUTED_VALUE"""),"J")</f>
        <v>J</v>
      </c>
      <c r="G43" s="110">
        <f ca="1">IFERROR(__xludf.DUMMYFUNCTION("""COMPUTED_VALUE"""),4)</f>
        <v>4</v>
      </c>
      <c r="H43" s="112" t="str">
        <f ca="1"/>
        <v/>
      </c>
      <c r="I43" s="112" t="str">
        <f ca="1"/>
        <v/>
      </c>
    </row>
    <row r="44" spans="1:9" ht="13.2">
      <c r="A44" s="109" t="str">
        <f ca="1">IFERROR(__xludf.DUMMYFUNCTION("""COMPUTED_VALUE"""),"CB")</f>
        <v>CB</v>
      </c>
      <c r="B44" s="108" t="str">
        <f ca="1">IFERROR(__xludf.DUMMYFUNCTION("""COMPUTED_VALUE"""),"Gunnar Anderson")</f>
        <v>Gunnar Anderson</v>
      </c>
      <c r="C44" s="109">
        <f ca="1">IFERROR(__xludf.DUMMYFUNCTION("""COMPUTED_VALUE"""),8)</f>
        <v>8</v>
      </c>
      <c r="D44" s="109" t="str">
        <f ca="1">IFERROR(__xludf.DUMMYFUNCTION("""COMPUTED_VALUE"""),"B")</f>
        <v>B</v>
      </c>
      <c r="E44" s="110" t="str">
        <f ca="1">IFERROR(__xludf.DUMMYFUNCTION("""COMPUTED_VALUE"""),"F")</f>
        <v>F</v>
      </c>
      <c r="F44" s="110" t="str">
        <f ca="1">IFERROR(__xludf.DUMMYFUNCTION("""COMPUTED_VALUE"""),"J")</f>
        <v>J</v>
      </c>
      <c r="G44" s="110">
        <f ca="1">IFERROR(__xludf.DUMMYFUNCTION("""COMPUTED_VALUE"""),4)</f>
        <v>4</v>
      </c>
      <c r="H44" s="112" t="str">
        <f ca="1"/>
        <v>26.7</v>
      </c>
      <c r="I44" s="81">
        <f ca="1"/>
        <v>26.7</v>
      </c>
    </row>
    <row r="45" spans="1:9" ht="13.2">
      <c r="A45" s="109" t="str">
        <f ca="1">IFERROR(__xludf.DUMMYFUNCTION("""COMPUTED_VALUE"""),"CB")</f>
        <v>CB</v>
      </c>
      <c r="B45" s="108" t="str">
        <f ca="1">IFERROR(__xludf.DUMMYFUNCTION("""COMPUTED_VALUE"""),"Jack Miller")</f>
        <v>Jack Miller</v>
      </c>
      <c r="C45" s="109">
        <f ca="1">IFERROR(__xludf.DUMMYFUNCTION("""COMPUTED_VALUE"""),7)</f>
        <v>7</v>
      </c>
      <c r="D45" s="109" t="str">
        <f ca="1">IFERROR(__xludf.DUMMYFUNCTION("""COMPUTED_VALUE"""),"B")</f>
        <v>B</v>
      </c>
      <c r="E45" s="110" t="str">
        <f ca="1">IFERROR(__xludf.DUMMYFUNCTION("""COMPUTED_VALUE"""),"F")</f>
        <v>F</v>
      </c>
      <c r="F45" s="110" t="str">
        <f ca="1">IFERROR(__xludf.DUMMYFUNCTION("""COMPUTED_VALUE"""),"J")</f>
        <v>J</v>
      </c>
      <c r="G45" s="110">
        <f ca="1">IFERROR(__xludf.DUMMYFUNCTION("""COMPUTED_VALUE"""),4)</f>
        <v>4</v>
      </c>
      <c r="H45" s="112" t="str">
        <f ca="1"/>
        <v/>
      </c>
      <c r="I45" s="81" t="str">
        <f ca="1"/>
        <v/>
      </c>
    </row>
    <row r="46" spans="1:9" ht="13.2">
      <c r="A46" s="109" t="str">
        <f ca="1">IFERROR(__xludf.DUMMYFUNCTION("""COMPUTED_VALUE"""),"CB")</f>
        <v>CB</v>
      </c>
      <c r="B46" s="108" t="str">
        <f ca="1">IFERROR(__xludf.DUMMYFUNCTION("""COMPUTED_VALUE"""),"Jack Zecher")</f>
        <v>Jack Zecher</v>
      </c>
      <c r="C46" s="109">
        <f ca="1">IFERROR(__xludf.DUMMYFUNCTION("""COMPUTED_VALUE"""),7)</f>
        <v>7</v>
      </c>
      <c r="D46" s="109" t="str">
        <f ca="1">IFERROR(__xludf.DUMMYFUNCTION("""COMPUTED_VALUE"""),"b")</f>
        <v>b</v>
      </c>
      <c r="E46" s="110" t="str">
        <f ca="1">IFERROR(__xludf.DUMMYFUNCTION("""COMPUTED_VALUE"""),"F")</f>
        <v>F</v>
      </c>
      <c r="F46" s="110" t="str">
        <f ca="1">IFERROR(__xludf.DUMMYFUNCTION("""COMPUTED_VALUE"""),"J")</f>
        <v>J</v>
      </c>
      <c r="G46" s="110">
        <f ca="1">IFERROR(__xludf.DUMMYFUNCTION("""COMPUTED_VALUE"""),4)</f>
        <v>4</v>
      </c>
      <c r="H46" s="112" t="str">
        <f ca="1"/>
        <v>42.25</v>
      </c>
      <c r="I46" s="81">
        <f ca="1"/>
        <v>42.25</v>
      </c>
    </row>
    <row r="47" spans="1:9" ht="13.2">
      <c r="A47" s="109" t="str">
        <f ca="1">IFERROR(__xludf.DUMMYFUNCTION("""COMPUTED_VALUE"""),"CB")</f>
        <v>CB</v>
      </c>
      <c r="B47" s="108" t="str">
        <f ca="1">IFERROR(__xludf.DUMMYFUNCTION("""COMPUTED_VALUE"""),"Jacob Pacific")</f>
        <v>Jacob Pacific</v>
      </c>
      <c r="C47" s="109">
        <f ca="1">IFERROR(__xludf.DUMMYFUNCTION("""COMPUTED_VALUE"""),10)</f>
        <v>10</v>
      </c>
      <c r="D47" s="109" t="str">
        <f ca="1">IFERROR(__xludf.DUMMYFUNCTION("""COMPUTED_VALUE"""),"b")</f>
        <v>b</v>
      </c>
      <c r="E47" s="110" t="str">
        <f ca="1">IFERROR(__xludf.DUMMYFUNCTION("""COMPUTED_VALUE"""),"F")</f>
        <v>F</v>
      </c>
      <c r="F47" s="110" t="str">
        <f ca="1">IFERROR(__xludf.DUMMYFUNCTION("""COMPUTED_VALUE"""),"J")</f>
        <v>J</v>
      </c>
      <c r="G47" s="110">
        <f ca="1">IFERROR(__xludf.DUMMYFUNCTION("""COMPUTED_VALUE"""),4)</f>
        <v>4</v>
      </c>
      <c r="H47" s="112" t="str">
        <f ca="1"/>
        <v>28.2</v>
      </c>
      <c r="I47" s="112">
        <f ca="1"/>
        <v>28.2</v>
      </c>
    </row>
    <row r="48" spans="1:9" ht="13.2">
      <c r="A48" s="109" t="str">
        <f ca="1">IFERROR(__xludf.DUMMYFUNCTION("""COMPUTED_VALUE"""),"CB")</f>
        <v>CB</v>
      </c>
      <c r="B48" s="108" t="str">
        <f ca="1">IFERROR(__xludf.DUMMYFUNCTION("""COMPUTED_VALUE"""),"Michael Moss")</f>
        <v>Michael Moss</v>
      </c>
      <c r="C48" s="109">
        <f ca="1">IFERROR(__xludf.DUMMYFUNCTION("""COMPUTED_VALUE"""),6)</f>
        <v>6</v>
      </c>
      <c r="D48" s="109" t="str">
        <f ca="1">IFERROR(__xludf.DUMMYFUNCTION("""COMPUTED_VALUE"""),"B")</f>
        <v>B</v>
      </c>
      <c r="E48" s="110" t="str">
        <f ca="1">IFERROR(__xludf.DUMMYFUNCTION("""COMPUTED_VALUE"""),"F")</f>
        <v>F</v>
      </c>
      <c r="F48" s="110" t="str">
        <f ca="1">IFERROR(__xludf.DUMMYFUNCTION("""COMPUTED_VALUE"""),"J")</f>
        <v>J</v>
      </c>
      <c r="G48" s="110">
        <f ca="1">IFERROR(__xludf.DUMMYFUNCTION("""COMPUTED_VALUE"""),4)</f>
        <v>4</v>
      </c>
      <c r="H48" s="112" t="str">
        <f ca="1"/>
        <v>28.1</v>
      </c>
      <c r="I48" s="81">
        <f ca="1"/>
        <v>28.1</v>
      </c>
    </row>
    <row r="49" spans="1:9" ht="13.2">
      <c r="A49" s="109" t="str">
        <f ca="1">IFERROR(__xludf.DUMMYFUNCTION("""COMPUTED_VALUE"""),"CB")</f>
        <v>CB</v>
      </c>
      <c r="B49" s="108" t="str">
        <f ca="1">IFERROR(__xludf.DUMMYFUNCTION("""COMPUTED_VALUE"""),"Nicholas Harvey")</f>
        <v>Nicholas Harvey</v>
      </c>
      <c r="C49" s="109">
        <f ca="1">IFERROR(__xludf.DUMMYFUNCTION("""COMPUTED_VALUE"""),6)</f>
        <v>6</v>
      </c>
      <c r="D49" s="109" t="str">
        <f ca="1">IFERROR(__xludf.DUMMYFUNCTION("""COMPUTED_VALUE"""),"B")</f>
        <v>B</v>
      </c>
      <c r="E49" s="110" t="str">
        <f ca="1">IFERROR(__xludf.DUMMYFUNCTION("""COMPUTED_VALUE"""),"F")</f>
        <v>F</v>
      </c>
      <c r="F49" s="110" t="str">
        <f ca="1">IFERROR(__xludf.DUMMYFUNCTION("""COMPUTED_VALUE"""),"J")</f>
        <v>J</v>
      </c>
      <c r="G49" s="110">
        <f ca="1">IFERROR(__xludf.DUMMYFUNCTION("""COMPUTED_VALUE"""),4)</f>
        <v>4</v>
      </c>
      <c r="H49" s="112" t="str">
        <f ca="1"/>
        <v/>
      </c>
      <c r="I49" s="112" t="str">
        <f ca="1"/>
        <v/>
      </c>
    </row>
    <row r="50" spans="1:9" ht="13.2">
      <c r="A50" s="109" t="str">
        <f ca="1">IFERROR(__xludf.DUMMYFUNCTION("""COMPUTED_VALUE"""),"CB")</f>
        <v>CB</v>
      </c>
      <c r="B50" s="108" t="str">
        <f ca="1">IFERROR(__xludf.DUMMYFUNCTION("""COMPUTED_VALUE"""),"Nicholas Pacific")</f>
        <v>Nicholas Pacific</v>
      </c>
      <c r="C50" s="109">
        <f ca="1">IFERROR(__xludf.DUMMYFUNCTION("""COMPUTED_VALUE"""),6)</f>
        <v>6</v>
      </c>
      <c r="D50" s="109" t="str">
        <f ca="1">IFERROR(__xludf.DUMMYFUNCTION("""COMPUTED_VALUE"""),"b")</f>
        <v>b</v>
      </c>
      <c r="E50" s="110" t="str">
        <f ca="1">IFERROR(__xludf.DUMMYFUNCTION("""COMPUTED_VALUE"""),"F")</f>
        <v>F</v>
      </c>
      <c r="F50" s="110" t="str">
        <f ca="1">IFERROR(__xludf.DUMMYFUNCTION("""COMPUTED_VALUE"""),"J")</f>
        <v>J</v>
      </c>
      <c r="G50" s="110">
        <f ca="1">IFERROR(__xludf.DUMMYFUNCTION("""COMPUTED_VALUE"""),4)</f>
        <v>4</v>
      </c>
      <c r="H50" s="112" t="str">
        <f ca="1"/>
        <v>27.8</v>
      </c>
      <c r="I50" s="112">
        <f ca="1"/>
        <v>27.8</v>
      </c>
    </row>
    <row r="51" spans="1:9" ht="13.2">
      <c r="A51" s="109" t="str">
        <f ca="1">IFERROR(__xludf.DUMMYFUNCTION("""COMPUTED_VALUE"""),"CB")</f>
        <v>CB</v>
      </c>
      <c r="B51" s="108" t="str">
        <f ca="1">IFERROR(__xludf.DUMMYFUNCTION("""COMPUTED_VALUE"""),"William Duffy")</f>
        <v>William Duffy</v>
      </c>
      <c r="C51" s="109">
        <f ca="1">IFERROR(__xludf.DUMMYFUNCTION("""COMPUTED_VALUE"""),7)</f>
        <v>7</v>
      </c>
      <c r="D51" s="109" t="str">
        <f ca="1">IFERROR(__xludf.DUMMYFUNCTION("""COMPUTED_VALUE"""),"B")</f>
        <v>B</v>
      </c>
      <c r="E51" s="110" t="str">
        <f ca="1">IFERROR(__xludf.DUMMYFUNCTION("""COMPUTED_VALUE"""),"F")</f>
        <v>F</v>
      </c>
      <c r="F51" s="110" t="str">
        <f ca="1">IFERROR(__xludf.DUMMYFUNCTION("""COMPUTED_VALUE"""),"J")</f>
        <v>J</v>
      </c>
      <c r="G51" s="110">
        <f ca="1">IFERROR(__xludf.DUMMYFUNCTION("""COMPUTED_VALUE"""),4)</f>
        <v>4</v>
      </c>
      <c r="H51" s="112" t="str">
        <f ca="1"/>
        <v>14.5</v>
      </c>
      <c r="I51" s="81">
        <f ca="1"/>
        <v>14.5</v>
      </c>
    </row>
    <row r="52" spans="1:9" ht="13.2">
      <c r="A52" s="109" t="str">
        <f ca="1">IFERROR(__xludf.DUMMYFUNCTION("""COMPUTED_VALUE"""),"CB")</f>
        <v>CB</v>
      </c>
      <c r="B52" s="108" t="str">
        <f ca="1">IFERROR(__xludf.DUMMYFUNCTION("""COMPUTED_VALUE"""),"Abby Babb")</f>
        <v>Abby Babb</v>
      </c>
      <c r="C52" s="109">
        <f ca="1">IFERROR(__xludf.DUMMYFUNCTION("""COMPUTED_VALUE"""),9)</f>
        <v>9</v>
      </c>
      <c r="D52" s="109" t="str">
        <f ca="1">IFERROR(__xludf.DUMMYFUNCTION("""COMPUTED_VALUE"""),"G")</f>
        <v>G</v>
      </c>
      <c r="E52" s="110" t="str">
        <f ca="1">IFERROR(__xludf.DUMMYFUNCTION("""COMPUTED_VALUE"""),"F")</f>
        <v>F</v>
      </c>
      <c r="F52" s="110" t="str">
        <f ca="1">IFERROR(__xludf.DUMMYFUNCTION("""COMPUTED_VALUE"""),"J")</f>
        <v>J</v>
      </c>
      <c r="G52" s="110">
        <f ca="1">IFERROR(__xludf.DUMMYFUNCTION("""COMPUTED_VALUE"""),4)</f>
        <v>4</v>
      </c>
      <c r="H52" s="112" t="str">
        <f ca="1"/>
        <v/>
      </c>
      <c r="I52" s="81" t="str">
        <f ca="1"/>
        <v/>
      </c>
    </row>
    <row r="53" spans="1:9" ht="13.2">
      <c r="A53" s="109" t="str">
        <f ca="1">IFERROR(__xludf.DUMMYFUNCTION("""COMPUTED_VALUE"""),"CB")</f>
        <v>CB</v>
      </c>
      <c r="B53" s="108" t="str">
        <f ca="1">IFERROR(__xludf.DUMMYFUNCTION("""COMPUTED_VALUE"""),"Ashley Shen")</f>
        <v>Ashley Shen</v>
      </c>
      <c r="C53" s="109">
        <f ca="1">IFERROR(__xludf.DUMMYFUNCTION("""COMPUTED_VALUE"""),9)</f>
        <v>9</v>
      </c>
      <c r="D53" s="109" t="str">
        <f ca="1">IFERROR(__xludf.DUMMYFUNCTION("""COMPUTED_VALUE"""),"G")</f>
        <v>G</v>
      </c>
      <c r="E53" s="110" t="str">
        <f ca="1">IFERROR(__xludf.DUMMYFUNCTION("""COMPUTED_VALUE"""),"F")</f>
        <v>F</v>
      </c>
      <c r="F53" s="110" t="str">
        <f ca="1">IFERROR(__xludf.DUMMYFUNCTION("""COMPUTED_VALUE"""),"J")</f>
        <v>J</v>
      </c>
      <c r="G53" s="110">
        <f ca="1">IFERROR(__xludf.DUMMYFUNCTION("""COMPUTED_VALUE"""),4)</f>
        <v>4</v>
      </c>
      <c r="H53" s="112" t="str">
        <f ca="1"/>
        <v>40.5</v>
      </c>
      <c r="I53" s="81">
        <f ca="1"/>
        <v>40.5</v>
      </c>
    </row>
    <row r="54" spans="1:9" ht="13.2">
      <c r="A54" s="109" t="str">
        <f ca="1">IFERROR(__xludf.DUMMYFUNCTION("""COMPUTED_VALUE"""),"CB")</f>
        <v>CB</v>
      </c>
      <c r="B54" s="108" t="str">
        <f ca="1">IFERROR(__xludf.DUMMYFUNCTION("""COMPUTED_VALUE"""),"Ava Kulkin")</f>
        <v>Ava Kulkin</v>
      </c>
      <c r="C54" s="109">
        <f ca="1">IFERROR(__xludf.DUMMYFUNCTION("""COMPUTED_VALUE"""),9)</f>
        <v>9</v>
      </c>
      <c r="D54" s="109" t="str">
        <f ca="1">IFERROR(__xludf.DUMMYFUNCTION("""COMPUTED_VALUE"""),"G")</f>
        <v>G</v>
      </c>
      <c r="E54" s="110" t="str">
        <f ca="1">IFERROR(__xludf.DUMMYFUNCTION("""COMPUTED_VALUE"""),"F")</f>
        <v>F</v>
      </c>
      <c r="F54" s="110" t="str">
        <f ca="1">IFERROR(__xludf.DUMMYFUNCTION("""COMPUTED_VALUE"""),"J")</f>
        <v>J</v>
      </c>
      <c r="G54" s="110">
        <f ca="1">IFERROR(__xludf.DUMMYFUNCTION("""COMPUTED_VALUE"""),4)</f>
        <v>4</v>
      </c>
      <c r="H54" s="112" t="str">
        <f ca="1"/>
        <v/>
      </c>
      <c r="I54" s="112" t="str">
        <f ca="1"/>
        <v/>
      </c>
    </row>
    <row r="55" spans="1:9" ht="13.2">
      <c r="A55" s="109" t="str">
        <f ca="1">IFERROR(__xludf.DUMMYFUNCTION("""COMPUTED_VALUE"""),"CB")</f>
        <v>CB</v>
      </c>
      <c r="B55" s="108" t="str">
        <f ca="1">IFERROR(__xludf.DUMMYFUNCTION("""COMPUTED_VALUE"""),"Ava Tan")</f>
        <v>Ava Tan</v>
      </c>
      <c r="C55" s="109">
        <f ca="1">IFERROR(__xludf.DUMMYFUNCTION("""COMPUTED_VALUE"""),10)</f>
        <v>10</v>
      </c>
      <c r="D55" s="109" t="str">
        <f ca="1">IFERROR(__xludf.DUMMYFUNCTION("""COMPUTED_VALUE"""),"G")</f>
        <v>G</v>
      </c>
      <c r="E55" s="110" t="str">
        <f ca="1">IFERROR(__xludf.DUMMYFUNCTION("""COMPUTED_VALUE"""),"F")</f>
        <v>F</v>
      </c>
      <c r="F55" s="110" t="str">
        <f ca="1">IFERROR(__xludf.DUMMYFUNCTION("""COMPUTED_VALUE"""),"J")</f>
        <v>J</v>
      </c>
      <c r="G55" s="110">
        <f ca="1">IFERROR(__xludf.DUMMYFUNCTION("""COMPUTED_VALUE"""),4)</f>
        <v>4</v>
      </c>
      <c r="H55" s="112" t="str">
        <f ca="1"/>
        <v/>
      </c>
      <c r="I55" s="81" t="str">
        <f ca="1"/>
        <v/>
      </c>
    </row>
    <row r="56" spans="1:9" ht="13.2">
      <c r="A56" s="109" t="str">
        <f ca="1">IFERROR(__xludf.DUMMYFUNCTION("""COMPUTED_VALUE"""),"CB")</f>
        <v>CB</v>
      </c>
      <c r="B56" s="108" t="str">
        <f ca="1">IFERROR(__xludf.DUMMYFUNCTION("""COMPUTED_VALUE"""),"Catherine Burnison")</f>
        <v>Catherine Burnison</v>
      </c>
      <c r="C56" s="109">
        <f ca="1">IFERROR(__xludf.DUMMYFUNCTION("""COMPUTED_VALUE"""),10)</f>
        <v>10</v>
      </c>
      <c r="D56" s="109" t="str">
        <f ca="1">IFERROR(__xludf.DUMMYFUNCTION("""COMPUTED_VALUE"""),"G")</f>
        <v>G</v>
      </c>
      <c r="E56" s="110" t="str">
        <f ca="1">IFERROR(__xludf.DUMMYFUNCTION("""COMPUTED_VALUE"""),"F")</f>
        <v>F</v>
      </c>
      <c r="F56" s="110" t="str">
        <f ca="1">IFERROR(__xludf.DUMMYFUNCTION("""COMPUTED_VALUE"""),"J")</f>
        <v>J</v>
      </c>
      <c r="G56" s="110">
        <f ca="1">IFERROR(__xludf.DUMMYFUNCTION("""COMPUTED_VALUE"""),4)</f>
        <v>4</v>
      </c>
      <c r="H56" s="112" t="str">
        <f ca="1"/>
        <v/>
      </c>
      <c r="I56" s="81" t="str">
        <f ca="1"/>
        <v/>
      </c>
    </row>
    <row r="57" spans="1:9" ht="13.2">
      <c r="A57" s="109" t="str">
        <f ca="1">IFERROR(__xludf.DUMMYFUNCTION("""COMPUTED_VALUE"""),"CB")</f>
        <v>CB</v>
      </c>
      <c r="B57" s="108" t="str">
        <f ca="1">IFERROR(__xludf.DUMMYFUNCTION("""COMPUTED_VALUE"""),"Elaine Jensen")</f>
        <v>Elaine Jensen</v>
      </c>
      <c r="C57" s="109">
        <f ca="1">IFERROR(__xludf.DUMMYFUNCTION("""COMPUTED_VALUE"""),6)</f>
        <v>6</v>
      </c>
      <c r="D57" s="109" t="str">
        <f ca="1">IFERROR(__xludf.DUMMYFUNCTION("""COMPUTED_VALUE"""),"G")</f>
        <v>G</v>
      </c>
      <c r="E57" s="110" t="str">
        <f ca="1">IFERROR(__xludf.DUMMYFUNCTION("""COMPUTED_VALUE"""),"F")</f>
        <v>F</v>
      </c>
      <c r="F57" s="110" t="str">
        <f ca="1">IFERROR(__xludf.DUMMYFUNCTION("""COMPUTED_VALUE"""),"J")</f>
        <v>J</v>
      </c>
      <c r="G57" s="110">
        <f ca="1">IFERROR(__xludf.DUMMYFUNCTION("""COMPUTED_VALUE"""),4)</f>
        <v>4</v>
      </c>
      <c r="H57" s="112" t="str">
        <f ca="1"/>
        <v/>
      </c>
      <c r="I57" s="81" t="str">
        <f ca="1"/>
        <v/>
      </c>
    </row>
    <row r="58" spans="1:9" ht="13.2">
      <c r="A58" s="109" t="str">
        <f ca="1">IFERROR(__xludf.DUMMYFUNCTION("""COMPUTED_VALUE"""),"CB")</f>
        <v>CB</v>
      </c>
      <c r="B58" s="108" t="str">
        <f ca="1">IFERROR(__xludf.DUMMYFUNCTION("""COMPUTED_VALUE"""),"Eliza Harvey")</f>
        <v>Eliza Harvey</v>
      </c>
      <c r="C58" s="109">
        <f ca="1">IFERROR(__xludf.DUMMYFUNCTION("""COMPUTED_VALUE"""),9)</f>
        <v>9</v>
      </c>
      <c r="D58" s="109" t="str">
        <f ca="1">IFERROR(__xludf.DUMMYFUNCTION("""COMPUTED_VALUE"""),"G")</f>
        <v>G</v>
      </c>
      <c r="E58" s="110" t="str">
        <f ca="1">IFERROR(__xludf.DUMMYFUNCTION("""COMPUTED_VALUE"""),"F")</f>
        <v>F</v>
      </c>
      <c r="F58" s="110" t="str">
        <f ca="1">IFERROR(__xludf.DUMMYFUNCTION("""COMPUTED_VALUE"""),"J")</f>
        <v>J</v>
      </c>
      <c r="G58" s="110">
        <f ca="1">IFERROR(__xludf.DUMMYFUNCTION("""COMPUTED_VALUE"""),4)</f>
        <v>4</v>
      </c>
      <c r="H58" s="112" t="str">
        <f ca="1"/>
        <v/>
      </c>
      <c r="I58" s="112" t="str">
        <f ca="1"/>
        <v/>
      </c>
    </row>
    <row r="59" spans="1:9" ht="13.2">
      <c r="A59" s="109" t="str">
        <f ca="1">IFERROR(__xludf.DUMMYFUNCTION("""COMPUTED_VALUE"""),"CB")</f>
        <v>CB</v>
      </c>
      <c r="B59" s="108" t="str">
        <f ca="1">IFERROR(__xludf.DUMMYFUNCTION("""COMPUTED_VALUE"""),"Elizabeth Burnison")</f>
        <v>Elizabeth Burnison</v>
      </c>
      <c r="C59" s="109">
        <f ca="1">IFERROR(__xludf.DUMMYFUNCTION("""COMPUTED_VALUE"""),9)</f>
        <v>9</v>
      </c>
      <c r="D59" s="109" t="str">
        <f ca="1">IFERROR(__xludf.DUMMYFUNCTION("""COMPUTED_VALUE"""),"G")</f>
        <v>G</v>
      </c>
      <c r="E59" s="110" t="str">
        <f ca="1">IFERROR(__xludf.DUMMYFUNCTION("""COMPUTED_VALUE"""),"F")</f>
        <v>F</v>
      </c>
      <c r="F59" s="110" t="str">
        <f ca="1">IFERROR(__xludf.DUMMYFUNCTION("""COMPUTED_VALUE"""),"J")</f>
        <v>J</v>
      </c>
      <c r="G59" s="110">
        <f ca="1">IFERROR(__xludf.DUMMYFUNCTION("""COMPUTED_VALUE"""),4)</f>
        <v>4</v>
      </c>
      <c r="H59" s="112" t="str">
        <f ca="1"/>
        <v/>
      </c>
      <c r="I59" s="112" t="str">
        <f ca="1"/>
        <v/>
      </c>
    </row>
    <row r="60" spans="1:9" ht="13.2">
      <c r="A60" s="109" t="str">
        <f ca="1">IFERROR(__xludf.DUMMYFUNCTION("""COMPUTED_VALUE"""),"CB")</f>
        <v>CB</v>
      </c>
      <c r="B60" s="108" t="str">
        <f ca="1">IFERROR(__xludf.DUMMYFUNCTION("""COMPUTED_VALUE"""),"Elle Whitney")</f>
        <v>Elle Whitney</v>
      </c>
      <c r="C60" s="109">
        <f ca="1">IFERROR(__xludf.DUMMYFUNCTION("""COMPUTED_VALUE"""),10)</f>
        <v>10</v>
      </c>
      <c r="D60" s="109" t="str">
        <f ca="1">IFERROR(__xludf.DUMMYFUNCTION("""COMPUTED_VALUE"""),"G")</f>
        <v>G</v>
      </c>
      <c r="E60" s="110" t="str">
        <f ca="1">IFERROR(__xludf.DUMMYFUNCTION("""COMPUTED_VALUE"""),"F")</f>
        <v>F</v>
      </c>
      <c r="F60" s="110" t="str">
        <f ca="1">IFERROR(__xludf.DUMMYFUNCTION("""COMPUTED_VALUE"""),"J")</f>
        <v>J</v>
      </c>
      <c r="G60" s="110">
        <f ca="1">IFERROR(__xludf.DUMMYFUNCTION("""COMPUTED_VALUE"""),4)</f>
        <v>4</v>
      </c>
      <c r="H60" s="112" t="str">
        <f ca="1"/>
        <v/>
      </c>
      <c r="I60" s="112" t="str">
        <f ca="1"/>
        <v/>
      </c>
    </row>
    <row r="61" spans="1:9" ht="13.2">
      <c r="A61" s="109" t="str">
        <f ca="1">IFERROR(__xludf.DUMMYFUNCTION("""COMPUTED_VALUE"""),"CB")</f>
        <v>CB</v>
      </c>
      <c r="B61" s="108" t="str">
        <f ca="1">IFERROR(__xludf.DUMMYFUNCTION("""COMPUTED_VALUE"""),"Ellie Hook")</f>
        <v>Ellie Hook</v>
      </c>
      <c r="C61" s="109">
        <f ca="1">IFERROR(__xludf.DUMMYFUNCTION("""COMPUTED_VALUE"""),8)</f>
        <v>8</v>
      </c>
      <c r="D61" s="109" t="str">
        <f ca="1">IFERROR(__xludf.DUMMYFUNCTION("""COMPUTED_VALUE"""),"G")</f>
        <v>G</v>
      </c>
      <c r="E61" s="110" t="str">
        <f ca="1">IFERROR(__xludf.DUMMYFUNCTION("""COMPUTED_VALUE"""),"F")</f>
        <v>F</v>
      </c>
      <c r="F61" s="110" t="str">
        <f ca="1">IFERROR(__xludf.DUMMYFUNCTION("""COMPUTED_VALUE"""),"J")</f>
        <v>J</v>
      </c>
      <c r="G61" s="110">
        <f ca="1">IFERROR(__xludf.DUMMYFUNCTION("""COMPUTED_VALUE"""),4)</f>
        <v>4</v>
      </c>
      <c r="H61" s="112" t="str">
        <f ca="1"/>
        <v/>
      </c>
      <c r="I61" s="81" t="str">
        <f ca="1"/>
        <v/>
      </c>
    </row>
    <row r="62" spans="1:9" ht="13.2">
      <c r="A62" s="109" t="str">
        <f ca="1">IFERROR(__xludf.DUMMYFUNCTION("""COMPUTED_VALUE"""),"CB")</f>
        <v>CB</v>
      </c>
      <c r="B62" s="108" t="str">
        <f ca="1">IFERROR(__xludf.DUMMYFUNCTION("""COMPUTED_VALUE"""),"Emma Roques")</f>
        <v>Emma Roques</v>
      </c>
      <c r="C62" s="109">
        <f ca="1">IFERROR(__xludf.DUMMYFUNCTION("""COMPUTED_VALUE"""),8)</f>
        <v>8</v>
      </c>
      <c r="D62" s="109" t="str">
        <f ca="1">IFERROR(__xludf.DUMMYFUNCTION("""COMPUTED_VALUE"""),"G")</f>
        <v>G</v>
      </c>
      <c r="E62" s="110" t="str">
        <f ca="1">IFERROR(__xludf.DUMMYFUNCTION("""COMPUTED_VALUE"""),"F")</f>
        <v>F</v>
      </c>
      <c r="F62" s="110" t="str">
        <f ca="1">IFERROR(__xludf.DUMMYFUNCTION("""COMPUTED_VALUE"""),"J")</f>
        <v>J</v>
      </c>
      <c r="G62" s="110">
        <f ca="1">IFERROR(__xludf.DUMMYFUNCTION("""COMPUTED_VALUE"""),4)</f>
        <v>4</v>
      </c>
      <c r="H62" s="112" t="str">
        <f ca="1"/>
        <v/>
      </c>
      <c r="I62" s="112" t="str">
        <f ca="1"/>
        <v/>
      </c>
    </row>
    <row r="63" spans="1:9" ht="13.2">
      <c r="A63" s="109" t="str">
        <f ca="1">IFERROR(__xludf.DUMMYFUNCTION("""COMPUTED_VALUE"""),"CB")</f>
        <v>CB</v>
      </c>
      <c r="B63" s="108" t="str">
        <f ca="1">IFERROR(__xludf.DUMMYFUNCTION("""COMPUTED_VALUE"""),"Evah Pho")</f>
        <v>Evah Pho</v>
      </c>
      <c r="C63" s="109">
        <f ca="1">IFERROR(__xludf.DUMMYFUNCTION("""COMPUTED_VALUE"""),9)</f>
        <v>9</v>
      </c>
      <c r="D63" s="109" t="str">
        <f ca="1">IFERROR(__xludf.DUMMYFUNCTION("""COMPUTED_VALUE"""),"G")</f>
        <v>G</v>
      </c>
      <c r="E63" s="110" t="str">
        <f ca="1">IFERROR(__xludf.DUMMYFUNCTION("""COMPUTED_VALUE"""),"F")</f>
        <v>F</v>
      </c>
      <c r="F63" s="110" t="str">
        <f ca="1">IFERROR(__xludf.DUMMYFUNCTION("""COMPUTED_VALUE"""),"J")</f>
        <v>J</v>
      </c>
      <c r="G63" s="110">
        <f ca="1">IFERROR(__xludf.DUMMYFUNCTION("""COMPUTED_VALUE"""),4)</f>
        <v>4</v>
      </c>
      <c r="H63" s="112" t="str">
        <f ca="1"/>
        <v/>
      </c>
      <c r="I63" s="112" t="str">
        <f ca="1"/>
        <v/>
      </c>
    </row>
    <row r="64" spans="1:9" ht="13.2">
      <c r="A64" s="109" t="str">
        <f ca="1">IFERROR(__xludf.DUMMYFUNCTION("""COMPUTED_VALUE"""),"CB")</f>
        <v>CB</v>
      </c>
      <c r="B64" s="108" t="str">
        <f ca="1">IFERROR(__xludf.DUMMYFUNCTION("""COMPUTED_VALUE"""),"Gabby Gallagher")</f>
        <v>Gabby Gallagher</v>
      </c>
      <c r="C64" s="109">
        <f ca="1">IFERROR(__xludf.DUMMYFUNCTION("""COMPUTED_VALUE"""),10)</f>
        <v>10</v>
      </c>
      <c r="D64" s="109" t="str">
        <f ca="1">IFERROR(__xludf.DUMMYFUNCTION("""COMPUTED_VALUE"""),"G")</f>
        <v>G</v>
      </c>
      <c r="E64" s="110" t="str">
        <f ca="1">IFERROR(__xludf.DUMMYFUNCTION("""COMPUTED_VALUE"""),"F")</f>
        <v>F</v>
      </c>
      <c r="F64" s="110" t="str">
        <f ca="1">IFERROR(__xludf.DUMMYFUNCTION("""COMPUTED_VALUE"""),"J")</f>
        <v>J</v>
      </c>
      <c r="G64" s="110">
        <f ca="1">IFERROR(__xludf.DUMMYFUNCTION("""COMPUTED_VALUE"""),4)</f>
        <v>4</v>
      </c>
      <c r="H64" s="112" t="str">
        <f ca="1"/>
        <v>40.3</v>
      </c>
      <c r="I64" s="112">
        <f ca="1"/>
        <v>40.299999999999997</v>
      </c>
    </row>
    <row r="65" spans="1:9" ht="13.2">
      <c r="A65" s="109" t="str">
        <f ca="1">IFERROR(__xludf.DUMMYFUNCTION("""COMPUTED_VALUE"""),"CB")</f>
        <v>CB</v>
      </c>
      <c r="B65" s="108" t="str">
        <f ca="1">IFERROR(__xludf.DUMMYFUNCTION("""COMPUTED_VALUE"""),"Johanna Moss")</f>
        <v>Johanna Moss</v>
      </c>
      <c r="C65" s="109">
        <f ca="1">IFERROR(__xludf.DUMMYFUNCTION("""COMPUTED_VALUE"""),6)</f>
        <v>6</v>
      </c>
      <c r="D65" s="109" t="str">
        <f ca="1">IFERROR(__xludf.DUMMYFUNCTION("""COMPUTED_VALUE"""),"G")</f>
        <v>G</v>
      </c>
      <c r="E65" s="110" t="str">
        <f ca="1">IFERROR(__xludf.DUMMYFUNCTION("""COMPUTED_VALUE"""),"F")</f>
        <v>F</v>
      </c>
      <c r="F65" s="110" t="str">
        <f ca="1">IFERROR(__xludf.DUMMYFUNCTION("""COMPUTED_VALUE"""),"J")</f>
        <v>J</v>
      </c>
      <c r="G65" s="110">
        <f ca="1">IFERROR(__xludf.DUMMYFUNCTION("""COMPUTED_VALUE"""),4)</f>
        <v>4</v>
      </c>
      <c r="H65" s="112" t="str">
        <f ca="1"/>
        <v>15</v>
      </c>
      <c r="I65" s="112">
        <f ca="1"/>
        <v>15</v>
      </c>
    </row>
    <row r="66" spans="1:9" ht="13.2">
      <c r="A66" s="109" t="str">
        <f ca="1">IFERROR(__xludf.DUMMYFUNCTION("""COMPUTED_VALUE"""),"CB")</f>
        <v>CB</v>
      </c>
      <c r="B66" s="108" t="str">
        <f ca="1">IFERROR(__xludf.DUMMYFUNCTION("""COMPUTED_VALUE"""),"Julianne Carle")</f>
        <v>Julianne Carle</v>
      </c>
      <c r="C66" s="109">
        <f ca="1">IFERROR(__xludf.DUMMYFUNCTION("""COMPUTED_VALUE"""),10)</f>
        <v>10</v>
      </c>
      <c r="D66" s="109" t="str">
        <f ca="1">IFERROR(__xludf.DUMMYFUNCTION("""COMPUTED_VALUE"""),"G")</f>
        <v>G</v>
      </c>
      <c r="E66" s="110" t="str">
        <f ca="1">IFERROR(__xludf.DUMMYFUNCTION("""COMPUTED_VALUE"""),"F")</f>
        <v>F</v>
      </c>
      <c r="F66" s="110" t="str">
        <f ca="1">IFERROR(__xludf.DUMMYFUNCTION("""COMPUTED_VALUE"""),"J")</f>
        <v>J</v>
      </c>
      <c r="G66" s="110">
        <f ca="1">IFERROR(__xludf.DUMMYFUNCTION("""COMPUTED_VALUE"""),4)</f>
        <v>4</v>
      </c>
      <c r="H66" s="112" t="str">
        <f ca="1"/>
        <v/>
      </c>
      <c r="I66" s="112" t="str">
        <f ca="1"/>
        <v/>
      </c>
    </row>
    <row r="67" spans="1:9" ht="13.2">
      <c r="A67" s="109" t="str">
        <f ca="1">IFERROR(__xludf.DUMMYFUNCTION("""COMPUTED_VALUE"""),"CB")</f>
        <v>CB</v>
      </c>
      <c r="B67" s="108" t="str">
        <f ca="1">IFERROR(__xludf.DUMMYFUNCTION("""COMPUTED_VALUE"""),"Kaitlin Moss")</f>
        <v>Kaitlin Moss</v>
      </c>
      <c r="C67" s="109">
        <f ca="1">IFERROR(__xludf.DUMMYFUNCTION("""COMPUTED_VALUE"""),10)</f>
        <v>10</v>
      </c>
      <c r="D67" s="109" t="str">
        <f ca="1">IFERROR(__xludf.DUMMYFUNCTION("""COMPUTED_VALUE"""),"G")</f>
        <v>G</v>
      </c>
      <c r="E67" s="110" t="str">
        <f ca="1">IFERROR(__xludf.DUMMYFUNCTION("""COMPUTED_VALUE"""),"F")</f>
        <v>F</v>
      </c>
      <c r="F67" s="110" t="str">
        <f ca="1">IFERROR(__xludf.DUMMYFUNCTION("""COMPUTED_VALUE"""),"J")</f>
        <v>J</v>
      </c>
      <c r="G67" s="110">
        <f ca="1">IFERROR(__xludf.DUMMYFUNCTION("""COMPUTED_VALUE"""),4)</f>
        <v>4</v>
      </c>
      <c r="H67" s="112" t="str">
        <f ca="1"/>
        <v>37.05</v>
      </c>
      <c r="I67" s="112">
        <f ca="1"/>
        <v>37.049999999999997</v>
      </c>
    </row>
    <row r="68" spans="1:9" ht="13.2">
      <c r="A68" s="109" t="str">
        <f ca="1">IFERROR(__xludf.DUMMYFUNCTION("""COMPUTED_VALUE"""),"CB")</f>
        <v>CB</v>
      </c>
      <c r="B68" s="108" t="str">
        <f ca="1">IFERROR(__xludf.DUMMYFUNCTION("""COMPUTED_VALUE"""),"Lilah Gallagher")</f>
        <v>Lilah Gallagher</v>
      </c>
      <c r="C68" s="109">
        <f ca="1">IFERROR(__xludf.DUMMYFUNCTION("""COMPUTED_VALUE"""),10)</f>
        <v>10</v>
      </c>
      <c r="D68" s="109" t="str">
        <f ca="1">IFERROR(__xludf.DUMMYFUNCTION("""COMPUTED_VALUE"""),"G")</f>
        <v>G</v>
      </c>
      <c r="E68" s="110" t="str">
        <f ca="1">IFERROR(__xludf.DUMMYFUNCTION("""COMPUTED_VALUE"""),"F")</f>
        <v>F</v>
      </c>
      <c r="F68" s="110" t="str">
        <f ca="1">IFERROR(__xludf.DUMMYFUNCTION("""COMPUTED_VALUE"""),"J")</f>
        <v>J</v>
      </c>
      <c r="G68" s="110">
        <f ca="1">IFERROR(__xludf.DUMMYFUNCTION("""COMPUTED_VALUE"""),4)</f>
        <v>4</v>
      </c>
      <c r="H68" s="112" t="str">
        <f ca="1"/>
        <v>40.7</v>
      </c>
      <c r="I68" s="112">
        <f ca="1"/>
        <v>40.700000000000003</v>
      </c>
    </row>
    <row r="69" spans="1:9" ht="13.2">
      <c r="A69" s="109" t="str">
        <f ca="1">IFERROR(__xludf.DUMMYFUNCTION("""COMPUTED_VALUE"""),"CB")</f>
        <v>CB</v>
      </c>
      <c r="B69" s="108" t="str">
        <f ca="1">IFERROR(__xludf.DUMMYFUNCTION("""COMPUTED_VALUE"""),"Lily Wilson")</f>
        <v>Lily Wilson</v>
      </c>
      <c r="C69" s="109">
        <f ca="1">IFERROR(__xludf.DUMMYFUNCTION("""COMPUTED_VALUE"""),7)</f>
        <v>7</v>
      </c>
      <c r="D69" s="109" t="str">
        <f ca="1">IFERROR(__xludf.DUMMYFUNCTION("""COMPUTED_VALUE"""),"G")</f>
        <v>G</v>
      </c>
      <c r="E69" s="110" t="str">
        <f ca="1">IFERROR(__xludf.DUMMYFUNCTION("""COMPUTED_VALUE"""),"F")</f>
        <v>F</v>
      </c>
      <c r="F69" s="110" t="str">
        <f ca="1">IFERROR(__xludf.DUMMYFUNCTION("""COMPUTED_VALUE"""),"J")</f>
        <v>J</v>
      </c>
      <c r="G69" s="110">
        <f ca="1">IFERROR(__xludf.DUMMYFUNCTION("""COMPUTED_VALUE"""),4)</f>
        <v>4</v>
      </c>
      <c r="H69" s="112" t="str">
        <f ca="1"/>
        <v/>
      </c>
      <c r="I69" s="112" t="str">
        <f ca="1"/>
        <v/>
      </c>
    </row>
    <row r="70" spans="1:9" ht="13.2">
      <c r="A70" s="109" t="str">
        <f ca="1">IFERROR(__xludf.DUMMYFUNCTION("""COMPUTED_VALUE"""),"CB")</f>
        <v>CB</v>
      </c>
      <c r="B70" s="108" t="str">
        <f ca="1">IFERROR(__xludf.DUMMYFUNCTION("""COMPUTED_VALUE"""),"Lyrics Chen")</f>
        <v>Lyrics Chen</v>
      </c>
      <c r="C70" s="109">
        <f ca="1">IFERROR(__xludf.DUMMYFUNCTION("""COMPUTED_VALUE"""),10)</f>
        <v>10</v>
      </c>
      <c r="D70" s="109" t="str">
        <f ca="1">IFERROR(__xludf.DUMMYFUNCTION("""COMPUTED_VALUE"""),"G")</f>
        <v>G</v>
      </c>
      <c r="E70" s="110" t="str">
        <f ca="1">IFERROR(__xludf.DUMMYFUNCTION("""COMPUTED_VALUE"""),"F")</f>
        <v>F</v>
      </c>
      <c r="F70" s="110" t="str">
        <f ca="1">IFERROR(__xludf.DUMMYFUNCTION("""COMPUTED_VALUE"""),"J")</f>
        <v>J</v>
      </c>
      <c r="G70" s="110">
        <f ca="1">IFERROR(__xludf.DUMMYFUNCTION("""COMPUTED_VALUE"""),4)</f>
        <v>4</v>
      </c>
      <c r="H70" s="112" t="str">
        <f ca="1"/>
        <v/>
      </c>
      <c r="I70" s="112" t="str">
        <f ca="1"/>
        <v/>
      </c>
    </row>
    <row r="71" spans="1:9" ht="13.2">
      <c r="A71" s="109" t="str">
        <f ca="1">IFERROR(__xludf.DUMMYFUNCTION("""COMPUTED_VALUE"""),"CB")</f>
        <v>CB</v>
      </c>
      <c r="B71" s="108" t="str">
        <f ca="1">IFERROR(__xludf.DUMMYFUNCTION("""COMPUTED_VALUE"""),"Madeleine Philbin")</f>
        <v>Madeleine Philbin</v>
      </c>
      <c r="C71" s="109">
        <f ca="1">IFERROR(__xludf.DUMMYFUNCTION("""COMPUTED_VALUE"""),8)</f>
        <v>8</v>
      </c>
      <c r="D71" s="109" t="str">
        <f ca="1">IFERROR(__xludf.DUMMYFUNCTION("""COMPUTED_VALUE"""),"G")</f>
        <v>G</v>
      </c>
      <c r="E71" s="110" t="str">
        <f ca="1">IFERROR(__xludf.DUMMYFUNCTION("""COMPUTED_VALUE"""),"F")</f>
        <v>F</v>
      </c>
      <c r="F71" s="110" t="str">
        <f ca="1">IFERROR(__xludf.DUMMYFUNCTION("""COMPUTED_VALUE"""),"J")</f>
        <v>J</v>
      </c>
      <c r="G71" s="110">
        <f ca="1">IFERROR(__xludf.DUMMYFUNCTION("""COMPUTED_VALUE"""),4)</f>
        <v>4</v>
      </c>
      <c r="H71" s="112" t="str">
        <f ca="1"/>
        <v>49.5</v>
      </c>
      <c r="I71" s="112">
        <f ca="1"/>
        <v>49.5</v>
      </c>
    </row>
    <row r="72" spans="1:9" ht="13.2">
      <c r="A72" s="109" t="str">
        <f ca="1">IFERROR(__xludf.DUMMYFUNCTION("""COMPUTED_VALUE"""),"CB")</f>
        <v>CB</v>
      </c>
      <c r="B72" s="108" t="str">
        <f ca="1">IFERROR(__xludf.DUMMYFUNCTION("""COMPUTED_VALUE"""),"Madeline Fatula")</f>
        <v>Madeline Fatula</v>
      </c>
      <c r="C72" s="109">
        <f ca="1">IFERROR(__xludf.DUMMYFUNCTION("""COMPUTED_VALUE"""),7)</f>
        <v>7</v>
      </c>
      <c r="D72" s="109" t="str">
        <f ca="1">IFERROR(__xludf.DUMMYFUNCTION("""COMPUTED_VALUE"""),"G")</f>
        <v>G</v>
      </c>
      <c r="E72" s="110" t="str">
        <f ca="1">IFERROR(__xludf.DUMMYFUNCTION("""COMPUTED_VALUE"""),"F")</f>
        <v>F</v>
      </c>
      <c r="F72" s="110" t="str">
        <f ca="1">IFERROR(__xludf.DUMMYFUNCTION("""COMPUTED_VALUE"""),"J")</f>
        <v>J</v>
      </c>
      <c r="G72" s="110">
        <f ca="1">IFERROR(__xludf.DUMMYFUNCTION("""COMPUTED_VALUE"""),4)</f>
        <v>4</v>
      </c>
      <c r="H72" s="112" t="str">
        <f ca="1"/>
        <v/>
      </c>
      <c r="I72" s="112" t="str">
        <f ca="1"/>
        <v/>
      </c>
    </row>
    <row r="73" spans="1:9" ht="13.2">
      <c r="A73" s="109" t="str">
        <f ca="1">IFERROR(__xludf.DUMMYFUNCTION("""COMPUTED_VALUE"""),"CB")</f>
        <v>CB</v>
      </c>
      <c r="B73" s="108" t="str">
        <f ca="1">IFERROR(__xludf.DUMMYFUNCTION("""COMPUTED_VALUE"""),"Margot Zecher")</f>
        <v>Margot Zecher</v>
      </c>
      <c r="C73" s="109">
        <f ca="1">IFERROR(__xludf.DUMMYFUNCTION("""COMPUTED_VALUE"""),9)</f>
        <v>9</v>
      </c>
      <c r="D73" s="109" t="str">
        <f ca="1">IFERROR(__xludf.DUMMYFUNCTION("""COMPUTED_VALUE"""),"G")</f>
        <v>G</v>
      </c>
      <c r="E73" s="110" t="str">
        <f ca="1">IFERROR(__xludf.DUMMYFUNCTION("""COMPUTED_VALUE"""),"F")</f>
        <v>F</v>
      </c>
      <c r="F73" s="110" t="str">
        <f ca="1">IFERROR(__xludf.DUMMYFUNCTION("""COMPUTED_VALUE"""),"J")</f>
        <v>J</v>
      </c>
      <c r="G73" s="110">
        <f ca="1">IFERROR(__xludf.DUMMYFUNCTION("""COMPUTED_VALUE"""),4)</f>
        <v>4</v>
      </c>
      <c r="H73" s="112" t="str">
        <f ca="1"/>
        <v>24.75</v>
      </c>
      <c r="I73" s="112">
        <f ca="1"/>
        <v>24.75</v>
      </c>
    </row>
    <row r="74" spans="1:9" ht="13.2">
      <c r="A74" s="109" t="str">
        <f ca="1">IFERROR(__xludf.DUMMYFUNCTION("""COMPUTED_VALUE"""),"CB")</f>
        <v>CB</v>
      </c>
      <c r="B74" s="108" t="str">
        <f ca="1">IFERROR(__xludf.DUMMYFUNCTION("""COMPUTED_VALUE"""),"Mary Moss")</f>
        <v>Mary Moss</v>
      </c>
      <c r="C74" s="109">
        <f ca="1">IFERROR(__xludf.DUMMYFUNCTION("""COMPUTED_VALUE"""),10)</f>
        <v>10</v>
      </c>
      <c r="D74" s="109" t="str">
        <f ca="1">IFERROR(__xludf.DUMMYFUNCTION("""COMPUTED_VALUE"""),"G")</f>
        <v>G</v>
      </c>
      <c r="E74" s="110" t="str">
        <f ca="1">IFERROR(__xludf.DUMMYFUNCTION("""COMPUTED_VALUE"""),"F")</f>
        <v>F</v>
      </c>
      <c r="F74" s="110" t="str">
        <f ca="1">IFERROR(__xludf.DUMMYFUNCTION("""COMPUTED_VALUE"""),"J")</f>
        <v>J</v>
      </c>
      <c r="G74" s="110">
        <f ca="1">IFERROR(__xludf.DUMMYFUNCTION("""COMPUTED_VALUE"""),4)</f>
        <v>4</v>
      </c>
      <c r="H74" s="112" t="str">
        <f ca="1"/>
        <v>33.2</v>
      </c>
      <c r="I74" s="112">
        <f ca="1"/>
        <v>33.200000000000003</v>
      </c>
    </row>
    <row r="75" spans="1:9" ht="13.2">
      <c r="A75" s="109" t="str">
        <f ca="1">IFERROR(__xludf.DUMMYFUNCTION("""COMPUTED_VALUE"""),"CB")</f>
        <v>CB</v>
      </c>
      <c r="B75" s="108" t="str">
        <f ca="1">IFERROR(__xludf.DUMMYFUNCTION("""COMPUTED_VALUE"""),"McKenzie Spencer")</f>
        <v>McKenzie Spencer</v>
      </c>
      <c r="C75" s="109">
        <f ca="1">IFERROR(__xludf.DUMMYFUNCTION("""COMPUTED_VALUE"""),9)</f>
        <v>9</v>
      </c>
      <c r="D75" s="109" t="str">
        <f ca="1">IFERROR(__xludf.DUMMYFUNCTION("""COMPUTED_VALUE"""),"G")</f>
        <v>G</v>
      </c>
      <c r="E75" s="110" t="str">
        <f ca="1">IFERROR(__xludf.DUMMYFUNCTION("""COMPUTED_VALUE"""),"F")</f>
        <v>F</v>
      </c>
      <c r="F75" s="110" t="str">
        <f ca="1">IFERROR(__xludf.DUMMYFUNCTION("""COMPUTED_VALUE"""),"J")</f>
        <v>J</v>
      </c>
      <c r="G75" s="110">
        <f ca="1">IFERROR(__xludf.DUMMYFUNCTION("""COMPUTED_VALUE"""),4)</f>
        <v>4</v>
      </c>
      <c r="H75" s="112" t="str">
        <f ca="1"/>
        <v/>
      </c>
      <c r="I75" s="112" t="str">
        <f ca="1"/>
        <v/>
      </c>
    </row>
    <row r="76" spans="1:9" ht="13.2">
      <c r="A76" s="109" t="str">
        <f ca="1">IFERROR(__xludf.DUMMYFUNCTION("""COMPUTED_VALUE"""),"CB")</f>
        <v>CB</v>
      </c>
      <c r="B76" s="108" t="str">
        <f ca="1">IFERROR(__xludf.DUMMYFUNCTION("""COMPUTED_VALUE"""),"Milin Doshi")</f>
        <v>Milin Doshi</v>
      </c>
      <c r="C76" s="109">
        <f ca="1">IFERROR(__xludf.DUMMYFUNCTION("""COMPUTED_VALUE"""),7)</f>
        <v>7</v>
      </c>
      <c r="D76" s="109" t="str">
        <f ca="1">IFERROR(__xludf.DUMMYFUNCTION("""COMPUTED_VALUE"""),"G")</f>
        <v>G</v>
      </c>
      <c r="E76" s="110" t="str">
        <f ca="1">IFERROR(__xludf.DUMMYFUNCTION("""COMPUTED_VALUE"""),"F")</f>
        <v>F</v>
      </c>
      <c r="F76" s="110" t="str">
        <f ca="1">IFERROR(__xludf.DUMMYFUNCTION("""COMPUTED_VALUE"""),"J")</f>
        <v>J</v>
      </c>
      <c r="G76" s="110">
        <f ca="1">IFERROR(__xludf.DUMMYFUNCTION("""COMPUTED_VALUE"""),4)</f>
        <v>4</v>
      </c>
      <c r="H76" s="112" t="str">
        <f ca="1"/>
        <v>24.75</v>
      </c>
      <c r="I76" s="112">
        <f ca="1"/>
        <v>24.75</v>
      </c>
    </row>
    <row r="77" spans="1:9" ht="13.2">
      <c r="A77" s="109" t="str">
        <f ca="1">IFERROR(__xludf.DUMMYFUNCTION("""COMPUTED_VALUE"""),"CB")</f>
        <v>CB</v>
      </c>
      <c r="B77" s="108" t="str">
        <f ca="1">IFERROR(__xludf.DUMMYFUNCTION("""COMPUTED_VALUE"""),"Riya Doshi")</f>
        <v>Riya Doshi</v>
      </c>
      <c r="C77" s="109">
        <f ca="1">IFERROR(__xludf.DUMMYFUNCTION("""COMPUTED_VALUE"""),9)</f>
        <v>9</v>
      </c>
      <c r="D77" s="109" t="str">
        <f ca="1">IFERROR(__xludf.DUMMYFUNCTION("""COMPUTED_VALUE"""),"G")</f>
        <v>G</v>
      </c>
      <c r="E77" s="110" t="str">
        <f ca="1">IFERROR(__xludf.DUMMYFUNCTION("""COMPUTED_VALUE"""),"F")</f>
        <v>F</v>
      </c>
      <c r="F77" s="110" t="str">
        <f ca="1">IFERROR(__xludf.DUMMYFUNCTION("""COMPUTED_VALUE"""),"J")</f>
        <v>J</v>
      </c>
      <c r="G77" s="110">
        <f ca="1">IFERROR(__xludf.DUMMYFUNCTION("""COMPUTED_VALUE"""),4)</f>
        <v>4</v>
      </c>
      <c r="H77" s="112" t="str">
        <f ca="1"/>
        <v>23.3</v>
      </c>
      <c r="I77" s="112">
        <f ca="1"/>
        <v>23.3</v>
      </c>
    </row>
    <row r="78" spans="1:9" ht="13.2">
      <c r="A78" s="109" t="str">
        <f ca="1">IFERROR(__xludf.DUMMYFUNCTION("""COMPUTED_VALUE"""),"CB")</f>
        <v>CB</v>
      </c>
      <c r="B78" s="108" t="str">
        <f ca="1">IFERROR(__xludf.DUMMYFUNCTION("""COMPUTED_VALUE"""),"Samhita Budharaju")</f>
        <v>Samhita Budharaju</v>
      </c>
      <c r="C78" s="109">
        <f ca="1">IFERROR(__xludf.DUMMYFUNCTION("""COMPUTED_VALUE"""),9)</f>
        <v>9</v>
      </c>
      <c r="D78" s="109" t="str">
        <f ca="1">IFERROR(__xludf.DUMMYFUNCTION("""COMPUTED_VALUE"""),"G")</f>
        <v>G</v>
      </c>
      <c r="E78" s="110" t="str">
        <f ca="1">IFERROR(__xludf.DUMMYFUNCTION("""COMPUTED_VALUE"""),"F")</f>
        <v>F</v>
      </c>
      <c r="F78" s="110" t="str">
        <f ca="1">IFERROR(__xludf.DUMMYFUNCTION("""COMPUTED_VALUE"""),"J")</f>
        <v>J</v>
      </c>
      <c r="G78" s="110">
        <f ca="1">IFERROR(__xludf.DUMMYFUNCTION("""COMPUTED_VALUE"""),4)</f>
        <v>4</v>
      </c>
      <c r="H78" s="112" t="str">
        <f ca="1"/>
        <v>29.7</v>
      </c>
      <c r="I78" s="112">
        <f ca="1"/>
        <v>29.7</v>
      </c>
    </row>
    <row r="79" spans="1:9" ht="13.2">
      <c r="A79" s="109" t="str">
        <f ca="1">IFERROR(__xludf.DUMMYFUNCTION("""COMPUTED_VALUE"""),"CB")</f>
        <v>CB</v>
      </c>
      <c r="B79" s="108" t="str">
        <f ca="1">IFERROR(__xludf.DUMMYFUNCTION("""COMPUTED_VALUE"""),"Sierra Willmore")</f>
        <v>Sierra Willmore</v>
      </c>
      <c r="C79" s="109">
        <f ca="1">IFERROR(__xludf.DUMMYFUNCTION("""COMPUTED_VALUE"""),9)</f>
        <v>9</v>
      </c>
      <c r="D79" s="109" t="str">
        <f ca="1">IFERROR(__xludf.DUMMYFUNCTION("""COMPUTED_VALUE"""),"G")</f>
        <v>G</v>
      </c>
      <c r="E79" s="110" t="str">
        <f ca="1">IFERROR(__xludf.DUMMYFUNCTION("""COMPUTED_VALUE"""),"F")</f>
        <v>F</v>
      </c>
      <c r="F79" s="110" t="str">
        <f ca="1">IFERROR(__xludf.DUMMYFUNCTION("""COMPUTED_VALUE"""),"J")</f>
        <v>J</v>
      </c>
      <c r="G79" s="110">
        <f ca="1">IFERROR(__xludf.DUMMYFUNCTION("""COMPUTED_VALUE"""),4)</f>
        <v>4</v>
      </c>
      <c r="H79" s="112" t="str">
        <f ca="1"/>
        <v/>
      </c>
      <c r="I79" s="112" t="str">
        <f ca="1"/>
        <v/>
      </c>
    </row>
    <row r="80" spans="1:9" ht="13.2">
      <c r="A80" s="109" t="str">
        <f ca="1">IFERROR(__xludf.DUMMYFUNCTION("""COMPUTED_VALUE"""),"CB")</f>
        <v>CB</v>
      </c>
      <c r="B80" s="108" t="str">
        <f ca="1">IFERROR(__xludf.DUMMYFUNCTION("""COMPUTED_VALUE"""),"Sloane Carle")</f>
        <v>Sloane Carle</v>
      </c>
      <c r="C80" s="109">
        <f ca="1">IFERROR(__xludf.DUMMYFUNCTION("""COMPUTED_VALUE"""),10)</f>
        <v>10</v>
      </c>
      <c r="D80" s="109" t="str">
        <f ca="1">IFERROR(__xludf.DUMMYFUNCTION("""COMPUTED_VALUE"""),"G")</f>
        <v>G</v>
      </c>
      <c r="E80" s="110" t="str">
        <f ca="1">IFERROR(__xludf.DUMMYFUNCTION("""COMPUTED_VALUE"""),"F")</f>
        <v>F</v>
      </c>
      <c r="F80" s="110" t="str">
        <f ca="1">IFERROR(__xludf.DUMMYFUNCTION("""COMPUTED_VALUE"""),"J")</f>
        <v>J</v>
      </c>
      <c r="G80" s="110">
        <f ca="1">IFERROR(__xludf.DUMMYFUNCTION("""COMPUTED_VALUE"""),4)</f>
        <v>4</v>
      </c>
      <c r="H80" s="112" t="str">
        <f ca="1"/>
        <v>40.45</v>
      </c>
      <c r="I80" s="112">
        <f ca="1"/>
        <v>40.450000000000003</v>
      </c>
    </row>
    <row r="81" spans="1:9" ht="13.2">
      <c r="A81" s="109" t="str">
        <f ca="1">IFERROR(__xludf.DUMMYFUNCTION("""COMPUTED_VALUE"""),"CB")</f>
        <v>CB</v>
      </c>
      <c r="B81" s="108" t="str">
        <f ca="1">IFERROR(__xludf.DUMMYFUNCTION("""COMPUTED_VALUE"""),"Jesse Holt")</f>
        <v>Jesse Holt</v>
      </c>
      <c r="C81" s="109">
        <f ca="1">IFERROR(__xludf.DUMMYFUNCTION("""COMPUTED_VALUE"""),13)</f>
        <v>13</v>
      </c>
      <c r="D81" s="109" t="str">
        <f ca="1">IFERROR(__xludf.DUMMYFUNCTION("""COMPUTED_VALUE"""),"B")</f>
        <v>B</v>
      </c>
      <c r="E81" s="110" t="str">
        <f ca="1">IFERROR(__xludf.DUMMYFUNCTION("""COMPUTED_VALUE"""),"I")</f>
        <v>I</v>
      </c>
      <c r="F81" s="110" t="str">
        <f ca="1">IFERROR(__xludf.DUMMYFUNCTION("""COMPUTED_VALUE"""),"S")</f>
        <v>S</v>
      </c>
      <c r="G81" s="110">
        <f ca="1">IFERROR(__xludf.DUMMYFUNCTION("""COMPUTED_VALUE"""),4)</f>
        <v>4</v>
      </c>
      <c r="H81" s="112" t="str">
        <f ca="1"/>
        <v>44</v>
      </c>
      <c r="I81" s="81">
        <f ca="1"/>
        <v>44</v>
      </c>
    </row>
    <row r="82" spans="1:9" ht="13.2">
      <c r="A82" s="109" t="str">
        <f ca="1">IFERROR(__xludf.DUMMYFUNCTION("""COMPUTED_VALUE"""),"CB")</f>
        <v>CB</v>
      </c>
      <c r="B82" s="108" t="str">
        <f ca="1">IFERROR(__xludf.DUMMYFUNCTION("""COMPUTED_VALUE"""),"Elisabeth Beach")</f>
        <v>Elisabeth Beach</v>
      </c>
      <c r="C82" s="109">
        <f ca="1">IFERROR(__xludf.DUMMYFUNCTION("""COMPUTED_VALUE"""),13)</f>
        <v>13</v>
      </c>
      <c r="D82" s="109" t="str">
        <f ca="1">IFERROR(__xludf.DUMMYFUNCTION("""COMPUTED_VALUE"""),"G")</f>
        <v>G</v>
      </c>
      <c r="E82" s="110" t="str">
        <f ca="1">IFERROR(__xludf.DUMMYFUNCTION("""COMPUTED_VALUE"""),"I")</f>
        <v>I</v>
      </c>
      <c r="F82" s="110" t="str">
        <f ca="1">IFERROR(__xludf.DUMMYFUNCTION("""COMPUTED_VALUE"""),"S")</f>
        <v>S</v>
      </c>
      <c r="G82" s="110">
        <f ca="1">IFERROR(__xludf.DUMMYFUNCTION("""COMPUTED_VALUE"""),4)</f>
        <v>4</v>
      </c>
      <c r="H82" s="112" t="str">
        <f ca="1"/>
        <v/>
      </c>
      <c r="I82" s="112" t="str">
        <f ca="1"/>
        <v/>
      </c>
    </row>
    <row r="83" spans="1:9" ht="13.2">
      <c r="A83" s="109" t="str">
        <f ca="1">IFERROR(__xludf.DUMMYFUNCTION("""COMPUTED_VALUE"""),"CB")</f>
        <v>CB</v>
      </c>
      <c r="B83" s="108" t="str">
        <f ca="1">IFERROR(__xludf.DUMMYFUNCTION("""COMPUTED_VALUE"""),"Ellie Mallard")</f>
        <v>Ellie Mallard</v>
      </c>
      <c r="C83" s="109">
        <f ca="1">IFERROR(__xludf.DUMMYFUNCTION("""COMPUTED_VALUE"""),13)</f>
        <v>13</v>
      </c>
      <c r="D83" s="109" t="str">
        <f ca="1">IFERROR(__xludf.DUMMYFUNCTION("""COMPUTED_VALUE"""),"G")</f>
        <v>G</v>
      </c>
      <c r="E83" s="110" t="str">
        <f ca="1">IFERROR(__xludf.DUMMYFUNCTION("""COMPUTED_VALUE"""),"I")</f>
        <v>I</v>
      </c>
      <c r="F83" s="110" t="str">
        <f ca="1">IFERROR(__xludf.DUMMYFUNCTION("""COMPUTED_VALUE"""),"S")</f>
        <v>S</v>
      </c>
      <c r="G83" s="110">
        <f ca="1">IFERROR(__xludf.DUMMYFUNCTION("""COMPUTED_VALUE"""),4)</f>
        <v>4</v>
      </c>
      <c r="H83" s="112" t="str">
        <f ca="1"/>
        <v/>
      </c>
      <c r="I83" s="112" t="str">
        <f ca="1"/>
        <v/>
      </c>
    </row>
    <row r="84" spans="1:9" ht="13.2">
      <c r="A84" s="109" t="str">
        <f ca="1">IFERROR(__xludf.DUMMYFUNCTION("""COMPUTED_VALUE"""),"CB")</f>
        <v>CB</v>
      </c>
      <c r="B84" s="108" t="str">
        <f ca="1">IFERROR(__xludf.DUMMYFUNCTION("""COMPUTED_VALUE"""),"Emma Duffy")</f>
        <v>Emma Duffy</v>
      </c>
      <c r="C84" s="109">
        <f ca="1">IFERROR(__xludf.DUMMYFUNCTION("""COMPUTED_VALUE"""),13)</f>
        <v>13</v>
      </c>
      <c r="D84" s="109" t="str">
        <f ca="1">IFERROR(__xludf.DUMMYFUNCTION("""COMPUTED_VALUE"""),"G")</f>
        <v>G</v>
      </c>
      <c r="E84" s="110" t="str">
        <f ca="1">IFERROR(__xludf.DUMMYFUNCTION("""COMPUTED_VALUE"""),"I")</f>
        <v>I</v>
      </c>
      <c r="F84" s="110" t="str">
        <f ca="1">IFERROR(__xludf.DUMMYFUNCTION("""COMPUTED_VALUE"""),"S")</f>
        <v>S</v>
      </c>
      <c r="G84" s="110">
        <f ca="1">IFERROR(__xludf.DUMMYFUNCTION("""COMPUTED_VALUE"""),4)</f>
        <v>4</v>
      </c>
      <c r="H84" s="112" t="str">
        <f ca="1"/>
        <v>31.85</v>
      </c>
      <c r="I84" s="112">
        <f ca="1"/>
        <v>31.85</v>
      </c>
    </row>
    <row r="85" spans="1:9" ht="13.2">
      <c r="A85" s="109" t="str">
        <f ca="1">IFERROR(__xludf.DUMMYFUNCTION("""COMPUTED_VALUE"""),"CB")</f>
        <v>CB</v>
      </c>
      <c r="B85" s="108" t="str">
        <f ca="1">IFERROR(__xludf.DUMMYFUNCTION("""COMPUTED_VALUE"""),"Islay Hamilton")</f>
        <v>Islay Hamilton</v>
      </c>
      <c r="C85" s="109">
        <f ca="1">IFERROR(__xludf.DUMMYFUNCTION("""COMPUTED_VALUE"""),13)</f>
        <v>13</v>
      </c>
      <c r="D85" s="109" t="str">
        <f ca="1">IFERROR(__xludf.DUMMYFUNCTION("""COMPUTED_VALUE"""),"G")</f>
        <v>G</v>
      </c>
      <c r="E85" s="110" t="str">
        <f ca="1">IFERROR(__xludf.DUMMYFUNCTION("""COMPUTED_VALUE"""),"I")</f>
        <v>I</v>
      </c>
      <c r="F85" s="110" t="str">
        <f ca="1">IFERROR(__xludf.DUMMYFUNCTION("""COMPUTED_VALUE"""),"S")</f>
        <v>S</v>
      </c>
      <c r="G85" s="110">
        <f ca="1">IFERROR(__xludf.DUMMYFUNCTION("""COMPUTED_VALUE"""),4)</f>
        <v>4</v>
      </c>
      <c r="H85" s="112" t="str">
        <f ca="1"/>
        <v>53.4</v>
      </c>
      <c r="I85" s="112">
        <f ca="1"/>
        <v>53.4</v>
      </c>
    </row>
    <row r="86" spans="1:9" ht="13.2">
      <c r="A86" s="109" t="str">
        <f ca="1">IFERROR(__xludf.DUMMYFUNCTION("""COMPUTED_VALUE"""),"CB")</f>
        <v>CB</v>
      </c>
      <c r="B86" s="108" t="str">
        <f ca="1">IFERROR(__xludf.DUMMYFUNCTION("""COMPUTED_VALUE"""),"Kelly Keough")</f>
        <v>Kelly Keough</v>
      </c>
      <c r="C86" s="109">
        <f ca="1">IFERROR(__xludf.DUMMYFUNCTION("""COMPUTED_VALUE"""),13)</f>
        <v>13</v>
      </c>
      <c r="D86" s="109" t="str">
        <f ca="1">IFERROR(__xludf.DUMMYFUNCTION("""COMPUTED_VALUE"""),"G")</f>
        <v>G</v>
      </c>
      <c r="E86" s="110" t="str">
        <f ca="1">IFERROR(__xludf.DUMMYFUNCTION("""COMPUTED_VALUE"""),"I")</f>
        <v>I</v>
      </c>
      <c r="F86" s="110" t="str">
        <f ca="1">IFERROR(__xludf.DUMMYFUNCTION("""COMPUTED_VALUE"""),"S")</f>
        <v>S</v>
      </c>
      <c r="G86" s="110">
        <f ca="1">IFERROR(__xludf.DUMMYFUNCTION("""COMPUTED_VALUE"""),4)</f>
        <v>4</v>
      </c>
      <c r="H86" s="112" t="str">
        <f ca="1"/>
        <v/>
      </c>
      <c r="I86" s="112" t="str">
        <f ca="1"/>
        <v/>
      </c>
    </row>
    <row r="87" spans="1:9" ht="13.2">
      <c r="A87" s="109" t="str">
        <f ca="1">IFERROR(__xludf.DUMMYFUNCTION("""COMPUTED_VALUE"""),"CB")</f>
        <v>CB</v>
      </c>
      <c r="B87" s="108" t="str">
        <f ca="1">IFERROR(__xludf.DUMMYFUNCTION("""COMPUTED_VALUE"""),"Sarah Beach")</f>
        <v>Sarah Beach</v>
      </c>
      <c r="C87" s="109">
        <f ca="1">IFERROR(__xludf.DUMMYFUNCTION("""COMPUTED_VALUE"""),14)</f>
        <v>14</v>
      </c>
      <c r="D87" s="109" t="str">
        <f ca="1">IFERROR(__xludf.DUMMYFUNCTION("""COMPUTED_VALUE"""),"G")</f>
        <v>G</v>
      </c>
      <c r="E87" s="110" t="str">
        <f ca="1">IFERROR(__xludf.DUMMYFUNCTION("""COMPUTED_VALUE"""),"I")</f>
        <v>I</v>
      </c>
      <c r="F87" s="110" t="str">
        <f ca="1">IFERROR(__xludf.DUMMYFUNCTION("""COMPUTED_VALUE"""),"S")</f>
        <v>S</v>
      </c>
      <c r="G87" s="110">
        <f ca="1">IFERROR(__xludf.DUMMYFUNCTION("""COMPUTED_VALUE"""),4)</f>
        <v>4</v>
      </c>
      <c r="H87" s="112" t="str">
        <f ca="1"/>
        <v/>
      </c>
      <c r="I87" s="81" t="str">
        <f ca="1"/>
        <v/>
      </c>
    </row>
    <row r="88" spans="1:9" ht="13.2">
      <c r="A88" s="109" t="str">
        <f ca="1">IFERROR(__xludf.DUMMYFUNCTION("""COMPUTED_VALUE"""),"CB")</f>
        <v>CB</v>
      </c>
      <c r="B88" s="108" t="str">
        <f ca="1">IFERROR(__xludf.DUMMYFUNCTION("""COMPUTED_VALUE"""),"Alex Valencic")</f>
        <v>Alex Valencic</v>
      </c>
      <c r="C88" s="109">
        <f ca="1">IFERROR(__xludf.DUMMYFUNCTION("""COMPUTED_VALUE"""),12)</f>
        <v>12</v>
      </c>
      <c r="D88" s="109" t="str">
        <f ca="1">IFERROR(__xludf.DUMMYFUNCTION("""COMPUTED_VALUE"""),"B")</f>
        <v>B</v>
      </c>
      <c r="E88" s="110" t="str">
        <f ca="1">IFERROR(__xludf.DUMMYFUNCTION("""COMPUTED_VALUE"""),"J")</f>
        <v>J</v>
      </c>
      <c r="F88" s="110" t="str">
        <f ca="1">IFERROR(__xludf.DUMMYFUNCTION("""COMPUTED_VALUE"""),"I")</f>
        <v>I</v>
      </c>
      <c r="G88" s="110">
        <f ca="1">IFERROR(__xludf.DUMMYFUNCTION("""COMPUTED_VALUE"""),4)</f>
        <v>4</v>
      </c>
      <c r="H88" s="112" t="str">
        <f ca="1"/>
        <v/>
      </c>
      <c r="I88" s="112" t="str">
        <f ca="1"/>
        <v/>
      </c>
    </row>
    <row r="89" spans="1:9" ht="13.2">
      <c r="A89" s="109" t="str">
        <f ca="1">IFERROR(__xludf.DUMMYFUNCTION("""COMPUTED_VALUE"""),"CB")</f>
        <v>CB</v>
      </c>
      <c r="B89" s="108" t="str">
        <f ca="1">IFERROR(__xludf.DUMMYFUNCTION("""COMPUTED_VALUE"""),"Daniel Roques")</f>
        <v>Daniel Roques</v>
      </c>
      <c r="C89" s="109">
        <f ca="1">IFERROR(__xludf.DUMMYFUNCTION("""COMPUTED_VALUE"""),12)</f>
        <v>12</v>
      </c>
      <c r="D89" s="109" t="str">
        <f ca="1">IFERROR(__xludf.DUMMYFUNCTION("""COMPUTED_VALUE"""),"B")</f>
        <v>B</v>
      </c>
      <c r="E89" s="110" t="str">
        <f ca="1">IFERROR(__xludf.DUMMYFUNCTION("""COMPUTED_VALUE"""),"J")</f>
        <v>J</v>
      </c>
      <c r="F89" s="110" t="str">
        <f ca="1">IFERROR(__xludf.DUMMYFUNCTION("""COMPUTED_VALUE"""),"I")</f>
        <v>I</v>
      </c>
      <c r="G89" s="110">
        <f ca="1">IFERROR(__xludf.DUMMYFUNCTION("""COMPUTED_VALUE"""),4)</f>
        <v>4</v>
      </c>
      <c r="H89" s="112" t="str">
        <f ca="1"/>
        <v/>
      </c>
      <c r="I89" s="112" t="str">
        <f ca="1"/>
        <v/>
      </c>
    </row>
    <row r="90" spans="1:9" ht="13.2">
      <c r="A90" s="109" t="str">
        <f ca="1">IFERROR(__xludf.DUMMYFUNCTION("""COMPUTED_VALUE"""),"CB")</f>
        <v>CB</v>
      </c>
      <c r="B90" s="108" t="str">
        <f ca="1">IFERROR(__xludf.DUMMYFUNCTION("""COMPUTED_VALUE"""),"Gordon Anderson")</f>
        <v>Gordon Anderson</v>
      </c>
      <c r="C90" s="109">
        <f ca="1">IFERROR(__xludf.DUMMYFUNCTION("""COMPUTED_VALUE"""),11)</f>
        <v>11</v>
      </c>
      <c r="D90" s="109" t="str">
        <f ca="1">IFERROR(__xludf.DUMMYFUNCTION("""COMPUTED_VALUE"""),"B")</f>
        <v>B</v>
      </c>
      <c r="E90" s="110" t="str">
        <f ca="1">IFERROR(__xludf.DUMMYFUNCTION("""COMPUTED_VALUE"""),"J")</f>
        <v>J</v>
      </c>
      <c r="F90" s="110" t="str">
        <f ca="1">IFERROR(__xludf.DUMMYFUNCTION("""COMPUTED_VALUE"""),"I")</f>
        <v>I</v>
      </c>
      <c r="G90" s="110">
        <f ca="1">IFERROR(__xludf.DUMMYFUNCTION("""COMPUTED_VALUE"""),4)</f>
        <v>4</v>
      </c>
      <c r="H90" s="112" t="str">
        <f ca="1"/>
        <v/>
      </c>
      <c r="I90" s="112" t="str">
        <f ca="1"/>
        <v/>
      </c>
    </row>
    <row r="91" spans="1:9" ht="13.2">
      <c r="A91" s="109" t="str">
        <f ca="1">IFERROR(__xludf.DUMMYFUNCTION("""COMPUTED_VALUE"""),"CB")</f>
        <v>CB</v>
      </c>
      <c r="B91" s="108" t="str">
        <f ca="1">IFERROR(__xludf.DUMMYFUNCTION("""COMPUTED_VALUE"""),"Abigail Sweeney")</f>
        <v>Abigail Sweeney</v>
      </c>
      <c r="C91" s="109">
        <f ca="1">IFERROR(__xludf.DUMMYFUNCTION("""COMPUTED_VALUE"""),11)</f>
        <v>11</v>
      </c>
      <c r="D91" s="109" t="str">
        <f ca="1">IFERROR(__xludf.DUMMYFUNCTION("""COMPUTED_VALUE"""),"G")</f>
        <v>G</v>
      </c>
      <c r="E91" s="110" t="str">
        <f ca="1">IFERROR(__xludf.DUMMYFUNCTION("""COMPUTED_VALUE"""),"J")</f>
        <v>J</v>
      </c>
      <c r="F91" s="110" t="str">
        <f ca="1">IFERROR(__xludf.DUMMYFUNCTION("""COMPUTED_VALUE"""),"I")</f>
        <v>I</v>
      </c>
      <c r="G91" s="110">
        <f ca="1">IFERROR(__xludf.DUMMYFUNCTION("""COMPUTED_VALUE"""),4)</f>
        <v>4</v>
      </c>
      <c r="H91" s="112" t="str">
        <f ca="1"/>
        <v>63.7</v>
      </c>
      <c r="I91" s="112">
        <f ca="1"/>
        <v>63.7</v>
      </c>
    </row>
    <row r="92" spans="1:9" ht="13.2">
      <c r="A92" s="109" t="str">
        <f ca="1">IFERROR(__xludf.DUMMYFUNCTION("""COMPUTED_VALUE"""),"CB")</f>
        <v>CB</v>
      </c>
      <c r="B92" s="108" t="str">
        <f ca="1">IFERROR(__xludf.DUMMYFUNCTION("""COMPUTED_VALUE"""),"Alexa Noreika")</f>
        <v>Alexa Noreika</v>
      </c>
      <c r="C92" s="109">
        <f ca="1">IFERROR(__xludf.DUMMYFUNCTION("""COMPUTED_VALUE"""),11)</f>
        <v>11</v>
      </c>
      <c r="D92" s="109" t="str">
        <f ca="1">IFERROR(__xludf.DUMMYFUNCTION("""COMPUTED_VALUE"""),"G")</f>
        <v>G</v>
      </c>
      <c r="E92" s="110" t="str">
        <f ca="1">IFERROR(__xludf.DUMMYFUNCTION("""COMPUTED_VALUE"""),"J")</f>
        <v>J</v>
      </c>
      <c r="F92" s="110" t="str">
        <f ca="1">IFERROR(__xludf.DUMMYFUNCTION("""COMPUTED_VALUE"""),"I")</f>
        <v>I</v>
      </c>
      <c r="G92" s="110">
        <f ca="1">IFERROR(__xludf.DUMMYFUNCTION("""COMPUTED_VALUE"""),4)</f>
        <v>4</v>
      </c>
      <c r="H92" s="112" t="str">
        <f ca="1"/>
        <v>44.8</v>
      </c>
      <c r="I92" s="112">
        <f ca="1"/>
        <v>44.8</v>
      </c>
    </row>
    <row r="93" spans="1:9" ht="13.2">
      <c r="A93" s="109" t="str">
        <f ca="1">IFERROR(__xludf.DUMMYFUNCTION("""COMPUTED_VALUE"""),"CB")</f>
        <v>CB</v>
      </c>
      <c r="B93" s="108" t="str">
        <f ca="1">IFERROR(__xludf.DUMMYFUNCTION("""COMPUTED_VALUE"""),"Anah Pho")</f>
        <v>Anah Pho</v>
      </c>
      <c r="C93" s="109">
        <f ca="1">IFERROR(__xludf.DUMMYFUNCTION("""COMPUTED_VALUE"""),12)</f>
        <v>12</v>
      </c>
      <c r="D93" s="109" t="str">
        <f ca="1">IFERROR(__xludf.DUMMYFUNCTION("""COMPUTED_VALUE"""),"G")</f>
        <v>G</v>
      </c>
      <c r="E93" s="110" t="str">
        <f ca="1">IFERROR(__xludf.DUMMYFUNCTION("""COMPUTED_VALUE"""),"J")</f>
        <v>J</v>
      </c>
      <c r="F93" s="110" t="str">
        <f ca="1">IFERROR(__xludf.DUMMYFUNCTION("""COMPUTED_VALUE"""),"I")</f>
        <v>I</v>
      </c>
      <c r="G93" s="110">
        <f ca="1">IFERROR(__xludf.DUMMYFUNCTION("""COMPUTED_VALUE"""),4)</f>
        <v>4</v>
      </c>
      <c r="H93" s="112" t="str">
        <f ca="1"/>
        <v>52.4</v>
      </c>
      <c r="I93" s="112">
        <f ca="1"/>
        <v>52.4</v>
      </c>
    </row>
    <row r="94" spans="1:9" ht="13.2">
      <c r="A94" s="109" t="str">
        <f ca="1">IFERROR(__xludf.DUMMYFUNCTION("""COMPUTED_VALUE"""),"CB")</f>
        <v>CB</v>
      </c>
      <c r="B94" s="108" t="str">
        <f ca="1">IFERROR(__xludf.DUMMYFUNCTION("""COMPUTED_VALUE"""),"Charlotte Gaskins")</f>
        <v>Charlotte Gaskins</v>
      </c>
      <c r="C94" s="109">
        <f ca="1">IFERROR(__xludf.DUMMYFUNCTION("""COMPUTED_VALUE"""),11)</f>
        <v>11</v>
      </c>
      <c r="D94" s="109" t="str">
        <f ca="1">IFERROR(__xludf.DUMMYFUNCTION("""COMPUTED_VALUE"""),"G")</f>
        <v>G</v>
      </c>
      <c r="E94" s="110" t="str">
        <f ca="1">IFERROR(__xludf.DUMMYFUNCTION("""COMPUTED_VALUE"""),"J")</f>
        <v>J</v>
      </c>
      <c r="F94" s="110" t="str">
        <f ca="1">IFERROR(__xludf.DUMMYFUNCTION("""COMPUTED_VALUE"""),"I")</f>
        <v>I</v>
      </c>
      <c r="G94" s="110">
        <f ca="1">IFERROR(__xludf.DUMMYFUNCTION("""COMPUTED_VALUE"""),4)</f>
        <v>4</v>
      </c>
      <c r="H94" s="112" t="str">
        <f ca="1"/>
        <v/>
      </c>
      <c r="I94" s="112" t="str">
        <f ca="1"/>
        <v/>
      </c>
    </row>
    <row r="95" spans="1:9" ht="13.2">
      <c r="A95" s="109" t="str">
        <f ca="1">IFERROR(__xludf.DUMMYFUNCTION("""COMPUTED_VALUE"""),"CB")</f>
        <v>CB</v>
      </c>
      <c r="B95" s="108" t="str">
        <f ca="1">IFERROR(__xludf.DUMMYFUNCTION("""COMPUTED_VALUE"""),"Elise Lucien")</f>
        <v>Elise Lucien</v>
      </c>
      <c r="C95" s="109">
        <f ca="1">IFERROR(__xludf.DUMMYFUNCTION("""COMPUTED_VALUE"""),12)</f>
        <v>12</v>
      </c>
      <c r="D95" s="109" t="str">
        <f ca="1">IFERROR(__xludf.DUMMYFUNCTION("""COMPUTED_VALUE"""),"G")</f>
        <v>G</v>
      </c>
      <c r="E95" s="110" t="str">
        <f ca="1">IFERROR(__xludf.DUMMYFUNCTION("""COMPUTED_VALUE"""),"J")</f>
        <v>J</v>
      </c>
      <c r="F95" s="110" t="str">
        <f ca="1">IFERROR(__xludf.DUMMYFUNCTION("""COMPUTED_VALUE"""),"I")</f>
        <v>I</v>
      </c>
      <c r="G95" s="110">
        <f ca="1">IFERROR(__xludf.DUMMYFUNCTION("""COMPUTED_VALUE"""),4)</f>
        <v>4</v>
      </c>
      <c r="H95" s="112" t="str">
        <f ca="1"/>
        <v/>
      </c>
      <c r="I95" s="112" t="str">
        <f ca="1"/>
        <v/>
      </c>
    </row>
    <row r="96" spans="1:9" ht="13.2">
      <c r="A96" s="109" t="str">
        <f ca="1">IFERROR(__xludf.DUMMYFUNCTION("""COMPUTED_VALUE"""),"CB")</f>
        <v>CB</v>
      </c>
      <c r="B96" s="108" t="str">
        <f ca="1">IFERROR(__xludf.DUMMYFUNCTION("""COMPUTED_VALUE"""),"Erika Noreika")</f>
        <v>Erika Noreika</v>
      </c>
      <c r="C96" s="109">
        <f ca="1">IFERROR(__xludf.DUMMYFUNCTION("""COMPUTED_VALUE"""),11)</f>
        <v>11</v>
      </c>
      <c r="D96" s="109" t="str">
        <f ca="1">IFERROR(__xludf.DUMMYFUNCTION("""COMPUTED_VALUE"""),"G")</f>
        <v>G</v>
      </c>
      <c r="E96" s="110" t="str">
        <f ca="1">IFERROR(__xludf.DUMMYFUNCTION("""COMPUTED_VALUE"""),"J")</f>
        <v>J</v>
      </c>
      <c r="F96" s="110" t="str">
        <f ca="1">IFERROR(__xludf.DUMMYFUNCTION("""COMPUTED_VALUE"""),"I")</f>
        <v>I</v>
      </c>
      <c r="G96" s="110">
        <f ca="1">IFERROR(__xludf.DUMMYFUNCTION("""COMPUTED_VALUE"""),4)</f>
        <v>4</v>
      </c>
      <c r="H96" s="112" t="str">
        <f ca="1"/>
        <v>71.25</v>
      </c>
      <c r="I96" s="81">
        <f ca="1"/>
        <v>71.25</v>
      </c>
    </row>
    <row r="97" spans="1:9" ht="13.2">
      <c r="A97" s="109" t="str">
        <f ca="1">IFERROR(__xludf.DUMMYFUNCTION("""COMPUTED_VALUE"""),"CB")</f>
        <v>CB</v>
      </c>
      <c r="B97" s="108" t="str">
        <f ca="1">IFERROR(__xludf.DUMMYFUNCTION("""COMPUTED_VALUE"""),"Jordan Willmore")</f>
        <v>Jordan Willmore</v>
      </c>
      <c r="C97" s="109">
        <f ca="1">IFERROR(__xludf.DUMMYFUNCTION("""COMPUTED_VALUE"""),11)</f>
        <v>11</v>
      </c>
      <c r="D97" s="109" t="str">
        <f ca="1">IFERROR(__xludf.DUMMYFUNCTION("""COMPUTED_VALUE"""),"G")</f>
        <v>G</v>
      </c>
      <c r="E97" s="110" t="str">
        <f ca="1">IFERROR(__xludf.DUMMYFUNCTION("""COMPUTED_VALUE"""),"J")</f>
        <v>J</v>
      </c>
      <c r="F97" s="110" t="str">
        <f ca="1">IFERROR(__xludf.DUMMYFUNCTION("""COMPUTED_VALUE"""),"I")</f>
        <v>I</v>
      </c>
      <c r="G97" s="110">
        <f ca="1">IFERROR(__xludf.DUMMYFUNCTION("""COMPUTED_VALUE"""),4)</f>
        <v>4</v>
      </c>
      <c r="H97" s="112" t="str">
        <f ca="1"/>
        <v>34.75</v>
      </c>
      <c r="I97" s="112">
        <f ca="1"/>
        <v>34.75</v>
      </c>
    </row>
    <row r="98" spans="1:9" ht="13.2">
      <c r="A98" s="109" t="str">
        <f ca="1">IFERROR(__xludf.DUMMYFUNCTION("""COMPUTED_VALUE"""),"CB")</f>
        <v>CB</v>
      </c>
      <c r="B98" s="108" t="str">
        <f ca="1">IFERROR(__xludf.DUMMYFUNCTION("""COMPUTED_VALUE"""),"Julia Hassi")</f>
        <v>Julia Hassi</v>
      </c>
      <c r="C98" s="109">
        <f ca="1">IFERROR(__xludf.DUMMYFUNCTION("""COMPUTED_VALUE"""),11)</f>
        <v>11</v>
      </c>
      <c r="D98" s="109" t="str">
        <f ca="1">IFERROR(__xludf.DUMMYFUNCTION("""COMPUTED_VALUE"""),"G")</f>
        <v>G</v>
      </c>
      <c r="E98" s="110" t="str">
        <f ca="1">IFERROR(__xludf.DUMMYFUNCTION("""COMPUTED_VALUE"""),"J")</f>
        <v>J</v>
      </c>
      <c r="F98" s="110" t="str">
        <f ca="1">IFERROR(__xludf.DUMMYFUNCTION("""COMPUTED_VALUE"""),"I")</f>
        <v>I</v>
      </c>
      <c r="G98" s="110">
        <f ca="1">IFERROR(__xludf.DUMMYFUNCTION("""COMPUTED_VALUE"""),4)</f>
        <v>4</v>
      </c>
      <c r="H98" s="112" t="str">
        <f ca="1"/>
        <v>32.95</v>
      </c>
      <c r="I98" s="112">
        <f ca="1"/>
        <v>32.950000000000003</v>
      </c>
    </row>
    <row r="99" spans="1:9" ht="13.2">
      <c r="A99" s="109" t="str">
        <f ca="1">IFERROR(__xludf.DUMMYFUNCTION("""COMPUTED_VALUE"""),"CB")</f>
        <v>CB</v>
      </c>
      <c r="B99" s="108" t="str">
        <f ca="1">IFERROR(__xludf.DUMMYFUNCTION("""COMPUTED_VALUE"""),"Sophie Noreika")</f>
        <v>Sophie Noreika</v>
      </c>
      <c r="C99" s="109">
        <f ca="1">IFERROR(__xludf.DUMMYFUNCTION("""COMPUTED_VALUE"""),11)</f>
        <v>11</v>
      </c>
      <c r="D99" s="109" t="str">
        <f ca="1">IFERROR(__xludf.DUMMYFUNCTION("""COMPUTED_VALUE"""),"G")</f>
        <v>G</v>
      </c>
      <c r="E99" s="110" t="str">
        <f ca="1">IFERROR(__xludf.DUMMYFUNCTION("""COMPUTED_VALUE"""),"J")</f>
        <v>J</v>
      </c>
      <c r="F99" s="110" t="str">
        <f ca="1">IFERROR(__xludf.DUMMYFUNCTION("""COMPUTED_VALUE"""),"I")</f>
        <v>I</v>
      </c>
      <c r="G99" s="110">
        <f ca="1">IFERROR(__xludf.DUMMYFUNCTION("""COMPUTED_VALUE"""),4)</f>
        <v>4</v>
      </c>
      <c r="H99" s="112" t="str">
        <f ca="1"/>
        <v>47.35</v>
      </c>
      <c r="I99" s="112">
        <f ca="1"/>
        <v>47.35</v>
      </c>
    </row>
    <row r="100" spans="1:9" ht="13.2">
      <c r="A100" s="109" t="str">
        <f ca="1">IFERROR(__xludf.DUMMYFUNCTION("""COMPUTED_VALUE"""),"CB")</f>
        <v>CB</v>
      </c>
      <c r="B100" s="108" t="str">
        <f ca="1">IFERROR(__xludf.DUMMYFUNCTION("""COMPUTED_VALUE"""),"Susannah Holt")</f>
        <v>Susannah Holt</v>
      </c>
      <c r="C100" s="109">
        <f ca="1">IFERROR(__xludf.DUMMYFUNCTION("""COMPUTED_VALUE"""),11)</f>
        <v>11</v>
      </c>
      <c r="D100" s="109" t="str">
        <f ca="1">IFERROR(__xludf.DUMMYFUNCTION("""COMPUTED_VALUE"""),"G")</f>
        <v>G</v>
      </c>
      <c r="E100" s="110" t="str">
        <f ca="1">IFERROR(__xludf.DUMMYFUNCTION("""COMPUTED_VALUE"""),"J")</f>
        <v>J</v>
      </c>
      <c r="F100" s="110" t="str">
        <f ca="1">IFERROR(__xludf.DUMMYFUNCTION("""COMPUTED_VALUE"""),"I")</f>
        <v>I</v>
      </c>
      <c r="G100" s="110">
        <f ca="1">IFERROR(__xludf.DUMMYFUNCTION("""COMPUTED_VALUE"""),4)</f>
        <v>4</v>
      </c>
      <c r="H100" s="112" t="str">
        <f ca="1"/>
        <v>38</v>
      </c>
      <c r="I100" s="81">
        <f ca="1"/>
        <v>38</v>
      </c>
    </row>
    <row r="101" spans="1:9" ht="13.2">
      <c r="A101" s="109" t="str">
        <f ca="1">IFERROR(__xludf.DUMMYFUNCTION("""COMPUTED_VALUE"""),"CB")</f>
        <v>CB</v>
      </c>
      <c r="B101" s="108" t="str">
        <f ca="1">IFERROR(__xludf.DUMMYFUNCTION("""COMPUTED_VALUE"""),"Christopher Barnes")</f>
        <v>Christopher Barnes</v>
      </c>
      <c r="C101" s="109">
        <f ca="1">IFERROR(__xludf.DUMMYFUNCTION("""COMPUTED_VALUE"""),16)</f>
        <v>16</v>
      </c>
      <c r="D101" s="109" t="str">
        <f ca="1">IFERROR(__xludf.DUMMYFUNCTION("""COMPUTED_VALUE"""),"B")</f>
        <v>B</v>
      </c>
      <c r="E101" s="110" t="str">
        <f ca="1">IFERROR(__xludf.DUMMYFUNCTION("""COMPUTED_VALUE"""),"S")</f>
        <v>S</v>
      </c>
      <c r="F101" s="110" t="str">
        <f ca="1">IFERROR(__xludf.DUMMYFUNCTION("""COMPUTED_VALUE"""),"S")</f>
        <v>S</v>
      </c>
      <c r="G101" s="110">
        <f ca="1">IFERROR(__xludf.DUMMYFUNCTION("""COMPUTED_VALUE"""),4)</f>
        <v>4</v>
      </c>
      <c r="H101" s="112" t="str">
        <f ca="1"/>
        <v/>
      </c>
      <c r="I101" s="81" t="str">
        <f ca="1"/>
        <v/>
      </c>
    </row>
    <row r="102" spans="1:9" ht="13.2">
      <c r="A102" s="109" t="str">
        <f ca="1">IFERROR(__xludf.DUMMYFUNCTION("""COMPUTED_VALUE"""),"CB")</f>
        <v>CB</v>
      </c>
      <c r="B102" s="108" t="str">
        <f ca="1">IFERROR(__xludf.DUMMYFUNCTION("""COMPUTED_VALUE"""),"Evan Holt")</f>
        <v>Evan Holt</v>
      </c>
      <c r="C102" s="109">
        <f ca="1">IFERROR(__xludf.DUMMYFUNCTION("""COMPUTED_VALUE"""),15)</f>
        <v>15</v>
      </c>
      <c r="D102" s="109" t="str">
        <f ca="1">IFERROR(__xludf.DUMMYFUNCTION("""COMPUTED_VALUE"""),"B")</f>
        <v>B</v>
      </c>
      <c r="E102" s="110" t="str">
        <f ca="1">IFERROR(__xludf.DUMMYFUNCTION("""COMPUTED_VALUE"""),"S")</f>
        <v>S</v>
      </c>
      <c r="F102" s="110" t="str">
        <f ca="1">IFERROR(__xludf.DUMMYFUNCTION("""COMPUTED_VALUE"""),"S")</f>
        <v>S</v>
      </c>
      <c r="G102" s="110">
        <f ca="1">IFERROR(__xludf.DUMMYFUNCTION("""COMPUTED_VALUE"""),4)</f>
        <v>4</v>
      </c>
      <c r="H102" s="112" t="str">
        <f ca="1"/>
        <v>29.7</v>
      </c>
      <c r="I102" s="112">
        <f ca="1"/>
        <v>29.7</v>
      </c>
    </row>
    <row r="103" spans="1:9" ht="13.2">
      <c r="A103" s="109" t="str">
        <f ca="1">IFERROR(__xludf.DUMMYFUNCTION("""COMPUTED_VALUE"""),"CB")</f>
        <v>CB</v>
      </c>
      <c r="B103" s="108" t="str">
        <f ca="1">IFERROR(__xludf.DUMMYFUNCTION("""COMPUTED_VALUE"""),"Thomas Gillen")</f>
        <v>Thomas Gillen</v>
      </c>
      <c r="C103" s="109">
        <f ca="1">IFERROR(__xludf.DUMMYFUNCTION("""COMPUTED_VALUE"""),16)</f>
        <v>16</v>
      </c>
      <c r="D103" s="109" t="str">
        <f ca="1">IFERROR(__xludf.DUMMYFUNCTION("""COMPUTED_VALUE"""),"B")</f>
        <v>B</v>
      </c>
      <c r="E103" s="110" t="str">
        <f ca="1">IFERROR(__xludf.DUMMYFUNCTION("""COMPUTED_VALUE"""),"S")</f>
        <v>S</v>
      </c>
      <c r="F103" s="110" t="str">
        <f ca="1">IFERROR(__xludf.DUMMYFUNCTION("""COMPUTED_VALUE"""),"S")</f>
        <v>S</v>
      </c>
      <c r="G103" s="110">
        <f ca="1">IFERROR(__xludf.DUMMYFUNCTION("""COMPUTED_VALUE"""),4)</f>
        <v>4</v>
      </c>
      <c r="H103" s="112" t="str">
        <f ca="1"/>
        <v/>
      </c>
      <c r="I103" s="112" t="str">
        <f ca="1"/>
        <v/>
      </c>
    </row>
    <row r="104" spans="1:9" ht="13.2">
      <c r="A104" s="109" t="str">
        <f ca="1">IFERROR(__xludf.DUMMYFUNCTION("""COMPUTED_VALUE"""),"CB")</f>
        <v>CB</v>
      </c>
      <c r="B104" s="108" t="str">
        <f ca="1">IFERROR(__xludf.DUMMYFUNCTION("""COMPUTED_VALUE"""),"Will Zimmerman")</f>
        <v>Will Zimmerman</v>
      </c>
      <c r="C104" s="109">
        <f ca="1">IFERROR(__xludf.DUMMYFUNCTION("""COMPUTED_VALUE"""),17)</f>
        <v>17</v>
      </c>
      <c r="D104" s="109" t="str">
        <f ca="1">IFERROR(__xludf.DUMMYFUNCTION("""COMPUTED_VALUE"""),"B")</f>
        <v>B</v>
      </c>
      <c r="E104" s="110" t="str">
        <f ca="1">IFERROR(__xludf.DUMMYFUNCTION("""COMPUTED_VALUE"""),"S")</f>
        <v>S</v>
      </c>
      <c r="F104" s="110" t="str">
        <f ca="1">IFERROR(__xludf.DUMMYFUNCTION("""COMPUTED_VALUE"""),"S")</f>
        <v>S</v>
      </c>
      <c r="G104" s="110">
        <f ca="1">IFERROR(__xludf.DUMMYFUNCTION("""COMPUTED_VALUE"""),4)</f>
        <v>4</v>
      </c>
      <c r="H104" s="112" t="str">
        <f ca="1"/>
        <v/>
      </c>
      <c r="I104" s="112" t="str">
        <f ca="1"/>
        <v/>
      </c>
    </row>
    <row r="105" spans="1:9" ht="13.2">
      <c r="A105" s="109" t="str">
        <f ca="1">IFERROR(__xludf.DUMMYFUNCTION("""COMPUTED_VALUE"""),"CB")</f>
        <v>CB</v>
      </c>
      <c r="B105" s="108" t="str">
        <f ca="1">IFERROR(__xludf.DUMMYFUNCTION("""COMPUTED_VALUE"""),"Amelia Lucien")</f>
        <v>Amelia Lucien</v>
      </c>
      <c r="C105" s="109">
        <f ca="1">IFERROR(__xludf.DUMMYFUNCTION("""COMPUTED_VALUE"""),15)</f>
        <v>15</v>
      </c>
      <c r="D105" s="109" t="str">
        <f ca="1">IFERROR(__xludf.DUMMYFUNCTION("""COMPUTED_VALUE"""),"G")</f>
        <v>G</v>
      </c>
      <c r="E105" s="110" t="str">
        <f ca="1">IFERROR(__xludf.DUMMYFUNCTION("""COMPUTED_VALUE"""),"S")</f>
        <v>S</v>
      </c>
      <c r="F105" s="110" t="str">
        <f ca="1">IFERROR(__xludf.DUMMYFUNCTION("""COMPUTED_VALUE"""),"S")</f>
        <v>S</v>
      </c>
      <c r="G105" s="110">
        <f ca="1">IFERROR(__xludf.DUMMYFUNCTION("""COMPUTED_VALUE"""),4)</f>
        <v>4</v>
      </c>
      <c r="H105" s="112" t="str">
        <f ca="1"/>
        <v/>
      </c>
      <c r="I105" s="112" t="str">
        <f ca="1"/>
        <v/>
      </c>
    </row>
    <row r="106" spans="1:9" ht="13.2">
      <c r="A106" s="109" t="str">
        <f ca="1">IFERROR(__xludf.DUMMYFUNCTION("""COMPUTED_VALUE"""),"CB")</f>
        <v>CB</v>
      </c>
      <c r="B106" s="108" t="str">
        <f ca="1">IFERROR(__xludf.DUMMYFUNCTION("""COMPUTED_VALUE"""),"Katie Keough")</f>
        <v>Katie Keough</v>
      </c>
      <c r="C106" s="109">
        <f ca="1">IFERROR(__xludf.DUMMYFUNCTION("""COMPUTED_VALUE"""),15)</f>
        <v>15</v>
      </c>
      <c r="D106" s="109" t="str">
        <f ca="1">IFERROR(__xludf.DUMMYFUNCTION("""COMPUTED_VALUE"""),"G")</f>
        <v>G</v>
      </c>
      <c r="E106" s="110" t="str">
        <f ca="1">IFERROR(__xludf.DUMMYFUNCTION("""COMPUTED_VALUE"""),"S")</f>
        <v>S</v>
      </c>
      <c r="F106" s="110" t="str">
        <f ca="1">IFERROR(__xludf.DUMMYFUNCTION("""COMPUTED_VALUE"""),"S")</f>
        <v>S</v>
      </c>
      <c r="G106" s="110">
        <f ca="1">IFERROR(__xludf.DUMMYFUNCTION("""COMPUTED_VALUE"""),4)</f>
        <v>4</v>
      </c>
      <c r="H106" s="112" t="str">
        <f ca="1"/>
        <v/>
      </c>
      <c r="I106" s="112" t="str">
        <f ca="1"/>
        <v/>
      </c>
    </row>
    <row r="107" spans="1:9" ht="13.2">
      <c r="A107" s="109" t="str">
        <f ca="1">IFERROR(__xludf.DUMMYFUNCTION("""COMPUTED_VALUE"""),"CCC")</f>
        <v>CCC</v>
      </c>
      <c r="B107" s="108" t="str">
        <f ca="1">IFERROR(__xludf.DUMMYFUNCTION("""COMPUTED_VALUE"""),"Andrew Marks")</f>
        <v>Andrew Marks</v>
      </c>
      <c r="C107" s="109">
        <f ca="1">IFERROR(__xludf.DUMMYFUNCTION("""COMPUTED_VALUE"""),9)</f>
        <v>9</v>
      </c>
      <c r="D107" s="109" t="str">
        <f ca="1">IFERROR(__xludf.DUMMYFUNCTION("""COMPUTED_VALUE"""),"B")</f>
        <v>B</v>
      </c>
      <c r="E107" s="110" t="str">
        <f ca="1">IFERROR(__xludf.DUMMYFUNCTION("""COMPUTED_VALUE"""),"F")</f>
        <v>F</v>
      </c>
      <c r="F107" s="110" t="str">
        <f ca="1">IFERROR(__xludf.DUMMYFUNCTION("""COMPUTED_VALUE"""),"J")</f>
        <v>J</v>
      </c>
      <c r="G107" s="110">
        <f ca="1">IFERROR(__xludf.DUMMYFUNCTION("""COMPUTED_VALUE"""),5)</f>
        <v>5</v>
      </c>
      <c r="H107" s="112" t="str">
        <f ca="1"/>
        <v/>
      </c>
      <c r="I107" s="81" t="str">
        <f ca="1"/>
        <v/>
      </c>
    </row>
    <row r="108" spans="1:9" ht="13.2">
      <c r="A108" s="109" t="str">
        <f ca="1">IFERROR(__xludf.DUMMYFUNCTION("""COMPUTED_VALUE"""),"CCC")</f>
        <v>CCC</v>
      </c>
      <c r="B108" s="108" t="str">
        <f ca="1">IFERROR(__xludf.DUMMYFUNCTION("""COMPUTED_VALUE"""),"Colin Wilson")</f>
        <v>Colin Wilson</v>
      </c>
      <c r="C108" s="109">
        <f ca="1">IFERROR(__xludf.DUMMYFUNCTION("""COMPUTED_VALUE"""),8)</f>
        <v>8</v>
      </c>
      <c r="D108" s="109" t="str">
        <f ca="1">IFERROR(__xludf.DUMMYFUNCTION("""COMPUTED_VALUE"""),"B")</f>
        <v>B</v>
      </c>
      <c r="E108" s="110" t="str">
        <f ca="1">IFERROR(__xludf.DUMMYFUNCTION("""COMPUTED_VALUE"""),"F")</f>
        <v>F</v>
      </c>
      <c r="F108" s="110" t="str">
        <f ca="1">IFERROR(__xludf.DUMMYFUNCTION("""COMPUTED_VALUE"""),"J")</f>
        <v>J</v>
      </c>
      <c r="G108" s="110">
        <f ca="1">IFERROR(__xludf.DUMMYFUNCTION("""COMPUTED_VALUE"""),5)</f>
        <v>5</v>
      </c>
      <c r="H108" s="112" t="str">
        <f ca="1"/>
        <v/>
      </c>
      <c r="I108" s="112" t="str">
        <f ca="1"/>
        <v/>
      </c>
    </row>
    <row r="109" spans="1:9" ht="13.2">
      <c r="A109" s="109" t="str">
        <f ca="1">IFERROR(__xludf.DUMMYFUNCTION("""COMPUTED_VALUE"""),"CCC")</f>
        <v>CCC</v>
      </c>
      <c r="B109" s="108" t="str">
        <f ca="1">IFERROR(__xludf.DUMMYFUNCTION("""COMPUTED_VALUE"""),"Corey Berkenbilt")</f>
        <v>Corey Berkenbilt</v>
      </c>
      <c r="C109" s="109">
        <f ca="1">IFERROR(__xludf.DUMMYFUNCTION("""COMPUTED_VALUE"""),10)</f>
        <v>10</v>
      </c>
      <c r="D109" s="109" t="str">
        <f ca="1">IFERROR(__xludf.DUMMYFUNCTION("""COMPUTED_VALUE"""),"B")</f>
        <v>B</v>
      </c>
      <c r="E109" s="110" t="str">
        <f ca="1">IFERROR(__xludf.DUMMYFUNCTION("""COMPUTED_VALUE"""),"F")</f>
        <v>F</v>
      </c>
      <c r="F109" s="110" t="str">
        <f ca="1">IFERROR(__xludf.DUMMYFUNCTION("""COMPUTED_VALUE"""),"J")</f>
        <v>J</v>
      </c>
      <c r="G109" s="110">
        <f ca="1">IFERROR(__xludf.DUMMYFUNCTION("""COMPUTED_VALUE"""),5)</f>
        <v>5</v>
      </c>
      <c r="H109" s="112" t="str">
        <f ca="1"/>
        <v/>
      </c>
      <c r="I109" s="81" t="str">
        <f ca="1"/>
        <v/>
      </c>
    </row>
    <row r="110" spans="1:9" ht="13.2">
      <c r="A110" s="109" t="str">
        <f ca="1">IFERROR(__xludf.DUMMYFUNCTION("""COMPUTED_VALUE"""),"CCC")</f>
        <v>CCC</v>
      </c>
      <c r="B110" s="108" t="str">
        <f ca="1">IFERROR(__xludf.DUMMYFUNCTION("""COMPUTED_VALUE"""),"Damian Wertz")</f>
        <v>Damian Wertz</v>
      </c>
      <c r="C110" s="109">
        <f ca="1">IFERROR(__xludf.DUMMYFUNCTION("""COMPUTED_VALUE"""),9)</f>
        <v>9</v>
      </c>
      <c r="D110" s="109" t="str">
        <f ca="1">IFERROR(__xludf.DUMMYFUNCTION("""COMPUTED_VALUE"""),"B")</f>
        <v>B</v>
      </c>
      <c r="E110" s="110" t="str">
        <f ca="1">IFERROR(__xludf.DUMMYFUNCTION("""COMPUTED_VALUE"""),"F")</f>
        <v>F</v>
      </c>
      <c r="F110" s="110" t="str">
        <f ca="1">IFERROR(__xludf.DUMMYFUNCTION("""COMPUTED_VALUE"""),"J")</f>
        <v>J</v>
      </c>
      <c r="G110" s="110">
        <f ca="1">IFERROR(__xludf.DUMMYFUNCTION("""COMPUTED_VALUE"""),5)</f>
        <v>5</v>
      </c>
      <c r="H110" s="112" t="str">
        <f ca="1"/>
        <v/>
      </c>
      <c r="I110" s="81" t="str">
        <f ca="1"/>
        <v/>
      </c>
    </row>
    <row r="111" spans="1:9" ht="13.2">
      <c r="A111" s="109" t="str">
        <f ca="1">IFERROR(__xludf.DUMMYFUNCTION("""COMPUTED_VALUE"""),"CCC")</f>
        <v>CCC</v>
      </c>
      <c r="B111" s="108" t="str">
        <f ca="1">IFERROR(__xludf.DUMMYFUNCTION("""COMPUTED_VALUE"""),"Drew Southworth")</f>
        <v>Drew Southworth</v>
      </c>
      <c r="C111" s="109">
        <f ca="1">IFERROR(__xludf.DUMMYFUNCTION("""COMPUTED_VALUE"""),9)</f>
        <v>9</v>
      </c>
      <c r="D111" s="109" t="str">
        <f ca="1">IFERROR(__xludf.DUMMYFUNCTION("""COMPUTED_VALUE"""),"B")</f>
        <v>B</v>
      </c>
      <c r="E111" s="110" t="str">
        <f ca="1">IFERROR(__xludf.DUMMYFUNCTION("""COMPUTED_VALUE"""),"F")</f>
        <v>F</v>
      </c>
      <c r="F111" s="110" t="str">
        <f ca="1">IFERROR(__xludf.DUMMYFUNCTION("""COMPUTED_VALUE"""),"J")</f>
        <v>J</v>
      </c>
      <c r="G111" s="110">
        <f ca="1">IFERROR(__xludf.DUMMYFUNCTION("""COMPUTED_VALUE"""),5)</f>
        <v>5</v>
      </c>
      <c r="H111" s="112" t="str">
        <f ca="1"/>
        <v/>
      </c>
      <c r="I111" s="112" t="str">
        <f ca="1"/>
        <v/>
      </c>
    </row>
    <row r="112" spans="1:9" ht="13.2">
      <c r="A112" s="109" t="str">
        <f ca="1">IFERROR(__xludf.DUMMYFUNCTION("""COMPUTED_VALUE"""),"CCC")</f>
        <v>CCC</v>
      </c>
      <c r="B112" s="108" t="str">
        <f ca="1">IFERROR(__xludf.DUMMYFUNCTION("""COMPUTED_VALUE"""),"Easton Snyder")</f>
        <v>Easton Snyder</v>
      </c>
      <c r="C112" s="109">
        <f ca="1">IFERROR(__xludf.DUMMYFUNCTION("""COMPUTED_VALUE"""),6)</f>
        <v>6</v>
      </c>
      <c r="D112" s="109" t="str">
        <f ca="1">IFERROR(__xludf.DUMMYFUNCTION("""COMPUTED_VALUE"""),"B")</f>
        <v>B</v>
      </c>
      <c r="E112" s="110" t="str">
        <f ca="1">IFERROR(__xludf.DUMMYFUNCTION("""COMPUTED_VALUE"""),"F")</f>
        <v>F</v>
      </c>
      <c r="F112" s="110" t="str">
        <f ca="1">IFERROR(__xludf.DUMMYFUNCTION("""COMPUTED_VALUE"""),"J")</f>
        <v>J</v>
      </c>
      <c r="G112" s="110">
        <f ca="1">IFERROR(__xludf.DUMMYFUNCTION("""COMPUTED_VALUE"""),5)</f>
        <v>5</v>
      </c>
      <c r="H112" s="112" t="str">
        <f ca="1"/>
        <v>14.5</v>
      </c>
      <c r="I112" s="112">
        <f ca="1"/>
        <v>14.5</v>
      </c>
    </row>
    <row r="113" spans="1:9" ht="13.2">
      <c r="A113" s="109" t="str">
        <f ca="1">IFERROR(__xludf.DUMMYFUNCTION("""COMPUTED_VALUE"""),"CCC")</f>
        <v>CCC</v>
      </c>
      <c r="B113" s="108" t="str">
        <f ca="1">IFERROR(__xludf.DUMMYFUNCTION("""COMPUTED_VALUE"""),"Emerson Allen")</f>
        <v>Emerson Allen</v>
      </c>
      <c r="C113" s="109">
        <f ca="1">IFERROR(__xludf.DUMMYFUNCTION("""COMPUTED_VALUE"""),7)</f>
        <v>7</v>
      </c>
      <c r="D113" s="109" t="str">
        <f ca="1">IFERROR(__xludf.DUMMYFUNCTION("""COMPUTED_VALUE"""),"B")</f>
        <v>B</v>
      </c>
      <c r="E113" s="110" t="str">
        <f ca="1">IFERROR(__xludf.DUMMYFUNCTION("""COMPUTED_VALUE"""),"F")</f>
        <v>F</v>
      </c>
      <c r="F113" s="110" t="str">
        <f ca="1">IFERROR(__xludf.DUMMYFUNCTION("""COMPUTED_VALUE"""),"J")</f>
        <v>J</v>
      </c>
      <c r="G113" s="110">
        <f ca="1">IFERROR(__xludf.DUMMYFUNCTION("""COMPUTED_VALUE"""),5)</f>
        <v>5</v>
      </c>
      <c r="H113" s="112" t="str">
        <f ca="1"/>
        <v/>
      </c>
      <c r="I113" s="81" t="str">
        <f ca="1"/>
        <v/>
      </c>
    </row>
    <row r="114" spans="1:9" ht="13.2">
      <c r="A114" s="109" t="str">
        <f ca="1">IFERROR(__xludf.DUMMYFUNCTION("""COMPUTED_VALUE"""),"CCC")</f>
        <v>CCC</v>
      </c>
      <c r="B114" s="108" t="str">
        <f ca="1">IFERROR(__xludf.DUMMYFUNCTION("""COMPUTED_VALUE"""),"Emilio Padilla")</f>
        <v>Emilio Padilla</v>
      </c>
      <c r="C114" s="109">
        <f ca="1">IFERROR(__xludf.DUMMYFUNCTION("""COMPUTED_VALUE"""),8)</f>
        <v>8</v>
      </c>
      <c r="D114" s="109" t="str">
        <f ca="1">IFERROR(__xludf.DUMMYFUNCTION("""COMPUTED_VALUE"""),"B")</f>
        <v>B</v>
      </c>
      <c r="E114" s="110" t="str">
        <f ca="1">IFERROR(__xludf.DUMMYFUNCTION("""COMPUTED_VALUE"""),"F")</f>
        <v>F</v>
      </c>
      <c r="F114" s="110" t="str">
        <f ca="1">IFERROR(__xludf.DUMMYFUNCTION("""COMPUTED_VALUE"""),"J")</f>
        <v>J</v>
      </c>
      <c r="G114" s="110">
        <f ca="1">IFERROR(__xludf.DUMMYFUNCTION("""COMPUTED_VALUE"""),5)</f>
        <v>5</v>
      </c>
      <c r="H114" s="112" t="str">
        <f ca="1"/>
        <v/>
      </c>
      <c r="I114" s="81" t="str">
        <f ca="1"/>
        <v/>
      </c>
    </row>
    <row r="115" spans="1:9" ht="13.2">
      <c r="A115" s="109" t="str">
        <f ca="1">IFERROR(__xludf.DUMMYFUNCTION("""COMPUTED_VALUE"""),"CCC")</f>
        <v>CCC</v>
      </c>
      <c r="B115" s="108" t="str">
        <f ca="1">IFERROR(__xludf.DUMMYFUNCTION("""COMPUTED_VALUE"""),"Grayson Matlis")</f>
        <v>Grayson Matlis</v>
      </c>
      <c r="C115" s="109">
        <f ca="1">IFERROR(__xludf.DUMMYFUNCTION("""COMPUTED_VALUE"""),9)</f>
        <v>9</v>
      </c>
      <c r="D115" s="109" t="str">
        <f ca="1">IFERROR(__xludf.DUMMYFUNCTION("""COMPUTED_VALUE"""),"B")</f>
        <v>B</v>
      </c>
      <c r="E115" s="110" t="str">
        <f ca="1">IFERROR(__xludf.DUMMYFUNCTION("""COMPUTED_VALUE"""),"F")</f>
        <v>F</v>
      </c>
      <c r="F115" s="110" t="str">
        <f ca="1">IFERROR(__xludf.DUMMYFUNCTION("""COMPUTED_VALUE"""),"J")</f>
        <v>J</v>
      </c>
      <c r="G115" s="110">
        <f ca="1">IFERROR(__xludf.DUMMYFUNCTION("""COMPUTED_VALUE"""),5)</f>
        <v>5</v>
      </c>
      <c r="H115" s="112" t="str">
        <f ca="1"/>
        <v/>
      </c>
      <c r="I115" s="112" t="str">
        <f ca="1"/>
        <v/>
      </c>
    </row>
    <row r="116" spans="1:9" ht="13.2">
      <c r="A116" s="109" t="str">
        <f ca="1">IFERROR(__xludf.DUMMYFUNCTION("""COMPUTED_VALUE"""),"CCC")</f>
        <v>CCC</v>
      </c>
      <c r="B116" s="108" t="str">
        <f ca="1">IFERROR(__xludf.DUMMYFUNCTION("""COMPUTED_VALUE"""),"Jack McIntosh")</f>
        <v>Jack McIntosh</v>
      </c>
      <c r="C116" s="109">
        <f ca="1">IFERROR(__xludf.DUMMYFUNCTION("""COMPUTED_VALUE"""),7)</f>
        <v>7</v>
      </c>
      <c r="D116" s="109" t="str">
        <f ca="1">IFERROR(__xludf.DUMMYFUNCTION("""COMPUTED_VALUE"""),"B")</f>
        <v>B</v>
      </c>
      <c r="E116" s="110" t="str">
        <f ca="1">IFERROR(__xludf.DUMMYFUNCTION("""COMPUTED_VALUE"""),"F")</f>
        <v>F</v>
      </c>
      <c r="F116" s="110" t="str">
        <f ca="1">IFERROR(__xludf.DUMMYFUNCTION("""COMPUTED_VALUE"""),"J")</f>
        <v>J</v>
      </c>
      <c r="G116" s="110">
        <f ca="1">IFERROR(__xludf.DUMMYFUNCTION("""COMPUTED_VALUE"""),5)</f>
        <v>5</v>
      </c>
      <c r="H116" s="112" t="str">
        <f ca="1"/>
        <v>17.75</v>
      </c>
      <c r="I116" s="112">
        <f ca="1"/>
        <v>17.75</v>
      </c>
    </row>
    <row r="117" spans="1:9" ht="13.2">
      <c r="A117" s="109" t="str">
        <f ca="1">IFERROR(__xludf.DUMMYFUNCTION("""COMPUTED_VALUE"""),"CCC")</f>
        <v>CCC</v>
      </c>
      <c r="B117" s="108" t="str">
        <f ca="1">IFERROR(__xludf.DUMMYFUNCTION("""COMPUTED_VALUE"""),"Josh Themely")</f>
        <v>Josh Themely</v>
      </c>
      <c r="C117" s="109">
        <f ca="1">IFERROR(__xludf.DUMMYFUNCTION("""COMPUTED_VALUE"""),9)</f>
        <v>9</v>
      </c>
      <c r="D117" s="109" t="str">
        <f ca="1">IFERROR(__xludf.DUMMYFUNCTION("""COMPUTED_VALUE"""),"B")</f>
        <v>B</v>
      </c>
      <c r="E117" s="110" t="str">
        <f ca="1">IFERROR(__xludf.DUMMYFUNCTION("""COMPUTED_VALUE"""),"F")</f>
        <v>F</v>
      </c>
      <c r="F117" s="110" t="str">
        <f ca="1">IFERROR(__xludf.DUMMYFUNCTION("""COMPUTED_VALUE"""),"J")</f>
        <v>J</v>
      </c>
      <c r="G117" s="110">
        <f ca="1">IFERROR(__xludf.DUMMYFUNCTION("""COMPUTED_VALUE"""),5)</f>
        <v>5</v>
      </c>
      <c r="H117" s="112" t="str">
        <f ca="1"/>
        <v/>
      </c>
      <c r="I117" s="112" t="str">
        <f ca="1"/>
        <v/>
      </c>
    </row>
    <row r="118" spans="1:9" ht="13.2">
      <c r="A118" s="109" t="str">
        <f ca="1">IFERROR(__xludf.DUMMYFUNCTION("""COMPUTED_VALUE"""),"CCC")</f>
        <v>CCC</v>
      </c>
      <c r="B118" s="108" t="str">
        <f ca="1">IFERROR(__xludf.DUMMYFUNCTION("""COMPUTED_VALUE"""),"Kyle Borgia")</f>
        <v>Kyle Borgia</v>
      </c>
      <c r="C118" s="109">
        <f ca="1">IFERROR(__xludf.DUMMYFUNCTION("""COMPUTED_VALUE"""),10)</f>
        <v>10</v>
      </c>
      <c r="D118" s="109" t="str">
        <f ca="1">IFERROR(__xludf.DUMMYFUNCTION("""COMPUTED_VALUE"""),"B")</f>
        <v>B</v>
      </c>
      <c r="E118" s="110" t="str">
        <f ca="1">IFERROR(__xludf.DUMMYFUNCTION("""COMPUTED_VALUE"""),"F")</f>
        <v>F</v>
      </c>
      <c r="F118" s="110" t="str">
        <f ca="1">IFERROR(__xludf.DUMMYFUNCTION("""COMPUTED_VALUE"""),"J")</f>
        <v>J</v>
      </c>
      <c r="G118" s="110">
        <f ca="1">IFERROR(__xludf.DUMMYFUNCTION("""COMPUTED_VALUE"""),5)</f>
        <v>5</v>
      </c>
      <c r="H118" s="112" t="str">
        <f ca="1"/>
        <v/>
      </c>
      <c r="I118" s="81" t="str">
        <f ca="1"/>
        <v/>
      </c>
    </row>
    <row r="119" spans="1:9" ht="13.2">
      <c r="A119" s="109" t="str">
        <f ca="1">IFERROR(__xludf.DUMMYFUNCTION("""COMPUTED_VALUE"""),"CCC")</f>
        <v>CCC</v>
      </c>
      <c r="B119" s="108" t="str">
        <f ca="1">IFERROR(__xludf.DUMMYFUNCTION("""COMPUTED_VALUE"""),"Owen Snyder")</f>
        <v>Owen Snyder</v>
      </c>
      <c r="C119" s="109">
        <f ca="1">IFERROR(__xludf.DUMMYFUNCTION("""COMPUTED_VALUE"""),9)</f>
        <v>9</v>
      </c>
      <c r="D119" s="109" t="str">
        <f ca="1">IFERROR(__xludf.DUMMYFUNCTION("""COMPUTED_VALUE"""),"B")</f>
        <v>B</v>
      </c>
      <c r="E119" s="110" t="str">
        <f ca="1">IFERROR(__xludf.DUMMYFUNCTION("""COMPUTED_VALUE"""),"F")</f>
        <v>F</v>
      </c>
      <c r="F119" s="110" t="str">
        <f ca="1">IFERROR(__xludf.DUMMYFUNCTION("""COMPUTED_VALUE"""),"J")</f>
        <v>J</v>
      </c>
      <c r="G119" s="110">
        <f ca="1">IFERROR(__xludf.DUMMYFUNCTION("""COMPUTED_VALUE"""),5)</f>
        <v>5</v>
      </c>
      <c r="H119" s="112" t="str">
        <f ca="1"/>
        <v>38.8</v>
      </c>
      <c r="I119" s="112">
        <f ca="1"/>
        <v>38.799999999999997</v>
      </c>
    </row>
    <row r="120" spans="1:9" ht="13.2">
      <c r="A120" s="109" t="str">
        <f ca="1">IFERROR(__xludf.DUMMYFUNCTION("""COMPUTED_VALUE"""),"CCC")</f>
        <v>CCC</v>
      </c>
      <c r="B120" s="108" t="str">
        <f ca="1">IFERROR(__xludf.DUMMYFUNCTION("""COMPUTED_VALUE"""),"Theo Edgerton")</f>
        <v>Theo Edgerton</v>
      </c>
      <c r="C120" s="109">
        <f ca="1">IFERROR(__xludf.DUMMYFUNCTION("""COMPUTED_VALUE"""),9)</f>
        <v>9</v>
      </c>
      <c r="D120" s="109" t="str">
        <f ca="1">IFERROR(__xludf.DUMMYFUNCTION("""COMPUTED_VALUE"""),"B")</f>
        <v>B</v>
      </c>
      <c r="E120" s="110" t="str">
        <f ca="1">IFERROR(__xludf.DUMMYFUNCTION("""COMPUTED_VALUE"""),"F")</f>
        <v>F</v>
      </c>
      <c r="F120" s="110" t="str">
        <f ca="1">IFERROR(__xludf.DUMMYFUNCTION("""COMPUTED_VALUE"""),"J")</f>
        <v>J</v>
      </c>
      <c r="G120" s="110">
        <f ca="1">IFERROR(__xludf.DUMMYFUNCTION("""COMPUTED_VALUE"""),5)</f>
        <v>5</v>
      </c>
      <c r="H120" s="112" t="str">
        <f ca="1"/>
        <v/>
      </c>
      <c r="I120" s="81" t="str">
        <f ca="1"/>
        <v/>
      </c>
    </row>
    <row r="121" spans="1:9" ht="13.2">
      <c r="A121" s="109" t="str">
        <f ca="1">IFERROR(__xludf.DUMMYFUNCTION("""COMPUTED_VALUE"""),"CCC")</f>
        <v>CCC</v>
      </c>
      <c r="B121" s="108" t="str">
        <f ca="1">IFERROR(__xludf.DUMMYFUNCTION("""COMPUTED_VALUE"""),"Will Allen")</f>
        <v>Will Allen</v>
      </c>
      <c r="C121" s="109">
        <f ca="1">IFERROR(__xludf.DUMMYFUNCTION("""COMPUTED_VALUE"""),10)</f>
        <v>10</v>
      </c>
      <c r="D121" s="109" t="str">
        <f ca="1">IFERROR(__xludf.DUMMYFUNCTION("""COMPUTED_VALUE"""),"B")</f>
        <v>B</v>
      </c>
      <c r="E121" s="110" t="str">
        <f ca="1">IFERROR(__xludf.DUMMYFUNCTION("""COMPUTED_VALUE"""),"F")</f>
        <v>F</v>
      </c>
      <c r="F121" s="110" t="str">
        <f ca="1">IFERROR(__xludf.DUMMYFUNCTION("""COMPUTED_VALUE"""),"J")</f>
        <v>J</v>
      </c>
      <c r="G121" s="110">
        <f ca="1">IFERROR(__xludf.DUMMYFUNCTION("""COMPUTED_VALUE"""),5)</f>
        <v>5</v>
      </c>
      <c r="H121" s="112" t="str">
        <f ca="1"/>
        <v/>
      </c>
      <c r="I121" s="81" t="str">
        <f ca="1"/>
        <v/>
      </c>
    </row>
    <row r="122" spans="1:9" ht="13.2">
      <c r="A122" s="109" t="str">
        <f ca="1">IFERROR(__xludf.DUMMYFUNCTION("""COMPUTED_VALUE"""),"CCC")</f>
        <v>CCC</v>
      </c>
      <c r="B122" s="108" t="str">
        <f ca="1">IFERROR(__xludf.DUMMYFUNCTION("""COMPUTED_VALUE"""),"Abby Southworth")</f>
        <v>Abby Southworth</v>
      </c>
      <c r="C122" s="109">
        <f ca="1">IFERROR(__xludf.DUMMYFUNCTION("""COMPUTED_VALUE"""),7)</f>
        <v>7</v>
      </c>
      <c r="D122" s="109" t="str">
        <f ca="1">IFERROR(__xludf.DUMMYFUNCTION("""COMPUTED_VALUE"""),"G")</f>
        <v>G</v>
      </c>
      <c r="E122" s="110" t="str">
        <f ca="1">IFERROR(__xludf.DUMMYFUNCTION("""COMPUTED_VALUE"""),"F")</f>
        <v>F</v>
      </c>
      <c r="F122" s="110" t="str">
        <f ca="1">IFERROR(__xludf.DUMMYFUNCTION("""COMPUTED_VALUE"""),"J")</f>
        <v>J</v>
      </c>
      <c r="G122" s="110">
        <f ca="1">IFERROR(__xludf.DUMMYFUNCTION("""COMPUTED_VALUE"""),5)</f>
        <v>5</v>
      </c>
      <c r="H122" s="112" t="str">
        <f ca="1"/>
        <v/>
      </c>
      <c r="I122" s="112" t="str">
        <f ca="1"/>
        <v/>
      </c>
    </row>
    <row r="123" spans="1:9" ht="13.2">
      <c r="A123" s="109" t="str">
        <f ca="1">IFERROR(__xludf.DUMMYFUNCTION("""COMPUTED_VALUE"""),"CCC")</f>
        <v>CCC</v>
      </c>
      <c r="B123" s="108" t="str">
        <f ca="1">IFERROR(__xludf.DUMMYFUNCTION("""COMPUTED_VALUE"""),"Alexa Hill")</f>
        <v>Alexa Hill</v>
      </c>
      <c r="C123" s="109">
        <f ca="1">IFERROR(__xludf.DUMMYFUNCTION("""COMPUTED_VALUE"""),8)</f>
        <v>8</v>
      </c>
      <c r="D123" s="109" t="str">
        <f ca="1">IFERROR(__xludf.DUMMYFUNCTION("""COMPUTED_VALUE"""),"G")</f>
        <v>G</v>
      </c>
      <c r="E123" s="110" t="str">
        <f ca="1">IFERROR(__xludf.DUMMYFUNCTION("""COMPUTED_VALUE"""),"F")</f>
        <v>F</v>
      </c>
      <c r="F123" s="110" t="str">
        <f ca="1">IFERROR(__xludf.DUMMYFUNCTION("""COMPUTED_VALUE"""),"J")</f>
        <v>J</v>
      </c>
      <c r="G123" s="110">
        <f ca="1">IFERROR(__xludf.DUMMYFUNCTION("""COMPUTED_VALUE"""),5)</f>
        <v>5</v>
      </c>
      <c r="H123" s="112" t="str">
        <f ca="1"/>
        <v/>
      </c>
      <c r="I123" s="112" t="str">
        <f ca="1"/>
        <v/>
      </c>
    </row>
    <row r="124" spans="1:9" ht="13.2">
      <c r="A124" s="109" t="str">
        <f ca="1">IFERROR(__xludf.DUMMYFUNCTION("""COMPUTED_VALUE"""),"CCC")</f>
        <v>CCC</v>
      </c>
      <c r="B124" s="108" t="str">
        <f ca="1">IFERROR(__xludf.DUMMYFUNCTION("""COMPUTED_VALUE"""),"Eliza McIlvaine")</f>
        <v>Eliza McIlvaine</v>
      </c>
      <c r="C124" s="109">
        <f ca="1">IFERROR(__xludf.DUMMYFUNCTION("""COMPUTED_VALUE"""),9)</f>
        <v>9</v>
      </c>
      <c r="D124" s="109" t="str">
        <f ca="1">IFERROR(__xludf.DUMMYFUNCTION("""COMPUTED_VALUE"""),"G")</f>
        <v>G</v>
      </c>
      <c r="E124" s="110" t="str">
        <f ca="1">IFERROR(__xludf.DUMMYFUNCTION("""COMPUTED_VALUE"""),"F")</f>
        <v>F</v>
      </c>
      <c r="F124" s="110" t="str">
        <f ca="1">IFERROR(__xludf.DUMMYFUNCTION("""COMPUTED_VALUE"""),"J")</f>
        <v>J</v>
      </c>
      <c r="G124" s="110">
        <f ca="1">IFERROR(__xludf.DUMMYFUNCTION("""COMPUTED_VALUE"""),5)</f>
        <v>5</v>
      </c>
      <c r="H124" s="112" t="str">
        <f ca="1"/>
        <v/>
      </c>
      <c r="I124" s="112" t="str">
        <f ca="1"/>
        <v/>
      </c>
    </row>
    <row r="125" spans="1:9" ht="13.2">
      <c r="A125" s="109" t="str">
        <f ca="1">IFERROR(__xludf.DUMMYFUNCTION("""COMPUTED_VALUE"""),"CCC")</f>
        <v>CCC</v>
      </c>
      <c r="B125" s="108" t="str">
        <f ca="1">IFERROR(__xludf.DUMMYFUNCTION("""COMPUTED_VALUE"""),"Ella Allen")</f>
        <v>Ella Allen</v>
      </c>
      <c r="C125" s="109">
        <f ca="1">IFERROR(__xludf.DUMMYFUNCTION("""COMPUTED_VALUE"""),7)</f>
        <v>7</v>
      </c>
      <c r="D125" s="109" t="str">
        <f ca="1">IFERROR(__xludf.DUMMYFUNCTION("""COMPUTED_VALUE"""),"G")</f>
        <v>G</v>
      </c>
      <c r="E125" s="110" t="str">
        <f ca="1">IFERROR(__xludf.DUMMYFUNCTION("""COMPUTED_VALUE"""),"F")</f>
        <v>F</v>
      </c>
      <c r="F125" s="110" t="str">
        <f ca="1">IFERROR(__xludf.DUMMYFUNCTION("""COMPUTED_VALUE"""),"J")</f>
        <v>J</v>
      </c>
      <c r="G125" s="110">
        <f ca="1">IFERROR(__xludf.DUMMYFUNCTION("""COMPUTED_VALUE"""),5)</f>
        <v>5</v>
      </c>
      <c r="H125" s="112" t="str">
        <f ca="1"/>
        <v/>
      </c>
      <c r="I125" s="81" t="str">
        <f ca="1"/>
        <v/>
      </c>
    </row>
    <row r="126" spans="1:9" ht="13.2">
      <c r="A126" s="109" t="str">
        <f ca="1">IFERROR(__xludf.DUMMYFUNCTION("""COMPUTED_VALUE"""),"CCC")</f>
        <v>CCC</v>
      </c>
      <c r="B126" s="108" t="str">
        <f ca="1">IFERROR(__xludf.DUMMYFUNCTION("""COMPUTED_VALUE"""),"Emma Thomas")</f>
        <v>Emma Thomas</v>
      </c>
      <c r="C126" s="109">
        <f ca="1">IFERROR(__xludf.DUMMYFUNCTION("""COMPUTED_VALUE"""),10)</f>
        <v>10</v>
      </c>
      <c r="D126" s="109" t="str">
        <f ca="1">IFERROR(__xludf.DUMMYFUNCTION("""COMPUTED_VALUE"""),"G")</f>
        <v>G</v>
      </c>
      <c r="E126" s="110" t="str">
        <f ca="1">IFERROR(__xludf.DUMMYFUNCTION("""COMPUTED_VALUE"""),"F")</f>
        <v>F</v>
      </c>
      <c r="F126" s="110" t="str">
        <f ca="1">IFERROR(__xludf.DUMMYFUNCTION("""COMPUTED_VALUE"""),"J")</f>
        <v>J</v>
      </c>
      <c r="G126" s="110">
        <f ca="1">IFERROR(__xludf.DUMMYFUNCTION("""COMPUTED_VALUE"""),5)</f>
        <v>5</v>
      </c>
      <c r="H126" s="112" t="str">
        <f ca="1"/>
        <v>33.65</v>
      </c>
      <c r="I126" s="112">
        <f ca="1"/>
        <v>33.65</v>
      </c>
    </row>
    <row r="127" spans="1:9" ht="13.2">
      <c r="A127" s="109" t="str">
        <f ca="1">IFERROR(__xludf.DUMMYFUNCTION("""COMPUTED_VALUE"""),"CCC")</f>
        <v>CCC</v>
      </c>
      <c r="B127" s="108" t="str">
        <f ca="1">IFERROR(__xludf.DUMMYFUNCTION("""COMPUTED_VALUE"""),"Lillie Thomas")</f>
        <v>Lillie Thomas</v>
      </c>
      <c r="C127" s="109">
        <f ca="1">IFERROR(__xludf.DUMMYFUNCTION("""COMPUTED_VALUE"""),8)</f>
        <v>8</v>
      </c>
      <c r="D127" s="109" t="str">
        <f ca="1">IFERROR(__xludf.DUMMYFUNCTION("""COMPUTED_VALUE"""),"G")</f>
        <v>G</v>
      </c>
      <c r="E127" s="110" t="str">
        <f ca="1">IFERROR(__xludf.DUMMYFUNCTION("""COMPUTED_VALUE"""),"F")</f>
        <v>F</v>
      </c>
      <c r="F127" s="110" t="str">
        <f ca="1">IFERROR(__xludf.DUMMYFUNCTION("""COMPUTED_VALUE"""),"J")</f>
        <v>J</v>
      </c>
      <c r="G127" s="110">
        <f ca="1">IFERROR(__xludf.DUMMYFUNCTION("""COMPUTED_VALUE"""),5)</f>
        <v>5</v>
      </c>
      <c r="H127" s="112" t="str">
        <f ca="1"/>
        <v>29.6</v>
      </c>
      <c r="I127" s="112">
        <f ca="1"/>
        <v>29.6</v>
      </c>
    </row>
    <row r="128" spans="1:9" ht="13.2">
      <c r="A128" s="109" t="str">
        <f ca="1">IFERROR(__xludf.DUMMYFUNCTION("""COMPUTED_VALUE"""),"CCC")</f>
        <v>CCC</v>
      </c>
      <c r="B128" s="108" t="str">
        <f ca="1">IFERROR(__xludf.DUMMYFUNCTION("""COMPUTED_VALUE"""),"Lily Huie")</f>
        <v>Lily Huie</v>
      </c>
      <c r="C128" s="109">
        <f ca="1">IFERROR(__xludf.DUMMYFUNCTION("""COMPUTED_VALUE"""),7)</f>
        <v>7</v>
      </c>
      <c r="D128" s="109" t="str">
        <f ca="1">IFERROR(__xludf.DUMMYFUNCTION("""COMPUTED_VALUE"""),"G")</f>
        <v>G</v>
      </c>
      <c r="E128" s="110" t="str">
        <f ca="1">IFERROR(__xludf.DUMMYFUNCTION("""COMPUTED_VALUE"""),"F")</f>
        <v>F</v>
      </c>
      <c r="F128" s="110" t="str">
        <f ca="1">IFERROR(__xludf.DUMMYFUNCTION("""COMPUTED_VALUE"""),"J")</f>
        <v>J</v>
      </c>
      <c r="G128" s="110">
        <f ca="1">IFERROR(__xludf.DUMMYFUNCTION("""COMPUTED_VALUE"""),5)</f>
        <v>5</v>
      </c>
      <c r="H128" s="112" t="str">
        <f ca="1"/>
        <v/>
      </c>
      <c r="I128" s="112" t="str">
        <f ca="1"/>
        <v/>
      </c>
    </row>
    <row r="129" spans="1:9" ht="13.2">
      <c r="A129" s="109" t="str">
        <f ca="1">IFERROR(__xludf.DUMMYFUNCTION("""COMPUTED_VALUE"""),"CCC")</f>
        <v>CCC</v>
      </c>
      <c r="B129" s="108" t="str">
        <f ca="1">IFERROR(__xludf.DUMMYFUNCTION("""COMPUTED_VALUE"""),"Sara Curry-Briggs")</f>
        <v>Sara Curry-Briggs</v>
      </c>
      <c r="C129" s="109">
        <f ca="1">IFERROR(__xludf.DUMMYFUNCTION("""COMPUTED_VALUE"""),7)</f>
        <v>7</v>
      </c>
      <c r="D129" s="109" t="str">
        <f ca="1">IFERROR(__xludf.DUMMYFUNCTION("""COMPUTED_VALUE"""),"G")</f>
        <v>G</v>
      </c>
      <c r="E129" s="110" t="str">
        <f ca="1">IFERROR(__xludf.DUMMYFUNCTION("""COMPUTED_VALUE"""),"F")</f>
        <v>F</v>
      </c>
      <c r="F129" s="110" t="str">
        <f ca="1">IFERROR(__xludf.DUMMYFUNCTION("""COMPUTED_VALUE"""),"J")</f>
        <v>J</v>
      </c>
      <c r="G129" s="110">
        <f ca="1">IFERROR(__xludf.DUMMYFUNCTION("""COMPUTED_VALUE"""),5)</f>
        <v>5</v>
      </c>
      <c r="H129" s="112" t="str">
        <f ca="1"/>
        <v/>
      </c>
      <c r="I129" s="112" t="str">
        <f ca="1"/>
        <v/>
      </c>
    </row>
    <row r="130" spans="1:9" ht="13.2">
      <c r="A130" s="109" t="str">
        <f ca="1">IFERROR(__xludf.DUMMYFUNCTION("""COMPUTED_VALUE"""),"CCC")</f>
        <v>CCC</v>
      </c>
      <c r="B130" s="108" t="str">
        <f ca="1">IFERROR(__xludf.DUMMYFUNCTION("""COMPUTED_VALUE"""),"Ryan Wells")</f>
        <v>Ryan Wells</v>
      </c>
      <c r="C130" s="109">
        <f ca="1">IFERROR(__xludf.DUMMYFUNCTION("""COMPUTED_VALUE"""),13)</f>
        <v>13</v>
      </c>
      <c r="D130" s="109" t="str">
        <f ca="1">IFERROR(__xludf.DUMMYFUNCTION("""COMPUTED_VALUE"""),"B")</f>
        <v>B</v>
      </c>
      <c r="E130" s="110" t="str">
        <f ca="1">IFERROR(__xludf.DUMMYFUNCTION("""COMPUTED_VALUE"""),"I")</f>
        <v>I</v>
      </c>
      <c r="F130" s="110" t="str">
        <f ca="1">IFERROR(__xludf.DUMMYFUNCTION("""COMPUTED_VALUE"""),"S")</f>
        <v>S</v>
      </c>
      <c r="G130" s="110">
        <f ca="1">IFERROR(__xludf.DUMMYFUNCTION("""COMPUTED_VALUE"""),5)</f>
        <v>5</v>
      </c>
      <c r="H130" s="112" t="str">
        <f ca="1"/>
        <v/>
      </c>
      <c r="I130" s="112" t="str">
        <f ca="1"/>
        <v/>
      </c>
    </row>
    <row r="131" spans="1:9" ht="13.2">
      <c r="A131" s="109" t="str">
        <f ca="1">IFERROR(__xludf.DUMMYFUNCTION("""COMPUTED_VALUE"""),"CCC")</f>
        <v>CCC</v>
      </c>
      <c r="B131" s="108" t="str">
        <f ca="1">IFERROR(__xludf.DUMMYFUNCTION("""COMPUTED_VALUE"""),"Trey Gagermeier")</f>
        <v>Trey Gagermeier</v>
      </c>
      <c r="C131" s="109">
        <f ca="1">IFERROR(__xludf.DUMMYFUNCTION("""COMPUTED_VALUE"""),14)</f>
        <v>14</v>
      </c>
      <c r="D131" s="109" t="str">
        <f ca="1">IFERROR(__xludf.DUMMYFUNCTION("""COMPUTED_VALUE"""),"B")</f>
        <v>B</v>
      </c>
      <c r="E131" s="110" t="str">
        <f ca="1">IFERROR(__xludf.DUMMYFUNCTION("""COMPUTED_VALUE"""),"I")</f>
        <v>I</v>
      </c>
      <c r="F131" s="110" t="str">
        <f ca="1">IFERROR(__xludf.DUMMYFUNCTION("""COMPUTED_VALUE"""),"S")</f>
        <v>S</v>
      </c>
      <c r="G131" s="110">
        <f ca="1">IFERROR(__xludf.DUMMYFUNCTION("""COMPUTED_VALUE"""),5)</f>
        <v>5</v>
      </c>
      <c r="H131" s="112" t="str">
        <f ca="1"/>
        <v/>
      </c>
      <c r="I131" s="81" t="str">
        <f ca="1"/>
        <v/>
      </c>
    </row>
    <row r="132" spans="1:9" ht="13.2">
      <c r="A132" s="109" t="str">
        <f ca="1">IFERROR(__xludf.DUMMYFUNCTION("""COMPUTED_VALUE"""),"CCC")</f>
        <v>CCC</v>
      </c>
      <c r="B132" s="108" t="str">
        <f ca="1">IFERROR(__xludf.DUMMYFUNCTION("""COMPUTED_VALUE"""),"Adele Riedel")</f>
        <v>Adele Riedel</v>
      </c>
      <c r="C132" s="109">
        <f ca="1">IFERROR(__xludf.DUMMYFUNCTION("""COMPUTED_VALUE"""),14)</f>
        <v>14</v>
      </c>
      <c r="D132" s="109" t="str">
        <f ca="1">IFERROR(__xludf.DUMMYFUNCTION("""COMPUTED_VALUE"""),"G")</f>
        <v>G</v>
      </c>
      <c r="E132" s="110" t="str">
        <f ca="1">IFERROR(__xludf.DUMMYFUNCTION("""COMPUTED_VALUE"""),"I")</f>
        <v>I</v>
      </c>
      <c r="F132" s="110" t="str">
        <f ca="1">IFERROR(__xludf.DUMMYFUNCTION("""COMPUTED_VALUE"""),"S")</f>
        <v>S</v>
      </c>
      <c r="G132" s="110">
        <f ca="1">IFERROR(__xludf.DUMMYFUNCTION("""COMPUTED_VALUE"""),5)</f>
        <v>5</v>
      </c>
      <c r="H132" s="112" t="str">
        <f ca="1"/>
        <v/>
      </c>
      <c r="I132" s="112" t="str">
        <f ca="1"/>
        <v/>
      </c>
    </row>
    <row r="133" spans="1:9" ht="13.2">
      <c r="A133" s="109" t="str">
        <f ca="1">IFERROR(__xludf.DUMMYFUNCTION("""COMPUTED_VALUE"""),"CCC")</f>
        <v>CCC</v>
      </c>
      <c r="B133" s="108" t="str">
        <f ca="1">IFERROR(__xludf.DUMMYFUNCTION("""COMPUTED_VALUE"""),"Lia Gauthier")</f>
        <v>Lia Gauthier</v>
      </c>
      <c r="C133" s="109">
        <f ca="1">IFERROR(__xludf.DUMMYFUNCTION("""COMPUTED_VALUE"""),13)</f>
        <v>13</v>
      </c>
      <c r="D133" s="109" t="str">
        <f ca="1">IFERROR(__xludf.DUMMYFUNCTION("""COMPUTED_VALUE"""),"G")</f>
        <v>G</v>
      </c>
      <c r="E133" s="110" t="str">
        <f ca="1">IFERROR(__xludf.DUMMYFUNCTION("""COMPUTED_VALUE"""),"I")</f>
        <v>I</v>
      </c>
      <c r="F133" s="110" t="str">
        <f ca="1">IFERROR(__xludf.DUMMYFUNCTION("""COMPUTED_VALUE"""),"S")</f>
        <v>S</v>
      </c>
      <c r="G133" s="110">
        <f ca="1">IFERROR(__xludf.DUMMYFUNCTION("""COMPUTED_VALUE"""),5)</f>
        <v>5</v>
      </c>
      <c r="H133" s="112" t="str">
        <f ca="1"/>
        <v/>
      </c>
      <c r="I133" s="112" t="str">
        <f ca="1"/>
        <v/>
      </c>
    </row>
    <row r="134" spans="1:9" ht="13.2">
      <c r="A134" s="109" t="str">
        <f ca="1">IFERROR(__xludf.DUMMYFUNCTION("""COMPUTED_VALUE"""),"CCC")</f>
        <v>CCC</v>
      </c>
      <c r="B134" s="108" t="str">
        <f ca="1">IFERROR(__xludf.DUMMYFUNCTION("""COMPUTED_VALUE"""),"Maia McAllister")</f>
        <v>Maia McAllister</v>
      </c>
      <c r="C134" s="109">
        <f ca="1">IFERROR(__xludf.DUMMYFUNCTION("""COMPUTED_VALUE"""),13)</f>
        <v>13</v>
      </c>
      <c r="D134" s="109" t="str">
        <f ca="1">IFERROR(__xludf.DUMMYFUNCTION("""COMPUTED_VALUE"""),"G")</f>
        <v>G</v>
      </c>
      <c r="E134" s="110" t="str">
        <f ca="1">IFERROR(__xludf.DUMMYFUNCTION("""COMPUTED_VALUE"""),"I")</f>
        <v>I</v>
      </c>
      <c r="F134" s="110" t="str">
        <f ca="1">IFERROR(__xludf.DUMMYFUNCTION("""COMPUTED_VALUE"""),"S")</f>
        <v>S</v>
      </c>
      <c r="G134" s="110">
        <f ca="1">IFERROR(__xludf.DUMMYFUNCTION("""COMPUTED_VALUE"""),5)</f>
        <v>5</v>
      </c>
      <c r="H134" s="112" t="str">
        <f ca="1"/>
        <v/>
      </c>
      <c r="I134" s="112" t="str">
        <f ca="1"/>
        <v/>
      </c>
    </row>
    <row r="135" spans="1:9" ht="13.2">
      <c r="A135" s="109" t="str">
        <f ca="1">IFERROR(__xludf.DUMMYFUNCTION("""COMPUTED_VALUE"""),"CCC")</f>
        <v>CCC</v>
      </c>
      <c r="B135" s="108" t="str">
        <f ca="1">IFERROR(__xludf.DUMMYFUNCTION("""COMPUTED_VALUE"""),"Jake Themely")</f>
        <v>Jake Themely</v>
      </c>
      <c r="C135" s="109">
        <f ca="1">IFERROR(__xludf.DUMMYFUNCTION("""COMPUTED_VALUE"""),12)</f>
        <v>12</v>
      </c>
      <c r="D135" s="109" t="str">
        <f ca="1">IFERROR(__xludf.DUMMYFUNCTION("""COMPUTED_VALUE"""),"B")</f>
        <v>B</v>
      </c>
      <c r="E135" s="110" t="str">
        <f ca="1">IFERROR(__xludf.DUMMYFUNCTION("""COMPUTED_VALUE"""),"J")</f>
        <v>J</v>
      </c>
      <c r="F135" s="110" t="str">
        <f ca="1">IFERROR(__xludf.DUMMYFUNCTION("""COMPUTED_VALUE"""),"I")</f>
        <v>I</v>
      </c>
      <c r="G135" s="110">
        <f ca="1">IFERROR(__xludf.DUMMYFUNCTION("""COMPUTED_VALUE"""),5)</f>
        <v>5</v>
      </c>
      <c r="H135" s="112" t="str">
        <f ca="1"/>
        <v/>
      </c>
      <c r="I135" s="112" t="str">
        <f ca="1"/>
        <v/>
      </c>
    </row>
    <row r="136" spans="1:9" ht="13.2">
      <c r="A136" s="109" t="str">
        <f ca="1">IFERROR(__xludf.DUMMYFUNCTION("""COMPUTED_VALUE"""),"CCC")</f>
        <v>CCC</v>
      </c>
      <c r="B136" s="108" t="str">
        <f ca="1">IFERROR(__xludf.DUMMYFUNCTION("""COMPUTED_VALUE"""),"Max Edgerton")</f>
        <v>Max Edgerton</v>
      </c>
      <c r="C136" s="109">
        <f ca="1">IFERROR(__xludf.DUMMYFUNCTION("""COMPUTED_VALUE"""),11)</f>
        <v>11</v>
      </c>
      <c r="D136" s="109" t="str">
        <f ca="1">IFERROR(__xludf.DUMMYFUNCTION("""COMPUTED_VALUE"""),"B")</f>
        <v>B</v>
      </c>
      <c r="E136" s="110" t="str">
        <f ca="1">IFERROR(__xludf.DUMMYFUNCTION("""COMPUTED_VALUE"""),"J")</f>
        <v>J</v>
      </c>
      <c r="F136" s="110" t="str">
        <f ca="1">IFERROR(__xludf.DUMMYFUNCTION("""COMPUTED_VALUE"""),"I")</f>
        <v>I</v>
      </c>
      <c r="G136" s="110">
        <f ca="1">IFERROR(__xludf.DUMMYFUNCTION("""COMPUTED_VALUE"""),5)</f>
        <v>5</v>
      </c>
      <c r="H136" s="112" t="str">
        <f ca="1"/>
        <v/>
      </c>
      <c r="I136" s="112" t="str">
        <f ca="1"/>
        <v/>
      </c>
    </row>
    <row r="137" spans="1:9" ht="13.2">
      <c r="A137" s="109" t="str">
        <f ca="1">IFERROR(__xludf.DUMMYFUNCTION("""COMPUTED_VALUE"""),"CCC")</f>
        <v>CCC</v>
      </c>
      <c r="B137" s="108" t="str">
        <f ca="1">IFERROR(__xludf.DUMMYFUNCTION("""COMPUTED_VALUE"""),"Nate Southworth")</f>
        <v>Nate Southworth</v>
      </c>
      <c r="C137" s="109">
        <f ca="1">IFERROR(__xludf.DUMMYFUNCTION("""COMPUTED_VALUE"""),11)</f>
        <v>11</v>
      </c>
      <c r="D137" s="109" t="str">
        <f ca="1">IFERROR(__xludf.DUMMYFUNCTION("""COMPUTED_VALUE"""),"B")</f>
        <v>B</v>
      </c>
      <c r="E137" s="110" t="str">
        <f ca="1">IFERROR(__xludf.DUMMYFUNCTION("""COMPUTED_VALUE"""),"J")</f>
        <v>J</v>
      </c>
      <c r="F137" s="110" t="str">
        <f ca="1">IFERROR(__xludf.DUMMYFUNCTION("""COMPUTED_VALUE"""),"I")</f>
        <v>I</v>
      </c>
      <c r="G137" s="110">
        <f ca="1">IFERROR(__xludf.DUMMYFUNCTION("""COMPUTED_VALUE"""),5)</f>
        <v>5</v>
      </c>
      <c r="H137" s="112" t="str">
        <f ca="1"/>
        <v/>
      </c>
      <c r="I137" s="112" t="str">
        <f ca="1"/>
        <v/>
      </c>
    </row>
    <row r="138" spans="1:9" ht="13.2">
      <c r="A138" s="109" t="str">
        <f ca="1">IFERROR(__xludf.DUMMYFUNCTION("""COMPUTED_VALUE"""),"CCC")</f>
        <v>CCC</v>
      </c>
      <c r="B138" s="108" t="str">
        <f ca="1">IFERROR(__xludf.DUMMYFUNCTION("""COMPUTED_VALUE"""),"Cecilia Wilson")</f>
        <v>Cecilia Wilson</v>
      </c>
      <c r="C138" s="109">
        <f ca="1">IFERROR(__xludf.DUMMYFUNCTION("""COMPUTED_VALUE"""),11)</f>
        <v>11</v>
      </c>
      <c r="D138" s="109" t="str">
        <f ca="1">IFERROR(__xludf.DUMMYFUNCTION("""COMPUTED_VALUE"""),"G")</f>
        <v>G</v>
      </c>
      <c r="E138" s="110" t="str">
        <f ca="1">IFERROR(__xludf.DUMMYFUNCTION("""COMPUTED_VALUE"""),"J")</f>
        <v>J</v>
      </c>
      <c r="F138" s="110" t="str">
        <f ca="1">IFERROR(__xludf.DUMMYFUNCTION("""COMPUTED_VALUE"""),"I")</f>
        <v>I</v>
      </c>
      <c r="G138" s="110">
        <f ca="1">IFERROR(__xludf.DUMMYFUNCTION("""COMPUTED_VALUE"""),5)</f>
        <v>5</v>
      </c>
      <c r="H138" s="112" t="str">
        <f ca="1"/>
        <v/>
      </c>
      <c r="I138" s="112" t="str">
        <f ca="1"/>
        <v/>
      </c>
    </row>
    <row r="139" spans="1:9" ht="13.2">
      <c r="A139" s="109" t="str">
        <f ca="1">IFERROR(__xludf.DUMMYFUNCTION("""COMPUTED_VALUE"""),"CCC")</f>
        <v>CCC</v>
      </c>
      <c r="B139" s="108" t="str">
        <f ca="1">IFERROR(__xludf.DUMMYFUNCTION("""COMPUTED_VALUE"""),"Charlotte Knighton")</f>
        <v>Charlotte Knighton</v>
      </c>
      <c r="C139" s="109">
        <f ca="1">IFERROR(__xludf.DUMMYFUNCTION("""COMPUTED_VALUE"""),11)</f>
        <v>11</v>
      </c>
      <c r="D139" s="109" t="str">
        <f ca="1">IFERROR(__xludf.DUMMYFUNCTION("""COMPUTED_VALUE"""),"G")</f>
        <v>G</v>
      </c>
      <c r="E139" s="110" t="str">
        <f ca="1">IFERROR(__xludf.DUMMYFUNCTION("""COMPUTED_VALUE"""),"J")</f>
        <v>J</v>
      </c>
      <c r="F139" s="110" t="str">
        <f ca="1">IFERROR(__xludf.DUMMYFUNCTION("""COMPUTED_VALUE"""),"I")</f>
        <v>I</v>
      </c>
      <c r="G139" s="110">
        <f ca="1">IFERROR(__xludf.DUMMYFUNCTION("""COMPUTED_VALUE"""),5)</f>
        <v>5</v>
      </c>
      <c r="H139" s="112" t="str">
        <f ca="1"/>
        <v/>
      </c>
      <c r="I139" s="112" t="str">
        <f ca="1"/>
        <v/>
      </c>
    </row>
    <row r="140" spans="1:9" ht="13.2">
      <c r="A140" s="109" t="str">
        <f ca="1">IFERROR(__xludf.DUMMYFUNCTION("""COMPUTED_VALUE"""),"CCC")</f>
        <v>CCC</v>
      </c>
      <c r="B140" s="108" t="str">
        <f ca="1">IFERROR(__xludf.DUMMYFUNCTION("""COMPUTED_VALUE"""),"Kennedy McIntosh")</f>
        <v>Kennedy McIntosh</v>
      </c>
      <c r="C140" s="109">
        <f ca="1">IFERROR(__xludf.DUMMYFUNCTION("""COMPUTED_VALUE"""),11)</f>
        <v>11</v>
      </c>
      <c r="D140" s="109" t="str">
        <f ca="1">IFERROR(__xludf.DUMMYFUNCTION("""COMPUTED_VALUE"""),"G")</f>
        <v>G</v>
      </c>
      <c r="E140" s="110" t="str">
        <f ca="1">IFERROR(__xludf.DUMMYFUNCTION("""COMPUTED_VALUE"""),"J")</f>
        <v>J</v>
      </c>
      <c r="F140" s="110" t="str">
        <f ca="1">IFERROR(__xludf.DUMMYFUNCTION("""COMPUTED_VALUE"""),"I")</f>
        <v>I</v>
      </c>
      <c r="G140" s="110">
        <f ca="1">IFERROR(__xludf.DUMMYFUNCTION("""COMPUTED_VALUE"""),5)</f>
        <v>5</v>
      </c>
      <c r="H140" s="112" t="str">
        <f ca="1"/>
        <v/>
      </c>
      <c r="I140" s="81" t="str">
        <f ca="1"/>
        <v/>
      </c>
    </row>
    <row r="141" spans="1:9" ht="13.2">
      <c r="A141" s="109" t="str">
        <f ca="1">IFERROR(__xludf.DUMMYFUNCTION("""COMPUTED_VALUE"""),"CCC")</f>
        <v>CCC</v>
      </c>
      <c r="B141" s="108" t="str">
        <f ca="1">IFERROR(__xludf.DUMMYFUNCTION("""COMPUTED_VALUE"""),"Colin Greene")</f>
        <v>Colin Greene</v>
      </c>
      <c r="C141" s="109">
        <f ca="1">IFERROR(__xludf.DUMMYFUNCTION("""COMPUTED_VALUE"""),17)</f>
        <v>17</v>
      </c>
      <c r="D141" s="109" t="str">
        <f ca="1">IFERROR(__xludf.DUMMYFUNCTION("""COMPUTED_VALUE"""),"B")</f>
        <v>B</v>
      </c>
      <c r="E141" s="110" t="str">
        <f ca="1">IFERROR(__xludf.DUMMYFUNCTION("""COMPUTED_VALUE"""),"S")</f>
        <v>S</v>
      </c>
      <c r="F141" s="110" t="str">
        <f ca="1">IFERROR(__xludf.DUMMYFUNCTION("""COMPUTED_VALUE"""),"S")</f>
        <v>S</v>
      </c>
      <c r="G141" s="110">
        <f ca="1">IFERROR(__xludf.DUMMYFUNCTION("""COMPUTED_VALUE"""),5)</f>
        <v>5</v>
      </c>
      <c r="H141" s="112" t="str">
        <f ca="1"/>
        <v/>
      </c>
      <c r="I141" s="81" t="str">
        <f ca="1"/>
        <v/>
      </c>
    </row>
    <row r="142" spans="1:9" ht="13.2">
      <c r="A142" s="109" t="str">
        <f ca="1">IFERROR(__xludf.DUMMYFUNCTION("""COMPUTED_VALUE"""),"CCC")</f>
        <v>CCC</v>
      </c>
      <c r="B142" s="108" t="str">
        <f ca="1">IFERROR(__xludf.DUMMYFUNCTION("""COMPUTED_VALUE"""),"Claire Conley")</f>
        <v>Claire Conley</v>
      </c>
      <c r="C142" s="109">
        <f ca="1">IFERROR(__xludf.DUMMYFUNCTION("""COMPUTED_VALUE"""),17)</f>
        <v>17</v>
      </c>
      <c r="D142" s="109" t="str">
        <f ca="1">IFERROR(__xludf.DUMMYFUNCTION("""COMPUTED_VALUE"""),"G")</f>
        <v>G</v>
      </c>
      <c r="E142" s="110" t="str">
        <f ca="1">IFERROR(__xludf.DUMMYFUNCTION("""COMPUTED_VALUE"""),"S")</f>
        <v>S</v>
      </c>
      <c r="F142" s="110" t="str">
        <f ca="1">IFERROR(__xludf.DUMMYFUNCTION("""COMPUTED_VALUE"""),"S")</f>
        <v>S</v>
      </c>
      <c r="G142" s="110">
        <f ca="1">IFERROR(__xludf.DUMMYFUNCTION("""COMPUTED_VALUE"""),5)</f>
        <v>5</v>
      </c>
      <c r="H142" s="112" t="str">
        <f ca="1"/>
        <v/>
      </c>
      <c r="I142" s="112" t="str">
        <f ca="1"/>
        <v/>
      </c>
    </row>
    <row r="143" spans="1:9" ht="13.2">
      <c r="A143" s="109" t="str">
        <f ca="1">IFERROR(__xludf.DUMMYFUNCTION("""COMPUTED_VALUE"""),"CCC")</f>
        <v>CCC</v>
      </c>
      <c r="B143" s="108" t="str">
        <f ca="1">IFERROR(__xludf.DUMMYFUNCTION("""COMPUTED_VALUE"""),"Clara McAllister")</f>
        <v>Clara McAllister</v>
      </c>
      <c r="C143" s="109">
        <f ca="1">IFERROR(__xludf.DUMMYFUNCTION("""COMPUTED_VALUE"""),16)</f>
        <v>16</v>
      </c>
      <c r="D143" s="109" t="str">
        <f ca="1">IFERROR(__xludf.DUMMYFUNCTION("""COMPUTED_VALUE"""),"G")</f>
        <v>G</v>
      </c>
      <c r="E143" s="110" t="str">
        <f ca="1">IFERROR(__xludf.DUMMYFUNCTION("""COMPUTED_VALUE"""),"S")</f>
        <v>S</v>
      </c>
      <c r="F143" s="110" t="str">
        <f ca="1">IFERROR(__xludf.DUMMYFUNCTION("""COMPUTED_VALUE"""),"S")</f>
        <v>S</v>
      </c>
      <c r="G143" s="110">
        <f ca="1">IFERROR(__xludf.DUMMYFUNCTION("""COMPUTED_VALUE"""),5)</f>
        <v>5</v>
      </c>
      <c r="H143" s="112" t="str">
        <f ca="1"/>
        <v/>
      </c>
      <c r="I143" s="81" t="str">
        <f ca="1"/>
        <v/>
      </c>
    </row>
    <row r="144" spans="1:9" ht="13.2">
      <c r="A144" s="109" t="str">
        <f ca="1">IFERROR(__xludf.DUMMYFUNCTION("""COMPUTED_VALUE"""),"CCC")</f>
        <v>CCC</v>
      </c>
      <c r="B144" s="108" t="str">
        <f ca="1">IFERROR(__xludf.DUMMYFUNCTION("""COMPUTED_VALUE"""),"Lauren Gagermeier")</f>
        <v>Lauren Gagermeier</v>
      </c>
      <c r="C144" s="109">
        <f ca="1">IFERROR(__xludf.DUMMYFUNCTION("""COMPUTED_VALUE"""),17)</f>
        <v>17</v>
      </c>
      <c r="D144" s="109" t="str">
        <f ca="1">IFERROR(__xludf.DUMMYFUNCTION("""COMPUTED_VALUE"""),"G")</f>
        <v>G</v>
      </c>
      <c r="E144" s="110" t="str">
        <f ca="1">IFERROR(__xludf.DUMMYFUNCTION("""COMPUTED_VALUE"""),"S")</f>
        <v>S</v>
      </c>
      <c r="F144" s="110" t="str">
        <f ca="1">IFERROR(__xludf.DUMMYFUNCTION("""COMPUTED_VALUE"""),"S")</f>
        <v>S</v>
      </c>
      <c r="G144" s="110">
        <f ca="1">IFERROR(__xludf.DUMMYFUNCTION("""COMPUTED_VALUE"""),5)</f>
        <v>5</v>
      </c>
      <c r="H144" s="112" t="str">
        <f ca="1"/>
        <v/>
      </c>
      <c r="I144" s="81" t="str">
        <f ca="1"/>
        <v/>
      </c>
    </row>
    <row r="145" spans="1:9" ht="13.2">
      <c r="A145" s="109" t="str">
        <f ca="1">IFERROR(__xludf.DUMMYFUNCTION("""COMPUTED_VALUE"""),"CCC")</f>
        <v>CCC</v>
      </c>
      <c r="B145" s="108" t="str">
        <f ca="1">IFERROR(__xludf.DUMMYFUNCTION("""COMPUTED_VALUE"""),"Micaela Wells")</f>
        <v>Micaela Wells</v>
      </c>
      <c r="C145" s="109">
        <f ca="1">IFERROR(__xludf.DUMMYFUNCTION("""COMPUTED_VALUE"""),16)</f>
        <v>16</v>
      </c>
      <c r="D145" s="109" t="str">
        <f ca="1">IFERROR(__xludf.DUMMYFUNCTION("""COMPUTED_VALUE"""),"G")</f>
        <v>G</v>
      </c>
      <c r="E145" s="110" t="str">
        <f ca="1">IFERROR(__xludf.DUMMYFUNCTION("""COMPUTED_VALUE"""),"S")</f>
        <v>S</v>
      </c>
      <c r="F145" s="110" t="str">
        <f ca="1">IFERROR(__xludf.DUMMYFUNCTION("""COMPUTED_VALUE"""),"S")</f>
        <v>S</v>
      </c>
      <c r="G145" s="110">
        <f ca="1">IFERROR(__xludf.DUMMYFUNCTION("""COMPUTED_VALUE"""),5)</f>
        <v>5</v>
      </c>
      <c r="H145" s="112" t="str">
        <f ca="1"/>
        <v/>
      </c>
      <c r="I145" s="112" t="str">
        <f ca="1"/>
        <v/>
      </c>
    </row>
    <row r="146" spans="1:9" ht="13.2">
      <c r="A146" s="109" t="str">
        <f ca="1">IFERROR(__xludf.DUMMYFUNCTION("""COMPUTED_VALUE"""),"CH")</f>
        <v>CH</v>
      </c>
      <c r="B146" s="108" t="str">
        <f ca="1">IFERROR(__xludf.DUMMYFUNCTION("""COMPUTED_VALUE"""),"Aiden Cox")</f>
        <v>Aiden Cox</v>
      </c>
      <c r="C146" s="109">
        <f ca="1">IFERROR(__xludf.DUMMYFUNCTION("""COMPUTED_VALUE"""),7)</f>
        <v>7</v>
      </c>
      <c r="D146" s="109" t="str">
        <f ca="1">IFERROR(__xludf.DUMMYFUNCTION("""COMPUTED_VALUE"""),"B")</f>
        <v>B</v>
      </c>
      <c r="E146" s="110" t="str">
        <f ca="1">IFERROR(__xludf.DUMMYFUNCTION("""COMPUTED_VALUE"""),"F")</f>
        <v>F</v>
      </c>
      <c r="F146" s="110" t="str">
        <f ca="1">IFERROR(__xludf.DUMMYFUNCTION("""COMPUTED_VALUE"""),"J")</f>
        <v>J</v>
      </c>
      <c r="G146" s="110">
        <f ca="1">IFERROR(__xludf.DUMMYFUNCTION("""COMPUTED_VALUE"""),6)</f>
        <v>6</v>
      </c>
      <c r="H146" s="112" t="str">
        <f ca="1"/>
        <v/>
      </c>
      <c r="I146" s="112" t="str">
        <f ca="1"/>
        <v/>
      </c>
    </row>
    <row r="147" spans="1:9" ht="13.2">
      <c r="A147" s="109" t="str">
        <f ca="1">IFERROR(__xludf.DUMMYFUNCTION("""COMPUTED_VALUE"""),"CH")</f>
        <v>CH</v>
      </c>
      <c r="B147" s="108" t="str">
        <f ca="1">IFERROR(__xludf.DUMMYFUNCTION("""COMPUTED_VALUE"""),"Andrew Beck")</f>
        <v>Andrew Beck</v>
      </c>
      <c r="C147" s="109">
        <f ca="1">IFERROR(__xludf.DUMMYFUNCTION("""COMPUTED_VALUE"""),5)</f>
        <v>5</v>
      </c>
      <c r="D147" s="109" t="str">
        <f ca="1">IFERROR(__xludf.DUMMYFUNCTION("""COMPUTED_VALUE"""),"B")</f>
        <v>B</v>
      </c>
      <c r="E147" s="110" t="str">
        <f ca="1">IFERROR(__xludf.DUMMYFUNCTION("""COMPUTED_VALUE"""),"F")</f>
        <v>F</v>
      </c>
      <c r="F147" s="110" t="str">
        <f ca="1">IFERROR(__xludf.DUMMYFUNCTION("""COMPUTED_VALUE"""),"J")</f>
        <v>J</v>
      </c>
      <c r="G147" s="110">
        <f ca="1">IFERROR(__xludf.DUMMYFUNCTION("""COMPUTED_VALUE"""),6)</f>
        <v>6</v>
      </c>
      <c r="H147" s="112" t="str">
        <f ca="1"/>
        <v>32.85</v>
      </c>
      <c r="I147" s="81">
        <f ca="1"/>
        <v>32.85</v>
      </c>
    </row>
    <row r="148" spans="1:9" ht="13.2">
      <c r="A148" s="109" t="str">
        <f ca="1">IFERROR(__xludf.DUMMYFUNCTION("""COMPUTED_VALUE"""),"CH")</f>
        <v>CH</v>
      </c>
      <c r="B148" s="108" t="str">
        <f ca="1">IFERROR(__xludf.DUMMYFUNCTION("""COMPUTED_VALUE"""),"Bode Pierce")</f>
        <v>Bode Pierce</v>
      </c>
      <c r="C148" s="109">
        <f ca="1">IFERROR(__xludf.DUMMYFUNCTION("""COMPUTED_VALUE"""),9)</f>
        <v>9</v>
      </c>
      <c r="D148" s="109" t="str">
        <f ca="1">IFERROR(__xludf.DUMMYFUNCTION("""COMPUTED_VALUE"""),"B")</f>
        <v>B</v>
      </c>
      <c r="E148" s="110" t="str">
        <f ca="1">IFERROR(__xludf.DUMMYFUNCTION("""COMPUTED_VALUE"""),"F")</f>
        <v>F</v>
      </c>
      <c r="F148" s="110" t="str">
        <f ca="1">IFERROR(__xludf.DUMMYFUNCTION("""COMPUTED_VALUE"""),"J")</f>
        <v>J</v>
      </c>
      <c r="G148" s="110">
        <f ca="1">IFERROR(__xludf.DUMMYFUNCTION("""COMPUTED_VALUE"""),6)</f>
        <v>6</v>
      </c>
      <c r="H148" s="112" t="str">
        <f ca="1"/>
        <v/>
      </c>
      <c r="I148" s="112" t="str">
        <f ca="1"/>
        <v/>
      </c>
    </row>
    <row r="149" spans="1:9" ht="13.2">
      <c r="A149" s="109" t="str">
        <f ca="1">IFERROR(__xludf.DUMMYFUNCTION("""COMPUTED_VALUE"""),"CH")</f>
        <v>CH</v>
      </c>
      <c r="B149" s="108" t="str">
        <f ca="1">IFERROR(__xludf.DUMMYFUNCTION("""COMPUTED_VALUE"""),"Calvin Butler")</f>
        <v>Calvin Butler</v>
      </c>
      <c r="C149" s="109">
        <f ca="1">IFERROR(__xludf.DUMMYFUNCTION("""COMPUTED_VALUE"""),8)</f>
        <v>8</v>
      </c>
      <c r="D149" s="109" t="str">
        <f ca="1">IFERROR(__xludf.DUMMYFUNCTION("""COMPUTED_VALUE"""),"B")</f>
        <v>B</v>
      </c>
      <c r="E149" s="110" t="str">
        <f ca="1">IFERROR(__xludf.DUMMYFUNCTION("""COMPUTED_VALUE"""),"F")</f>
        <v>F</v>
      </c>
      <c r="F149" s="110" t="str">
        <f ca="1">IFERROR(__xludf.DUMMYFUNCTION("""COMPUTED_VALUE"""),"J")</f>
        <v>J</v>
      </c>
      <c r="G149" s="110">
        <f ca="1">IFERROR(__xludf.DUMMYFUNCTION("""COMPUTED_VALUE"""),6)</f>
        <v>6</v>
      </c>
      <c r="H149" s="112" t="str">
        <f ca="1"/>
        <v/>
      </c>
      <c r="I149" s="112" t="str">
        <f ca="1"/>
        <v/>
      </c>
    </row>
    <row r="150" spans="1:9" ht="13.2">
      <c r="A150" s="109" t="str">
        <f ca="1">IFERROR(__xludf.DUMMYFUNCTION("""COMPUTED_VALUE"""),"CH")</f>
        <v>CH</v>
      </c>
      <c r="B150" s="108" t="str">
        <f ca="1">IFERROR(__xludf.DUMMYFUNCTION("""COMPUTED_VALUE"""),"Camden Dean")</f>
        <v>Camden Dean</v>
      </c>
      <c r="C150" s="109">
        <f ca="1">IFERROR(__xludf.DUMMYFUNCTION("""COMPUTED_VALUE"""),8)</f>
        <v>8</v>
      </c>
      <c r="D150" s="109" t="str">
        <f ca="1">IFERROR(__xludf.DUMMYFUNCTION("""COMPUTED_VALUE"""),"B")</f>
        <v>B</v>
      </c>
      <c r="E150" s="110" t="str">
        <f ca="1">IFERROR(__xludf.DUMMYFUNCTION("""COMPUTED_VALUE"""),"F")</f>
        <v>F</v>
      </c>
      <c r="F150" s="110" t="str">
        <f ca="1">IFERROR(__xludf.DUMMYFUNCTION("""COMPUTED_VALUE"""),"J")</f>
        <v>J</v>
      </c>
      <c r="G150" s="110">
        <f ca="1">IFERROR(__xludf.DUMMYFUNCTION("""COMPUTED_VALUE"""),6)</f>
        <v>6</v>
      </c>
      <c r="H150" s="112" t="str">
        <f ca="1"/>
        <v/>
      </c>
      <c r="I150" s="81" t="str">
        <f ca="1"/>
        <v/>
      </c>
    </row>
    <row r="151" spans="1:9" ht="13.2">
      <c r="A151" s="109" t="str">
        <f ca="1">IFERROR(__xludf.DUMMYFUNCTION("""COMPUTED_VALUE"""),"CH")</f>
        <v>CH</v>
      </c>
      <c r="B151" s="108" t="str">
        <f ca="1">IFERROR(__xludf.DUMMYFUNCTION("""COMPUTED_VALUE"""),"Cole Pointkowski")</f>
        <v>Cole Pointkowski</v>
      </c>
      <c r="C151" s="109">
        <f ca="1">IFERROR(__xludf.DUMMYFUNCTION("""COMPUTED_VALUE"""),10)</f>
        <v>10</v>
      </c>
      <c r="D151" s="109" t="str">
        <f ca="1">IFERROR(__xludf.DUMMYFUNCTION("""COMPUTED_VALUE"""),"B")</f>
        <v>B</v>
      </c>
      <c r="E151" s="110" t="str">
        <f ca="1">IFERROR(__xludf.DUMMYFUNCTION("""COMPUTED_VALUE"""),"F")</f>
        <v>F</v>
      </c>
      <c r="F151" s="110" t="str">
        <f ca="1">IFERROR(__xludf.DUMMYFUNCTION("""COMPUTED_VALUE"""),"J")</f>
        <v>J</v>
      </c>
      <c r="G151" s="110">
        <f ca="1">IFERROR(__xludf.DUMMYFUNCTION("""COMPUTED_VALUE"""),6)</f>
        <v>6</v>
      </c>
      <c r="H151" s="112" t="str">
        <f ca="1"/>
        <v/>
      </c>
      <c r="I151" s="112" t="str">
        <f ca="1"/>
        <v/>
      </c>
    </row>
    <row r="152" spans="1:9" ht="13.2">
      <c r="A152" s="109" t="str">
        <f ca="1">IFERROR(__xludf.DUMMYFUNCTION("""COMPUTED_VALUE"""),"CH")</f>
        <v>CH</v>
      </c>
      <c r="B152" s="108" t="str">
        <f ca="1">IFERROR(__xludf.DUMMYFUNCTION("""COMPUTED_VALUE"""),"Connell O'Rourke")</f>
        <v>Connell O'Rourke</v>
      </c>
      <c r="C152" s="109">
        <f ca="1">IFERROR(__xludf.DUMMYFUNCTION("""COMPUTED_VALUE"""),9)</f>
        <v>9</v>
      </c>
      <c r="D152" s="109" t="str">
        <f ca="1">IFERROR(__xludf.DUMMYFUNCTION("""COMPUTED_VALUE"""),"B")</f>
        <v>B</v>
      </c>
      <c r="E152" s="110" t="str">
        <f ca="1">IFERROR(__xludf.DUMMYFUNCTION("""COMPUTED_VALUE"""),"F")</f>
        <v>F</v>
      </c>
      <c r="F152" s="110" t="str">
        <f ca="1">IFERROR(__xludf.DUMMYFUNCTION("""COMPUTED_VALUE"""),"J")</f>
        <v>J</v>
      </c>
      <c r="G152" s="110">
        <f ca="1">IFERROR(__xludf.DUMMYFUNCTION("""COMPUTED_VALUE"""),6)</f>
        <v>6</v>
      </c>
      <c r="H152" s="112" t="str">
        <f ca="1"/>
        <v/>
      </c>
      <c r="I152" s="112" t="str">
        <f ca="1"/>
        <v/>
      </c>
    </row>
    <row r="153" spans="1:9" ht="13.2">
      <c r="A153" s="109" t="str">
        <f ca="1">IFERROR(__xludf.DUMMYFUNCTION("""COMPUTED_VALUE"""),"CH")</f>
        <v>CH</v>
      </c>
      <c r="B153" s="108" t="str">
        <f ca="1">IFERROR(__xludf.DUMMYFUNCTION("""COMPUTED_VALUE"""),"Dylan Ulmer")</f>
        <v>Dylan Ulmer</v>
      </c>
      <c r="C153" s="109">
        <f ca="1">IFERROR(__xludf.DUMMYFUNCTION("""COMPUTED_VALUE"""),10)</f>
        <v>10</v>
      </c>
      <c r="D153" s="109" t="str">
        <f ca="1">IFERROR(__xludf.DUMMYFUNCTION("""COMPUTED_VALUE"""),"B")</f>
        <v>B</v>
      </c>
      <c r="E153" s="110" t="str">
        <f ca="1">IFERROR(__xludf.DUMMYFUNCTION("""COMPUTED_VALUE"""),"F")</f>
        <v>F</v>
      </c>
      <c r="F153" s="110" t="str">
        <f ca="1">IFERROR(__xludf.DUMMYFUNCTION("""COMPUTED_VALUE"""),"J")</f>
        <v>J</v>
      </c>
      <c r="G153" s="110">
        <f ca="1">IFERROR(__xludf.DUMMYFUNCTION("""COMPUTED_VALUE"""),6)</f>
        <v>6</v>
      </c>
      <c r="H153" s="112" t="str">
        <f ca="1"/>
        <v>40.2</v>
      </c>
      <c r="I153" s="81">
        <f ca="1"/>
        <v>40.200000000000003</v>
      </c>
    </row>
    <row r="154" spans="1:9" ht="13.2">
      <c r="A154" s="109" t="str">
        <f ca="1">IFERROR(__xludf.DUMMYFUNCTION("""COMPUTED_VALUE"""),"CH")</f>
        <v>CH</v>
      </c>
      <c r="B154" s="108" t="str">
        <f ca="1">IFERROR(__xludf.DUMMYFUNCTION("""COMPUTED_VALUE"""),"Grant Kesler")</f>
        <v>Grant Kesler</v>
      </c>
      <c r="C154" s="109">
        <f ca="1">IFERROR(__xludf.DUMMYFUNCTION("""COMPUTED_VALUE"""),8)</f>
        <v>8</v>
      </c>
      <c r="D154" s="109" t="str">
        <f ca="1">IFERROR(__xludf.DUMMYFUNCTION("""COMPUTED_VALUE"""),"B")</f>
        <v>B</v>
      </c>
      <c r="E154" s="110" t="str">
        <f ca="1">IFERROR(__xludf.DUMMYFUNCTION("""COMPUTED_VALUE"""),"F")</f>
        <v>F</v>
      </c>
      <c r="F154" s="110" t="str">
        <f ca="1">IFERROR(__xludf.DUMMYFUNCTION("""COMPUTED_VALUE"""),"J")</f>
        <v>J</v>
      </c>
      <c r="G154" s="110">
        <f ca="1">IFERROR(__xludf.DUMMYFUNCTION("""COMPUTED_VALUE"""),6)</f>
        <v>6</v>
      </c>
      <c r="H154" s="112" t="str">
        <f ca="1"/>
        <v/>
      </c>
      <c r="I154" s="112" t="str">
        <f ca="1"/>
        <v/>
      </c>
    </row>
    <row r="155" spans="1:9" ht="13.2">
      <c r="A155" s="109" t="str">
        <f ca="1">IFERROR(__xludf.DUMMYFUNCTION("""COMPUTED_VALUE"""),"CH")</f>
        <v>CH</v>
      </c>
      <c r="B155" s="108" t="str">
        <f ca="1">IFERROR(__xludf.DUMMYFUNCTION("""COMPUTED_VALUE"""),"Holden Losick")</f>
        <v>Holden Losick</v>
      </c>
      <c r="C155" s="109">
        <f ca="1">IFERROR(__xludf.DUMMYFUNCTION("""COMPUTED_VALUE"""),8)</f>
        <v>8</v>
      </c>
      <c r="D155" s="109" t="str">
        <f ca="1">IFERROR(__xludf.DUMMYFUNCTION("""COMPUTED_VALUE"""),"B")</f>
        <v>B</v>
      </c>
      <c r="E155" s="110" t="str">
        <f ca="1">IFERROR(__xludf.DUMMYFUNCTION("""COMPUTED_VALUE"""),"F")</f>
        <v>F</v>
      </c>
      <c r="F155" s="110" t="str">
        <f ca="1">IFERROR(__xludf.DUMMYFUNCTION("""COMPUTED_VALUE"""),"J")</f>
        <v>J</v>
      </c>
      <c r="G155" s="110">
        <f ca="1">IFERROR(__xludf.DUMMYFUNCTION("""COMPUTED_VALUE"""),6)</f>
        <v>6</v>
      </c>
      <c r="H155" s="112" t="str">
        <f ca="1"/>
        <v/>
      </c>
      <c r="I155" s="112" t="str">
        <f ca="1"/>
        <v/>
      </c>
    </row>
    <row r="156" spans="1:9" ht="13.2">
      <c r="A156" s="109" t="str">
        <f ca="1">IFERROR(__xludf.DUMMYFUNCTION("""COMPUTED_VALUE"""),"CH")</f>
        <v>CH</v>
      </c>
      <c r="B156" s="108" t="str">
        <f ca="1">IFERROR(__xludf.DUMMYFUNCTION("""COMPUTED_VALUE"""),"Jack Sumner")</f>
        <v>Jack Sumner</v>
      </c>
      <c r="C156" s="109">
        <f ca="1">IFERROR(__xludf.DUMMYFUNCTION("""COMPUTED_VALUE"""),9)</f>
        <v>9</v>
      </c>
      <c r="D156" s="109" t="str">
        <f ca="1">IFERROR(__xludf.DUMMYFUNCTION("""COMPUTED_VALUE"""),"B")</f>
        <v>B</v>
      </c>
      <c r="E156" s="110" t="str">
        <f ca="1">IFERROR(__xludf.DUMMYFUNCTION("""COMPUTED_VALUE"""),"F")</f>
        <v>F</v>
      </c>
      <c r="F156" s="110" t="str">
        <f ca="1">IFERROR(__xludf.DUMMYFUNCTION("""COMPUTED_VALUE"""),"J")</f>
        <v>J</v>
      </c>
      <c r="G156" s="110">
        <f ca="1">IFERROR(__xludf.DUMMYFUNCTION("""COMPUTED_VALUE"""),6)</f>
        <v>6</v>
      </c>
      <c r="H156" s="112" t="str">
        <f ca="1"/>
        <v/>
      </c>
      <c r="I156" s="112" t="str">
        <f ca="1"/>
        <v/>
      </c>
    </row>
    <row r="157" spans="1:9" ht="13.2">
      <c r="A157" s="109" t="str">
        <f ca="1">IFERROR(__xludf.DUMMYFUNCTION("""COMPUTED_VALUE"""),"CH")</f>
        <v>CH</v>
      </c>
      <c r="B157" s="108" t="str">
        <f ca="1">IFERROR(__xludf.DUMMYFUNCTION("""COMPUTED_VALUE"""),"Kian Kazemi")</f>
        <v>Kian Kazemi</v>
      </c>
      <c r="C157" s="109">
        <f ca="1">IFERROR(__xludf.DUMMYFUNCTION("""COMPUTED_VALUE"""),7)</f>
        <v>7</v>
      </c>
      <c r="D157" s="109" t="str">
        <f ca="1">IFERROR(__xludf.DUMMYFUNCTION("""COMPUTED_VALUE"""),"B")</f>
        <v>B</v>
      </c>
      <c r="E157" s="110" t="str">
        <f ca="1">IFERROR(__xludf.DUMMYFUNCTION("""COMPUTED_VALUE"""),"F")</f>
        <v>F</v>
      </c>
      <c r="F157" s="110" t="str">
        <f ca="1">IFERROR(__xludf.DUMMYFUNCTION("""COMPUTED_VALUE"""),"J")</f>
        <v>J</v>
      </c>
      <c r="G157" s="110">
        <f ca="1">IFERROR(__xludf.DUMMYFUNCTION("""COMPUTED_VALUE"""),6)</f>
        <v>6</v>
      </c>
      <c r="H157" s="112" t="str">
        <f ca="1"/>
        <v/>
      </c>
      <c r="I157" s="81" t="str">
        <f ca="1"/>
        <v/>
      </c>
    </row>
    <row r="158" spans="1:9" ht="13.2">
      <c r="A158" s="109" t="str">
        <f ca="1">IFERROR(__xludf.DUMMYFUNCTION("""COMPUTED_VALUE"""),"CH")</f>
        <v>CH</v>
      </c>
      <c r="B158" s="108" t="str">
        <f ca="1">IFERROR(__xludf.DUMMYFUNCTION("""COMPUTED_VALUE"""),"Kiki O'Rourke")</f>
        <v>Kiki O'Rourke</v>
      </c>
      <c r="C158" s="109">
        <f ca="1">IFERROR(__xludf.DUMMYFUNCTION("""COMPUTED_VALUE"""),7)</f>
        <v>7</v>
      </c>
      <c r="D158" s="109" t="str">
        <f ca="1">IFERROR(__xludf.DUMMYFUNCTION("""COMPUTED_VALUE"""),"B")</f>
        <v>B</v>
      </c>
      <c r="E158" s="110" t="str">
        <f ca="1">IFERROR(__xludf.DUMMYFUNCTION("""COMPUTED_VALUE"""),"F")</f>
        <v>F</v>
      </c>
      <c r="F158" s="110" t="str">
        <f ca="1">IFERROR(__xludf.DUMMYFUNCTION("""COMPUTED_VALUE"""),"J")</f>
        <v>J</v>
      </c>
      <c r="G158" s="110">
        <f ca="1">IFERROR(__xludf.DUMMYFUNCTION("""COMPUTED_VALUE"""),6)</f>
        <v>6</v>
      </c>
      <c r="H158" s="112" t="str">
        <f ca="1"/>
        <v/>
      </c>
      <c r="I158" s="81" t="str">
        <f ca="1"/>
        <v/>
      </c>
    </row>
    <row r="159" spans="1:9" ht="13.2">
      <c r="A159" s="109" t="str">
        <f ca="1">IFERROR(__xludf.DUMMYFUNCTION("""COMPUTED_VALUE"""),"CH")</f>
        <v>CH</v>
      </c>
      <c r="B159" s="108" t="str">
        <f ca="1">IFERROR(__xludf.DUMMYFUNCTION("""COMPUTED_VALUE"""),"Luca Helou")</f>
        <v>Luca Helou</v>
      </c>
      <c r="C159" s="109">
        <f ca="1">IFERROR(__xludf.DUMMYFUNCTION("""COMPUTED_VALUE"""),10)</f>
        <v>10</v>
      </c>
      <c r="D159" s="109" t="str">
        <f ca="1">IFERROR(__xludf.DUMMYFUNCTION("""COMPUTED_VALUE"""),"B")</f>
        <v>B</v>
      </c>
      <c r="E159" s="110" t="str">
        <f ca="1">IFERROR(__xludf.DUMMYFUNCTION("""COMPUTED_VALUE"""),"F")</f>
        <v>F</v>
      </c>
      <c r="F159" s="110" t="str">
        <f ca="1">IFERROR(__xludf.DUMMYFUNCTION("""COMPUTED_VALUE"""),"J")</f>
        <v>J</v>
      </c>
      <c r="G159" s="110">
        <f ca="1">IFERROR(__xludf.DUMMYFUNCTION("""COMPUTED_VALUE"""),6)</f>
        <v>6</v>
      </c>
      <c r="H159" s="112" t="str">
        <f ca="1"/>
        <v/>
      </c>
      <c r="I159" s="81" t="str">
        <f ca="1"/>
        <v/>
      </c>
    </row>
    <row r="160" spans="1:9" ht="13.2">
      <c r="A160" s="109" t="str">
        <f ca="1">IFERROR(__xludf.DUMMYFUNCTION("""COMPUTED_VALUE"""),"CH")</f>
        <v>CH</v>
      </c>
      <c r="B160" s="108" t="str">
        <f ca="1">IFERROR(__xludf.DUMMYFUNCTION("""COMPUTED_VALUE"""),"Michael Verderese")</f>
        <v>Michael Verderese</v>
      </c>
      <c r="C160" s="109">
        <f ca="1">IFERROR(__xludf.DUMMYFUNCTION("""COMPUTED_VALUE"""),7)</f>
        <v>7</v>
      </c>
      <c r="D160" s="109" t="str">
        <f ca="1">IFERROR(__xludf.DUMMYFUNCTION("""COMPUTED_VALUE"""),"B")</f>
        <v>B</v>
      </c>
      <c r="E160" s="110" t="str">
        <f ca="1">IFERROR(__xludf.DUMMYFUNCTION("""COMPUTED_VALUE"""),"F")</f>
        <v>F</v>
      </c>
      <c r="F160" s="110" t="str">
        <f ca="1">IFERROR(__xludf.DUMMYFUNCTION("""COMPUTED_VALUE"""),"J")</f>
        <v>J</v>
      </c>
      <c r="G160" s="110">
        <f ca="1">IFERROR(__xludf.DUMMYFUNCTION("""COMPUTED_VALUE"""),6)</f>
        <v>6</v>
      </c>
      <c r="H160" s="112" t="str">
        <f ca="1"/>
        <v>18.95</v>
      </c>
      <c r="I160" s="112">
        <f ca="1"/>
        <v>18.95</v>
      </c>
    </row>
    <row r="161" spans="1:9" ht="13.2">
      <c r="A161" s="109" t="str">
        <f ca="1">IFERROR(__xludf.DUMMYFUNCTION("""COMPUTED_VALUE"""),"CH")</f>
        <v>CH</v>
      </c>
      <c r="B161" s="108" t="str">
        <f ca="1">IFERROR(__xludf.DUMMYFUNCTION("""COMPUTED_VALUE"""),"Ryan Helou")</f>
        <v>Ryan Helou</v>
      </c>
      <c r="C161" s="109">
        <f ca="1">IFERROR(__xludf.DUMMYFUNCTION("""COMPUTED_VALUE"""),8)</f>
        <v>8</v>
      </c>
      <c r="D161" s="109" t="str">
        <f ca="1">IFERROR(__xludf.DUMMYFUNCTION("""COMPUTED_VALUE"""),"B")</f>
        <v>B</v>
      </c>
      <c r="E161" s="110" t="str">
        <f ca="1">IFERROR(__xludf.DUMMYFUNCTION("""COMPUTED_VALUE"""),"F")</f>
        <v>F</v>
      </c>
      <c r="F161" s="110" t="str">
        <f ca="1">IFERROR(__xludf.DUMMYFUNCTION("""COMPUTED_VALUE"""),"J")</f>
        <v>J</v>
      </c>
      <c r="G161" s="110">
        <f ca="1">IFERROR(__xludf.DUMMYFUNCTION("""COMPUTED_VALUE"""),6)</f>
        <v>6</v>
      </c>
      <c r="H161" s="112" t="str">
        <f ca="1"/>
        <v/>
      </c>
      <c r="I161" s="112" t="str">
        <f ca="1"/>
        <v/>
      </c>
    </row>
    <row r="162" spans="1:9" ht="13.2">
      <c r="A162" s="109" t="str">
        <f ca="1">IFERROR(__xludf.DUMMYFUNCTION("""COMPUTED_VALUE"""),"CH")</f>
        <v>CH</v>
      </c>
      <c r="B162" s="108" t="str">
        <f ca="1">IFERROR(__xludf.DUMMYFUNCTION("""COMPUTED_VALUE"""),"Will Daman")</f>
        <v>Will Daman</v>
      </c>
      <c r="C162" s="109">
        <f ca="1">IFERROR(__xludf.DUMMYFUNCTION("""COMPUTED_VALUE"""),9)</f>
        <v>9</v>
      </c>
      <c r="D162" s="109" t="str">
        <f ca="1">IFERROR(__xludf.DUMMYFUNCTION("""COMPUTED_VALUE"""),"B")</f>
        <v>B</v>
      </c>
      <c r="E162" s="110" t="str">
        <f ca="1">IFERROR(__xludf.DUMMYFUNCTION("""COMPUTED_VALUE"""),"F")</f>
        <v>F</v>
      </c>
      <c r="F162" s="110" t="str">
        <f ca="1">IFERROR(__xludf.DUMMYFUNCTION("""COMPUTED_VALUE"""),"J")</f>
        <v>J</v>
      </c>
      <c r="G162" s="110">
        <f ca="1">IFERROR(__xludf.DUMMYFUNCTION("""COMPUTED_VALUE"""),6)</f>
        <v>6</v>
      </c>
      <c r="H162" s="112" t="str">
        <f ca="1"/>
        <v/>
      </c>
      <c r="I162" s="81" t="str">
        <f ca="1"/>
        <v/>
      </c>
    </row>
    <row r="163" spans="1:9" ht="13.2">
      <c r="A163" s="109" t="str">
        <f ca="1">IFERROR(__xludf.DUMMYFUNCTION("""COMPUTED_VALUE"""),"CH")</f>
        <v>CH</v>
      </c>
      <c r="B163" s="108" t="str">
        <f ca="1">IFERROR(__xludf.DUMMYFUNCTION("""COMPUTED_VALUE"""),"William Beck")</f>
        <v>William Beck</v>
      </c>
      <c r="C163" s="109">
        <f ca="1">IFERROR(__xludf.DUMMYFUNCTION("""COMPUTED_VALUE"""),9)</f>
        <v>9</v>
      </c>
      <c r="D163" s="109" t="str">
        <f ca="1">IFERROR(__xludf.DUMMYFUNCTION("""COMPUTED_VALUE"""),"B")</f>
        <v>B</v>
      </c>
      <c r="E163" s="110" t="str">
        <f ca="1">IFERROR(__xludf.DUMMYFUNCTION("""COMPUTED_VALUE"""),"F")</f>
        <v>F</v>
      </c>
      <c r="F163" s="110" t="str">
        <f ca="1">IFERROR(__xludf.DUMMYFUNCTION("""COMPUTED_VALUE"""),"J")</f>
        <v>J</v>
      </c>
      <c r="G163" s="110">
        <f ca="1">IFERROR(__xludf.DUMMYFUNCTION("""COMPUTED_VALUE"""),6)</f>
        <v>6</v>
      </c>
      <c r="H163" s="112" t="str">
        <f ca="1"/>
        <v>26.4</v>
      </c>
      <c r="I163" s="81">
        <f ca="1"/>
        <v>26.4</v>
      </c>
    </row>
    <row r="164" spans="1:9" ht="13.2">
      <c r="A164" s="109" t="str">
        <f ca="1">IFERROR(__xludf.DUMMYFUNCTION("""COMPUTED_VALUE"""),"CH")</f>
        <v>CH</v>
      </c>
      <c r="B164" s="108" t="str">
        <f ca="1">IFERROR(__xludf.DUMMYFUNCTION("""COMPUTED_VALUE"""),"Abigail Cassell")</f>
        <v>Abigail Cassell</v>
      </c>
      <c r="C164" s="109">
        <f ca="1">IFERROR(__xludf.DUMMYFUNCTION("""COMPUTED_VALUE"""),8)</f>
        <v>8</v>
      </c>
      <c r="D164" s="109" t="str">
        <f ca="1">IFERROR(__xludf.DUMMYFUNCTION("""COMPUTED_VALUE"""),"G")</f>
        <v>G</v>
      </c>
      <c r="E164" s="110" t="str">
        <f ca="1">IFERROR(__xludf.DUMMYFUNCTION("""COMPUTED_VALUE"""),"F")</f>
        <v>F</v>
      </c>
      <c r="F164" s="110" t="str">
        <f ca="1">IFERROR(__xludf.DUMMYFUNCTION("""COMPUTED_VALUE"""),"J")</f>
        <v>J</v>
      </c>
      <c r="G164" s="110">
        <f ca="1">IFERROR(__xludf.DUMMYFUNCTION("""COMPUTED_VALUE"""),6)</f>
        <v>6</v>
      </c>
      <c r="H164" s="112" t="str">
        <f ca="1"/>
        <v>9</v>
      </c>
      <c r="I164" s="112">
        <f ca="1"/>
        <v>9</v>
      </c>
    </row>
    <row r="165" spans="1:9" ht="13.2">
      <c r="A165" s="109" t="str">
        <f ca="1">IFERROR(__xludf.DUMMYFUNCTION("""COMPUTED_VALUE"""),"CH")</f>
        <v>CH</v>
      </c>
      <c r="B165" s="108" t="str">
        <f ca="1">IFERROR(__xludf.DUMMYFUNCTION("""COMPUTED_VALUE"""),"Claire Verderese")</f>
        <v>Claire Verderese</v>
      </c>
      <c r="C165" s="109">
        <f ca="1">IFERROR(__xludf.DUMMYFUNCTION("""COMPUTED_VALUE"""),8)</f>
        <v>8</v>
      </c>
      <c r="D165" s="109" t="str">
        <f ca="1">IFERROR(__xludf.DUMMYFUNCTION("""COMPUTED_VALUE"""),"G")</f>
        <v>G</v>
      </c>
      <c r="E165" s="110" t="str">
        <f ca="1">IFERROR(__xludf.DUMMYFUNCTION("""COMPUTED_VALUE"""),"F")</f>
        <v>F</v>
      </c>
      <c r="F165" s="110" t="str">
        <f ca="1">IFERROR(__xludf.DUMMYFUNCTION("""COMPUTED_VALUE"""),"J")</f>
        <v>J</v>
      </c>
      <c r="G165" s="110">
        <f ca="1">IFERROR(__xludf.DUMMYFUNCTION("""COMPUTED_VALUE"""),6)</f>
        <v>6</v>
      </c>
      <c r="H165" s="112" t="str">
        <f ca="1"/>
        <v>41.1</v>
      </c>
      <c r="I165" s="81">
        <f ca="1"/>
        <v>41.1</v>
      </c>
    </row>
    <row r="166" spans="1:9" ht="13.2">
      <c r="A166" s="109" t="str">
        <f ca="1">IFERROR(__xludf.DUMMYFUNCTION("""COMPUTED_VALUE"""),"CH")</f>
        <v>CH</v>
      </c>
      <c r="B166" s="108" t="str">
        <f ca="1">IFERROR(__xludf.DUMMYFUNCTION("""COMPUTED_VALUE"""),"Ellison Gilman")</f>
        <v>Ellison Gilman</v>
      </c>
      <c r="C166" s="109">
        <f ca="1">IFERROR(__xludf.DUMMYFUNCTION("""COMPUTED_VALUE"""),9)</f>
        <v>9</v>
      </c>
      <c r="D166" s="109" t="str">
        <f ca="1">IFERROR(__xludf.DUMMYFUNCTION("""COMPUTED_VALUE"""),"G")</f>
        <v>G</v>
      </c>
      <c r="E166" s="110" t="str">
        <f ca="1">IFERROR(__xludf.DUMMYFUNCTION("""COMPUTED_VALUE"""),"F")</f>
        <v>F</v>
      </c>
      <c r="F166" s="110" t="str">
        <f ca="1">IFERROR(__xludf.DUMMYFUNCTION("""COMPUTED_VALUE"""),"J")</f>
        <v>J</v>
      </c>
      <c r="G166" s="110">
        <f ca="1">IFERROR(__xludf.DUMMYFUNCTION("""COMPUTED_VALUE"""),6)</f>
        <v>6</v>
      </c>
      <c r="H166" s="112" t="str">
        <f ca="1"/>
        <v>32.85</v>
      </c>
      <c r="I166" s="81">
        <f ca="1"/>
        <v>32.85</v>
      </c>
    </row>
    <row r="167" spans="1:9" ht="13.2">
      <c r="A167" s="109" t="str">
        <f ca="1">IFERROR(__xludf.DUMMYFUNCTION("""COMPUTED_VALUE"""),"CH")</f>
        <v>CH</v>
      </c>
      <c r="B167" s="108" t="str">
        <f ca="1">IFERROR(__xludf.DUMMYFUNCTION("""COMPUTED_VALUE"""),"Fiona St.GermIn")</f>
        <v>Fiona St.GermIn</v>
      </c>
      <c r="C167" s="109">
        <f ca="1">IFERROR(__xludf.DUMMYFUNCTION("""COMPUTED_VALUE"""),7)</f>
        <v>7</v>
      </c>
      <c r="D167" s="109" t="str">
        <f ca="1">IFERROR(__xludf.DUMMYFUNCTION("""COMPUTED_VALUE"""),"G")</f>
        <v>G</v>
      </c>
      <c r="E167" s="110" t="str">
        <f ca="1">IFERROR(__xludf.DUMMYFUNCTION("""COMPUTED_VALUE"""),"F")</f>
        <v>F</v>
      </c>
      <c r="F167" s="110" t="str">
        <f ca="1">IFERROR(__xludf.DUMMYFUNCTION("""COMPUTED_VALUE"""),"J")</f>
        <v>J</v>
      </c>
      <c r="G167" s="110">
        <f ca="1">IFERROR(__xludf.DUMMYFUNCTION("""COMPUTED_VALUE"""),6)</f>
        <v>6</v>
      </c>
      <c r="H167" s="112" t="str">
        <f ca="1"/>
        <v/>
      </c>
      <c r="I167" s="81" t="str">
        <f ca="1"/>
        <v/>
      </c>
    </row>
    <row r="168" spans="1:9" ht="13.2">
      <c r="A168" s="109" t="str">
        <f ca="1">IFERROR(__xludf.DUMMYFUNCTION("""COMPUTED_VALUE"""),"CH")</f>
        <v>CH</v>
      </c>
      <c r="B168" s="108" t="str">
        <f ca="1">IFERROR(__xludf.DUMMYFUNCTION("""COMPUTED_VALUE"""),"Gwyneth Clifton")</f>
        <v>Gwyneth Clifton</v>
      </c>
      <c r="C168" s="109">
        <f ca="1">IFERROR(__xludf.DUMMYFUNCTION("""COMPUTED_VALUE"""),10)</f>
        <v>10</v>
      </c>
      <c r="D168" s="109" t="str">
        <f ca="1">IFERROR(__xludf.DUMMYFUNCTION("""COMPUTED_VALUE"""),"G")</f>
        <v>G</v>
      </c>
      <c r="E168" s="110" t="str">
        <f ca="1">IFERROR(__xludf.DUMMYFUNCTION("""COMPUTED_VALUE"""),"F")</f>
        <v>F</v>
      </c>
      <c r="F168" s="110" t="str">
        <f ca="1">IFERROR(__xludf.DUMMYFUNCTION("""COMPUTED_VALUE"""),"J")</f>
        <v>J</v>
      </c>
      <c r="G168" s="110">
        <f ca="1">IFERROR(__xludf.DUMMYFUNCTION("""COMPUTED_VALUE"""),6)</f>
        <v>6</v>
      </c>
      <c r="H168" s="112" t="str">
        <f ca="1"/>
        <v/>
      </c>
      <c r="I168" s="112" t="str">
        <f ca="1"/>
        <v/>
      </c>
    </row>
    <row r="169" spans="1:9" ht="13.2">
      <c r="A169" s="109" t="str">
        <f ca="1">IFERROR(__xludf.DUMMYFUNCTION("""COMPUTED_VALUE"""),"CH")</f>
        <v>CH</v>
      </c>
      <c r="B169" s="108" t="str">
        <f ca="1">IFERROR(__xludf.DUMMYFUNCTION("""COMPUTED_VALUE"""),"Izzy Kreps")</f>
        <v>Izzy Kreps</v>
      </c>
      <c r="C169" s="109">
        <f ca="1">IFERROR(__xludf.DUMMYFUNCTION("""COMPUTED_VALUE"""),8)</f>
        <v>8</v>
      </c>
      <c r="D169" s="109" t="str">
        <f ca="1">IFERROR(__xludf.DUMMYFUNCTION("""COMPUTED_VALUE"""),"G")</f>
        <v>G</v>
      </c>
      <c r="E169" s="110" t="str">
        <f ca="1">IFERROR(__xludf.DUMMYFUNCTION("""COMPUTED_VALUE"""),"F")</f>
        <v>F</v>
      </c>
      <c r="F169" s="110" t="str">
        <f ca="1">IFERROR(__xludf.DUMMYFUNCTION("""COMPUTED_VALUE"""),"J")</f>
        <v>J</v>
      </c>
      <c r="G169" s="110">
        <f ca="1">IFERROR(__xludf.DUMMYFUNCTION("""COMPUTED_VALUE"""),6)</f>
        <v>6</v>
      </c>
      <c r="H169" s="112" t="str">
        <f ca="1"/>
        <v/>
      </c>
      <c r="I169" s="112" t="str">
        <f ca="1"/>
        <v/>
      </c>
    </row>
    <row r="170" spans="1:9" ht="13.2">
      <c r="A170" s="109" t="str">
        <f ca="1">IFERROR(__xludf.DUMMYFUNCTION("""COMPUTED_VALUE"""),"CH")</f>
        <v>CH</v>
      </c>
      <c r="B170" s="108" t="str">
        <f ca="1">IFERROR(__xludf.DUMMYFUNCTION("""COMPUTED_VALUE"""),"Joanna Jue")</f>
        <v>Joanna Jue</v>
      </c>
      <c r="C170" s="109">
        <f ca="1">IFERROR(__xludf.DUMMYFUNCTION("""COMPUTED_VALUE"""),10)</f>
        <v>10</v>
      </c>
      <c r="D170" s="109" t="str">
        <f ca="1">IFERROR(__xludf.DUMMYFUNCTION("""COMPUTED_VALUE"""),"G")</f>
        <v>G</v>
      </c>
      <c r="E170" s="110" t="str">
        <f ca="1">IFERROR(__xludf.DUMMYFUNCTION("""COMPUTED_VALUE"""),"F")</f>
        <v>F</v>
      </c>
      <c r="F170" s="110" t="str">
        <f ca="1">IFERROR(__xludf.DUMMYFUNCTION("""COMPUTED_VALUE"""),"J")</f>
        <v>J</v>
      </c>
      <c r="G170" s="110">
        <f ca="1">IFERROR(__xludf.DUMMYFUNCTION("""COMPUTED_VALUE"""),6)</f>
        <v>6</v>
      </c>
      <c r="H170" s="112" t="str">
        <f ca="1"/>
        <v>40.25</v>
      </c>
      <c r="I170" s="112">
        <f ca="1"/>
        <v>40.25</v>
      </c>
    </row>
    <row r="171" spans="1:9" ht="13.2">
      <c r="A171" s="109" t="str">
        <f ca="1">IFERROR(__xludf.DUMMYFUNCTION("""COMPUTED_VALUE"""),"CH")</f>
        <v>CH</v>
      </c>
      <c r="B171" s="108" t="str">
        <f ca="1">IFERROR(__xludf.DUMMYFUNCTION("""COMPUTED_VALUE"""),"Katie Clague")</f>
        <v>Katie Clague</v>
      </c>
      <c r="C171" s="109">
        <f ca="1">IFERROR(__xludf.DUMMYFUNCTION("""COMPUTED_VALUE"""),10)</f>
        <v>10</v>
      </c>
      <c r="D171" s="109" t="str">
        <f ca="1">IFERROR(__xludf.DUMMYFUNCTION("""COMPUTED_VALUE"""),"G")</f>
        <v>G</v>
      </c>
      <c r="E171" s="110" t="str">
        <f ca="1">IFERROR(__xludf.DUMMYFUNCTION("""COMPUTED_VALUE"""),"F")</f>
        <v>F</v>
      </c>
      <c r="F171" s="110" t="str">
        <f ca="1">IFERROR(__xludf.DUMMYFUNCTION("""COMPUTED_VALUE"""),"J")</f>
        <v>J</v>
      </c>
      <c r="G171" s="110">
        <f ca="1">IFERROR(__xludf.DUMMYFUNCTION("""COMPUTED_VALUE"""),6)</f>
        <v>6</v>
      </c>
      <c r="H171" s="112" t="str">
        <f ca="1"/>
        <v/>
      </c>
      <c r="I171" s="81" t="str">
        <f ca="1"/>
        <v/>
      </c>
    </row>
    <row r="172" spans="1:9" ht="13.2">
      <c r="A172" s="109" t="str">
        <f ca="1">IFERROR(__xludf.DUMMYFUNCTION("""COMPUTED_VALUE"""),"CH")</f>
        <v>CH</v>
      </c>
      <c r="B172" s="108" t="str">
        <f ca="1">IFERROR(__xludf.DUMMYFUNCTION("""COMPUTED_VALUE"""),"Lily Apgar")</f>
        <v>Lily Apgar</v>
      </c>
      <c r="C172" s="109">
        <f ca="1">IFERROR(__xludf.DUMMYFUNCTION("""COMPUTED_VALUE"""),7)</f>
        <v>7</v>
      </c>
      <c r="D172" s="109" t="str">
        <f ca="1">IFERROR(__xludf.DUMMYFUNCTION("""COMPUTED_VALUE"""),"G")</f>
        <v>G</v>
      </c>
      <c r="E172" s="110" t="str">
        <f ca="1">IFERROR(__xludf.DUMMYFUNCTION("""COMPUTED_VALUE"""),"F")</f>
        <v>F</v>
      </c>
      <c r="F172" s="110" t="str">
        <f ca="1">IFERROR(__xludf.DUMMYFUNCTION("""COMPUTED_VALUE"""),"J")</f>
        <v>J</v>
      </c>
      <c r="G172" s="110">
        <f ca="1">IFERROR(__xludf.DUMMYFUNCTION("""COMPUTED_VALUE"""),6)</f>
        <v>6</v>
      </c>
      <c r="H172" s="112" t="str">
        <f ca="1"/>
        <v>15.4</v>
      </c>
      <c r="I172" s="112">
        <f ca="1"/>
        <v>15.4</v>
      </c>
    </row>
    <row r="173" spans="1:9" ht="13.2">
      <c r="A173" s="109" t="str">
        <f ca="1">IFERROR(__xludf.DUMMYFUNCTION("""COMPUTED_VALUE"""),"CH")</f>
        <v>CH</v>
      </c>
      <c r="B173" s="108" t="str">
        <f ca="1">IFERROR(__xludf.DUMMYFUNCTION("""COMPUTED_VALUE"""),"Lucy Kesler")</f>
        <v>Lucy Kesler</v>
      </c>
      <c r="C173" s="113">
        <f ca="1">IFERROR(__xludf.DUMMYFUNCTION("""COMPUTED_VALUE"""),10)</f>
        <v>10</v>
      </c>
      <c r="D173" s="109" t="str">
        <f ca="1">IFERROR(__xludf.DUMMYFUNCTION("""COMPUTED_VALUE"""),"G")</f>
        <v>G</v>
      </c>
      <c r="E173" s="110" t="str">
        <f ca="1">IFERROR(__xludf.DUMMYFUNCTION("""COMPUTED_VALUE"""),"F")</f>
        <v>F</v>
      </c>
      <c r="F173" s="110" t="str">
        <f ca="1">IFERROR(__xludf.DUMMYFUNCTION("""COMPUTED_VALUE"""),"J")</f>
        <v>J</v>
      </c>
      <c r="G173" s="110">
        <f ca="1">IFERROR(__xludf.DUMMYFUNCTION("""COMPUTED_VALUE"""),6)</f>
        <v>6</v>
      </c>
      <c r="H173" s="112" t="str">
        <f ca="1"/>
        <v/>
      </c>
      <c r="I173" s="112" t="str">
        <f ca="1"/>
        <v/>
      </c>
    </row>
    <row r="174" spans="1:9" ht="13.2">
      <c r="A174" s="109" t="str">
        <f ca="1">IFERROR(__xludf.DUMMYFUNCTION("""COMPUTED_VALUE"""),"CH")</f>
        <v>CH</v>
      </c>
      <c r="B174" s="108" t="str">
        <f ca="1">IFERROR(__xludf.DUMMYFUNCTION("""COMPUTED_VALUE"""),"Margot Jue")</f>
        <v>Margot Jue</v>
      </c>
      <c r="C174" s="109">
        <f ca="1">IFERROR(__xludf.DUMMYFUNCTION("""COMPUTED_VALUE"""),8)</f>
        <v>8</v>
      </c>
      <c r="D174" s="109" t="str">
        <f ca="1">IFERROR(__xludf.DUMMYFUNCTION("""COMPUTED_VALUE"""),"G")</f>
        <v>G</v>
      </c>
      <c r="E174" s="110" t="str">
        <f ca="1">IFERROR(__xludf.DUMMYFUNCTION("""COMPUTED_VALUE"""),"F")</f>
        <v>F</v>
      </c>
      <c r="F174" s="110" t="str">
        <f ca="1">IFERROR(__xludf.DUMMYFUNCTION("""COMPUTED_VALUE"""),"J")</f>
        <v>J</v>
      </c>
      <c r="G174" s="110">
        <f ca="1">IFERROR(__xludf.DUMMYFUNCTION("""COMPUTED_VALUE"""),6)</f>
        <v>6</v>
      </c>
      <c r="H174" s="112" t="str">
        <f ca="1"/>
        <v/>
      </c>
      <c r="I174" s="112" t="str">
        <f ca="1"/>
        <v/>
      </c>
    </row>
    <row r="175" spans="1:9" ht="13.2">
      <c r="A175" s="109" t="str">
        <f ca="1">IFERROR(__xludf.DUMMYFUNCTION("""COMPUTED_VALUE"""),"CH")</f>
        <v>CH</v>
      </c>
      <c r="B175" s="108" t="str">
        <f ca="1">IFERROR(__xludf.DUMMYFUNCTION("""COMPUTED_VALUE"""),"Marianna McKinnon")</f>
        <v>Marianna McKinnon</v>
      </c>
      <c r="C175" s="109">
        <f ca="1">IFERROR(__xludf.DUMMYFUNCTION("""COMPUTED_VALUE"""),9)</f>
        <v>9</v>
      </c>
      <c r="D175" s="109" t="str">
        <f ca="1">IFERROR(__xludf.DUMMYFUNCTION("""COMPUTED_VALUE"""),"G")</f>
        <v>G</v>
      </c>
      <c r="E175" s="110" t="str">
        <f ca="1">IFERROR(__xludf.DUMMYFUNCTION("""COMPUTED_VALUE"""),"F")</f>
        <v>F</v>
      </c>
      <c r="F175" s="110" t="str">
        <f ca="1">IFERROR(__xludf.DUMMYFUNCTION("""COMPUTED_VALUE"""),"J")</f>
        <v>J</v>
      </c>
      <c r="G175" s="110">
        <f ca="1">IFERROR(__xludf.DUMMYFUNCTION("""COMPUTED_VALUE"""),6)</f>
        <v>6</v>
      </c>
      <c r="H175" s="112" t="str">
        <f ca="1"/>
        <v>50.95</v>
      </c>
      <c r="I175" s="81">
        <f ca="1"/>
        <v>50.95</v>
      </c>
    </row>
    <row r="176" spans="1:9" ht="13.2">
      <c r="A176" s="109" t="str">
        <f ca="1">IFERROR(__xludf.DUMMYFUNCTION("""COMPUTED_VALUE"""),"CH")</f>
        <v>CH</v>
      </c>
      <c r="B176" s="108" t="str">
        <f ca="1">IFERROR(__xludf.DUMMYFUNCTION("""COMPUTED_VALUE"""),"Megan Dean")</f>
        <v>Megan Dean</v>
      </c>
      <c r="C176" s="109">
        <f ca="1">IFERROR(__xludf.DUMMYFUNCTION("""COMPUTED_VALUE"""),10)</f>
        <v>10</v>
      </c>
      <c r="D176" s="109" t="str">
        <f ca="1">IFERROR(__xludf.DUMMYFUNCTION("""COMPUTED_VALUE"""),"G")</f>
        <v>G</v>
      </c>
      <c r="E176" s="110" t="str">
        <f ca="1">IFERROR(__xludf.DUMMYFUNCTION("""COMPUTED_VALUE"""),"F")</f>
        <v>F</v>
      </c>
      <c r="F176" s="110" t="str">
        <f ca="1">IFERROR(__xludf.DUMMYFUNCTION("""COMPUTED_VALUE"""),"J")</f>
        <v>J</v>
      </c>
      <c r="G176" s="110">
        <f ca="1">IFERROR(__xludf.DUMMYFUNCTION("""COMPUTED_VALUE"""),6)</f>
        <v>6</v>
      </c>
      <c r="H176" s="112" t="str">
        <f ca="1"/>
        <v>32.3</v>
      </c>
      <c r="I176" s="112">
        <f ca="1"/>
        <v>32.299999999999997</v>
      </c>
    </row>
    <row r="177" spans="1:9" ht="13.2">
      <c r="A177" s="109" t="str">
        <f ca="1">IFERROR(__xludf.DUMMYFUNCTION("""COMPUTED_VALUE"""),"CH")</f>
        <v>CH</v>
      </c>
      <c r="B177" s="108" t="str">
        <f ca="1">IFERROR(__xludf.DUMMYFUNCTION("""COMPUTED_VALUE"""),"Olivia Engelhardt")</f>
        <v>Olivia Engelhardt</v>
      </c>
      <c r="C177" s="109">
        <f ca="1">IFERROR(__xludf.DUMMYFUNCTION("""COMPUTED_VALUE"""),8)</f>
        <v>8</v>
      </c>
      <c r="D177" s="109" t="str">
        <f ca="1">IFERROR(__xludf.DUMMYFUNCTION("""COMPUTED_VALUE"""),"G")</f>
        <v>G</v>
      </c>
      <c r="E177" s="110" t="str">
        <f ca="1">IFERROR(__xludf.DUMMYFUNCTION("""COMPUTED_VALUE"""),"F")</f>
        <v>F</v>
      </c>
      <c r="F177" s="110" t="str">
        <f ca="1">IFERROR(__xludf.DUMMYFUNCTION("""COMPUTED_VALUE"""),"J")</f>
        <v>J</v>
      </c>
      <c r="G177" s="110">
        <f ca="1">IFERROR(__xludf.DUMMYFUNCTION("""COMPUTED_VALUE"""),6)</f>
        <v>6</v>
      </c>
      <c r="H177" s="112" t="str">
        <f ca="1"/>
        <v/>
      </c>
      <c r="I177" s="81" t="str">
        <f ca="1"/>
        <v/>
      </c>
    </row>
    <row r="178" spans="1:9" ht="13.2">
      <c r="A178" s="109" t="str">
        <f ca="1">IFERROR(__xludf.DUMMYFUNCTION("""COMPUTED_VALUE"""),"CH")</f>
        <v>CH</v>
      </c>
      <c r="B178" s="108" t="str">
        <f ca="1">IFERROR(__xludf.DUMMYFUNCTION("""COMPUTED_VALUE"""),"Eli Lauber")</f>
        <v>Eli Lauber</v>
      </c>
      <c r="C178" s="109">
        <f ca="1">IFERROR(__xludf.DUMMYFUNCTION("""COMPUTED_VALUE"""),13)</f>
        <v>13</v>
      </c>
      <c r="D178" s="109" t="str">
        <f ca="1">IFERROR(__xludf.DUMMYFUNCTION("""COMPUTED_VALUE"""),"B")</f>
        <v>B</v>
      </c>
      <c r="E178" s="110" t="str">
        <f ca="1">IFERROR(__xludf.DUMMYFUNCTION("""COMPUTED_VALUE"""),"I")</f>
        <v>I</v>
      </c>
      <c r="F178" s="110" t="str">
        <f ca="1">IFERROR(__xludf.DUMMYFUNCTION("""COMPUTED_VALUE"""),"S")</f>
        <v>S</v>
      </c>
      <c r="G178" s="110">
        <f ca="1">IFERROR(__xludf.DUMMYFUNCTION("""COMPUTED_VALUE"""),6)</f>
        <v>6</v>
      </c>
      <c r="H178" s="112" t="str">
        <f ca="1"/>
        <v/>
      </c>
      <c r="I178" s="81" t="str">
        <f ca="1"/>
        <v/>
      </c>
    </row>
    <row r="179" spans="1:9" ht="13.2">
      <c r="A179" s="109" t="str">
        <f ca="1">IFERROR(__xludf.DUMMYFUNCTION("""COMPUTED_VALUE"""),"CH")</f>
        <v>CH</v>
      </c>
      <c r="B179" s="108" t="str">
        <f ca="1">IFERROR(__xludf.DUMMYFUNCTION("""COMPUTED_VALUE"""),"Henry Keeler")</f>
        <v>Henry Keeler</v>
      </c>
      <c r="C179" s="109">
        <f ca="1">IFERROR(__xludf.DUMMYFUNCTION("""COMPUTED_VALUE"""),13)</f>
        <v>13</v>
      </c>
      <c r="D179" s="109" t="str">
        <f ca="1">IFERROR(__xludf.DUMMYFUNCTION("""COMPUTED_VALUE"""),"B")</f>
        <v>B</v>
      </c>
      <c r="E179" s="110" t="str">
        <f ca="1">IFERROR(__xludf.DUMMYFUNCTION("""COMPUTED_VALUE"""),"I")</f>
        <v>I</v>
      </c>
      <c r="F179" s="110" t="str">
        <f ca="1">IFERROR(__xludf.DUMMYFUNCTION("""COMPUTED_VALUE"""),"S")</f>
        <v>S</v>
      </c>
      <c r="G179" s="110">
        <f ca="1">IFERROR(__xludf.DUMMYFUNCTION("""COMPUTED_VALUE"""),6)</f>
        <v>6</v>
      </c>
      <c r="H179" s="112" t="str">
        <f ca="1"/>
        <v/>
      </c>
      <c r="I179" s="81" t="str">
        <f ca="1"/>
        <v/>
      </c>
    </row>
    <row r="180" spans="1:9" ht="13.2">
      <c r="A180" s="109" t="str">
        <f ca="1">IFERROR(__xludf.DUMMYFUNCTION("""COMPUTED_VALUE"""),"CH")</f>
        <v>CH</v>
      </c>
      <c r="B180" s="108" t="str">
        <f ca="1">IFERROR(__xludf.DUMMYFUNCTION("""COMPUTED_VALUE"""),"Reed Clifton")</f>
        <v>Reed Clifton</v>
      </c>
      <c r="C180" s="109">
        <f ca="1">IFERROR(__xludf.DUMMYFUNCTION("""COMPUTED_VALUE"""),13)</f>
        <v>13</v>
      </c>
      <c r="D180" s="109" t="str">
        <f ca="1">IFERROR(__xludf.DUMMYFUNCTION("""COMPUTED_VALUE"""),"B")</f>
        <v>B</v>
      </c>
      <c r="E180" s="110" t="str">
        <f ca="1">IFERROR(__xludf.DUMMYFUNCTION("""COMPUTED_VALUE"""),"I")</f>
        <v>I</v>
      </c>
      <c r="F180" s="110" t="str">
        <f ca="1">IFERROR(__xludf.DUMMYFUNCTION("""COMPUTED_VALUE"""),"S")</f>
        <v>S</v>
      </c>
      <c r="G180" s="110">
        <f ca="1">IFERROR(__xludf.DUMMYFUNCTION("""COMPUTED_VALUE"""),6)</f>
        <v>6</v>
      </c>
      <c r="H180" s="112" t="str">
        <f ca="1"/>
        <v/>
      </c>
      <c r="I180" s="112" t="str">
        <f ca="1"/>
        <v/>
      </c>
    </row>
    <row r="181" spans="1:9" ht="13.2">
      <c r="A181" s="109" t="str">
        <f ca="1">IFERROR(__xludf.DUMMYFUNCTION("""COMPUTED_VALUE"""),"CH")</f>
        <v>CH</v>
      </c>
      <c r="B181" s="108" t="str">
        <f ca="1">IFERROR(__xludf.DUMMYFUNCTION("""COMPUTED_VALUE"""),"Uday Sidhu")</f>
        <v>Uday Sidhu</v>
      </c>
      <c r="C181" s="109">
        <f ca="1">IFERROR(__xludf.DUMMYFUNCTION("""COMPUTED_VALUE"""),13)</f>
        <v>13</v>
      </c>
      <c r="D181" s="109" t="str">
        <f ca="1">IFERROR(__xludf.DUMMYFUNCTION("""COMPUTED_VALUE"""),"B")</f>
        <v>B</v>
      </c>
      <c r="E181" s="110" t="str">
        <f ca="1">IFERROR(__xludf.DUMMYFUNCTION("""COMPUTED_VALUE"""),"I")</f>
        <v>I</v>
      </c>
      <c r="F181" s="110" t="str">
        <f ca="1">IFERROR(__xludf.DUMMYFUNCTION("""COMPUTED_VALUE"""),"S")</f>
        <v>S</v>
      </c>
      <c r="G181" s="110">
        <f ca="1">IFERROR(__xludf.DUMMYFUNCTION("""COMPUTED_VALUE"""),6)</f>
        <v>6</v>
      </c>
      <c r="H181" s="112" t="str">
        <f ca="1"/>
        <v/>
      </c>
      <c r="I181" s="112" t="str">
        <f ca="1"/>
        <v/>
      </c>
    </row>
    <row r="182" spans="1:9" ht="13.2">
      <c r="A182" s="109" t="str">
        <f ca="1">IFERROR(__xludf.DUMMYFUNCTION("""COMPUTED_VALUE"""),"CH")</f>
        <v>CH</v>
      </c>
      <c r="B182" s="108" t="str">
        <f ca="1">IFERROR(__xludf.DUMMYFUNCTION("""COMPUTED_VALUE"""),"William Feuchter")</f>
        <v>William Feuchter</v>
      </c>
      <c r="C182" s="109">
        <f ca="1">IFERROR(__xludf.DUMMYFUNCTION("""COMPUTED_VALUE"""),13)</f>
        <v>13</v>
      </c>
      <c r="D182" s="109" t="str">
        <f ca="1">IFERROR(__xludf.DUMMYFUNCTION("""COMPUTED_VALUE"""),"B")</f>
        <v>B</v>
      </c>
      <c r="E182" s="110" t="str">
        <f ca="1">IFERROR(__xludf.DUMMYFUNCTION("""COMPUTED_VALUE"""),"I")</f>
        <v>I</v>
      </c>
      <c r="F182" s="110" t="str">
        <f ca="1">IFERROR(__xludf.DUMMYFUNCTION("""COMPUTED_VALUE"""),"S")</f>
        <v>S</v>
      </c>
      <c r="G182" s="110">
        <f ca="1">IFERROR(__xludf.DUMMYFUNCTION("""COMPUTED_VALUE"""),6)</f>
        <v>6</v>
      </c>
      <c r="H182" s="112" t="str">
        <f ca="1"/>
        <v/>
      </c>
      <c r="I182" s="112" t="str">
        <f ca="1"/>
        <v/>
      </c>
    </row>
    <row r="183" spans="1:9" ht="13.2">
      <c r="A183" s="109" t="str">
        <f ca="1">IFERROR(__xludf.DUMMYFUNCTION("""COMPUTED_VALUE"""),"CH")</f>
        <v>CH</v>
      </c>
      <c r="B183" s="108" t="str">
        <f ca="1">IFERROR(__xludf.DUMMYFUNCTION("""COMPUTED_VALUE"""),"Allie Reback")</f>
        <v>Allie Reback</v>
      </c>
      <c r="C183" s="109">
        <f ca="1">IFERROR(__xludf.DUMMYFUNCTION("""COMPUTED_VALUE"""),14)</f>
        <v>14</v>
      </c>
      <c r="D183" s="109" t="str">
        <f ca="1">IFERROR(__xludf.DUMMYFUNCTION("""COMPUTED_VALUE"""),"G")</f>
        <v>G</v>
      </c>
      <c r="E183" s="110" t="str">
        <f ca="1">IFERROR(__xludf.DUMMYFUNCTION("""COMPUTED_VALUE"""),"I")</f>
        <v>I</v>
      </c>
      <c r="F183" s="110" t="str">
        <f ca="1">IFERROR(__xludf.DUMMYFUNCTION("""COMPUTED_VALUE"""),"S")</f>
        <v>S</v>
      </c>
      <c r="G183" s="110">
        <f ca="1">IFERROR(__xludf.DUMMYFUNCTION("""COMPUTED_VALUE"""),6)</f>
        <v>6</v>
      </c>
      <c r="H183" s="112" t="str">
        <f ca="1"/>
        <v/>
      </c>
      <c r="I183" s="112" t="str">
        <f ca="1"/>
        <v/>
      </c>
    </row>
    <row r="184" spans="1:9" ht="13.2">
      <c r="A184" s="109" t="str">
        <f ca="1">IFERROR(__xludf.DUMMYFUNCTION("""COMPUTED_VALUE"""),"CH")</f>
        <v>CH</v>
      </c>
      <c r="B184" s="108" t="str">
        <f ca="1">IFERROR(__xludf.DUMMYFUNCTION("""COMPUTED_VALUE"""),"Carly Engelhardt")</f>
        <v>Carly Engelhardt</v>
      </c>
      <c r="C184" s="109">
        <f ca="1">IFERROR(__xludf.DUMMYFUNCTION("""COMPUTED_VALUE"""),13)</f>
        <v>13</v>
      </c>
      <c r="D184" s="109" t="str">
        <f ca="1">IFERROR(__xludf.DUMMYFUNCTION("""COMPUTED_VALUE"""),"G")</f>
        <v>G</v>
      </c>
      <c r="E184" s="110" t="str">
        <f ca="1">IFERROR(__xludf.DUMMYFUNCTION("""COMPUTED_VALUE"""),"I")</f>
        <v>I</v>
      </c>
      <c r="F184" s="110" t="str">
        <f ca="1">IFERROR(__xludf.DUMMYFUNCTION("""COMPUTED_VALUE"""),"S")</f>
        <v>S</v>
      </c>
      <c r="G184" s="110">
        <f ca="1">IFERROR(__xludf.DUMMYFUNCTION("""COMPUTED_VALUE"""),6)</f>
        <v>6</v>
      </c>
      <c r="H184" s="112" t="str">
        <f ca="1"/>
        <v/>
      </c>
      <c r="I184" s="112" t="str">
        <f ca="1"/>
        <v/>
      </c>
    </row>
    <row r="185" spans="1:9" ht="13.2">
      <c r="A185" s="109" t="str">
        <f ca="1">IFERROR(__xludf.DUMMYFUNCTION("""COMPUTED_VALUE"""),"CH")</f>
        <v>CH</v>
      </c>
      <c r="B185" s="108" t="str">
        <f ca="1">IFERROR(__xludf.DUMMYFUNCTION("""COMPUTED_VALUE"""),"Claire Casto")</f>
        <v>Claire Casto</v>
      </c>
      <c r="C185" s="109">
        <f ca="1">IFERROR(__xludf.DUMMYFUNCTION("""COMPUTED_VALUE"""),13)</f>
        <v>13</v>
      </c>
      <c r="D185" s="109" t="str">
        <f ca="1">IFERROR(__xludf.DUMMYFUNCTION("""COMPUTED_VALUE"""),"G")</f>
        <v>G</v>
      </c>
      <c r="E185" s="110" t="str">
        <f ca="1">IFERROR(__xludf.DUMMYFUNCTION("""COMPUTED_VALUE"""),"I")</f>
        <v>I</v>
      </c>
      <c r="F185" s="110" t="str">
        <f ca="1">IFERROR(__xludf.DUMMYFUNCTION("""COMPUTED_VALUE"""),"S")</f>
        <v>S</v>
      </c>
      <c r="G185" s="110">
        <f ca="1">IFERROR(__xludf.DUMMYFUNCTION("""COMPUTED_VALUE"""),6)</f>
        <v>6</v>
      </c>
      <c r="H185" s="112" t="str">
        <f ca="1"/>
        <v/>
      </c>
      <c r="I185" s="112" t="str">
        <f ca="1"/>
        <v/>
      </c>
    </row>
    <row r="186" spans="1:9" ht="13.2">
      <c r="A186" s="109" t="str">
        <f ca="1">IFERROR(__xludf.DUMMYFUNCTION("""COMPUTED_VALUE"""),"CH")</f>
        <v>CH</v>
      </c>
      <c r="B186" s="108" t="str">
        <f ca="1">IFERROR(__xludf.DUMMYFUNCTION("""COMPUTED_VALUE"""),"Emmy Butler")</f>
        <v>Emmy Butler</v>
      </c>
      <c r="C186" s="109">
        <f ca="1">IFERROR(__xludf.DUMMYFUNCTION("""COMPUTED_VALUE"""),14)</f>
        <v>14</v>
      </c>
      <c r="D186" s="109" t="str">
        <f ca="1">IFERROR(__xludf.DUMMYFUNCTION("""COMPUTED_VALUE"""),"G")</f>
        <v>G</v>
      </c>
      <c r="E186" s="110" t="str">
        <f ca="1">IFERROR(__xludf.DUMMYFUNCTION("""COMPUTED_VALUE"""),"I")</f>
        <v>I</v>
      </c>
      <c r="F186" s="110" t="str">
        <f ca="1">IFERROR(__xludf.DUMMYFUNCTION("""COMPUTED_VALUE"""),"S")</f>
        <v>S</v>
      </c>
      <c r="G186" s="110">
        <f ca="1">IFERROR(__xludf.DUMMYFUNCTION("""COMPUTED_VALUE"""),6)</f>
        <v>6</v>
      </c>
      <c r="H186" s="112" t="str">
        <f ca="1"/>
        <v/>
      </c>
      <c r="I186" s="112" t="str">
        <f ca="1"/>
        <v/>
      </c>
    </row>
    <row r="187" spans="1:9" ht="13.2">
      <c r="A187" s="109" t="str">
        <f ca="1">IFERROR(__xludf.DUMMYFUNCTION("""COMPUTED_VALUE"""),"CH")</f>
        <v>CH</v>
      </c>
      <c r="B187" s="108" t="str">
        <f ca="1">IFERROR(__xludf.DUMMYFUNCTION("""COMPUTED_VALUE"""),"Gabi Konde")</f>
        <v>Gabi Konde</v>
      </c>
      <c r="C187" s="109">
        <f ca="1">IFERROR(__xludf.DUMMYFUNCTION("""COMPUTED_VALUE"""),14)</f>
        <v>14</v>
      </c>
      <c r="D187" s="109" t="str">
        <f ca="1">IFERROR(__xludf.DUMMYFUNCTION("""COMPUTED_VALUE"""),"G")</f>
        <v>G</v>
      </c>
      <c r="E187" s="110" t="str">
        <f ca="1">IFERROR(__xludf.DUMMYFUNCTION("""COMPUTED_VALUE"""),"I")</f>
        <v>I</v>
      </c>
      <c r="F187" s="110" t="str">
        <f ca="1">IFERROR(__xludf.DUMMYFUNCTION("""COMPUTED_VALUE"""),"S")</f>
        <v>S</v>
      </c>
      <c r="G187" s="110">
        <f ca="1">IFERROR(__xludf.DUMMYFUNCTION("""COMPUTED_VALUE"""),6)</f>
        <v>6</v>
      </c>
      <c r="H187" s="112" t="str">
        <f ca="1"/>
        <v>56.9</v>
      </c>
      <c r="I187" s="112">
        <f ca="1"/>
        <v>56.9</v>
      </c>
    </row>
    <row r="188" spans="1:9" ht="13.2">
      <c r="A188" s="109" t="str">
        <f ca="1">IFERROR(__xludf.DUMMYFUNCTION("""COMPUTED_VALUE"""),"CH")</f>
        <v>CH</v>
      </c>
      <c r="B188" s="108" t="str">
        <f ca="1">IFERROR(__xludf.DUMMYFUNCTION("""COMPUTED_VALUE"""),"Isabel Elliot Ortega")</f>
        <v>Isabel Elliot Ortega</v>
      </c>
      <c r="C188" s="109">
        <f ca="1">IFERROR(__xludf.DUMMYFUNCTION("""COMPUTED_VALUE"""),14)</f>
        <v>14</v>
      </c>
      <c r="D188" s="109" t="str">
        <f ca="1">IFERROR(__xludf.DUMMYFUNCTION("""COMPUTED_VALUE"""),"G")</f>
        <v>G</v>
      </c>
      <c r="E188" s="110" t="str">
        <f ca="1">IFERROR(__xludf.DUMMYFUNCTION("""COMPUTED_VALUE"""),"I")</f>
        <v>I</v>
      </c>
      <c r="F188" s="110" t="str">
        <f ca="1">IFERROR(__xludf.DUMMYFUNCTION("""COMPUTED_VALUE"""),"S")</f>
        <v>S</v>
      </c>
      <c r="G188" s="110">
        <f ca="1">IFERROR(__xludf.DUMMYFUNCTION("""COMPUTED_VALUE"""),6)</f>
        <v>6</v>
      </c>
      <c r="H188" s="112" t="str">
        <f ca="1"/>
        <v/>
      </c>
      <c r="I188" s="81" t="str">
        <f ca="1"/>
        <v/>
      </c>
    </row>
    <row r="189" spans="1:9" ht="13.2">
      <c r="A189" s="109" t="str">
        <f ca="1">IFERROR(__xludf.DUMMYFUNCTION("""COMPUTED_VALUE"""),"CH")</f>
        <v>CH</v>
      </c>
      <c r="B189" s="108" t="str">
        <f ca="1">IFERROR(__xludf.DUMMYFUNCTION("""COMPUTED_VALUE"""),"Jane Ferrara")</f>
        <v>Jane Ferrara</v>
      </c>
      <c r="C189" s="109">
        <f ca="1">IFERROR(__xludf.DUMMYFUNCTION("""COMPUTED_VALUE"""),14)</f>
        <v>14</v>
      </c>
      <c r="D189" s="109" t="str">
        <f ca="1">IFERROR(__xludf.DUMMYFUNCTION("""COMPUTED_VALUE"""),"G")</f>
        <v>G</v>
      </c>
      <c r="E189" s="110" t="str">
        <f ca="1">IFERROR(__xludf.DUMMYFUNCTION("""COMPUTED_VALUE"""),"I")</f>
        <v>I</v>
      </c>
      <c r="F189" s="110" t="str">
        <f ca="1">IFERROR(__xludf.DUMMYFUNCTION("""COMPUTED_VALUE"""),"S")</f>
        <v>S</v>
      </c>
      <c r="G189" s="110">
        <f ca="1">IFERROR(__xludf.DUMMYFUNCTION("""COMPUTED_VALUE"""),6)</f>
        <v>6</v>
      </c>
      <c r="H189" s="112" t="str">
        <f ca="1"/>
        <v/>
      </c>
      <c r="I189" s="81" t="str">
        <f ca="1"/>
        <v/>
      </c>
    </row>
    <row r="190" spans="1:9" ht="13.2">
      <c r="A190" s="109" t="str">
        <f ca="1">IFERROR(__xludf.DUMMYFUNCTION("""COMPUTED_VALUE"""),"CH")</f>
        <v>CH</v>
      </c>
      <c r="B190" s="108" t="str">
        <f ca="1">IFERROR(__xludf.DUMMYFUNCTION("""COMPUTED_VALUE"""),"JJ Golley")</f>
        <v>JJ Golley</v>
      </c>
      <c r="C190" s="109">
        <f ca="1">IFERROR(__xludf.DUMMYFUNCTION("""COMPUTED_VALUE"""),13)</f>
        <v>13</v>
      </c>
      <c r="D190" s="109" t="str">
        <f ca="1">IFERROR(__xludf.DUMMYFUNCTION("""COMPUTED_VALUE"""),"G")</f>
        <v>G</v>
      </c>
      <c r="E190" s="110" t="str">
        <f ca="1">IFERROR(__xludf.DUMMYFUNCTION("""COMPUTED_VALUE"""),"I")</f>
        <v>I</v>
      </c>
      <c r="F190" s="110" t="str">
        <f ca="1">IFERROR(__xludf.DUMMYFUNCTION("""COMPUTED_VALUE"""),"S")</f>
        <v>S</v>
      </c>
      <c r="G190" s="110">
        <f ca="1">IFERROR(__xludf.DUMMYFUNCTION("""COMPUTED_VALUE"""),6)</f>
        <v>6</v>
      </c>
      <c r="H190" s="112" t="str">
        <f ca="1"/>
        <v/>
      </c>
      <c r="I190" s="112" t="str">
        <f ca="1"/>
        <v/>
      </c>
    </row>
    <row r="191" spans="1:9" ht="13.2">
      <c r="A191" s="109" t="str">
        <f ca="1">IFERROR(__xludf.DUMMYFUNCTION("""COMPUTED_VALUE"""),"CH")</f>
        <v>CH</v>
      </c>
      <c r="B191" s="108" t="str">
        <f ca="1">IFERROR(__xludf.DUMMYFUNCTION("""COMPUTED_VALUE"""),"Leah Nguyen")</f>
        <v>Leah Nguyen</v>
      </c>
      <c r="C191" s="109">
        <f ca="1">IFERROR(__xludf.DUMMYFUNCTION("""COMPUTED_VALUE"""),13)</f>
        <v>13</v>
      </c>
      <c r="D191" s="109" t="str">
        <f ca="1">IFERROR(__xludf.DUMMYFUNCTION("""COMPUTED_VALUE"""),"G")</f>
        <v>G</v>
      </c>
      <c r="E191" s="110" t="str">
        <f ca="1">IFERROR(__xludf.DUMMYFUNCTION("""COMPUTED_VALUE"""),"I")</f>
        <v>I</v>
      </c>
      <c r="F191" s="110" t="str">
        <f ca="1">IFERROR(__xludf.DUMMYFUNCTION("""COMPUTED_VALUE"""),"S")</f>
        <v>S</v>
      </c>
      <c r="G191" s="110">
        <f ca="1">IFERROR(__xludf.DUMMYFUNCTION("""COMPUTED_VALUE"""),6)</f>
        <v>6</v>
      </c>
      <c r="H191" s="112" t="str">
        <f ca="1"/>
        <v>68.3</v>
      </c>
      <c r="I191" s="81">
        <f ca="1"/>
        <v>68.3</v>
      </c>
    </row>
    <row r="192" spans="1:9" ht="13.2">
      <c r="A192" s="109" t="str">
        <f ca="1">IFERROR(__xludf.DUMMYFUNCTION("""COMPUTED_VALUE"""),"CH")</f>
        <v>CH</v>
      </c>
      <c r="B192" s="108" t="str">
        <f ca="1">IFERROR(__xludf.DUMMYFUNCTION("""COMPUTED_VALUE"""),"Lilly Kate Groves")</f>
        <v>Lilly Kate Groves</v>
      </c>
      <c r="C192" s="109">
        <f ca="1">IFERROR(__xludf.DUMMYFUNCTION("""COMPUTED_VALUE"""),13)</f>
        <v>13</v>
      </c>
      <c r="D192" s="109" t="str">
        <f ca="1">IFERROR(__xludf.DUMMYFUNCTION("""COMPUTED_VALUE"""),"G")</f>
        <v>G</v>
      </c>
      <c r="E192" s="110" t="str">
        <f ca="1">IFERROR(__xludf.DUMMYFUNCTION("""COMPUTED_VALUE"""),"I")</f>
        <v>I</v>
      </c>
      <c r="F192" s="110" t="str">
        <f ca="1">IFERROR(__xludf.DUMMYFUNCTION("""COMPUTED_VALUE"""),"S")</f>
        <v>S</v>
      </c>
      <c r="G192" s="110">
        <f ca="1">IFERROR(__xludf.DUMMYFUNCTION("""COMPUTED_VALUE"""),6)</f>
        <v>6</v>
      </c>
      <c r="H192" s="112" t="str">
        <f ca="1"/>
        <v/>
      </c>
      <c r="I192" s="81" t="str">
        <f ca="1"/>
        <v/>
      </c>
    </row>
    <row r="193" spans="1:9" ht="13.2">
      <c r="A193" s="109" t="str">
        <f ca="1">IFERROR(__xludf.DUMMYFUNCTION("""COMPUTED_VALUE"""),"CH")</f>
        <v>CH</v>
      </c>
      <c r="B193" s="108" t="str">
        <f ca="1">IFERROR(__xludf.DUMMYFUNCTION("""COMPUTED_VALUE"""),"Mia Romer")</f>
        <v>Mia Romer</v>
      </c>
      <c r="C193" s="109">
        <f ca="1">IFERROR(__xludf.DUMMYFUNCTION("""COMPUTED_VALUE"""),13)</f>
        <v>13</v>
      </c>
      <c r="D193" s="109" t="str">
        <f ca="1">IFERROR(__xludf.DUMMYFUNCTION("""COMPUTED_VALUE"""),"G")</f>
        <v>G</v>
      </c>
      <c r="E193" s="110" t="str">
        <f ca="1">IFERROR(__xludf.DUMMYFUNCTION("""COMPUTED_VALUE"""),"I")</f>
        <v>I</v>
      </c>
      <c r="F193" s="110" t="str">
        <f ca="1">IFERROR(__xludf.DUMMYFUNCTION("""COMPUTED_VALUE"""),"S")</f>
        <v>S</v>
      </c>
      <c r="G193" s="110">
        <f ca="1">IFERROR(__xludf.DUMMYFUNCTION("""COMPUTED_VALUE"""),6)</f>
        <v>6</v>
      </c>
      <c r="H193" s="112" t="str">
        <f ca="1"/>
        <v/>
      </c>
      <c r="I193" s="81" t="str">
        <f ca="1"/>
        <v/>
      </c>
    </row>
    <row r="194" spans="1:9" ht="13.2">
      <c r="A194" s="109" t="str">
        <f ca="1">IFERROR(__xludf.DUMMYFUNCTION("""COMPUTED_VALUE"""),"CH")</f>
        <v>CH</v>
      </c>
      <c r="B194" s="108" t="str">
        <f ca="1">IFERROR(__xludf.DUMMYFUNCTION("""COMPUTED_VALUE"""),"Miranda Elliot Ortega")</f>
        <v>Miranda Elliot Ortega</v>
      </c>
      <c r="C194" s="109">
        <f ca="1">IFERROR(__xludf.DUMMYFUNCTION("""COMPUTED_VALUE"""),14)</f>
        <v>14</v>
      </c>
      <c r="D194" s="109" t="str">
        <f ca="1">IFERROR(__xludf.DUMMYFUNCTION("""COMPUTED_VALUE"""),"G")</f>
        <v>G</v>
      </c>
      <c r="E194" s="110" t="str">
        <f ca="1">IFERROR(__xludf.DUMMYFUNCTION("""COMPUTED_VALUE"""),"I")</f>
        <v>I</v>
      </c>
      <c r="F194" s="110" t="str">
        <f ca="1">IFERROR(__xludf.DUMMYFUNCTION("""COMPUTED_VALUE"""),"S")</f>
        <v>S</v>
      </c>
      <c r="G194" s="110">
        <f ca="1">IFERROR(__xludf.DUMMYFUNCTION("""COMPUTED_VALUE"""),6)</f>
        <v>6</v>
      </c>
      <c r="H194" s="112" t="str">
        <f ca="1"/>
        <v/>
      </c>
      <c r="I194" s="112" t="str">
        <f ca="1"/>
        <v/>
      </c>
    </row>
    <row r="195" spans="1:9" ht="13.2">
      <c r="A195" s="109" t="str">
        <f ca="1">IFERROR(__xludf.DUMMYFUNCTION("""COMPUTED_VALUE"""),"CH")</f>
        <v>CH</v>
      </c>
      <c r="B195" s="108" t="str">
        <f ca="1">IFERROR(__xludf.DUMMYFUNCTION("""COMPUTED_VALUE"""),"Natalie Grim")</f>
        <v>Natalie Grim</v>
      </c>
      <c r="C195" s="109">
        <f ca="1">IFERROR(__xludf.DUMMYFUNCTION("""COMPUTED_VALUE"""),13)</f>
        <v>13</v>
      </c>
      <c r="D195" s="109" t="str">
        <f ca="1">IFERROR(__xludf.DUMMYFUNCTION("""COMPUTED_VALUE"""),"G")</f>
        <v>G</v>
      </c>
      <c r="E195" s="110" t="str">
        <f ca="1">IFERROR(__xludf.DUMMYFUNCTION("""COMPUTED_VALUE"""),"I")</f>
        <v>I</v>
      </c>
      <c r="F195" s="110" t="str">
        <f ca="1">IFERROR(__xludf.DUMMYFUNCTION("""COMPUTED_VALUE"""),"S")</f>
        <v>S</v>
      </c>
      <c r="G195" s="110">
        <f ca="1">IFERROR(__xludf.DUMMYFUNCTION("""COMPUTED_VALUE"""),6)</f>
        <v>6</v>
      </c>
      <c r="H195" s="112" t="str">
        <f ca="1"/>
        <v/>
      </c>
      <c r="I195" s="112" t="str">
        <f ca="1"/>
        <v/>
      </c>
    </row>
    <row r="196" spans="1:9" ht="13.2">
      <c r="A196" s="109" t="str">
        <f ca="1">IFERROR(__xludf.DUMMYFUNCTION("""COMPUTED_VALUE"""),"CH")</f>
        <v>CH</v>
      </c>
      <c r="B196" s="108" t="str">
        <f ca="1">IFERROR(__xludf.DUMMYFUNCTION("""COMPUTED_VALUE"""),"Chase Pointkowski")</f>
        <v>Chase Pointkowski</v>
      </c>
      <c r="C196" s="109">
        <f ca="1">IFERROR(__xludf.DUMMYFUNCTION("""COMPUTED_VALUE"""),12)</f>
        <v>12</v>
      </c>
      <c r="D196" s="109" t="str">
        <f ca="1">IFERROR(__xludf.DUMMYFUNCTION("""COMPUTED_VALUE"""),"B")</f>
        <v>B</v>
      </c>
      <c r="E196" s="110" t="str">
        <f ca="1">IFERROR(__xludf.DUMMYFUNCTION("""COMPUTED_VALUE"""),"J")</f>
        <v>J</v>
      </c>
      <c r="F196" s="110" t="str">
        <f ca="1">IFERROR(__xludf.DUMMYFUNCTION("""COMPUTED_VALUE"""),"I")</f>
        <v>I</v>
      </c>
      <c r="G196" s="110">
        <f ca="1">IFERROR(__xludf.DUMMYFUNCTION("""COMPUTED_VALUE"""),6)</f>
        <v>6</v>
      </c>
      <c r="H196" s="112" t="str">
        <f ca="1"/>
        <v/>
      </c>
      <c r="I196" s="112" t="str">
        <f ca="1"/>
        <v/>
      </c>
    </row>
    <row r="197" spans="1:9" ht="13.2">
      <c r="A197" s="109" t="str">
        <f ca="1">IFERROR(__xludf.DUMMYFUNCTION("""COMPUTED_VALUE"""),"CH")</f>
        <v>CH</v>
      </c>
      <c r="B197" s="108" t="str">
        <f ca="1">IFERROR(__xludf.DUMMYFUNCTION("""COMPUTED_VALUE"""),"Jackson Brabender")</f>
        <v>Jackson Brabender</v>
      </c>
      <c r="C197" s="109">
        <f ca="1">IFERROR(__xludf.DUMMYFUNCTION("""COMPUTED_VALUE"""),11)</f>
        <v>11</v>
      </c>
      <c r="D197" s="109" t="str">
        <f ca="1">IFERROR(__xludf.DUMMYFUNCTION("""COMPUTED_VALUE"""),"B")</f>
        <v>B</v>
      </c>
      <c r="E197" s="110" t="str">
        <f ca="1">IFERROR(__xludf.DUMMYFUNCTION("""COMPUTED_VALUE"""),"J")</f>
        <v>J</v>
      </c>
      <c r="F197" s="110" t="str">
        <f ca="1">IFERROR(__xludf.DUMMYFUNCTION("""COMPUTED_VALUE"""),"I")</f>
        <v>I</v>
      </c>
      <c r="G197" s="110">
        <f ca="1">IFERROR(__xludf.DUMMYFUNCTION("""COMPUTED_VALUE"""),6)</f>
        <v>6</v>
      </c>
      <c r="H197" s="112" t="str">
        <f ca="1"/>
        <v/>
      </c>
      <c r="I197" s="81" t="str">
        <f ca="1"/>
        <v/>
      </c>
    </row>
    <row r="198" spans="1:9" ht="13.2">
      <c r="A198" s="109" t="str">
        <f ca="1">IFERROR(__xludf.DUMMYFUNCTION("""COMPUTED_VALUE"""),"CH")</f>
        <v>CH</v>
      </c>
      <c r="B198" s="108" t="str">
        <f ca="1">IFERROR(__xludf.DUMMYFUNCTION("""COMPUTED_VALUE"""),"Jayden Naughton")</f>
        <v>Jayden Naughton</v>
      </c>
      <c r="C198" s="109">
        <f ca="1">IFERROR(__xludf.DUMMYFUNCTION("""COMPUTED_VALUE"""),11)</f>
        <v>11</v>
      </c>
      <c r="D198" s="109" t="str">
        <f ca="1">IFERROR(__xludf.DUMMYFUNCTION("""COMPUTED_VALUE"""),"B")</f>
        <v>B</v>
      </c>
      <c r="E198" s="110" t="str">
        <f ca="1">IFERROR(__xludf.DUMMYFUNCTION("""COMPUTED_VALUE"""),"J")</f>
        <v>J</v>
      </c>
      <c r="F198" s="110" t="str">
        <f ca="1">IFERROR(__xludf.DUMMYFUNCTION("""COMPUTED_VALUE"""),"I")</f>
        <v>I</v>
      </c>
      <c r="G198" s="110">
        <f ca="1">IFERROR(__xludf.DUMMYFUNCTION("""COMPUTED_VALUE"""),6)</f>
        <v>6</v>
      </c>
      <c r="H198" s="112" t="str">
        <f ca="1"/>
        <v/>
      </c>
      <c r="I198" s="81" t="str">
        <f ca="1"/>
        <v/>
      </c>
    </row>
    <row r="199" spans="1:9" ht="13.2">
      <c r="A199" s="109" t="str">
        <f ca="1">IFERROR(__xludf.DUMMYFUNCTION("""COMPUTED_VALUE"""),"CH")</f>
        <v>CH</v>
      </c>
      <c r="B199" s="108" t="str">
        <f ca="1">IFERROR(__xludf.DUMMYFUNCTION("""COMPUTED_VALUE"""),"Josh Nguyen")</f>
        <v>Josh Nguyen</v>
      </c>
      <c r="C199" s="109">
        <f ca="1">IFERROR(__xludf.DUMMYFUNCTION("""COMPUTED_VALUE"""),11)</f>
        <v>11</v>
      </c>
      <c r="D199" s="109" t="str">
        <f ca="1">IFERROR(__xludf.DUMMYFUNCTION("""COMPUTED_VALUE"""),"B")</f>
        <v>B</v>
      </c>
      <c r="E199" s="110" t="str">
        <f ca="1">IFERROR(__xludf.DUMMYFUNCTION("""COMPUTED_VALUE"""),"J")</f>
        <v>J</v>
      </c>
      <c r="F199" s="110" t="str">
        <f ca="1">IFERROR(__xludf.DUMMYFUNCTION("""COMPUTED_VALUE"""),"I")</f>
        <v>I</v>
      </c>
      <c r="G199" s="110">
        <f ca="1">IFERROR(__xludf.DUMMYFUNCTION("""COMPUTED_VALUE"""),6)</f>
        <v>6</v>
      </c>
      <c r="H199" s="112" t="str">
        <f ca="1"/>
        <v>36.4</v>
      </c>
      <c r="I199" s="112">
        <f ca="1"/>
        <v>36.4</v>
      </c>
    </row>
    <row r="200" spans="1:9" ht="13.2">
      <c r="A200" s="109" t="str">
        <f ca="1">IFERROR(__xludf.DUMMYFUNCTION("""COMPUTED_VALUE"""),"CH")</f>
        <v>CH</v>
      </c>
      <c r="B200" s="108" t="str">
        <f ca="1">IFERROR(__xludf.DUMMYFUNCTION("""COMPUTED_VALUE"""),"Nate Beck")</f>
        <v>Nate Beck</v>
      </c>
      <c r="C200" s="109">
        <f ca="1">IFERROR(__xludf.DUMMYFUNCTION("""COMPUTED_VALUE"""),12)</f>
        <v>12</v>
      </c>
      <c r="D200" s="109" t="str">
        <f ca="1">IFERROR(__xludf.DUMMYFUNCTION("""COMPUTED_VALUE"""),"B")</f>
        <v>B</v>
      </c>
      <c r="E200" s="110" t="str">
        <f ca="1">IFERROR(__xludf.DUMMYFUNCTION("""COMPUTED_VALUE"""),"J")</f>
        <v>J</v>
      </c>
      <c r="F200" s="110" t="str">
        <f ca="1">IFERROR(__xludf.DUMMYFUNCTION("""COMPUTED_VALUE"""),"I")</f>
        <v>I</v>
      </c>
      <c r="G200" s="110">
        <f ca="1">IFERROR(__xludf.DUMMYFUNCTION("""COMPUTED_VALUE"""),6)</f>
        <v>6</v>
      </c>
      <c r="H200" s="112" t="str">
        <f ca="1"/>
        <v/>
      </c>
      <c r="I200" s="81" t="str">
        <f ca="1"/>
        <v/>
      </c>
    </row>
    <row r="201" spans="1:9" ht="13.2">
      <c r="A201" s="109" t="str">
        <f ca="1">IFERROR(__xludf.DUMMYFUNCTION("""COMPUTED_VALUE"""),"CH")</f>
        <v>CH</v>
      </c>
      <c r="B201" s="108" t="str">
        <f ca="1">IFERROR(__xludf.DUMMYFUNCTION("""COMPUTED_VALUE"""),"Nate Butler")</f>
        <v>Nate Butler</v>
      </c>
      <c r="C201" s="109">
        <f ca="1">IFERROR(__xludf.DUMMYFUNCTION("""COMPUTED_VALUE"""),11)</f>
        <v>11</v>
      </c>
      <c r="D201" s="109" t="str">
        <f ca="1">IFERROR(__xludf.DUMMYFUNCTION("""COMPUTED_VALUE"""),"B")</f>
        <v>B</v>
      </c>
      <c r="E201" s="110" t="str">
        <f ca="1">IFERROR(__xludf.DUMMYFUNCTION("""COMPUTED_VALUE"""),"J")</f>
        <v>J</v>
      </c>
      <c r="F201" s="110" t="str">
        <f ca="1">IFERROR(__xludf.DUMMYFUNCTION("""COMPUTED_VALUE"""),"I")</f>
        <v>I</v>
      </c>
      <c r="G201" s="110">
        <f ca="1">IFERROR(__xludf.DUMMYFUNCTION("""COMPUTED_VALUE"""),6)</f>
        <v>6</v>
      </c>
      <c r="H201" s="112" t="str">
        <f ca="1"/>
        <v/>
      </c>
      <c r="I201" s="112" t="str">
        <f ca="1"/>
        <v/>
      </c>
    </row>
    <row r="202" spans="1:9" ht="13.2">
      <c r="A202" s="109" t="str">
        <f ca="1">IFERROR(__xludf.DUMMYFUNCTION("""COMPUTED_VALUE"""),"CH")</f>
        <v>CH</v>
      </c>
      <c r="B202" s="108" t="str">
        <f ca="1">IFERROR(__xludf.DUMMYFUNCTION("""COMPUTED_VALUE"""),"Raja Helou")</f>
        <v>Raja Helou</v>
      </c>
      <c r="C202" s="109">
        <f ca="1">IFERROR(__xludf.DUMMYFUNCTION("""COMPUTED_VALUE"""),12)</f>
        <v>12</v>
      </c>
      <c r="D202" s="109" t="str">
        <f ca="1">IFERROR(__xludf.DUMMYFUNCTION("""COMPUTED_VALUE"""),"B")</f>
        <v>B</v>
      </c>
      <c r="E202" s="110" t="str">
        <f ca="1">IFERROR(__xludf.DUMMYFUNCTION("""COMPUTED_VALUE"""),"J")</f>
        <v>J</v>
      </c>
      <c r="F202" s="110" t="str">
        <f ca="1">IFERROR(__xludf.DUMMYFUNCTION("""COMPUTED_VALUE"""),"I")</f>
        <v>I</v>
      </c>
      <c r="G202" s="110">
        <f ca="1">IFERROR(__xludf.DUMMYFUNCTION("""COMPUTED_VALUE"""),6)</f>
        <v>6</v>
      </c>
      <c r="H202" s="112" t="str">
        <f ca="1"/>
        <v/>
      </c>
      <c r="I202" s="112" t="str">
        <f ca="1"/>
        <v/>
      </c>
    </row>
    <row r="203" spans="1:9" ht="13.2">
      <c r="A203" s="109" t="str">
        <f ca="1">IFERROR(__xludf.DUMMYFUNCTION("""COMPUTED_VALUE"""),"CH")</f>
        <v>CH</v>
      </c>
      <c r="B203" s="108" t="str">
        <f ca="1">IFERROR(__xludf.DUMMYFUNCTION("""COMPUTED_VALUE"""),"Wesley Apgar")</f>
        <v>Wesley Apgar</v>
      </c>
      <c r="C203" s="109">
        <f ca="1">IFERROR(__xludf.DUMMYFUNCTION("""COMPUTED_VALUE"""),11)</f>
        <v>11</v>
      </c>
      <c r="D203" s="109" t="str">
        <f ca="1">IFERROR(__xludf.DUMMYFUNCTION("""COMPUTED_VALUE"""),"B")</f>
        <v>B</v>
      </c>
      <c r="E203" s="110" t="str">
        <f ca="1">IFERROR(__xludf.DUMMYFUNCTION("""COMPUTED_VALUE"""),"J")</f>
        <v>J</v>
      </c>
      <c r="F203" s="110" t="str">
        <f ca="1">IFERROR(__xludf.DUMMYFUNCTION("""COMPUTED_VALUE"""),"I")</f>
        <v>I</v>
      </c>
      <c r="G203" s="110">
        <f ca="1">IFERROR(__xludf.DUMMYFUNCTION("""COMPUTED_VALUE"""),6)</f>
        <v>6</v>
      </c>
      <c r="H203" s="112" t="str">
        <f ca="1"/>
        <v/>
      </c>
      <c r="I203" s="112" t="str">
        <f ca="1"/>
        <v/>
      </c>
    </row>
    <row r="204" spans="1:9" ht="13.2">
      <c r="A204" s="109" t="str">
        <f ca="1">IFERROR(__xludf.DUMMYFUNCTION("""COMPUTED_VALUE"""),"CH")</f>
        <v>CH</v>
      </c>
      <c r="B204" s="108" t="str">
        <f ca="1">IFERROR(__xludf.DUMMYFUNCTION("""COMPUTED_VALUE"""),"Zach Herr")</f>
        <v>Zach Herr</v>
      </c>
      <c r="C204" s="109">
        <f ca="1">IFERROR(__xludf.DUMMYFUNCTION("""COMPUTED_VALUE"""),12)</f>
        <v>12</v>
      </c>
      <c r="D204" s="109" t="str">
        <f ca="1">IFERROR(__xludf.DUMMYFUNCTION("""COMPUTED_VALUE"""),"B")</f>
        <v>B</v>
      </c>
      <c r="E204" s="110" t="str">
        <f ca="1">IFERROR(__xludf.DUMMYFUNCTION("""COMPUTED_VALUE"""),"J")</f>
        <v>J</v>
      </c>
      <c r="F204" s="110" t="str">
        <f ca="1">IFERROR(__xludf.DUMMYFUNCTION("""COMPUTED_VALUE"""),"I")</f>
        <v>I</v>
      </c>
      <c r="G204" s="110">
        <f ca="1">IFERROR(__xludf.DUMMYFUNCTION("""COMPUTED_VALUE"""),6)</f>
        <v>6</v>
      </c>
      <c r="H204" s="112" t="str">
        <f ca="1"/>
        <v/>
      </c>
      <c r="I204" s="112" t="str">
        <f ca="1"/>
        <v/>
      </c>
    </row>
    <row r="205" spans="1:9" ht="13.2">
      <c r="A205" s="109" t="str">
        <f ca="1">IFERROR(__xludf.DUMMYFUNCTION("""COMPUTED_VALUE"""),"CH")</f>
        <v>CH</v>
      </c>
      <c r="B205" s="108" t="str">
        <f ca="1">IFERROR(__xludf.DUMMYFUNCTION("""COMPUTED_VALUE"""),"Alison Gurganus")</f>
        <v>Alison Gurganus</v>
      </c>
      <c r="C205" s="109">
        <f ca="1">IFERROR(__xludf.DUMMYFUNCTION("""COMPUTED_VALUE"""),12)</f>
        <v>12</v>
      </c>
      <c r="D205" s="109" t="str">
        <f ca="1">IFERROR(__xludf.DUMMYFUNCTION("""COMPUTED_VALUE"""),"G")</f>
        <v>G</v>
      </c>
      <c r="E205" s="110" t="str">
        <f ca="1">IFERROR(__xludf.DUMMYFUNCTION("""COMPUTED_VALUE"""),"J")</f>
        <v>J</v>
      </c>
      <c r="F205" s="110" t="str">
        <f ca="1">IFERROR(__xludf.DUMMYFUNCTION("""COMPUTED_VALUE"""),"I")</f>
        <v>I</v>
      </c>
      <c r="G205" s="110">
        <f ca="1">IFERROR(__xludf.DUMMYFUNCTION("""COMPUTED_VALUE"""),6)</f>
        <v>6</v>
      </c>
      <c r="H205" s="112" t="str">
        <f ca="1"/>
        <v>58.05</v>
      </c>
      <c r="I205" s="81">
        <f ca="1"/>
        <v>58.05</v>
      </c>
    </row>
    <row r="206" spans="1:9" ht="13.2">
      <c r="A206" s="109" t="str">
        <f ca="1">IFERROR(__xludf.DUMMYFUNCTION("""COMPUTED_VALUE"""),"CH")</f>
        <v>CH</v>
      </c>
      <c r="B206" s="108" t="str">
        <f ca="1">IFERROR(__xludf.DUMMYFUNCTION("""COMPUTED_VALUE"""),"Annaliese Golley")</f>
        <v>Annaliese Golley</v>
      </c>
      <c r="C206" s="109">
        <f ca="1">IFERROR(__xludf.DUMMYFUNCTION("""COMPUTED_VALUE"""),11)</f>
        <v>11</v>
      </c>
      <c r="D206" s="109" t="str">
        <f ca="1">IFERROR(__xludf.DUMMYFUNCTION("""COMPUTED_VALUE"""),"G")</f>
        <v>G</v>
      </c>
      <c r="E206" s="110" t="str">
        <f ca="1">IFERROR(__xludf.DUMMYFUNCTION("""COMPUTED_VALUE"""),"J")</f>
        <v>J</v>
      </c>
      <c r="F206" s="110" t="str">
        <f ca="1">IFERROR(__xludf.DUMMYFUNCTION("""COMPUTED_VALUE"""),"I")</f>
        <v>I</v>
      </c>
      <c r="G206" s="110">
        <f ca="1">IFERROR(__xludf.DUMMYFUNCTION("""COMPUTED_VALUE"""),6)</f>
        <v>6</v>
      </c>
      <c r="H206" s="112" t="str">
        <f ca="1"/>
        <v/>
      </c>
      <c r="I206" s="81" t="str">
        <f ca="1"/>
        <v/>
      </c>
    </row>
    <row r="207" spans="1:9" ht="13.2">
      <c r="A207" s="109" t="str">
        <f ca="1">IFERROR(__xludf.DUMMYFUNCTION("""COMPUTED_VALUE"""),"CH")</f>
        <v>CH</v>
      </c>
      <c r="B207" s="108" t="str">
        <f ca="1">IFERROR(__xludf.DUMMYFUNCTION("""COMPUTED_VALUE"""),"Audrey Conner")</f>
        <v>Audrey Conner</v>
      </c>
      <c r="C207" s="109">
        <f ca="1">IFERROR(__xludf.DUMMYFUNCTION("""COMPUTED_VALUE"""),12)</f>
        <v>12</v>
      </c>
      <c r="D207" s="109" t="str">
        <f ca="1">IFERROR(__xludf.DUMMYFUNCTION("""COMPUTED_VALUE"""),"G")</f>
        <v>G</v>
      </c>
      <c r="E207" s="110" t="str">
        <f ca="1">IFERROR(__xludf.DUMMYFUNCTION("""COMPUTED_VALUE"""),"J")</f>
        <v>J</v>
      </c>
      <c r="F207" s="110" t="str">
        <f ca="1">IFERROR(__xludf.DUMMYFUNCTION("""COMPUTED_VALUE"""),"I")</f>
        <v>I</v>
      </c>
      <c r="G207" s="110">
        <f ca="1">IFERROR(__xludf.DUMMYFUNCTION("""COMPUTED_VALUE"""),6)</f>
        <v>6</v>
      </c>
      <c r="H207" s="112" t="str">
        <f ca="1"/>
        <v/>
      </c>
      <c r="I207" s="112" t="str">
        <f ca="1"/>
        <v/>
      </c>
    </row>
    <row r="208" spans="1:9" ht="13.2">
      <c r="A208" s="109" t="str">
        <f ca="1">IFERROR(__xludf.DUMMYFUNCTION("""COMPUTED_VALUE"""),"CH")</f>
        <v>CH</v>
      </c>
      <c r="B208" s="108" t="str">
        <f ca="1">IFERROR(__xludf.DUMMYFUNCTION("""COMPUTED_VALUE"""),"Bethany Kraft")</f>
        <v>Bethany Kraft</v>
      </c>
      <c r="C208" s="109">
        <f ca="1">IFERROR(__xludf.DUMMYFUNCTION("""COMPUTED_VALUE"""),11)</f>
        <v>11</v>
      </c>
      <c r="D208" s="109" t="str">
        <f ca="1">IFERROR(__xludf.DUMMYFUNCTION("""COMPUTED_VALUE"""),"G")</f>
        <v>G</v>
      </c>
      <c r="E208" s="110" t="str">
        <f ca="1">IFERROR(__xludf.DUMMYFUNCTION("""COMPUTED_VALUE"""),"J")</f>
        <v>J</v>
      </c>
      <c r="F208" s="110" t="str">
        <f ca="1">IFERROR(__xludf.DUMMYFUNCTION("""COMPUTED_VALUE"""),"I")</f>
        <v>I</v>
      </c>
      <c r="G208" s="110">
        <f ca="1">IFERROR(__xludf.DUMMYFUNCTION("""COMPUTED_VALUE"""),6)</f>
        <v>6</v>
      </c>
      <c r="H208" s="112" t="str">
        <f ca="1"/>
        <v/>
      </c>
      <c r="I208" s="112" t="str">
        <f ca="1"/>
        <v/>
      </c>
    </row>
    <row r="209" spans="1:9" ht="13.2">
      <c r="A209" s="109" t="str">
        <f ca="1">IFERROR(__xludf.DUMMYFUNCTION("""COMPUTED_VALUE"""),"CH")</f>
        <v>CH</v>
      </c>
      <c r="B209" s="108" t="str">
        <f ca="1">IFERROR(__xludf.DUMMYFUNCTION("""COMPUTED_VALUE"""),"Cait Engelhardt")</f>
        <v>Cait Engelhardt</v>
      </c>
      <c r="C209" s="109">
        <f ca="1">IFERROR(__xludf.DUMMYFUNCTION("""COMPUTED_VALUE"""),11)</f>
        <v>11</v>
      </c>
      <c r="D209" s="109" t="str">
        <f ca="1">IFERROR(__xludf.DUMMYFUNCTION("""COMPUTED_VALUE"""),"G")</f>
        <v>G</v>
      </c>
      <c r="E209" s="110" t="str">
        <f ca="1">IFERROR(__xludf.DUMMYFUNCTION("""COMPUTED_VALUE"""),"J")</f>
        <v>J</v>
      </c>
      <c r="F209" s="110" t="str">
        <f ca="1">IFERROR(__xludf.DUMMYFUNCTION("""COMPUTED_VALUE"""),"I")</f>
        <v>I</v>
      </c>
      <c r="G209" s="110">
        <f ca="1">IFERROR(__xludf.DUMMYFUNCTION("""COMPUTED_VALUE"""),6)</f>
        <v>6</v>
      </c>
      <c r="H209" s="112" t="str">
        <f ca="1"/>
        <v/>
      </c>
      <c r="I209" s="112" t="str">
        <f ca="1"/>
        <v/>
      </c>
    </row>
    <row r="210" spans="1:9" ht="13.2">
      <c r="A210" s="109" t="str">
        <f ca="1">IFERROR(__xludf.DUMMYFUNCTION("""COMPUTED_VALUE"""),"CH")</f>
        <v>CH</v>
      </c>
      <c r="B210" s="108" t="str">
        <f ca="1">IFERROR(__xludf.DUMMYFUNCTION("""COMPUTED_VALUE"""),"Caitlin Holtaway")</f>
        <v>Caitlin Holtaway</v>
      </c>
      <c r="C210" s="109">
        <f ca="1">IFERROR(__xludf.DUMMYFUNCTION("""COMPUTED_VALUE"""),12)</f>
        <v>12</v>
      </c>
      <c r="D210" s="109" t="str">
        <f ca="1">IFERROR(__xludf.DUMMYFUNCTION("""COMPUTED_VALUE"""),"G")</f>
        <v>G</v>
      </c>
      <c r="E210" s="110" t="str">
        <f ca="1">IFERROR(__xludf.DUMMYFUNCTION("""COMPUTED_VALUE"""),"J")</f>
        <v>J</v>
      </c>
      <c r="F210" s="110" t="str">
        <f ca="1">IFERROR(__xludf.DUMMYFUNCTION("""COMPUTED_VALUE"""),"I")</f>
        <v>I</v>
      </c>
      <c r="G210" s="110">
        <f ca="1">IFERROR(__xludf.DUMMYFUNCTION("""COMPUTED_VALUE"""),6)</f>
        <v>6</v>
      </c>
      <c r="H210" s="112" t="str">
        <f ca="1"/>
        <v/>
      </c>
      <c r="I210" s="81" t="str">
        <f ca="1"/>
        <v/>
      </c>
    </row>
    <row r="211" spans="1:9" ht="13.2">
      <c r="A211" s="109" t="str">
        <f ca="1">IFERROR(__xludf.DUMMYFUNCTION("""COMPUTED_VALUE"""),"CH")</f>
        <v>CH</v>
      </c>
      <c r="B211" s="108" t="str">
        <f ca="1">IFERROR(__xludf.DUMMYFUNCTION("""COMPUTED_VALUE"""),"Dani Rothman")</f>
        <v>Dani Rothman</v>
      </c>
      <c r="C211" s="109">
        <f ca="1">IFERROR(__xludf.DUMMYFUNCTION("""COMPUTED_VALUE"""),12)</f>
        <v>12</v>
      </c>
      <c r="D211" s="109" t="str">
        <f ca="1">IFERROR(__xludf.DUMMYFUNCTION("""COMPUTED_VALUE"""),"G")</f>
        <v>G</v>
      </c>
      <c r="E211" s="110" t="str">
        <f ca="1">IFERROR(__xludf.DUMMYFUNCTION("""COMPUTED_VALUE"""),"J")</f>
        <v>J</v>
      </c>
      <c r="F211" s="110" t="str">
        <f ca="1">IFERROR(__xludf.DUMMYFUNCTION("""COMPUTED_VALUE"""),"I")</f>
        <v>I</v>
      </c>
      <c r="G211" s="110">
        <f ca="1">IFERROR(__xludf.DUMMYFUNCTION("""COMPUTED_VALUE"""),6)</f>
        <v>6</v>
      </c>
      <c r="H211" s="112" t="str">
        <f ca="1"/>
        <v/>
      </c>
      <c r="I211" s="81" t="str">
        <f ca="1"/>
        <v/>
      </c>
    </row>
    <row r="212" spans="1:9" ht="13.2">
      <c r="A212" s="109" t="str">
        <f ca="1">IFERROR(__xludf.DUMMYFUNCTION("""COMPUTED_VALUE"""),"CH")</f>
        <v>CH</v>
      </c>
      <c r="B212" s="108" t="str">
        <f ca="1">IFERROR(__xludf.DUMMYFUNCTION("""COMPUTED_VALUE"""),"Ella Jaskot")</f>
        <v>Ella Jaskot</v>
      </c>
      <c r="C212" s="109">
        <f ca="1">IFERROR(__xludf.DUMMYFUNCTION("""COMPUTED_VALUE"""),12)</f>
        <v>12</v>
      </c>
      <c r="D212" s="109" t="str">
        <f ca="1">IFERROR(__xludf.DUMMYFUNCTION("""COMPUTED_VALUE"""),"G")</f>
        <v>G</v>
      </c>
      <c r="E212" s="110" t="str">
        <f ca="1">IFERROR(__xludf.DUMMYFUNCTION("""COMPUTED_VALUE"""),"J")</f>
        <v>J</v>
      </c>
      <c r="F212" s="110" t="str">
        <f ca="1">IFERROR(__xludf.DUMMYFUNCTION("""COMPUTED_VALUE"""),"I")</f>
        <v>I</v>
      </c>
      <c r="G212" s="110">
        <f ca="1">IFERROR(__xludf.DUMMYFUNCTION("""COMPUTED_VALUE"""),6)</f>
        <v>6</v>
      </c>
      <c r="H212" s="112" t="str">
        <f ca="1"/>
        <v/>
      </c>
      <c r="I212" s="112" t="str">
        <f ca="1"/>
        <v/>
      </c>
    </row>
    <row r="213" spans="1:9" ht="13.2">
      <c r="A213" s="109" t="str">
        <f ca="1">IFERROR(__xludf.DUMMYFUNCTION("""COMPUTED_VALUE"""),"CH")</f>
        <v>CH</v>
      </c>
      <c r="B213" s="108" t="str">
        <f ca="1">IFERROR(__xludf.DUMMYFUNCTION("""COMPUTED_VALUE"""),"Eva Ulmer")</f>
        <v>Eva Ulmer</v>
      </c>
      <c r="C213" s="109">
        <f ca="1">IFERROR(__xludf.DUMMYFUNCTION("""COMPUTED_VALUE"""),12)</f>
        <v>12</v>
      </c>
      <c r="D213" s="109" t="str">
        <f ca="1">IFERROR(__xludf.DUMMYFUNCTION("""COMPUTED_VALUE"""),"G")</f>
        <v>G</v>
      </c>
      <c r="E213" s="110" t="str">
        <f ca="1">IFERROR(__xludf.DUMMYFUNCTION("""COMPUTED_VALUE"""),"J")</f>
        <v>J</v>
      </c>
      <c r="F213" s="110" t="str">
        <f ca="1">IFERROR(__xludf.DUMMYFUNCTION("""COMPUTED_VALUE"""),"I")</f>
        <v>I</v>
      </c>
      <c r="G213" s="110">
        <f ca="1">IFERROR(__xludf.DUMMYFUNCTION("""COMPUTED_VALUE"""),6)</f>
        <v>6</v>
      </c>
      <c r="H213" s="112" t="str">
        <f ca="1"/>
        <v>38.85</v>
      </c>
      <c r="I213" s="81">
        <f ca="1"/>
        <v>38.85</v>
      </c>
    </row>
    <row r="214" spans="1:9" ht="13.2">
      <c r="A214" s="109" t="str">
        <f ca="1">IFERROR(__xludf.DUMMYFUNCTION("""COMPUTED_VALUE"""),"CH")</f>
        <v>CH</v>
      </c>
      <c r="B214" s="108" t="str">
        <f ca="1">IFERROR(__xludf.DUMMYFUNCTION("""COMPUTED_VALUE"""),"Laurel Groves")</f>
        <v>Laurel Groves</v>
      </c>
      <c r="C214" s="109">
        <f ca="1">IFERROR(__xludf.DUMMYFUNCTION("""COMPUTED_VALUE"""),11)</f>
        <v>11</v>
      </c>
      <c r="D214" s="109" t="str">
        <f ca="1">IFERROR(__xludf.DUMMYFUNCTION("""COMPUTED_VALUE"""),"G")</f>
        <v>G</v>
      </c>
      <c r="E214" s="110" t="str">
        <f ca="1">IFERROR(__xludf.DUMMYFUNCTION("""COMPUTED_VALUE"""),"J")</f>
        <v>J</v>
      </c>
      <c r="F214" s="110" t="str">
        <f ca="1">IFERROR(__xludf.DUMMYFUNCTION("""COMPUTED_VALUE"""),"I")</f>
        <v>I</v>
      </c>
      <c r="G214" s="110">
        <f ca="1">IFERROR(__xludf.DUMMYFUNCTION("""COMPUTED_VALUE"""),6)</f>
        <v>6</v>
      </c>
      <c r="H214" s="112" t="str">
        <f ca="1"/>
        <v/>
      </c>
      <c r="I214" s="112" t="str">
        <f ca="1"/>
        <v/>
      </c>
    </row>
    <row r="215" spans="1:9" ht="13.2">
      <c r="A215" s="109" t="str">
        <f ca="1">IFERROR(__xludf.DUMMYFUNCTION("""COMPUTED_VALUE"""),"CH")</f>
        <v>CH</v>
      </c>
      <c r="B215" s="108" t="str">
        <f ca="1">IFERROR(__xludf.DUMMYFUNCTION("""COMPUTED_VALUE"""),"Rebecca Rothman")</f>
        <v>Rebecca Rothman</v>
      </c>
      <c r="C215" s="109">
        <f ca="1">IFERROR(__xludf.DUMMYFUNCTION("""COMPUTED_VALUE"""),12)</f>
        <v>12</v>
      </c>
      <c r="D215" s="109" t="str">
        <f ca="1">IFERROR(__xludf.DUMMYFUNCTION("""COMPUTED_VALUE"""),"G")</f>
        <v>G</v>
      </c>
      <c r="E215" s="110" t="str">
        <f ca="1">IFERROR(__xludf.DUMMYFUNCTION("""COMPUTED_VALUE"""),"J")</f>
        <v>J</v>
      </c>
      <c r="F215" s="110" t="str">
        <f ca="1">IFERROR(__xludf.DUMMYFUNCTION("""COMPUTED_VALUE"""),"I")</f>
        <v>I</v>
      </c>
      <c r="G215" s="110">
        <f ca="1">IFERROR(__xludf.DUMMYFUNCTION("""COMPUTED_VALUE"""),6)</f>
        <v>6</v>
      </c>
      <c r="H215" s="112" t="str">
        <f ca="1"/>
        <v/>
      </c>
      <c r="I215" s="112" t="str">
        <f ca="1"/>
        <v/>
      </c>
    </row>
    <row r="216" spans="1:9" ht="13.2">
      <c r="A216" s="109" t="str">
        <f ca="1">IFERROR(__xludf.DUMMYFUNCTION("""COMPUTED_VALUE"""),"CH")</f>
        <v>CH</v>
      </c>
      <c r="B216" s="108" t="str">
        <f ca="1">IFERROR(__xludf.DUMMYFUNCTION("""COMPUTED_VALUE"""),"Riley Losick")</f>
        <v>Riley Losick</v>
      </c>
      <c r="C216" s="109">
        <f ca="1">IFERROR(__xludf.DUMMYFUNCTION("""COMPUTED_VALUE"""),12)</f>
        <v>12</v>
      </c>
      <c r="D216" s="109" t="str">
        <f ca="1">IFERROR(__xludf.DUMMYFUNCTION("""COMPUTED_VALUE"""),"G")</f>
        <v>G</v>
      </c>
      <c r="E216" s="110" t="str">
        <f ca="1">IFERROR(__xludf.DUMMYFUNCTION("""COMPUTED_VALUE"""),"J")</f>
        <v>J</v>
      </c>
      <c r="F216" s="110" t="str">
        <f ca="1">IFERROR(__xludf.DUMMYFUNCTION("""COMPUTED_VALUE"""),"I")</f>
        <v>I</v>
      </c>
      <c r="G216" s="110">
        <f ca="1">IFERROR(__xludf.DUMMYFUNCTION("""COMPUTED_VALUE"""),6)</f>
        <v>6</v>
      </c>
      <c r="H216" s="112" t="str">
        <f ca="1"/>
        <v/>
      </c>
      <c r="I216" s="112" t="str">
        <f ca="1"/>
        <v/>
      </c>
    </row>
    <row r="217" spans="1:9" ht="13.2">
      <c r="A217" s="109" t="str">
        <f ca="1">IFERROR(__xludf.DUMMYFUNCTION("""COMPUTED_VALUE"""),"CH")</f>
        <v>CH</v>
      </c>
      <c r="B217" s="108" t="str">
        <f ca="1">IFERROR(__xludf.DUMMYFUNCTION("""COMPUTED_VALUE"""),"Samantha Apgar")</f>
        <v>Samantha Apgar</v>
      </c>
      <c r="C217" s="109">
        <f ca="1">IFERROR(__xludf.DUMMYFUNCTION("""COMPUTED_VALUE"""),11)</f>
        <v>11</v>
      </c>
      <c r="D217" s="109" t="str">
        <f ca="1">IFERROR(__xludf.DUMMYFUNCTION("""COMPUTED_VALUE"""),"G")</f>
        <v>G</v>
      </c>
      <c r="E217" s="110" t="str">
        <f ca="1">IFERROR(__xludf.DUMMYFUNCTION("""COMPUTED_VALUE"""),"J")</f>
        <v>J</v>
      </c>
      <c r="F217" s="110" t="str">
        <f ca="1">IFERROR(__xludf.DUMMYFUNCTION("""COMPUTED_VALUE"""),"I")</f>
        <v>I</v>
      </c>
      <c r="G217" s="110">
        <f ca="1">IFERROR(__xludf.DUMMYFUNCTION("""COMPUTED_VALUE"""),6)</f>
        <v>6</v>
      </c>
      <c r="H217" s="112" t="str">
        <f ca="1"/>
        <v>70.5</v>
      </c>
      <c r="I217" s="112">
        <f ca="1"/>
        <v>70.5</v>
      </c>
    </row>
    <row r="218" spans="1:9" ht="13.2">
      <c r="A218" s="109" t="str">
        <f ca="1">IFERROR(__xludf.DUMMYFUNCTION("""COMPUTED_VALUE"""),"CH")</f>
        <v>CH</v>
      </c>
      <c r="B218" s="108" t="str">
        <f ca="1">IFERROR(__xludf.DUMMYFUNCTION("""COMPUTED_VALUE"""),"Colin Crowley")</f>
        <v>Colin Crowley</v>
      </c>
      <c r="C218" s="109">
        <f ca="1">IFERROR(__xludf.DUMMYFUNCTION("""COMPUTED_VALUE"""),17)</f>
        <v>17</v>
      </c>
      <c r="D218" s="109" t="str">
        <f ca="1">IFERROR(__xludf.DUMMYFUNCTION("""COMPUTED_VALUE"""),"B")</f>
        <v>B</v>
      </c>
      <c r="E218" s="110" t="str">
        <f ca="1">IFERROR(__xludf.DUMMYFUNCTION("""COMPUTED_VALUE"""),"S")</f>
        <v>S</v>
      </c>
      <c r="F218" s="110" t="str">
        <f ca="1">IFERROR(__xludf.DUMMYFUNCTION("""COMPUTED_VALUE"""),"S")</f>
        <v>S</v>
      </c>
      <c r="G218" s="110">
        <f ca="1">IFERROR(__xludf.DUMMYFUNCTION("""COMPUTED_VALUE"""),6)</f>
        <v>6</v>
      </c>
      <c r="H218" s="112" t="str">
        <f ca="1"/>
        <v/>
      </c>
      <c r="I218" s="112" t="str">
        <f ca="1"/>
        <v/>
      </c>
    </row>
    <row r="219" spans="1:9" ht="13.2">
      <c r="A219" s="109" t="str">
        <f ca="1">IFERROR(__xludf.DUMMYFUNCTION("""COMPUTED_VALUE"""),"CH")</f>
        <v>CH</v>
      </c>
      <c r="B219" s="108" t="str">
        <f ca="1">IFERROR(__xludf.DUMMYFUNCTION("""COMPUTED_VALUE"""),"Dan Lauretti")</f>
        <v>Dan Lauretti</v>
      </c>
      <c r="C219" s="109">
        <f ca="1">IFERROR(__xludf.DUMMYFUNCTION("""COMPUTED_VALUE"""),15)</f>
        <v>15</v>
      </c>
      <c r="D219" s="109" t="str">
        <f ca="1">IFERROR(__xludf.DUMMYFUNCTION("""COMPUTED_VALUE"""),"B")</f>
        <v>B</v>
      </c>
      <c r="E219" s="110" t="str">
        <f ca="1">IFERROR(__xludf.DUMMYFUNCTION("""COMPUTED_VALUE"""),"S")</f>
        <v>S</v>
      </c>
      <c r="F219" s="110" t="str">
        <f ca="1">IFERROR(__xludf.DUMMYFUNCTION("""COMPUTED_VALUE"""),"S")</f>
        <v>S</v>
      </c>
      <c r="G219" s="110">
        <f ca="1">IFERROR(__xludf.DUMMYFUNCTION("""COMPUTED_VALUE"""),6)</f>
        <v>6</v>
      </c>
      <c r="H219" s="112" t="str">
        <f ca="1"/>
        <v/>
      </c>
      <c r="I219" s="112" t="str">
        <f ca="1"/>
        <v/>
      </c>
    </row>
    <row r="220" spans="1:9" ht="13.2">
      <c r="A220" s="109" t="str">
        <f ca="1">IFERROR(__xludf.DUMMYFUNCTION("""COMPUTED_VALUE"""),"CH")</f>
        <v>CH</v>
      </c>
      <c r="B220" s="108" t="str">
        <f ca="1">IFERROR(__xludf.DUMMYFUNCTION("""COMPUTED_VALUE"""),"Julianne Feuchter")</f>
        <v>Julianne Feuchter</v>
      </c>
      <c r="C220" s="109">
        <f ca="1">IFERROR(__xludf.DUMMYFUNCTION("""COMPUTED_VALUE"""),19)</f>
        <v>19</v>
      </c>
      <c r="D220" s="109" t="str">
        <f ca="1">IFERROR(__xludf.DUMMYFUNCTION("""COMPUTED_VALUE"""),"G")</f>
        <v>G</v>
      </c>
      <c r="E220" s="110" t="str">
        <f ca="1">IFERROR(__xludf.DUMMYFUNCTION("""COMPUTED_VALUE"""),"S")</f>
        <v>S</v>
      </c>
      <c r="F220" s="110" t="str">
        <f ca="1">IFERROR(__xludf.DUMMYFUNCTION("""COMPUTED_VALUE"""),"S")</f>
        <v>S</v>
      </c>
      <c r="G220" s="110">
        <f ca="1">IFERROR(__xludf.DUMMYFUNCTION("""COMPUTED_VALUE"""),6)</f>
        <v>6</v>
      </c>
      <c r="H220" s="112" t="str">
        <f ca="1"/>
        <v/>
      </c>
      <c r="I220" s="112" t="str">
        <f ca="1"/>
        <v/>
      </c>
    </row>
    <row r="221" spans="1:9" ht="13.2">
      <c r="A221" s="109" t="str">
        <f ca="1">IFERROR(__xludf.DUMMYFUNCTION("""COMPUTED_VALUE"""),"CH")</f>
        <v>CH</v>
      </c>
      <c r="B221" s="108" t="str">
        <f ca="1">IFERROR(__xludf.DUMMYFUNCTION("""COMPUTED_VALUE"""),"Kinaire Callahan")</f>
        <v>Kinaire Callahan</v>
      </c>
      <c r="C221" s="109">
        <f ca="1">IFERROR(__xludf.DUMMYFUNCTION("""COMPUTED_VALUE"""),16)</f>
        <v>16</v>
      </c>
      <c r="D221" s="109" t="str">
        <f ca="1">IFERROR(__xludf.DUMMYFUNCTION("""COMPUTED_VALUE"""),"G")</f>
        <v>G</v>
      </c>
      <c r="E221" s="110" t="str">
        <f ca="1">IFERROR(__xludf.DUMMYFUNCTION("""COMPUTED_VALUE"""),"S")</f>
        <v>S</v>
      </c>
      <c r="F221" s="110" t="str">
        <f ca="1">IFERROR(__xludf.DUMMYFUNCTION("""COMPUTED_VALUE"""),"S")</f>
        <v>S</v>
      </c>
      <c r="G221" s="110">
        <f ca="1">IFERROR(__xludf.DUMMYFUNCTION("""COMPUTED_VALUE"""),6)</f>
        <v>6</v>
      </c>
      <c r="H221" s="112" t="str">
        <f ca="1"/>
        <v>25.35</v>
      </c>
      <c r="I221" s="112">
        <f ca="1"/>
        <v>25.35</v>
      </c>
    </row>
    <row r="222" spans="1:9" ht="13.2">
      <c r="A222" s="109" t="str">
        <f ca="1">IFERROR(__xludf.DUMMYFUNCTION("""COMPUTED_VALUE"""),"CH")</f>
        <v>CH</v>
      </c>
      <c r="B222" s="108" t="str">
        <f ca="1">IFERROR(__xludf.DUMMYFUNCTION("""COMPUTED_VALUE"""),"Lucy Silverstein")</f>
        <v>Lucy Silverstein</v>
      </c>
      <c r="C222" s="109">
        <f ca="1">IFERROR(__xludf.DUMMYFUNCTION("""COMPUTED_VALUE"""),15)</f>
        <v>15</v>
      </c>
      <c r="D222" s="109" t="str">
        <f ca="1">IFERROR(__xludf.DUMMYFUNCTION("""COMPUTED_VALUE"""),"G")</f>
        <v>G</v>
      </c>
      <c r="E222" s="110" t="str">
        <f ca="1">IFERROR(__xludf.DUMMYFUNCTION("""COMPUTED_VALUE"""),"S")</f>
        <v>S</v>
      </c>
      <c r="F222" s="110" t="str">
        <f ca="1">IFERROR(__xludf.DUMMYFUNCTION("""COMPUTED_VALUE"""),"S")</f>
        <v>S</v>
      </c>
      <c r="G222" s="110">
        <f ca="1">IFERROR(__xludf.DUMMYFUNCTION("""COMPUTED_VALUE"""),6)</f>
        <v>6</v>
      </c>
      <c r="H222" s="112" t="str">
        <f ca="1"/>
        <v/>
      </c>
      <c r="I222" s="112" t="str">
        <f ca="1"/>
        <v/>
      </c>
    </row>
    <row r="223" spans="1:9" ht="13.2">
      <c r="A223" s="109" t="str">
        <f ca="1">IFERROR(__xludf.DUMMYFUNCTION("""COMPUTED_VALUE"""),"CH")</f>
        <v>CH</v>
      </c>
      <c r="B223" s="108" t="str">
        <f ca="1">IFERROR(__xludf.DUMMYFUNCTION("""COMPUTED_VALUE"""),"Paige Thomas")</f>
        <v>Paige Thomas</v>
      </c>
      <c r="C223" s="109">
        <f ca="1">IFERROR(__xludf.DUMMYFUNCTION("""COMPUTED_VALUE"""),17)</f>
        <v>17</v>
      </c>
      <c r="D223" s="109" t="str">
        <f ca="1">IFERROR(__xludf.DUMMYFUNCTION("""COMPUTED_VALUE"""),"G")</f>
        <v>G</v>
      </c>
      <c r="E223" s="110" t="str">
        <f ca="1">IFERROR(__xludf.DUMMYFUNCTION("""COMPUTED_VALUE"""),"S")</f>
        <v>S</v>
      </c>
      <c r="F223" s="110" t="str">
        <f ca="1">IFERROR(__xludf.DUMMYFUNCTION("""COMPUTED_VALUE"""),"S")</f>
        <v>S</v>
      </c>
      <c r="G223" s="110">
        <f ca="1">IFERROR(__xludf.DUMMYFUNCTION("""COMPUTED_VALUE"""),6)</f>
        <v>6</v>
      </c>
      <c r="H223" s="112" t="str">
        <f ca="1"/>
        <v/>
      </c>
      <c r="I223" s="81" t="str">
        <f ca="1"/>
        <v/>
      </c>
    </row>
    <row r="224" spans="1:9" ht="13.2">
      <c r="A224" s="109" t="str">
        <f ca="1">IFERROR(__xludf.DUMMYFUNCTION("""COMPUTED_VALUE"""),"CH")</f>
        <v>CH</v>
      </c>
      <c r="B224" s="108" t="str">
        <f ca="1">IFERROR(__xludf.DUMMYFUNCTION("""COMPUTED_VALUE"""),"Samantha Lauber")</f>
        <v>Samantha Lauber</v>
      </c>
      <c r="C224" s="109">
        <f ca="1">IFERROR(__xludf.DUMMYFUNCTION("""COMPUTED_VALUE"""),15)</f>
        <v>15</v>
      </c>
      <c r="D224" s="109" t="str">
        <f ca="1">IFERROR(__xludf.DUMMYFUNCTION("""COMPUTED_VALUE"""),"G")</f>
        <v>G</v>
      </c>
      <c r="E224" s="110" t="str">
        <f ca="1">IFERROR(__xludf.DUMMYFUNCTION("""COMPUTED_VALUE"""),"S")</f>
        <v>S</v>
      </c>
      <c r="F224" s="110" t="str">
        <f ca="1">IFERROR(__xludf.DUMMYFUNCTION("""COMPUTED_VALUE"""),"S")</f>
        <v>S</v>
      </c>
      <c r="G224" s="110">
        <f ca="1">IFERROR(__xludf.DUMMYFUNCTION("""COMPUTED_VALUE"""),6)</f>
        <v>6</v>
      </c>
      <c r="H224" s="112" t="str">
        <f ca="1"/>
        <v/>
      </c>
      <c r="I224" s="81" t="str">
        <f ca="1"/>
        <v/>
      </c>
    </row>
    <row r="225" spans="1:9" ht="13.2">
      <c r="A225" s="109" t="str">
        <f ca="1">IFERROR(__xludf.DUMMYFUNCTION("""COMPUTED_VALUE"""),"CH")</f>
        <v>CH</v>
      </c>
      <c r="B225" s="108" t="str">
        <f ca="1">IFERROR(__xludf.DUMMYFUNCTION("""COMPUTED_VALUE"""),"Sarah Manson")</f>
        <v>Sarah Manson</v>
      </c>
      <c r="C225" s="109">
        <f ca="1">IFERROR(__xludf.DUMMYFUNCTION("""COMPUTED_VALUE"""),15)</f>
        <v>15</v>
      </c>
      <c r="D225" s="109" t="str">
        <f ca="1">IFERROR(__xludf.DUMMYFUNCTION("""COMPUTED_VALUE"""),"G")</f>
        <v>G</v>
      </c>
      <c r="E225" s="110" t="str">
        <f ca="1">IFERROR(__xludf.DUMMYFUNCTION("""COMPUTED_VALUE"""),"S")</f>
        <v>S</v>
      </c>
      <c r="F225" s="110" t="str">
        <f ca="1">IFERROR(__xludf.DUMMYFUNCTION("""COMPUTED_VALUE"""),"S")</f>
        <v>S</v>
      </c>
      <c r="G225" s="110">
        <f ca="1">IFERROR(__xludf.DUMMYFUNCTION("""COMPUTED_VALUE"""),6)</f>
        <v>6</v>
      </c>
      <c r="H225" s="112" t="str">
        <f ca="1"/>
        <v/>
      </c>
      <c r="I225" s="112" t="str">
        <f ca="1"/>
        <v/>
      </c>
    </row>
    <row r="226" spans="1:9" ht="13.2">
      <c r="A226" s="109" t="str">
        <f ca="1">IFERROR(__xludf.DUMMYFUNCTION("""COMPUTED_VALUE"""),"CH")</f>
        <v>CH</v>
      </c>
      <c r="B226" s="108" t="str">
        <f ca="1">IFERROR(__xludf.DUMMYFUNCTION("""COMPUTED_VALUE"""),"Teresa Capuano-Rizzo")</f>
        <v>Teresa Capuano-Rizzo</v>
      </c>
      <c r="C226" s="109">
        <f ca="1">IFERROR(__xludf.DUMMYFUNCTION("""COMPUTED_VALUE"""),18)</f>
        <v>18</v>
      </c>
      <c r="D226" s="109" t="str">
        <f ca="1">IFERROR(__xludf.DUMMYFUNCTION("""COMPUTED_VALUE"""),"G")</f>
        <v>G</v>
      </c>
      <c r="E226" s="110" t="str">
        <f ca="1">IFERROR(__xludf.DUMMYFUNCTION("""COMPUTED_VALUE"""),"S")</f>
        <v>S</v>
      </c>
      <c r="F226" s="110" t="str">
        <f ca="1">IFERROR(__xludf.DUMMYFUNCTION("""COMPUTED_VALUE"""),"S")</f>
        <v>S</v>
      </c>
      <c r="G226" s="110">
        <f ca="1">IFERROR(__xludf.DUMMYFUNCTION("""COMPUTED_VALUE"""),6)</f>
        <v>6</v>
      </c>
      <c r="H226" s="112" t="str">
        <f ca="1"/>
        <v/>
      </c>
      <c r="I226" s="112" t="str">
        <f ca="1"/>
        <v/>
      </c>
    </row>
    <row r="227" spans="1:9" ht="13.2">
      <c r="A227" s="109" t="str">
        <f ca="1">IFERROR(__xludf.DUMMYFUNCTION("""COMPUTED_VALUE"""),"CP")</f>
        <v>CP</v>
      </c>
      <c r="B227" s="108" t="str">
        <f ca="1">IFERROR(__xludf.DUMMYFUNCTION("""COMPUTED_VALUE"""),"Caleb Cherryholmes-Wesley")</f>
        <v>Caleb Cherryholmes-Wesley</v>
      </c>
      <c r="C227" s="109">
        <f ca="1">IFERROR(__xludf.DUMMYFUNCTION("""COMPUTED_VALUE"""),9)</f>
        <v>9</v>
      </c>
      <c r="D227" s="109" t="str">
        <f ca="1">IFERROR(__xludf.DUMMYFUNCTION("""COMPUTED_VALUE"""),"B")</f>
        <v>B</v>
      </c>
      <c r="E227" s="110" t="str">
        <f ca="1">IFERROR(__xludf.DUMMYFUNCTION("""COMPUTED_VALUE"""),"F")</f>
        <v>F</v>
      </c>
      <c r="F227" s="110" t="str">
        <f ca="1">IFERROR(__xludf.DUMMYFUNCTION("""COMPUTED_VALUE"""),"J")</f>
        <v>J</v>
      </c>
      <c r="G227" s="110">
        <f ca="1">IFERROR(__xludf.DUMMYFUNCTION("""COMPUTED_VALUE"""),5)</f>
        <v>5</v>
      </c>
      <c r="H227" s="112" t="str">
        <f ca="1"/>
        <v/>
      </c>
      <c r="I227" s="112" t="str">
        <f ca="1"/>
        <v/>
      </c>
    </row>
    <row r="228" spans="1:9" ht="13.2">
      <c r="A228" s="109" t="str">
        <f ca="1">IFERROR(__xludf.DUMMYFUNCTION("""COMPUTED_VALUE"""),"CP")</f>
        <v>CP</v>
      </c>
      <c r="B228" s="108" t="str">
        <f ca="1">IFERROR(__xludf.DUMMYFUNCTION("""COMPUTED_VALUE"""),"Easton Dugger")</f>
        <v>Easton Dugger</v>
      </c>
      <c r="C228" s="109">
        <f ca="1">IFERROR(__xludf.DUMMYFUNCTION("""COMPUTED_VALUE"""),8)</f>
        <v>8</v>
      </c>
      <c r="D228" s="109" t="str">
        <f ca="1">IFERROR(__xludf.DUMMYFUNCTION("""COMPUTED_VALUE"""),"B")</f>
        <v>B</v>
      </c>
      <c r="E228" s="110" t="str">
        <f ca="1">IFERROR(__xludf.DUMMYFUNCTION("""COMPUTED_VALUE"""),"F")</f>
        <v>F</v>
      </c>
      <c r="F228" s="110" t="str">
        <f ca="1">IFERROR(__xludf.DUMMYFUNCTION("""COMPUTED_VALUE"""),"J")</f>
        <v>J</v>
      </c>
      <c r="G228" s="110">
        <f ca="1">IFERROR(__xludf.DUMMYFUNCTION("""COMPUTED_VALUE"""),5)</f>
        <v>5</v>
      </c>
      <c r="H228" s="112" t="str">
        <f ca="1"/>
        <v>24.65</v>
      </c>
      <c r="I228" s="112">
        <f ca="1"/>
        <v>24.65</v>
      </c>
    </row>
    <row r="229" spans="1:9" ht="13.2">
      <c r="A229" s="109" t="str">
        <f ca="1">IFERROR(__xludf.DUMMYFUNCTION("""COMPUTED_VALUE"""),"CP")</f>
        <v>CP</v>
      </c>
      <c r="B229" s="108" t="str">
        <f ca="1">IFERROR(__xludf.DUMMYFUNCTION("""COMPUTED_VALUE"""),"Ethan Johns")</f>
        <v>Ethan Johns</v>
      </c>
      <c r="C229" s="109">
        <f ca="1">IFERROR(__xludf.DUMMYFUNCTION("""COMPUTED_VALUE"""),10)</f>
        <v>10</v>
      </c>
      <c r="D229" s="109" t="str">
        <f ca="1">IFERROR(__xludf.DUMMYFUNCTION("""COMPUTED_VALUE"""),"B")</f>
        <v>B</v>
      </c>
      <c r="E229" s="110" t="str">
        <f ca="1">IFERROR(__xludf.DUMMYFUNCTION("""COMPUTED_VALUE"""),"F")</f>
        <v>F</v>
      </c>
      <c r="F229" s="110" t="str">
        <f ca="1">IFERROR(__xludf.DUMMYFUNCTION("""COMPUTED_VALUE"""),"J")</f>
        <v>J</v>
      </c>
      <c r="G229" s="110">
        <f ca="1">IFERROR(__xludf.DUMMYFUNCTION("""COMPUTED_VALUE"""),5)</f>
        <v>5</v>
      </c>
      <c r="H229" s="112" t="str">
        <f ca="1"/>
        <v/>
      </c>
      <c r="I229" s="81" t="str">
        <f ca="1"/>
        <v/>
      </c>
    </row>
    <row r="230" spans="1:9" ht="13.2">
      <c r="A230" s="109" t="str">
        <f ca="1">IFERROR(__xludf.DUMMYFUNCTION("""COMPUTED_VALUE"""),"CP")</f>
        <v>CP</v>
      </c>
      <c r="B230" s="108" t="str">
        <f ca="1">IFERROR(__xludf.DUMMYFUNCTION("""COMPUTED_VALUE"""),"Evan Davis")</f>
        <v>Evan Davis</v>
      </c>
      <c r="C230" s="109">
        <f ca="1">IFERROR(__xludf.DUMMYFUNCTION("""COMPUTED_VALUE"""),10)</f>
        <v>10</v>
      </c>
      <c r="D230" s="109" t="str">
        <f ca="1">IFERROR(__xludf.DUMMYFUNCTION("""COMPUTED_VALUE"""),"B")</f>
        <v>B</v>
      </c>
      <c r="E230" s="110" t="str">
        <f ca="1">IFERROR(__xludf.DUMMYFUNCTION("""COMPUTED_VALUE"""),"F")</f>
        <v>F</v>
      </c>
      <c r="F230" s="110" t="str">
        <f ca="1">IFERROR(__xludf.DUMMYFUNCTION("""COMPUTED_VALUE"""),"J")</f>
        <v>J</v>
      </c>
      <c r="G230" s="110">
        <f ca="1">IFERROR(__xludf.DUMMYFUNCTION("""COMPUTED_VALUE"""),5)</f>
        <v>5</v>
      </c>
      <c r="H230" s="112" t="str">
        <f ca="1"/>
        <v/>
      </c>
      <c r="I230" s="112" t="str">
        <f ca="1"/>
        <v/>
      </c>
    </row>
    <row r="231" spans="1:9" ht="13.2">
      <c r="A231" s="109" t="str">
        <f ca="1">IFERROR(__xludf.DUMMYFUNCTION("""COMPUTED_VALUE"""),"CP")</f>
        <v>CP</v>
      </c>
      <c r="B231" s="108" t="str">
        <f ca="1">IFERROR(__xludf.DUMMYFUNCTION("""COMPUTED_VALUE"""),"Ewan Stacey")</f>
        <v>Ewan Stacey</v>
      </c>
      <c r="C231" s="109">
        <f ca="1">IFERROR(__xludf.DUMMYFUNCTION("""COMPUTED_VALUE"""),9)</f>
        <v>9</v>
      </c>
      <c r="D231" s="109" t="str">
        <f ca="1">IFERROR(__xludf.DUMMYFUNCTION("""COMPUTED_VALUE"""),"B")</f>
        <v>B</v>
      </c>
      <c r="E231" s="110" t="str">
        <f ca="1">IFERROR(__xludf.DUMMYFUNCTION("""COMPUTED_VALUE"""),"F")</f>
        <v>F</v>
      </c>
      <c r="F231" s="110" t="str">
        <f ca="1">IFERROR(__xludf.DUMMYFUNCTION("""COMPUTED_VALUE"""),"J")</f>
        <v>J</v>
      </c>
      <c r="G231" s="110">
        <f ca="1">IFERROR(__xludf.DUMMYFUNCTION("""COMPUTED_VALUE"""),5)</f>
        <v>5</v>
      </c>
      <c r="H231" s="112" t="str">
        <f ca="1"/>
        <v/>
      </c>
      <c r="I231" s="112" t="str">
        <f ca="1"/>
        <v/>
      </c>
    </row>
    <row r="232" spans="1:9" ht="13.2">
      <c r="A232" s="109" t="str">
        <f ca="1">IFERROR(__xludf.DUMMYFUNCTION("""COMPUTED_VALUE"""),"CP")</f>
        <v>CP</v>
      </c>
      <c r="B232" s="108" t="str">
        <f ca="1">IFERROR(__xludf.DUMMYFUNCTION("""COMPUTED_VALUE"""),"Gavin Johns")</f>
        <v>Gavin Johns</v>
      </c>
      <c r="C232" s="109">
        <f ca="1">IFERROR(__xludf.DUMMYFUNCTION("""COMPUTED_VALUE"""),8)</f>
        <v>8</v>
      </c>
      <c r="D232" s="109" t="str">
        <f ca="1">IFERROR(__xludf.DUMMYFUNCTION("""COMPUTED_VALUE"""),"B")</f>
        <v>B</v>
      </c>
      <c r="E232" s="110" t="str">
        <f ca="1">IFERROR(__xludf.DUMMYFUNCTION("""COMPUTED_VALUE"""),"F")</f>
        <v>F</v>
      </c>
      <c r="F232" s="110" t="str">
        <f ca="1">IFERROR(__xludf.DUMMYFUNCTION("""COMPUTED_VALUE"""),"J")</f>
        <v>J</v>
      </c>
      <c r="G232" s="110">
        <f ca="1">IFERROR(__xludf.DUMMYFUNCTION("""COMPUTED_VALUE"""),5)</f>
        <v>5</v>
      </c>
      <c r="H232" s="112" t="str">
        <f ca="1"/>
        <v/>
      </c>
      <c r="I232" s="112" t="str">
        <f ca="1"/>
        <v/>
      </c>
    </row>
    <row r="233" spans="1:9" ht="13.2">
      <c r="A233" s="109" t="str">
        <f ca="1">IFERROR(__xludf.DUMMYFUNCTION("""COMPUTED_VALUE"""),"CP")</f>
        <v>CP</v>
      </c>
      <c r="B233" s="108" t="str">
        <f ca="1">IFERROR(__xludf.DUMMYFUNCTION("""COMPUTED_VALUE"""),"Hugh Keaney")</f>
        <v>Hugh Keaney</v>
      </c>
      <c r="C233" s="109">
        <f ca="1">IFERROR(__xludf.DUMMYFUNCTION("""COMPUTED_VALUE"""),8)</f>
        <v>8</v>
      </c>
      <c r="D233" s="109" t="str">
        <f ca="1">IFERROR(__xludf.DUMMYFUNCTION("""COMPUTED_VALUE"""),"B")</f>
        <v>B</v>
      </c>
      <c r="E233" s="110" t="str">
        <f ca="1">IFERROR(__xludf.DUMMYFUNCTION("""COMPUTED_VALUE"""),"F")</f>
        <v>F</v>
      </c>
      <c r="F233" s="110" t="str">
        <f ca="1">IFERROR(__xludf.DUMMYFUNCTION("""COMPUTED_VALUE"""),"J")</f>
        <v>J</v>
      </c>
      <c r="G233" s="110">
        <f ca="1">IFERROR(__xludf.DUMMYFUNCTION("""COMPUTED_VALUE"""),5)</f>
        <v>5</v>
      </c>
      <c r="H233" s="112" t="str">
        <f ca="1"/>
        <v/>
      </c>
      <c r="I233" s="112" t="str">
        <f ca="1"/>
        <v/>
      </c>
    </row>
    <row r="234" spans="1:9" ht="13.2">
      <c r="A234" s="109" t="str">
        <f ca="1">IFERROR(__xludf.DUMMYFUNCTION("""COMPUTED_VALUE"""),"CP")</f>
        <v>CP</v>
      </c>
      <c r="B234" s="108" t="str">
        <f ca="1">IFERROR(__xludf.DUMMYFUNCTION("""COMPUTED_VALUE"""),"Luke Sabo")</f>
        <v>Luke Sabo</v>
      </c>
      <c r="C234" s="109">
        <f ca="1">IFERROR(__xludf.DUMMYFUNCTION("""COMPUTED_VALUE"""),10)</f>
        <v>10</v>
      </c>
      <c r="D234" s="109" t="str">
        <f ca="1">IFERROR(__xludf.DUMMYFUNCTION("""COMPUTED_VALUE"""),"B")</f>
        <v>B</v>
      </c>
      <c r="E234" s="110" t="str">
        <f ca="1">IFERROR(__xludf.DUMMYFUNCTION("""COMPUTED_VALUE"""),"F")</f>
        <v>F</v>
      </c>
      <c r="F234" s="110" t="str">
        <f ca="1">IFERROR(__xludf.DUMMYFUNCTION("""COMPUTED_VALUE"""),"J")</f>
        <v>J</v>
      </c>
      <c r="G234" s="110">
        <f ca="1">IFERROR(__xludf.DUMMYFUNCTION("""COMPUTED_VALUE"""),5)</f>
        <v>5</v>
      </c>
      <c r="H234" s="112" t="str">
        <f ca="1"/>
        <v/>
      </c>
      <c r="I234" s="112" t="str">
        <f ca="1"/>
        <v/>
      </c>
    </row>
    <row r="235" spans="1:9" ht="13.2">
      <c r="A235" s="109" t="str">
        <f ca="1">IFERROR(__xludf.DUMMYFUNCTION("""COMPUTED_VALUE"""),"CP")</f>
        <v>CP</v>
      </c>
      <c r="B235" s="108" t="str">
        <f ca="1">IFERROR(__xludf.DUMMYFUNCTION("""COMPUTED_VALUE"""),"Nolan Cherryholmes-Wesley")</f>
        <v>Nolan Cherryholmes-Wesley</v>
      </c>
      <c r="C235" s="109">
        <f ca="1">IFERROR(__xludf.DUMMYFUNCTION("""COMPUTED_VALUE"""),6)</f>
        <v>6</v>
      </c>
      <c r="D235" s="109" t="str">
        <f ca="1">IFERROR(__xludf.DUMMYFUNCTION("""COMPUTED_VALUE"""),"B")</f>
        <v>B</v>
      </c>
      <c r="E235" s="110" t="str">
        <f ca="1">IFERROR(__xludf.DUMMYFUNCTION("""COMPUTED_VALUE"""),"F")</f>
        <v>F</v>
      </c>
      <c r="F235" s="110" t="str">
        <f ca="1">IFERROR(__xludf.DUMMYFUNCTION("""COMPUTED_VALUE"""),"J")</f>
        <v>J</v>
      </c>
      <c r="G235" s="110">
        <f ca="1">IFERROR(__xludf.DUMMYFUNCTION("""COMPUTED_VALUE"""),5)</f>
        <v>5</v>
      </c>
      <c r="H235" s="112" t="str">
        <f ca="1"/>
        <v>27.6</v>
      </c>
      <c r="I235" s="112">
        <f ca="1"/>
        <v>27.6</v>
      </c>
    </row>
    <row r="236" spans="1:9" ht="13.2">
      <c r="A236" s="109" t="str">
        <f ca="1">IFERROR(__xludf.DUMMYFUNCTION("""COMPUTED_VALUE"""),"CP")</f>
        <v>CP</v>
      </c>
      <c r="B236" s="108" t="str">
        <f ca="1">IFERROR(__xludf.DUMMYFUNCTION("""COMPUTED_VALUE"""),"Ryan Stephens")</f>
        <v>Ryan Stephens</v>
      </c>
      <c r="C236" s="109">
        <f ca="1">IFERROR(__xludf.DUMMYFUNCTION("""COMPUTED_VALUE"""),8)</f>
        <v>8</v>
      </c>
      <c r="D236" s="109" t="str">
        <f ca="1">IFERROR(__xludf.DUMMYFUNCTION("""COMPUTED_VALUE"""),"B")</f>
        <v>B</v>
      </c>
      <c r="E236" s="110" t="str">
        <f ca="1">IFERROR(__xludf.DUMMYFUNCTION("""COMPUTED_VALUE"""),"F")</f>
        <v>F</v>
      </c>
      <c r="F236" s="110" t="str">
        <f ca="1">IFERROR(__xludf.DUMMYFUNCTION("""COMPUTED_VALUE"""),"J")</f>
        <v>J</v>
      </c>
      <c r="G236" s="110">
        <f ca="1">IFERROR(__xludf.DUMMYFUNCTION("""COMPUTED_VALUE"""),5)</f>
        <v>5</v>
      </c>
      <c r="H236" s="112" t="str">
        <f ca="1"/>
        <v>23.55</v>
      </c>
      <c r="I236" s="112">
        <f ca="1"/>
        <v>23.55</v>
      </c>
    </row>
    <row r="237" spans="1:9" ht="13.2">
      <c r="A237" s="109" t="str">
        <f ca="1">IFERROR(__xludf.DUMMYFUNCTION("""COMPUTED_VALUE"""),"CP")</f>
        <v>CP</v>
      </c>
      <c r="B237" s="108" t="str">
        <f ca="1">IFERROR(__xludf.DUMMYFUNCTION("""COMPUTED_VALUE"""),"William Haskins")</f>
        <v>William Haskins</v>
      </c>
      <c r="C237" s="109">
        <f ca="1">IFERROR(__xludf.DUMMYFUNCTION("""COMPUTED_VALUE"""),10)</f>
        <v>10</v>
      </c>
      <c r="D237" s="109" t="str">
        <f ca="1">IFERROR(__xludf.DUMMYFUNCTION("""COMPUTED_VALUE"""),"B")</f>
        <v>B</v>
      </c>
      <c r="E237" s="110" t="str">
        <f ca="1">IFERROR(__xludf.DUMMYFUNCTION("""COMPUTED_VALUE"""),"F")</f>
        <v>F</v>
      </c>
      <c r="F237" s="110" t="str">
        <f ca="1">IFERROR(__xludf.DUMMYFUNCTION("""COMPUTED_VALUE"""),"J")</f>
        <v>J</v>
      </c>
      <c r="G237" s="110">
        <f ca="1">IFERROR(__xludf.DUMMYFUNCTION("""COMPUTED_VALUE"""),5)</f>
        <v>5</v>
      </c>
      <c r="H237" s="112" t="str">
        <f ca="1"/>
        <v>27.85</v>
      </c>
      <c r="I237" s="112">
        <f ca="1"/>
        <v>27.85</v>
      </c>
    </row>
    <row r="238" spans="1:9" ht="13.2">
      <c r="A238" s="109" t="str">
        <f ca="1">IFERROR(__xludf.DUMMYFUNCTION("""COMPUTED_VALUE"""),"CP")</f>
        <v>CP</v>
      </c>
      <c r="B238" s="108" t="str">
        <f ca="1">IFERROR(__xludf.DUMMYFUNCTION("""COMPUTED_VALUE"""),"Alexandra Smith")</f>
        <v>Alexandra Smith</v>
      </c>
      <c r="C238" s="109">
        <f ca="1">IFERROR(__xludf.DUMMYFUNCTION("""COMPUTED_VALUE"""),7)</f>
        <v>7</v>
      </c>
      <c r="D238" s="109" t="str">
        <f ca="1">IFERROR(__xludf.DUMMYFUNCTION("""COMPUTED_VALUE"""),"G")</f>
        <v>G</v>
      </c>
      <c r="E238" s="110" t="str">
        <f ca="1">IFERROR(__xludf.DUMMYFUNCTION("""COMPUTED_VALUE"""),"F")</f>
        <v>F</v>
      </c>
      <c r="F238" s="110" t="str">
        <f ca="1">IFERROR(__xludf.DUMMYFUNCTION("""COMPUTED_VALUE"""),"J")</f>
        <v>J</v>
      </c>
      <c r="G238" s="110">
        <f ca="1">IFERROR(__xludf.DUMMYFUNCTION("""COMPUTED_VALUE"""),5)</f>
        <v>5</v>
      </c>
      <c r="H238" s="112" t="str">
        <f ca="1"/>
        <v>21.95</v>
      </c>
      <c r="I238" s="81">
        <f ca="1"/>
        <v>21.95</v>
      </c>
    </row>
    <row r="239" spans="1:9" ht="13.2">
      <c r="A239" s="109" t="str">
        <f ca="1">IFERROR(__xludf.DUMMYFUNCTION("""COMPUTED_VALUE"""),"CP")</f>
        <v>CP</v>
      </c>
      <c r="B239" s="108" t="str">
        <f ca="1">IFERROR(__xludf.DUMMYFUNCTION("""COMPUTED_VALUE"""),"Aliya Zikria")</f>
        <v>Aliya Zikria</v>
      </c>
      <c r="C239" s="109">
        <f ca="1">IFERROR(__xludf.DUMMYFUNCTION("""COMPUTED_VALUE"""),9)</f>
        <v>9</v>
      </c>
      <c r="D239" s="109" t="str">
        <f ca="1">IFERROR(__xludf.DUMMYFUNCTION("""COMPUTED_VALUE"""),"G")</f>
        <v>G</v>
      </c>
      <c r="E239" s="110" t="str">
        <f ca="1">IFERROR(__xludf.DUMMYFUNCTION("""COMPUTED_VALUE"""),"F")</f>
        <v>F</v>
      </c>
      <c r="F239" s="110" t="str">
        <f ca="1">IFERROR(__xludf.DUMMYFUNCTION("""COMPUTED_VALUE"""),"J")</f>
        <v>J</v>
      </c>
      <c r="G239" s="110">
        <f ca="1">IFERROR(__xludf.DUMMYFUNCTION("""COMPUTED_VALUE"""),5)</f>
        <v>5</v>
      </c>
      <c r="H239" s="112" t="str">
        <f ca="1"/>
        <v>31.6</v>
      </c>
      <c r="I239" s="81">
        <f ca="1"/>
        <v>31.6</v>
      </c>
    </row>
    <row r="240" spans="1:9" ht="13.2">
      <c r="A240" s="109" t="str">
        <f ca="1">IFERROR(__xludf.DUMMYFUNCTION("""COMPUTED_VALUE"""),"CP")</f>
        <v>CP</v>
      </c>
      <c r="B240" s="108" t="str">
        <f ca="1">IFERROR(__xludf.DUMMYFUNCTION("""COMPUTED_VALUE"""),"Anna Keller")</f>
        <v>Anna Keller</v>
      </c>
      <c r="C240" s="109">
        <f ca="1">IFERROR(__xludf.DUMMYFUNCTION("""COMPUTED_VALUE"""),8)</f>
        <v>8</v>
      </c>
      <c r="D240" s="109" t="str">
        <f ca="1">IFERROR(__xludf.DUMMYFUNCTION("""COMPUTED_VALUE"""),"G")</f>
        <v>G</v>
      </c>
      <c r="E240" s="110" t="str">
        <f ca="1">IFERROR(__xludf.DUMMYFUNCTION("""COMPUTED_VALUE"""),"F")</f>
        <v>F</v>
      </c>
      <c r="F240" s="110" t="str">
        <f ca="1">IFERROR(__xludf.DUMMYFUNCTION("""COMPUTED_VALUE"""),"J")</f>
        <v>J</v>
      </c>
      <c r="G240" s="110">
        <f ca="1">IFERROR(__xludf.DUMMYFUNCTION("""COMPUTED_VALUE"""),5)</f>
        <v>5</v>
      </c>
      <c r="H240" s="112" t="str">
        <f ca="1"/>
        <v>27.15</v>
      </c>
      <c r="I240" s="112">
        <f ca="1"/>
        <v>27.15</v>
      </c>
    </row>
    <row r="241" spans="1:9" ht="13.2">
      <c r="A241" s="109" t="str">
        <f ca="1">IFERROR(__xludf.DUMMYFUNCTION("""COMPUTED_VALUE"""),"CP")</f>
        <v>CP</v>
      </c>
      <c r="B241" s="108" t="str">
        <f ca="1">IFERROR(__xludf.DUMMYFUNCTION("""COMPUTED_VALUE"""),"Ashleigh Haskins")</f>
        <v>Ashleigh Haskins</v>
      </c>
      <c r="C241" s="109">
        <f ca="1">IFERROR(__xludf.DUMMYFUNCTION("""COMPUTED_VALUE"""),7)</f>
        <v>7</v>
      </c>
      <c r="D241" s="109" t="str">
        <f ca="1">IFERROR(__xludf.DUMMYFUNCTION("""COMPUTED_VALUE"""),"G")</f>
        <v>G</v>
      </c>
      <c r="E241" s="110" t="str">
        <f ca="1">IFERROR(__xludf.DUMMYFUNCTION("""COMPUTED_VALUE"""),"F")</f>
        <v>F</v>
      </c>
      <c r="F241" s="110" t="str">
        <f ca="1">IFERROR(__xludf.DUMMYFUNCTION("""COMPUTED_VALUE"""),"J")</f>
        <v>J</v>
      </c>
      <c r="G241" s="110">
        <f ca="1">IFERROR(__xludf.DUMMYFUNCTION("""COMPUTED_VALUE"""),5)</f>
        <v>5</v>
      </c>
      <c r="H241" s="112" t="str">
        <f ca="1"/>
        <v>23.65</v>
      </c>
      <c r="I241" s="112">
        <f ca="1"/>
        <v>23.65</v>
      </c>
    </row>
    <row r="242" spans="1:9" ht="13.2">
      <c r="A242" s="109" t="str">
        <f ca="1">IFERROR(__xludf.DUMMYFUNCTION("""COMPUTED_VALUE"""),"CP")</f>
        <v>CP</v>
      </c>
      <c r="B242" s="108" t="str">
        <f ca="1">IFERROR(__xludf.DUMMYFUNCTION("""COMPUTED_VALUE"""),"Carolina Hall")</f>
        <v>Carolina Hall</v>
      </c>
      <c r="C242" s="109">
        <f ca="1">IFERROR(__xludf.DUMMYFUNCTION("""COMPUTED_VALUE"""),10)</f>
        <v>10</v>
      </c>
      <c r="D242" s="109" t="str">
        <f ca="1">IFERROR(__xludf.DUMMYFUNCTION("""COMPUTED_VALUE"""),"G")</f>
        <v>G</v>
      </c>
      <c r="E242" s="110" t="str">
        <f ca="1">IFERROR(__xludf.DUMMYFUNCTION("""COMPUTED_VALUE"""),"F")</f>
        <v>F</v>
      </c>
      <c r="F242" s="110" t="str">
        <f ca="1">IFERROR(__xludf.DUMMYFUNCTION("""COMPUTED_VALUE"""),"J")</f>
        <v>J</v>
      </c>
      <c r="G242" s="110">
        <f ca="1">IFERROR(__xludf.DUMMYFUNCTION("""COMPUTED_VALUE"""),5)</f>
        <v>5</v>
      </c>
      <c r="H242" s="112" t="str">
        <f ca="1"/>
        <v/>
      </c>
      <c r="I242" s="81" t="str">
        <f ca="1"/>
        <v/>
      </c>
    </row>
    <row r="243" spans="1:9" ht="13.2">
      <c r="A243" s="109" t="str">
        <f ca="1">IFERROR(__xludf.DUMMYFUNCTION("""COMPUTED_VALUE"""),"CP")</f>
        <v>CP</v>
      </c>
      <c r="B243" s="108" t="str">
        <f ca="1">IFERROR(__xludf.DUMMYFUNCTION("""COMPUTED_VALUE"""),"Casimira Betz")</f>
        <v>Casimira Betz</v>
      </c>
      <c r="C243" s="109">
        <f ca="1">IFERROR(__xludf.DUMMYFUNCTION("""COMPUTED_VALUE"""),9)</f>
        <v>9</v>
      </c>
      <c r="D243" s="109" t="str">
        <f ca="1">IFERROR(__xludf.DUMMYFUNCTION("""COMPUTED_VALUE"""),"G")</f>
        <v>G</v>
      </c>
      <c r="E243" s="110" t="str">
        <f ca="1">IFERROR(__xludf.DUMMYFUNCTION("""COMPUTED_VALUE"""),"F")</f>
        <v>F</v>
      </c>
      <c r="F243" s="110" t="str">
        <f ca="1">IFERROR(__xludf.DUMMYFUNCTION("""COMPUTED_VALUE"""),"J")</f>
        <v>J</v>
      </c>
      <c r="G243" s="110">
        <f ca="1">IFERROR(__xludf.DUMMYFUNCTION("""COMPUTED_VALUE"""),5)</f>
        <v>5</v>
      </c>
      <c r="H243" s="112" t="str">
        <f ca="1"/>
        <v/>
      </c>
      <c r="I243" s="81" t="str">
        <f ca="1"/>
        <v/>
      </c>
    </row>
    <row r="244" spans="1:9" ht="13.2">
      <c r="A244" s="109" t="str">
        <f ca="1">IFERROR(__xludf.DUMMYFUNCTION("""COMPUTED_VALUE"""),"CP")</f>
        <v>CP</v>
      </c>
      <c r="B244" s="108" t="str">
        <f ca="1">IFERROR(__xludf.DUMMYFUNCTION("""COMPUTED_VALUE"""),"Eleena Manser")</f>
        <v>Eleena Manser</v>
      </c>
      <c r="C244" s="109">
        <f ca="1">IFERROR(__xludf.DUMMYFUNCTION("""COMPUTED_VALUE"""),10)</f>
        <v>10</v>
      </c>
      <c r="D244" s="109" t="str">
        <f ca="1">IFERROR(__xludf.DUMMYFUNCTION("""COMPUTED_VALUE"""),"G")</f>
        <v>G</v>
      </c>
      <c r="E244" s="110" t="str">
        <f ca="1">IFERROR(__xludf.DUMMYFUNCTION("""COMPUTED_VALUE"""),"F")</f>
        <v>F</v>
      </c>
      <c r="F244" s="110" t="str">
        <f ca="1">IFERROR(__xludf.DUMMYFUNCTION("""COMPUTED_VALUE"""),"J")</f>
        <v>J</v>
      </c>
      <c r="G244" s="110">
        <f ca="1">IFERROR(__xludf.DUMMYFUNCTION("""COMPUTED_VALUE"""),5)</f>
        <v>5</v>
      </c>
      <c r="H244" s="112" t="str">
        <f ca="1"/>
        <v/>
      </c>
      <c r="I244" s="81" t="str">
        <f ca="1"/>
        <v/>
      </c>
    </row>
    <row r="245" spans="1:9" ht="13.2">
      <c r="A245" s="109" t="str">
        <f ca="1">IFERROR(__xludf.DUMMYFUNCTION("""COMPUTED_VALUE"""),"CP")</f>
        <v>CP</v>
      </c>
      <c r="B245" s="108" t="str">
        <f ca="1">IFERROR(__xludf.DUMMYFUNCTION("""COMPUTED_VALUE"""),"Haley Schwab")</f>
        <v>Haley Schwab</v>
      </c>
      <c r="C245" s="109">
        <f ca="1">IFERROR(__xludf.DUMMYFUNCTION("""COMPUTED_VALUE"""),9)</f>
        <v>9</v>
      </c>
      <c r="D245" s="109" t="str">
        <f ca="1">IFERROR(__xludf.DUMMYFUNCTION("""COMPUTED_VALUE"""),"G")</f>
        <v>G</v>
      </c>
      <c r="E245" s="110" t="str">
        <f ca="1">IFERROR(__xludf.DUMMYFUNCTION("""COMPUTED_VALUE"""),"F")</f>
        <v>F</v>
      </c>
      <c r="F245" s="110" t="str">
        <f ca="1">IFERROR(__xludf.DUMMYFUNCTION("""COMPUTED_VALUE"""),"J")</f>
        <v>J</v>
      </c>
      <c r="G245" s="110">
        <f ca="1">IFERROR(__xludf.DUMMYFUNCTION("""COMPUTED_VALUE"""),5)</f>
        <v>5</v>
      </c>
      <c r="H245" s="112" t="str">
        <f ca="1"/>
        <v/>
      </c>
      <c r="I245" s="81" t="str">
        <f ca="1"/>
        <v/>
      </c>
    </row>
    <row r="246" spans="1:9" ht="13.2">
      <c r="A246" s="109" t="str">
        <f ca="1">IFERROR(__xludf.DUMMYFUNCTION("""COMPUTED_VALUE"""),"CP")</f>
        <v>CP</v>
      </c>
      <c r="B246" s="108" t="str">
        <f ca="1">IFERROR(__xludf.DUMMYFUNCTION("""COMPUTED_VALUE"""),"Harper Jennings")</f>
        <v>Harper Jennings</v>
      </c>
      <c r="C246" s="109">
        <f ca="1">IFERROR(__xludf.DUMMYFUNCTION("""COMPUTED_VALUE"""),9)</f>
        <v>9</v>
      </c>
      <c r="D246" s="109" t="str">
        <f ca="1">IFERROR(__xludf.DUMMYFUNCTION("""COMPUTED_VALUE"""),"G")</f>
        <v>G</v>
      </c>
      <c r="E246" s="110" t="str">
        <f ca="1">IFERROR(__xludf.DUMMYFUNCTION("""COMPUTED_VALUE"""),"F")</f>
        <v>F</v>
      </c>
      <c r="F246" s="110" t="str">
        <f ca="1">IFERROR(__xludf.DUMMYFUNCTION("""COMPUTED_VALUE"""),"J")</f>
        <v>J</v>
      </c>
      <c r="G246" s="110">
        <f ca="1">IFERROR(__xludf.DUMMYFUNCTION("""COMPUTED_VALUE"""),5)</f>
        <v>5</v>
      </c>
      <c r="H246" s="112" t="str">
        <f ca="1"/>
        <v/>
      </c>
      <c r="I246" s="81" t="str">
        <f ca="1"/>
        <v/>
      </c>
    </row>
    <row r="247" spans="1:9" ht="13.2">
      <c r="A247" s="109" t="str">
        <f ca="1">IFERROR(__xludf.DUMMYFUNCTION("""COMPUTED_VALUE"""),"CP")</f>
        <v>CP</v>
      </c>
      <c r="B247" s="108" t="str">
        <f ca="1">IFERROR(__xludf.DUMMYFUNCTION("""COMPUTED_VALUE"""),"Jacqueline Hull")</f>
        <v>Jacqueline Hull</v>
      </c>
      <c r="C247" s="109">
        <f ca="1">IFERROR(__xludf.DUMMYFUNCTION("""COMPUTED_VALUE"""),9)</f>
        <v>9</v>
      </c>
      <c r="D247" s="109" t="str">
        <f ca="1">IFERROR(__xludf.DUMMYFUNCTION("""COMPUTED_VALUE"""),"G")</f>
        <v>G</v>
      </c>
      <c r="E247" s="110" t="str">
        <f ca="1">IFERROR(__xludf.DUMMYFUNCTION("""COMPUTED_VALUE"""),"F")</f>
        <v>F</v>
      </c>
      <c r="F247" s="110" t="str">
        <f ca="1">IFERROR(__xludf.DUMMYFUNCTION("""COMPUTED_VALUE"""),"J")</f>
        <v>J</v>
      </c>
      <c r="G247" s="110">
        <f ca="1">IFERROR(__xludf.DUMMYFUNCTION("""COMPUTED_VALUE"""),5)</f>
        <v>5</v>
      </c>
      <c r="H247" s="112" t="str">
        <f ca="1"/>
        <v>33.85</v>
      </c>
      <c r="I247" s="112">
        <f ca="1"/>
        <v>33.85</v>
      </c>
    </row>
    <row r="248" spans="1:9" ht="13.2">
      <c r="A248" s="109" t="str">
        <f ca="1">IFERROR(__xludf.DUMMYFUNCTION("""COMPUTED_VALUE"""),"CP")</f>
        <v>CP</v>
      </c>
      <c r="B248" s="108" t="str">
        <f ca="1">IFERROR(__xludf.DUMMYFUNCTION("""COMPUTED_VALUE"""),"Kiana Ryan")</f>
        <v>Kiana Ryan</v>
      </c>
      <c r="C248" s="109">
        <f ca="1">IFERROR(__xludf.DUMMYFUNCTION("""COMPUTED_VALUE"""),9)</f>
        <v>9</v>
      </c>
      <c r="D248" s="109" t="str">
        <f ca="1">IFERROR(__xludf.DUMMYFUNCTION("""COMPUTED_VALUE"""),"G")</f>
        <v>G</v>
      </c>
      <c r="E248" s="110" t="str">
        <f ca="1">IFERROR(__xludf.DUMMYFUNCTION("""COMPUTED_VALUE"""),"F")</f>
        <v>F</v>
      </c>
      <c r="F248" s="110" t="str">
        <f ca="1">IFERROR(__xludf.DUMMYFUNCTION("""COMPUTED_VALUE"""),"J")</f>
        <v>J</v>
      </c>
      <c r="G248" s="110">
        <f ca="1">IFERROR(__xludf.DUMMYFUNCTION("""COMPUTED_VALUE"""),5)</f>
        <v>5</v>
      </c>
      <c r="H248" s="112" t="str">
        <f ca="1"/>
        <v/>
      </c>
      <c r="I248" s="112" t="str">
        <f ca="1"/>
        <v/>
      </c>
    </row>
    <row r="249" spans="1:9" ht="13.2">
      <c r="A249" s="109" t="str">
        <f ca="1">IFERROR(__xludf.DUMMYFUNCTION("""COMPUTED_VALUE"""),"CP")</f>
        <v>CP</v>
      </c>
      <c r="B249" s="108" t="str">
        <f ca="1">IFERROR(__xludf.DUMMYFUNCTION("""COMPUTED_VALUE"""),"Leah Pounder")</f>
        <v>Leah Pounder</v>
      </c>
      <c r="C249" s="109">
        <f ca="1">IFERROR(__xludf.DUMMYFUNCTION("""COMPUTED_VALUE"""),9)</f>
        <v>9</v>
      </c>
      <c r="D249" s="109" t="str">
        <f ca="1">IFERROR(__xludf.DUMMYFUNCTION("""COMPUTED_VALUE"""),"G")</f>
        <v>G</v>
      </c>
      <c r="E249" s="110" t="str">
        <f ca="1">IFERROR(__xludf.DUMMYFUNCTION("""COMPUTED_VALUE"""),"F")</f>
        <v>F</v>
      </c>
      <c r="F249" s="110" t="str">
        <f ca="1">IFERROR(__xludf.DUMMYFUNCTION("""COMPUTED_VALUE"""),"J")</f>
        <v>J</v>
      </c>
      <c r="G249" s="110">
        <f ca="1">IFERROR(__xludf.DUMMYFUNCTION("""COMPUTED_VALUE"""),5)</f>
        <v>5</v>
      </c>
      <c r="H249" s="112" t="str">
        <f ca="1"/>
        <v/>
      </c>
      <c r="I249" s="112" t="str">
        <f ca="1"/>
        <v/>
      </c>
    </row>
    <row r="250" spans="1:9" ht="13.2">
      <c r="A250" s="109" t="str">
        <f ca="1">IFERROR(__xludf.DUMMYFUNCTION("""COMPUTED_VALUE"""),"CP")</f>
        <v>CP</v>
      </c>
      <c r="B250" s="108" t="str">
        <f ca="1">IFERROR(__xludf.DUMMYFUNCTION("""COMPUTED_VALUE"""),"Lily Sabo")</f>
        <v>Lily Sabo</v>
      </c>
      <c r="C250" s="109">
        <f ca="1">IFERROR(__xludf.DUMMYFUNCTION("""COMPUTED_VALUE"""),6)</f>
        <v>6</v>
      </c>
      <c r="D250" s="109" t="str">
        <f ca="1">IFERROR(__xludf.DUMMYFUNCTION("""COMPUTED_VALUE"""),"G")</f>
        <v>G</v>
      </c>
      <c r="E250" s="110" t="str">
        <f ca="1">IFERROR(__xludf.DUMMYFUNCTION("""COMPUTED_VALUE"""),"F")</f>
        <v>F</v>
      </c>
      <c r="F250" s="110" t="str">
        <f ca="1">IFERROR(__xludf.DUMMYFUNCTION("""COMPUTED_VALUE"""),"J")</f>
        <v>J</v>
      </c>
      <c r="G250" s="110">
        <f ca="1">IFERROR(__xludf.DUMMYFUNCTION("""COMPUTED_VALUE"""),5)</f>
        <v>5</v>
      </c>
      <c r="H250" s="112" t="str">
        <f ca="1"/>
        <v>11</v>
      </c>
      <c r="I250" s="112">
        <f ca="1"/>
        <v>11</v>
      </c>
    </row>
    <row r="251" spans="1:9" ht="13.2">
      <c r="A251" s="109" t="str">
        <f ca="1">IFERROR(__xludf.DUMMYFUNCTION("""COMPUTED_VALUE"""),"CP")</f>
        <v>CP</v>
      </c>
      <c r="B251" s="108" t="str">
        <f ca="1">IFERROR(__xludf.DUMMYFUNCTION("""COMPUTED_VALUE"""),"Sarah Keller")</f>
        <v>Sarah Keller</v>
      </c>
      <c r="C251" s="109">
        <f ca="1">IFERROR(__xludf.DUMMYFUNCTION("""COMPUTED_VALUE"""),9)</f>
        <v>9</v>
      </c>
      <c r="D251" s="109" t="str">
        <f ca="1">IFERROR(__xludf.DUMMYFUNCTION("""COMPUTED_VALUE"""),"G")</f>
        <v>G</v>
      </c>
      <c r="E251" s="110" t="str">
        <f ca="1">IFERROR(__xludf.DUMMYFUNCTION("""COMPUTED_VALUE"""),"F")</f>
        <v>F</v>
      </c>
      <c r="F251" s="110" t="str">
        <f ca="1">IFERROR(__xludf.DUMMYFUNCTION("""COMPUTED_VALUE"""),"J")</f>
        <v>J</v>
      </c>
      <c r="G251" s="110">
        <f ca="1">IFERROR(__xludf.DUMMYFUNCTION("""COMPUTED_VALUE"""),5)</f>
        <v>5</v>
      </c>
      <c r="H251" s="112" t="str">
        <f ca="1"/>
        <v>24.6</v>
      </c>
      <c r="I251" s="81">
        <f ca="1"/>
        <v>24.6</v>
      </c>
    </row>
    <row r="252" spans="1:9" ht="13.2">
      <c r="A252" s="109" t="str">
        <f ca="1">IFERROR(__xludf.DUMMYFUNCTION("""COMPUTED_VALUE"""),"CP")</f>
        <v>CP</v>
      </c>
      <c r="B252" s="108" t="str">
        <f ca="1">IFERROR(__xludf.DUMMYFUNCTION("""COMPUTED_VALUE"""),"Sloan Tann")</f>
        <v>Sloan Tann</v>
      </c>
      <c r="C252" s="109">
        <f ca="1">IFERROR(__xludf.DUMMYFUNCTION("""COMPUTED_VALUE"""),10)</f>
        <v>10</v>
      </c>
      <c r="D252" s="109" t="str">
        <f ca="1">IFERROR(__xludf.DUMMYFUNCTION("""COMPUTED_VALUE"""),"G")</f>
        <v>G</v>
      </c>
      <c r="E252" s="110" t="str">
        <f ca="1">IFERROR(__xludf.DUMMYFUNCTION("""COMPUTED_VALUE"""),"F")</f>
        <v>F</v>
      </c>
      <c r="F252" s="110" t="str">
        <f ca="1">IFERROR(__xludf.DUMMYFUNCTION("""COMPUTED_VALUE"""),"J")</f>
        <v>J</v>
      </c>
      <c r="G252" s="110">
        <f ca="1">IFERROR(__xludf.DUMMYFUNCTION("""COMPUTED_VALUE"""),5)</f>
        <v>5</v>
      </c>
      <c r="H252" s="112" t="str">
        <f ca="1"/>
        <v/>
      </c>
      <c r="I252" s="81" t="str">
        <f ca="1"/>
        <v/>
      </c>
    </row>
    <row r="253" spans="1:9" ht="13.2">
      <c r="A253" s="109" t="str">
        <f ca="1">IFERROR(__xludf.DUMMYFUNCTION("""COMPUTED_VALUE"""),"CP")</f>
        <v>CP</v>
      </c>
      <c r="B253" s="108" t="str">
        <f ca="1">IFERROR(__xludf.DUMMYFUNCTION("""COMPUTED_VALUE"""),"Taylor Lehmann")</f>
        <v>Taylor Lehmann</v>
      </c>
      <c r="C253" s="109">
        <f ca="1">IFERROR(__xludf.DUMMYFUNCTION("""COMPUTED_VALUE"""),9)</f>
        <v>9</v>
      </c>
      <c r="D253" s="109" t="str">
        <f ca="1">IFERROR(__xludf.DUMMYFUNCTION("""COMPUTED_VALUE"""),"G")</f>
        <v>G</v>
      </c>
      <c r="E253" s="110" t="str">
        <f ca="1">IFERROR(__xludf.DUMMYFUNCTION("""COMPUTED_VALUE"""),"F")</f>
        <v>F</v>
      </c>
      <c r="F253" s="110" t="str">
        <f ca="1">IFERROR(__xludf.DUMMYFUNCTION("""COMPUTED_VALUE"""),"J")</f>
        <v>J</v>
      </c>
      <c r="G253" s="110">
        <f ca="1">IFERROR(__xludf.DUMMYFUNCTION("""COMPUTED_VALUE"""),5)</f>
        <v>5</v>
      </c>
      <c r="H253" s="112" t="str">
        <f ca="1"/>
        <v/>
      </c>
      <c r="I253" s="112" t="str">
        <f ca="1"/>
        <v/>
      </c>
    </row>
    <row r="254" spans="1:9" ht="13.2">
      <c r="A254" s="109" t="str">
        <f ca="1">IFERROR(__xludf.DUMMYFUNCTION("""COMPUTED_VALUE"""),"CP")</f>
        <v>CP</v>
      </c>
      <c r="B254" s="108" t="str">
        <f ca="1">IFERROR(__xludf.DUMMYFUNCTION("""COMPUTED_VALUE"""),"Taylor Miller")</f>
        <v>Taylor Miller</v>
      </c>
      <c r="C254" s="109">
        <f ca="1">IFERROR(__xludf.DUMMYFUNCTION("""COMPUTED_VALUE"""),10)</f>
        <v>10</v>
      </c>
      <c r="D254" s="109" t="str">
        <f ca="1">IFERROR(__xludf.DUMMYFUNCTION("""COMPUTED_VALUE"""),"G")</f>
        <v>G</v>
      </c>
      <c r="E254" s="110" t="str">
        <f ca="1">IFERROR(__xludf.DUMMYFUNCTION("""COMPUTED_VALUE"""),"F")</f>
        <v>F</v>
      </c>
      <c r="F254" s="110" t="str">
        <f ca="1">IFERROR(__xludf.DUMMYFUNCTION("""COMPUTED_VALUE"""),"J")</f>
        <v>J</v>
      </c>
      <c r="G254" s="110">
        <f ca="1">IFERROR(__xludf.DUMMYFUNCTION("""COMPUTED_VALUE"""),5)</f>
        <v>5</v>
      </c>
      <c r="H254" s="112" t="str">
        <f ca="1"/>
        <v/>
      </c>
      <c r="I254" s="81" t="str">
        <f ca="1"/>
        <v/>
      </c>
    </row>
    <row r="255" spans="1:9" ht="13.2">
      <c r="A255" s="109" t="str">
        <f ca="1">IFERROR(__xludf.DUMMYFUNCTION("""COMPUTED_VALUE"""),"CP")</f>
        <v>CP</v>
      </c>
      <c r="B255" s="108" t="str">
        <f ca="1">IFERROR(__xludf.DUMMYFUNCTION("""COMPUTED_VALUE"""),"Teagan Johns")</f>
        <v>Teagan Johns</v>
      </c>
      <c r="C255" s="109">
        <f ca="1">IFERROR(__xludf.DUMMYFUNCTION("""COMPUTED_VALUE"""),10)</f>
        <v>10</v>
      </c>
      <c r="D255" s="109" t="str">
        <f ca="1">IFERROR(__xludf.DUMMYFUNCTION("""COMPUTED_VALUE"""),"G")</f>
        <v>G</v>
      </c>
      <c r="E255" s="110" t="str">
        <f ca="1">IFERROR(__xludf.DUMMYFUNCTION("""COMPUTED_VALUE"""),"F")</f>
        <v>F</v>
      </c>
      <c r="F255" s="110" t="str">
        <f ca="1">IFERROR(__xludf.DUMMYFUNCTION("""COMPUTED_VALUE"""),"J")</f>
        <v>J</v>
      </c>
      <c r="G255" s="110">
        <f ca="1">IFERROR(__xludf.DUMMYFUNCTION("""COMPUTED_VALUE"""),5)</f>
        <v>5</v>
      </c>
      <c r="H255" s="112" t="str">
        <f ca="1"/>
        <v/>
      </c>
      <c r="I255" s="81" t="str">
        <f ca="1"/>
        <v/>
      </c>
    </row>
    <row r="256" spans="1:9" ht="13.2">
      <c r="A256" s="109" t="str">
        <f ca="1">IFERROR(__xludf.DUMMYFUNCTION("""COMPUTED_VALUE"""),"CP")</f>
        <v>CP</v>
      </c>
      <c r="B256" s="108" t="str">
        <f ca="1">IFERROR(__xludf.DUMMYFUNCTION("""COMPUTED_VALUE"""),"A J Sumangil")</f>
        <v>A J Sumangil</v>
      </c>
      <c r="C256" s="109">
        <f ca="1">IFERROR(__xludf.DUMMYFUNCTION("""COMPUTED_VALUE"""),14)</f>
        <v>14</v>
      </c>
      <c r="D256" s="109" t="str">
        <f ca="1">IFERROR(__xludf.DUMMYFUNCTION("""COMPUTED_VALUE"""),"B")</f>
        <v>B</v>
      </c>
      <c r="E256" s="110" t="str">
        <f ca="1">IFERROR(__xludf.DUMMYFUNCTION("""COMPUTED_VALUE"""),"I")</f>
        <v>I</v>
      </c>
      <c r="F256" s="110" t="str">
        <f ca="1">IFERROR(__xludf.DUMMYFUNCTION("""COMPUTED_VALUE"""),"S")</f>
        <v>S</v>
      </c>
      <c r="G256" s="110">
        <f ca="1">IFERROR(__xludf.DUMMYFUNCTION("""COMPUTED_VALUE"""),5)</f>
        <v>5</v>
      </c>
      <c r="H256" s="112" t="str">
        <f ca="1"/>
        <v/>
      </c>
      <c r="I256" s="81" t="str">
        <f ca="1"/>
        <v/>
      </c>
    </row>
    <row r="257" spans="1:9" ht="13.2">
      <c r="A257" s="109" t="str">
        <f ca="1">IFERROR(__xludf.DUMMYFUNCTION("""COMPUTED_VALUE"""),"CP")</f>
        <v>CP</v>
      </c>
      <c r="B257" s="108" t="str">
        <f ca="1">IFERROR(__xludf.DUMMYFUNCTION("""COMPUTED_VALUE"""),"Brady Davies")</f>
        <v>Brady Davies</v>
      </c>
      <c r="C257" s="109">
        <f ca="1">IFERROR(__xludf.DUMMYFUNCTION("""COMPUTED_VALUE"""),13)</f>
        <v>13</v>
      </c>
      <c r="D257" s="109" t="str">
        <f ca="1">IFERROR(__xludf.DUMMYFUNCTION("""COMPUTED_VALUE"""),"B")</f>
        <v>B</v>
      </c>
      <c r="E257" s="110" t="str">
        <f ca="1">IFERROR(__xludf.DUMMYFUNCTION("""COMPUTED_VALUE"""),"I")</f>
        <v>I</v>
      </c>
      <c r="F257" s="110" t="str">
        <f ca="1">IFERROR(__xludf.DUMMYFUNCTION("""COMPUTED_VALUE"""),"S")</f>
        <v>S</v>
      </c>
      <c r="G257" s="110">
        <f ca="1">IFERROR(__xludf.DUMMYFUNCTION("""COMPUTED_VALUE"""),5)</f>
        <v>5</v>
      </c>
      <c r="H257" s="112" t="str">
        <f ca="1"/>
        <v/>
      </c>
      <c r="I257" s="81" t="str">
        <f ca="1"/>
        <v/>
      </c>
    </row>
    <row r="258" spans="1:9" ht="13.2">
      <c r="A258" s="109" t="str">
        <f ca="1">IFERROR(__xludf.DUMMYFUNCTION("""COMPUTED_VALUE"""),"CP")</f>
        <v>CP</v>
      </c>
      <c r="B258" s="108" t="str">
        <f ca="1">IFERROR(__xludf.DUMMYFUNCTION("""COMPUTED_VALUE"""),"Abigail Whelan")</f>
        <v>Abigail Whelan</v>
      </c>
      <c r="C258" s="109">
        <f ca="1">IFERROR(__xludf.DUMMYFUNCTION("""COMPUTED_VALUE"""),13)</f>
        <v>13</v>
      </c>
      <c r="D258" s="109" t="str">
        <f ca="1">IFERROR(__xludf.DUMMYFUNCTION("""COMPUTED_VALUE"""),"G")</f>
        <v>G</v>
      </c>
      <c r="E258" s="110" t="str">
        <f ca="1">IFERROR(__xludf.DUMMYFUNCTION("""COMPUTED_VALUE"""),"I")</f>
        <v>I</v>
      </c>
      <c r="F258" s="110" t="str">
        <f ca="1">IFERROR(__xludf.DUMMYFUNCTION("""COMPUTED_VALUE"""),"S")</f>
        <v>S</v>
      </c>
      <c r="G258" s="110">
        <f ca="1">IFERROR(__xludf.DUMMYFUNCTION("""COMPUTED_VALUE"""),5)</f>
        <v>5</v>
      </c>
      <c r="H258" s="112" t="str">
        <f ca="1"/>
        <v/>
      </c>
      <c r="I258" s="81" t="str">
        <f ca="1"/>
        <v/>
      </c>
    </row>
    <row r="259" spans="1:9" ht="13.2">
      <c r="A259" s="109" t="str">
        <f ca="1">IFERROR(__xludf.DUMMYFUNCTION("""COMPUTED_VALUE"""),"CP")</f>
        <v>CP</v>
      </c>
      <c r="B259" s="108" t="str">
        <f ca="1">IFERROR(__xludf.DUMMYFUNCTION("""COMPUTED_VALUE"""),"Ceara Manser")</f>
        <v>Ceara Manser</v>
      </c>
      <c r="C259" s="109">
        <f ca="1">IFERROR(__xludf.DUMMYFUNCTION("""COMPUTED_VALUE"""),14)</f>
        <v>14</v>
      </c>
      <c r="D259" s="109" t="str">
        <f ca="1">IFERROR(__xludf.DUMMYFUNCTION("""COMPUTED_VALUE"""),"G")</f>
        <v>G</v>
      </c>
      <c r="E259" s="110" t="str">
        <f ca="1">IFERROR(__xludf.DUMMYFUNCTION("""COMPUTED_VALUE"""),"I")</f>
        <v>I</v>
      </c>
      <c r="F259" s="110" t="str">
        <f ca="1">IFERROR(__xludf.DUMMYFUNCTION("""COMPUTED_VALUE"""),"S")</f>
        <v>S</v>
      </c>
      <c r="G259" s="110">
        <f ca="1">IFERROR(__xludf.DUMMYFUNCTION("""COMPUTED_VALUE"""),5)</f>
        <v>5</v>
      </c>
      <c r="H259" s="112" t="str">
        <f ca="1"/>
        <v/>
      </c>
      <c r="I259" s="112" t="str">
        <f ca="1"/>
        <v/>
      </c>
    </row>
    <row r="260" spans="1:9" ht="13.2">
      <c r="A260" s="109" t="str">
        <f ca="1">IFERROR(__xludf.DUMMYFUNCTION("""COMPUTED_VALUE"""),"CP")</f>
        <v>CP</v>
      </c>
      <c r="B260" s="108" t="str">
        <f ca="1">IFERROR(__xludf.DUMMYFUNCTION("""COMPUTED_VALUE"""),"Katy Haransky")</f>
        <v>Katy Haransky</v>
      </c>
      <c r="C260" s="109">
        <f ca="1">IFERROR(__xludf.DUMMYFUNCTION("""COMPUTED_VALUE"""),13)</f>
        <v>13</v>
      </c>
      <c r="D260" s="109" t="str">
        <f ca="1">IFERROR(__xludf.DUMMYFUNCTION("""COMPUTED_VALUE"""),"G")</f>
        <v>G</v>
      </c>
      <c r="E260" s="110" t="str">
        <f ca="1">IFERROR(__xludf.DUMMYFUNCTION("""COMPUTED_VALUE"""),"I")</f>
        <v>I</v>
      </c>
      <c r="F260" s="110" t="str">
        <f ca="1">IFERROR(__xludf.DUMMYFUNCTION("""COMPUTED_VALUE"""),"S")</f>
        <v>S</v>
      </c>
      <c r="G260" s="110">
        <f ca="1">IFERROR(__xludf.DUMMYFUNCTION("""COMPUTED_VALUE"""),5)</f>
        <v>5</v>
      </c>
      <c r="H260" s="112" t="str">
        <f ca="1"/>
        <v/>
      </c>
      <c r="I260" s="81" t="str">
        <f ca="1"/>
        <v/>
      </c>
    </row>
    <row r="261" spans="1:9" ht="13.2">
      <c r="A261" s="109" t="str">
        <f ca="1">IFERROR(__xludf.DUMMYFUNCTION("""COMPUTED_VALUE"""),"CP")</f>
        <v>CP</v>
      </c>
      <c r="B261" s="108" t="str">
        <f ca="1">IFERROR(__xludf.DUMMYFUNCTION("""COMPUTED_VALUE"""),"Kayley Davis")</f>
        <v>Kayley Davis</v>
      </c>
      <c r="C261" s="109">
        <f ca="1">IFERROR(__xludf.DUMMYFUNCTION("""COMPUTED_VALUE"""),14)</f>
        <v>14</v>
      </c>
      <c r="D261" s="109" t="str">
        <f ca="1">IFERROR(__xludf.DUMMYFUNCTION("""COMPUTED_VALUE"""),"G")</f>
        <v>G</v>
      </c>
      <c r="E261" s="110" t="str">
        <f ca="1">IFERROR(__xludf.DUMMYFUNCTION("""COMPUTED_VALUE"""),"I")</f>
        <v>I</v>
      </c>
      <c r="F261" s="110" t="str">
        <f ca="1">IFERROR(__xludf.DUMMYFUNCTION("""COMPUTED_VALUE"""),"S")</f>
        <v>S</v>
      </c>
      <c r="G261" s="110">
        <f ca="1">IFERROR(__xludf.DUMMYFUNCTION("""COMPUTED_VALUE"""),5)</f>
        <v>5</v>
      </c>
      <c r="H261" s="112" t="str">
        <f ca="1"/>
        <v/>
      </c>
      <c r="I261" s="81" t="str">
        <f ca="1"/>
        <v/>
      </c>
    </row>
    <row r="262" spans="1:9" ht="13.2">
      <c r="A262" s="109" t="str">
        <f ca="1">IFERROR(__xludf.DUMMYFUNCTION("""COMPUTED_VALUE"""),"CP")</f>
        <v>CP</v>
      </c>
      <c r="B262" s="108" t="str">
        <f ca="1">IFERROR(__xludf.DUMMYFUNCTION("""COMPUTED_VALUE"""),"Caleb Schwab")</f>
        <v>Caleb Schwab</v>
      </c>
      <c r="C262" s="109">
        <f ca="1">IFERROR(__xludf.DUMMYFUNCTION("""COMPUTED_VALUE"""),11)</f>
        <v>11</v>
      </c>
      <c r="D262" s="109" t="str">
        <f ca="1">IFERROR(__xludf.DUMMYFUNCTION("""COMPUTED_VALUE"""),"B")</f>
        <v>B</v>
      </c>
      <c r="E262" s="110" t="str">
        <f ca="1">IFERROR(__xludf.DUMMYFUNCTION("""COMPUTED_VALUE"""),"J")</f>
        <v>J</v>
      </c>
      <c r="F262" s="110" t="str">
        <f ca="1">IFERROR(__xludf.DUMMYFUNCTION("""COMPUTED_VALUE"""),"I")</f>
        <v>I</v>
      </c>
      <c r="G262" s="110">
        <f ca="1">IFERROR(__xludf.DUMMYFUNCTION("""COMPUTED_VALUE"""),5)</f>
        <v>5</v>
      </c>
      <c r="H262" s="112" t="str">
        <f ca="1"/>
        <v/>
      </c>
      <c r="I262" s="81" t="str">
        <f ca="1"/>
        <v/>
      </c>
    </row>
    <row r="263" spans="1:9" ht="13.2">
      <c r="A263" s="109" t="str">
        <f ca="1">IFERROR(__xludf.DUMMYFUNCTION("""COMPUTED_VALUE"""),"CP")</f>
        <v>CP</v>
      </c>
      <c r="B263" s="108" t="str">
        <f ca="1">IFERROR(__xludf.DUMMYFUNCTION("""COMPUTED_VALUE"""),"Dylan Johns")</f>
        <v>Dylan Johns</v>
      </c>
      <c r="C263" s="109">
        <f ca="1">IFERROR(__xludf.DUMMYFUNCTION("""COMPUTED_VALUE"""),12)</f>
        <v>12</v>
      </c>
      <c r="D263" s="109" t="str">
        <f ca="1">IFERROR(__xludf.DUMMYFUNCTION("""COMPUTED_VALUE"""),"B")</f>
        <v>B</v>
      </c>
      <c r="E263" s="110" t="str">
        <f ca="1">IFERROR(__xludf.DUMMYFUNCTION("""COMPUTED_VALUE"""),"J")</f>
        <v>J</v>
      </c>
      <c r="F263" s="110" t="str">
        <f ca="1">IFERROR(__xludf.DUMMYFUNCTION("""COMPUTED_VALUE"""),"I")</f>
        <v>I</v>
      </c>
      <c r="G263" s="110">
        <f ca="1">IFERROR(__xludf.DUMMYFUNCTION("""COMPUTED_VALUE"""),5)</f>
        <v>5</v>
      </c>
      <c r="H263" s="112" t="str">
        <f ca="1"/>
        <v/>
      </c>
      <c r="I263" s="81" t="str">
        <f ca="1"/>
        <v/>
      </c>
    </row>
    <row r="264" spans="1:9" ht="13.2">
      <c r="A264" s="109" t="str">
        <f ca="1">IFERROR(__xludf.DUMMYFUNCTION("""COMPUTED_VALUE"""),"CP")</f>
        <v>CP</v>
      </c>
      <c r="B264" s="108" t="str">
        <f ca="1">IFERROR(__xludf.DUMMYFUNCTION("""COMPUTED_VALUE"""),"Enrique Ugalde")</f>
        <v>Enrique Ugalde</v>
      </c>
      <c r="C264" s="109">
        <f ca="1">IFERROR(__xludf.DUMMYFUNCTION("""COMPUTED_VALUE"""),12)</f>
        <v>12</v>
      </c>
      <c r="D264" s="109" t="str">
        <f ca="1">IFERROR(__xludf.DUMMYFUNCTION("""COMPUTED_VALUE"""),"B")</f>
        <v>B</v>
      </c>
      <c r="E264" s="110" t="str">
        <f ca="1">IFERROR(__xludf.DUMMYFUNCTION("""COMPUTED_VALUE"""),"J")</f>
        <v>J</v>
      </c>
      <c r="F264" s="110" t="str">
        <f ca="1">IFERROR(__xludf.DUMMYFUNCTION("""COMPUTED_VALUE"""),"I")</f>
        <v>I</v>
      </c>
      <c r="G264" s="110">
        <f ca="1">IFERROR(__xludf.DUMMYFUNCTION("""COMPUTED_VALUE"""),5)</f>
        <v>5</v>
      </c>
      <c r="H264" s="112" t="str">
        <f ca="1"/>
        <v/>
      </c>
      <c r="I264" s="81" t="str">
        <f ca="1"/>
        <v/>
      </c>
    </row>
    <row r="265" spans="1:9" ht="13.2">
      <c r="A265" s="109" t="str">
        <f ca="1">IFERROR(__xludf.DUMMYFUNCTION("""COMPUTED_VALUE"""),"CP")</f>
        <v>CP</v>
      </c>
      <c r="B265" s="108" t="str">
        <f ca="1">IFERROR(__xludf.DUMMYFUNCTION("""COMPUTED_VALUE"""),"Grant Fricke")</f>
        <v>Grant Fricke</v>
      </c>
      <c r="C265" s="109">
        <f ca="1">IFERROR(__xludf.DUMMYFUNCTION("""COMPUTED_VALUE"""),12)</f>
        <v>12</v>
      </c>
      <c r="D265" s="109" t="str">
        <f ca="1">IFERROR(__xludf.DUMMYFUNCTION("""COMPUTED_VALUE"""),"B")</f>
        <v>B</v>
      </c>
      <c r="E265" s="110" t="str">
        <f ca="1">IFERROR(__xludf.DUMMYFUNCTION("""COMPUTED_VALUE"""),"J")</f>
        <v>J</v>
      </c>
      <c r="F265" s="110" t="str">
        <f ca="1">IFERROR(__xludf.DUMMYFUNCTION("""COMPUTED_VALUE"""),"I")</f>
        <v>I</v>
      </c>
      <c r="G265" s="110">
        <f ca="1">IFERROR(__xludf.DUMMYFUNCTION("""COMPUTED_VALUE"""),5)</f>
        <v>5</v>
      </c>
      <c r="H265" s="112" t="str">
        <f ca="1"/>
        <v/>
      </c>
      <c r="I265" s="81" t="str">
        <f ca="1"/>
        <v/>
      </c>
    </row>
    <row r="266" spans="1:9" ht="13.2">
      <c r="A266" s="109" t="str">
        <f ca="1">IFERROR(__xludf.DUMMYFUNCTION("""COMPUTED_VALUE"""),"CP")</f>
        <v>CP</v>
      </c>
      <c r="B266" s="108" t="str">
        <f ca="1">IFERROR(__xludf.DUMMYFUNCTION("""COMPUTED_VALUE"""),"Kyle Haight")</f>
        <v>Kyle Haight</v>
      </c>
      <c r="C266" s="109">
        <f ca="1">IFERROR(__xludf.DUMMYFUNCTION("""COMPUTED_VALUE"""),12)</f>
        <v>12</v>
      </c>
      <c r="D266" s="109" t="str">
        <f ca="1">IFERROR(__xludf.DUMMYFUNCTION("""COMPUTED_VALUE"""),"B")</f>
        <v>B</v>
      </c>
      <c r="E266" s="110" t="str">
        <f ca="1">IFERROR(__xludf.DUMMYFUNCTION("""COMPUTED_VALUE"""),"J")</f>
        <v>J</v>
      </c>
      <c r="F266" s="110" t="str">
        <f ca="1">IFERROR(__xludf.DUMMYFUNCTION("""COMPUTED_VALUE"""),"I")</f>
        <v>I</v>
      </c>
      <c r="G266" s="110">
        <f ca="1">IFERROR(__xludf.DUMMYFUNCTION("""COMPUTED_VALUE"""),5)</f>
        <v>5</v>
      </c>
      <c r="H266" s="112" t="str">
        <f ca="1"/>
        <v/>
      </c>
      <c r="I266" s="112" t="str">
        <f ca="1"/>
        <v/>
      </c>
    </row>
    <row r="267" spans="1:9" ht="13.2">
      <c r="A267" s="109" t="str">
        <f ca="1">IFERROR(__xludf.DUMMYFUNCTION("""COMPUTED_VALUE"""),"CP")</f>
        <v>CP</v>
      </c>
      <c r="B267" s="108" t="str">
        <f ca="1">IFERROR(__xludf.DUMMYFUNCTION("""COMPUTED_VALUE"""),"Warren Drake")</f>
        <v>Warren Drake</v>
      </c>
      <c r="C267" s="109">
        <f ca="1">IFERROR(__xludf.DUMMYFUNCTION("""COMPUTED_VALUE"""),11)</f>
        <v>11</v>
      </c>
      <c r="D267" s="109" t="str">
        <f ca="1">IFERROR(__xludf.DUMMYFUNCTION("""COMPUTED_VALUE"""),"B")</f>
        <v>B</v>
      </c>
      <c r="E267" s="110" t="str">
        <f ca="1">IFERROR(__xludf.DUMMYFUNCTION("""COMPUTED_VALUE"""),"J")</f>
        <v>J</v>
      </c>
      <c r="F267" s="110" t="str">
        <f ca="1">IFERROR(__xludf.DUMMYFUNCTION("""COMPUTED_VALUE"""),"I")</f>
        <v>I</v>
      </c>
      <c r="G267" s="110">
        <f ca="1">IFERROR(__xludf.DUMMYFUNCTION("""COMPUTED_VALUE"""),5)</f>
        <v>5</v>
      </c>
      <c r="H267" s="112" t="str">
        <f ca="1"/>
        <v/>
      </c>
      <c r="I267" s="81" t="str">
        <f ca="1"/>
        <v/>
      </c>
    </row>
    <row r="268" spans="1:9" ht="13.2">
      <c r="A268" s="109" t="str">
        <f ca="1">IFERROR(__xludf.DUMMYFUNCTION("""COMPUTED_VALUE"""),"CP")</f>
        <v>CP</v>
      </c>
      <c r="B268" s="108" t="str">
        <f ca="1">IFERROR(__xludf.DUMMYFUNCTION("""COMPUTED_VALUE"""),"Amari Scruggs")</f>
        <v>Amari Scruggs</v>
      </c>
      <c r="C268" s="109">
        <f ca="1">IFERROR(__xludf.DUMMYFUNCTION("""COMPUTED_VALUE"""),12)</f>
        <v>12</v>
      </c>
      <c r="D268" s="109" t="str">
        <f ca="1">IFERROR(__xludf.DUMMYFUNCTION("""COMPUTED_VALUE"""),"G")</f>
        <v>G</v>
      </c>
      <c r="E268" s="110" t="str">
        <f ca="1">IFERROR(__xludf.DUMMYFUNCTION("""COMPUTED_VALUE"""),"J")</f>
        <v>J</v>
      </c>
      <c r="F268" s="110" t="str">
        <f ca="1">IFERROR(__xludf.DUMMYFUNCTION("""COMPUTED_VALUE"""),"I")</f>
        <v>I</v>
      </c>
      <c r="G268" s="110">
        <f ca="1">IFERROR(__xludf.DUMMYFUNCTION("""COMPUTED_VALUE"""),5)</f>
        <v>5</v>
      </c>
      <c r="H268" s="112" t="str">
        <f ca="1"/>
        <v/>
      </c>
      <c r="I268" s="81" t="str">
        <f ca="1"/>
        <v/>
      </c>
    </row>
    <row r="269" spans="1:9" ht="13.2">
      <c r="A269" s="109" t="str">
        <f ca="1">IFERROR(__xludf.DUMMYFUNCTION("""COMPUTED_VALUE"""),"CP")</f>
        <v>CP</v>
      </c>
      <c r="B269" s="108" t="str">
        <f ca="1">IFERROR(__xludf.DUMMYFUNCTION("""COMPUTED_VALUE"""),"Carleigh Haskins")</f>
        <v>Carleigh Haskins</v>
      </c>
      <c r="C269" s="109">
        <f ca="1">IFERROR(__xludf.DUMMYFUNCTION("""COMPUTED_VALUE"""),12)</f>
        <v>12</v>
      </c>
      <c r="D269" s="109" t="str">
        <f ca="1">IFERROR(__xludf.DUMMYFUNCTION("""COMPUTED_VALUE"""),"G")</f>
        <v>G</v>
      </c>
      <c r="E269" s="110" t="str">
        <f ca="1">IFERROR(__xludf.DUMMYFUNCTION("""COMPUTED_VALUE"""),"J")</f>
        <v>J</v>
      </c>
      <c r="F269" s="110" t="str">
        <f ca="1">IFERROR(__xludf.DUMMYFUNCTION("""COMPUTED_VALUE"""),"I")</f>
        <v>I</v>
      </c>
      <c r="G269" s="110">
        <f ca="1">IFERROR(__xludf.DUMMYFUNCTION("""COMPUTED_VALUE"""),5)</f>
        <v>5</v>
      </c>
      <c r="H269" s="112" t="str">
        <f ca="1"/>
        <v/>
      </c>
      <c r="I269" s="112" t="str">
        <f ca="1"/>
        <v/>
      </c>
    </row>
    <row r="270" spans="1:9" ht="13.2">
      <c r="A270" s="109" t="str">
        <f ca="1">IFERROR(__xludf.DUMMYFUNCTION("""COMPUTED_VALUE"""),"CP")</f>
        <v>CP</v>
      </c>
      <c r="B270" s="108" t="str">
        <f ca="1">IFERROR(__xludf.DUMMYFUNCTION("""COMPUTED_VALUE"""),"Caroline Apergis")</f>
        <v>Caroline Apergis</v>
      </c>
      <c r="C270" s="109">
        <f ca="1">IFERROR(__xludf.DUMMYFUNCTION("""COMPUTED_VALUE"""),12)</f>
        <v>12</v>
      </c>
      <c r="D270" s="109" t="str">
        <f ca="1">IFERROR(__xludf.DUMMYFUNCTION("""COMPUTED_VALUE"""),"G")</f>
        <v>G</v>
      </c>
      <c r="E270" s="110" t="str">
        <f ca="1">IFERROR(__xludf.DUMMYFUNCTION("""COMPUTED_VALUE"""),"J")</f>
        <v>J</v>
      </c>
      <c r="F270" s="110" t="str">
        <f ca="1">IFERROR(__xludf.DUMMYFUNCTION("""COMPUTED_VALUE"""),"I")</f>
        <v>I</v>
      </c>
      <c r="G270" s="110">
        <f ca="1">IFERROR(__xludf.DUMMYFUNCTION("""COMPUTED_VALUE"""),5)</f>
        <v>5</v>
      </c>
      <c r="H270" s="112" t="str">
        <f ca="1"/>
        <v/>
      </c>
      <c r="I270" s="112" t="str">
        <f ca="1"/>
        <v/>
      </c>
    </row>
    <row r="271" spans="1:9" ht="13.2">
      <c r="A271" s="109" t="str">
        <f ca="1">IFERROR(__xludf.DUMMYFUNCTION("""COMPUTED_VALUE"""),"CP")</f>
        <v>CP</v>
      </c>
      <c r="B271" s="108" t="str">
        <f ca="1">IFERROR(__xludf.DUMMYFUNCTION("""COMPUTED_VALUE"""),"Josie Anderson")</f>
        <v>Josie Anderson</v>
      </c>
      <c r="C271" s="109">
        <f ca="1">IFERROR(__xludf.DUMMYFUNCTION("""COMPUTED_VALUE"""),11)</f>
        <v>11</v>
      </c>
      <c r="D271" s="109" t="str">
        <f ca="1">IFERROR(__xludf.DUMMYFUNCTION("""COMPUTED_VALUE"""),"G")</f>
        <v>G</v>
      </c>
      <c r="E271" s="110" t="str">
        <f ca="1">IFERROR(__xludf.DUMMYFUNCTION("""COMPUTED_VALUE"""),"J")</f>
        <v>J</v>
      </c>
      <c r="F271" s="110" t="str">
        <f ca="1">IFERROR(__xludf.DUMMYFUNCTION("""COMPUTED_VALUE"""),"I")</f>
        <v>I</v>
      </c>
      <c r="G271" s="110">
        <f ca="1">IFERROR(__xludf.DUMMYFUNCTION("""COMPUTED_VALUE"""),5)</f>
        <v>5</v>
      </c>
      <c r="H271" s="112" t="str">
        <f ca="1"/>
        <v/>
      </c>
      <c r="I271" s="81" t="str">
        <f ca="1"/>
        <v/>
      </c>
    </row>
    <row r="272" spans="1:9" ht="13.2">
      <c r="A272" s="109" t="str">
        <f ca="1">IFERROR(__xludf.DUMMYFUNCTION("""COMPUTED_VALUE"""),"CP")</f>
        <v>CP</v>
      </c>
      <c r="B272" s="108" t="str">
        <f ca="1">IFERROR(__xludf.DUMMYFUNCTION("""COMPUTED_VALUE"""),"Kelsey Davis")</f>
        <v>Kelsey Davis</v>
      </c>
      <c r="C272" s="109">
        <f ca="1">IFERROR(__xludf.DUMMYFUNCTION("""COMPUTED_VALUE"""),12)</f>
        <v>12</v>
      </c>
      <c r="D272" s="109" t="str">
        <f ca="1">IFERROR(__xludf.DUMMYFUNCTION("""COMPUTED_VALUE"""),"G")</f>
        <v>G</v>
      </c>
      <c r="E272" s="110" t="str">
        <f ca="1">IFERROR(__xludf.DUMMYFUNCTION("""COMPUTED_VALUE"""),"J")</f>
        <v>J</v>
      </c>
      <c r="F272" s="110" t="str">
        <f ca="1">IFERROR(__xludf.DUMMYFUNCTION("""COMPUTED_VALUE"""),"I")</f>
        <v>I</v>
      </c>
      <c r="G272" s="110">
        <f ca="1">IFERROR(__xludf.DUMMYFUNCTION("""COMPUTED_VALUE"""),5)</f>
        <v>5</v>
      </c>
      <c r="H272" s="112" t="str">
        <f ca="1"/>
        <v/>
      </c>
      <c r="I272" s="81" t="str">
        <f ca="1"/>
        <v/>
      </c>
    </row>
    <row r="273" spans="1:9" ht="13.2">
      <c r="A273" s="109" t="str">
        <f ca="1">IFERROR(__xludf.DUMMYFUNCTION("""COMPUTED_VALUE"""),"CP")</f>
        <v>CP</v>
      </c>
      <c r="B273" s="108" t="str">
        <f ca="1">IFERROR(__xludf.DUMMYFUNCTION("""COMPUTED_VALUE"""),"Layla Azami")</f>
        <v>Layla Azami</v>
      </c>
      <c r="C273" s="109">
        <f ca="1">IFERROR(__xludf.DUMMYFUNCTION("""COMPUTED_VALUE"""),11)</f>
        <v>11</v>
      </c>
      <c r="D273" s="109" t="str">
        <f ca="1">IFERROR(__xludf.DUMMYFUNCTION("""COMPUTED_VALUE"""),"G")</f>
        <v>G</v>
      </c>
      <c r="E273" s="110" t="str">
        <f ca="1">IFERROR(__xludf.DUMMYFUNCTION("""COMPUTED_VALUE"""),"J")</f>
        <v>J</v>
      </c>
      <c r="F273" s="110" t="str">
        <f ca="1">IFERROR(__xludf.DUMMYFUNCTION("""COMPUTED_VALUE"""),"I")</f>
        <v>I</v>
      </c>
      <c r="G273" s="110">
        <f ca="1">IFERROR(__xludf.DUMMYFUNCTION("""COMPUTED_VALUE"""),5)</f>
        <v>5</v>
      </c>
      <c r="H273" s="112" t="str">
        <f ca="1"/>
        <v/>
      </c>
      <c r="I273" s="81" t="str">
        <f ca="1"/>
        <v/>
      </c>
    </row>
    <row r="274" spans="1:9" ht="13.2">
      <c r="A274" s="109" t="str">
        <f ca="1">IFERROR(__xludf.DUMMYFUNCTION("""COMPUTED_VALUE"""),"CP")</f>
        <v>CP</v>
      </c>
      <c r="B274" s="108" t="str">
        <f ca="1">IFERROR(__xludf.DUMMYFUNCTION("""COMPUTED_VALUE"""),"Natalie Scully")</f>
        <v>Natalie Scully</v>
      </c>
      <c r="C274" s="109">
        <f ca="1">IFERROR(__xludf.DUMMYFUNCTION("""COMPUTED_VALUE"""),12)</f>
        <v>12</v>
      </c>
      <c r="D274" s="109" t="str">
        <f ca="1">IFERROR(__xludf.DUMMYFUNCTION("""COMPUTED_VALUE"""),"G")</f>
        <v>G</v>
      </c>
      <c r="E274" s="110" t="str">
        <f ca="1">IFERROR(__xludf.DUMMYFUNCTION("""COMPUTED_VALUE"""),"J")</f>
        <v>J</v>
      </c>
      <c r="F274" s="110" t="str">
        <f ca="1">IFERROR(__xludf.DUMMYFUNCTION("""COMPUTED_VALUE"""),"I")</f>
        <v>I</v>
      </c>
      <c r="G274" s="110">
        <f ca="1">IFERROR(__xludf.DUMMYFUNCTION("""COMPUTED_VALUE"""),5)</f>
        <v>5</v>
      </c>
      <c r="H274" s="112" t="str">
        <f ca="1"/>
        <v/>
      </c>
      <c r="I274" s="112" t="str">
        <f ca="1"/>
        <v/>
      </c>
    </row>
    <row r="275" spans="1:9" ht="13.2">
      <c r="A275" s="109" t="str">
        <f ca="1">IFERROR(__xludf.DUMMYFUNCTION("""COMPUTED_VALUE"""),"CP")</f>
        <v>CP</v>
      </c>
      <c r="B275" s="108" t="str">
        <f ca="1">IFERROR(__xludf.DUMMYFUNCTION("""COMPUTED_VALUE"""),"Quinn Harris")</f>
        <v>Quinn Harris</v>
      </c>
      <c r="C275" s="109">
        <f ca="1">IFERROR(__xludf.DUMMYFUNCTION("""COMPUTED_VALUE"""),11)</f>
        <v>11</v>
      </c>
      <c r="D275" s="109" t="str">
        <f ca="1">IFERROR(__xludf.DUMMYFUNCTION("""COMPUTED_VALUE"""),"G")</f>
        <v>G</v>
      </c>
      <c r="E275" s="110" t="str">
        <f ca="1">IFERROR(__xludf.DUMMYFUNCTION("""COMPUTED_VALUE"""),"J")</f>
        <v>J</v>
      </c>
      <c r="F275" s="110" t="str">
        <f ca="1">IFERROR(__xludf.DUMMYFUNCTION("""COMPUTED_VALUE"""),"I")</f>
        <v>I</v>
      </c>
      <c r="G275" s="110">
        <f ca="1">IFERROR(__xludf.DUMMYFUNCTION("""COMPUTED_VALUE"""),5)</f>
        <v>5</v>
      </c>
      <c r="H275" s="112" t="str">
        <f ca="1"/>
        <v/>
      </c>
      <c r="I275" s="112" t="str">
        <f ca="1"/>
        <v/>
      </c>
    </row>
    <row r="276" spans="1:9" ht="13.2">
      <c r="A276" s="109" t="str">
        <f ca="1">IFERROR(__xludf.DUMMYFUNCTION("""COMPUTED_VALUE"""),"CP")</f>
        <v>CP</v>
      </c>
      <c r="B276" s="108" t="str">
        <f ca="1">IFERROR(__xludf.DUMMYFUNCTION("""COMPUTED_VALUE"""),"Campbell Plageman")</f>
        <v>Campbell Plageman</v>
      </c>
      <c r="C276" s="109">
        <f ca="1">IFERROR(__xludf.DUMMYFUNCTION("""COMPUTED_VALUE"""),16)</f>
        <v>16</v>
      </c>
      <c r="D276" s="109" t="str">
        <f ca="1">IFERROR(__xludf.DUMMYFUNCTION("""COMPUTED_VALUE"""),"G")</f>
        <v>G</v>
      </c>
      <c r="E276" s="110" t="str">
        <f ca="1">IFERROR(__xludf.DUMMYFUNCTION("""COMPUTED_VALUE"""),"S")</f>
        <v>S</v>
      </c>
      <c r="F276" s="110" t="str">
        <f ca="1">IFERROR(__xludf.DUMMYFUNCTION("""COMPUTED_VALUE"""),"S")</f>
        <v>S</v>
      </c>
      <c r="G276" s="110">
        <f ca="1">IFERROR(__xludf.DUMMYFUNCTION("""COMPUTED_VALUE"""),5)</f>
        <v>5</v>
      </c>
      <c r="H276" s="112" t="str">
        <f ca="1"/>
        <v/>
      </c>
      <c r="I276" s="81" t="str">
        <f ca="1"/>
        <v/>
      </c>
    </row>
    <row r="277" spans="1:9" ht="13.2">
      <c r="A277" s="109" t="str">
        <f ca="1">IFERROR(__xludf.DUMMYFUNCTION("""COMPUTED_VALUE"""),"CP")</f>
        <v>CP</v>
      </c>
      <c r="B277" s="108" t="str">
        <f ca="1">IFERROR(__xludf.DUMMYFUNCTION("""COMPUTED_VALUE"""),"Mia Mihocko")</f>
        <v>Mia Mihocko</v>
      </c>
      <c r="C277" s="109">
        <f ca="1">IFERROR(__xludf.DUMMYFUNCTION("""COMPUTED_VALUE"""),16)</f>
        <v>16</v>
      </c>
      <c r="D277" s="109" t="str">
        <f ca="1">IFERROR(__xludf.DUMMYFUNCTION("""COMPUTED_VALUE"""),"G")</f>
        <v>G</v>
      </c>
      <c r="E277" s="110" t="str">
        <f ca="1">IFERROR(__xludf.DUMMYFUNCTION("""COMPUTED_VALUE"""),"S")</f>
        <v>S</v>
      </c>
      <c r="F277" s="110" t="str">
        <f ca="1">IFERROR(__xludf.DUMMYFUNCTION("""COMPUTED_VALUE"""),"S")</f>
        <v>S</v>
      </c>
      <c r="G277" s="110">
        <f ca="1">IFERROR(__xludf.DUMMYFUNCTION("""COMPUTED_VALUE"""),5)</f>
        <v>5</v>
      </c>
      <c r="H277" s="112" t="str">
        <f ca="1"/>
        <v/>
      </c>
      <c r="I277" s="81" t="str">
        <f ca="1"/>
        <v/>
      </c>
    </row>
    <row r="278" spans="1:9" ht="13.2">
      <c r="A278" s="109" t="str">
        <f ca="1">IFERROR(__xludf.DUMMYFUNCTION("""COMPUTED_VALUE"""),"CSC")</f>
        <v>CSC</v>
      </c>
      <c r="B278" s="108" t="str">
        <f ca="1">IFERROR(__xludf.DUMMYFUNCTION("""COMPUTED_VALUE"""),"Alex Erchov")</f>
        <v>Alex Erchov</v>
      </c>
      <c r="C278" s="109">
        <f ca="1">IFERROR(__xludf.DUMMYFUNCTION("""COMPUTED_VALUE"""),7)</f>
        <v>7</v>
      </c>
      <c r="D278" s="109" t="str">
        <f ca="1">IFERROR(__xludf.DUMMYFUNCTION("""COMPUTED_VALUE"""),"B")</f>
        <v>B</v>
      </c>
      <c r="E278" s="110" t="str">
        <f ca="1">IFERROR(__xludf.DUMMYFUNCTION("""COMPUTED_VALUE"""),"F")</f>
        <v>F</v>
      </c>
      <c r="F278" s="110" t="str">
        <f ca="1">IFERROR(__xludf.DUMMYFUNCTION("""COMPUTED_VALUE"""),"J")</f>
        <v>J</v>
      </c>
      <c r="G278" s="110">
        <f ca="1">IFERROR(__xludf.DUMMYFUNCTION("""COMPUTED_VALUE"""),8)</f>
        <v>8</v>
      </c>
      <c r="H278" s="112" t="str">
        <f ca="1"/>
        <v/>
      </c>
      <c r="I278" s="81" t="str">
        <f ca="1"/>
        <v/>
      </c>
    </row>
    <row r="279" spans="1:9" ht="13.2">
      <c r="A279" s="109" t="str">
        <f ca="1">IFERROR(__xludf.DUMMYFUNCTION("""COMPUTED_VALUE"""),"CSC")</f>
        <v>CSC</v>
      </c>
      <c r="B279" s="108" t="str">
        <f ca="1">IFERROR(__xludf.DUMMYFUNCTION("""COMPUTED_VALUE"""),"Benjamin Vargas")</f>
        <v>Benjamin Vargas</v>
      </c>
      <c r="C279" s="109">
        <f ca="1">IFERROR(__xludf.DUMMYFUNCTION("""COMPUTED_VALUE"""),10)</f>
        <v>10</v>
      </c>
      <c r="D279" s="109" t="str">
        <f ca="1">IFERROR(__xludf.DUMMYFUNCTION("""COMPUTED_VALUE"""),"B")</f>
        <v>B</v>
      </c>
      <c r="E279" s="110" t="str">
        <f ca="1">IFERROR(__xludf.DUMMYFUNCTION("""COMPUTED_VALUE"""),"F")</f>
        <v>F</v>
      </c>
      <c r="F279" s="110" t="str">
        <f ca="1">IFERROR(__xludf.DUMMYFUNCTION("""COMPUTED_VALUE"""),"J")</f>
        <v>J</v>
      </c>
      <c r="G279" s="110">
        <f ca="1">IFERROR(__xludf.DUMMYFUNCTION("""COMPUTED_VALUE"""),8)</f>
        <v>8</v>
      </c>
      <c r="H279" s="112" t="str">
        <f ca="1"/>
        <v/>
      </c>
      <c r="I279" s="81" t="str">
        <f ca="1"/>
        <v/>
      </c>
    </row>
    <row r="280" spans="1:9" ht="13.2">
      <c r="A280" s="109" t="str">
        <f ca="1">IFERROR(__xludf.DUMMYFUNCTION("""COMPUTED_VALUE"""),"CSC")</f>
        <v>CSC</v>
      </c>
      <c r="B280" s="108" t="str">
        <f ca="1">IFERROR(__xludf.DUMMYFUNCTION("""COMPUTED_VALUE"""),"Carter Jenkins")</f>
        <v>Carter Jenkins</v>
      </c>
      <c r="C280" s="109">
        <f ca="1">IFERROR(__xludf.DUMMYFUNCTION("""COMPUTED_VALUE"""),10)</f>
        <v>10</v>
      </c>
      <c r="D280" s="109" t="str">
        <f ca="1">IFERROR(__xludf.DUMMYFUNCTION("""COMPUTED_VALUE"""),"B")</f>
        <v>B</v>
      </c>
      <c r="E280" s="110" t="str">
        <f ca="1">IFERROR(__xludf.DUMMYFUNCTION("""COMPUTED_VALUE"""),"F")</f>
        <v>F</v>
      </c>
      <c r="F280" s="110" t="str">
        <f ca="1">IFERROR(__xludf.DUMMYFUNCTION("""COMPUTED_VALUE"""),"J")</f>
        <v>J</v>
      </c>
      <c r="G280" s="110">
        <f ca="1">IFERROR(__xludf.DUMMYFUNCTION("""COMPUTED_VALUE"""),8)</f>
        <v>8</v>
      </c>
      <c r="H280" s="112" t="str">
        <f ca="1"/>
        <v/>
      </c>
      <c r="I280" s="81" t="str">
        <f ca="1"/>
        <v/>
      </c>
    </row>
    <row r="281" spans="1:9" ht="13.2">
      <c r="A281" s="109" t="str">
        <f ca="1">IFERROR(__xludf.DUMMYFUNCTION("""COMPUTED_VALUE"""),"CSC")</f>
        <v>CSC</v>
      </c>
      <c r="B281" s="108" t="str">
        <f ca="1">IFERROR(__xludf.DUMMYFUNCTION("""COMPUTED_VALUE"""),"Cosmo Armando")</f>
        <v>Cosmo Armando</v>
      </c>
      <c r="C281" s="109">
        <f ca="1">IFERROR(__xludf.DUMMYFUNCTION("""COMPUTED_VALUE"""),5)</f>
        <v>5</v>
      </c>
      <c r="D281" s="109" t="str">
        <f ca="1">IFERROR(__xludf.DUMMYFUNCTION("""COMPUTED_VALUE"""),"B")</f>
        <v>B</v>
      </c>
      <c r="E281" s="110" t="str">
        <f ca="1">IFERROR(__xludf.DUMMYFUNCTION("""COMPUTED_VALUE"""),"F")</f>
        <v>F</v>
      </c>
      <c r="F281" s="110" t="str">
        <f ca="1">IFERROR(__xludf.DUMMYFUNCTION("""COMPUTED_VALUE"""),"J")</f>
        <v>J</v>
      </c>
      <c r="G281" s="110">
        <f ca="1">IFERROR(__xludf.DUMMYFUNCTION("""COMPUTED_VALUE"""),8)</f>
        <v>8</v>
      </c>
      <c r="H281" s="112" t="str">
        <f ca="1"/>
        <v/>
      </c>
      <c r="I281" s="112" t="str">
        <f ca="1"/>
        <v/>
      </c>
    </row>
    <row r="282" spans="1:9" ht="13.2">
      <c r="A282" s="109" t="str">
        <f ca="1">IFERROR(__xludf.DUMMYFUNCTION("""COMPUTED_VALUE"""),"CSC")</f>
        <v>CSC</v>
      </c>
      <c r="B282" s="108" t="str">
        <f ca="1">IFERROR(__xludf.DUMMYFUNCTION("""COMPUTED_VALUE"""),"Graham Benson")</f>
        <v>Graham Benson</v>
      </c>
      <c r="C282" s="109">
        <f ca="1">IFERROR(__xludf.DUMMYFUNCTION("""COMPUTED_VALUE"""),8)</f>
        <v>8</v>
      </c>
      <c r="D282" s="109" t="str">
        <f ca="1">IFERROR(__xludf.DUMMYFUNCTION("""COMPUTED_VALUE"""),"B")</f>
        <v>B</v>
      </c>
      <c r="E282" s="110" t="str">
        <f ca="1">IFERROR(__xludf.DUMMYFUNCTION("""COMPUTED_VALUE"""),"F")</f>
        <v>F</v>
      </c>
      <c r="F282" s="110" t="str">
        <f ca="1">IFERROR(__xludf.DUMMYFUNCTION("""COMPUTED_VALUE"""),"J")</f>
        <v>J</v>
      </c>
      <c r="G282" s="110">
        <f ca="1">IFERROR(__xludf.DUMMYFUNCTION("""COMPUTED_VALUE"""),8)</f>
        <v>8</v>
      </c>
      <c r="H282" s="112" t="str">
        <f ca="1"/>
        <v/>
      </c>
      <c r="I282" s="81" t="str">
        <f ca="1"/>
        <v/>
      </c>
    </row>
    <row r="283" spans="1:9" ht="13.2">
      <c r="A283" s="109" t="str">
        <f ca="1">IFERROR(__xludf.DUMMYFUNCTION("""COMPUTED_VALUE"""),"CSC")</f>
        <v>CSC</v>
      </c>
      <c r="B283" s="108" t="str">
        <f ca="1">IFERROR(__xludf.DUMMYFUNCTION("""COMPUTED_VALUE"""),"Harrison Ali")</f>
        <v>Harrison Ali</v>
      </c>
      <c r="C283" s="109">
        <f ca="1">IFERROR(__xludf.DUMMYFUNCTION("""COMPUTED_VALUE"""),8)</f>
        <v>8</v>
      </c>
      <c r="D283" s="109" t="str">
        <f ca="1">IFERROR(__xludf.DUMMYFUNCTION("""COMPUTED_VALUE"""),"B")</f>
        <v>B</v>
      </c>
      <c r="E283" s="110" t="str">
        <f ca="1">IFERROR(__xludf.DUMMYFUNCTION("""COMPUTED_VALUE"""),"F")</f>
        <v>F</v>
      </c>
      <c r="F283" s="110" t="str">
        <f ca="1">IFERROR(__xludf.DUMMYFUNCTION("""COMPUTED_VALUE"""),"J")</f>
        <v>J</v>
      </c>
      <c r="G283" s="110">
        <f ca="1">IFERROR(__xludf.DUMMYFUNCTION("""COMPUTED_VALUE"""),8)</f>
        <v>8</v>
      </c>
      <c r="H283" s="112" t="str">
        <f ca="1"/>
        <v/>
      </c>
      <c r="I283" s="112" t="str">
        <f ca="1"/>
        <v/>
      </c>
    </row>
    <row r="284" spans="1:9" ht="13.2">
      <c r="A284" s="109" t="str">
        <f ca="1">IFERROR(__xludf.DUMMYFUNCTION("""COMPUTED_VALUE"""),"CSC")</f>
        <v>CSC</v>
      </c>
      <c r="B284" s="108" t="str">
        <f ca="1">IFERROR(__xludf.DUMMYFUNCTION("""COMPUTED_VALUE"""),"Liam Swearingen")</f>
        <v>Liam Swearingen</v>
      </c>
      <c r="C284" s="109">
        <f ca="1">IFERROR(__xludf.DUMMYFUNCTION("""COMPUTED_VALUE"""),7)</f>
        <v>7</v>
      </c>
      <c r="D284" s="109" t="str">
        <f ca="1">IFERROR(__xludf.DUMMYFUNCTION("""COMPUTED_VALUE"""),"B")</f>
        <v>B</v>
      </c>
      <c r="E284" s="110" t="str">
        <f ca="1">IFERROR(__xludf.DUMMYFUNCTION("""COMPUTED_VALUE"""),"F")</f>
        <v>F</v>
      </c>
      <c r="F284" s="110" t="str">
        <f ca="1">IFERROR(__xludf.DUMMYFUNCTION("""COMPUTED_VALUE"""),"J")</f>
        <v>J</v>
      </c>
      <c r="G284" s="110">
        <f ca="1">IFERROR(__xludf.DUMMYFUNCTION("""COMPUTED_VALUE"""),8)</f>
        <v>8</v>
      </c>
      <c r="H284" s="112" t="str">
        <f ca="1"/>
        <v/>
      </c>
      <c r="I284" s="112" t="str">
        <f ca="1"/>
        <v/>
      </c>
    </row>
    <row r="285" spans="1:9" ht="13.2">
      <c r="A285" s="109" t="str">
        <f ca="1">IFERROR(__xludf.DUMMYFUNCTION("""COMPUTED_VALUE"""),"CSC")</f>
        <v>CSC</v>
      </c>
      <c r="B285" s="108" t="str">
        <f ca="1">IFERROR(__xludf.DUMMYFUNCTION("""COMPUTED_VALUE"""),"Lincoln Ali")</f>
        <v>Lincoln Ali</v>
      </c>
      <c r="C285" s="109">
        <f ca="1">IFERROR(__xludf.DUMMYFUNCTION("""COMPUTED_VALUE"""),6)</f>
        <v>6</v>
      </c>
      <c r="D285" s="109" t="str">
        <f ca="1">IFERROR(__xludf.DUMMYFUNCTION("""COMPUTED_VALUE"""),"B")</f>
        <v>B</v>
      </c>
      <c r="E285" s="110" t="str">
        <f ca="1">IFERROR(__xludf.DUMMYFUNCTION("""COMPUTED_VALUE"""),"F")</f>
        <v>F</v>
      </c>
      <c r="F285" s="110" t="str">
        <f ca="1">IFERROR(__xludf.DUMMYFUNCTION("""COMPUTED_VALUE"""),"J")</f>
        <v>J</v>
      </c>
      <c r="G285" s="110">
        <f ca="1">IFERROR(__xludf.DUMMYFUNCTION("""COMPUTED_VALUE"""),8)</f>
        <v>8</v>
      </c>
      <c r="H285" s="112" t="str">
        <f ca="1"/>
        <v/>
      </c>
      <c r="I285" s="112" t="str">
        <f ca="1"/>
        <v/>
      </c>
    </row>
    <row r="286" spans="1:9" ht="13.2">
      <c r="A286" s="109" t="str">
        <f ca="1">IFERROR(__xludf.DUMMYFUNCTION("""COMPUTED_VALUE"""),"CSC")</f>
        <v>CSC</v>
      </c>
      <c r="B286" s="108" t="str">
        <f ca="1">IFERROR(__xludf.DUMMYFUNCTION("""COMPUTED_VALUE"""),"Lucas Egan")</f>
        <v>Lucas Egan</v>
      </c>
      <c r="C286" s="109">
        <f ca="1">IFERROR(__xludf.DUMMYFUNCTION("""COMPUTED_VALUE"""),10)</f>
        <v>10</v>
      </c>
      <c r="D286" s="109" t="str">
        <f ca="1">IFERROR(__xludf.DUMMYFUNCTION("""COMPUTED_VALUE"""),"B")</f>
        <v>B</v>
      </c>
      <c r="E286" s="110" t="str">
        <f ca="1">IFERROR(__xludf.DUMMYFUNCTION("""COMPUTED_VALUE"""),"F")</f>
        <v>F</v>
      </c>
      <c r="F286" s="110" t="str">
        <f ca="1">IFERROR(__xludf.DUMMYFUNCTION("""COMPUTED_VALUE"""),"J")</f>
        <v>J</v>
      </c>
      <c r="G286" s="110">
        <f ca="1">IFERROR(__xludf.DUMMYFUNCTION("""COMPUTED_VALUE"""),8)</f>
        <v>8</v>
      </c>
      <c r="H286" s="112" t="str">
        <f ca="1"/>
        <v/>
      </c>
      <c r="I286" s="112" t="str">
        <f ca="1"/>
        <v/>
      </c>
    </row>
    <row r="287" spans="1:9" ht="13.2">
      <c r="A287" s="109" t="str">
        <f ca="1">IFERROR(__xludf.DUMMYFUNCTION("""COMPUTED_VALUE"""),"CSC")</f>
        <v>CSC</v>
      </c>
      <c r="B287" s="108" t="str">
        <f ca="1">IFERROR(__xludf.DUMMYFUNCTION("""COMPUTED_VALUE"""),"Lucas Nguyen")</f>
        <v>Lucas Nguyen</v>
      </c>
      <c r="C287" s="109">
        <f ca="1">IFERROR(__xludf.DUMMYFUNCTION("""COMPUTED_VALUE"""),9)</f>
        <v>9</v>
      </c>
      <c r="D287" s="109" t="str">
        <f ca="1">IFERROR(__xludf.DUMMYFUNCTION("""COMPUTED_VALUE"""),"B")</f>
        <v>B</v>
      </c>
      <c r="E287" s="110" t="str">
        <f ca="1">IFERROR(__xludf.DUMMYFUNCTION("""COMPUTED_VALUE"""),"F")</f>
        <v>F</v>
      </c>
      <c r="F287" s="110" t="str">
        <f ca="1">IFERROR(__xludf.DUMMYFUNCTION("""COMPUTED_VALUE"""),"J")</f>
        <v>J</v>
      </c>
      <c r="G287" s="110">
        <f ca="1">IFERROR(__xludf.DUMMYFUNCTION("""COMPUTED_VALUE"""),8)</f>
        <v>8</v>
      </c>
      <c r="H287" s="112" t="str">
        <f ca="1"/>
        <v/>
      </c>
      <c r="I287" s="112" t="str">
        <f ca="1"/>
        <v/>
      </c>
    </row>
    <row r="288" spans="1:9" ht="13.2">
      <c r="A288" s="109" t="str">
        <f ca="1">IFERROR(__xludf.DUMMYFUNCTION("""COMPUTED_VALUE"""),"CSC")</f>
        <v>CSC</v>
      </c>
      <c r="B288" s="108" t="str">
        <f ca="1">IFERROR(__xludf.DUMMYFUNCTION("""COMPUTED_VALUE"""),"Nathan Pierce")</f>
        <v>Nathan Pierce</v>
      </c>
      <c r="C288" s="109">
        <f ca="1">IFERROR(__xludf.DUMMYFUNCTION("""COMPUTED_VALUE"""),7)</f>
        <v>7</v>
      </c>
      <c r="D288" s="109" t="str">
        <f ca="1">IFERROR(__xludf.DUMMYFUNCTION("""COMPUTED_VALUE"""),"B")</f>
        <v>B</v>
      </c>
      <c r="E288" s="110" t="str">
        <f ca="1">IFERROR(__xludf.DUMMYFUNCTION("""COMPUTED_VALUE"""),"F")</f>
        <v>F</v>
      </c>
      <c r="F288" s="110" t="str">
        <f ca="1">IFERROR(__xludf.DUMMYFUNCTION("""COMPUTED_VALUE"""),"J")</f>
        <v>J</v>
      </c>
      <c r="G288" s="110">
        <f ca="1">IFERROR(__xludf.DUMMYFUNCTION("""COMPUTED_VALUE"""),8)</f>
        <v>8</v>
      </c>
      <c r="H288" s="112" t="str">
        <f ca="1"/>
        <v/>
      </c>
      <c r="I288" s="112" t="str">
        <f ca="1"/>
        <v/>
      </c>
    </row>
    <row r="289" spans="1:9" ht="13.2">
      <c r="A289" s="109" t="str">
        <f ca="1">IFERROR(__xludf.DUMMYFUNCTION("""COMPUTED_VALUE"""),"CSC")</f>
        <v>CSC</v>
      </c>
      <c r="B289" s="108" t="str">
        <f ca="1">IFERROR(__xludf.DUMMYFUNCTION("""COMPUTED_VALUE"""),"Nick Jenkins")</f>
        <v>Nick Jenkins</v>
      </c>
      <c r="C289" s="109">
        <f ca="1">IFERROR(__xludf.DUMMYFUNCTION("""COMPUTED_VALUE"""),9)</f>
        <v>9</v>
      </c>
      <c r="D289" s="109" t="str">
        <f ca="1">IFERROR(__xludf.DUMMYFUNCTION("""COMPUTED_VALUE"""),"B")</f>
        <v>B</v>
      </c>
      <c r="E289" s="110" t="str">
        <f ca="1">IFERROR(__xludf.DUMMYFUNCTION("""COMPUTED_VALUE"""),"F")</f>
        <v>F</v>
      </c>
      <c r="F289" s="110" t="str">
        <f ca="1">IFERROR(__xludf.DUMMYFUNCTION("""COMPUTED_VALUE"""),"J")</f>
        <v>J</v>
      </c>
      <c r="G289" s="110">
        <f ca="1">IFERROR(__xludf.DUMMYFUNCTION("""COMPUTED_VALUE"""),8)</f>
        <v>8</v>
      </c>
      <c r="H289" s="112" t="str">
        <f ca="1"/>
        <v/>
      </c>
      <c r="I289" s="81" t="str">
        <f ca="1"/>
        <v/>
      </c>
    </row>
    <row r="290" spans="1:9" ht="13.2">
      <c r="A290" s="109" t="str">
        <f ca="1">IFERROR(__xludf.DUMMYFUNCTION("""COMPUTED_VALUE"""),"CSC")</f>
        <v>CSC</v>
      </c>
      <c r="B290" s="108" t="str">
        <f ca="1">IFERROR(__xludf.DUMMYFUNCTION("""COMPUTED_VALUE"""),"Nik Kankadze")</f>
        <v>Nik Kankadze</v>
      </c>
      <c r="C290" s="109">
        <f ca="1">IFERROR(__xludf.DUMMYFUNCTION("""COMPUTED_VALUE"""),9)</f>
        <v>9</v>
      </c>
      <c r="D290" s="109" t="str">
        <f ca="1">IFERROR(__xludf.DUMMYFUNCTION("""COMPUTED_VALUE"""),"B")</f>
        <v>B</v>
      </c>
      <c r="E290" s="110" t="str">
        <f ca="1">IFERROR(__xludf.DUMMYFUNCTION("""COMPUTED_VALUE"""),"F")</f>
        <v>F</v>
      </c>
      <c r="F290" s="110" t="str">
        <f ca="1">IFERROR(__xludf.DUMMYFUNCTION("""COMPUTED_VALUE"""),"J")</f>
        <v>J</v>
      </c>
      <c r="G290" s="110">
        <f ca="1">IFERROR(__xludf.DUMMYFUNCTION("""COMPUTED_VALUE"""),8)</f>
        <v>8</v>
      </c>
      <c r="H290" s="112" t="str">
        <f ca="1"/>
        <v/>
      </c>
      <c r="I290" s="112" t="str">
        <f ca="1"/>
        <v/>
      </c>
    </row>
    <row r="291" spans="1:9" ht="13.2">
      <c r="A291" s="109" t="str">
        <f ca="1">IFERROR(__xludf.DUMMYFUNCTION("""COMPUTED_VALUE"""),"CSC")</f>
        <v>CSC</v>
      </c>
      <c r="B291" s="108" t="str">
        <f ca="1">IFERROR(__xludf.DUMMYFUNCTION("""COMPUTED_VALUE"""),"Noah Pierce")</f>
        <v>Noah Pierce</v>
      </c>
      <c r="C291" s="109">
        <f ca="1">IFERROR(__xludf.DUMMYFUNCTION("""COMPUTED_VALUE"""),5)</f>
        <v>5</v>
      </c>
      <c r="D291" s="109" t="str">
        <f ca="1">IFERROR(__xludf.DUMMYFUNCTION("""COMPUTED_VALUE"""),"B")</f>
        <v>B</v>
      </c>
      <c r="E291" s="110" t="str">
        <f ca="1">IFERROR(__xludf.DUMMYFUNCTION("""COMPUTED_VALUE"""),"F")</f>
        <v>F</v>
      </c>
      <c r="F291" s="110" t="str">
        <f ca="1">IFERROR(__xludf.DUMMYFUNCTION("""COMPUTED_VALUE"""),"J")</f>
        <v>J</v>
      </c>
      <c r="G291" s="110">
        <f ca="1">IFERROR(__xludf.DUMMYFUNCTION("""COMPUTED_VALUE"""),8)</f>
        <v>8</v>
      </c>
      <c r="H291" s="112" t="str">
        <f ca="1"/>
        <v>25.85</v>
      </c>
      <c r="I291" s="112">
        <f ca="1"/>
        <v>25.85</v>
      </c>
    </row>
    <row r="292" spans="1:9" ht="13.2">
      <c r="A292" s="109" t="str">
        <f ca="1">IFERROR(__xludf.DUMMYFUNCTION("""COMPUTED_VALUE"""),"CSC")</f>
        <v>CSC</v>
      </c>
      <c r="B292" s="108" t="str">
        <f ca="1">IFERROR(__xludf.DUMMYFUNCTION("""COMPUTED_VALUE"""),"Stephen Wilber")</f>
        <v>Stephen Wilber</v>
      </c>
      <c r="C292" s="109">
        <f ca="1">IFERROR(__xludf.DUMMYFUNCTION("""COMPUTED_VALUE"""),5)</f>
        <v>5</v>
      </c>
      <c r="D292" s="109" t="str">
        <f ca="1">IFERROR(__xludf.DUMMYFUNCTION("""COMPUTED_VALUE"""),"B")</f>
        <v>B</v>
      </c>
      <c r="E292" s="110" t="str">
        <f ca="1">IFERROR(__xludf.DUMMYFUNCTION("""COMPUTED_VALUE"""),"F")</f>
        <v>F</v>
      </c>
      <c r="F292" s="110" t="str">
        <f ca="1">IFERROR(__xludf.DUMMYFUNCTION("""COMPUTED_VALUE"""),"J")</f>
        <v>J</v>
      </c>
      <c r="G292" s="110">
        <f ca="1">IFERROR(__xludf.DUMMYFUNCTION("""COMPUTED_VALUE"""),8)</f>
        <v>8</v>
      </c>
      <c r="H292" s="112" t="str">
        <f ca="1"/>
        <v>17.35</v>
      </c>
      <c r="I292" s="112">
        <f ca="1"/>
        <v>17.350000000000001</v>
      </c>
    </row>
    <row r="293" spans="1:9" ht="13.2">
      <c r="A293" s="109" t="str">
        <f ca="1">IFERROR(__xludf.DUMMYFUNCTION("""COMPUTED_VALUE"""),"CSC")</f>
        <v>CSC</v>
      </c>
      <c r="B293" s="108" t="str">
        <f ca="1">IFERROR(__xludf.DUMMYFUNCTION("""COMPUTED_VALUE"""),"Ziad Salameh")</f>
        <v>Ziad Salameh</v>
      </c>
      <c r="C293" s="109">
        <f ca="1">IFERROR(__xludf.DUMMYFUNCTION("""COMPUTED_VALUE"""),10)</f>
        <v>10</v>
      </c>
      <c r="D293" s="109" t="str">
        <f ca="1">IFERROR(__xludf.DUMMYFUNCTION("""COMPUTED_VALUE"""),"B")</f>
        <v>B</v>
      </c>
      <c r="E293" s="110" t="str">
        <f ca="1">IFERROR(__xludf.DUMMYFUNCTION("""COMPUTED_VALUE"""),"F")</f>
        <v>F</v>
      </c>
      <c r="F293" s="110" t="str">
        <f ca="1">IFERROR(__xludf.DUMMYFUNCTION("""COMPUTED_VALUE"""),"J")</f>
        <v>J</v>
      </c>
      <c r="G293" s="110">
        <f ca="1">IFERROR(__xludf.DUMMYFUNCTION("""COMPUTED_VALUE"""),8)</f>
        <v>8</v>
      </c>
      <c r="H293" s="112" t="str">
        <f ca="1"/>
        <v/>
      </c>
      <c r="I293" s="112" t="str">
        <f ca="1"/>
        <v/>
      </c>
    </row>
    <row r="294" spans="1:9" ht="13.2">
      <c r="A294" s="109" t="str">
        <f ca="1">IFERROR(__xludf.DUMMYFUNCTION("""COMPUTED_VALUE"""),"CSC")</f>
        <v>CSC</v>
      </c>
      <c r="B294" s="108" t="str">
        <f ca="1">IFERROR(__xludf.DUMMYFUNCTION("""COMPUTED_VALUE"""),"Cherianne Truong")</f>
        <v>Cherianne Truong</v>
      </c>
      <c r="C294" s="109">
        <f ca="1">IFERROR(__xludf.DUMMYFUNCTION("""COMPUTED_VALUE"""),10)</f>
        <v>10</v>
      </c>
      <c r="D294" s="109" t="str">
        <f ca="1">IFERROR(__xludf.DUMMYFUNCTION("""COMPUTED_VALUE"""),"G")</f>
        <v>G</v>
      </c>
      <c r="E294" s="110" t="str">
        <f ca="1">IFERROR(__xludf.DUMMYFUNCTION("""COMPUTED_VALUE"""),"F")</f>
        <v>F</v>
      </c>
      <c r="F294" s="110" t="str">
        <f ca="1">IFERROR(__xludf.DUMMYFUNCTION("""COMPUTED_VALUE"""),"J")</f>
        <v>J</v>
      </c>
      <c r="G294" s="110">
        <f ca="1">IFERROR(__xludf.DUMMYFUNCTION("""COMPUTED_VALUE"""),8)</f>
        <v>8</v>
      </c>
      <c r="H294" s="112" t="str">
        <f ca="1"/>
        <v/>
      </c>
      <c r="I294" s="81" t="str">
        <f ca="1"/>
        <v/>
      </c>
    </row>
    <row r="295" spans="1:9" ht="13.2">
      <c r="A295" s="109" t="str">
        <f ca="1">IFERROR(__xludf.DUMMYFUNCTION("""COMPUTED_VALUE"""),"CSC")</f>
        <v>CSC</v>
      </c>
      <c r="B295" s="108" t="str">
        <f ca="1">IFERROR(__xludf.DUMMYFUNCTION("""COMPUTED_VALUE"""),"Collette Ungaretti")</f>
        <v>Collette Ungaretti</v>
      </c>
      <c r="C295" s="109">
        <f ca="1">IFERROR(__xludf.DUMMYFUNCTION("""COMPUTED_VALUE"""),6)</f>
        <v>6</v>
      </c>
      <c r="D295" s="109" t="str">
        <f ca="1">IFERROR(__xludf.DUMMYFUNCTION("""COMPUTED_VALUE"""),"G")</f>
        <v>G</v>
      </c>
      <c r="E295" s="110" t="str">
        <f ca="1">IFERROR(__xludf.DUMMYFUNCTION("""COMPUTED_VALUE"""),"F")</f>
        <v>F</v>
      </c>
      <c r="F295" s="110" t="str">
        <f ca="1">IFERROR(__xludf.DUMMYFUNCTION("""COMPUTED_VALUE"""),"J")</f>
        <v>J</v>
      </c>
      <c r="G295" s="110">
        <f ca="1">IFERROR(__xludf.DUMMYFUNCTION("""COMPUTED_VALUE"""),8)</f>
        <v>8</v>
      </c>
      <c r="H295" s="112" t="str">
        <f ca="1"/>
        <v/>
      </c>
      <c r="I295" s="112" t="str">
        <f ca="1"/>
        <v/>
      </c>
    </row>
    <row r="296" spans="1:9" ht="13.2">
      <c r="A296" s="109" t="str">
        <f ca="1">IFERROR(__xludf.DUMMYFUNCTION("""COMPUTED_VALUE"""),"CSC")</f>
        <v>CSC</v>
      </c>
      <c r="B296" s="108" t="str">
        <f ca="1">IFERROR(__xludf.DUMMYFUNCTION("""COMPUTED_VALUE"""),"Fiorentina Vargas")</f>
        <v>Fiorentina Vargas</v>
      </c>
      <c r="C296" s="109">
        <f ca="1">IFERROR(__xludf.DUMMYFUNCTION("""COMPUTED_VALUE"""),7)</f>
        <v>7</v>
      </c>
      <c r="D296" s="109" t="str">
        <f ca="1">IFERROR(__xludf.DUMMYFUNCTION("""COMPUTED_VALUE"""),"G")</f>
        <v>G</v>
      </c>
      <c r="E296" s="110" t="str">
        <f ca="1">IFERROR(__xludf.DUMMYFUNCTION("""COMPUTED_VALUE"""),"F")</f>
        <v>F</v>
      </c>
      <c r="F296" s="110" t="str">
        <f ca="1">IFERROR(__xludf.DUMMYFUNCTION("""COMPUTED_VALUE"""),"J")</f>
        <v>J</v>
      </c>
      <c r="G296" s="110">
        <f ca="1">IFERROR(__xludf.DUMMYFUNCTION("""COMPUTED_VALUE"""),8)</f>
        <v>8</v>
      </c>
      <c r="H296" s="112" t="str">
        <f ca="1"/>
        <v/>
      </c>
      <c r="I296" s="112" t="str">
        <f ca="1"/>
        <v/>
      </c>
    </row>
    <row r="297" spans="1:9" ht="13.2">
      <c r="A297" s="109" t="str">
        <f ca="1">IFERROR(__xludf.DUMMYFUNCTION("""COMPUTED_VALUE"""),"CSC")</f>
        <v>CSC</v>
      </c>
      <c r="B297" s="108" t="str">
        <f ca="1">IFERROR(__xludf.DUMMYFUNCTION("""COMPUTED_VALUE"""),"Hana Saeedi")</f>
        <v>Hana Saeedi</v>
      </c>
      <c r="C297" s="109">
        <f ca="1">IFERROR(__xludf.DUMMYFUNCTION("""COMPUTED_VALUE"""),9)</f>
        <v>9</v>
      </c>
      <c r="D297" s="109" t="str">
        <f ca="1">IFERROR(__xludf.DUMMYFUNCTION("""COMPUTED_VALUE"""),"G")</f>
        <v>G</v>
      </c>
      <c r="E297" s="110" t="str">
        <f ca="1">IFERROR(__xludf.DUMMYFUNCTION("""COMPUTED_VALUE"""),"F")</f>
        <v>F</v>
      </c>
      <c r="F297" s="110" t="str">
        <f ca="1">IFERROR(__xludf.DUMMYFUNCTION("""COMPUTED_VALUE"""),"J")</f>
        <v>J</v>
      </c>
      <c r="G297" s="110">
        <f ca="1">IFERROR(__xludf.DUMMYFUNCTION("""COMPUTED_VALUE"""),8)</f>
        <v>8</v>
      </c>
      <c r="H297" s="112" t="str">
        <f ca="1"/>
        <v/>
      </c>
      <c r="I297" s="112" t="str">
        <f ca="1"/>
        <v/>
      </c>
    </row>
    <row r="298" spans="1:9" ht="13.2">
      <c r="A298" s="109" t="str">
        <f ca="1">IFERROR(__xludf.DUMMYFUNCTION("""COMPUTED_VALUE"""),"CSC")</f>
        <v>CSC</v>
      </c>
      <c r="B298" s="108" t="str">
        <f ca="1">IFERROR(__xludf.DUMMYFUNCTION("""COMPUTED_VALUE"""),"Karie Egan")</f>
        <v>Karie Egan</v>
      </c>
      <c r="C298" s="109">
        <f ca="1">IFERROR(__xludf.DUMMYFUNCTION("""COMPUTED_VALUE"""),10)</f>
        <v>10</v>
      </c>
      <c r="D298" s="109" t="str">
        <f ca="1">IFERROR(__xludf.DUMMYFUNCTION("""COMPUTED_VALUE"""),"G")</f>
        <v>G</v>
      </c>
      <c r="E298" s="110" t="str">
        <f ca="1">IFERROR(__xludf.DUMMYFUNCTION("""COMPUTED_VALUE"""),"F")</f>
        <v>F</v>
      </c>
      <c r="F298" s="110" t="str">
        <f ca="1">IFERROR(__xludf.DUMMYFUNCTION("""COMPUTED_VALUE"""),"J")</f>
        <v>J</v>
      </c>
      <c r="G298" s="110">
        <f ca="1">IFERROR(__xludf.DUMMYFUNCTION("""COMPUTED_VALUE"""),8)</f>
        <v>8</v>
      </c>
      <c r="H298" s="112" t="str">
        <f ca="1"/>
        <v/>
      </c>
      <c r="I298" s="112" t="str">
        <f ca="1"/>
        <v/>
      </c>
    </row>
    <row r="299" spans="1:9" ht="13.2">
      <c r="A299" s="109" t="str">
        <f ca="1">IFERROR(__xludf.DUMMYFUNCTION("""COMPUTED_VALUE"""),"CSC")</f>
        <v>CSC</v>
      </c>
      <c r="B299" s="108" t="str">
        <f ca="1">IFERROR(__xludf.DUMMYFUNCTION("""COMPUTED_VALUE"""),"Katya Kankadze")</f>
        <v>Katya Kankadze</v>
      </c>
      <c r="C299" s="109">
        <f ca="1">IFERROR(__xludf.DUMMYFUNCTION("""COMPUTED_VALUE"""),9)</f>
        <v>9</v>
      </c>
      <c r="D299" s="109" t="str">
        <f ca="1">IFERROR(__xludf.DUMMYFUNCTION("""COMPUTED_VALUE"""),"G")</f>
        <v>G</v>
      </c>
      <c r="E299" s="110" t="str">
        <f ca="1">IFERROR(__xludf.DUMMYFUNCTION("""COMPUTED_VALUE"""),"F")</f>
        <v>F</v>
      </c>
      <c r="F299" s="110" t="str">
        <f ca="1">IFERROR(__xludf.DUMMYFUNCTION("""COMPUTED_VALUE"""),"J")</f>
        <v>J</v>
      </c>
      <c r="G299" s="110">
        <f ca="1">IFERROR(__xludf.DUMMYFUNCTION("""COMPUTED_VALUE"""),8)</f>
        <v>8</v>
      </c>
      <c r="H299" s="112" t="str">
        <f ca="1"/>
        <v/>
      </c>
      <c r="I299" s="81" t="str">
        <f ca="1"/>
        <v/>
      </c>
    </row>
    <row r="300" spans="1:9" ht="13.2">
      <c r="A300" s="109" t="str">
        <f ca="1">IFERROR(__xludf.DUMMYFUNCTION("""COMPUTED_VALUE"""),"CSC")</f>
        <v>CSC</v>
      </c>
      <c r="B300" s="108" t="str">
        <f ca="1">IFERROR(__xludf.DUMMYFUNCTION("""COMPUTED_VALUE"""),"Mackenzie Rose Healy")</f>
        <v>Mackenzie Rose Healy</v>
      </c>
      <c r="C300" s="109">
        <f ca="1">IFERROR(__xludf.DUMMYFUNCTION("""COMPUTED_VALUE"""),8)</f>
        <v>8</v>
      </c>
      <c r="D300" s="109" t="str">
        <f ca="1">IFERROR(__xludf.DUMMYFUNCTION("""COMPUTED_VALUE"""),"G")</f>
        <v>G</v>
      </c>
      <c r="E300" s="110" t="str">
        <f ca="1">IFERROR(__xludf.DUMMYFUNCTION("""COMPUTED_VALUE"""),"F")</f>
        <v>F</v>
      </c>
      <c r="F300" s="110" t="str">
        <f ca="1">IFERROR(__xludf.DUMMYFUNCTION("""COMPUTED_VALUE"""),"J")</f>
        <v>J</v>
      </c>
      <c r="G300" s="110">
        <f ca="1">IFERROR(__xludf.DUMMYFUNCTION("""COMPUTED_VALUE"""),8)</f>
        <v>8</v>
      </c>
      <c r="H300" s="112" t="str">
        <f ca="1"/>
        <v/>
      </c>
      <c r="I300" s="81" t="str">
        <f ca="1"/>
        <v/>
      </c>
    </row>
    <row r="301" spans="1:9" ht="13.2">
      <c r="A301" s="109" t="str">
        <f ca="1">IFERROR(__xludf.DUMMYFUNCTION("""COMPUTED_VALUE"""),"CSC")</f>
        <v>CSC</v>
      </c>
      <c r="B301" s="108" t="str">
        <f ca="1">IFERROR(__xludf.DUMMYFUNCTION("""COMPUTED_VALUE"""),"Marissa Rubin")</f>
        <v>Marissa Rubin</v>
      </c>
      <c r="C301" s="109">
        <f ca="1">IFERROR(__xludf.DUMMYFUNCTION("""COMPUTED_VALUE"""),9)</f>
        <v>9</v>
      </c>
      <c r="D301" s="109" t="str">
        <f ca="1">IFERROR(__xludf.DUMMYFUNCTION("""COMPUTED_VALUE"""),"G")</f>
        <v>G</v>
      </c>
      <c r="E301" s="110" t="str">
        <f ca="1">IFERROR(__xludf.DUMMYFUNCTION("""COMPUTED_VALUE"""),"F")</f>
        <v>F</v>
      </c>
      <c r="F301" s="110" t="str">
        <f ca="1">IFERROR(__xludf.DUMMYFUNCTION("""COMPUTED_VALUE"""),"J")</f>
        <v>J</v>
      </c>
      <c r="G301" s="110">
        <f ca="1">IFERROR(__xludf.DUMMYFUNCTION("""COMPUTED_VALUE"""),8)</f>
        <v>8</v>
      </c>
      <c r="H301" s="112" t="str">
        <f ca="1"/>
        <v/>
      </c>
      <c r="I301" s="112" t="str">
        <f ca="1"/>
        <v/>
      </c>
    </row>
    <row r="302" spans="1:9" ht="13.2">
      <c r="A302" s="109" t="str">
        <f ca="1">IFERROR(__xludf.DUMMYFUNCTION("""COMPUTED_VALUE"""),"CSC")</f>
        <v>CSC</v>
      </c>
      <c r="B302" s="108" t="str">
        <f ca="1">IFERROR(__xludf.DUMMYFUNCTION("""COMPUTED_VALUE"""),"Natalia Torres")</f>
        <v>Natalia Torres</v>
      </c>
      <c r="C302" s="109">
        <f ca="1">IFERROR(__xludf.DUMMYFUNCTION("""COMPUTED_VALUE"""),10)</f>
        <v>10</v>
      </c>
      <c r="D302" s="109" t="str">
        <f ca="1">IFERROR(__xludf.DUMMYFUNCTION("""COMPUTED_VALUE"""),"G")</f>
        <v>G</v>
      </c>
      <c r="E302" s="110" t="str">
        <f ca="1">IFERROR(__xludf.DUMMYFUNCTION("""COMPUTED_VALUE"""),"F")</f>
        <v>F</v>
      </c>
      <c r="F302" s="110" t="str">
        <f ca="1">IFERROR(__xludf.DUMMYFUNCTION("""COMPUTED_VALUE"""),"J")</f>
        <v>J</v>
      </c>
      <c r="G302" s="110">
        <f ca="1">IFERROR(__xludf.DUMMYFUNCTION("""COMPUTED_VALUE"""),8)</f>
        <v>8</v>
      </c>
      <c r="H302" s="112" t="str">
        <f ca="1"/>
        <v>17.65</v>
      </c>
      <c r="I302" s="112">
        <f ca="1"/>
        <v>17.649999999999999</v>
      </c>
    </row>
    <row r="303" spans="1:9" ht="13.2">
      <c r="A303" s="109" t="str">
        <f ca="1">IFERROR(__xludf.DUMMYFUNCTION("""COMPUTED_VALUE"""),"CSC")</f>
        <v>CSC</v>
      </c>
      <c r="B303" s="108" t="str">
        <f ca="1">IFERROR(__xludf.DUMMYFUNCTION("""COMPUTED_VALUE"""),"Orya Chapa")</f>
        <v>Orya Chapa</v>
      </c>
      <c r="C303" s="109">
        <f ca="1">IFERROR(__xludf.DUMMYFUNCTION("""COMPUTED_VALUE"""),9)</f>
        <v>9</v>
      </c>
      <c r="D303" s="109" t="str">
        <f ca="1">IFERROR(__xludf.DUMMYFUNCTION("""COMPUTED_VALUE"""),"G")</f>
        <v>G</v>
      </c>
      <c r="E303" s="110" t="str">
        <f ca="1">IFERROR(__xludf.DUMMYFUNCTION("""COMPUTED_VALUE"""),"F")</f>
        <v>F</v>
      </c>
      <c r="F303" s="110" t="str">
        <f ca="1">IFERROR(__xludf.DUMMYFUNCTION("""COMPUTED_VALUE"""),"J")</f>
        <v>J</v>
      </c>
      <c r="G303" s="110">
        <f ca="1">IFERROR(__xludf.DUMMYFUNCTION("""COMPUTED_VALUE"""),8)</f>
        <v>8</v>
      </c>
      <c r="H303" s="112" t="str">
        <f ca="1"/>
        <v/>
      </c>
      <c r="I303" s="112" t="str">
        <f ca="1"/>
        <v/>
      </c>
    </row>
    <row r="304" spans="1:9" ht="13.2">
      <c r="A304" s="109" t="str">
        <f ca="1">IFERROR(__xludf.DUMMYFUNCTION("""COMPUTED_VALUE"""),"CSC")</f>
        <v>CSC</v>
      </c>
      <c r="B304" s="108" t="str">
        <f ca="1">IFERROR(__xludf.DUMMYFUNCTION("""COMPUTED_VALUE"""),"Samantha Armando")</f>
        <v>Samantha Armando</v>
      </c>
      <c r="C304" s="109">
        <f ca="1">IFERROR(__xludf.DUMMYFUNCTION("""COMPUTED_VALUE"""),6)</f>
        <v>6</v>
      </c>
      <c r="D304" s="109" t="str">
        <f ca="1">IFERROR(__xludf.DUMMYFUNCTION("""COMPUTED_VALUE"""),"G")</f>
        <v>G</v>
      </c>
      <c r="E304" s="110" t="str">
        <f ca="1">IFERROR(__xludf.DUMMYFUNCTION("""COMPUTED_VALUE"""),"F")</f>
        <v>F</v>
      </c>
      <c r="F304" s="110" t="str">
        <f ca="1">IFERROR(__xludf.DUMMYFUNCTION("""COMPUTED_VALUE"""),"J")</f>
        <v>J</v>
      </c>
      <c r="G304" s="110">
        <f ca="1">IFERROR(__xludf.DUMMYFUNCTION("""COMPUTED_VALUE"""),8)</f>
        <v>8</v>
      </c>
      <c r="H304" s="112" t="str">
        <f ca="1"/>
        <v/>
      </c>
      <c r="I304" s="81" t="str">
        <f ca="1"/>
        <v/>
      </c>
    </row>
    <row r="305" spans="1:9" ht="13.2">
      <c r="A305" s="109" t="str">
        <f ca="1">IFERROR(__xludf.DUMMYFUNCTION("""COMPUTED_VALUE"""),"CSC")</f>
        <v>CSC</v>
      </c>
      <c r="B305" s="108" t="str">
        <f ca="1">IFERROR(__xludf.DUMMYFUNCTION("""COMPUTED_VALUE"""),"Soraya Lora-Pena")</f>
        <v>Soraya Lora-Pena</v>
      </c>
      <c r="C305" s="109">
        <f ca="1">IFERROR(__xludf.DUMMYFUNCTION("""COMPUTED_VALUE"""),10)</f>
        <v>10</v>
      </c>
      <c r="D305" s="109" t="str">
        <f ca="1">IFERROR(__xludf.DUMMYFUNCTION("""COMPUTED_VALUE"""),"G")</f>
        <v>G</v>
      </c>
      <c r="E305" s="110" t="str">
        <f ca="1">IFERROR(__xludf.DUMMYFUNCTION("""COMPUTED_VALUE"""),"F")</f>
        <v>F</v>
      </c>
      <c r="F305" s="110" t="str">
        <f ca="1">IFERROR(__xludf.DUMMYFUNCTION("""COMPUTED_VALUE"""),"J")</f>
        <v>J</v>
      </c>
      <c r="G305" s="110">
        <f ca="1">IFERROR(__xludf.DUMMYFUNCTION("""COMPUTED_VALUE"""),8)</f>
        <v>8</v>
      </c>
      <c r="H305" s="112" t="str">
        <f ca="1"/>
        <v/>
      </c>
      <c r="I305" s="81" t="str">
        <f ca="1"/>
        <v/>
      </c>
    </row>
    <row r="306" spans="1:9" ht="13.2">
      <c r="A306" s="109" t="str">
        <f ca="1">IFERROR(__xludf.DUMMYFUNCTION("""COMPUTED_VALUE"""),"CSC")</f>
        <v>CSC</v>
      </c>
      <c r="B306" s="108" t="str">
        <f ca="1">IFERROR(__xludf.DUMMYFUNCTION("""COMPUTED_VALUE"""),"Tamar Kankadze")</f>
        <v>Tamar Kankadze</v>
      </c>
      <c r="C306" s="109">
        <f ca="1">IFERROR(__xludf.DUMMYFUNCTION("""COMPUTED_VALUE"""),9)</f>
        <v>9</v>
      </c>
      <c r="D306" s="109" t="str">
        <f ca="1">IFERROR(__xludf.DUMMYFUNCTION("""COMPUTED_VALUE"""),"G")</f>
        <v>G</v>
      </c>
      <c r="E306" s="110" t="str">
        <f ca="1">IFERROR(__xludf.DUMMYFUNCTION("""COMPUTED_VALUE"""),"F")</f>
        <v>F</v>
      </c>
      <c r="F306" s="110" t="str">
        <f ca="1">IFERROR(__xludf.DUMMYFUNCTION("""COMPUTED_VALUE"""),"J")</f>
        <v>J</v>
      </c>
      <c r="G306" s="110">
        <f ca="1">IFERROR(__xludf.DUMMYFUNCTION("""COMPUTED_VALUE"""),8)</f>
        <v>8</v>
      </c>
      <c r="H306" s="112" t="str">
        <f ca="1"/>
        <v/>
      </c>
      <c r="I306" s="81" t="str">
        <f ca="1"/>
        <v/>
      </c>
    </row>
    <row r="307" spans="1:9" ht="13.2">
      <c r="A307" s="109" t="str">
        <f ca="1">IFERROR(__xludf.DUMMYFUNCTION("""COMPUTED_VALUE"""),"CSC")</f>
        <v>CSC</v>
      </c>
      <c r="B307" s="108" t="str">
        <f ca="1">IFERROR(__xludf.DUMMYFUNCTION("""COMPUTED_VALUE"""),"Alish Dhakal")</f>
        <v>Alish Dhakal</v>
      </c>
      <c r="C307" s="109">
        <f ca="1">IFERROR(__xludf.DUMMYFUNCTION("""COMPUTED_VALUE"""),13)</f>
        <v>13</v>
      </c>
      <c r="D307" s="109" t="str">
        <f ca="1">IFERROR(__xludf.DUMMYFUNCTION("""COMPUTED_VALUE"""),"B")</f>
        <v>B</v>
      </c>
      <c r="E307" s="110" t="str">
        <f ca="1">IFERROR(__xludf.DUMMYFUNCTION("""COMPUTED_VALUE"""),"I")</f>
        <v>I</v>
      </c>
      <c r="F307" s="110" t="str">
        <f ca="1">IFERROR(__xludf.DUMMYFUNCTION("""COMPUTED_VALUE"""),"S")</f>
        <v>S</v>
      </c>
      <c r="G307" s="110">
        <f ca="1">IFERROR(__xludf.DUMMYFUNCTION("""COMPUTED_VALUE"""),8)</f>
        <v>8</v>
      </c>
      <c r="H307" s="112" t="str">
        <f ca="1"/>
        <v>25.3</v>
      </c>
      <c r="I307" s="112">
        <f ca="1"/>
        <v>25.3</v>
      </c>
    </row>
    <row r="308" spans="1:9" ht="13.2">
      <c r="A308" s="109" t="str">
        <f ca="1">IFERROR(__xludf.DUMMYFUNCTION("""COMPUTED_VALUE"""),"CSC")</f>
        <v>CSC</v>
      </c>
      <c r="B308" s="108" t="str">
        <f ca="1">IFERROR(__xludf.DUMMYFUNCTION("""COMPUTED_VALUE"""),"Liam McCoy")</f>
        <v>Liam McCoy</v>
      </c>
      <c r="C308" s="109">
        <f ca="1">IFERROR(__xludf.DUMMYFUNCTION("""COMPUTED_VALUE"""),14)</f>
        <v>14</v>
      </c>
      <c r="D308" s="109" t="str">
        <f ca="1">IFERROR(__xludf.DUMMYFUNCTION("""COMPUTED_VALUE"""),"B")</f>
        <v>B</v>
      </c>
      <c r="E308" s="110" t="str">
        <f ca="1">IFERROR(__xludf.DUMMYFUNCTION("""COMPUTED_VALUE"""),"I")</f>
        <v>I</v>
      </c>
      <c r="F308" s="110" t="str">
        <f ca="1">IFERROR(__xludf.DUMMYFUNCTION("""COMPUTED_VALUE"""),"S")</f>
        <v>S</v>
      </c>
      <c r="G308" s="110">
        <f ca="1">IFERROR(__xludf.DUMMYFUNCTION("""COMPUTED_VALUE"""),8)</f>
        <v>8</v>
      </c>
      <c r="H308" s="112" t="str">
        <f ca="1"/>
        <v/>
      </c>
      <c r="I308" s="112" t="str">
        <f ca="1"/>
        <v/>
      </c>
    </row>
    <row r="309" spans="1:9" ht="13.2">
      <c r="A309" s="109" t="str">
        <f ca="1">IFERROR(__xludf.DUMMYFUNCTION("""COMPUTED_VALUE"""),"CSC")</f>
        <v>CSC</v>
      </c>
      <c r="B309" s="108" t="str">
        <f ca="1">IFERROR(__xludf.DUMMYFUNCTION("""COMPUTED_VALUE"""),"Thomas Phelam")</f>
        <v>Thomas Phelam</v>
      </c>
      <c r="C309" s="109">
        <f ca="1">IFERROR(__xludf.DUMMYFUNCTION("""COMPUTED_VALUE"""),14)</f>
        <v>14</v>
      </c>
      <c r="D309" s="109" t="str">
        <f ca="1">IFERROR(__xludf.DUMMYFUNCTION("""COMPUTED_VALUE"""),"B")</f>
        <v>B</v>
      </c>
      <c r="E309" s="110" t="str">
        <f ca="1">IFERROR(__xludf.DUMMYFUNCTION("""COMPUTED_VALUE"""),"I")</f>
        <v>I</v>
      </c>
      <c r="F309" s="110" t="str">
        <f ca="1">IFERROR(__xludf.DUMMYFUNCTION("""COMPUTED_VALUE"""),"S")</f>
        <v>S</v>
      </c>
      <c r="G309" s="110">
        <f ca="1">IFERROR(__xludf.DUMMYFUNCTION("""COMPUTED_VALUE"""),8)</f>
        <v>8</v>
      </c>
      <c r="H309" s="112" t="str">
        <f ca="1"/>
        <v>33.95</v>
      </c>
      <c r="I309" s="112">
        <f ca="1"/>
        <v>33.950000000000003</v>
      </c>
    </row>
    <row r="310" spans="1:9" ht="13.2">
      <c r="A310" s="109" t="str">
        <f ca="1">IFERROR(__xludf.DUMMYFUNCTION("""COMPUTED_VALUE"""),"CSC")</f>
        <v>CSC</v>
      </c>
      <c r="B310" s="108" t="str">
        <f ca="1">IFERROR(__xludf.DUMMYFUNCTION("""COMPUTED_VALUE"""),"Tristan Wathen")</f>
        <v>Tristan Wathen</v>
      </c>
      <c r="C310" s="109">
        <f ca="1">IFERROR(__xludf.DUMMYFUNCTION("""COMPUTED_VALUE"""),14)</f>
        <v>14</v>
      </c>
      <c r="D310" s="109" t="str">
        <f ca="1">IFERROR(__xludf.DUMMYFUNCTION("""COMPUTED_VALUE"""),"B")</f>
        <v>B</v>
      </c>
      <c r="E310" s="110" t="str">
        <f ca="1">IFERROR(__xludf.DUMMYFUNCTION("""COMPUTED_VALUE"""),"I")</f>
        <v>I</v>
      </c>
      <c r="F310" s="110" t="str">
        <f ca="1">IFERROR(__xludf.DUMMYFUNCTION("""COMPUTED_VALUE"""),"S")</f>
        <v>S</v>
      </c>
      <c r="G310" s="110">
        <f ca="1">IFERROR(__xludf.DUMMYFUNCTION("""COMPUTED_VALUE"""),8)</f>
        <v>8</v>
      </c>
      <c r="H310" s="112" t="str">
        <f ca="1"/>
        <v/>
      </c>
      <c r="I310" s="81" t="str">
        <f ca="1"/>
        <v/>
      </c>
    </row>
    <row r="311" spans="1:9" ht="13.2">
      <c r="A311" s="109" t="str">
        <f ca="1">IFERROR(__xludf.DUMMYFUNCTION("""COMPUTED_VALUE"""),"CSC")</f>
        <v>CSC</v>
      </c>
      <c r="B311" s="108" t="str">
        <f ca="1">IFERROR(__xludf.DUMMYFUNCTION("""COMPUTED_VALUE"""),"Abbie Baldree")</f>
        <v>Abbie Baldree</v>
      </c>
      <c r="C311" s="109">
        <f ca="1">IFERROR(__xludf.DUMMYFUNCTION("""COMPUTED_VALUE"""),14)</f>
        <v>14</v>
      </c>
      <c r="D311" s="109" t="str">
        <f ca="1">IFERROR(__xludf.DUMMYFUNCTION("""COMPUTED_VALUE"""),"G")</f>
        <v>G</v>
      </c>
      <c r="E311" s="110" t="str">
        <f ca="1">IFERROR(__xludf.DUMMYFUNCTION("""COMPUTED_VALUE"""),"I")</f>
        <v>I</v>
      </c>
      <c r="F311" s="110" t="str">
        <f ca="1">IFERROR(__xludf.DUMMYFUNCTION("""COMPUTED_VALUE"""),"S")</f>
        <v>S</v>
      </c>
      <c r="G311" s="110">
        <f ca="1">IFERROR(__xludf.DUMMYFUNCTION("""COMPUTED_VALUE"""),8)</f>
        <v>8</v>
      </c>
      <c r="H311" s="112" t="str">
        <f ca="1"/>
        <v/>
      </c>
      <c r="I311" s="112" t="str">
        <f ca="1"/>
        <v/>
      </c>
    </row>
    <row r="312" spans="1:9" ht="13.2">
      <c r="A312" s="109" t="str">
        <f ca="1">IFERROR(__xludf.DUMMYFUNCTION("""COMPUTED_VALUE"""),"CSC")</f>
        <v>CSC</v>
      </c>
      <c r="B312" s="108" t="str">
        <f ca="1">IFERROR(__xludf.DUMMYFUNCTION("""COMPUTED_VALUE"""),"Charlie Ciri")</f>
        <v>Charlie Ciri</v>
      </c>
      <c r="C312" s="109">
        <f ca="1">IFERROR(__xludf.DUMMYFUNCTION("""COMPUTED_VALUE"""),11)</f>
        <v>11</v>
      </c>
      <c r="D312" s="109" t="str">
        <f ca="1">IFERROR(__xludf.DUMMYFUNCTION("""COMPUTED_VALUE"""),"B")</f>
        <v>B</v>
      </c>
      <c r="E312" s="110" t="str">
        <f ca="1">IFERROR(__xludf.DUMMYFUNCTION("""COMPUTED_VALUE"""),"J")</f>
        <v>J</v>
      </c>
      <c r="F312" s="110" t="str">
        <f ca="1">IFERROR(__xludf.DUMMYFUNCTION("""COMPUTED_VALUE"""),"I")</f>
        <v>I</v>
      </c>
      <c r="G312" s="110">
        <f ca="1">IFERROR(__xludf.DUMMYFUNCTION("""COMPUTED_VALUE"""),8)</f>
        <v>8</v>
      </c>
      <c r="H312" s="112" t="str">
        <f ca="1"/>
        <v/>
      </c>
      <c r="I312" s="81" t="str">
        <f ca="1"/>
        <v/>
      </c>
    </row>
    <row r="313" spans="1:9" ht="13.2">
      <c r="A313" s="109" t="str">
        <f ca="1">IFERROR(__xludf.DUMMYFUNCTION("""COMPUTED_VALUE"""),"CSC")</f>
        <v>CSC</v>
      </c>
      <c r="B313" s="108" t="str">
        <f ca="1">IFERROR(__xludf.DUMMYFUNCTION("""COMPUTED_VALUE"""),"Isaiah Lora-Pena")</f>
        <v>Isaiah Lora-Pena</v>
      </c>
      <c r="C313" s="109">
        <f ca="1">IFERROR(__xludf.DUMMYFUNCTION("""COMPUTED_VALUE"""),12)</f>
        <v>12</v>
      </c>
      <c r="D313" s="109" t="str">
        <f ca="1">IFERROR(__xludf.DUMMYFUNCTION("""COMPUTED_VALUE"""),"B")</f>
        <v>B</v>
      </c>
      <c r="E313" s="110" t="str">
        <f ca="1">IFERROR(__xludf.DUMMYFUNCTION("""COMPUTED_VALUE"""),"J")</f>
        <v>J</v>
      </c>
      <c r="F313" s="110" t="str">
        <f ca="1">IFERROR(__xludf.DUMMYFUNCTION("""COMPUTED_VALUE"""),"I")</f>
        <v>I</v>
      </c>
      <c r="G313" s="110">
        <f ca="1">IFERROR(__xludf.DUMMYFUNCTION("""COMPUTED_VALUE"""),8)</f>
        <v>8</v>
      </c>
      <c r="H313" s="112" t="str">
        <f ca="1"/>
        <v/>
      </c>
      <c r="I313" s="81" t="str">
        <f ca="1"/>
        <v/>
      </c>
    </row>
    <row r="314" spans="1:9" ht="13.2">
      <c r="A314" s="109" t="str">
        <f ca="1">IFERROR(__xludf.DUMMYFUNCTION("""COMPUTED_VALUE"""),"CSC")</f>
        <v>CSC</v>
      </c>
      <c r="B314" s="108" t="str">
        <f ca="1">IFERROR(__xludf.DUMMYFUNCTION("""COMPUTED_VALUE"""),"Matthew Phelam")</f>
        <v>Matthew Phelam</v>
      </c>
      <c r="C314" s="109">
        <f ca="1">IFERROR(__xludf.DUMMYFUNCTION("""COMPUTED_VALUE"""),12)</f>
        <v>12</v>
      </c>
      <c r="D314" s="109" t="str">
        <f ca="1">IFERROR(__xludf.DUMMYFUNCTION("""COMPUTED_VALUE"""),"B")</f>
        <v>B</v>
      </c>
      <c r="E314" s="110" t="str">
        <f ca="1">IFERROR(__xludf.DUMMYFUNCTION("""COMPUTED_VALUE"""),"J")</f>
        <v>J</v>
      </c>
      <c r="F314" s="110" t="str">
        <f ca="1">IFERROR(__xludf.DUMMYFUNCTION("""COMPUTED_VALUE"""),"I")</f>
        <v>I</v>
      </c>
      <c r="G314" s="110">
        <f ca="1">IFERROR(__xludf.DUMMYFUNCTION("""COMPUTED_VALUE"""),8)</f>
        <v>8</v>
      </c>
      <c r="H314" s="112" t="str">
        <f ca="1"/>
        <v/>
      </c>
      <c r="I314" s="112" t="str">
        <f ca="1"/>
        <v/>
      </c>
    </row>
    <row r="315" spans="1:9" ht="13.2">
      <c r="A315" s="109" t="str">
        <f ca="1">IFERROR(__xludf.DUMMYFUNCTION("""COMPUTED_VALUE"""),"CSC")</f>
        <v>CSC</v>
      </c>
      <c r="B315" s="108" t="str">
        <f ca="1">IFERROR(__xludf.DUMMYFUNCTION("""COMPUTED_VALUE"""),"Danica Fox")</f>
        <v>Danica Fox</v>
      </c>
      <c r="C315" s="109">
        <f ca="1">IFERROR(__xludf.DUMMYFUNCTION("""COMPUTED_VALUE"""),12)</f>
        <v>12</v>
      </c>
      <c r="D315" s="109" t="str">
        <f ca="1">IFERROR(__xludf.DUMMYFUNCTION("""COMPUTED_VALUE"""),"G")</f>
        <v>G</v>
      </c>
      <c r="E315" s="110" t="str">
        <f ca="1">IFERROR(__xludf.DUMMYFUNCTION("""COMPUTED_VALUE"""),"J")</f>
        <v>J</v>
      </c>
      <c r="F315" s="110" t="str">
        <f ca="1">IFERROR(__xludf.DUMMYFUNCTION("""COMPUTED_VALUE"""),"I")</f>
        <v>I</v>
      </c>
      <c r="G315" s="110">
        <f ca="1">IFERROR(__xludf.DUMMYFUNCTION("""COMPUTED_VALUE"""),8)</f>
        <v>8</v>
      </c>
      <c r="H315" s="112" t="str">
        <f ca="1"/>
        <v/>
      </c>
      <c r="I315" s="112" t="str">
        <f ca="1"/>
        <v/>
      </c>
    </row>
    <row r="316" spans="1:9" ht="13.2">
      <c r="A316" s="109" t="str">
        <f ca="1">IFERROR(__xludf.DUMMYFUNCTION("""COMPUTED_VALUE"""),"CSC")</f>
        <v>CSC</v>
      </c>
      <c r="B316" s="108" t="str">
        <f ca="1">IFERROR(__xludf.DUMMYFUNCTION("""COMPUTED_VALUE"""),"Jenna Wathen")</f>
        <v>Jenna Wathen</v>
      </c>
      <c r="C316" s="109">
        <f ca="1">IFERROR(__xludf.DUMMYFUNCTION("""COMPUTED_VALUE"""),11)</f>
        <v>11</v>
      </c>
      <c r="D316" s="109" t="str">
        <f ca="1">IFERROR(__xludf.DUMMYFUNCTION("""COMPUTED_VALUE"""),"G")</f>
        <v>G</v>
      </c>
      <c r="E316" s="110" t="str">
        <f ca="1">IFERROR(__xludf.DUMMYFUNCTION("""COMPUTED_VALUE"""),"J")</f>
        <v>J</v>
      </c>
      <c r="F316" s="110" t="str">
        <f ca="1">IFERROR(__xludf.DUMMYFUNCTION("""COMPUTED_VALUE"""),"I")</f>
        <v>I</v>
      </c>
      <c r="G316" s="110">
        <f ca="1">IFERROR(__xludf.DUMMYFUNCTION("""COMPUTED_VALUE"""),8)</f>
        <v>8</v>
      </c>
      <c r="H316" s="112" t="str">
        <f ca="1"/>
        <v/>
      </c>
      <c r="I316" s="112" t="str">
        <f ca="1"/>
        <v/>
      </c>
    </row>
    <row r="317" spans="1:9" ht="13.2">
      <c r="A317" s="109" t="str">
        <f ca="1">IFERROR(__xludf.DUMMYFUNCTION("""COMPUTED_VALUE"""),"CSC")</f>
        <v>CSC</v>
      </c>
      <c r="B317" s="108" t="str">
        <f ca="1">IFERROR(__xludf.DUMMYFUNCTION("""COMPUTED_VALUE"""),"Sabrina Fox")</f>
        <v>Sabrina Fox</v>
      </c>
      <c r="C317" s="109">
        <f ca="1">IFERROR(__xludf.DUMMYFUNCTION("""COMPUTED_VALUE"""),12)</f>
        <v>12</v>
      </c>
      <c r="D317" s="109" t="str">
        <f ca="1">IFERROR(__xludf.DUMMYFUNCTION("""COMPUTED_VALUE"""),"G")</f>
        <v>G</v>
      </c>
      <c r="E317" s="110" t="str">
        <f ca="1">IFERROR(__xludf.DUMMYFUNCTION("""COMPUTED_VALUE"""),"J")</f>
        <v>J</v>
      </c>
      <c r="F317" s="110" t="str">
        <f ca="1">IFERROR(__xludf.DUMMYFUNCTION("""COMPUTED_VALUE"""),"I")</f>
        <v>I</v>
      </c>
      <c r="G317" s="110">
        <f ca="1">IFERROR(__xludf.DUMMYFUNCTION("""COMPUTED_VALUE"""),8)</f>
        <v>8</v>
      </c>
      <c r="H317" s="112" t="str">
        <f ca="1"/>
        <v/>
      </c>
      <c r="I317" s="112" t="str">
        <f ca="1"/>
        <v/>
      </c>
    </row>
    <row r="318" spans="1:9" ht="13.2">
      <c r="A318" s="109" t="str">
        <f ca="1">IFERROR(__xludf.DUMMYFUNCTION("""COMPUTED_VALUE"""),"CSC")</f>
        <v>CSC</v>
      </c>
      <c r="B318" s="108" t="str">
        <f ca="1">IFERROR(__xludf.DUMMYFUNCTION("""COMPUTED_VALUE"""),"Tyler Jackson")</f>
        <v>Tyler Jackson</v>
      </c>
      <c r="C318" s="109">
        <f ca="1">IFERROR(__xludf.DUMMYFUNCTION("""COMPUTED_VALUE"""),19)</f>
        <v>19</v>
      </c>
      <c r="D318" s="109" t="str">
        <f ca="1">IFERROR(__xludf.DUMMYFUNCTION("""COMPUTED_VALUE"""),"B")</f>
        <v>B</v>
      </c>
      <c r="E318" s="110" t="str">
        <f ca="1">IFERROR(__xludf.DUMMYFUNCTION("""COMPUTED_VALUE"""),"S")</f>
        <v>S</v>
      </c>
      <c r="F318" s="110" t="str">
        <f ca="1">IFERROR(__xludf.DUMMYFUNCTION("""COMPUTED_VALUE"""),"S")</f>
        <v>S</v>
      </c>
      <c r="G318" s="110">
        <f ca="1">IFERROR(__xludf.DUMMYFUNCTION("""COMPUTED_VALUE"""),8)</f>
        <v>8</v>
      </c>
      <c r="H318" s="112" t="str">
        <f ca="1"/>
        <v/>
      </c>
      <c r="I318" s="112" t="str">
        <f ca="1"/>
        <v/>
      </c>
    </row>
    <row r="319" spans="1:9" ht="13.2">
      <c r="A319" s="109" t="str">
        <f ca="1">IFERROR(__xludf.DUMMYFUNCTION("""COMPUTED_VALUE"""),"CSC")</f>
        <v>CSC</v>
      </c>
      <c r="B319" s="108" t="str">
        <f ca="1">IFERROR(__xludf.DUMMYFUNCTION("""COMPUTED_VALUE"""),"Carly Jackson")</f>
        <v>Carly Jackson</v>
      </c>
      <c r="C319" s="109">
        <f ca="1">IFERROR(__xludf.DUMMYFUNCTION("""COMPUTED_VALUE"""),17)</f>
        <v>17</v>
      </c>
      <c r="D319" s="109" t="str">
        <f ca="1">IFERROR(__xludf.DUMMYFUNCTION("""COMPUTED_VALUE"""),"G")</f>
        <v>G</v>
      </c>
      <c r="E319" s="110" t="str">
        <f ca="1">IFERROR(__xludf.DUMMYFUNCTION("""COMPUTED_VALUE"""),"S")</f>
        <v>S</v>
      </c>
      <c r="F319" s="110" t="str">
        <f ca="1">IFERROR(__xludf.DUMMYFUNCTION("""COMPUTED_VALUE"""),"S")</f>
        <v>S</v>
      </c>
      <c r="G319" s="110">
        <f ca="1">IFERROR(__xludf.DUMMYFUNCTION("""COMPUTED_VALUE"""),8)</f>
        <v>8</v>
      </c>
      <c r="H319" s="112" t="str">
        <f ca="1"/>
        <v/>
      </c>
      <c r="I319" s="112" t="str">
        <f ca="1"/>
        <v/>
      </c>
    </row>
    <row r="320" spans="1:9" ht="13.2">
      <c r="A320" s="109" t="str">
        <f ca="1">IFERROR(__xludf.DUMMYFUNCTION("""COMPUTED_VALUE"""),"CSC")</f>
        <v>CSC</v>
      </c>
      <c r="B320" s="108" t="str">
        <f ca="1">IFERROR(__xludf.DUMMYFUNCTION("""COMPUTED_VALUE"""),"Isabelle Merchant")</f>
        <v>Isabelle Merchant</v>
      </c>
      <c r="C320" s="109">
        <f ca="1">IFERROR(__xludf.DUMMYFUNCTION("""COMPUTED_VALUE"""),16)</f>
        <v>16</v>
      </c>
      <c r="D320" s="109" t="str">
        <f ca="1">IFERROR(__xludf.DUMMYFUNCTION("""COMPUTED_VALUE"""),"G")</f>
        <v>G</v>
      </c>
      <c r="E320" s="110" t="str">
        <f ca="1">IFERROR(__xludf.DUMMYFUNCTION("""COMPUTED_VALUE"""),"S")</f>
        <v>S</v>
      </c>
      <c r="F320" s="110" t="str">
        <f ca="1">IFERROR(__xludf.DUMMYFUNCTION("""COMPUTED_VALUE"""),"S")</f>
        <v>S</v>
      </c>
      <c r="G320" s="110">
        <f ca="1">IFERROR(__xludf.DUMMYFUNCTION("""COMPUTED_VALUE"""),8)</f>
        <v>8</v>
      </c>
      <c r="H320" s="112" t="str">
        <f ca="1"/>
        <v/>
      </c>
      <c r="I320" s="112" t="str">
        <f ca="1"/>
        <v/>
      </c>
    </row>
    <row r="321" spans="1:9" ht="13.2">
      <c r="A321" s="109" t="str">
        <f ca="1">IFERROR(__xludf.DUMMYFUNCTION("""COMPUTED_VALUE"""),"CSC")</f>
        <v>CSC</v>
      </c>
      <c r="B321" s="108" t="str">
        <f ca="1">IFERROR(__xludf.DUMMYFUNCTION("""COMPUTED_VALUE"""),"Madi Flinn")</f>
        <v>Madi Flinn</v>
      </c>
      <c r="C321" s="109">
        <f ca="1">IFERROR(__xludf.DUMMYFUNCTION("""COMPUTED_VALUE"""),19)</f>
        <v>19</v>
      </c>
      <c r="D321" s="109" t="str">
        <f ca="1">IFERROR(__xludf.DUMMYFUNCTION("""COMPUTED_VALUE"""),"G")</f>
        <v>G</v>
      </c>
      <c r="E321" s="110" t="str">
        <f ca="1">IFERROR(__xludf.DUMMYFUNCTION("""COMPUTED_VALUE"""),"S")</f>
        <v>S</v>
      </c>
      <c r="F321" s="110" t="str">
        <f ca="1">IFERROR(__xludf.DUMMYFUNCTION("""COMPUTED_VALUE"""),"S")</f>
        <v>S</v>
      </c>
      <c r="G321" s="110">
        <f ca="1">IFERROR(__xludf.DUMMYFUNCTION("""COMPUTED_VALUE"""),8)</f>
        <v>8</v>
      </c>
      <c r="H321" s="112" t="str">
        <f ca="1"/>
        <v/>
      </c>
      <c r="I321" s="81" t="str">
        <f ca="1"/>
        <v/>
      </c>
    </row>
    <row r="322" spans="1:9" ht="13.2">
      <c r="A322" s="109" t="str">
        <f ca="1">IFERROR(__xludf.DUMMYFUNCTION("""COMPUTED_VALUE"""),"DH")</f>
        <v>DH</v>
      </c>
      <c r="B322" s="108" t="str">
        <f ca="1">IFERROR(__xludf.DUMMYFUNCTION("""COMPUTED_VALUE"""),"Aiden Robinson")</f>
        <v>Aiden Robinson</v>
      </c>
      <c r="C322" s="109">
        <f ca="1">IFERROR(__xludf.DUMMYFUNCTION("""COMPUTED_VALUE"""),9)</f>
        <v>9</v>
      </c>
      <c r="D322" s="109" t="str">
        <f ca="1">IFERROR(__xludf.DUMMYFUNCTION("""COMPUTED_VALUE"""),"B")</f>
        <v>B</v>
      </c>
      <c r="E322" s="110" t="str">
        <f ca="1">IFERROR(__xludf.DUMMYFUNCTION("""COMPUTED_VALUE"""),"F")</f>
        <v>F</v>
      </c>
      <c r="F322" s="110" t="str">
        <f ca="1">IFERROR(__xludf.DUMMYFUNCTION("""COMPUTED_VALUE"""),"J")</f>
        <v>J</v>
      </c>
      <c r="G322" s="110">
        <f ca="1">IFERROR(__xludf.DUMMYFUNCTION("""COMPUTED_VALUE"""),4)</f>
        <v>4</v>
      </c>
      <c r="H322" s="112" t="str">
        <f ca="1"/>
        <v/>
      </c>
      <c r="I322" s="81" t="str">
        <f ca="1"/>
        <v/>
      </c>
    </row>
    <row r="323" spans="1:9" ht="13.2">
      <c r="A323" s="109" t="str">
        <f ca="1">IFERROR(__xludf.DUMMYFUNCTION("""COMPUTED_VALUE"""),"DH")</f>
        <v>DH</v>
      </c>
      <c r="B323" s="108" t="str">
        <f ca="1">IFERROR(__xludf.DUMMYFUNCTION("""COMPUTED_VALUE"""),"Andrew Aldonas")</f>
        <v>Andrew Aldonas</v>
      </c>
      <c r="C323" s="109">
        <f ca="1">IFERROR(__xludf.DUMMYFUNCTION("""COMPUTED_VALUE"""),5)</f>
        <v>5</v>
      </c>
      <c r="D323" s="109" t="str">
        <f ca="1">IFERROR(__xludf.DUMMYFUNCTION("""COMPUTED_VALUE"""),"B")</f>
        <v>B</v>
      </c>
      <c r="E323" s="110" t="str">
        <f ca="1">IFERROR(__xludf.DUMMYFUNCTION("""COMPUTED_VALUE"""),"F")</f>
        <v>F</v>
      </c>
      <c r="F323" s="110" t="str">
        <f ca="1">IFERROR(__xludf.DUMMYFUNCTION("""COMPUTED_VALUE"""),"J")</f>
        <v>J</v>
      </c>
      <c r="G323" s="110">
        <f ca="1">IFERROR(__xludf.DUMMYFUNCTION("""COMPUTED_VALUE"""),4)</f>
        <v>4</v>
      </c>
      <c r="H323" s="112" t="str">
        <f ca="1"/>
        <v/>
      </c>
      <c r="I323" s="81" t="str">
        <f ca="1"/>
        <v/>
      </c>
    </row>
    <row r="324" spans="1:9" ht="13.2">
      <c r="A324" s="109" t="str">
        <f ca="1">IFERROR(__xludf.DUMMYFUNCTION("""COMPUTED_VALUE"""),"DH")</f>
        <v>DH</v>
      </c>
      <c r="B324" s="108" t="str">
        <f ca="1">IFERROR(__xludf.DUMMYFUNCTION("""COMPUTED_VALUE"""),"Cameron Kirchoff-Johnson")</f>
        <v>Cameron Kirchoff-Johnson</v>
      </c>
      <c r="C324" s="109">
        <f ca="1">IFERROR(__xludf.DUMMYFUNCTION("""COMPUTED_VALUE"""),9)</f>
        <v>9</v>
      </c>
      <c r="D324" s="109" t="str">
        <f ca="1">IFERROR(__xludf.DUMMYFUNCTION("""COMPUTED_VALUE"""),"B")</f>
        <v>B</v>
      </c>
      <c r="E324" s="110" t="str">
        <f ca="1">IFERROR(__xludf.DUMMYFUNCTION("""COMPUTED_VALUE"""),"F")</f>
        <v>F</v>
      </c>
      <c r="F324" s="110" t="str">
        <f ca="1">IFERROR(__xludf.DUMMYFUNCTION("""COMPUTED_VALUE"""),"J")</f>
        <v>J</v>
      </c>
      <c r="G324" s="110">
        <f ca="1">IFERROR(__xludf.DUMMYFUNCTION("""COMPUTED_VALUE"""),4)</f>
        <v>4</v>
      </c>
      <c r="H324" s="112" t="str">
        <f ca="1"/>
        <v/>
      </c>
      <c r="I324" s="112" t="str">
        <f ca="1"/>
        <v/>
      </c>
    </row>
    <row r="325" spans="1:9" ht="13.2">
      <c r="A325" s="109" t="str">
        <f ca="1">IFERROR(__xludf.DUMMYFUNCTION("""COMPUTED_VALUE"""),"DH")</f>
        <v>DH</v>
      </c>
      <c r="B325" s="108" t="str">
        <f ca="1">IFERROR(__xludf.DUMMYFUNCTION("""COMPUTED_VALUE"""),"Connor Myers")</f>
        <v>Connor Myers</v>
      </c>
      <c r="C325" s="109">
        <f ca="1">IFERROR(__xludf.DUMMYFUNCTION("""COMPUTED_VALUE"""),8)</f>
        <v>8</v>
      </c>
      <c r="D325" s="109" t="str">
        <f ca="1">IFERROR(__xludf.DUMMYFUNCTION("""COMPUTED_VALUE"""),"B")</f>
        <v>B</v>
      </c>
      <c r="E325" s="110" t="str">
        <f ca="1">IFERROR(__xludf.DUMMYFUNCTION("""COMPUTED_VALUE"""),"F")</f>
        <v>F</v>
      </c>
      <c r="F325" s="110" t="str">
        <f ca="1">IFERROR(__xludf.DUMMYFUNCTION("""COMPUTED_VALUE"""),"J")</f>
        <v>J</v>
      </c>
      <c r="G325" s="110">
        <f ca="1">IFERROR(__xludf.DUMMYFUNCTION("""COMPUTED_VALUE"""),4)</f>
        <v>4</v>
      </c>
      <c r="H325" s="112" t="str">
        <f ca="1"/>
        <v/>
      </c>
      <c r="I325" s="81" t="str">
        <f ca="1"/>
        <v/>
      </c>
    </row>
    <row r="326" spans="1:9" ht="13.2">
      <c r="A326" s="109" t="str">
        <f ca="1">IFERROR(__xludf.DUMMYFUNCTION("""COMPUTED_VALUE"""),"DH")</f>
        <v>DH</v>
      </c>
      <c r="B326" s="108" t="str">
        <f ca="1">IFERROR(__xludf.DUMMYFUNCTION("""COMPUTED_VALUE"""),"Harry Larsen")</f>
        <v>Harry Larsen</v>
      </c>
      <c r="C326" s="109">
        <f ca="1">IFERROR(__xludf.DUMMYFUNCTION("""COMPUTED_VALUE"""),10)</f>
        <v>10</v>
      </c>
      <c r="D326" s="109" t="str">
        <f ca="1">IFERROR(__xludf.DUMMYFUNCTION("""COMPUTED_VALUE"""),"B")</f>
        <v>B</v>
      </c>
      <c r="E326" s="110" t="str">
        <f ca="1">IFERROR(__xludf.DUMMYFUNCTION("""COMPUTED_VALUE"""),"F")</f>
        <v>F</v>
      </c>
      <c r="F326" s="110" t="str">
        <f ca="1">IFERROR(__xludf.DUMMYFUNCTION("""COMPUTED_VALUE"""),"J")</f>
        <v>J</v>
      </c>
      <c r="G326" s="110">
        <f ca="1">IFERROR(__xludf.DUMMYFUNCTION("""COMPUTED_VALUE"""),4)</f>
        <v>4</v>
      </c>
      <c r="H326" s="112" t="str">
        <f ca="1"/>
        <v/>
      </c>
      <c r="I326" s="81" t="str">
        <f ca="1"/>
        <v/>
      </c>
    </row>
    <row r="327" spans="1:9" ht="13.2">
      <c r="A327" s="109" t="str">
        <f ca="1">IFERROR(__xludf.DUMMYFUNCTION("""COMPUTED_VALUE"""),"DH")</f>
        <v>DH</v>
      </c>
      <c r="B327" s="108" t="str">
        <f ca="1">IFERROR(__xludf.DUMMYFUNCTION("""COMPUTED_VALUE"""),"Ian Bradley")</f>
        <v>Ian Bradley</v>
      </c>
      <c r="C327" s="109">
        <f ca="1">IFERROR(__xludf.DUMMYFUNCTION("""COMPUTED_VALUE"""),9)</f>
        <v>9</v>
      </c>
      <c r="D327" s="109" t="str">
        <f ca="1">IFERROR(__xludf.DUMMYFUNCTION("""COMPUTED_VALUE"""),"B")</f>
        <v>B</v>
      </c>
      <c r="E327" s="110" t="str">
        <f ca="1">IFERROR(__xludf.DUMMYFUNCTION("""COMPUTED_VALUE"""),"F")</f>
        <v>F</v>
      </c>
      <c r="F327" s="110" t="str">
        <f ca="1">IFERROR(__xludf.DUMMYFUNCTION("""COMPUTED_VALUE"""),"J")</f>
        <v>J</v>
      </c>
      <c r="G327" s="110">
        <f ca="1">IFERROR(__xludf.DUMMYFUNCTION("""COMPUTED_VALUE"""),4)</f>
        <v>4</v>
      </c>
      <c r="H327" s="112" t="str">
        <f ca="1"/>
        <v/>
      </c>
      <c r="I327" s="81" t="str">
        <f ca="1"/>
        <v/>
      </c>
    </row>
    <row r="328" spans="1:9" ht="13.2">
      <c r="A328" s="109" t="str">
        <f ca="1">IFERROR(__xludf.DUMMYFUNCTION("""COMPUTED_VALUE"""),"DH")</f>
        <v>DH</v>
      </c>
      <c r="B328" s="108" t="str">
        <f ca="1">IFERROR(__xludf.DUMMYFUNCTION("""COMPUTED_VALUE"""),"Joe Mathieson")</f>
        <v>Joe Mathieson</v>
      </c>
      <c r="C328" s="109">
        <f ca="1">IFERROR(__xludf.DUMMYFUNCTION("""COMPUTED_VALUE"""),9)</f>
        <v>9</v>
      </c>
      <c r="D328" s="109" t="str">
        <f ca="1">IFERROR(__xludf.DUMMYFUNCTION("""COMPUTED_VALUE"""),"B")</f>
        <v>B</v>
      </c>
      <c r="E328" s="110" t="str">
        <f ca="1">IFERROR(__xludf.DUMMYFUNCTION("""COMPUTED_VALUE"""),"F")</f>
        <v>F</v>
      </c>
      <c r="F328" s="110" t="str">
        <f ca="1">IFERROR(__xludf.DUMMYFUNCTION("""COMPUTED_VALUE"""),"J")</f>
        <v>J</v>
      </c>
      <c r="G328" s="110">
        <f ca="1">IFERROR(__xludf.DUMMYFUNCTION("""COMPUTED_VALUE"""),4)</f>
        <v>4</v>
      </c>
      <c r="H328" s="112" t="str">
        <f ca="1"/>
        <v/>
      </c>
      <c r="I328" s="112" t="str">
        <f ca="1"/>
        <v/>
      </c>
    </row>
    <row r="329" spans="1:9" ht="13.2">
      <c r="A329" s="109" t="str">
        <f ca="1">IFERROR(__xludf.DUMMYFUNCTION("""COMPUTED_VALUE"""),"DH")</f>
        <v>DH</v>
      </c>
      <c r="B329" s="108" t="str">
        <f ca="1">IFERROR(__xludf.DUMMYFUNCTION("""COMPUTED_VALUE"""),"John Aldonas")</f>
        <v>John Aldonas</v>
      </c>
      <c r="C329" s="109">
        <f ca="1">IFERROR(__xludf.DUMMYFUNCTION("""COMPUTED_VALUE"""),8)</f>
        <v>8</v>
      </c>
      <c r="D329" s="109" t="str">
        <f ca="1">IFERROR(__xludf.DUMMYFUNCTION("""COMPUTED_VALUE"""),"B")</f>
        <v>B</v>
      </c>
      <c r="E329" s="110" t="str">
        <f ca="1">IFERROR(__xludf.DUMMYFUNCTION("""COMPUTED_VALUE"""),"F")</f>
        <v>F</v>
      </c>
      <c r="F329" s="110" t="str">
        <f ca="1">IFERROR(__xludf.DUMMYFUNCTION("""COMPUTED_VALUE"""),"J")</f>
        <v>J</v>
      </c>
      <c r="G329" s="110">
        <f ca="1">IFERROR(__xludf.DUMMYFUNCTION("""COMPUTED_VALUE"""),4)</f>
        <v>4</v>
      </c>
      <c r="H329" s="112" t="str">
        <f ca="1"/>
        <v/>
      </c>
      <c r="I329" s="112" t="str">
        <f ca="1"/>
        <v/>
      </c>
    </row>
    <row r="330" spans="1:9" ht="13.2">
      <c r="A330" s="109" t="str">
        <f ca="1">IFERROR(__xludf.DUMMYFUNCTION("""COMPUTED_VALUE"""),"DH")</f>
        <v>DH</v>
      </c>
      <c r="B330" s="108" t="str">
        <f ca="1">IFERROR(__xludf.DUMMYFUNCTION("""COMPUTED_VALUE"""),"Logan DiBenigno")</f>
        <v>Logan DiBenigno</v>
      </c>
      <c r="C330" s="109">
        <f ca="1">IFERROR(__xludf.DUMMYFUNCTION("""COMPUTED_VALUE"""),10)</f>
        <v>10</v>
      </c>
      <c r="D330" s="109" t="str">
        <f ca="1">IFERROR(__xludf.DUMMYFUNCTION("""COMPUTED_VALUE"""),"B")</f>
        <v>B</v>
      </c>
      <c r="E330" s="110" t="str">
        <f ca="1">IFERROR(__xludf.DUMMYFUNCTION("""COMPUTED_VALUE"""),"F")</f>
        <v>F</v>
      </c>
      <c r="F330" s="110" t="str">
        <f ca="1">IFERROR(__xludf.DUMMYFUNCTION("""COMPUTED_VALUE"""),"J")</f>
        <v>J</v>
      </c>
      <c r="G330" s="110">
        <f ca="1">IFERROR(__xludf.DUMMYFUNCTION("""COMPUTED_VALUE"""),4)</f>
        <v>4</v>
      </c>
      <c r="H330" s="112" t="str">
        <f ca="1"/>
        <v/>
      </c>
      <c r="I330" s="112" t="str">
        <f ca="1"/>
        <v/>
      </c>
    </row>
    <row r="331" spans="1:9" ht="13.2">
      <c r="A331" s="109" t="str">
        <f ca="1">IFERROR(__xludf.DUMMYFUNCTION("""COMPUTED_VALUE"""),"DH")</f>
        <v>DH</v>
      </c>
      <c r="B331" s="108" t="str">
        <f ca="1">IFERROR(__xludf.DUMMYFUNCTION("""COMPUTED_VALUE"""),"Luke Baltatzis")</f>
        <v>Luke Baltatzis</v>
      </c>
      <c r="C331" s="109">
        <f ca="1">IFERROR(__xludf.DUMMYFUNCTION("""COMPUTED_VALUE"""),10)</f>
        <v>10</v>
      </c>
      <c r="D331" s="109" t="str">
        <f ca="1">IFERROR(__xludf.DUMMYFUNCTION("""COMPUTED_VALUE"""),"B")</f>
        <v>B</v>
      </c>
      <c r="E331" s="110" t="str">
        <f ca="1">IFERROR(__xludf.DUMMYFUNCTION("""COMPUTED_VALUE"""),"F")</f>
        <v>F</v>
      </c>
      <c r="F331" s="110" t="str">
        <f ca="1">IFERROR(__xludf.DUMMYFUNCTION("""COMPUTED_VALUE"""),"J")</f>
        <v>J</v>
      </c>
      <c r="G331" s="110">
        <f ca="1">IFERROR(__xludf.DUMMYFUNCTION("""COMPUTED_VALUE"""),4)</f>
        <v>4</v>
      </c>
      <c r="H331" s="112" t="str">
        <f ca="1"/>
        <v/>
      </c>
      <c r="I331" s="81" t="str">
        <f ca="1"/>
        <v/>
      </c>
    </row>
    <row r="332" spans="1:9" ht="13.2">
      <c r="A332" s="109" t="str">
        <f ca="1">IFERROR(__xludf.DUMMYFUNCTION("""COMPUTED_VALUE"""),"DH")</f>
        <v>DH</v>
      </c>
      <c r="B332" s="108" t="str">
        <f ca="1">IFERROR(__xludf.DUMMYFUNCTION("""COMPUTED_VALUE"""),"Maki Bush")</f>
        <v>Maki Bush</v>
      </c>
      <c r="C332" s="109">
        <f ca="1">IFERROR(__xludf.DUMMYFUNCTION("""COMPUTED_VALUE"""),9)</f>
        <v>9</v>
      </c>
      <c r="D332" s="109" t="str">
        <f ca="1">IFERROR(__xludf.DUMMYFUNCTION("""COMPUTED_VALUE"""),"B")</f>
        <v>B</v>
      </c>
      <c r="E332" s="110" t="str">
        <f ca="1">IFERROR(__xludf.DUMMYFUNCTION("""COMPUTED_VALUE"""),"F")</f>
        <v>F</v>
      </c>
      <c r="F332" s="110" t="str">
        <f ca="1">IFERROR(__xludf.DUMMYFUNCTION("""COMPUTED_VALUE"""),"J")</f>
        <v>J</v>
      </c>
      <c r="G332" s="110">
        <f ca="1">IFERROR(__xludf.DUMMYFUNCTION("""COMPUTED_VALUE"""),4)</f>
        <v>4</v>
      </c>
      <c r="H332" s="112" t="str">
        <f ca="1"/>
        <v>23.4</v>
      </c>
      <c r="I332" s="112">
        <f ca="1"/>
        <v>23.4</v>
      </c>
    </row>
    <row r="333" spans="1:9" ht="13.2">
      <c r="A333" s="109" t="str">
        <f ca="1">IFERROR(__xludf.DUMMYFUNCTION("""COMPUTED_VALUE"""),"DH")</f>
        <v>DH</v>
      </c>
      <c r="B333" s="108" t="str">
        <f ca="1">IFERROR(__xludf.DUMMYFUNCTION("""COMPUTED_VALUE"""),"Nicholas Teisl")</f>
        <v>Nicholas Teisl</v>
      </c>
      <c r="C333" s="109">
        <f ca="1">IFERROR(__xludf.DUMMYFUNCTION("""COMPUTED_VALUE"""),8)</f>
        <v>8</v>
      </c>
      <c r="D333" s="109" t="str">
        <f ca="1">IFERROR(__xludf.DUMMYFUNCTION("""COMPUTED_VALUE"""),"B")</f>
        <v>B</v>
      </c>
      <c r="E333" s="110" t="str">
        <f ca="1">IFERROR(__xludf.DUMMYFUNCTION("""COMPUTED_VALUE"""),"F")</f>
        <v>F</v>
      </c>
      <c r="F333" s="110" t="str">
        <f ca="1">IFERROR(__xludf.DUMMYFUNCTION("""COMPUTED_VALUE"""),"J")</f>
        <v>J</v>
      </c>
      <c r="G333" s="110">
        <f ca="1">IFERROR(__xludf.DUMMYFUNCTION("""COMPUTED_VALUE"""),4)</f>
        <v>4</v>
      </c>
      <c r="H333" s="112" t="str">
        <f ca="1"/>
        <v/>
      </c>
      <c r="I333" s="112" t="str">
        <f ca="1"/>
        <v/>
      </c>
    </row>
    <row r="334" spans="1:9" ht="13.2">
      <c r="A334" s="109" t="str">
        <f ca="1">IFERROR(__xludf.DUMMYFUNCTION("""COMPUTED_VALUE"""),"DH")</f>
        <v>DH</v>
      </c>
      <c r="B334" s="108" t="str">
        <f ca="1">IFERROR(__xludf.DUMMYFUNCTION("""COMPUTED_VALUE"""),"Parker Myers")</f>
        <v>Parker Myers</v>
      </c>
      <c r="C334" s="109">
        <f ca="1">IFERROR(__xludf.DUMMYFUNCTION("""COMPUTED_VALUE"""),10)</f>
        <v>10</v>
      </c>
      <c r="D334" s="109" t="str">
        <f ca="1">IFERROR(__xludf.DUMMYFUNCTION("""COMPUTED_VALUE"""),"B")</f>
        <v>B</v>
      </c>
      <c r="E334" s="110" t="str">
        <f ca="1">IFERROR(__xludf.DUMMYFUNCTION("""COMPUTED_VALUE"""),"F")</f>
        <v>F</v>
      </c>
      <c r="F334" s="110" t="str">
        <f ca="1">IFERROR(__xludf.DUMMYFUNCTION("""COMPUTED_VALUE"""),"J")</f>
        <v>J</v>
      </c>
      <c r="G334" s="110">
        <f ca="1">IFERROR(__xludf.DUMMYFUNCTION("""COMPUTED_VALUE"""),4)</f>
        <v>4</v>
      </c>
      <c r="H334" s="112" t="str">
        <f ca="1"/>
        <v/>
      </c>
      <c r="I334" s="112" t="str">
        <f ca="1"/>
        <v/>
      </c>
    </row>
    <row r="335" spans="1:9" ht="13.2">
      <c r="A335" s="109" t="str">
        <f ca="1">IFERROR(__xludf.DUMMYFUNCTION("""COMPUTED_VALUE"""),"DH")</f>
        <v>DH</v>
      </c>
      <c r="B335" s="108" t="str">
        <f ca="1">IFERROR(__xludf.DUMMYFUNCTION("""COMPUTED_VALUE"""),"Thomas Dombrowski")</f>
        <v>Thomas Dombrowski</v>
      </c>
      <c r="C335" s="109">
        <f ca="1">IFERROR(__xludf.DUMMYFUNCTION("""COMPUTED_VALUE"""),8)</f>
        <v>8</v>
      </c>
      <c r="D335" s="109" t="str">
        <f ca="1">IFERROR(__xludf.DUMMYFUNCTION("""COMPUTED_VALUE"""),"B")</f>
        <v>B</v>
      </c>
      <c r="E335" s="110" t="str">
        <f ca="1">IFERROR(__xludf.DUMMYFUNCTION("""COMPUTED_VALUE"""),"F")</f>
        <v>F</v>
      </c>
      <c r="F335" s="110" t="str">
        <f ca="1">IFERROR(__xludf.DUMMYFUNCTION("""COMPUTED_VALUE"""),"J")</f>
        <v>J</v>
      </c>
      <c r="G335" s="110">
        <f ca="1">IFERROR(__xludf.DUMMYFUNCTION("""COMPUTED_VALUE"""),4)</f>
        <v>4</v>
      </c>
      <c r="H335" s="112" t="str">
        <f ca="1"/>
        <v>49.3</v>
      </c>
      <c r="I335" s="112">
        <f ca="1"/>
        <v>49.3</v>
      </c>
    </row>
    <row r="336" spans="1:9" ht="13.2">
      <c r="A336" s="109" t="str">
        <f ca="1">IFERROR(__xludf.DUMMYFUNCTION("""COMPUTED_VALUE"""),"DH")</f>
        <v>DH</v>
      </c>
      <c r="B336" s="108" t="str">
        <f ca="1">IFERROR(__xludf.DUMMYFUNCTION("""COMPUTED_VALUE"""),"Zach Mathieson")</f>
        <v>Zach Mathieson</v>
      </c>
      <c r="C336" s="109">
        <f ca="1">IFERROR(__xludf.DUMMYFUNCTION("""COMPUTED_VALUE"""),7)</f>
        <v>7</v>
      </c>
      <c r="D336" s="109" t="str">
        <f ca="1">IFERROR(__xludf.DUMMYFUNCTION("""COMPUTED_VALUE"""),"B")</f>
        <v>B</v>
      </c>
      <c r="E336" s="110" t="str">
        <f ca="1">IFERROR(__xludf.DUMMYFUNCTION("""COMPUTED_VALUE"""),"F")</f>
        <v>F</v>
      </c>
      <c r="F336" s="110" t="str">
        <f ca="1">IFERROR(__xludf.DUMMYFUNCTION("""COMPUTED_VALUE"""),"J")</f>
        <v>J</v>
      </c>
      <c r="G336" s="110">
        <f ca="1">IFERROR(__xludf.DUMMYFUNCTION("""COMPUTED_VALUE"""),4)</f>
        <v>4</v>
      </c>
      <c r="H336" s="112" t="str">
        <f ca="1"/>
        <v>53.3</v>
      </c>
      <c r="I336" s="112">
        <f ca="1"/>
        <v>53.3</v>
      </c>
    </row>
    <row r="337" spans="1:9" ht="13.2">
      <c r="A337" s="109" t="str">
        <f ca="1">IFERROR(__xludf.DUMMYFUNCTION("""COMPUTED_VALUE"""),"DH")</f>
        <v>DH</v>
      </c>
      <c r="B337" s="108" t="str">
        <f ca="1">IFERROR(__xludf.DUMMYFUNCTION("""COMPUTED_VALUE"""),"Zane Neckel")</f>
        <v>Zane Neckel</v>
      </c>
      <c r="C337" s="109">
        <f ca="1">IFERROR(__xludf.DUMMYFUNCTION("""COMPUTED_VALUE"""),9)</f>
        <v>9</v>
      </c>
      <c r="D337" s="109" t="str">
        <f ca="1">IFERROR(__xludf.DUMMYFUNCTION("""COMPUTED_VALUE"""),"B")</f>
        <v>B</v>
      </c>
      <c r="E337" s="110" t="str">
        <f ca="1">IFERROR(__xludf.DUMMYFUNCTION("""COMPUTED_VALUE"""),"F")</f>
        <v>F</v>
      </c>
      <c r="F337" s="110" t="str">
        <f ca="1">IFERROR(__xludf.DUMMYFUNCTION("""COMPUTED_VALUE"""),"J")</f>
        <v>J</v>
      </c>
      <c r="G337" s="110">
        <f ca="1">IFERROR(__xludf.DUMMYFUNCTION("""COMPUTED_VALUE"""),4)</f>
        <v>4</v>
      </c>
      <c r="H337" s="112" t="str">
        <f ca="1"/>
        <v/>
      </c>
      <c r="I337" s="81" t="str">
        <f ca="1"/>
        <v/>
      </c>
    </row>
    <row r="338" spans="1:9" ht="13.2">
      <c r="A338" s="109" t="str">
        <f ca="1">IFERROR(__xludf.DUMMYFUNCTION("""COMPUTED_VALUE"""),"DH")</f>
        <v>DH</v>
      </c>
      <c r="B338" s="108" t="str">
        <f ca="1">IFERROR(__xludf.DUMMYFUNCTION("""COMPUTED_VALUE"""),"Alexis Locke")</f>
        <v>Alexis Locke</v>
      </c>
      <c r="C338" s="109">
        <f ca="1">IFERROR(__xludf.DUMMYFUNCTION("""COMPUTED_VALUE"""),9)</f>
        <v>9</v>
      </c>
      <c r="D338" s="109" t="str">
        <f ca="1">IFERROR(__xludf.DUMMYFUNCTION("""COMPUTED_VALUE"""),"G")</f>
        <v>G</v>
      </c>
      <c r="E338" s="110" t="str">
        <f ca="1">IFERROR(__xludf.DUMMYFUNCTION("""COMPUTED_VALUE"""),"F")</f>
        <v>F</v>
      </c>
      <c r="F338" s="110" t="str">
        <f ca="1">IFERROR(__xludf.DUMMYFUNCTION("""COMPUTED_VALUE"""),"J")</f>
        <v>J</v>
      </c>
      <c r="G338" s="110">
        <f ca="1">IFERROR(__xludf.DUMMYFUNCTION("""COMPUTED_VALUE"""),4)</f>
        <v>4</v>
      </c>
      <c r="H338" s="112" t="str">
        <f ca="1"/>
        <v/>
      </c>
      <c r="I338" s="112" t="str">
        <f ca="1"/>
        <v/>
      </c>
    </row>
    <row r="339" spans="1:9" ht="13.2">
      <c r="A339" s="109" t="str">
        <f ca="1">IFERROR(__xludf.DUMMYFUNCTION("""COMPUTED_VALUE"""),"DH")</f>
        <v>DH</v>
      </c>
      <c r="B339" s="108" t="str">
        <f ca="1">IFERROR(__xludf.DUMMYFUNCTION("""COMPUTED_VALUE"""),"Audrey Wheeler")</f>
        <v>Audrey Wheeler</v>
      </c>
      <c r="C339" s="109">
        <f ca="1">IFERROR(__xludf.DUMMYFUNCTION("""COMPUTED_VALUE"""),10)</f>
        <v>10</v>
      </c>
      <c r="D339" s="109" t="str">
        <f ca="1">IFERROR(__xludf.DUMMYFUNCTION("""COMPUTED_VALUE"""),"G")</f>
        <v>G</v>
      </c>
      <c r="E339" s="110" t="str">
        <f ca="1">IFERROR(__xludf.DUMMYFUNCTION("""COMPUTED_VALUE"""),"F")</f>
        <v>F</v>
      </c>
      <c r="F339" s="110" t="str">
        <f ca="1">IFERROR(__xludf.DUMMYFUNCTION("""COMPUTED_VALUE"""),"J")</f>
        <v>J</v>
      </c>
      <c r="G339" s="110">
        <f ca="1">IFERROR(__xludf.DUMMYFUNCTION("""COMPUTED_VALUE"""),4)</f>
        <v>4</v>
      </c>
      <c r="H339" s="112" t="str">
        <f ca="1"/>
        <v/>
      </c>
      <c r="I339" s="112" t="str">
        <f ca="1"/>
        <v/>
      </c>
    </row>
    <row r="340" spans="1:9" ht="13.2">
      <c r="A340" s="109" t="str">
        <f ca="1">IFERROR(__xludf.DUMMYFUNCTION("""COMPUTED_VALUE"""),"DH")</f>
        <v>DH</v>
      </c>
      <c r="B340" s="108" t="str">
        <f ca="1">IFERROR(__xludf.DUMMYFUNCTION("""COMPUTED_VALUE"""),"Eleanor Goehring")</f>
        <v>Eleanor Goehring</v>
      </c>
      <c r="C340" s="109">
        <f ca="1">IFERROR(__xludf.DUMMYFUNCTION("""COMPUTED_VALUE"""),9)</f>
        <v>9</v>
      </c>
      <c r="D340" s="109" t="str">
        <f ca="1">IFERROR(__xludf.DUMMYFUNCTION("""COMPUTED_VALUE"""),"G")</f>
        <v>G</v>
      </c>
      <c r="E340" s="110" t="str">
        <f ca="1">IFERROR(__xludf.DUMMYFUNCTION("""COMPUTED_VALUE"""),"F")</f>
        <v>F</v>
      </c>
      <c r="F340" s="110" t="str">
        <f ca="1">IFERROR(__xludf.DUMMYFUNCTION("""COMPUTED_VALUE"""),"J")</f>
        <v>J</v>
      </c>
      <c r="G340" s="110">
        <f ca="1">IFERROR(__xludf.DUMMYFUNCTION("""COMPUTED_VALUE"""),4)</f>
        <v>4</v>
      </c>
      <c r="H340" s="112" t="str">
        <f ca="1"/>
        <v>50.8</v>
      </c>
      <c r="I340" s="112">
        <f ca="1"/>
        <v>50.8</v>
      </c>
    </row>
    <row r="341" spans="1:9" ht="13.2">
      <c r="A341" s="109" t="str">
        <f ca="1">IFERROR(__xludf.DUMMYFUNCTION("""COMPUTED_VALUE"""),"DH")</f>
        <v>DH</v>
      </c>
      <c r="B341" s="108" t="str">
        <f ca="1">IFERROR(__xludf.DUMMYFUNCTION("""COMPUTED_VALUE"""),"Helen Butler")</f>
        <v>Helen Butler</v>
      </c>
      <c r="C341" s="109">
        <f ca="1">IFERROR(__xludf.DUMMYFUNCTION("""COMPUTED_VALUE"""),9)</f>
        <v>9</v>
      </c>
      <c r="D341" s="109" t="str">
        <f ca="1">IFERROR(__xludf.DUMMYFUNCTION("""COMPUTED_VALUE"""),"G")</f>
        <v>G</v>
      </c>
      <c r="E341" s="110" t="str">
        <f ca="1">IFERROR(__xludf.DUMMYFUNCTION("""COMPUTED_VALUE"""),"F")</f>
        <v>F</v>
      </c>
      <c r="F341" s="110" t="str">
        <f ca="1">IFERROR(__xludf.DUMMYFUNCTION("""COMPUTED_VALUE"""),"J")</f>
        <v>J</v>
      </c>
      <c r="G341" s="110">
        <f ca="1">IFERROR(__xludf.DUMMYFUNCTION("""COMPUTED_VALUE"""),4)</f>
        <v>4</v>
      </c>
      <c r="H341" s="112" t="str">
        <f ca="1"/>
        <v>47.65</v>
      </c>
      <c r="I341" s="112">
        <f ca="1"/>
        <v>47.65</v>
      </c>
    </row>
    <row r="342" spans="1:9" ht="13.2">
      <c r="A342" s="109" t="str">
        <f ca="1">IFERROR(__xludf.DUMMYFUNCTION("""COMPUTED_VALUE"""),"DH")</f>
        <v>DH</v>
      </c>
      <c r="B342" s="108" t="str">
        <f ca="1">IFERROR(__xludf.DUMMYFUNCTION("""COMPUTED_VALUE"""),"Jane Perry")</f>
        <v>Jane Perry</v>
      </c>
      <c r="C342" s="109">
        <f ca="1">IFERROR(__xludf.DUMMYFUNCTION("""COMPUTED_VALUE"""),10)</f>
        <v>10</v>
      </c>
      <c r="D342" s="109" t="str">
        <f ca="1">IFERROR(__xludf.DUMMYFUNCTION("""COMPUTED_VALUE"""),"G")</f>
        <v>G</v>
      </c>
      <c r="E342" s="110" t="str">
        <f ca="1">IFERROR(__xludf.DUMMYFUNCTION("""COMPUTED_VALUE"""),"F")</f>
        <v>F</v>
      </c>
      <c r="F342" s="110" t="str">
        <f ca="1">IFERROR(__xludf.DUMMYFUNCTION("""COMPUTED_VALUE"""),"J")</f>
        <v>J</v>
      </c>
      <c r="G342" s="110">
        <f ca="1">IFERROR(__xludf.DUMMYFUNCTION("""COMPUTED_VALUE"""),4)</f>
        <v>4</v>
      </c>
      <c r="H342" s="112" t="str">
        <f ca="1"/>
        <v/>
      </c>
      <c r="I342" s="112" t="str">
        <f ca="1"/>
        <v/>
      </c>
    </row>
    <row r="343" spans="1:9" ht="13.2">
      <c r="A343" s="109" t="str">
        <f ca="1">IFERROR(__xludf.DUMMYFUNCTION("""COMPUTED_VALUE"""),"DH")</f>
        <v>DH</v>
      </c>
      <c r="B343" s="108" t="str">
        <f ca="1">IFERROR(__xludf.DUMMYFUNCTION("""COMPUTED_VALUE"""),"Kat Pickett")</f>
        <v>Kat Pickett</v>
      </c>
      <c r="C343" s="109">
        <f ca="1">IFERROR(__xludf.DUMMYFUNCTION("""COMPUTED_VALUE"""),10)</f>
        <v>10</v>
      </c>
      <c r="D343" s="109" t="str">
        <f ca="1">IFERROR(__xludf.DUMMYFUNCTION("""COMPUTED_VALUE"""),"G")</f>
        <v>G</v>
      </c>
      <c r="E343" s="110" t="str">
        <f ca="1">IFERROR(__xludf.DUMMYFUNCTION("""COMPUTED_VALUE"""),"F")</f>
        <v>F</v>
      </c>
      <c r="F343" s="110" t="str">
        <f ca="1">IFERROR(__xludf.DUMMYFUNCTION("""COMPUTED_VALUE"""),"J")</f>
        <v>J</v>
      </c>
      <c r="G343" s="110">
        <f ca="1">IFERROR(__xludf.DUMMYFUNCTION("""COMPUTED_VALUE"""),4)</f>
        <v>4</v>
      </c>
      <c r="H343" s="112" t="str">
        <f ca="1"/>
        <v/>
      </c>
      <c r="I343" s="112" t="str">
        <f ca="1"/>
        <v/>
      </c>
    </row>
    <row r="344" spans="1:9" ht="13.2">
      <c r="A344" s="109" t="str">
        <f ca="1">IFERROR(__xludf.DUMMYFUNCTION("""COMPUTED_VALUE"""),"DH")</f>
        <v>DH</v>
      </c>
      <c r="B344" s="108" t="str">
        <f ca="1">IFERROR(__xludf.DUMMYFUNCTION("""COMPUTED_VALUE"""),"Lark Pickett")</f>
        <v>Lark Pickett</v>
      </c>
      <c r="C344" s="109">
        <f ca="1">IFERROR(__xludf.DUMMYFUNCTION("""COMPUTED_VALUE"""),8)</f>
        <v>8</v>
      </c>
      <c r="D344" s="109" t="str">
        <f ca="1">IFERROR(__xludf.DUMMYFUNCTION("""COMPUTED_VALUE"""),"G")</f>
        <v>G</v>
      </c>
      <c r="E344" s="110" t="str">
        <f ca="1">IFERROR(__xludf.DUMMYFUNCTION("""COMPUTED_VALUE"""),"F")</f>
        <v>F</v>
      </c>
      <c r="F344" s="110" t="str">
        <f ca="1">IFERROR(__xludf.DUMMYFUNCTION("""COMPUTED_VALUE"""),"J")</f>
        <v>J</v>
      </c>
      <c r="G344" s="110">
        <f ca="1">IFERROR(__xludf.DUMMYFUNCTION("""COMPUTED_VALUE"""),4)</f>
        <v>4</v>
      </c>
      <c r="H344" s="112" t="str">
        <f ca="1"/>
        <v/>
      </c>
      <c r="I344" s="112" t="str">
        <f ca="1"/>
        <v/>
      </c>
    </row>
    <row r="345" spans="1:9" ht="13.2">
      <c r="A345" s="109" t="str">
        <f ca="1">IFERROR(__xludf.DUMMYFUNCTION("""COMPUTED_VALUE"""),"DH")</f>
        <v>DH</v>
      </c>
      <c r="B345" s="108" t="str">
        <f ca="1">IFERROR(__xludf.DUMMYFUNCTION("""COMPUTED_VALUE"""),"Madeleine Dombrowski")</f>
        <v>Madeleine Dombrowski</v>
      </c>
      <c r="C345" s="109">
        <f ca="1">IFERROR(__xludf.DUMMYFUNCTION("""COMPUTED_VALUE"""),10)</f>
        <v>10</v>
      </c>
      <c r="D345" s="109" t="str">
        <f ca="1">IFERROR(__xludf.DUMMYFUNCTION("""COMPUTED_VALUE"""),"G")</f>
        <v>G</v>
      </c>
      <c r="E345" s="110" t="str">
        <f ca="1">IFERROR(__xludf.DUMMYFUNCTION("""COMPUTED_VALUE"""),"F")</f>
        <v>F</v>
      </c>
      <c r="F345" s="110" t="str">
        <f ca="1">IFERROR(__xludf.DUMMYFUNCTION("""COMPUTED_VALUE"""),"J")</f>
        <v>J</v>
      </c>
      <c r="G345" s="110">
        <f ca="1">IFERROR(__xludf.DUMMYFUNCTION("""COMPUTED_VALUE"""),4)</f>
        <v>4</v>
      </c>
      <c r="H345" s="112" t="str">
        <f ca="1"/>
        <v>43.05</v>
      </c>
      <c r="I345" s="112">
        <f ca="1"/>
        <v>43.05</v>
      </c>
    </row>
    <row r="346" spans="1:9" ht="13.2">
      <c r="A346" s="109" t="str">
        <f ca="1">IFERROR(__xludf.DUMMYFUNCTION("""COMPUTED_VALUE"""),"DH")</f>
        <v>DH</v>
      </c>
      <c r="B346" s="108" t="str">
        <f ca="1">IFERROR(__xludf.DUMMYFUNCTION("""COMPUTED_VALUE"""),"Maia Shattuck")</f>
        <v>Maia Shattuck</v>
      </c>
      <c r="C346" s="109">
        <f ca="1">IFERROR(__xludf.DUMMYFUNCTION("""COMPUTED_VALUE"""),10)</f>
        <v>10</v>
      </c>
      <c r="D346" s="109" t="str">
        <f ca="1">IFERROR(__xludf.DUMMYFUNCTION("""COMPUTED_VALUE"""),"G")</f>
        <v>G</v>
      </c>
      <c r="E346" s="110" t="str">
        <f ca="1">IFERROR(__xludf.DUMMYFUNCTION("""COMPUTED_VALUE"""),"F")</f>
        <v>F</v>
      </c>
      <c r="F346" s="110" t="str">
        <f ca="1">IFERROR(__xludf.DUMMYFUNCTION("""COMPUTED_VALUE"""),"J")</f>
        <v>J</v>
      </c>
      <c r="G346" s="110">
        <f ca="1">IFERROR(__xludf.DUMMYFUNCTION("""COMPUTED_VALUE"""),4)</f>
        <v>4</v>
      </c>
      <c r="H346" s="112" t="str">
        <f ca="1"/>
        <v/>
      </c>
      <c r="I346" s="112" t="str">
        <f ca="1"/>
        <v/>
      </c>
    </row>
    <row r="347" spans="1:9" ht="13.2">
      <c r="A347" s="109" t="str">
        <f ca="1">IFERROR(__xludf.DUMMYFUNCTION("""COMPUTED_VALUE"""),"DH")</f>
        <v>DH</v>
      </c>
      <c r="B347" s="108" t="str">
        <f ca="1">IFERROR(__xludf.DUMMYFUNCTION("""COMPUTED_VALUE"""),"Olivia Maco")</f>
        <v>Olivia Maco</v>
      </c>
      <c r="C347" s="109">
        <f ca="1">IFERROR(__xludf.DUMMYFUNCTION("""COMPUTED_VALUE"""),10)</f>
        <v>10</v>
      </c>
      <c r="D347" s="109" t="str">
        <f ca="1">IFERROR(__xludf.DUMMYFUNCTION("""COMPUTED_VALUE"""),"G")</f>
        <v>G</v>
      </c>
      <c r="E347" s="110" t="str">
        <f ca="1">IFERROR(__xludf.DUMMYFUNCTION("""COMPUTED_VALUE"""),"F")</f>
        <v>F</v>
      </c>
      <c r="F347" s="110" t="str">
        <f ca="1">IFERROR(__xludf.DUMMYFUNCTION("""COMPUTED_VALUE"""),"J")</f>
        <v>J</v>
      </c>
      <c r="G347" s="110">
        <f ca="1">IFERROR(__xludf.DUMMYFUNCTION("""COMPUTED_VALUE"""),4)</f>
        <v>4</v>
      </c>
      <c r="H347" s="112" t="str">
        <f ca="1"/>
        <v/>
      </c>
      <c r="I347" s="112" t="str">
        <f ca="1"/>
        <v/>
      </c>
    </row>
    <row r="348" spans="1:9" ht="13.2">
      <c r="A348" s="109" t="str">
        <f ca="1">IFERROR(__xludf.DUMMYFUNCTION("""COMPUTED_VALUE"""),"DH")</f>
        <v>DH</v>
      </c>
      <c r="B348" s="108" t="str">
        <f ca="1">IFERROR(__xludf.DUMMYFUNCTION("""COMPUTED_VALUE"""),"Sophia Teisl")</f>
        <v>Sophia Teisl</v>
      </c>
      <c r="C348" s="113">
        <f ca="1">IFERROR(__xludf.DUMMYFUNCTION("""COMPUTED_VALUE"""),10)</f>
        <v>10</v>
      </c>
      <c r="D348" s="109" t="str">
        <f ca="1">IFERROR(__xludf.DUMMYFUNCTION("""COMPUTED_VALUE"""),"G")</f>
        <v>G</v>
      </c>
      <c r="E348" s="110" t="str">
        <f ca="1">IFERROR(__xludf.DUMMYFUNCTION("""COMPUTED_VALUE"""),"F")</f>
        <v>F</v>
      </c>
      <c r="F348" s="110" t="str">
        <f ca="1">IFERROR(__xludf.DUMMYFUNCTION("""COMPUTED_VALUE"""),"J")</f>
        <v>J</v>
      </c>
      <c r="G348" s="110">
        <f ca="1">IFERROR(__xludf.DUMMYFUNCTION("""COMPUTED_VALUE"""),4)</f>
        <v>4</v>
      </c>
      <c r="H348" s="112" t="str">
        <f ca="1"/>
        <v/>
      </c>
      <c r="I348" s="81" t="str">
        <f ca="1"/>
        <v/>
      </c>
    </row>
    <row r="349" spans="1:9" ht="13.2">
      <c r="A349" s="109" t="str">
        <f ca="1">IFERROR(__xludf.DUMMYFUNCTION("""COMPUTED_VALUE"""),"DH")</f>
        <v>DH</v>
      </c>
      <c r="B349" s="108" t="str">
        <f ca="1">IFERROR(__xludf.DUMMYFUNCTION("""COMPUTED_VALUE"""),"Charlie Gent")</f>
        <v>Charlie Gent</v>
      </c>
      <c r="C349" s="109">
        <f ca="1">IFERROR(__xludf.DUMMYFUNCTION("""COMPUTED_VALUE"""),13)</f>
        <v>13</v>
      </c>
      <c r="D349" s="109" t="str">
        <f ca="1">IFERROR(__xludf.DUMMYFUNCTION("""COMPUTED_VALUE"""),"B")</f>
        <v>B</v>
      </c>
      <c r="E349" s="110" t="str">
        <f ca="1">IFERROR(__xludf.DUMMYFUNCTION("""COMPUTED_VALUE"""),"I")</f>
        <v>I</v>
      </c>
      <c r="F349" s="110" t="str">
        <f ca="1">IFERROR(__xludf.DUMMYFUNCTION("""COMPUTED_VALUE"""),"S")</f>
        <v>S</v>
      </c>
      <c r="G349" s="110">
        <f ca="1">IFERROR(__xludf.DUMMYFUNCTION("""COMPUTED_VALUE"""),4)</f>
        <v>4</v>
      </c>
      <c r="H349" s="112" t="str">
        <f ca="1"/>
        <v/>
      </c>
      <c r="I349" s="112" t="str">
        <f ca="1"/>
        <v/>
      </c>
    </row>
    <row r="350" spans="1:9" ht="13.2">
      <c r="A350" s="109" t="str">
        <f ca="1">IFERROR(__xludf.DUMMYFUNCTION("""COMPUTED_VALUE"""),"DH")</f>
        <v>DH</v>
      </c>
      <c r="B350" s="108" t="str">
        <f ca="1">IFERROR(__xludf.DUMMYFUNCTION("""COMPUTED_VALUE"""),"Gavin Simpson")</f>
        <v>Gavin Simpson</v>
      </c>
      <c r="C350" s="109">
        <f ca="1">IFERROR(__xludf.DUMMYFUNCTION("""COMPUTED_VALUE"""),14)</f>
        <v>14</v>
      </c>
      <c r="D350" s="109" t="str">
        <f ca="1">IFERROR(__xludf.DUMMYFUNCTION("""COMPUTED_VALUE"""),"B")</f>
        <v>B</v>
      </c>
      <c r="E350" s="110" t="str">
        <f ca="1">IFERROR(__xludf.DUMMYFUNCTION("""COMPUTED_VALUE"""),"I")</f>
        <v>I</v>
      </c>
      <c r="F350" s="110" t="str">
        <f ca="1">IFERROR(__xludf.DUMMYFUNCTION("""COMPUTED_VALUE"""),"S")</f>
        <v>S</v>
      </c>
      <c r="G350" s="110">
        <f ca="1">IFERROR(__xludf.DUMMYFUNCTION("""COMPUTED_VALUE"""),4)</f>
        <v>4</v>
      </c>
      <c r="H350" s="112" t="str">
        <f ca="1"/>
        <v/>
      </c>
      <c r="I350" s="112" t="str">
        <f ca="1"/>
        <v/>
      </c>
    </row>
    <row r="351" spans="1:9" ht="13.2">
      <c r="A351" s="109" t="str">
        <f ca="1">IFERROR(__xludf.DUMMYFUNCTION("""COMPUTED_VALUE"""),"DH")</f>
        <v>DH</v>
      </c>
      <c r="B351" s="108" t="str">
        <f ca="1">IFERROR(__xludf.DUMMYFUNCTION("""COMPUTED_VALUE"""),"Kian McMahon")</f>
        <v>Kian McMahon</v>
      </c>
      <c r="C351" s="109">
        <f ca="1">IFERROR(__xludf.DUMMYFUNCTION("""COMPUTED_VALUE"""),14)</f>
        <v>14</v>
      </c>
      <c r="D351" s="109" t="str">
        <f ca="1">IFERROR(__xludf.DUMMYFUNCTION("""COMPUTED_VALUE"""),"B")</f>
        <v>B</v>
      </c>
      <c r="E351" s="110" t="str">
        <f ca="1">IFERROR(__xludf.DUMMYFUNCTION("""COMPUTED_VALUE"""),"I")</f>
        <v>I</v>
      </c>
      <c r="F351" s="110" t="str">
        <f ca="1">IFERROR(__xludf.DUMMYFUNCTION("""COMPUTED_VALUE"""),"S")</f>
        <v>S</v>
      </c>
      <c r="G351" s="110">
        <f ca="1">IFERROR(__xludf.DUMMYFUNCTION("""COMPUTED_VALUE"""),4)</f>
        <v>4</v>
      </c>
      <c r="H351" s="112" t="str">
        <f ca="1"/>
        <v/>
      </c>
      <c r="I351" s="112" t="str">
        <f ca="1"/>
        <v/>
      </c>
    </row>
    <row r="352" spans="1:9" ht="13.2">
      <c r="A352" s="109" t="str">
        <f ca="1">IFERROR(__xludf.DUMMYFUNCTION("""COMPUTED_VALUE"""),"DH")</f>
        <v>DH</v>
      </c>
      <c r="B352" s="108" t="str">
        <f ca="1">IFERROR(__xludf.DUMMYFUNCTION("""COMPUTED_VALUE"""),"Sandis Walker")</f>
        <v>Sandis Walker</v>
      </c>
      <c r="C352" s="109">
        <f ca="1">IFERROR(__xludf.DUMMYFUNCTION("""COMPUTED_VALUE"""),13)</f>
        <v>13</v>
      </c>
      <c r="D352" s="109" t="str">
        <f ca="1">IFERROR(__xludf.DUMMYFUNCTION("""COMPUTED_VALUE"""),"B")</f>
        <v>B</v>
      </c>
      <c r="E352" s="110" t="str">
        <f ca="1">IFERROR(__xludf.DUMMYFUNCTION("""COMPUTED_VALUE"""),"I")</f>
        <v>I</v>
      </c>
      <c r="F352" s="110" t="str">
        <f ca="1">IFERROR(__xludf.DUMMYFUNCTION("""COMPUTED_VALUE"""),"S")</f>
        <v>S</v>
      </c>
      <c r="G352" s="110">
        <f ca="1">IFERROR(__xludf.DUMMYFUNCTION("""COMPUTED_VALUE"""),4)</f>
        <v>4</v>
      </c>
      <c r="H352" s="112" t="str">
        <f ca="1"/>
        <v/>
      </c>
      <c r="I352" s="112" t="str">
        <f ca="1"/>
        <v/>
      </c>
    </row>
    <row r="353" spans="1:9" ht="13.2">
      <c r="A353" s="109" t="str">
        <f ca="1">IFERROR(__xludf.DUMMYFUNCTION("""COMPUTED_VALUE"""),"DH")</f>
        <v>DH</v>
      </c>
      <c r="B353" s="108" t="str">
        <f ca="1">IFERROR(__xludf.DUMMYFUNCTION("""COMPUTED_VALUE"""),"Abby Putnam")</f>
        <v>Abby Putnam</v>
      </c>
      <c r="C353" s="109">
        <f ca="1">IFERROR(__xludf.DUMMYFUNCTION("""COMPUTED_VALUE"""),14)</f>
        <v>14</v>
      </c>
      <c r="D353" s="109" t="str">
        <f ca="1">IFERROR(__xludf.DUMMYFUNCTION("""COMPUTED_VALUE"""),"G")</f>
        <v>G</v>
      </c>
      <c r="E353" s="110" t="str">
        <f ca="1">IFERROR(__xludf.DUMMYFUNCTION("""COMPUTED_VALUE"""),"I")</f>
        <v>I</v>
      </c>
      <c r="F353" s="110" t="str">
        <f ca="1">IFERROR(__xludf.DUMMYFUNCTION("""COMPUTED_VALUE"""),"S")</f>
        <v>S</v>
      </c>
      <c r="G353" s="110">
        <f ca="1">IFERROR(__xludf.DUMMYFUNCTION("""COMPUTED_VALUE"""),4)</f>
        <v>4</v>
      </c>
      <c r="H353" s="112" t="str">
        <f ca="1"/>
        <v/>
      </c>
      <c r="I353" s="112" t="str">
        <f ca="1"/>
        <v/>
      </c>
    </row>
    <row r="354" spans="1:9" ht="13.2">
      <c r="A354" s="109" t="str">
        <f ca="1">IFERROR(__xludf.DUMMYFUNCTION("""COMPUTED_VALUE"""),"DH")</f>
        <v>DH</v>
      </c>
      <c r="B354" s="108" t="str">
        <f ca="1">IFERROR(__xludf.DUMMYFUNCTION("""COMPUTED_VALUE"""),"Bella DeFilippi")</f>
        <v>Bella DeFilippi</v>
      </c>
      <c r="C354" s="109">
        <f ca="1">IFERROR(__xludf.DUMMYFUNCTION("""COMPUTED_VALUE"""),13)</f>
        <v>13</v>
      </c>
      <c r="D354" s="109" t="str">
        <f ca="1">IFERROR(__xludf.DUMMYFUNCTION("""COMPUTED_VALUE"""),"G")</f>
        <v>G</v>
      </c>
      <c r="E354" s="110" t="str">
        <f ca="1">IFERROR(__xludf.DUMMYFUNCTION("""COMPUTED_VALUE"""),"I")</f>
        <v>I</v>
      </c>
      <c r="F354" s="110" t="str">
        <f ca="1">IFERROR(__xludf.DUMMYFUNCTION("""COMPUTED_VALUE"""),"S")</f>
        <v>S</v>
      </c>
      <c r="G354" s="110">
        <f ca="1">IFERROR(__xludf.DUMMYFUNCTION("""COMPUTED_VALUE"""),4)</f>
        <v>4</v>
      </c>
      <c r="H354" s="112" t="str">
        <f ca="1"/>
        <v/>
      </c>
      <c r="I354" s="81" t="str">
        <f ca="1"/>
        <v/>
      </c>
    </row>
    <row r="355" spans="1:9" ht="13.2">
      <c r="A355" s="109" t="str">
        <f ca="1">IFERROR(__xludf.DUMMYFUNCTION("""COMPUTED_VALUE"""),"DH")</f>
        <v>DH</v>
      </c>
      <c r="B355" s="108" t="str">
        <f ca="1">IFERROR(__xludf.DUMMYFUNCTION("""COMPUTED_VALUE"""),"Chloe Schwartz")</f>
        <v>Chloe Schwartz</v>
      </c>
      <c r="C355" s="109">
        <f ca="1">IFERROR(__xludf.DUMMYFUNCTION("""COMPUTED_VALUE"""),14)</f>
        <v>14</v>
      </c>
      <c r="D355" s="109" t="str">
        <f ca="1">IFERROR(__xludf.DUMMYFUNCTION("""COMPUTED_VALUE"""),"G")</f>
        <v>G</v>
      </c>
      <c r="E355" s="110" t="str">
        <f ca="1">IFERROR(__xludf.DUMMYFUNCTION("""COMPUTED_VALUE"""),"I")</f>
        <v>I</v>
      </c>
      <c r="F355" s="110" t="str">
        <f ca="1">IFERROR(__xludf.DUMMYFUNCTION("""COMPUTED_VALUE"""),"S")</f>
        <v>S</v>
      </c>
      <c r="G355" s="110">
        <f ca="1">IFERROR(__xludf.DUMMYFUNCTION("""COMPUTED_VALUE"""),4)</f>
        <v>4</v>
      </c>
      <c r="H355" s="112" t="str">
        <f ca="1"/>
        <v/>
      </c>
      <c r="I355" s="112" t="str">
        <f ca="1"/>
        <v/>
      </c>
    </row>
    <row r="356" spans="1:9" ht="13.2">
      <c r="A356" s="109" t="str">
        <f ca="1">IFERROR(__xludf.DUMMYFUNCTION("""COMPUTED_VALUE"""),"DH")</f>
        <v>DH</v>
      </c>
      <c r="B356" s="108" t="str">
        <f ca="1">IFERROR(__xludf.DUMMYFUNCTION("""COMPUTED_VALUE"""),"Greta Kirchoff-Johnson")</f>
        <v>Greta Kirchoff-Johnson</v>
      </c>
      <c r="C356" s="109">
        <f ca="1">IFERROR(__xludf.DUMMYFUNCTION("""COMPUTED_VALUE"""),14)</f>
        <v>14</v>
      </c>
      <c r="D356" s="109" t="str">
        <f ca="1">IFERROR(__xludf.DUMMYFUNCTION("""COMPUTED_VALUE"""),"G")</f>
        <v>G</v>
      </c>
      <c r="E356" s="110" t="str">
        <f ca="1">IFERROR(__xludf.DUMMYFUNCTION("""COMPUTED_VALUE"""),"I")</f>
        <v>I</v>
      </c>
      <c r="F356" s="110" t="str">
        <f ca="1">IFERROR(__xludf.DUMMYFUNCTION("""COMPUTED_VALUE"""),"S")</f>
        <v>S</v>
      </c>
      <c r="G356" s="110">
        <f ca="1">IFERROR(__xludf.DUMMYFUNCTION("""COMPUTED_VALUE"""),4)</f>
        <v>4</v>
      </c>
      <c r="H356" s="112" t="str">
        <f ca="1"/>
        <v/>
      </c>
      <c r="I356" s="81" t="str">
        <f ca="1"/>
        <v/>
      </c>
    </row>
    <row r="357" spans="1:9" ht="13.2">
      <c r="A357" s="109" t="str">
        <f ca="1">IFERROR(__xludf.DUMMYFUNCTION("""COMPUTED_VALUE"""),"DH")</f>
        <v>DH</v>
      </c>
      <c r="B357" s="108" t="str">
        <f ca="1">IFERROR(__xludf.DUMMYFUNCTION("""COMPUTED_VALUE"""),"Mia Carbone")</f>
        <v>Mia Carbone</v>
      </c>
      <c r="C357" s="109">
        <f ca="1">IFERROR(__xludf.DUMMYFUNCTION("""COMPUTED_VALUE"""),13)</f>
        <v>13</v>
      </c>
      <c r="D357" s="109" t="str">
        <f ca="1">IFERROR(__xludf.DUMMYFUNCTION("""COMPUTED_VALUE"""),"G")</f>
        <v>G</v>
      </c>
      <c r="E357" s="110" t="str">
        <f ca="1">IFERROR(__xludf.DUMMYFUNCTION("""COMPUTED_VALUE"""),"I")</f>
        <v>I</v>
      </c>
      <c r="F357" s="110" t="str">
        <f ca="1">IFERROR(__xludf.DUMMYFUNCTION("""COMPUTED_VALUE"""),"S")</f>
        <v>S</v>
      </c>
      <c r="G357" s="110">
        <f ca="1">IFERROR(__xludf.DUMMYFUNCTION("""COMPUTED_VALUE"""),4)</f>
        <v>4</v>
      </c>
      <c r="H357" s="112" t="str">
        <f ca="1"/>
        <v>29.55</v>
      </c>
      <c r="I357" s="112">
        <f ca="1"/>
        <v>29.55</v>
      </c>
    </row>
    <row r="358" spans="1:9" ht="13.2">
      <c r="A358" s="109" t="str">
        <f ca="1">IFERROR(__xludf.DUMMYFUNCTION("""COMPUTED_VALUE"""),"DH")</f>
        <v>DH</v>
      </c>
      <c r="B358" s="108" t="str">
        <f ca="1">IFERROR(__xludf.DUMMYFUNCTION("""COMPUTED_VALUE"""),"Morgan Shelton")</f>
        <v>Morgan Shelton</v>
      </c>
      <c r="C358" s="109">
        <f ca="1">IFERROR(__xludf.DUMMYFUNCTION("""COMPUTED_VALUE"""),13)</f>
        <v>13</v>
      </c>
      <c r="D358" s="109" t="str">
        <f ca="1">IFERROR(__xludf.DUMMYFUNCTION("""COMPUTED_VALUE"""),"G")</f>
        <v>G</v>
      </c>
      <c r="E358" s="110" t="str">
        <f ca="1">IFERROR(__xludf.DUMMYFUNCTION("""COMPUTED_VALUE"""),"I")</f>
        <v>I</v>
      </c>
      <c r="F358" s="110" t="str">
        <f ca="1">IFERROR(__xludf.DUMMYFUNCTION("""COMPUTED_VALUE"""),"S")</f>
        <v>S</v>
      </c>
      <c r="G358" s="110">
        <f ca="1">IFERROR(__xludf.DUMMYFUNCTION("""COMPUTED_VALUE"""),4)</f>
        <v>4</v>
      </c>
      <c r="H358" s="112" t="str">
        <f ca="1"/>
        <v/>
      </c>
      <c r="I358" s="112" t="str">
        <f ca="1"/>
        <v/>
      </c>
    </row>
    <row r="359" spans="1:9" ht="13.2">
      <c r="A359" s="109" t="str">
        <f ca="1">IFERROR(__xludf.DUMMYFUNCTION("""COMPUTED_VALUE"""),"DH")</f>
        <v>DH</v>
      </c>
      <c r="B359" s="108" t="str">
        <f ca="1">IFERROR(__xludf.DUMMYFUNCTION("""COMPUTED_VALUE"""),"Paige Shelton")</f>
        <v>Paige Shelton</v>
      </c>
      <c r="C359" s="109">
        <f ca="1">IFERROR(__xludf.DUMMYFUNCTION("""COMPUTED_VALUE"""),14)</f>
        <v>14</v>
      </c>
      <c r="D359" s="109" t="str">
        <f ca="1">IFERROR(__xludf.DUMMYFUNCTION("""COMPUTED_VALUE"""),"G")</f>
        <v>G</v>
      </c>
      <c r="E359" s="110" t="str">
        <f ca="1">IFERROR(__xludf.DUMMYFUNCTION("""COMPUTED_VALUE"""),"I")</f>
        <v>I</v>
      </c>
      <c r="F359" s="110" t="str">
        <f ca="1">IFERROR(__xludf.DUMMYFUNCTION("""COMPUTED_VALUE"""),"S")</f>
        <v>S</v>
      </c>
      <c r="G359" s="110">
        <f ca="1">IFERROR(__xludf.DUMMYFUNCTION("""COMPUTED_VALUE"""),4)</f>
        <v>4</v>
      </c>
      <c r="H359" s="112" t="str">
        <f ca="1"/>
        <v/>
      </c>
      <c r="I359" s="112" t="str">
        <f ca="1"/>
        <v/>
      </c>
    </row>
    <row r="360" spans="1:9" ht="13.2">
      <c r="A360" s="109" t="str">
        <f ca="1">IFERROR(__xludf.DUMMYFUNCTION("""COMPUTED_VALUE"""),"DH")</f>
        <v>DH</v>
      </c>
      <c r="B360" s="108" t="str">
        <f ca="1">IFERROR(__xludf.DUMMYFUNCTION("""COMPUTED_VALUE"""),"Caleb Havert")</f>
        <v>Caleb Havert</v>
      </c>
      <c r="C360" s="109">
        <f ca="1">IFERROR(__xludf.DUMMYFUNCTION("""COMPUTED_VALUE"""),11)</f>
        <v>11</v>
      </c>
      <c r="D360" s="109" t="str">
        <f ca="1">IFERROR(__xludf.DUMMYFUNCTION("""COMPUTED_VALUE"""),"B")</f>
        <v>B</v>
      </c>
      <c r="E360" s="110" t="str">
        <f ca="1">IFERROR(__xludf.DUMMYFUNCTION("""COMPUTED_VALUE"""),"J")</f>
        <v>J</v>
      </c>
      <c r="F360" s="110" t="str">
        <f ca="1">IFERROR(__xludf.DUMMYFUNCTION("""COMPUTED_VALUE"""),"I")</f>
        <v>I</v>
      </c>
      <c r="G360" s="110">
        <f ca="1">IFERROR(__xludf.DUMMYFUNCTION("""COMPUTED_VALUE"""),4)</f>
        <v>4</v>
      </c>
      <c r="H360" s="112" t="str">
        <f ca="1"/>
        <v/>
      </c>
      <c r="I360" s="81" t="str">
        <f ca="1"/>
        <v/>
      </c>
    </row>
    <row r="361" spans="1:9" ht="13.2">
      <c r="A361" s="109" t="str">
        <f ca="1">IFERROR(__xludf.DUMMYFUNCTION("""COMPUTED_VALUE"""),"DH")</f>
        <v>DH</v>
      </c>
      <c r="B361" s="108" t="str">
        <f ca="1">IFERROR(__xludf.DUMMYFUNCTION("""COMPUTED_VALUE"""),"Charlie Morrison")</f>
        <v>Charlie Morrison</v>
      </c>
      <c r="C361" s="109">
        <f ca="1">IFERROR(__xludf.DUMMYFUNCTION("""COMPUTED_VALUE"""),11)</f>
        <v>11</v>
      </c>
      <c r="D361" s="109" t="str">
        <f ca="1">IFERROR(__xludf.DUMMYFUNCTION("""COMPUTED_VALUE"""),"B")</f>
        <v>B</v>
      </c>
      <c r="E361" s="110" t="str">
        <f ca="1">IFERROR(__xludf.DUMMYFUNCTION("""COMPUTED_VALUE"""),"J")</f>
        <v>J</v>
      </c>
      <c r="F361" s="110" t="str">
        <f ca="1">IFERROR(__xludf.DUMMYFUNCTION("""COMPUTED_VALUE"""),"I")</f>
        <v>I</v>
      </c>
      <c r="G361" s="110">
        <f ca="1">IFERROR(__xludf.DUMMYFUNCTION("""COMPUTED_VALUE"""),4)</f>
        <v>4</v>
      </c>
      <c r="H361" s="112" t="str">
        <f ca="1"/>
        <v/>
      </c>
      <c r="I361" s="81" t="str">
        <f ca="1"/>
        <v/>
      </c>
    </row>
    <row r="362" spans="1:9" ht="13.2">
      <c r="A362" s="109" t="str">
        <f ca="1">IFERROR(__xludf.DUMMYFUNCTION("""COMPUTED_VALUE"""),"DH")</f>
        <v>DH</v>
      </c>
      <c r="B362" s="108" t="str">
        <f ca="1">IFERROR(__xludf.DUMMYFUNCTION("""COMPUTED_VALUE"""),"Declan Neckel")</f>
        <v>Declan Neckel</v>
      </c>
      <c r="C362" s="109">
        <f ca="1">IFERROR(__xludf.DUMMYFUNCTION("""COMPUTED_VALUE"""),11)</f>
        <v>11</v>
      </c>
      <c r="D362" s="109" t="str">
        <f ca="1">IFERROR(__xludf.DUMMYFUNCTION("""COMPUTED_VALUE"""),"B")</f>
        <v>B</v>
      </c>
      <c r="E362" s="110" t="str">
        <f ca="1">IFERROR(__xludf.DUMMYFUNCTION("""COMPUTED_VALUE"""),"J")</f>
        <v>J</v>
      </c>
      <c r="F362" s="110" t="str">
        <f ca="1">IFERROR(__xludf.DUMMYFUNCTION("""COMPUTED_VALUE"""),"I")</f>
        <v>I</v>
      </c>
      <c r="G362" s="110">
        <f ca="1">IFERROR(__xludf.DUMMYFUNCTION("""COMPUTED_VALUE"""),4)</f>
        <v>4</v>
      </c>
      <c r="H362" s="112" t="str">
        <f ca="1"/>
        <v/>
      </c>
      <c r="I362" s="81" t="str">
        <f ca="1"/>
        <v/>
      </c>
    </row>
    <row r="363" spans="1:9" ht="13.2">
      <c r="A363" s="109" t="str">
        <f ca="1">IFERROR(__xludf.DUMMYFUNCTION("""COMPUTED_VALUE"""),"DH")</f>
        <v>DH</v>
      </c>
      <c r="B363" s="108" t="str">
        <f ca="1">IFERROR(__xludf.DUMMYFUNCTION("""COMPUTED_VALUE"""),"Henry Gould")</f>
        <v>Henry Gould</v>
      </c>
      <c r="C363" s="109">
        <f ca="1">IFERROR(__xludf.DUMMYFUNCTION("""COMPUTED_VALUE"""),12)</f>
        <v>12</v>
      </c>
      <c r="D363" s="109" t="str">
        <f ca="1">IFERROR(__xludf.DUMMYFUNCTION("""COMPUTED_VALUE"""),"B")</f>
        <v>B</v>
      </c>
      <c r="E363" s="110" t="str">
        <f ca="1">IFERROR(__xludf.DUMMYFUNCTION("""COMPUTED_VALUE"""),"J")</f>
        <v>J</v>
      </c>
      <c r="F363" s="110" t="str">
        <f ca="1">IFERROR(__xludf.DUMMYFUNCTION("""COMPUTED_VALUE"""),"I")</f>
        <v>I</v>
      </c>
      <c r="G363" s="110">
        <f ca="1">IFERROR(__xludf.DUMMYFUNCTION("""COMPUTED_VALUE"""),4)</f>
        <v>4</v>
      </c>
      <c r="H363" s="112" t="str">
        <f ca="1"/>
        <v/>
      </c>
      <c r="I363" s="112" t="str">
        <f ca="1"/>
        <v/>
      </c>
    </row>
    <row r="364" spans="1:9" ht="13.2">
      <c r="A364" s="109" t="str">
        <f ca="1">IFERROR(__xludf.DUMMYFUNCTION("""COMPUTED_VALUE"""),"DH")</f>
        <v>DH</v>
      </c>
      <c r="B364" s="108" t="str">
        <f ca="1">IFERROR(__xludf.DUMMYFUNCTION("""COMPUTED_VALUE"""),"Reid Schwartz")</f>
        <v>Reid Schwartz</v>
      </c>
      <c r="C364" s="109">
        <f ca="1">IFERROR(__xludf.DUMMYFUNCTION("""COMPUTED_VALUE"""),12)</f>
        <v>12</v>
      </c>
      <c r="D364" s="109" t="str">
        <f ca="1">IFERROR(__xludf.DUMMYFUNCTION("""COMPUTED_VALUE"""),"B")</f>
        <v>B</v>
      </c>
      <c r="E364" s="110" t="str">
        <f ca="1">IFERROR(__xludf.DUMMYFUNCTION("""COMPUTED_VALUE"""),"J")</f>
        <v>J</v>
      </c>
      <c r="F364" s="110" t="str">
        <f ca="1">IFERROR(__xludf.DUMMYFUNCTION("""COMPUTED_VALUE"""),"I")</f>
        <v>I</v>
      </c>
      <c r="G364" s="110">
        <f ca="1">IFERROR(__xludf.DUMMYFUNCTION("""COMPUTED_VALUE"""),4)</f>
        <v>4</v>
      </c>
      <c r="H364" s="112" t="str">
        <f ca="1"/>
        <v/>
      </c>
      <c r="I364" s="112" t="str">
        <f ca="1"/>
        <v/>
      </c>
    </row>
    <row r="365" spans="1:9" ht="13.2">
      <c r="A365" s="109" t="str">
        <f ca="1">IFERROR(__xludf.DUMMYFUNCTION("""COMPUTED_VALUE"""),"DH")</f>
        <v>DH</v>
      </c>
      <c r="B365" s="108" t="str">
        <f ca="1">IFERROR(__xludf.DUMMYFUNCTION("""COMPUTED_VALUE"""),"Elena Rizzo")</f>
        <v>Elena Rizzo</v>
      </c>
      <c r="C365" s="109">
        <f ca="1">IFERROR(__xludf.DUMMYFUNCTION("""COMPUTED_VALUE"""),12)</f>
        <v>12</v>
      </c>
      <c r="D365" s="109" t="str">
        <f ca="1">IFERROR(__xludf.DUMMYFUNCTION("""COMPUTED_VALUE"""),"G")</f>
        <v>G</v>
      </c>
      <c r="E365" s="110" t="str">
        <f ca="1">IFERROR(__xludf.DUMMYFUNCTION("""COMPUTED_VALUE"""),"J")</f>
        <v>J</v>
      </c>
      <c r="F365" s="110" t="str">
        <f ca="1">IFERROR(__xludf.DUMMYFUNCTION("""COMPUTED_VALUE"""),"I")</f>
        <v>I</v>
      </c>
      <c r="G365" s="110">
        <f ca="1">IFERROR(__xludf.DUMMYFUNCTION("""COMPUTED_VALUE"""),4)</f>
        <v>4</v>
      </c>
      <c r="H365" s="112" t="str">
        <f ca="1"/>
        <v/>
      </c>
      <c r="I365" s="112" t="str">
        <f ca="1"/>
        <v/>
      </c>
    </row>
    <row r="366" spans="1:9" ht="13.2">
      <c r="A366" s="109" t="str">
        <f ca="1">IFERROR(__xludf.DUMMYFUNCTION("""COMPUTED_VALUE"""),"DH")</f>
        <v>DH</v>
      </c>
      <c r="B366" s="108" t="str">
        <f ca="1">IFERROR(__xludf.DUMMYFUNCTION("""COMPUTED_VALUE"""),"Hannah Ax")</f>
        <v>Hannah Ax</v>
      </c>
      <c r="C366" s="109">
        <f ca="1">IFERROR(__xludf.DUMMYFUNCTION("""COMPUTED_VALUE"""),11)</f>
        <v>11</v>
      </c>
      <c r="D366" s="109" t="str">
        <f ca="1">IFERROR(__xludf.DUMMYFUNCTION("""COMPUTED_VALUE"""),"G")</f>
        <v>G</v>
      </c>
      <c r="E366" s="110" t="str">
        <f ca="1">IFERROR(__xludf.DUMMYFUNCTION("""COMPUTED_VALUE"""),"J")</f>
        <v>J</v>
      </c>
      <c r="F366" s="110" t="str">
        <f ca="1">IFERROR(__xludf.DUMMYFUNCTION("""COMPUTED_VALUE"""),"I")</f>
        <v>I</v>
      </c>
      <c r="G366" s="110">
        <f ca="1">IFERROR(__xludf.DUMMYFUNCTION("""COMPUTED_VALUE"""),4)</f>
        <v>4</v>
      </c>
      <c r="H366" s="112" t="str">
        <f ca="1"/>
        <v>74.6</v>
      </c>
      <c r="I366" s="112">
        <f ca="1"/>
        <v>74.599999999999994</v>
      </c>
    </row>
    <row r="367" spans="1:9" ht="13.2">
      <c r="A367" s="109" t="str">
        <f ca="1">IFERROR(__xludf.DUMMYFUNCTION("""COMPUTED_VALUE"""),"DH")</f>
        <v>DH</v>
      </c>
      <c r="B367" s="108" t="str">
        <f ca="1">IFERROR(__xludf.DUMMYFUNCTION("""COMPUTED_VALUE"""),"Hayden Shelton")</f>
        <v>Hayden Shelton</v>
      </c>
      <c r="C367" s="109">
        <f ca="1">IFERROR(__xludf.DUMMYFUNCTION("""COMPUTED_VALUE"""),11)</f>
        <v>11</v>
      </c>
      <c r="D367" s="109" t="str">
        <f ca="1">IFERROR(__xludf.DUMMYFUNCTION("""COMPUTED_VALUE"""),"G")</f>
        <v>G</v>
      </c>
      <c r="E367" s="110" t="str">
        <f ca="1">IFERROR(__xludf.DUMMYFUNCTION("""COMPUTED_VALUE"""),"J")</f>
        <v>J</v>
      </c>
      <c r="F367" s="110" t="str">
        <f ca="1">IFERROR(__xludf.DUMMYFUNCTION("""COMPUTED_VALUE"""),"I")</f>
        <v>I</v>
      </c>
      <c r="G367" s="110">
        <f ca="1">IFERROR(__xludf.DUMMYFUNCTION("""COMPUTED_VALUE"""),4)</f>
        <v>4</v>
      </c>
      <c r="H367" s="112" t="str">
        <f ca="1"/>
        <v/>
      </c>
      <c r="I367" s="112" t="str">
        <f ca="1"/>
        <v/>
      </c>
    </row>
    <row r="368" spans="1:9" ht="13.2">
      <c r="A368" s="109" t="str">
        <f ca="1">IFERROR(__xludf.DUMMYFUNCTION("""COMPUTED_VALUE"""),"DH")</f>
        <v>DH</v>
      </c>
      <c r="B368" s="108" t="str">
        <f ca="1">IFERROR(__xludf.DUMMYFUNCTION("""COMPUTED_VALUE"""),"Heili Shattuck")</f>
        <v>Heili Shattuck</v>
      </c>
      <c r="C368" s="109">
        <f ca="1">IFERROR(__xludf.DUMMYFUNCTION("""COMPUTED_VALUE"""),12)</f>
        <v>12</v>
      </c>
      <c r="D368" s="109" t="str">
        <f ca="1">IFERROR(__xludf.DUMMYFUNCTION("""COMPUTED_VALUE"""),"G")</f>
        <v>G</v>
      </c>
      <c r="E368" s="110" t="str">
        <f ca="1">IFERROR(__xludf.DUMMYFUNCTION("""COMPUTED_VALUE"""),"J")</f>
        <v>J</v>
      </c>
      <c r="F368" s="110" t="str">
        <f ca="1">IFERROR(__xludf.DUMMYFUNCTION("""COMPUTED_VALUE"""),"I")</f>
        <v>I</v>
      </c>
      <c r="G368" s="110">
        <f ca="1">IFERROR(__xludf.DUMMYFUNCTION("""COMPUTED_VALUE"""),4)</f>
        <v>4</v>
      </c>
      <c r="H368" s="112" t="str">
        <f ca="1"/>
        <v/>
      </c>
      <c r="I368" s="81" t="str">
        <f ca="1"/>
        <v/>
      </c>
    </row>
    <row r="369" spans="1:9" ht="13.2">
      <c r="A369" s="109" t="str">
        <f ca="1">IFERROR(__xludf.DUMMYFUNCTION("""COMPUTED_VALUE"""),"DH")</f>
        <v>DH</v>
      </c>
      <c r="B369" s="108" t="str">
        <f ca="1">IFERROR(__xludf.DUMMYFUNCTION("""COMPUTED_VALUE"""),"Leah Kinder")</f>
        <v>Leah Kinder</v>
      </c>
      <c r="C369" s="109">
        <f ca="1">IFERROR(__xludf.DUMMYFUNCTION("""COMPUTED_VALUE"""),11)</f>
        <v>11</v>
      </c>
      <c r="D369" s="109" t="str">
        <f ca="1">IFERROR(__xludf.DUMMYFUNCTION("""COMPUTED_VALUE"""),"G")</f>
        <v>G</v>
      </c>
      <c r="E369" s="110" t="str">
        <f ca="1">IFERROR(__xludf.DUMMYFUNCTION("""COMPUTED_VALUE"""),"J")</f>
        <v>J</v>
      </c>
      <c r="F369" s="110" t="str">
        <f ca="1">IFERROR(__xludf.DUMMYFUNCTION("""COMPUTED_VALUE"""),"I")</f>
        <v>I</v>
      </c>
      <c r="G369" s="110">
        <f ca="1">IFERROR(__xludf.DUMMYFUNCTION("""COMPUTED_VALUE"""),4)</f>
        <v>4</v>
      </c>
      <c r="H369" s="112" t="str">
        <f ca="1"/>
        <v/>
      </c>
      <c r="I369" s="112" t="str">
        <f ca="1"/>
        <v/>
      </c>
    </row>
    <row r="370" spans="1:9" ht="13.2">
      <c r="A370" s="109" t="str">
        <f ca="1">IFERROR(__xludf.DUMMYFUNCTION("""COMPUTED_VALUE"""),"DH")</f>
        <v>DH</v>
      </c>
      <c r="B370" s="108" t="str">
        <f ca="1">IFERROR(__xludf.DUMMYFUNCTION("""COMPUTED_VALUE"""),"Natalie Maco")</f>
        <v>Natalie Maco</v>
      </c>
      <c r="C370" s="109">
        <f ca="1">IFERROR(__xludf.DUMMYFUNCTION("""COMPUTED_VALUE"""),11)</f>
        <v>11</v>
      </c>
      <c r="D370" s="109" t="str">
        <f ca="1">IFERROR(__xludf.DUMMYFUNCTION("""COMPUTED_VALUE"""),"G")</f>
        <v>G</v>
      </c>
      <c r="E370" s="110" t="str">
        <f ca="1">IFERROR(__xludf.DUMMYFUNCTION("""COMPUTED_VALUE"""),"J")</f>
        <v>J</v>
      </c>
      <c r="F370" s="110" t="str">
        <f ca="1">IFERROR(__xludf.DUMMYFUNCTION("""COMPUTED_VALUE"""),"I")</f>
        <v>I</v>
      </c>
      <c r="G370" s="110">
        <f ca="1">IFERROR(__xludf.DUMMYFUNCTION("""COMPUTED_VALUE"""),4)</f>
        <v>4</v>
      </c>
      <c r="H370" s="112" t="str">
        <f ca="1"/>
        <v/>
      </c>
      <c r="I370" s="112" t="str">
        <f ca="1"/>
        <v/>
      </c>
    </row>
    <row r="371" spans="1:9" ht="13.2">
      <c r="A371" s="109" t="str">
        <f ca="1">IFERROR(__xludf.DUMMYFUNCTION("""COMPUTED_VALUE"""),"DH")</f>
        <v>DH</v>
      </c>
      <c r="B371" s="108" t="str">
        <f ca="1">IFERROR(__xludf.DUMMYFUNCTION("""COMPUTED_VALUE"""),"Olivia Tighe")</f>
        <v>Olivia Tighe</v>
      </c>
      <c r="C371" s="109">
        <f ca="1">IFERROR(__xludf.DUMMYFUNCTION("""COMPUTED_VALUE"""),12)</f>
        <v>12</v>
      </c>
      <c r="D371" s="109" t="str">
        <f ca="1">IFERROR(__xludf.DUMMYFUNCTION("""COMPUTED_VALUE"""),"G")</f>
        <v>G</v>
      </c>
      <c r="E371" s="110" t="str">
        <f ca="1">IFERROR(__xludf.DUMMYFUNCTION("""COMPUTED_VALUE"""),"J")</f>
        <v>J</v>
      </c>
      <c r="F371" s="110" t="str">
        <f ca="1">IFERROR(__xludf.DUMMYFUNCTION("""COMPUTED_VALUE"""),"I")</f>
        <v>I</v>
      </c>
      <c r="G371" s="110">
        <f ca="1">IFERROR(__xludf.DUMMYFUNCTION("""COMPUTED_VALUE"""),4)</f>
        <v>4</v>
      </c>
      <c r="H371" s="112" t="str">
        <f ca="1"/>
        <v>34.75</v>
      </c>
      <c r="I371" s="112">
        <f ca="1"/>
        <v>34.75</v>
      </c>
    </row>
    <row r="372" spans="1:9" ht="13.2">
      <c r="A372" s="109" t="str">
        <f ca="1">IFERROR(__xludf.DUMMYFUNCTION("""COMPUTED_VALUE"""),"DH")</f>
        <v>DH</v>
      </c>
      <c r="B372" s="108" t="str">
        <f ca="1">IFERROR(__xludf.DUMMYFUNCTION("""COMPUTED_VALUE"""),"Joseph Nixon")</f>
        <v>Joseph Nixon</v>
      </c>
      <c r="C372" s="109">
        <f ca="1">IFERROR(__xludf.DUMMYFUNCTION("""COMPUTED_VALUE"""),15)</f>
        <v>15</v>
      </c>
      <c r="D372" s="109" t="str">
        <f ca="1">IFERROR(__xludf.DUMMYFUNCTION("""COMPUTED_VALUE"""),"B")</f>
        <v>B</v>
      </c>
      <c r="E372" s="110" t="str">
        <f ca="1">IFERROR(__xludf.DUMMYFUNCTION("""COMPUTED_VALUE"""),"S")</f>
        <v>S</v>
      </c>
      <c r="F372" s="110" t="str">
        <f ca="1">IFERROR(__xludf.DUMMYFUNCTION("""COMPUTED_VALUE"""),"S")</f>
        <v>S</v>
      </c>
      <c r="G372" s="110">
        <f ca="1">IFERROR(__xludf.DUMMYFUNCTION("""COMPUTED_VALUE"""),4)</f>
        <v>4</v>
      </c>
      <c r="H372" s="112" t="str">
        <f ca="1"/>
        <v/>
      </c>
      <c r="I372" s="81" t="str">
        <f ca="1"/>
        <v/>
      </c>
    </row>
    <row r="373" spans="1:9" ht="13.2">
      <c r="A373" s="109" t="str">
        <f ca="1">IFERROR(__xludf.DUMMYFUNCTION("""COMPUTED_VALUE"""),"DH")</f>
        <v>DH</v>
      </c>
      <c r="B373" s="108" t="str">
        <f ca="1">IFERROR(__xludf.DUMMYFUNCTION("""COMPUTED_VALUE"""),"Luke Dangel")</f>
        <v>Luke Dangel</v>
      </c>
      <c r="C373" s="109">
        <f ca="1">IFERROR(__xludf.DUMMYFUNCTION("""COMPUTED_VALUE"""),18)</f>
        <v>18</v>
      </c>
      <c r="D373" s="109" t="str">
        <f ca="1">IFERROR(__xludf.DUMMYFUNCTION("""COMPUTED_VALUE"""),"B")</f>
        <v>B</v>
      </c>
      <c r="E373" s="110" t="str">
        <f ca="1">IFERROR(__xludf.DUMMYFUNCTION("""COMPUTED_VALUE"""),"S")</f>
        <v>S</v>
      </c>
      <c r="F373" s="110" t="str">
        <f ca="1">IFERROR(__xludf.DUMMYFUNCTION("""COMPUTED_VALUE"""),"S")</f>
        <v>S</v>
      </c>
      <c r="G373" s="110">
        <f ca="1">IFERROR(__xludf.DUMMYFUNCTION("""COMPUTED_VALUE"""),4)</f>
        <v>4</v>
      </c>
      <c r="H373" s="112" t="str">
        <f ca="1"/>
        <v/>
      </c>
      <c r="I373" s="112" t="str">
        <f ca="1"/>
        <v/>
      </c>
    </row>
    <row r="374" spans="1:9" ht="13.2">
      <c r="A374" s="109" t="str">
        <f ca="1">IFERROR(__xludf.DUMMYFUNCTION("""COMPUTED_VALUE"""),"DH")</f>
        <v>DH</v>
      </c>
      <c r="B374" s="108" t="str">
        <f ca="1">IFERROR(__xludf.DUMMYFUNCTION("""COMPUTED_VALUE"""),"Luke DiBenigno")</f>
        <v>Luke DiBenigno</v>
      </c>
      <c r="C374" s="109">
        <f ca="1">IFERROR(__xludf.DUMMYFUNCTION("""COMPUTED_VALUE"""),16)</f>
        <v>16</v>
      </c>
      <c r="D374" s="109" t="str">
        <f ca="1">IFERROR(__xludf.DUMMYFUNCTION("""COMPUTED_VALUE"""),"B")</f>
        <v>B</v>
      </c>
      <c r="E374" s="110" t="str">
        <f ca="1">IFERROR(__xludf.DUMMYFUNCTION("""COMPUTED_VALUE"""),"S")</f>
        <v>S</v>
      </c>
      <c r="F374" s="110" t="str">
        <f ca="1">IFERROR(__xludf.DUMMYFUNCTION("""COMPUTED_VALUE"""),"S")</f>
        <v>S</v>
      </c>
      <c r="G374" s="110">
        <f ca="1">IFERROR(__xludf.DUMMYFUNCTION("""COMPUTED_VALUE"""),4)</f>
        <v>4</v>
      </c>
      <c r="H374" s="112" t="str">
        <f ca="1"/>
        <v/>
      </c>
      <c r="I374" s="112" t="str">
        <f ca="1"/>
        <v/>
      </c>
    </row>
    <row r="375" spans="1:9" ht="13.2">
      <c r="A375" s="109" t="str">
        <f ca="1">IFERROR(__xludf.DUMMYFUNCTION("""COMPUTED_VALUE"""),"DH")</f>
        <v>DH</v>
      </c>
      <c r="B375" s="108" t="str">
        <f ca="1">IFERROR(__xludf.DUMMYFUNCTION("""COMPUTED_VALUE"""),"Amelia Rizzo")</f>
        <v>Amelia Rizzo</v>
      </c>
      <c r="C375" s="109">
        <f ca="1">IFERROR(__xludf.DUMMYFUNCTION("""COMPUTED_VALUE"""),15)</f>
        <v>15</v>
      </c>
      <c r="D375" s="109" t="str">
        <f ca="1">IFERROR(__xludf.DUMMYFUNCTION("""COMPUTED_VALUE"""),"G")</f>
        <v>G</v>
      </c>
      <c r="E375" s="110" t="str">
        <f ca="1">IFERROR(__xludf.DUMMYFUNCTION("""COMPUTED_VALUE"""),"S")</f>
        <v>S</v>
      </c>
      <c r="F375" s="110" t="str">
        <f ca="1">IFERROR(__xludf.DUMMYFUNCTION("""COMPUTED_VALUE"""),"S")</f>
        <v>S</v>
      </c>
      <c r="G375" s="110">
        <f ca="1">IFERROR(__xludf.DUMMYFUNCTION("""COMPUTED_VALUE"""),4)</f>
        <v>4</v>
      </c>
      <c r="H375" s="112" t="str">
        <f ca="1"/>
        <v/>
      </c>
      <c r="I375" s="112" t="str">
        <f ca="1"/>
        <v/>
      </c>
    </row>
    <row r="376" spans="1:9" ht="13.2">
      <c r="A376" s="109" t="str">
        <f ca="1">IFERROR(__xludf.DUMMYFUNCTION("""COMPUTED_VALUE"""),"DH")</f>
        <v>DH</v>
      </c>
      <c r="B376" s="108" t="str">
        <f ca="1">IFERROR(__xludf.DUMMYFUNCTION("""COMPUTED_VALUE"""),"Dakota Bannach")</f>
        <v>Dakota Bannach</v>
      </c>
      <c r="C376" s="109">
        <f ca="1">IFERROR(__xludf.DUMMYFUNCTION("""COMPUTED_VALUE"""),15)</f>
        <v>15</v>
      </c>
      <c r="D376" s="109" t="str">
        <f ca="1">IFERROR(__xludf.DUMMYFUNCTION("""COMPUTED_VALUE"""),"G")</f>
        <v>G</v>
      </c>
      <c r="E376" s="110" t="str">
        <f ca="1">IFERROR(__xludf.DUMMYFUNCTION("""COMPUTED_VALUE"""),"S")</f>
        <v>S</v>
      </c>
      <c r="F376" s="110" t="str">
        <f ca="1">IFERROR(__xludf.DUMMYFUNCTION("""COMPUTED_VALUE"""),"S")</f>
        <v>S</v>
      </c>
      <c r="G376" s="110">
        <f ca="1">IFERROR(__xludf.DUMMYFUNCTION("""COMPUTED_VALUE"""),4)</f>
        <v>4</v>
      </c>
      <c r="H376" s="112" t="str">
        <f ca="1"/>
        <v/>
      </c>
      <c r="I376" s="112" t="str">
        <f ca="1"/>
        <v/>
      </c>
    </row>
    <row r="377" spans="1:9" ht="13.2">
      <c r="A377" s="109" t="str">
        <f ca="1">IFERROR(__xludf.DUMMYFUNCTION("""COMPUTED_VALUE"""),"DH")</f>
        <v>DH</v>
      </c>
      <c r="B377" s="108" t="str">
        <f ca="1">IFERROR(__xludf.DUMMYFUNCTION("""COMPUTED_VALUE"""),"Ellie Joyce")</f>
        <v>Ellie Joyce</v>
      </c>
      <c r="C377" s="109">
        <f ca="1">IFERROR(__xludf.DUMMYFUNCTION("""COMPUTED_VALUE"""),15)</f>
        <v>15</v>
      </c>
      <c r="D377" s="109" t="str">
        <f ca="1">IFERROR(__xludf.DUMMYFUNCTION("""COMPUTED_VALUE"""),"G")</f>
        <v>G</v>
      </c>
      <c r="E377" s="110" t="str">
        <f ca="1">IFERROR(__xludf.DUMMYFUNCTION("""COMPUTED_VALUE"""),"S")</f>
        <v>S</v>
      </c>
      <c r="F377" s="110" t="str">
        <f ca="1">IFERROR(__xludf.DUMMYFUNCTION("""COMPUTED_VALUE"""),"S")</f>
        <v>S</v>
      </c>
      <c r="G377" s="110">
        <f ca="1">IFERROR(__xludf.DUMMYFUNCTION("""COMPUTED_VALUE"""),4)</f>
        <v>4</v>
      </c>
      <c r="H377" s="112" t="str">
        <f ca="1"/>
        <v/>
      </c>
      <c r="I377" s="112" t="str">
        <f ca="1"/>
        <v/>
      </c>
    </row>
    <row r="378" spans="1:9" ht="13.2">
      <c r="A378" s="109" t="str">
        <f ca="1">IFERROR(__xludf.DUMMYFUNCTION("""COMPUTED_VALUE"""),"DH")</f>
        <v>DH</v>
      </c>
      <c r="B378" s="108" t="str">
        <f ca="1">IFERROR(__xludf.DUMMYFUNCTION("""COMPUTED_VALUE"""),"Ellie Potts")</f>
        <v>Ellie Potts</v>
      </c>
      <c r="C378" s="109">
        <f ca="1">IFERROR(__xludf.DUMMYFUNCTION("""COMPUTED_VALUE"""),16)</f>
        <v>16</v>
      </c>
      <c r="D378" s="109" t="str">
        <f ca="1">IFERROR(__xludf.DUMMYFUNCTION("""COMPUTED_VALUE"""),"G")</f>
        <v>G</v>
      </c>
      <c r="E378" s="110" t="str">
        <f ca="1">IFERROR(__xludf.DUMMYFUNCTION("""COMPUTED_VALUE"""),"S")</f>
        <v>S</v>
      </c>
      <c r="F378" s="110" t="str">
        <f ca="1">IFERROR(__xludf.DUMMYFUNCTION("""COMPUTED_VALUE"""),"S")</f>
        <v>S</v>
      </c>
      <c r="G378" s="110">
        <f ca="1">IFERROR(__xludf.DUMMYFUNCTION("""COMPUTED_VALUE"""),4)</f>
        <v>4</v>
      </c>
      <c r="H378" s="112" t="str">
        <f ca="1"/>
        <v/>
      </c>
      <c r="I378" s="81" t="str">
        <f ca="1"/>
        <v/>
      </c>
    </row>
    <row r="379" spans="1:9" ht="13.2">
      <c r="A379" s="109" t="str">
        <f ca="1">IFERROR(__xludf.DUMMYFUNCTION("""COMPUTED_VALUE"""),"DH")</f>
        <v>DH</v>
      </c>
      <c r="B379" s="108" t="str">
        <f ca="1">IFERROR(__xludf.DUMMYFUNCTION("""COMPUTED_VALUE"""),"Grace Dennis")</f>
        <v>Grace Dennis</v>
      </c>
      <c r="C379" s="109">
        <f ca="1">IFERROR(__xludf.DUMMYFUNCTION("""COMPUTED_VALUE"""),17)</f>
        <v>17</v>
      </c>
      <c r="D379" s="109" t="str">
        <f ca="1">IFERROR(__xludf.DUMMYFUNCTION("""COMPUTED_VALUE"""),"G")</f>
        <v>G</v>
      </c>
      <c r="E379" s="110" t="str">
        <f ca="1">IFERROR(__xludf.DUMMYFUNCTION("""COMPUTED_VALUE"""),"S")</f>
        <v>S</v>
      </c>
      <c r="F379" s="110" t="str">
        <f ca="1">IFERROR(__xludf.DUMMYFUNCTION("""COMPUTED_VALUE"""),"S")</f>
        <v>S</v>
      </c>
      <c r="G379" s="110">
        <f ca="1">IFERROR(__xludf.DUMMYFUNCTION("""COMPUTED_VALUE"""),4)</f>
        <v>4</v>
      </c>
      <c r="H379" s="112" t="str">
        <f ca="1"/>
        <v/>
      </c>
      <c r="I379" s="112" t="str">
        <f ca="1"/>
        <v/>
      </c>
    </row>
    <row r="380" spans="1:9" ht="13.2">
      <c r="A380" s="109" t="str">
        <f ca="1">IFERROR(__xludf.DUMMYFUNCTION("""COMPUTED_VALUE"""),"DH")</f>
        <v>DH</v>
      </c>
      <c r="B380" s="108" t="str">
        <f ca="1">IFERROR(__xludf.DUMMYFUNCTION("""COMPUTED_VALUE"""),"Morgan Leathwood")</f>
        <v>Morgan Leathwood</v>
      </c>
      <c r="C380" s="109">
        <f ca="1">IFERROR(__xludf.DUMMYFUNCTION("""COMPUTED_VALUE"""),15)</f>
        <v>15</v>
      </c>
      <c r="D380" s="109" t="str">
        <f ca="1">IFERROR(__xludf.DUMMYFUNCTION("""COMPUTED_VALUE"""),"G")</f>
        <v>G</v>
      </c>
      <c r="E380" s="110" t="str">
        <f ca="1">IFERROR(__xludf.DUMMYFUNCTION("""COMPUTED_VALUE"""),"S")</f>
        <v>S</v>
      </c>
      <c r="F380" s="110" t="str">
        <f ca="1">IFERROR(__xludf.DUMMYFUNCTION("""COMPUTED_VALUE"""),"S")</f>
        <v>S</v>
      </c>
      <c r="G380" s="110">
        <f ca="1">IFERROR(__xludf.DUMMYFUNCTION("""COMPUTED_VALUE"""),4)</f>
        <v>4</v>
      </c>
      <c r="H380" s="112" t="str">
        <f ca="1"/>
        <v/>
      </c>
      <c r="I380" s="112" t="str">
        <f ca="1"/>
        <v/>
      </c>
    </row>
    <row r="381" spans="1:9" ht="13.2">
      <c r="A381" s="109" t="str">
        <f ca="1">IFERROR(__xludf.DUMMYFUNCTION("""COMPUTED_VALUE"""),"DH")</f>
        <v>DH</v>
      </c>
      <c r="B381" s="108" t="str">
        <f ca="1">IFERROR(__xludf.DUMMYFUNCTION("""COMPUTED_VALUE"""),"Riley Shelton")</f>
        <v>Riley Shelton</v>
      </c>
      <c r="C381" s="109">
        <f ca="1">IFERROR(__xludf.DUMMYFUNCTION("""COMPUTED_VALUE"""),16)</f>
        <v>16</v>
      </c>
      <c r="D381" s="109" t="str">
        <f ca="1">IFERROR(__xludf.DUMMYFUNCTION("""COMPUTED_VALUE"""),"G")</f>
        <v>G</v>
      </c>
      <c r="E381" s="110" t="str">
        <f ca="1">IFERROR(__xludf.DUMMYFUNCTION("""COMPUTED_VALUE"""),"S")</f>
        <v>S</v>
      </c>
      <c r="F381" s="110" t="str">
        <f ca="1">IFERROR(__xludf.DUMMYFUNCTION("""COMPUTED_VALUE"""),"S")</f>
        <v>S</v>
      </c>
      <c r="G381" s="110">
        <f ca="1">IFERROR(__xludf.DUMMYFUNCTION("""COMPUTED_VALUE"""),4)</f>
        <v>4</v>
      </c>
      <c r="H381" s="112" t="str">
        <f ca="1"/>
        <v/>
      </c>
      <c r="I381" s="81" t="str">
        <f ca="1"/>
        <v/>
      </c>
    </row>
    <row r="382" spans="1:9" ht="13.2">
      <c r="A382" s="109" t="str">
        <f ca="1">IFERROR(__xludf.DUMMYFUNCTION("""COMPUTED_VALUE"""),"DH")</f>
        <v>DH</v>
      </c>
      <c r="B382" s="108" t="str">
        <f ca="1">IFERROR(__xludf.DUMMYFUNCTION("""COMPUTED_VALUE"""),"Sarah Low")</f>
        <v>Sarah Low</v>
      </c>
      <c r="C382" s="109">
        <f ca="1">IFERROR(__xludf.DUMMYFUNCTION("""COMPUTED_VALUE"""),17)</f>
        <v>17</v>
      </c>
      <c r="D382" s="109" t="str">
        <f ca="1">IFERROR(__xludf.DUMMYFUNCTION("""COMPUTED_VALUE"""),"G")</f>
        <v>G</v>
      </c>
      <c r="E382" s="110" t="str">
        <f ca="1">IFERROR(__xludf.DUMMYFUNCTION("""COMPUTED_VALUE"""),"S")</f>
        <v>S</v>
      </c>
      <c r="F382" s="110" t="str">
        <f ca="1">IFERROR(__xludf.DUMMYFUNCTION("""COMPUTED_VALUE"""),"S")</f>
        <v>S</v>
      </c>
      <c r="G382" s="110">
        <f ca="1">IFERROR(__xludf.DUMMYFUNCTION("""COMPUTED_VALUE"""),4)</f>
        <v>4</v>
      </c>
      <c r="H382" s="112" t="str">
        <f ca="1"/>
        <v/>
      </c>
      <c r="I382" s="112" t="str">
        <f ca="1"/>
        <v/>
      </c>
    </row>
    <row r="383" spans="1:9" ht="13.2">
      <c r="A383" s="109" t="str">
        <f ca="1">IFERROR(__xludf.DUMMYFUNCTION("""COMPUTED_VALUE"""),"DL")</f>
        <v>DL</v>
      </c>
      <c r="B383" s="108" t="str">
        <f ca="1">IFERROR(__xludf.DUMMYFUNCTION("""COMPUTED_VALUE"""),"Braeden Epley")</f>
        <v>Braeden Epley</v>
      </c>
      <c r="C383" s="109">
        <f ca="1">IFERROR(__xludf.DUMMYFUNCTION("""COMPUTED_VALUE"""),8)</f>
        <v>8</v>
      </c>
      <c r="D383" s="109" t="str">
        <f ca="1">IFERROR(__xludf.DUMMYFUNCTION("""COMPUTED_VALUE"""),"B")</f>
        <v>B</v>
      </c>
      <c r="E383" s="110" t="str">
        <f ca="1">IFERROR(__xludf.DUMMYFUNCTION("""COMPUTED_VALUE"""),"F")</f>
        <v>F</v>
      </c>
      <c r="F383" s="110" t="str">
        <f ca="1">IFERROR(__xludf.DUMMYFUNCTION("""COMPUTED_VALUE"""),"J")</f>
        <v>J</v>
      </c>
      <c r="G383" s="110">
        <f ca="1">IFERROR(__xludf.DUMMYFUNCTION("""COMPUTED_VALUE"""),1)</f>
        <v>1</v>
      </c>
      <c r="H383" s="112" t="str">
        <f ca="1"/>
        <v/>
      </c>
      <c r="I383" s="81" t="str">
        <f ca="1"/>
        <v/>
      </c>
    </row>
    <row r="384" spans="1:9" ht="13.2">
      <c r="A384" s="109" t="str">
        <f ca="1">IFERROR(__xludf.DUMMYFUNCTION("""COMPUTED_VALUE"""),"DL")</f>
        <v>DL</v>
      </c>
      <c r="B384" s="108" t="str">
        <f ca="1">IFERROR(__xludf.DUMMYFUNCTION("""COMPUTED_VALUE"""),"Demir Ross")</f>
        <v>Demir Ross</v>
      </c>
      <c r="C384" s="109">
        <f ca="1">IFERROR(__xludf.DUMMYFUNCTION("""COMPUTED_VALUE"""),10)</f>
        <v>10</v>
      </c>
      <c r="D384" s="109" t="str">
        <f ca="1">IFERROR(__xludf.DUMMYFUNCTION("""COMPUTED_VALUE"""),"B")</f>
        <v>B</v>
      </c>
      <c r="E384" s="110" t="str">
        <f ca="1">IFERROR(__xludf.DUMMYFUNCTION("""COMPUTED_VALUE"""),"F")</f>
        <v>F</v>
      </c>
      <c r="F384" s="110" t="str">
        <f ca="1">IFERROR(__xludf.DUMMYFUNCTION("""COMPUTED_VALUE"""),"J")</f>
        <v>J</v>
      </c>
      <c r="G384" s="110">
        <f ca="1">IFERROR(__xludf.DUMMYFUNCTION("""COMPUTED_VALUE"""),1)</f>
        <v>1</v>
      </c>
      <c r="H384" s="112" t="str">
        <f ca="1"/>
        <v/>
      </c>
      <c r="I384" s="112" t="str">
        <f ca="1"/>
        <v/>
      </c>
    </row>
    <row r="385" spans="1:9" ht="13.2">
      <c r="A385" s="109" t="str">
        <f ca="1">IFERROR(__xludf.DUMMYFUNCTION("""COMPUTED_VALUE"""),"DL")</f>
        <v>DL</v>
      </c>
      <c r="B385" s="108" t="str">
        <f ca="1">IFERROR(__xludf.DUMMYFUNCTION("""COMPUTED_VALUE"""),"Ethan Ahasan")</f>
        <v>Ethan Ahasan</v>
      </c>
      <c r="C385" s="109">
        <f ca="1">IFERROR(__xludf.DUMMYFUNCTION("""COMPUTED_VALUE"""),7)</f>
        <v>7</v>
      </c>
      <c r="D385" s="109" t="str">
        <f ca="1">IFERROR(__xludf.DUMMYFUNCTION("""COMPUTED_VALUE"""),"B")</f>
        <v>B</v>
      </c>
      <c r="E385" s="110" t="str">
        <f ca="1">IFERROR(__xludf.DUMMYFUNCTION("""COMPUTED_VALUE"""),"F")</f>
        <v>F</v>
      </c>
      <c r="F385" s="110" t="str">
        <f ca="1">IFERROR(__xludf.DUMMYFUNCTION("""COMPUTED_VALUE"""),"J")</f>
        <v>J</v>
      </c>
      <c r="G385" s="110">
        <f ca="1">IFERROR(__xludf.DUMMYFUNCTION("""COMPUTED_VALUE"""),1)</f>
        <v>1</v>
      </c>
      <c r="H385" s="112" t="str">
        <f ca="1"/>
        <v/>
      </c>
      <c r="I385" s="81" t="str">
        <f ca="1"/>
        <v/>
      </c>
    </row>
    <row r="386" spans="1:9" ht="13.2">
      <c r="A386" s="109" t="str">
        <f ca="1">IFERROR(__xludf.DUMMYFUNCTION("""COMPUTED_VALUE"""),"DL")</f>
        <v>DL</v>
      </c>
      <c r="B386" s="108" t="str">
        <f ca="1">IFERROR(__xludf.DUMMYFUNCTION("""COMPUTED_VALUE"""),"George Miller")</f>
        <v>George Miller</v>
      </c>
      <c r="C386" s="109">
        <f ca="1">IFERROR(__xludf.DUMMYFUNCTION("""COMPUTED_VALUE"""),10)</f>
        <v>10</v>
      </c>
      <c r="D386" s="109" t="str">
        <f ca="1">IFERROR(__xludf.DUMMYFUNCTION("""COMPUTED_VALUE"""),"B")</f>
        <v>B</v>
      </c>
      <c r="E386" s="110" t="str">
        <f ca="1">IFERROR(__xludf.DUMMYFUNCTION("""COMPUTED_VALUE"""),"F")</f>
        <v>F</v>
      </c>
      <c r="F386" s="110" t="str">
        <f ca="1">IFERROR(__xludf.DUMMYFUNCTION("""COMPUTED_VALUE"""),"J")</f>
        <v>J</v>
      </c>
      <c r="G386" s="110">
        <f ca="1">IFERROR(__xludf.DUMMYFUNCTION("""COMPUTED_VALUE"""),1)</f>
        <v>1</v>
      </c>
      <c r="H386" s="112" t="str">
        <f ca="1"/>
        <v/>
      </c>
      <c r="I386" s="81" t="str">
        <f ca="1"/>
        <v/>
      </c>
    </row>
    <row r="387" spans="1:9" ht="13.2">
      <c r="A387" s="109" t="str">
        <f ca="1">IFERROR(__xludf.DUMMYFUNCTION("""COMPUTED_VALUE"""),"DL")</f>
        <v>DL</v>
      </c>
      <c r="B387" s="108" t="str">
        <f ca="1">IFERROR(__xludf.DUMMYFUNCTION("""COMPUTED_VALUE"""),"Jacob Yang")</f>
        <v>Jacob Yang</v>
      </c>
      <c r="C387" s="109">
        <f ca="1">IFERROR(__xludf.DUMMYFUNCTION("""COMPUTED_VALUE"""),9)</f>
        <v>9</v>
      </c>
      <c r="D387" s="109" t="str">
        <f ca="1">IFERROR(__xludf.DUMMYFUNCTION("""COMPUTED_VALUE"""),"B")</f>
        <v>B</v>
      </c>
      <c r="E387" s="110" t="str">
        <f ca="1">IFERROR(__xludf.DUMMYFUNCTION("""COMPUTED_VALUE"""),"F")</f>
        <v>F</v>
      </c>
      <c r="F387" s="110" t="str">
        <f ca="1">IFERROR(__xludf.DUMMYFUNCTION("""COMPUTED_VALUE"""),"J")</f>
        <v>J</v>
      </c>
      <c r="G387" s="110">
        <f ca="1">IFERROR(__xludf.DUMMYFUNCTION("""COMPUTED_VALUE"""),1)</f>
        <v>1</v>
      </c>
      <c r="H387" s="112" t="str">
        <f ca="1"/>
        <v/>
      </c>
      <c r="I387" s="112" t="str">
        <f ca="1"/>
        <v/>
      </c>
    </row>
    <row r="388" spans="1:9" ht="13.2">
      <c r="A388" s="109" t="str">
        <f ca="1">IFERROR(__xludf.DUMMYFUNCTION("""COMPUTED_VALUE"""),"DL")</f>
        <v>DL</v>
      </c>
      <c r="B388" s="108" t="str">
        <f ca="1">IFERROR(__xludf.DUMMYFUNCTION("""COMPUTED_VALUE"""),"Jeremy Yang")</f>
        <v>Jeremy Yang</v>
      </c>
      <c r="C388" s="109">
        <f ca="1">IFERROR(__xludf.DUMMYFUNCTION("""COMPUTED_VALUE"""),7)</f>
        <v>7</v>
      </c>
      <c r="D388" s="109" t="str">
        <f ca="1">IFERROR(__xludf.DUMMYFUNCTION("""COMPUTED_VALUE"""),"B")</f>
        <v>B</v>
      </c>
      <c r="E388" s="110" t="str">
        <f ca="1">IFERROR(__xludf.DUMMYFUNCTION("""COMPUTED_VALUE"""),"F")</f>
        <v>F</v>
      </c>
      <c r="F388" s="110" t="str">
        <f ca="1">IFERROR(__xludf.DUMMYFUNCTION("""COMPUTED_VALUE"""),"J")</f>
        <v>J</v>
      </c>
      <c r="G388" s="110">
        <f ca="1">IFERROR(__xludf.DUMMYFUNCTION("""COMPUTED_VALUE"""),1)</f>
        <v>1</v>
      </c>
      <c r="H388" s="112" t="str">
        <f ca="1"/>
        <v>31.05</v>
      </c>
      <c r="I388" s="112">
        <f ca="1"/>
        <v>31.05</v>
      </c>
    </row>
    <row r="389" spans="1:9" ht="13.2">
      <c r="A389" s="109" t="str">
        <f ca="1">IFERROR(__xludf.DUMMYFUNCTION("""COMPUTED_VALUE"""),"DL")</f>
        <v>DL</v>
      </c>
      <c r="B389" s="108" t="str">
        <f ca="1">IFERROR(__xludf.DUMMYFUNCTION("""COMPUTED_VALUE"""),"Kai Jones")</f>
        <v>Kai Jones</v>
      </c>
      <c r="C389" s="109">
        <f ca="1">IFERROR(__xludf.DUMMYFUNCTION("""COMPUTED_VALUE"""),8)</f>
        <v>8</v>
      </c>
      <c r="D389" s="109" t="str">
        <f ca="1">IFERROR(__xludf.DUMMYFUNCTION("""COMPUTED_VALUE"""),"B")</f>
        <v>B</v>
      </c>
      <c r="E389" s="110" t="str">
        <f ca="1">IFERROR(__xludf.DUMMYFUNCTION("""COMPUTED_VALUE"""),"F")</f>
        <v>F</v>
      </c>
      <c r="F389" s="110" t="str">
        <f ca="1">IFERROR(__xludf.DUMMYFUNCTION("""COMPUTED_VALUE"""),"J")</f>
        <v>J</v>
      </c>
      <c r="G389" s="110">
        <f ca="1">IFERROR(__xludf.DUMMYFUNCTION("""COMPUTED_VALUE"""),1)</f>
        <v>1</v>
      </c>
      <c r="H389" s="112" t="str">
        <f ca="1"/>
        <v/>
      </c>
      <c r="I389" s="112" t="str">
        <f ca="1"/>
        <v/>
      </c>
    </row>
    <row r="390" spans="1:9" ht="13.2">
      <c r="A390" s="109" t="str">
        <f ca="1">IFERROR(__xludf.DUMMYFUNCTION("""COMPUTED_VALUE"""),"DL")</f>
        <v>DL</v>
      </c>
      <c r="B390" s="108" t="str">
        <f ca="1">IFERROR(__xludf.DUMMYFUNCTION("""COMPUTED_VALUE"""),"Kalyan Choksi")</f>
        <v>Kalyan Choksi</v>
      </c>
      <c r="C390" s="109">
        <f ca="1">IFERROR(__xludf.DUMMYFUNCTION("""COMPUTED_VALUE"""),10)</f>
        <v>10</v>
      </c>
      <c r="D390" s="109" t="str">
        <f ca="1">IFERROR(__xludf.DUMMYFUNCTION("""COMPUTED_VALUE"""),"B")</f>
        <v>B</v>
      </c>
      <c r="E390" s="110" t="str">
        <f ca="1">IFERROR(__xludf.DUMMYFUNCTION("""COMPUTED_VALUE"""),"F")</f>
        <v>F</v>
      </c>
      <c r="F390" s="110" t="str">
        <f ca="1">IFERROR(__xludf.DUMMYFUNCTION("""COMPUTED_VALUE"""),"J")</f>
        <v>J</v>
      </c>
      <c r="G390" s="110">
        <f ca="1">IFERROR(__xludf.DUMMYFUNCTION("""COMPUTED_VALUE"""),1)</f>
        <v>1</v>
      </c>
      <c r="H390" s="112" t="str">
        <f ca="1"/>
        <v/>
      </c>
      <c r="I390" s="112" t="str">
        <f ca="1"/>
        <v/>
      </c>
    </row>
    <row r="391" spans="1:9" ht="13.2">
      <c r="A391" s="109" t="str">
        <f ca="1">IFERROR(__xludf.DUMMYFUNCTION("""COMPUTED_VALUE"""),"DL")</f>
        <v>DL</v>
      </c>
      <c r="B391" s="108" t="str">
        <f ca="1">IFERROR(__xludf.DUMMYFUNCTION("""COMPUTED_VALUE"""),"Laszlo Matias")</f>
        <v>Laszlo Matias</v>
      </c>
      <c r="C391" s="109">
        <f ca="1">IFERROR(__xludf.DUMMYFUNCTION("""COMPUTED_VALUE"""),8)</f>
        <v>8</v>
      </c>
      <c r="D391" s="109" t="str">
        <f ca="1">IFERROR(__xludf.DUMMYFUNCTION("""COMPUTED_VALUE"""),"B")</f>
        <v>B</v>
      </c>
      <c r="E391" s="110" t="str">
        <f ca="1">IFERROR(__xludf.DUMMYFUNCTION("""COMPUTED_VALUE"""),"F")</f>
        <v>F</v>
      </c>
      <c r="F391" s="110" t="str">
        <f ca="1">IFERROR(__xludf.DUMMYFUNCTION("""COMPUTED_VALUE"""),"J")</f>
        <v>J</v>
      </c>
      <c r="G391" s="110">
        <f ca="1">IFERROR(__xludf.DUMMYFUNCTION("""COMPUTED_VALUE"""),1)</f>
        <v>1</v>
      </c>
      <c r="H391" s="112" t="str">
        <f ca="1"/>
        <v/>
      </c>
      <c r="I391" s="81" t="str">
        <f ca="1"/>
        <v/>
      </c>
    </row>
    <row r="392" spans="1:9" ht="13.2">
      <c r="A392" s="109" t="str">
        <f ca="1">IFERROR(__xludf.DUMMYFUNCTION("""COMPUTED_VALUE"""),"DL")</f>
        <v>DL</v>
      </c>
      <c r="B392" s="108" t="str">
        <f ca="1">IFERROR(__xludf.DUMMYFUNCTION("""COMPUTED_VALUE"""),"Owen Eastep")</f>
        <v>Owen Eastep</v>
      </c>
      <c r="C392" s="109">
        <f ca="1">IFERROR(__xludf.DUMMYFUNCTION("""COMPUTED_VALUE"""),9)</f>
        <v>9</v>
      </c>
      <c r="D392" s="109" t="str">
        <f ca="1">IFERROR(__xludf.DUMMYFUNCTION("""COMPUTED_VALUE"""),"B")</f>
        <v>B</v>
      </c>
      <c r="E392" s="110" t="str">
        <f ca="1">IFERROR(__xludf.DUMMYFUNCTION("""COMPUTED_VALUE"""),"F")</f>
        <v>F</v>
      </c>
      <c r="F392" s="110" t="str">
        <f ca="1">IFERROR(__xludf.DUMMYFUNCTION("""COMPUTED_VALUE"""),"J")</f>
        <v>J</v>
      </c>
      <c r="G392" s="110">
        <f ca="1">IFERROR(__xludf.DUMMYFUNCTION("""COMPUTED_VALUE"""),1)</f>
        <v>1</v>
      </c>
      <c r="H392" s="112" t="str">
        <f ca="1"/>
        <v>39.45</v>
      </c>
      <c r="I392" s="112">
        <f ca="1"/>
        <v>39.450000000000003</v>
      </c>
    </row>
    <row r="393" spans="1:9" ht="13.2">
      <c r="A393" s="109" t="str">
        <f ca="1">IFERROR(__xludf.DUMMYFUNCTION("""COMPUTED_VALUE"""),"DL")</f>
        <v>DL</v>
      </c>
      <c r="B393" s="108" t="str">
        <f ca="1">IFERROR(__xludf.DUMMYFUNCTION("""COMPUTED_VALUE"""),"Ryan Linegang")</f>
        <v>Ryan Linegang</v>
      </c>
      <c r="C393" s="109">
        <f ca="1">IFERROR(__xludf.DUMMYFUNCTION("""COMPUTED_VALUE"""),7)</f>
        <v>7</v>
      </c>
      <c r="D393" s="109" t="str">
        <f ca="1">IFERROR(__xludf.DUMMYFUNCTION("""COMPUTED_VALUE"""),"B")</f>
        <v>B</v>
      </c>
      <c r="E393" s="110" t="str">
        <f ca="1">IFERROR(__xludf.DUMMYFUNCTION("""COMPUTED_VALUE"""),"F")</f>
        <v>F</v>
      </c>
      <c r="F393" s="110" t="str">
        <f ca="1">IFERROR(__xludf.DUMMYFUNCTION("""COMPUTED_VALUE"""),"J")</f>
        <v>J</v>
      </c>
      <c r="G393" s="110">
        <f ca="1">IFERROR(__xludf.DUMMYFUNCTION("""COMPUTED_VALUE"""),1)</f>
        <v>1</v>
      </c>
      <c r="H393" s="112" t="str">
        <f ca="1"/>
        <v>18.75</v>
      </c>
      <c r="I393" s="81">
        <f ca="1"/>
        <v>18.75</v>
      </c>
    </row>
    <row r="394" spans="1:9" ht="13.2">
      <c r="A394" s="109" t="str">
        <f ca="1">IFERROR(__xludf.DUMMYFUNCTION("""COMPUTED_VALUE"""),"DL")</f>
        <v>DL</v>
      </c>
      <c r="B394" s="108" t="str">
        <f ca="1">IFERROR(__xludf.DUMMYFUNCTION("""COMPUTED_VALUE"""),"Ryan Martonik")</f>
        <v>Ryan Martonik</v>
      </c>
      <c r="C394" s="109">
        <f ca="1">IFERROR(__xludf.DUMMYFUNCTION("""COMPUTED_VALUE"""),7)</f>
        <v>7</v>
      </c>
      <c r="D394" s="109" t="str">
        <f ca="1">IFERROR(__xludf.DUMMYFUNCTION("""COMPUTED_VALUE"""),"B")</f>
        <v>B</v>
      </c>
      <c r="E394" s="110" t="str">
        <f ca="1">IFERROR(__xludf.DUMMYFUNCTION("""COMPUTED_VALUE"""),"F")</f>
        <v>F</v>
      </c>
      <c r="F394" s="110" t="str">
        <f ca="1">IFERROR(__xludf.DUMMYFUNCTION("""COMPUTED_VALUE"""),"J")</f>
        <v>J</v>
      </c>
      <c r="G394" s="110">
        <f ca="1">IFERROR(__xludf.DUMMYFUNCTION("""COMPUTED_VALUE"""),1)</f>
        <v>1</v>
      </c>
      <c r="H394" s="112" t="str">
        <f ca="1"/>
        <v>27.2</v>
      </c>
      <c r="I394" s="112">
        <f ca="1"/>
        <v>27.2</v>
      </c>
    </row>
    <row r="395" spans="1:9" ht="13.2">
      <c r="A395" s="109" t="str">
        <f ca="1">IFERROR(__xludf.DUMMYFUNCTION("""COMPUTED_VALUE"""),"DL")</f>
        <v>DL</v>
      </c>
      <c r="B395" s="108" t="str">
        <f ca="1">IFERROR(__xludf.DUMMYFUNCTION("""COMPUTED_VALUE"""),"Salvatore Matias")</f>
        <v>Salvatore Matias</v>
      </c>
      <c r="C395" s="109">
        <f ca="1">IFERROR(__xludf.DUMMYFUNCTION("""COMPUTED_VALUE"""),7)</f>
        <v>7</v>
      </c>
      <c r="D395" s="109" t="str">
        <f ca="1">IFERROR(__xludf.DUMMYFUNCTION("""COMPUTED_VALUE"""),"B")</f>
        <v>B</v>
      </c>
      <c r="E395" s="110" t="str">
        <f ca="1">IFERROR(__xludf.DUMMYFUNCTION("""COMPUTED_VALUE"""),"F")</f>
        <v>F</v>
      </c>
      <c r="F395" s="110" t="str">
        <f ca="1">IFERROR(__xludf.DUMMYFUNCTION("""COMPUTED_VALUE"""),"J")</f>
        <v>J</v>
      </c>
      <c r="G395" s="110">
        <f ca="1">IFERROR(__xludf.DUMMYFUNCTION("""COMPUTED_VALUE"""),1)</f>
        <v>1</v>
      </c>
      <c r="H395" s="112" t="str">
        <f ca="1"/>
        <v/>
      </c>
      <c r="I395" s="112" t="str">
        <f ca="1"/>
        <v/>
      </c>
    </row>
    <row r="396" spans="1:9" ht="13.2">
      <c r="A396" s="109" t="str">
        <f ca="1">IFERROR(__xludf.DUMMYFUNCTION("""COMPUTED_VALUE"""),"DL")</f>
        <v>DL</v>
      </c>
      <c r="B396" s="108" t="str">
        <f ca="1">IFERROR(__xludf.DUMMYFUNCTION("""COMPUTED_VALUE"""),"Shaan Krishnan")</f>
        <v>Shaan Krishnan</v>
      </c>
      <c r="C396" s="109">
        <f ca="1">IFERROR(__xludf.DUMMYFUNCTION("""COMPUTED_VALUE"""),8)</f>
        <v>8</v>
      </c>
      <c r="D396" s="109" t="str">
        <f ca="1">IFERROR(__xludf.DUMMYFUNCTION("""COMPUTED_VALUE"""),"B")</f>
        <v>B</v>
      </c>
      <c r="E396" s="110" t="str">
        <f ca="1">IFERROR(__xludf.DUMMYFUNCTION("""COMPUTED_VALUE"""),"F")</f>
        <v>F</v>
      </c>
      <c r="F396" s="110" t="str">
        <f ca="1">IFERROR(__xludf.DUMMYFUNCTION("""COMPUTED_VALUE"""),"J")</f>
        <v>J</v>
      </c>
      <c r="G396" s="110">
        <f ca="1">IFERROR(__xludf.DUMMYFUNCTION("""COMPUTED_VALUE"""),1)</f>
        <v>1</v>
      </c>
      <c r="H396" s="112" t="str">
        <f ca="1"/>
        <v/>
      </c>
      <c r="I396" s="112" t="str">
        <f ca="1"/>
        <v/>
      </c>
    </row>
    <row r="397" spans="1:9" ht="13.2">
      <c r="A397" s="109" t="str">
        <f ca="1">IFERROR(__xludf.DUMMYFUNCTION("""COMPUTED_VALUE"""),"DL")</f>
        <v>DL</v>
      </c>
      <c r="B397" s="108" t="str">
        <f ca="1">IFERROR(__xludf.DUMMYFUNCTION("""COMPUTED_VALUE"""),"Teagan Lavin")</f>
        <v>Teagan Lavin</v>
      </c>
      <c r="C397" s="109">
        <f ca="1">IFERROR(__xludf.DUMMYFUNCTION("""COMPUTED_VALUE"""),8)</f>
        <v>8</v>
      </c>
      <c r="D397" s="109" t="str">
        <f ca="1">IFERROR(__xludf.DUMMYFUNCTION("""COMPUTED_VALUE"""),"B")</f>
        <v>B</v>
      </c>
      <c r="E397" s="110" t="str">
        <f ca="1">IFERROR(__xludf.DUMMYFUNCTION("""COMPUTED_VALUE"""),"F")</f>
        <v>F</v>
      </c>
      <c r="F397" s="110" t="str">
        <f ca="1">IFERROR(__xludf.DUMMYFUNCTION("""COMPUTED_VALUE"""),"J")</f>
        <v>J</v>
      </c>
      <c r="G397" s="110">
        <f ca="1">IFERROR(__xludf.DUMMYFUNCTION("""COMPUTED_VALUE"""),1)</f>
        <v>1</v>
      </c>
      <c r="H397" s="112" t="str">
        <f ca="1"/>
        <v/>
      </c>
      <c r="I397" s="112" t="str">
        <f ca="1"/>
        <v/>
      </c>
    </row>
    <row r="398" spans="1:9" ht="13.2">
      <c r="A398" s="109" t="str">
        <f ca="1">IFERROR(__xludf.DUMMYFUNCTION("""COMPUTED_VALUE"""),"DL")</f>
        <v>DL</v>
      </c>
      <c r="B398" s="108" t="str">
        <f ca="1">IFERROR(__xludf.DUMMYFUNCTION("""COMPUTED_VALUE"""),"TJ DeSando")</f>
        <v>TJ DeSando</v>
      </c>
      <c r="C398" s="109">
        <f ca="1">IFERROR(__xludf.DUMMYFUNCTION("""COMPUTED_VALUE"""),8)</f>
        <v>8</v>
      </c>
      <c r="D398" s="109" t="str">
        <f ca="1">IFERROR(__xludf.DUMMYFUNCTION("""COMPUTED_VALUE"""),"B")</f>
        <v>B</v>
      </c>
      <c r="E398" s="110" t="str">
        <f ca="1">IFERROR(__xludf.DUMMYFUNCTION("""COMPUTED_VALUE"""),"F")</f>
        <v>F</v>
      </c>
      <c r="F398" s="110" t="str">
        <f ca="1">IFERROR(__xludf.DUMMYFUNCTION("""COMPUTED_VALUE"""),"J")</f>
        <v>J</v>
      </c>
      <c r="G398" s="110">
        <f ca="1">IFERROR(__xludf.DUMMYFUNCTION("""COMPUTED_VALUE"""),1)</f>
        <v>1</v>
      </c>
      <c r="H398" s="112" t="str">
        <f ca="1"/>
        <v>32.55</v>
      </c>
      <c r="I398" s="81">
        <f ca="1"/>
        <v>32.549999999999997</v>
      </c>
    </row>
    <row r="399" spans="1:9" ht="13.2">
      <c r="A399" s="109" t="str">
        <f ca="1">IFERROR(__xludf.DUMMYFUNCTION("""COMPUTED_VALUE"""),"DL")</f>
        <v>DL</v>
      </c>
      <c r="B399" s="108" t="str">
        <f ca="1">IFERROR(__xludf.DUMMYFUNCTION("""COMPUTED_VALUE"""),"Webb Stewart")</f>
        <v>Webb Stewart</v>
      </c>
      <c r="C399" s="109">
        <f ca="1">IFERROR(__xludf.DUMMYFUNCTION("""COMPUTED_VALUE"""),10)</f>
        <v>10</v>
      </c>
      <c r="D399" s="109" t="str">
        <f ca="1">IFERROR(__xludf.DUMMYFUNCTION("""COMPUTED_VALUE"""),"B")</f>
        <v>B</v>
      </c>
      <c r="E399" s="110" t="str">
        <f ca="1">IFERROR(__xludf.DUMMYFUNCTION("""COMPUTED_VALUE"""),"F")</f>
        <v>F</v>
      </c>
      <c r="F399" s="110" t="str">
        <f ca="1">IFERROR(__xludf.DUMMYFUNCTION("""COMPUTED_VALUE"""),"J")</f>
        <v>J</v>
      </c>
      <c r="G399" s="110">
        <f ca="1">IFERROR(__xludf.DUMMYFUNCTION("""COMPUTED_VALUE"""),1)</f>
        <v>1</v>
      </c>
      <c r="H399" s="112" t="str">
        <f ca="1"/>
        <v>34.25</v>
      </c>
      <c r="I399" s="112">
        <f ca="1"/>
        <v>34.25</v>
      </c>
    </row>
    <row r="400" spans="1:9" ht="13.2">
      <c r="A400" s="109" t="str">
        <f ca="1">IFERROR(__xludf.DUMMYFUNCTION("""COMPUTED_VALUE"""),"DL")</f>
        <v>DL</v>
      </c>
      <c r="B400" s="108" t="str">
        <f ca="1">IFERROR(__xludf.DUMMYFUNCTION("""COMPUTED_VALUE"""),"Xander Miner")</f>
        <v>Xander Miner</v>
      </c>
      <c r="C400" s="109">
        <f ca="1">IFERROR(__xludf.DUMMYFUNCTION("""COMPUTED_VALUE"""),10)</f>
        <v>10</v>
      </c>
      <c r="D400" s="109" t="str">
        <f ca="1">IFERROR(__xludf.DUMMYFUNCTION("""COMPUTED_VALUE"""),"B")</f>
        <v>B</v>
      </c>
      <c r="E400" s="110" t="str">
        <f ca="1">IFERROR(__xludf.DUMMYFUNCTION("""COMPUTED_VALUE"""),"F")</f>
        <v>F</v>
      </c>
      <c r="F400" s="110" t="str">
        <f ca="1">IFERROR(__xludf.DUMMYFUNCTION("""COMPUTED_VALUE"""),"J")</f>
        <v>J</v>
      </c>
      <c r="G400" s="110">
        <f ca="1">IFERROR(__xludf.DUMMYFUNCTION("""COMPUTED_VALUE"""),1)</f>
        <v>1</v>
      </c>
      <c r="H400" s="112" t="str">
        <f ca="1"/>
        <v/>
      </c>
      <c r="I400" s="81" t="str">
        <f ca="1"/>
        <v/>
      </c>
    </row>
    <row r="401" spans="1:9" ht="13.2">
      <c r="A401" s="109" t="str">
        <f ca="1">IFERROR(__xludf.DUMMYFUNCTION("""COMPUTED_VALUE"""),"DL")</f>
        <v>DL</v>
      </c>
      <c r="B401" s="108" t="str">
        <f ca="1">IFERROR(__xludf.DUMMYFUNCTION("""COMPUTED_VALUE"""),"Zouli Alexandratos")</f>
        <v>Zouli Alexandratos</v>
      </c>
      <c r="C401" s="109">
        <f ca="1">IFERROR(__xludf.DUMMYFUNCTION("""COMPUTED_VALUE"""),10)</f>
        <v>10</v>
      </c>
      <c r="D401" s="109" t="str">
        <f ca="1">IFERROR(__xludf.DUMMYFUNCTION("""COMPUTED_VALUE"""),"B")</f>
        <v>B</v>
      </c>
      <c r="E401" s="110" t="str">
        <f ca="1">IFERROR(__xludf.DUMMYFUNCTION("""COMPUTED_VALUE"""),"F")</f>
        <v>F</v>
      </c>
      <c r="F401" s="110" t="str">
        <f ca="1">IFERROR(__xludf.DUMMYFUNCTION("""COMPUTED_VALUE"""),"J")</f>
        <v>J</v>
      </c>
      <c r="G401" s="110">
        <f ca="1">IFERROR(__xludf.DUMMYFUNCTION("""COMPUTED_VALUE"""),1)</f>
        <v>1</v>
      </c>
      <c r="H401" s="112" t="str">
        <f ca="1"/>
        <v/>
      </c>
      <c r="I401" s="112" t="str">
        <f ca="1"/>
        <v/>
      </c>
    </row>
    <row r="402" spans="1:9" ht="13.2">
      <c r="A402" s="109" t="str">
        <f ca="1">IFERROR(__xludf.DUMMYFUNCTION("""COMPUTED_VALUE"""),"DL")</f>
        <v>DL</v>
      </c>
      <c r="B402" s="108" t="str">
        <f ca="1">IFERROR(__xludf.DUMMYFUNCTION("""COMPUTED_VALUE"""),"Addison Morgan")</f>
        <v>Addison Morgan</v>
      </c>
      <c r="C402" s="109">
        <f ca="1">IFERROR(__xludf.DUMMYFUNCTION("""COMPUTED_VALUE"""),8)</f>
        <v>8</v>
      </c>
      <c r="D402" s="109" t="str">
        <f ca="1">IFERROR(__xludf.DUMMYFUNCTION("""COMPUTED_VALUE"""),"G")</f>
        <v>G</v>
      </c>
      <c r="E402" s="110" t="str">
        <f ca="1">IFERROR(__xludf.DUMMYFUNCTION("""COMPUTED_VALUE"""),"F")</f>
        <v>F</v>
      </c>
      <c r="F402" s="110" t="str">
        <f ca="1">IFERROR(__xludf.DUMMYFUNCTION("""COMPUTED_VALUE"""),"J")</f>
        <v>J</v>
      </c>
      <c r="G402" s="110">
        <f ca="1">IFERROR(__xludf.DUMMYFUNCTION("""COMPUTED_VALUE"""),1)</f>
        <v>1</v>
      </c>
      <c r="H402" s="112" t="str">
        <f ca="1"/>
        <v/>
      </c>
      <c r="I402" s="112" t="str">
        <f ca="1"/>
        <v/>
      </c>
    </row>
    <row r="403" spans="1:9" ht="13.2">
      <c r="A403" s="109" t="str">
        <f ca="1">IFERROR(__xludf.DUMMYFUNCTION("""COMPUTED_VALUE"""),"DL")</f>
        <v>DL</v>
      </c>
      <c r="B403" s="108" t="str">
        <f ca="1">IFERROR(__xludf.DUMMYFUNCTION("""COMPUTED_VALUE"""),"Alaina Ramella")</f>
        <v>Alaina Ramella</v>
      </c>
      <c r="C403" s="109">
        <f ca="1">IFERROR(__xludf.DUMMYFUNCTION("""COMPUTED_VALUE"""),8)</f>
        <v>8</v>
      </c>
      <c r="D403" s="109" t="str">
        <f ca="1">IFERROR(__xludf.DUMMYFUNCTION("""COMPUTED_VALUE"""),"G")</f>
        <v>G</v>
      </c>
      <c r="E403" s="110" t="str">
        <f ca="1">IFERROR(__xludf.DUMMYFUNCTION("""COMPUTED_VALUE"""),"F")</f>
        <v>F</v>
      </c>
      <c r="F403" s="110" t="str">
        <f ca="1">IFERROR(__xludf.DUMMYFUNCTION("""COMPUTED_VALUE"""),"J")</f>
        <v>J</v>
      </c>
      <c r="G403" s="110">
        <f ca="1">IFERROR(__xludf.DUMMYFUNCTION("""COMPUTED_VALUE"""),1)</f>
        <v>1</v>
      </c>
      <c r="H403" s="112" t="str">
        <f ca="1"/>
        <v/>
      </c>
      <c r="I403" s="81" t="str">
        <f ca="1"/>
        <v/>
      </c>
    </row>
    <row r="404" spans="1:9" ht="13.2">
      <c r="A404" s="109" t="str">
        <f ca="1">IFERROR(__xludf.DUMMYFUNCTION("""COMPUTED_VALUE"""),"DL")</f>
        <v>DL</v>
      </c>
      <c r="B404" s="108" t="str">
        <f ca="1">IFERROR(__xludf.DUMMYFUNCTION("""COMPUTED_VALUE"""),"Amelia Koch")</f>
        <v>Amelia Koch</v>
      </c>
      <c r="C404" s="109">
        <f ca="1">IFERROR(__xludf.DUMMYFUNCTION("""COMPUTED_VALUE"""),9)</f>
        <v>9</v>
      </c>
      <c r="D404" s="109" t="str">
        <f ca="1">IFERROR(__xludf.DUMMYFUNCTION("""COMPUTED_VALUE"""),"G")</f>
        <v>G</v>
      </c>
      <c r="E404" s="110" t="str">
        <f ca="1">IFERROR(__xludf.DUMMYFUNCTION("""COMPUTED_VALUE"""),"F")</f>
        <v>F</v>
      </c>
      <c r="F404" s="110" t="str">
        <f ca="1">IFERROR(__xludf.DUMMYFUNCTION("""COMPUTED_VALUE"""),"J")</f>
        <v>J</v>
      </c>
      <c r="G404" s="110">
        <f ca="1">IFERROR(__xludf.DUMMYFUNCTION("""COMPUTED_VALUE"""),1)</f>
        <v>1</v>
      </c>
      <c r="H404" s="112" t="str">
        <f ca="1"/>
        <v/>
      </c>
      <c r="I404" s="81" t="str">
        <f ca="1"/>
        <v/>
      </c>
    </row>
    <row r="405" spans="1:9" ht="13.2">
      <c r="A405" s="109" t="str">
        <f ca="1">IFERROR(__xludf.DUMMYFUNCTION("""COMPUTED_VALUE"""),"DL")</f>
        <v>DL</v>
      </c>
      <c r="B405" s="108" t="str">
        <f ca="1">IFERROR(__xludf.DUMMYFUNCTION("""COMPUTED_VALUE"""),"Ava Ramella")</f>
        <v>Ava Ramella</v>
      </c>
      <c r="C405" s="109">
        <f ca="1">IFERROR(__xludf.DUMMYFUNCTION("""COMPUTED_VALUE"""),8)</f>
        <v>8</v>
      </c>
      <c r="D405" s="109" t="str">
        <f ca="1">IFERROR(__xludf.DUMMYFUNCTION("""COMPUTED_VALUE"""),"G")</f>
        <v>G</v>
      </c>
      <c r="E405" s="110" t="str">
        <f ca="1">IFERROR(__xludf.DUMMYFUNCTION("""COMPUTED_VALUE"""),"F")</f>
        <v>F</v>
      </c>
      <c r="F405" s="110" t="str">
        <f ca="1">IFERROR(__xludf.DUMMYFUNCTION("""COMPUTED_VALUE"""),"J")</f>
        <v>J</v>
      </c>
      <c r="G405" s="110">
        <f ca="1">IFERROR(__xludf.DUMMYFUNCTION("""COMPUTED_VALUE"""),1)</f>
        <v>1</v>
      </c>
      <c r="H405" s="112" t="str">
        <f ca="1"/>
        <v/>
      </c>
      <c r="I405" s="112" t="str">
        <f ca="1"/>
        <v/>
      </c>
    </row>
    <row r="406" spans="1:9" ht="13.2">
      <c r="A406" s="109" t="str">
        <f ca="1">IFERROR(__xludf.DUMMYFUNCTION("""COMPUTED_VALUE"""),"DL")</f>
        <v>DL</v>
      </c>
      <c r="B406" s="108" t="str">
        <f ca="1">IFERROR(__xludf.DUMMYFUNCTION("""COMPUTED_VALUE"""),"Barbara Santley")</f>
        <v>Barbara Santley</v>
      </c>
      <c r="C406" s="109">
        <f ca="1">IFERROR(__xludf.DUMMYFUNCTION("""COMPUTED_VALUE"""),9)</f>
        <v>9</v>
      </c>
      <c r="D406" s="109" t="str">
        <f ca="1">IFERROR(__xludf.DUMMYFUNCTION("""COMPUTED_VALUE"""),"G")</f>
        <v>G</v>
      </c>
      <c r="E406" s="110" t="str">
        <f ca="1">IFERROR(__xludf.DUMMYFUNCTION("""COMPUTED_VALUE"""),"F")</f>
        <v>F</v>
      </c>
      <c r="F406" s="110" t="str">
        <f ca="1">IFERROR(__xludf.DUMMYFUNCTION("""COMPUTED_VALUE"""),"J")</f>
        <v>J</v>
      </c>
      <c r="G406" s="110">
        <f ca="1">IFERROR(__xludf.DUMMYFUNCTION("""COMPUTED_VALUE"""),1)</f>
        <v>1</v>
      </c>
      <c r="H406" s="112" t="str">
        <f ca="1"/>
        <v>14.5</v>
      </c>
      <c r="I406" s="112">
        <f ca="1"/>
        <v>14.5</v>
      </c>
    </row>
    <row r="407" spans="1:9" ht="13.2">
      <c r="A407" s="109" t="str">
        <f ca="1">IFERROR(__xludf.DUMMYFUNCTION("""COMPUTED_VALUE"""),"DL")</f>
        <v>DL</v>
      </c>
      <c r="B407" s="108" t="str">
        <f ca="1">IFERROR(__xludf.DUMMYFUNCTION("""COMPUTED_VALUE"""),"Charlotte Scott")</f>
        <v>Charlotte Scott</v>
      </c>
      <c r="C407" s="109">
        <f ca="1">IFERROR(__xludf.DUMMYFUNCTION("""COMPUTED_VALUE"""),8)</f>
        <v>8</v>
      </c>
      <c r="D407" s="109" t="str">
        <f ca="1">IFERROR(__xludf.DUMMYFUNCTION("""COMPUTED_VALUE"""),"G")</f>
        <v>G</v>
      </c>
      <c r="E407" s="110" t="str">
        <f ca="1">IFERROR(__xludf.DUMMYFUNCTION("""COMPUTED_VALUE"""),"F")</f>
        <v>F</v>
      </c>
      <c r="F407" s="110" t="str">
        <f ca="1">IFERROR(__xludf.DUMMYFUNCTION("""COMPUTED_VALUE"""),"J")</f>
        <v>J</v>
      </c>
      <c r="G407" s="110">
        <f ca="1">IFERROR(__xludf.DUMMYFUNCTION("""COMPUTED_VALUE"""),1)</f>
        <v>1</v>
      </c>
      <c r="H407" s="112" t="str">
        <f ca="1"/>
        <v>21</v>
      </c>
      <c r="I407" s="81">
        <f ca="1"/>
        <v>21</v>
      </c>
    </row>
    <row r="408" spans="1:9" ht="13.2">
      <c r="A408" s="109" t="str">
        <f ca="1">IFERROR(__xludf.DUMMYFUNCTION("""COMPUTED_VALUE"""),"DL")</f>
        <v>DL</v>
      </c>
      <c r="B408" s="108" t="str">
        <f ca="1">IFERROR(__xludf.DUMMYFUNCTION("""COMPUTED_VALUE"""),"Clara Beatty")</f>
        <v>Clara Beatty</v>
      </c>
      <c r="C408" s="109">
        <f ca="1">IFERROR(__xludf.DUMMYFUNCTION("""COMPUTED_VALUE"""),9)</f>
        <v>9</v>
      </c>
      <c r="D408" s="109" t="str">
        <f ca="1">IFERROR(__xludf.DUMMYFUNCTION("""COMPUTED_VALUE"""),"G")</f>
        <v>G</v>
      </c>
      <c r="E408" s="110" t="str">
        <f ca="1">IFERROR(__xludf.DUMMYFUNCTION("""COMPUTED_VALUE"""),"F")</f>
        <v>F</v>
      </c>
      <c r="F408" s="110" t="str">
        <f ca="1">IFERROR(__xludf.DUMMYFUNCTION("""COMPUTED_VALUE"""),"J")</f>
        <v>J</v>
      </c>
      <c r="G408" s="110">
        <f ca="1">IFERROR(__xludf.DUMMYFUNCTION("""COMPUTED_VALUE"""),1)</f>
        <v>1</v>
      </c>
      <c r="H408" s="112" t="str">
        <f ca="1"/>
        <v/>
      </c>
      <c r="I408" s="112" t="str">
        <f ca="1"/>
        <v/>
      </c>
    </row>
    <row r="409" spans="1:9" ht="13.2">
      <c r="A409" s="109" t="str">
        <f ca="1">IFERROR(__xludf.DUMMYFUNCTION("""COMPUTED_VALUE"""),"DL")</f>
        <v>DL</v>
      </c>
      <c r="B409" s="108" t="str">
        <f ca="1">IFERROR(__xludf.DUMMYFUNCTION("""COMPUTED_VALUE"""),"Elise Esquivel")</f>
        <v>Elise Esquivel</v>
      </c>
      <c r="C409" s="109">
        <f ca="1">IFERROR(__xludf.DUMMYFUNCTION("""COMPUTED_VALUE"""),7)</f>
        <v>7</v>
      </c>
      <c r="D409" s="109" t="str">
        <f ca="1">IFERROR(__xludf.DUMMYFUNCTION("""COMPUTED_VALUE"""),"G")</f>
        <v>G</v>
      </c>
      <c r="E409" s="110" t="str">
        <f ca="1">IFERROR(__xludf.DUMMYFUNCTION("""COMPUTED_VALUE"""),"F")</f>
        <v>F</v>
      </c>
      <c r="F409" s="110" t="str">
        <f ca="1">IFERROR(__xludf.DUMMYFUNCTION("""COMPUTED_VALUE"""),"J")</f>
        <v>J</v>
      </c>
      <c r="G409" s="110">
        <f ca="1">IFERROR(__xludf.DUMMYFUNCTION("""COMPUTED_VALUE"""),1)</f>
        <v>1</v>
      </c>
      <c r="H409" s="112" t="str">
        <f ca="1"/>
        <v>25.1</v>
      </c>
      <c r="I409" s="112">
        <f ca="1"/>
        <v>25.1</v>
      </c>
    </row>
    <row r="410" spans="1:9" ht="13.2">
      <c r="A410" s="109" t="str">
        <f ca="1">IFERROR(__xludf.DUMMYFUNCTION("""COMPUTED_VALUE"""),"DL")</f>
        <v>DL</v>
      </c>
      <c r="B410" s="108" t="str">
        <f ca="1">IFERROR(__xludf.DUMMYFUNCTION("""COMPUTED_VALUE"""),"Elizabeth Rokita")</f>
        <v>Elizabeth Rokita</v>
      </c>
      <c r="C410" s="109">
        <f ca="1">IFERROR(__xludf.DUMMYFUNCTION("""COMPUTED_VALUE"""),10)</f>
        <v>10</v>
      </c>
      <c r="D410" s="109" t="str">
        <f ca="1">IFERROR(__xludf.DUMMYFUNCTION("""COMPUTED_VALUE"""),"G")</f>
        <v>G</v>
      </c>
      <c r="E410" s="110" t="str">
        <f ca="1">IFERROR(__xludf.DUMMYFUNCTION("""COMPUTED_VALUE"""),"F")</f>
        <v>F</v>
      </c>
      <c r="F410" s="110" t="str">
        <f ca="1">IFERROR(__xludf.DUMMYFUNCTION("""COMPUTED_VALUE"""),"J")</f>
        <v>J</v>
      </c>
      <c r="G410" s="110">
        <f ca="1">IFERROR(__xludf.DUMMYFUNCTION("""COMPUTED_VALUE"""),1)</f>
        <v>1</v>
      </c>
      <c r="H410" s="112" t="str">
        <f ca="1"/>
        <v/>
      </c>
      <c r="I410" s="81" t="str">
        <f ca="1"/>
        <v/>
      </c>
    </row>
    <row r="411" spans="1:9" ht="13.2">
      <c r="A411" s="109" t="str">
        <f ca="1">IFERROR(__xludf.DUMMYFUNCTION("""COMPUTED_VALUE"""),"DL")</f>
        <v>DL</v>
      </c>
      <c r="B411" s="108" t="str">
        <f ca="1">IFERROR(__xludf.DUMMYFUNCTION("""COMPUTED_VALUE"""),"Emma Ahasan")</f>
        <v>Emma Ahasan</v>
      </c>
      <c r="C411" s="109">
        <f ca="1">IFERROR(__xludf.DUMMYFUNCTION("""COMPUTED_VALUE"""),9)</f>
        <v>9</v>
      </c>
      <c r="D411" s="109" t="str">
        <f ca="1">IFERROR(__xludf.DUMMYFUNCTION("""COMPUTED_VALUE"""),"G")</f>
        <v>G</v>
      </c>
      <c r="E411" s="110" t="str">
        <f ca="1">IFERROR(__xludf.DUMMYFUNCTION("""COMPUTED_VALUE"""),"F")</f>
        <v>F</v>
      </c>
      <c r="F411" s="110" t="str">
        <f ca="1">IFERROR(__xludf.DUMMYFUNCTION("""COMPUTED_VALUE"""),"J")</f>
        <v>J</v>
      </c>
      <c r="G411" s="110">
        <f ca="1">IFERROR(__xludf.DUMMYFUNCTION("""COMPUTED_VALUE"""),1)</f>
        <v>1</v>
      </c>
      <c r="H411" s="112" t="str">
        <f ca="1"/>
        <v/>
      </c>
      <c r="I411" s="112" t="str">
        <f ca="1"/>
        <v/>
      </c>
    </row>
    <row r="412" spans="1:9" ht="13.2">
      <c r="A412" s="109" t="str">
        <f ca="1">IFERROR(__xludf.DUMMYFUNCTION("""COMPUTED_VALUE"""),"DL")</f>
        <v>DL</v>
      </c>
      <c r="B412" s="108" t="str">
        <f ca="1">IFERROR(__xludf.DUMMYFUNCTION("""COMPUTED_VALUE"""),"Erin Martonik")</f>
        <v>Erin Martonik</v>
      </c>
      <c r="C412" s="109">
        <f ca="1">IFERROR(__xludf.DUMMYFUNCTION("""COMPUTED_VALUE"""),9)</f>
        <v>9</v>
      </c>
      <c r="D412" s="109" t="str">
        <f ca="1">IFERROR(__xludf.DUMMYFUNCTION("""COMPUTED_VALUE"""),"G")</f>
        <v>G</v>
      </c>
      <c r="E412" s="110" t="str">
        <f ca="1">IFERROR(__xludf.DUMMYFUNCTION("""COMPUTED_VALUE"""),"F")</f>
        <v>F</v>
      </c>
      <c r="F412" s="110" t="str">
        <f ca="1">IFERROR(__xludf.DUMMYFUNCTION("""COMPUTED_VALUE"""),"J")</f>
        <v>J</v>
      </c>
      <c r="G412" s="110">
        <f ca="1">IFERROR(__xludf.DUMMYFUNCTION("""COMPUTED_VALUE"""),1)</f>
        <v>1</v>
      </c>
      <c r="H412" s="112" t="str">
        <f ca="1"/>
        <v/>
      </c>
      <c r="I412" s="81" t="str">
        <f ca="1"/>
        <v/>
      </c>
    </row>
    <row r="413" spans="1:9" ht="13.2">
      <c r="A413" s="109" t="str">
        <f ca="1">IFERROR(__xludf.DUMMYFUNCTION("""COMPUTED_VALUE"""),"DL")</f>
        <v>DL</v>
      </c>
      <c r="B413" s="108" t="str">
        <f ca="1">IFERROR(__xludf.DUMMYFUNCTION("""COMPUTED_VALUE"""),"Isabella Falsone")</f>
        <v>Isabella Falsone</v>
      </c>
      <c r="C413" s="109">
        <f ca="1">IFERROR(__xludf.DUMMYFUNCTION("""COMPUTED_VALUE"""),6)</f>
        <v>6</v>
      </c>
      <c r="D413" s="109" t="str">
        <f ca="1">IFERROR(__xludf.DUMMYFUNCTION("""COMPUTED_VALUE"""),"G")</f>
        <v>G</v>
      </c>
      <c r="E413" s="110" t="str">
        <f ca="1">IFERROR(__xludf.DUMMYFUNCTION("""COMPUTED_VALUE"""),"F")</f>
        <v>F</v>
      </c>
      <c r="F413" s="110" t="str">
        <f ca="1">IFERROR(__xludf.DUMMYFUNCTION("""COMPUTED_VALUE"""),"J")</f>
        <v>J</v>
      </c>
      <c r="G413" s="110">
        <f ca="1">IFERROR(__xludf.DUMMYFUNCTION("""COMPUTED_VALUE"""),1)</f>
        <v>1</v>
      </c>
      <c r="H413" s="112" t="str">
        <f ca="1"/>
        <v>26.9</v>
      </c>
      <c r="I413" s="112">
        <f ca="1"/>
        <v>26.9</v>
      </c>
    </row>
    <row r="414" spans="1:9" ht="13.2">
      <c r="A414" s="109" t="str">
        <f ca="1">IFERROR(__xludf.DUMMYFUNCTION("""COMPUTED_VALUE"""),"DL")</f>
        <v>DL</v>
      </c>
      <c r="B414" s="108" t="str">
        <f ca="1">IFERROR(__xludf.DUMMYFUNCTION("""COMPUTED_VALUE"""),"Ishti Jain")</f>
        <v>Ishti Jain</v>
      </c>
      <c r="C414" s="109">
        <f ca="1">IFERROR(__xludf.DUMMYFUNCTION("""COMPUTED_VALUE"""),8)</f>
        <v>8</v>
      </c>
      <c r="D414" s="109" t="str">
        <f ca="1">IFERROR(__xludf.DUMMYFUNCTION("""COMPUTED_VALUE"""),"G")</f>
        <v>G</v>
      </c>
      <c r="E414" s="110" t="str">
        <f ca="1">IFERROR(__xludf.DUMMYFUNCTION("""COMPUTED_VALUE"""),"F")</f>
        <v>F</v>
      </c>
      <c r="F414" s="110" t="str">
        <f ca="1">IFERROR(__xludf.DUMMYFUNCTION("""COMPUTED_VALUE"""),"J")</f>
        <v>J</v>
      </c>
      <c r="G414" s="110">
        <f ca="1">IFERROR(__xludf.DUMMYFUNCTION("""COMPUTED_VALUE"""),1)</f>
        <v>1</v>
      </c>
      <c r="H414" s="112" t="str">
        <f ca="1"/>
        <v/>
      </c>
      <c r="I414" s="112" t="str">
        <f ca="1"/>
        <v/>
      </c>
    </row>
    <row r="415" spans="1:9" ht="13.2">
      <c r="A415" s="109" t="str">
        <f ca="1">IFERROR(__xludf.DUMMYFUNCTION("""COMPUTED_VALUE"""),"DL")</f>
        <v>DL</v>
      </c>
      <c r="B415" s="108" t="str">
        <f ca="1">IFERROR(__xludf.DUMMYFUNCTION("""COMPUTED_VALUE"""),"Lila Kottmeier")</f>
        <v>Lila Kottmeier</v>
      </c>
      <c r="C415" s="109">
        <f ca="1">IFERROR(__xludf.DUMMYFUNCTION("""COMPUTED_VALUE"""),8)</f>
        <v>8</v>
      </c>
      <c r="D415" s="109" t="str">
        <f ca="1">IFERROR(__xludf.DUMMYFUNCTION("""COMPUTED_VALUE"""),"G")</f>
        <v>G</v>
      </c>
      <c r="E415" s="110" t="str">
        <f ca="1">IFERROR(__xludf.DUMMYFUNCTION("""COMPUTED_VALUE"""),"F")</f>
        <v>F</v>
      </c>
      <c r="F415" s="110" t="str">
        <f ca="1">IFERROR(__xludf.DUMMYFUNCTION("""COMPUTED_VALUE"""),"J")</f>
        <v>J</v>
      </c>
      <c r="G415" s="110">
        <f ca="1">IFERROR(__xludf.DUMMYFUNCTION("""COMPUTED_VALUE"""),1)</f>
        <v>1</v>
      </c>
      <c r="H415" s="112" t="str">
        <f ca="1"/>
        <v>27</v>
      </c>
      <c r="I415" s="112">
        <f ca="1"/>
        <v>27</v>
      </c>
    </row>
    <row r="416" spans="1:9" ht="13.2">
      <c r="A416" s="109" t="str">
        <f ca="1">IFERROR(__xludf.DUMMYFUNCTION("""COMPUTED_VALUE"""),"DL")</f>
        <v>DL</v>
      </c>
      <c r="B416" s="108" t="str">
        <f ca="1">IFERROR(__xludf.DUMMYFUNCTION("""COMPUTED_VALUE"""),"Mara Zulauf")</f>
        <v>Mara Zulauf</v>
      </c>
      <c r="C416" s="109">
        <f ca="1">IFERROR(__xludf.DUMMYFUNCTION("""COMPUTED_VALUE"""),10)</f>
        <v>10</v>
      </c>
      <c r="D416" s="109" t="str">
        <f ca="1">IFERROR(__xludf.DUMMYFUNCTION("""COMPUTED_VALUE"""),"G")</f>
        <v>G</v>
      </c>
      <c r="E416" s="110" t="str">
        <f ca="1">IFERROR(__xludf.DUMMYFUNCTION("""COMPUTED_VALUE"""),"F")</f>
        <v>F</v>
      </c>
      <c r="F416" s="110" t="str">
        <f ca="1">IFERROR(__xludf.DUMMYFUNCTION("""COMPUTED_VALUE"""),"J")</f>
        <v>J</v>
      </c>
      <c r="G416" s="110">
        <f ca="1">IFERROR(__xludf.DUMMYFUNCTION("""COMPUTED_VALUE"""),1)</f>
        <v>1</v>
      </c>
      <c r="H416" s="112" t="str">
        <f ca="1"/>
        <v>27.35</v>
      </c>
      <c r="I416" s="112">
        <f ca="1"/>
        <v>27.35</v>
      </c>
    </row>
    <row r="417" spans="1:9" ht="13.2">
      <c r="A417" s="109" t="str">
        <f ca="1">IFERROR(__xludf.DUMMYFUNCTION("""COMPUTED_VALUE"""),"DL")</f>
        <v>DL</v>
      </c>
      <c r="B417" s="108" t="str">
        <f ca="1">IFERROR(__xludf.DUMMYFUNCTION("""COMPUTED_VALUE"""),"marie Eisele")</f>
        <v>marie Eisele</v>
      </c>
      <c r="C417" s="109">
        <f ca="1">IFERROR(__xludf.DUMMYFUNCTION("""COMPUTED_VALUE"""),10)</f>
        <v>10</v>
      </c>
      <c r="D417" s="109" t="str">
        <f ca="1">IFERROR(__xludf.DUMMYFUNCTION("""COMPUTED_VALUE"""),"G")</f>
        <v>G</v>
      </c>
      <c r="E417" s="110" t="str">
        <f ca="1">IFERROR(__xludf.DUMMYFUNCTION("""COMPUTED_VALUE"""),"F")</f>
        <v>F</v>
      </c>
      <c r="F417" s="110" t="str">
        <f ca="1">IFERROR(__xludf.DUMMYFUNCTION("""COMPUTED_VALUE"""),"J")</f>
        <v>J</v>
      </c>
      <c r="G417" s="110">
        <f ca="1">IFERROR(__xludf.DUMMYFUNCTION("""COMPUTED_VALUE"""),1)</f>
        <v>1</v>
      </c>
      <c r="H417" s="112" t="str">
        <f ca="1"/>
        <v/>
      </c>
      <c r="I417" s="112" t="str">
        <f ca="1"/>
        <v/>
      </c>
    </row>
    <row r="418" spans="1:9" ht="13.2">
      <c r="A418" s="109" t="str">
        <f ca="1">IFERROR(__xludf.DUMMYFUNCTION("""COMPUTED_VALUE"""),"DL")</f>
        <v>DL</v>
      </c>
      <c r="B418" s="108" t="str">
        <f ca="1">IFERROR(__xludf.DUMMYFUNCTION("""COMPUTED_VALUE"""),"Megan Lam")</f>
        <v>Megan Lam</v>
      </c>
      <c r="C418" s="109">
        <f ca="1">IFERROR(__xludf.DUMMYFUNCTION("""COMPUTED_VALUE"""),9)</f>
        <v>9</v>
      </c>
      <c r="D418" s="109" t="str">
        <f ca="1">IFERROR(__xludf.DUMMYFUNCTION("""COMPUTED_VALUE"""),"G")</f>
        <v>G</v>
      </c>
      <c r="E418" s="110" t="str">
        <f ca="1">IFERROR(__xludf.DUMMYFUNCTION("""COMPUTED_VALUE"""),"F")</f>
        <v>F</v>
      </c>
      <c r="F418" s="110" t="str">
        <f ca="1">IFERROR(__xludf.DUMMYFUNCTION("""COMPUTED_VALUE"""),"J")</f>
        <v>J</v>
      </c>
      <c r="G418" s="110">
        <f ca="1">IFERROR(__xludf.DUMMYFUNCTION("""COMPUTED_VALUE"""),1)</f>
        <v>1</v>
      </c>
      <c r="H418" s="112" t="str">
        <f ca="1"/>
        <v>29.6</v>
      </c>
      <c r="I418" s="112">
        <f ca="1"/>
        <v>29.6</v>
      </c>
    </row>
    <row r="419" spans="1:9" ht="13.2">
      <c r="A419" s="109" t="str">
        <f ca="1">IFERROR(__xludf.DUMMYFUNCTION("""COMPUTED_VALUE"""),"DL")</f>
        <v>DL</v>
      </c>
      <c r="B419" s="108" t="str">
        <f ca="1">IFERROR(__xludf.DUMMYFUNCTION("""COMPUTED_VALUE"""),"Oriana Samaniego")</f>
        <v>Oriana Samaniego</v>
      </c>
      <c r="C419" s="109">
        <f ca="1">IFERROR(__xludf.DUMMYFUNCTION("""COMPUTED_VALUE"""),10)</f>
        <v>10</v>
      </c>
      <c r="D419" s="109" t="str">
        <f ca="1">IFERROR(__xludf.DUMMYFUNCTION("""COMPUTED_VALUE"""),"G")</f>
        <v>G</v>
      </c>
      <c r="E419" s="110" t="str">
        <f ca="1">IFERROR(__xludf.DUMMYFUNCTION("""COMPUTED_VALUE"""),"F")</f>
        <v>F</v>
      </c>
      <c r="F419" s="110" t="str">
        <f ca="1">IFERROR(__xludf.DUMMYFUNCTION("""COMPUTED_VALUE"""),"J")</f>
        <v>J</v>
      </c>
      <c r="G419" s="110">
        <f ca="1">IFERROR(__xludf.DUMMYFUNCTION("""COMPUTED_VALUE"""),1)</f>
        <v>1</v>
      </c>
      <c r="H419" s="112" t="str">
        <f ca="1"/>
        <v/>
      </c>
      <c r="I419" s="112" t="str">
        <f ca="1"/>
        <v/>
      </c>
    </row>
    <row r="420" spans="1:9" ht="13.2">
      <c r="A420" s="109" t="str">
        <f ca="1">IFERROR(__xludf.DUMMYFUNCTION("""COMPUTED_VALUE"""),"DL")</f>
        <v>DL</v>
      </c>
      <c r="B420" s="108" t="str">
        <f ca="1">IFERROR(__xludf.DUMMYFUNCTION("""COMPUTED_VALUE"""),"Quinn Baskett")</f>
        <v>Quinn Baskett</v>
      </c>
      <c r="C420" s="109">
        <f ca="1">IFERROR(__xludf.DUMMYFUNCTION("""COMPUTED_VALUE"""),10)</f>
        <v>10</v>
      </c>
      <c r="D420" s="109" t="str">
        <f ca="1">IFERROR(__xludf.DUMMYFUNCTION("""COMPUTED_VALUE"""),"G")</f>
        <v>G</v>
      </c>
      <c r="E420" s="110" t="str">
        <f ca="1">IFERROR(__xludf.DUMMYFUNCTION("""COMPUTED_VALUE"""),"F")</f>
        <v>F</v>
      </c>
      <c r="F420" s="110" t="str">
        <f ca="1">IFERROR(__xludf.DUMMYFUNCTION("""COMPUTED_VALUE"""),"J")</f>
        <v>J</v>
      </c>
      <c r="G420" s="110">
        <f ca="1">IFERROR(__xludf.DUMMYFUNCTION("""COMPUTED_VALUE"""),1)</f>
        <v>1</v>
      </c>
      <c r="H420" s="112" t="str">
        <f ca="1"/>
        <v/>
      </c>
      <c r="I420" s="112" t="str">
        <f ca="1"/>
        <v/>
      </c>
    </row>
    <row r="421" spans="1:9" ht="13.2">
      <c r="A421" s="109" t="str">
        <f ca="1">IFERROR(__xludf.DUMMYFUNCTION("""COMPUTED_VALUE"""),"DL")</f>
        <v>DL</v>
      </c>
      <c r="B421" s="108" t="str">
        <f ca="1">IFERROR(__xludf.DUMMYFUNCTION("""COMPUTED_VALUE"""),"Rafi Fernandez")</f>
        <v>Rafi Fernandez</v>
      </c>
      <c r="C421" s="109">
        <f ca="1">IFERROR(__xludf.DUMMYFUNCTION("""COMPUTED_VALUE"""),10)</f>
        <v>10</v>
      </c>
      <c r="D421" s="109" t="str">
        <f ca="1">IFERROR(__xludf.DUMMYFUNCTION("""COMPUTED_VALUE"""),"G")</f>
        <v>G</v>
      </c>
      <c r="E421" s="110" t="str">
        <f ca="1">IFERROR(__xludf.DUMMYFUNCTION("""COMPUTED_VALUE"""),"F")</f>
        <v>F</v>
      </c>
      <c r="F421" s="110" t="str">
        <f ca="1">IFERROR(__xludf.DUMMYFUNCTION("""COMPUTED_VALUE"""),"J")</f>
        <v>J</v>
      </c>
      <c r="G421" s="110">
        <f ca="1">IFERROR(__xludf.DUMMYFUNCTION("""COMPUTED_VALUE"""),1)</f>
        <v>1</v>
      </c>
      <c r="H421" s="112" t="str">
        <f ca="1"/>
        <v/>
      </c>
      <c r="I421" s="112" t="str">
        <f ca="1"/>
        <v/>
      </c>
    </row>
    <row r="422" spans="1:9" ht="13.2">
      <c r="A422" s="109" t="str">
        <f ca="1">IFERROR(__xludf.DUMMYFUNCTION("""COMPUTED_VALUE"""),"DL")</f>
        <v>DL</v>
      </c>
      <c r="B422" s="108" t="str">
        <f ca="1">IFERROR(__xludf.DUMMYFUNCTION("""COMPUTED_VALUE"""),"Sophie Al-Douri")</f>
        <v>Sophie Al-Douri</v>
      </c>
      <c r="C422" s="109">
        <f ca="1">IFERROR(__xludf.DUMMYFUNCTION("""COMPUTED_VALUE"""),8)</f>
        <v>8</v>
      </c>
      <c r="D422" s="109" t="str">
        <f ca="1">IFERROR(__xludf.DUMMYFUNCTION("""COMPUTED_VALUE"""),"G")</f>
        <v>G</v>
      </c>
      <c r="E422" s="110" t="str">
        <f ca="1">IFERROR(__xludf.DUMMYFUNCTION("""COMPUTED_VALUE"""),"F")</f>
        <v>F</v>
      </c>
      <c r="F422" s="110" t="str">
        <f ca="1">IFERROR(__xludf.DUMMYFUNCTION("""COMPUTED_VALUE"""),"J")</f>
        <v>J</v>
      </c>
      <c r="G422" s="110">
        <f ca="1">IFERROR(__xludf.DUMMYFUNCTION("""COMPUTED_VALUE"""),1)</f>
        <v>1</v>
      </c>
      <c r="H422" s="112" t="str">
        <f ca="1"/>
        <v/>
      </c>
      <c r="I422" s="112" t="str">
        <f ca="1"/>
        <v/>
      </c>
    </row>
    <row r="423" spans="1:9" ht="13.2">
      <c r="A423" s="109" t="str">
        <f ca="1">IFERROR(__xludf.DUMMYFUNCTION("""COMPUTED_VALUE"""),"DL")</f>
        <v>DL</v>
      </c>
      <c r="B423" s="108" t="str">
        <f ca="1">IFERROR(__xludf.DUMMYFUNCTION("""COMPUTED_VALUE"""),"Sydney Motyleski")</f>
        <v>Sydney Motyleski</v>
      </c>
      <c r="C423" s="109">
        <f ca="1">IFERROR(__xludf.DUMMYFUNCTION("""COMPUTED_VALUE"""),6)</f>
        <v>6</v>
      </c>
      <c r="D423" s="109" t="str">
        <f ca="1">IFERROR(__xludf.DUMMYFUNCTION("""COMPUTED_VALUE"""),"G")</f>
        <v>G</v>
      </c>
      <c r="E423" s="110" t="str">
        <f ca="1">IFERROR(__xludf.DUMMYFUNCTION("""COMPUTED_VALUE"""),"F")</f>
        <v>F</v>
      </c>
      <c r="F423" s="110" t="str">
        <f ca="1">IFERROR(__xludf.DUMMYFUNCTION("""COMPUTED_VALUE"""),"J")</f>
        <v>J</v>
      </c>
      <c r="G423" s="110">
        <f ca="1">IFERROR(__xludf.DUMMYFUNCTION("""COMPUTED_VALUE"""),1)</f>
        <v>1</v>
      </c>
      <c r="H423" s="112" t="str">
        <f ca="1"/>
        <v>25.5</v>
      </c>
      <c r="I423" s="112">
        <f ca="1"/>
        <v>25.5</v>
      </c>
    </row>
    <row r="424" spans="1:9" ht="13.2">
      <c r="A424" s="109" t="str">
        <f ca="1">IFERROR(__xludf.DUMMYFUNCTION("""COMPUTED_VALUE"""),"DL")</f>
        <v>DL</v>
      </c>
      <c r="B424" s="108" t="str">
        <f ca="1">IFERROR(__xludf.DUMMYFUNCTION("""COMPUTED_VALUE"""),"Sylee Gupta")</f>
        <v>Sylee Gupta</v>
      </c>
      <c r="C424" s="109">
        <f ca="1">IFERROR(__xludf.DUMMYFUNCTION("""COMPUTED_VALUE"""),8)</f>
        <v>8</v>
      </c>
      <c r="D424" s="109" t="str">
        <f ca="1">IFERROR(__xludf.DUMMYFUNCTION("""COMPUTED_VALUE"""),"G")</f>
        <v>G</v>
      </c>
      <c r="E424" s="110" t="str">
        <f ca="1">IFERROR(__xludf.DUMMYFUNCTION("""COMPUTED_VALUE"""),"F")</f>
        <v>F</v>
      </c>
      <c r="F424" s="110" t="str">
        <f ca="1">IFERROR(__xludf.DUMMYFUNCTION("""COMPUTED_VALUE"""),"J")</f>
        <v>J</v>
      </c>
      <c r="G424" s="110">
        <f ca="1">IFERROR(__xludf.DUMMYFUNCTION("""COMPUTED_VALUE"""),1)</f>
        <v>1</v>
      </c>
      <c r="H424" s="112" t="str">
        <f ca="1"/>
        <v/>
      </c>
      <c r="I424" s="112" t="str">
        <f ca="1"/>
        <v/>
      </c>
    </row>
    <row r="425" spans="1:9" ht="13.2">
      <c r="A425" s="109" t="str">
        <f ca="1">IFERROR(__xludf.DUMMYFUNCTION("""COMPUTED_VALUE"""),"DL")</f>
        <v>DL</v>
      </c>
      <c r="B425" s="108" t="str">
        <f ca="1">IFERROR(__xludf.DUMMYFUNCTION("""COMPUTED_VALUE"""),"Joey Loethen")</f>
        <v>Joey Loethen</v>
      </c>
      <c r="C425" s="109">
        <f ca="1">IFERROR(__xludf.DUMMYFUNCTION("""COMPUTED_VALUE"""),14)</f>
        <v>14</v>
      </c>
      <c r="D425" s="109" t="str">
        <f ca="1">IFERROR(__xludf.DUMMYFUNCTION("""COMPUTED_VALUE"""),"B")</f>
        <v>B</v>
      </c>
      <c r="E425" s="110" t="str">
        <f ca="1">IFERROR(__xludf.DUMMYFUNCTION("""COMPUTED_VALUE"""),"I")</f>
        <v>I</v>
      </c>
      <c r="F425" s="110" t="str">
        <f ca="1">IFERROR(__xludf.DUMMYFUNCTION("""COMPUTED_VALUE"""),"S")</f>
        <v>S</v>
      </c>
      <c r="G425" s="110">
        <f ca="1">IFERROR(__xludf.DUMMYFUNCTION("""COMPUTED_VALUE"""),1)</f>
        <v>1</v>
      </c>
      <c r="H425" s="112" t="str">
        <f ca="1"/>
        <v/>
      </c>
      <c r="I425" s="112" t="str">
        <f ca="1"/>
        <v/>
      </c>
    </row>
    <row r="426" spans="1:9" ht="13.2">
      <c r="A426" s="109" t="str">
        <f ca="1">IFERROR(__xludf.DUMMYFUNCTION("""COMPUTED_VALUE"""),"DL")</f>
        <v>DL</v>
      </c>
      <c r="B426" s="108" t="str">
        <f ca="1">IFERROR(__xludf.DUMMYFUNCTION("""COMPUTED_VALUE"""),"John Hatchl")</f>
        <v>John Hatchl</v>
      </c>
      <c r="C426" s="109">
        <f ca="1">IFERROR(__xludf.DUMMYFUNCTION("""COMPUTED_VALUE"""),14)</f>
        <v>14</v>
      </c>
      <c r="D426" s="109" t="str">
        <f ca="1">IFERROR(__xludf.DUMMYFUNCTION("""COMPUTED_VALUE"""),"B")</f>
        <v>B</v>
      </c>
      <c r="E426" s="110" t="str">
        <f ca="1">IFERROR(__xludf.DUMMYFUNCTION("""COMPUTED_VALUE"""),"I")</f>
        <v>I</v>
      </c>
      <c r="F426" s="110" t="str">
        <f ca="1">IFERROR(__xludf.DUMMYFUNCTION("""COMPUTED_VALUE"""),"S")</f>
        <v>S</v>
      </c>
      <c r="G426" s="110">
        <f ca="1">IFERROR(__xludf.DUMMYFUNCTION("""COMPUTED_VALUE"""),1)</f>
        <v>1</v>
      </c>
      <c r="H426" s="112" t="str">
        <f ca="1"/>
        <v/>
      </c>
      <c r="I426" s="112" t="str">
        <f ca="1"/>
        <v/>
      </c>
    </row>
    <row r="427" spans="1:9" ht="13.2">
      <c r="A427" s="109" t="str">
        <f ca="1">IFERROR(__xludf.DUMMYFUNCTION("""COMPUTED_VALUE"""),"DL")</f>
        <v>DL</v>
      </c>
      <c r="B427" s="108" t="str">
        <f ca="1">IFERROR(__xludf.DUMMYFUNCTION("""COMPUTED_VALUE"""),"Kyle Ratner")</f>
        <v>Kyle Ratner</v>
      </c>
      <c r="C427" s="109">
        <f ca="1">IFERROR(__xludf.DUMMYFUNCTION("""COMPUTED_VALUE"""),13)</f>
        <v>13</v>
      </c>
      <c r="D427" s="109" t="str">
        <f ca="1">IFERROR(__xludf.DUMMYFUNCTION("""COMPUTED_VALUE"""),"B")</f>
        <v>B</v>
      </c>
      <c r="E427" s="110" t="str">
        <f ca="1">IFERROR(__xludf.DUMMYFUNCTION("""COMPUTED_VALUE"""),"I")</f>
        <v>I</v>
      </c>
      <c r="F427" s="110" t="str">
        <f ca="1">IFERROR(__xludf.DUMMYFUNCTION("""COMPUTED_VALUE"""),"S")</f>
        <v>S</v>
      </c>
      <c r="G427" s="110">
        <f ca="1">IFERROR(__xludf.DUMMYFUNCTION("""COMPUTED_VALUE"""),1)</f>
        <v>1</v>
      </c>
      <c r="H427" s="112" t="str">
        <f ca="1"/>
        <v/>
      </c>
      <c r="I427" s="112" t="str">
        <f ca="1"/>
        <v/>
      </c>
    </row>
    <row r="428" spans="1:9" ht="13.2">
      <c r="A428" s="109" t="str">
        <f ca="1">IFERROR(__xludf.DUMMYFUNCTION("""COMPUTED_VALUE"""),"DL")</f>
        <v>DL</v>
      </c>
      <c r="B428" s="108" t="str">
        <f ca="1">IFERROR(__xludf.DUMMYFUNCTION("""COMPUTED_VALUE"""),"Mike DeSando")</f>
        <v>Mike DeSando</v>
      </c>
      <c r="C428" s="109">
        <f ca="1">IFERROR(__xludf.DUMMYFUNCTION("""COMPUTED_VALUE"""),13)</f>
        <v>13</v>
      </c>
      <c r="D428" s="109" t="str">
        <f ca="1">IFERROR(__xludf.DUMMYFUNCTION("""COMPUTED_VALUE"""),"B")</f>
        <v>B</v>
      </c>
      <c r="E428" s="110" t="str">
        <f ca="1">IFERROR(__xludf.DUMMYFUNCTION("""COMPUTED_VALUE"""),"I")</f>
        <v>I</v>
      </c>
      <c r="F428" s="110" t="str">
        <f ca="1">IFERROR(__xludf.DUMMYFUNCTION("""COMPUTED_VALUE"""),"S")</f>
        <v>S</v>
      </c>
      <c r="G428" s="110">
        <f ca="1">IFERROR(__xludf.DUMMYFUNCTION("""COMPUTED_VALUE"""),1)</f>
        <v>1</v>
      </c>
      <c r="H428" s="112" t="str">
        <f ca="1"/>
        <v/>
      </c>
      <c r="I428" s="112" t="str">
        <f ca="1"/>
        <v/>
      </c>
    </row>
    <row r="429" spans="1:9" ht="13.2">
      <c r="A429" s="109" t="str">
        <f ca="1">IFERROR(__xludf.DUMMYFUNCTION("""COMPUTED_VALUE"""),"DL")</f>
        <v>DL</v>
      </c>
      <c r="B429" s="108" t="str">
        <f ca="1">IFERROR(__xludf.DUMMYFUNCTION("""COMPUTED_VALUE"""),"Ashley Scinto")</f>
        <v>Ashley Scinto</v>
      </c>
      <c r="C429" s="109">
        <f ca="1">IFERROR(__xludf.DUMMYFUNCTION("""COMPUTED_VALUE"""),14)</f>
        <v>14</v>
      </c>
      <c r="D429" s="109" t="str">
        <f ca="1">IFERROR(__xludf.DUMMYFUNCTION("""COMPUTED_VALUE"""),"G")</f>
        <v>G</v>
      </c>
      <c r="E429" s="110" t="str">
        <f ca="1">IFERROR(__xludf.DUMMYFUNCTION("""COMPUTED_VALUE"""),"I")</f>
        <v>I</v>
      </c>
      <c r="F429" s="110" t="str">
        <f ca="1">IFERROR(__xludf.DUMMYFUNCTION("""COMPUTED_VALUE"""),"S")</f>
        <v>S</v>
      </c>
      <c r="G429" s="110">
        <f ca="1">IFERROR(__xludf.DUMMYFUNCTION("""COMPUTED_VALUE"""),1)</f>
        <v>1</v>
      </c>
      <c r="H429" s="112" t="str">
        <f ca="1"/>
        <v/>
      </c>
      <c r="I429" s="112" t="str">
        <f ca="1"/>
        <v/>
      </c>
    </row>
    <row r="430" spans="1:9" ht="13.2">
      <c r="A430" s="109" t="str">
        <f ca="1">IFERROR(__xludf.DUMMYFUNCTION("""COMPUTED_VALUE"""),"DL")</f>
        <v>DL</v>
      </c>
      <c r="B430" s="108" t="str">
        <f ca="1">IFERROR(__xludf.DUMMYFUNCTION("""COMPUTED_VALUE"""),"Audrey Burns")</f>
        <v>Audrey Burns</v>
      </c>
      <c r="C430" s="109">
        <f ca="1">IFERROR(__xludf.DUMMYFUNCTION("""COMPUTED_VALUE"""),13)</f>
        <v>13</v>
      </c>
      <c r="D430" s="109" t="str">
        <f ca="1">IFERROR(__xludf.DUMMYFUNCTION("""COMPUTED_VALUE"""),"G")</f>
        <v>G</v>
      </c>
      <c r="E430" s="110" t="str">
        <f ca="1">IFERROR(__xludf.DUMMYFUNCTION("""COMPUTED_VALUE"""),"I")</f>
        <v>I</v>
      </c>
      <c r="F430" s="110" t="str">
        <f ca="1">IFERROR(__xludf.DUMMYFUNCTION("""COMPUTED_VALUE"""),"S")</f>
        <v>S</v>
      </c>
      <c r="G430" s="110">
        <f ca="1">IFERROR(__xludf.DUMMYFUNCTION("""COMPUTED_VALUE"""),1)</f>
        <v>1</v>
      </c>
      <c r="H430" s="112" t="str">
        <f ca="1"/>
        <v/>
      </c>
      <c r="I430" s="81" t="str">
        <f ca="1"/>
        <v/>
      </c>
    </row>
    <row r="431" spans="1:9" ht="13.2">
      <c r="A431" s="109" t="str">
        <f ca="1">IFERROR(__xludf.DUMMYFUNCTION("""COMPUTED_VALUE"""),"DL")</f>
        <v>DL</v>
      </c>
      <c r="B431" s="108" t="str">
        <f ca="1">IFERROR(__xludf.DUMMYFUNCTION("""COMPUTED_VALUE"""),"Lennon Brucker")</f>
        <v>Lennon Brucker</v>
      </c>
      <c r="C431" s="109">
        <f ca="1">IFERROR(__xludf.DUMMYFUNCTION("""COMPUTED_VALUE"""),13)</f>
        <v>13</v>
      </c>
      <c r="D431" s="109" t="str">
        <f ca="1">IFERROR(__xludf.DUMMYFUNCTION("""COMPUTED_VALUE"""),"G")</f>
        <v>G</v>
      </c>
      <c r="E431" s="110" t="str">
        <f ca="1">IFERROR(__xludf.DUMMYFUNCTION("""COMPUTED_VALUE"""),"I")</f>
        <v>I</v>
      </c>
      <c r="F431" s="110" t="str">
        <f ca="1">IFERROR(__xludf.DUMMYFUNCTION("""COMPUTED_VALUE"""),"S")</f>
        <v>S</v>
      </c>
      <c r="G431" s="110">
        <f ca="1">IFERROR(__xludf.DUMMYFUNCTION("""COMPUTED_VALUE"""),1)</f>
        <v>1</v>
      </c>
      <c r="H431" s="112" t="str">
        <f ca="1"/>
        <v/>
      </c>
      <c r="I431" s="112" t="str">
        <f ca="1"/>
        <v/>
      </c>
    </row>
    <row r="432" spans="1:9" ht="13.2">
      <c r="A432" s="109" t="str">
        <f ca="1">IFERROR(__xludf.DUMMYFUNCTION("""COMPUTED_VALUE"""),"DL")</f>
        <v>DL</v>
      </c>
      <c r="B432" s="108" t="str">
        <f ca="1">IFERROR(__xludf.DUMMYFUNCTION("""COMPUTED_VALUE"""),"Millie Vanstory")</f>
        <v>Millie Vanstory</v>
      </c>
      <c r="C432" s="109">
        <f ca="1">IFERROR(__xludf.DUMMYFUNCTION("""COMPUTED_VALUE"""),13)</f>
        <v>13</v>
      </c>
      <c r="D432" s="109" t="str">
        <f ca="1">IFERROR(__xludf.DUMMYFUNCTION("""COMPUTED_VALUE"""),"G")</f>
        <v>G</v>
      </c>
      <c r="E432" s="110" t="str">
        <f ca="1">IFERROR(__xludf.DUMMYFUNCTION("""COMPUTED_VALUE"""),"I")</f>
        <v>I</v>
      </c>
      <c r="F432" s="110" t="str">
        <f ca="1">IFERROR(__xludf.DUMMYFUNCTION("""COMPUTED_VALUE"""),"S")</f>
        <v>S</v>
      </c>
      <c r="G432" s="110">
        <f ca="1">IFERROR(__xludf.DUMMYFUNCTION("""COMPUTED_VALUE"""),1)</f>
        <v>1</v>
      </c>
      <c r="H432" s="112" t="str">
        <f ca="1"/>
        <v/>
      </c>
      <c r="I432" s="112" t="str">
        <f ca="1"/>
        <v/>
      </c>
    </row>
    <row r="433" spans="1:9" ht="13.2">
      <c r="A433" s="109" t="str">
        <f ca="1">IFERROR(__xludf.DUMMYFUNCTION("""COMPUTED_VALUE"""),"DL")</f>
        <v>DL</v>
      </c>
      <c r="B433" s="108" t="str">
        <f ca="1">IFERROR(__xludf.DUMMYFUNCTION("""COMPUTED_VALUE"""),"Ronica Krishnan")</f>
        <v>Ronica Krishnan</v>
      </c>
      <c r="C433" s="109">
        <f ca="1">IFERROR(__xludf.DUMMYFUNCTION("""COMPUTED_VALUE"""),13)</f>
        <v>13</v>
      </c>
      <c r="D433" s="109" t="str">
        <f ca="1">IFERROR(__xludf.DUMMYFUNCTION("""COMPUTED_VALUE"""),"G")</f>
        <v>G</v>
      </c>
      <c r="E433" s="110" t="str">
        <f ca="1">IFERROR(__xludf.DUMMYFUNCTION("""COMPUTED_VALUE"""),"I")</f>
        <v>I</v>
      </c>
      <c r="F433" s="110" t="str">
        <f ca="1">IFERROR(__xludf.DUMMYFUNCTION("""COMPUTED_VALUE"""),"S")</f>
        <v>S</v>
      </c>
      <c r="G433" s="110">
        <f ca="1">IFERROR(__xludf.DUMMYFUNCTION("""COMPUTED_VALUE"""),1)</f>
        <v>1</v>
      </c>
      <c r="H433" s="112" t="str">
        <f ca="1"/>
        <v/>
      </c>
      <c r="I433" s="81" t="str">
        <f ca="1"/>
        <v/>
      </c>
    </row>
    <row r="434" spans="1:9" ht="13.2">
      <c r="A434" s="109" t="str">
        <f ca="1">IFERROR(__xludf.DUMMYFUNCTION("""COMPUTED_VALUE"""),"DL")</f>
        <v>DL</v>
      </c>
      <c r="B434" s="108" t="str">
        <f ca="1">IFERROR(__xludf.DUMMYFUNCTION("""COMPUTED_VALUE"""),"Sophia Khan")</f>
        <v>Sophia Khan</v>
      </c>
      <c r="C434" s="109">
        <f ca="1">IFERROR(__xludf.DUMMYFUNCTION("""COMPUTED_VALUE"""),13)</f>
        <v>13</v>
      </c>
      <c r="D434" s="109" t="str">
        <f ca="1">IFERROR(__xludf.DUMMYFUNCTION("""COMPUTED_VALUE"""),"G")</f>
        <v>G</v>
      </c>
      <c r="E434" s="110" t="str">
        <f ca="1">IFERROR(__xludf.DUMMYFUNCTION("""COMPUTED_VALUE"""),"I")</f>
        <v>I</v>
      </c>
      <c r="F434" s="110" t="str">
        <f ca="1">IFERROR(__xludf.DUMMYFUNCTION("""COMPUTED_VALUE"""),"S")</f>
        <v>S</v>
      </c>
      <c r="G434" s="110">
        <f ca="1">IFERROR(__xludf.DUMMYFUNCTION("""COMPUTED_VALUE"""),1)</f>
        <v>1</v>
      </c>
      <c r="H434" s="112" t="str">
        <f ca="1"/>
        <v/>
      </c>
      <c r="I434" s="112" t="str">
        <f ca="1"/>
        <v/>
      </c>
    </row>
    <row r="435" spans="1:9" ht="13.2">
      <c r="A435" s="109" t="str">
        <f ca="1">IFERROR(__xludf.DUMMYFUNCTION("""COMPUTED_VALUE"""),"DL")</f>
        <v>DL</v>
      </c>
      <c r="B435" s="108" t="str">
        <f ca="1">IFERROR(__xludf.DUMMYFUNCTION("""COMPUTED_VALUE"""),"andre Smallcorn")</f>
        <v>andre Smallcorn</v>
      </c>
      <c r="C435" s="109">
        <f ca="1">IFERROR(__xludf.DUMMYFUNCTION("""COMPUTED_VALUE"""),12)</f>
        <v>12</v>
      </c>
      <c r="D435" s="109" t="str">
        <f ca="1">IFERROR(__xludf.DUMMYFUNCTION("""COMPUTED_VALUE"""),"B")</f>
        <v>B</v>
      </c>
      <c r="E435" s="110" t="str">
        <f ca="1">IFERROR(__xludf.DUMMYFUNCTION("""COMPUTED_VALUE"""),"J")</f>
        <v>J</v>
      </c>
      <c r="F435" s="110" t="str">
        <f ca="1">IFERROR(__xludf.DUMMYFUNCTION("""COMPUTED_VALUE"""),"I")</f>
        <v>I</v>
      </c>
      <c r="G435" s="110">
        <f ca="1">IFERROR(__xludf.DUMMYFUNCTION("""COMPUTED_VALUE"""),1)</f>
        <v>1</v>
      </c>
      <c r="H435" s="112" t="str">
        <f ca="1"/>
        <v/>
      </c>
      <c r="I435" s="112" t="str">
        <f ca="1"/>
        <v/>
      </c>
    </row>
    <row r="436" spans="1:9" ht="13.2">
      <c r="A436" s="109" t="str">
        <f ca="1">IFERROR(__xludf.DUMMYFUNCTION("""COMPUTED_VALUE"""),"DL")</f>
        <v>DL</v>
      </c>
      <c r="B436" s="108" t="str">
        <f ca="1">IFERROR(__xludf.DUMMYFUNCTION("""COMPUTED_VALUE"""),"Elliott Lam")</f>
        <v>Elliott Lam</v>
      </c>
      <c r="C436" s="109">
        <f ca="1">IFERROR(__xludf.DUMMYFUNCTION("""COMPUTED_VALUE"""),12)</f>
        <v>12</v>
      </c>
      <c r="D436" s="109" t="str">
        <f ca="1">IFERROR(__xludf.DUMMYFUNCTION("""COMPUTED_VALUE"""),"B")</f>
        <v>B</v>
      </c>
      <c r="E436" s="110" t="str">
        <f ca="1">IFERROR(__xludf.DUMMYFUNCTION("""COMPUTED_VALUE"""),"J")</f>
        <v>J</v>
      </c>
      <c r="F436" s="110" t="str">
        <f ca="1">IFERROR(__xludf.DUMMYFUNCTION("""COMPUTED_VALUE"""),"I")</f>
        <v>I</v>
      </c>
      <c r="G436" s="110">
        <f ca="1">IFERROR(__xludf.DUMMYFUNCTION("""COMPUTED_VALUE"""),1)</f>
        <v>1</v>
      </c>
      <c r="H436" s="112" t="str">
        <f ca="1"/>
        <v/>
      </c>
      <c r="I436" s="81" t="str">
        <f ca="1"/>
        <v/>
      </c>
    </row>
    <row r="437" spans="1:9" ht="13.2">
      <c r="A437" s="109" t="str">
        <f ca="1">IFERROR(__xludf.DUMMYFUNCTION("""COMPUTED_VALUE"""),"DL")</f>
        <v>DL</v>
      </c>
      <c r="B437" s="108" t="str">
        <f ca="1">IFERROR(__xludf.DUMMYFUNCTION("""COMPUTED_VALUE"""),"Joshua Taliaferro")</f>
        <v>Joshua Taliaferro</v>
      </c>
      <c r="C437" s="109">
        <f ca="1">IFERROR(__xludf.DUMMYFUNCTION("""COMPUTED_VALUE"""),12)</f>
        <v>12</v>
      </c>
      <c r="D437" s="109" t="str">
        <f ca="1">IFERROR(__xludf.DUMMYFUNCTION("""COMPUTED_VALUE"""),"B")</f>
        <v>B</v>
      </c>
      <c r="E437" s="110" t="str">
        <f ca="1">IFERROR(__xludf.DUMMYFUNCTION("""COMPUTED_VALUE"""),"J")</f>
        <v>J</v>
      </c>
      <c r="F437" s="110" t="str">
        <f ca="1">IFERROR(__xludf.DUMMYFUNCTION("""COMPUTED_VALUE"""),"I")</f>
        <v>I</v>
      </c>
      <c r="G437" s="110">
        <f ca="1">IFERROR(__xludf.DUMMYFUNCTION("""COMPUTED_VALUE"""),1)</f>
        <v>1</v>
      </c>
      <c r="H437" s="112" t="str">
        <f ca="1"/>
        <v/>
      </c>
      <c r="I437" s="81" t="str">
        <f ca="1"/>
        <v/>
      </c>
    </row>
    <row r="438" spans="1:9" ht="13.2">
      <c r="A438" s="109" t="str">
        <f ca="1">IFERROR(__xludf.DUMMYFUNCTION("""COMPUTED_VALUE"""),"DL")</f>
        <v>DL</v>
      </c>
      <c r="B438" s="108" t="str">
        <f ca="1">IFERROR(__xludf.DUMMYFUNCTION("""COMPUTED_VALUE"""),"Lee Vanstory")</f>
        <v>Lee Vanstory</v>
      </c>
      <c r="C438" s="109">
        <f ca="1">IFERROR(__xludf.DUMMYFUNCTION("""COMPUTED_VALUE"""),12)</f>
        <v>12</v>
      </c>
      <c r="D438" s="109" t="str">
        <f ca="1">IFERROR(__xludf.DUMMYFUNCTION("""COMPUTED_VALUE"""),"B")</f>
        <v>B</v>
      </c>
      <c r="E438" s="110" t="str">
        <f ca="1">IFERROR(__xludf.DUMMYFUNCTION("""COMPUTED_VALUE"""),"J")</f>
        <v>J</v>
      </c>
      <c r="F438" s="110" t="str">
        <f ca="1">IFERROR(__xludf.DUMMYFUNCTION("""COMPUTED_VALUE"""),"I")</f>
        <v>I</v>
      </c>
      <c r="G438" s="110">
        <f ca="1">IFERROR(__xludf.DUMMYFUNCTION("""COMPUTED_VALUE"""),1)</f>
        <v>1</v>
      </c>
      <c r="H438" s="112" t="str">
        <f ca="1"/>
        <v/>
      </c>
      <c r="I438" s="112" t="str">
        <f ca="1"/>
        <v/>
      </c>
    </row>
    <row r="439" spans="1:9" ht="13.2">
      <c r="A439" s="109" t="str">
        <f ca="1">IFERROR(__xludf.DUMMYFUNCTION("""COMPUTED_VALUE"""),"DL")</f>
        <v>DL</v>
      </c>
      <c r="B439" s="108" t="str">
        <f ca="1">IFERROR(__xludf.DUMMYFUNCTION("""COMPUTED_VALUE"""),"Lex Brucker")</f>
        <v>Lex Brucker</v>
      </c>
      <c r="C439" s="109">
        <f ca="1">IFERROR(__xludf.DUMMYFUNCTION("""COMPUTED_VALUE"""),11)</f>
        <v>11</v>
      </c>
      <c r="D439" s="109" t="str">
        <f ca="1">IFERROR(__xludf.DUMMYFUNCTION("""COMPUTED_VALUE"""),"B")</f>
        <v>B</v>
      </c>
      <c r="E439" s="110" t="str">
        <f ca="1">IFERROR(__xludf.DUMMYFUNCTION("""COMPUTED_VALUE"""),"J")</f>
        <v>J</v>
      </c>
      <c r="F439" s="110" t="str">
        <f ca="1">IFERROR(__xludf.DUMMYFUNCTION("""COMPUTED_VALUE"""),"I")</f>
        <v>I</v>
      </c>
      <c r="G439" s="110">
        <f ca="1">IFERROR(__xludf.DUMMYFUNCTION("""COMPUTED_VALUE"""),1)</f>
        <v>1</v>
      </c>
      <c r="H439" s="112" t="str">
        <f ca="1"/>
        <v/>
      </c>
      <c r="I439" s="81" t="str">
        <f ca="1"/>
        <v/>
      </c>
    </row>
    <row r="440" spans="1:9" ht="13.2">
      <c r="A440" s="109" t="str">
        <f ca="1">IFERROR(__xludf.DUMMYFUNCTION("""COMPUTED_VALUE"""),"DL")</f>
        <v>DL</v>
      </c>
      <c r="B440" s="108" t="str">
        <f ca="1">IFERROR(__xludf.DUMMYFUNCTION("""COMPUTED_VALUE"""),"Owen Koch")</f>
        <v>Owen Koch</v>
      </c>
      <c r="C440" s="109">
        <f ca="1">IFERROR(__xludf.DUMMYFUNCTION("""COMPUTED_VALUE"""),11)</f>
        <v>11</v>
      </c>
      <c r="D440" s="109" t="str">
        <f ca="1">IFERROR(__xludf.DUMMYFUNCTION("""COMPUTED_VALUE"""),"B")</f>
        <v>B</v>
      </c>
      <c r="E440" s="110" t="str">
        <f ca="1">IFERROR(__xludf.DUMMYFUNCTION("""COMPUTED_VALUE"""),"J")</f>
        <v>J</v>
      </c>
      <c r="F440" s="110" t="str">
        <f ca="1">IFERROR(__xludf.DUMMYFUNCTION("""COMPUTED_VALUE"""),"I")</f>
        <v>I</v>
      </c>
      <c r="G440" s="110">
        <f ca="1">IFERROR(__xludf.DUMMYFUNCTION("""COMPUTED_VALUE"""),1)</f>
        <v>1</v>
      </c>
      <c r="H440" s="112" t="str">
        <f ca="1"/>
        <v/>
      </c>
      <c r="I440" s="112" t="str">
        <f ca="1"/>
        <v/>
      </c>
    </row>
    <row r="441" spans="1:9" ht="13.2">
      <c r="A441" s="109" t="str">
        <f ca="1">IFERROR(__xludf.DUMMYFUNCTION("""COMPUTED_VALUE"""),"DL")</f>
        <v>DL</v>
      </c>
      <c r="B441" s="108" t="str">
        <f ca="1">IFERROR(__xludf.DUMMYFUNCTION("""COMPUTED_VALUE"""),"Peter Beatty")</f>
        <v>Peter Beatty</v>
      </c>
      <c r="C441" s="109">
        <f ca="1">IFERROR(__xludf.DUMMYFUNCTION("""COMPUTED_VALUE"""),11)</f>
        <v>11</v>
      </c>
      <c r="D441" s="109" t="str">
        <f ca="1">IFERROR(__xludf.DUMMYFUNCTION("""COMPUTED_VALUE"""),"B")</f>
        <v>B</v>
      </c>
      <c r="E441" s="110" t="str">
        <f ca="1">IFERROR(__xludf.DUMMYFUNCTION("""COMPUTED_VALUE"""),"J")</f>
        <v>J</v>
      </c>
      <c r="F441" s="110" t="str">
        <f ca="1">IFERROR(__xludf.DUMMYFUNCTION("""COMPUTED_VALUE"""),"I")</f>
        <v>I</v>
      </c>
      <c r="G441" s="110">
        <f ca="1">IFERROR(__xludf.DUMMYFUNCTION("""COMPUTED_VALUE"""),1)</f>
        <v>1</v>
      </c>
      <c r="H441" s="112" t="str">
        <f ca="1"/>
        <v/>
      </c>
      <c r="I441" s="81" t="str">
        <f ca="1"/>
        <v/>
      </c>
    </row>
    <row r="442" spans="1:9" ht="13.2">
      <c r="A442" s="109" t="str">
        <f ca="1">IFERROR(__xludf.DUMMYFUNCTION("""COMPUTED_VALUE"""),"DL")</f>
        <v>DL</v>
      </c>
      <c r="B442" s="108" t="str">
        <f ca="1">IFERROR(__xludf.DUMMYFUNCTION("""COMPUTED_VALUE"""),"Peyton Reed")</f>
        <v>Peyton Reed</v>
      </c>
      <c r="C442" s="109">
        <f ca="1">IFERROR(__xludf.DUMMYFUNCTION("""COMPUTED_VALUE"""),11)</f>
        <v>11</v>
      </c>
      <c r="D442" s="109" t="str">
        <f ca="1">IFERROR(__xludf.DUMMYFUNCTION("""COMPUTED_VALUE"""),"B")</f>
        <v>B</v>
      </c>
      <c r="E442" s="110" t="str">
        <f ca="1">IFERROR(__xludf.DUMMYFUNCTION("""COMPUTED_VALUE"""),"J")</f>
        <v>J</v>
      </c>
      <c r="F442" s="110" t="str">
        <f ca="1">IFERROR(__xludf.DUMMYFUNCTION("""COMPUTED_VALUE"""),"I")</f>
        <v>I</v>
      </c>
      <c r="G442" s="110">
        <f ca="1">IFERROR(__xludf.DUMMYFUNCTION("""COMPUTED_VALUE"""),1)</f>
        <v>1</v>
      </c>
      <c r="H442" s="112" t="str">
        <f ca="1"/>
        <v/>
      </c>
      <c r="I442" s="112" t="str">
        <f ca="1"/>
        <v/>
      </c>
    </row>
    <row r="443" spans="1:9" ht="13.2">
      <c r="A443" s="109" t="str">
        <f ca="1">IFERROR(__xludf.DUMMYFUNCTION("""COMPUTED_VALUE"""),"DL")</f>
        <v>DL</v>
      </c>
      <c r="B443" s="108" t="str">
        <f ca="1">IFERROR(__xludf.DUMMYFUNCTION("""COMPUTED_VALUE"""),"Reid Woltman")</f>
        <v>Reid Woltman</v>
      </c>
      <c r="C443" s="109">
        <f ca="1">IFERROR(__xludf.DUMMYFUNCTION("""COMPUTED_VALUE"""),11)</f>
        <v>11</v>
      </c>
      <c r="D443" s="109" t="str">
        <f ca="1">IFERROR(__xludf.DUMMYFUNCTION("""COMPUTED_VALUE"""),"B")</f>
        <v>B</v>
      </c>
      <c r="E443" s="110" t="str">
        <f ca="1">IFERROR(__xludf.DUMMYFUNCTION("""COMPUTED_VALUE"""),"J")</f>
        <v>J</v>
      </c>
      <c r="F443" s="110" t="str">
        <f ca="1">IFERROR(__xludf.DUMMYFUNCTION("""COMPUTED_VALUE"""),"I")</f>
        <v>I</v>
      </c>
      <c r="G443" s="110">
        <f ca="1">IFERROR(__xludf.DUMMYFUNCTION("""COMPUTED_VALUE"""),1)</f>
        <v>1</v>
      </c>
      <c r="H443" s="112" t="str">
        <f ca="1"/>
        <v/>
      </c>
      <c r="I443" s="112" t="str">
        <f ca="1"/>
        <v/>
      </c>
    </row>
    <row r="444" spans="1:9" ht="13.2">
      <c r="A444" s="109" t="str">
        <f ca="1">IFERROR(__xludf.DUMMYFUNCTION("""COMPUTED_VALUE"""),"DL")</f>
        <v>DL</v>
      </c>
      <c r="B444" s="108" t="str">
        <f ca="1">IFERROR(__xludf.DUMMYFUNCTION("""COMPUTED_VALUE"""),"Sam Himmel")</f>
        <v>Sam Himmel</v>
      </c>
      <c r="C444" s="109">
        <f ca="1">IFERROR(__xludf.DUMMYFUNCTION("""COMPUTED_VALUE"""),11)</f>
        <v>11</v>
      </c>
      <c r="D444" s="109" t="str">
        <f ca="1">IFERROR(__xludf.DUMMYFUNCTION("""COMPUTED_VALUE"""),"B")</f>
        <v>B</v>
      </c>
      <c r="E444" s="110" t="str">
        <f ca="1">IFERROR(__xludf.DUMMYFUNCTION("""COMPUTED_VALUE"""),"J")</f>
        <v>J</v>
      </c>
      <c r="F444" s="110" t="str">
        <f ca="1">IFERROR(__xludf.DUMMYFUNCTION("""COMPUTED_VALUE"""),"I")</f>
        <v>I</v>
      </c>
      <c r="G444" s="110">
        <f ca="1">IFERROR(__xludf.DUMMYFUNCTION("""COMPUTED_VALUE"""),1)</f>
        <v>1</v>
      </c>
      <c r="H444" s="112" t="str">
        <f ca="1"/>
        <v/>
      </c>
      <c r="I444" s="112" t="str">
        <f ca="1"/>
        <v/>
      </c>
    </row>
    <row r="445" spans="1:9" ht="13.2">
      <c r="A445" s="109" t="str">
        <f ca="1">IFERROR(__xludf.DUMMYFUNCTION("""COMPUTED_VALUE"""),"DL")</f>
        <v>DL</v>
      </c>
      <c r="B445" s="108" t="str">
        <f ca="1">IFERROR(__xludf.DUMMYFUNCTION("""COMPUTED_VALUE"""),"Sean Esen")</f>
        <v>Sean Esen</v>
      </c>
      <c r="C445" s="109">
        <f ca="1">IFERROR(__xludf.DUMMYFUNCTION("""COMPUTED_VALUE"""),12)</f>
        <v>12</v>
      </c>
      <c r="D445" s="109" t="str">
        <f ca="1">IFERROR(__xludf.DUMMYFUNCTION("""COMPUTED_VALUE"""),"B")</f>
        <v>B</v>
      </c>
      <c r="E445" s="110" t="str">
        <f ca="1">IFERROR(__xludf.DUMMYFUNCTION("""COMPUTED_VALUE"""),"J")</f>
        <v>J</v>
      </c>
      <c r="F445" s="110" t="str">
        <f ca="1">IFERROR(__xludf.DUMMYFUNCTION("""COMPUTED_VALUE"""),"I")</f>
        <v>I</v>
      </c>
      <c r="G445" s="110">
        <f ca="1">IFERROR(__xludf.DUMMYFUNCTION("""COMPUTED_VALUE"""),1)</f>
        <v>1</v>
      </c>
      <c r="H445" s="112" t="str">
        <f ca="1"/>
        <v/>
      </c>
      <c r="I445" s="81" t="str">
        <f ca="1"/>
        <v/>
      </c>
    </row>
    <row r="446" spans="1:9" ht="13.2">
      <c r="A446" s="109" t="str">
        <f ca="1">IFERROR(__xludf.DUMMYFUNCTION("""COMPUTED_VALUE"""),"DL")</f>
        <v>DL</v>
      </c>
      <c r="B446" s="108" t="str">
        <f ca="1">IFERROR(__xludf.DUMMYFUNCTION("""COMPUTED_VALUE"""),"Will Depaz")</f>
        <v>Will Depaz</v>
      </c>
      <c r="C446" s="109">
        <f ca="1">IFERROR(__xludf.DUMMYFUNCTION("""COMPUTED_VALUE"""),12)</f>
        <v>12</v>
      </c>
      <c r="D446" s="109" t="str">
        <f ca="1">IFERROR(__xludf.DUMMYFUNCTION("""COMPUTED_VALUE"""),"B")</f>
        <v>B</v>
      </c>
      <c r="E446" s="110" t="str">
        <f ca="1">IFERROR(__xludf.DUMMYFUNCTION("""COMPUTED_VALUE"""),"J")</f>
        <v>J</v>
      </c>
      <c r="F446" s="110" t="str">
        <f ca="1">IFERROR(__xludf.DUMMYFUNCTION("""COMPUTED_VALUE"""),"I")</f>
        <v>I</v>
      </c>
      <c r="G446" s="110">
        <f ca="1">IFERROR(__xludf.DUMMYFUNCTION("""COMPUTED_VALUE"""),1)</f>
        <v>1</v>
      </c>
      <c r="H446" s="112" t="str">
        <f ca="1"/>
        <v/>
      </c>
      <c r="I446" s="112" t="str">
        <f ca="1"/>
        <v/>
      </c>
    </row>
    <row r="447" spans="1:9" ht="13.2">
      <c r="A447" s="109" t="str">
        <f ca="1">IFERROR(__xludf.DUMMYFUNCTION("""COMPUTED_VALUE"""),"DL")</f>
        <v>DL</v>
      </c>
      <c r="B447" s="108" t="str">
        <f ca="1">IFERROR(__xludf.DUMMYFUNCTION("""COMPUTED_VALUE"""),"Allison Rokita")</f>
        <v>Allison Rokita</v>
      </c>
      <c r="C447" s="109">
        <f ca="1">IFERROR(__xludf.DUMMYFUNCTION("""COMPUTED_VALUE"""),12)</f>
        <v>12</v>
      </c>
      <c r="D447" s="109" t="str">
        <f ca="1">IFERROR(__xludf.DUMMYFUNCTION("""COMPUTED_VALUE"""),"G")</f>
        <v>G</v>
      </c>
      <c r="E447" s="110" t="str">
        <f ca="1">IFERROR(__xludf.DUMMYFUNCTION("""COMPUTED_VALUE"""),"J")</f>
        <v>J</v>
      </c>
      <c r="F447" s="110" t="str">
        <f ca="1">IFERROR(__xludf.DUMMYFUNCTION("""COMPUTED_VALUE"""),"I")</f>
        <v>I</v>
      </c>
      <c r="G447" s="110">
        <f ca="1">IFERROR(__xludf.DUMMYFUNCTION("""COMPUTED_VALUE"""),1)</f>
        <v>1</v>
      </c>
      <c r="H447" s="112" t="str">
        <f ca="1"/>
        <v/>
      </c>
      <c r="I447" s="112" t="str">
        <f ca="1"/>
        <v/>
      </c>
    </row>
    <row r="448" spans="1:9" ht="13.2">
      <c r="A448" s="109" t="str">
        <f ca="1">IFERROR(__xludf.DUMMYFUNCTION("""COMPUTED_VALUE"""),"DL")</f>
        <v>DL</v>
      </c>
      <c r="B448" s="108" t="str">
        <f ca="1">IFERROR(__xludf.DUMMYFUNCTION("""COMPUTED_VALUE"""),"Asha Stewart")</f>
        <v>Asha Stewart</v>
      </c>
      <c r="C448" s="109">
        <f ca="1">IFERROR(__xludf.DUMMYFUNCTION("""COMPUTED_VALUE"""),12)</f>
        <v>12</v>
      </c>
      <c r="D448" s="109" t="str">
        <f ca="1">IFERROR(__xludf.DUMMYFUNCTION("""COMPUTED_VALUE"""),"G")</f>
        <v>G</v>
      </c>
      <c r="E448" s="110" t="str">
        <f ca="1">IFERROR(__xludf.DUMMYFUNCTION("""COMPUTED_VALUE"""),"J")</f>
        <v>J</v>
      </c>
      <c r="F448" s="110" t="str">
        <f ca="1">IFERROR(__xludf.DUMMYFUNCTION("""COMPUTED_VALUE"""),"I")</f>
        <v>I</v>
      </c>
      <c r="G448" s="110">
        <f ca="1">IFERROR(__xludf.DUMMYFUNCTION("""COMPUTED_VALUE"""),1)</f>
        <v>1</v>
      </c>
      <c r="H448" s="112" t="str">
        <f ca="1"/>
        <v/>
      </c>
      <c r="I448" s="112" t="str">
        <f ca="1"/>
        <v/>
      </c>
    </row>
    <row r="449" spans="1:9" ht="13.2">
      <c r="A449" s="109" t="str">
        <f ca="1">IFERROR(__xludf.DUMMYFUNCTION("""COMPUTED_VALUE"""),"DL")</f>
        <v>DL</v>
      </c>
      <c r="B449" s="108" t="str">
        <f ca="1">IFERROR(__xludf.DUMMYFUNCTION("""COMPUTED_VALUE"""),"Juliana Esen")</f>
        <v>Juliana Esen</v>
      </c>
      <c r="C449" s="109">
        <f ca="1">IFERROR(__xludf.DUMMYFUNCTION("""COMPUTED_VALUE"""),12)</f>
        <v>12</v>
      </c>
      <c r="D449" s="109" t="str">
        <f ca="1">IFERROR(__xludf.DUMMYFUNCTION("""COMPUTED_VALUE"""),"G")</f>
        <v>G</v>
      </c>
      <c r="E449" s="110" t="str">
        <f ca="1">IFERROR(__xludf.DUMMYFUNCTION("""COMPUTED_VALUE"""),"J")</f>
        <v>J</v>
      </c>
      <c r="F449" s="110" t="str">
        <f ca="1">IFERROR(__xludf.DUMMYFUNCTION("""COMPUTED_VALUE"""),"I")</f>
        <v>I</v>
      </c>
      <c r="G449" s="110">
        <f ca="1">IFERROR(__xludf.DUMMYFUNCTION("""COMPUTED_VALUE"""),1)</f>
        <v>1</v>
      </c>
      <c r="H449" s="112" t="str">
        <f ca="1"/>
        <v/>
      </c>
      <c r="I449" s="81" t="str">
        <f ca="1"/>
        <v/>
      </c>
    </row>
    <row r="450" spans="1:9" ht="13.2">
      <c r="A450" s="109" t="str">
        <f ca="1">IFERROR(__xludf.DUMMYFUNCTION("""COMPUTED_VALUE"""),"DL")</f>
        <v>DL</v>
      </c>
      <c r="B450" s="108" t="str">
        <f ca="1">IFERROR(__xludf.DUMMYFUNCTION("""COMPUTED_VALUE"""),"Kiran Vasudevan")</f>
        <v>Kiran Vasudevan</v>
      </c>
      <c r="C450" s="109">
        <f ca="1">IFERROR(__xludf.DUMMYFUNCTION("""COMPUTED_VALUE"""),12)</f>
        <v>12</v>
      </c>
      <c r="D450" s="109" t="str">
        <f ca="1">IFERROR(__xludf.DUMMYFUNCTION("""COMPUTED_VALUE"""),"G")</f>
        <v>G</v>
      </c>
      <c r="E450" s="110" t="str">
        <f ca="1">IFERROR(__xludf.DUMMYFUNCTION("""COMPUTED_VALUE"""),"J")</f>
        <v>J</v>
      </c>
      <c r="F450" s="110" t="str">
        <f ca="1">IFERROR(__xludf.DUMMYFUNCTION("""COMPUTED_VALUE"""),"I")</f>
        <v>I</v>
      </c>
      <c r="G450" s="110">
        <f ca="1">IFERROR(__xludf.DUMMYFUNCTION("""COMPUTED_VALUE"""),1)</f>
        <v>1</v>
      </c>
      <c r="H450" s="112" t="str">
        <f ca="1"/>
        <v/>
      </c>
      <c r="I450" s="112" t="str">
        <f ca="1"/>
        <v/>
      </c>
    </row>
    <row r="451" spans="1:9" ht="13.2">
      <c r="A451" s="109" t="str">
        <f ca="1">IFERROR(__xludf.DUMMYFUNCTION("""COMPUTED_VALUE"""),"DL")</f>
        <v>DL</v>
      </c>
      <c r="B451" s="108" t="str">
        <f ca="1">IFERROR(__xludf.DUMMYFUNCTION("""COMPUTED_VALUE"""),"Rianna Krishnan")</f>
        <v>Rianna Krishnan</v>
      </c>
      <c r="C451" s="109">
        <f ca="1">IFERROR(__xludf.DUMMYFUNCTION("""COMPUTED_VALUE"""),12)</f>
        <v>12</v>
      </c>
      <c r="D451" s="109" t="str">
        <f ca="1">IFERROR(__xludf.DUMMYFUNCTION("""COMPUTED_VALUE"""),"G")</f>
        <v>G</v>
      </c>
      <c r="E451" s="110" t="str">
        <f ca="1">IFERROR(__xludf.DUMMYFUNCTION("""COMPUTED_VALUE"""),"J")</f>
        <v>J</v>
      </c>
      <c r="F451" s="110" t="str">
        <f ca="1">IFERROR(__xludf.DUMMYFUNCTION("""COMPUTED_VALUE"""),"I")</f>
        <v>I</v>
      </c>
      <c r="G451" s="110">
        <f ca="1">IFERROR(__xludf.DUMMYFUNCTION("""COMPUTED_VALUE"""),1)</f>
        <v>1</v>
      </c>
      <c r="H451" s="112" t="str">
        <f ca="1"/>
        <v/>
      </c>
      <c r="I451" s="81" t="str">
        <f ca="1"/>
        <v/>
      </c>
    </row>
    <row r="452" spans="1:9" ht="13.2">
      <c r="A452" s="109" t="str">
        <f ca="1">IFERROR(__xludf.DUMMYFUNCTION("""COMPUTED_VALUE"""),"DL")</f>
        <v>DL</v>
      </c>
      <c r="B452" s="108" t="str">
        <f ca="1">IFERROR(__xludf.DUMMYFUNCTION("""COMPUTED_VALUE"""),"Sofia Falsone")</f>
        <v>Sofia Falsone</v>
      </c>
      <c r="C452" s="109">
        <f ca="1">IFERROR(__xludf.DUMMYFUNCTION("""COMPUTED_VALUE"""),11)</f>
        <v>11</v>
      </c>
      <c r="D452" s="109" t="str">
        <f ca="1">IFERROR(__xludf.DUMMYFUNCTION("""COMPUTED_VALUE"""),"G")</f>
        <v>G</v>
      </c>
      <c r="E452" s="110" t="str">
        <f ca="1">IFERROR(__xludf.DUMMYFUNCTION("""COMPUTED_VALUE"""),"J")</f>
        <v>J</v>
      </c>
      <c r="F452" s="110" t="str">
        <f ca="1">IFERROR(__xludf.DUMMYFUNCTION("""COMPUTED_VALUE"""),"I")</f>
        <v>I</v>
      </c>
      <c r="G452" s="110">
        <f ca="1">IFERROR(__xludf.DUMMYFUNCTION("""COMPUTED_VALUE"""),1)</f>
        <v>1</v>
      </c>
      <c r="H452" s="112" t="str">
        <f ca="1"/>
        <v>34.15</v>
      </c>
      <c r="I452" s="112">
        <f ca="1"/>
        <v>34.15</v>
      </c>
    </row>
    <row r="453" spans="1:9" ht="13.2">
      <c r="A453" s="109" t="str">
        <f ca="1">IFERROR(__xludf.DUMMYFUNCTION("""COMPUTED_VALUE"""),"DL")</f>
        <v>DL</v>
      </c>
      <c r="B453" s="108" t="str">
        <f ca="1">IFERROR(__xludf.DUMMYFUNCTION("""COMPUTED_VALUE"""),"sophie Ratner")</f>
        <v>sophie Ratner</v>
      </c>
      <c r="C453" s="109">
        <f ca="1">IFERROR(__xludf.DUMMYFUNCTION("""COMPUTED_VALUE"""),11)</f>
        <v>11</v>
      </c>
      <c r="D453" s="109" t="str">
        <f ca="1">IFERROR(__xludf.DUMMYFUNCTION("""COMPUTED_VALUE"""),"G")</f>
        <v>G</v>
      </c>
      <c r="E453" s="110" t="str">
        <f ca="1">IFERROR(__xludf.DUMMYFUNCTION("""COMPUTED_VALUE"""),"J")</f>
        <v>J</v>
      </c>
      <c r="F453" s="110" t="str">
        <f ca="1">IFERROR(__xludf.DUMMYFUNCTION("""COMPUTED_VALUE"""),"I")</f>
        <v>I</v>
      </c>
      <c r="G453" s="110">
        <f ca="1">IFERROR(__xludf.DUMMYFUNCTION("""COMPUTED_VALUE"""),1)</f>
        <v>1</v>
      </c>
      <c r="H453" s="112" t="str">
        <f ca="1"/>
        <v/>
      </c>
      <c r="I453" s="112" t="str">
        <f ca="1"/>
        <v/>
      </c>
    </row>
    <row r="454" spans="1:9" ht="13.2">
      <c r="A454" s="109" t="str">
        <f ca="1">IFERROR(__xludf.DUMMYFUNCTION("""COMPUTED_VALUE"""),"DL")</f>
        <v>DL</v>
      </c>
      <c r="B454" s="108" t="str">
        <f ca="1">IFERROR(__xludf.DUMMYFUNCTION("""COMPUTED_VALUE"""),"Rishi Vasudevan")</f>
        <v>Rishi Vasudevan</v>
      </c>
      <c r="C454" s="109">
        <f ca="1">IFERROR(__xludf.DUMMYFUNCTION("""COMPUTED_VALUE"""),17)</f>
        <v>17</v>
      </c>
      <c r="D454" s="109" t="str">
        <f ca="1">IFERROR(__xludf.DUMMYFUNCTION("""COMPUTED_VALUE"""),"B")</f>
        <v>B</v>
      </c>
      <c r="E454" s="110" t="str">
        <f ca="1">IFERROR(__xludf.DUMMYFUNCTION("""COMPUTED_VALUE"""),"S")</f>
        <v>S</v>
      </c>
      <c r="F454" s="110" t="str">
        <f ca="1">IFERROR(__xludf.DUMMYFUNCTION("""COMPUTED_VALUE"""),"S")</f>
        <v>S</v>
      </c>
      <c r="G454" s="110">
        <f ca="1">IFERROR(__xludf.DUMMYFUNCTION("""COMPUTED_VALUE"""),1)</f>
        <v>1</v>
      </c>
      <c r="H454" s="112" t="str">
        <f ca="1"/>
        <v/>
      </c>
      <c r="I454" s="112" t="str">
        <f ca="1"/>
        <v/>
      </c>
    </row>
    <row r="455" spans="1:9" ht="13.2">
      <c r="A455" s="109" t="str">
        <f ca="1">IFERROR(__xludf.DUMMYFUNCTION("""COMPUTED_VALUE"""),"DL")</f>
        <v>DL</v>
      </c>
      <c r="B455" s="108" t="str">
        <f ca="1">IFERROR(__xludf.DUMMYFUNCTION("""COMPUTED_VALUE"""),"Spencer Bloom")</f>
        <v>Spencer Bloom</v>
      </c>
      <c r="C455" s="109">
        <f ca="1">IFERROR(__xludf.DUMMYFUNCTION("""COMPUTED_VALUE"""),17)</f>
        <v>17</v>
      </c>
      <c r="D455" s="109" t="str">
        <f ca="1">IFERROR(__xludf.DUMMYFUNCTION("""COMPUTED_VALUE"""),"B")</f>
        <v>B</v>
      </c>
      <c r="E455" s="110" t="str">
        <f ca="1">IFERROR(__xludf.DUMMYFUNCTION("""COMPUTED_VALUE"""),"S")</f>
        <v>S</v>
      </c>
      <c r="F455" s="110" t="str">
        <f ca="1">IFERROR(__xludf.DUMMYFUNCTION("""COMPUTED_VALUE"""),"S")</f>
        <v>S</v>
      </c>
      <c r="G455" s="110">
        <f ca="1">IFERROR(__xludf.DUMMYFUNCTION("""COMPUTED_VALUE"""),1)</f>
        <v>1</v>
      </c>
      <c r="H455" s="112" t="str">
        <f ca="1"/>
        <v/>
      </c>
      <c r="I455" s="81" t="str">
        <f ca="1"/>
        <v/>
      </c>
    </row>
    <row r="456" spans="1:9" ht="13.2">
      <c r="A456" s="109" t="str">
        <f ca="1">IFERROR(__xludf.DUMMYFUNCTION("""COMPUTED_VALUE"""),"DL")</f>
        <v>DL</v>
      </c>
      <c r="B456" s="108" t="str">
        <f ca="1">IFERROR(__xludf.DUMMYFUNCTION("""COMPUTED_VALUE"""),"Alanna Korff")</f>
        <v>Alanna Korff</v>
      </c>
      <c r="C456" s="109">
        <f ca="1">IFERROR(__xludf.DUMMYFUNCTION("""COMPUTED_VALUE"""),17)</f>
        <v>17</v>
      </c>
      <c r="D456" s="109" t="str">
        <f ca="1">IFERROR(__xludf.DUMMYFUNCTION("""COMPUTED_VALUE"""),"G")</f>
        <v>G</v>
      </c>
      <c r="E456" s="110" t="str">
        <f ca="1">IFERROR(__xludf.DUMMYFUNCTION("""COMPUTED_VALUE"""),"S")</f>
        <v>S</v>
      </c>
      <c r="F456" s="110" t="str">
        <f ca="1">IFERROR(__xludf.DUMMYFUNCTION("""COMPUTED_VALUE"""),"S")</f>
        <v>S</v>
      </c>
      <c r="G456" s="110">
        <f ca="1">IFERROR(__xludf.DUMMYFUNCTION("""COMPUTED_VALUE"""),1)</f>
        <v>1</v>
      </c>
      <c r="H456" s="112" t="str">
        <f ca="1"/>
        <v/>
      </c>
      <c r="I456" s="81" t="str">
        <f ca="1"/>
        <v/>
      </c>
    </row>
    <row r="457" spans="1:9" ht="13.2">
      <c r="A457" s="109" t="str">
        <f ca="1">IFERROR(__xludf.DUMMYFUNCTION("""COMPUTED_VALUE"""),"DL")</f>
        <v>DL</v>
      </c>
      <c r="B457" s="108" t="str">
        <f ca="1">IFERROR(__xludf.DUMMYFUNCTION("""COMPUTED_VALUE"""),"Elsa Marsden")</f>
        <v>Elsa Marsden</v>
      </c>
      <c r="C457" s="109">
        <f ca="1">IFERROR(__xludf.DUMMYFUNCTION("""COMPUTED_VALUE"""),16)</f>
        <v>16</v>
      </c>
      <c r="D457" s="109" t="str">
        <f ca="1">IFERROR(__xludf.DUMMYFUNCTION("""COMPUTED_VALUE"""),"G")</f>
        <v>G</v>
      </c>
      <c r="E457" s="110" t="str">
        <f ca="1">IFERROR(__xludf.DUMMYFUNCTION("""COMPUTED_VALUE"""),"S")</f>
        <v>S</v>
      </c>
      <c r="F457" s="110" t="str">
        <f ca="1">IFERROR(__xludf.DUMMYFUNCTION("""COMPUTED_VALUE"""),"S")</f>
        <v>S</v>
      </c>
      <c r="G457" s="110">
        <f ca="1">IFERROR(__xludf.DUMMYFUNCTION("""COMPUTED_VALUE"""),1)</f>
        <v>1</v>
      </c>
      <c r="H457" s="112" t="str">
        <f ca="1"/>
        <v/>
      </c>
      <c r="I457" s="112" t="str">
        <f ca="1"/>
        <v/>
      </c>
    </row>
    <row r="458" spans="1:9" ht="13.2">
      <c r="A458" s="109" t="str">
        <f ca="1">IFERROR(__xludf.DUMMYFUNCTION("""COMPUTED_VALUE"""),"DL")</f>
        <v>DL</v>
      </c>
      <c r="B458" s="108" t="str">
        <f ca="1">IFERROR(__xludf.DUMMYFUNCTION("""COMPUTED_VALUE"""),"Evelyn Burns")</f>
        <v>Evelyn Burns</v>
      </c>
      <c r="C458" s="109">
        <f ca="1">IFERROR(__xludf.DUMMYFUNCTION("""COMPUTED_VALUE"""),17)</f>
        <v>17</v>
      </c>
      <c r="D458" s="109" t="str">
        <f ca="1">IFERROR(__xludf.DUMMYFUNCTION("""COMPUTED_VALUE"""),"G")</f>
        <v>G</v>
      </c>
      <c r="E458" s="110" t="str">
        <f ca="1">IFERROR(__xludf.DUMMYFUNCTION("""COMPUTED_VALUE"""),"S")</f>
        <v>S</v>
      </c>
      <c r="F458" s="110" t="str">
        <f ca="1">IFERROR(__xludf.DUMMYFUNCTION("""COMPUTED_VALUE"""),"S")</f>
        <v>S</v>
      </c>
      <c r="G458" s="110">
        <f ca="1">IFERROR(__xludf.DUMMYFUNCTION("""COMPUTED_VALUE"""),1)</f>
        <v>1</v>
      </c>
      <c r="H458" s="112" t="str">
        <f ca="1"/>
        <v/>
      </c>
      <c r="I458" s="112" t="str">
        <f ca="1"/>
        <v/>
      </c>
    </row>
    <row r="459" spans="1:9" ht="13.2">
      <c r="A459" s="109" t="str">
        <f ca="1">IFERROR(__xludf.DUMMYFUNCTION("""COMPUTED_VALUE"""),"DL")</f>
        <v>DL</v>
      </c>
      <c r="B459" s="108" t="str">
        <f ca="1">IFERROR(__xludf.DUMMYFUNCTION("""COMPUTED_VALUE"""),"Olivia Bloom")</f>
        <v>Olivia Bloom</v>
      </c>
      <c r="C459" s="109">
        <f ca="1">IFERROR(__xludf.DUMMYFUNCTION("""COMPUTED_VALUE"""),15)</f>
        <v>15</v>
      </c>
      <c r="D459" s="109" t="str">
        <f ca="1">IFERROR(__xludf.DUMMYFUNCTION("""COMPUTED_VALUE"""),"G")</f>
        <v>G</v>
      </c>
      <c r="E459" s="110" t="str">
        <f ca="1">IFERROR(__xludf.DUMMYFUNCTION("""COMPUTED_VALUE"""),"S")</f>
        <v>S</v>
      </c>
      <c r="F459" s="110" t="str">
        <f ca="1">IFERROR(__xludf.DUMMYFUNCTION("""COMPUTED_VALUE"""),"S")</f>
        <v>S</v>
      </c>
      <c r="G459" s="110">
        <f ca="1">IFERROR(__xludf.DUMMYFUNCTION("""COMPUTED_VALUE"""),1)</f>
        <v>1</v>
      </c>
      <c r="H459" s="112" t="str">
        <f ca="1"/>
        <v/>
      </c>
      <c r="I459" s="81" t="str">
        <f ca="1"/>
        <v/>
      </c>
    </row>
    <row r="460" spans="1:9" ht="13.2">
      <c r="A460" s="109" t="str">
        <f ca="1">IFERROR(__xludf.DUMMYFUNCTION("""COMPUTED_VALUE"""),"DL")</f>
        <v>DL</v>
      </c>
      <c r="B460" s="108" t="str">
        <f ca="1">IFERROR(__xludf.DUMMYFUNCTION("""COMPUTED_VALUE"""),"Vera Korff")</f>
        <v>Vera Korff</v>
      </c>
      <c r="C460" s="109">
        <f ca="1">IFERROR(__xludf.DUMMYFUNCTION("""COMPUTED_VALUE"""),16)</f>
        <v>16</v>
      </c>
      <c r="D460" s="109" t="str">
        <f ca="1">IFERROR(__xludf.DUMMYFUNCTION("""COMPUTED_VALUE"""),"G")</f>
        <v>G</v>
      </c>
      <c r="E460" s="110" t="str">
        <f ca="1">IFERROR(__xludf.DUMMYFUNCTION("""COMPUTED_VALUE"""),"S")</f>
        <v>S</v>
      </c>
      <c r="F460" s="110" t="str">
        <f ca="1">IFERROR(__xludf.DUMMYFUNCTION("""COMPUTED_VALUE"""),"S")</f>
        <v>S</v>
      </c>
      <c r="G460" s="110">
        <f ca="1">IFERROR(__xludf.DUMMYFUNCTION("""COMPUTED_VALUE"""),1)</f>
        <v>1</v>
      </c>
      <c r="H460" s="112" t="str">
        <f ca="1"/>
        <v/>
      </c>
      <c r="I460" s="81" t="str">
        <f ca="1"/>
        <v/>
      </c>
    </row>
    <row r="461" spans="1:9" ht="13.2">
      <c r="A461" s="109" t="str">
        <f ca="1">IFERROR(__xludf.DUMMYFUNCTION("""COMPUTED_VALUE"""),"DR")</f>
        <v>DR</v>
      </c>
      <c r="B461" s="108" t="str">
        <f ca="1">IFERROR(__xludf.DUMMYFUNCTION("""COMPUTED_VALUE"""),"Allister Hovenburg")</f>
        <v>Allister Hovenburg</v>
      </c>
      <c r="C461" s="109">
        <f ca="1">IFERROR(__xludf.DUMMYFUNCTION("""COMPUTED_VALUE"""),9)</f>
        <v>9</v>
      </c>
      <c r="D461" s="109" t="str">
        <f ca="1">IFERROR(__xludf.DUMMYFUNCTION("""COMPUTED_VALUE"""),"B")</f>
        <v>B</v>
      </c>
      <c r="E461" s="110" t="str">
        <f ca="1">IFERROR(__xludf.DUMMYFUNCTION("""COMPUTED_VALUE"""),"F")</f>
        <v>F</v>
      </c>
      <c r="F461" s="110" t="str">
        <f ca="1">IFERROR(__xludf.DUMMYFUNCTION("""COMPUTED_VALUE"""),"J")</f>
        <v>J</v>
      </c>
      <c r="G461" s="110">
        <f ca="1">IFERROR(__xludf.DUMMYFUNCTION("""COMPUTED_VALUE"""),3)</f>
        <v>3</v>
      </c>
      <c r="H461" s="112" t="str">
        <f ca="1"/>
        <v/>
      </c>
      <c r="I461" s="112" t="str">
        <f ca="1"/>
        <v/>
      </c>
    </row>
    <row r="462" spans="1:9" ht="13.2">
      <c r="A462" s="109" t="str">
        <f ca="1">IFERROR(__xludf.DUMMYFUNCTION("""COMPUTED_VALUE"""),"DR")</f>
        <v>DR</v>
      </c>
      <c r="B462" s="108" t="str">
        <f ca="1">IFERROR(__xludf.DUMMYFUNCTION("""COMPUTED_VALUE"""),"Charlie DeZee")</f>
        <v>Charlie DeZee</v>
      </c>
      <c r="C462" s="109">
        <f ca="1">IFERROR(__xludf.DUMMYFUNCTION("""COMPUTED_VALUE"""),9)</f>
        <v>9</v>
      </c>
      <c r="D462" s="109" t="str">
        <f ca="1">IFERROR(__xludf.DUMMYFUNCTION("""COMPUTED_VALUE"""),"B")</f>
        <v>B</v>
      </c>
      <c r="E462" s="110" t="str">
        <f ca="1">IFERROR(__xludf.DUMMYFUNCTION("""COMPUTED_VALUE"""),"F")</f>
        <v>F</v>
      </c>
      <c r="F462" s="110" t="str">
        <f ca="1">IFERROR(__xludf.DUMMYFUNCTION("""COMPUTED_VALUE"""),"J")</f>
        <v>J</v>
      </c>
      <c r="G462" s="110">
        <f ca="1">IFERROR(__xludf.DUMMYFUNCTION("""COMPUTED_VALUE"""),3)</f>
        <v>3</v>
      </c>
      <c r="H462" s="112" t="str">
        <f ca="1"/>
        <v/>
      </c>
      <c r="I462" s="112" t="str">
        <f ca="1"/>
        <v/>
      </c>
    </row>
    <row r="463" spans="1:9" ht="13.2">
      <c r="A463" s="109" t="str">
        <f ca="1">IFERROR(__xludf.DUMMYFUNCTION("""COMPUTED_VALUE"""),"DR")</f>
        <v>DR</v>
      </c>
      <c r="B463" s="108" t="str">
        <f ca="1">IFERROR(__xludf.DUMMYFUNCTION("""COMPUTED_VALUE"""),"Conor Michalowski")</f>
        <v>Conor Michalowski</v>
      </c>
      <c r="C463" s="109">
        <f ca="1">IFERROR(__xludf.DUMMYFUNCTION("""COMPUTED_VALUE"""),8)</f>
        <v>8</v>
      </c>
      <c r="D463" s="109" t="str">
        <f ca="1">IFERROR(__xludf.DUMMYFUNCTION("""COMPUTED_VALUE"""),"B")</f>
        <v>B</v>
      </c>
      <c r="E463" s="110" t="str">
        <f ca="1">IFERROR(__xludf.DUMMYFUNCTION("""COMPUTED_VALUE"""),"F")</f>
        <v>F</v>
      </c>
      <c r="F463" s="110" t="str">
        <f ca="1">IFERROR(__xludf.DUMMYFUNCTION("""COMPUTED_VALUE"""),"J")</f>
        <v>J</v>
      </c>
      <c r="G463" s="110">
        <f ca="1">IFERROR(__xludf.DUMMYFUNCTION("""COMPUTED_VALUE"""),3)</f>
        <v>3</v>
      </c>
      <c r="H463" s="112" t="str">
        <f ca="1"/>
        <v/>
      </c>
      <c r="I463" s="112" t="str">
        <f ca="1"/>
        <v/>
      </c>
    </row>
    <row r="464" spans="1:9" ht="13.2">
      <c r="A464" s="109" t="str">
        <f ca="1">IFERROR(__xludf.DUMMYFUNCTION("""COMPUTED_VALUE"""),"DR")</f>
        <v>DR</v>
      </c>
      <c r="B464" s="108" t="str">
        <f ca="1">IFERROR(__xludf.DUMMYFUNCTION("""COMPUTED_VALUE"""),"Desmond Gellie")</f>
        <v>Desmond Gellie</v>
      </c>
      <c r="C464" s="109">
        <f ca="1">IFERROR(__xludf.DUMMYFUNCTION("""COMPUTED_VALUE"""),7)</f>
        <v>7</v>
      </c>
      <c r="D464" s="109" t="str">
        <f ca="1">IFERROR(__xludf.DUMMYFUNCTION("""COMPUTED_VALUE"""),"B")</f>
        <v>B</v>
      </c>
      <c r="E464" s="110" t="str">
        <f ca="1">IFERROR(__xludf.DUMMYFUNCTION("""COMPUTED_VALUE"""),"F")</f>
        <v>F</v>
      </c>
      <c r="F464" s="110" t="str">
        <f ca="1">IFERROR(__xludf.DUMMYFUNCTION("""COMPUTED_VALUE"""),"J")</f>
        <v>J</v>
      </c>
      <c r="G464" s="110">
        <f ca="1">IFERROR(__xludf.DUMMYFUNCTION("""COMPUTED_VALUE"""),3)</f>
        <v>3</v>
      </c>
      <c r="H464" s="112" t="str">
        <f ca="1"/>
        <v>9</v>
      </c>
      <c r="I464" s="81">
        <f ca="1"/>
        <v>9</v>
      </c>
    </row>
    <row r="465" spans="1:9" ht="13.2">
      <c r="A465" s="109" t="str">
        <f ca="1">IFERROR(__xludf.DUMMYFUNCTION("""COMPUTED_VALUE"""),"DR")</f>
        <v>DR</v>
      </c>
      <c r="B465" s="108" t="str">
        <f ca="1">IFERROR(__xludf.DUMMYFUNCTION("""COMPUTED_VALUE"""),"Dexter Weaver")</f>
        <v>Dexter Weaver</v>
      </c>
      <c r="C465" s="109">
        <f ca="1">IFERROR(__xludf.DUMMYFUNCTION("""COMPUTED_VALUE"""),6)</f>
        <v>6</v>
      </c>
      <c r="D465" s="109" t="str">
        <f ca="1">IFERROR(__xludf.DUMMYFUNCTION("""COMPUTED_VALUE"""),"B")</f>
        <v>B</v>
      </c>
      <c r="E465" s="110" t="str">
        <f ca="1">IFERROR(__xludf.DUMMYFUNCTION("""COMPUTED_VALUE"""),"F")</f>
        <v>F</v>
      </c>
      <c r="F465" s="110" t="str">
        <f ca="1">IFERROR(__xludf.DUMMYFUNCTION("""COMPUTED_VALUE"""),"J")</f>
        <v>J</v>
      </c>
      <c r="G465" s="110">
        <f ca="1">IFERROR(__xludf.DUMMYFUNCTION("""COMPUTED_VALUE"""),3)</f>
        <v>3</v>
      </c>
      <c r="H465" s="112" t="str">
        <f ca="1"/>
        <v>14.1</v>
      </c>
      <c r="I465" s="112">
        <f ca="1"/>
        <v>14.1</v>
      </c>
    </row>
    <row r="466" spans="1:9" ht="13.2">
      <c r="A466" s="109" t="str">
        <f ca="1">IFERROR(__xludf.DUMMYFUNCTION("""COMPUTED_VALUE"""),"DR")</f>
        <v>DR</v>
      </c>
      <c r="B466" s="108" t="str">
        <f ca="1">IFERROR(__xludf.DUMMYFUNCTION("""COMPUTED_VALUE"""),"Eric Walter")</f>
        <v>Eric Walter</v>
      </c>
      <c r="C466" s="109">
        <f ca="1">IFERROR(__xludf.DUMMYFUNCTION("""COMPUTED_VALUE"""),8)</f>
        <v>8</v>
      </c>
      <c r="D466" s="109" t="str">
        <f ca="1">IFERROR(__xludf.DUMMYFUNCTION("""COMPUTED_VALUE"""),"B")</f>
        <v>B</v>
      </c>
      <c r="E466" s="110" t="str">
        <f ca="1">IFERROR(__xludf.DUMMYFUNCTION("""COMPUTED_VALUE"""),"F")</f>
        <v>F</v>
      </c>
      <c r="F466" s="110" t="str">
        <f ca="1">IFERROR(__xludf.DUMMYFUNCTION("""COMPUTED_VALUE"""),"J")</f>
        <v>J</v>
      </c>
      <c r="G466" s="110">
        <f ca="1">IFERROR(__xludf.DUMMYFUNCTION("""COMPUTED_VALUE"""),3)</f>
        <v>3</v>
      </c>
      <c r="H466" s="112" t="str">
        <f ca="1"/>
        <v/>
      </c>
      <c r="I466" s="81" t="str">
        <f ca="1"/>
        <v/>
      </c>
    </row>
    <row r="467" spans="1:9" ht="13.2">
      <c r="A467" s="109" t="str">
        <f ca="1">IFERROR(__xludf.DUMMYFUNCTION("""COMPUTED_VALUE"""),"DR")</f>
        <v>DR</v>
      </c>
      <c r="B467" s="108" t="str">
        <f ca="1">IFERROR(__xludf.DUMMYFUNCTION("""COMPUTED_VALUE"""),"Felix Losos")</f>
        <v>Felix Losos</v>
      </c>
      <c r="C467" s="109">
        <f ca="1">IFERROR(__xludf.DUMMYFUNCTION("""COMPUTED_VALUE"""),8)</f>
        <v>8</v>
      </c>
      <c r="D467" s="109" t="str">
        <f ca="1">IFERROR(__xludf.DUMMYFUNCTION("""COMPUTED_VALUE"""),"B")</f>
        <v>B</v>
      </c>
      <c r="E467" s="110" t="str">
        <f ca="1">IFERROR(__xludf.DUMMYFUNCTION("""COMPUTED_VALUE"""),"F")</f>
        <v>F</v>
      </c>
      <c r="F467" s="110" t="str">
        <f ca="1">IFERROR(__xludf.DUMMYFUNCTION("""COMPUTED_VALUE"""),"J")</f>
        <v>J</v>
      </c>
      <c r="G467" s="110">
        <f ca="1">IFERROR(__xludf.DUMMYFUNCTION("""COMPUTED_VALUE"""),3)</f>
        <v>3</v>
      </c>
      <c r="H467" s="112" t="str">
        <f ca="1"/>
        <v/>
      </c>
      <c r="I467" s="81" t="str">
        <f ca="1"/>
        <v/>
      </c>
    </row>
    <row r="468" spans="1:9" ht="13.2">
      <c r="A468" s="109" t="str">
        <f ca="1">IFERROR(__xludf.DUMMYFUNCTION("""COMPUTED_VALUE"""),"DR")</f>
        <v>DR</v>
      </c>
      <c r="B468" s="108" t="str">
        <f ca="1">IFERROR(__xludf.DUMMYFUNCTION("""COMPUTED_VALUE"""),"Fenner Abbey")</f>
        <v>Fenner Abbey</v>
      </c>
      <c r="C468" s="109">
        <f ca="1">IFERROR(__xludf.DUMMYFUNCTION("""COMPUTED_VALUE"""),10)</f>
        <v>10</v>
      </c>
      <c r="D468" s="109" t="str">
        <f ca="1">IFERROR(__xludf.DUMMYFUNCTION("""COMPUTED_VALUE"""),"B")</f>
        <v>B</v>
      </c>
      <c r="E468" s="110" t="str">
        <f ca="1">IFERROR(__xludf.DUMMYFUNCTION("""COMPUTED_VALUE"""),"F")</f>
        <v>F</v>
      </c>
      <c r="F468" s="110" t="str">
        <f ca="1">IFERROR(__xludf.DUMMYFUNCTION("""COMPUTED_VALUE"""),"J")</f>
        <v>J</v>
      </c>
      <c r="G468" s="110">
        <f ca="1">IFERROR(__xludf.DUMMYFUNCTION("""COMPUTED_VALUE"""),3)</f>
        <v>3</v>
      </c>
      <c r="H468" s="112" t="str">
        <f ca="1"/>
        <v/>
      </c>
      <c r="I468" s="112" t="str">
        <f ca="1"/>
        <v/>
      </c>
    </row>
    <row r="469" spans="1:9" ht="13.2">
      <c r="A469" s="109" t="str">
        <f ca="1">IFERROR(__xludf.DUMMYFUNCTION("""COMPUTED_VALUE"""),"DR")</f>
        <v>DR</v>
      </c>
      <c r="B469" s="108" t="str">
        <f ca="1">IFERROR(__xludf.DUMMYFUNCTION("""COMPUTED_VALUE"""),"Graham Hill")</f>
        <v>Graham Hill</v>
      </c>
      <c r="C469" s="109">
        <f ca="1">IFERROR(__xludf.DUMMYFUNCTION("""COMPUTED_VALUE"""),8)</f>
        <v>8</v>
      </c>
      <c r="D469" s="109" t="str">
        <f ca="1">IFERROR(__xludf.DUMMYFUNCTION("""COMPUTED_VALUE"""),"B")</f>
        <v>B</v>
      </c>
      <c r="E469" s="110" t="str">
        <f ca="1">IFERROR(__xludf.DUMMYFUNCTION("""COMPUTED_VALUE"""),"F")</f>
        <v>F</v>
      </c>
      <c r="F469" s="110" t="str">
        <f ca="1">IFERROR(__xludf.DUMMYFUNCTION("""COMPUTED_VALUE"""),"J")</f>
        <v>J</v>
      </c>
      <c r="G469" s="110">
        <f ca="1">IFERROR(__xludf.DUMMYFUNCTION("""COMPUTED_VALUE"""),3)</f>
        <v>3</v>
      </c>
      <c r="H469" s="112" t="str">
        <f ca="1"/>
        <v>28.7</v>
      </c>
      <c r="I469" s="112">
        <f ca="1"/>
        <v>28.7</v>
      </c>
    </row>
    <row r="470" spans="1:9" ht="13.2">
      <c r="A470" s="109" t="str">
        <f ca="1">IFERROR(__xludf.DUMMYFUNCTION("""COMPUTED_VALUE"""),"DR")</f>
        <v>DR</v>
      </c>
      <c r="B470" s="108" t="str">
        <f ca="1">IFERROR(__xludf.DUMMYFUNCTION("""COMPUTED_VALUE"""),"Henry Abouchar")</f>
        <v>Henry Abouchar</v>
      </c>
      <c r="C470" s="109">
        <f ca="1">IFERROR(__xludf.DUMMYFUNCTION("""COMPUTED_VALUE"""),9)</f>
        <v>9</v>
      </c>
      <c r="D470" s="109" t="str">
        <f ca="1">IFERROR(__xludf.DUMMYFUNCTION("""COMPUTED_VALUE"""),"B")</f>
        <v>B</v>
      </c>
      <c r="E470" s="110" t="str">
        <f ca="1">IFERROR(__xludf.DUMMYFUNCTION("""COMPUTED_VALUE"""),"F")</f>
        <v>F</v>
      </c>
      <c r="F470" s="110" t="str">
        <f ca="1">IFERROR(__xludf.DUMMYFUNCTION("""COMPUTED_VALUE"""),"J")</f>
        <v>J</v>
      </c>
      <c r="G470" s="110">
        <f ca="1">IFERROR(__xludf.DUMMYFUNCTION("""COMPUTED_VALUE"""),3)</f>
        <v>3</v>
      </c>
      <c r="H470" s="112" t="str">
        <f ca="1"/>
        <v/>
      </c>
      <c r="I470" s="112" t="str">
        <f ca="1"/>
        <v/>
      </c>
    </row>
    <row r="471" spans="1:9" ht="13.2">
      <c r="A471" s="109" t="str">
        <f ca="1">IFERROR(__xludf.DUMMYFUNCTION("""COMPUTED_VALUE"""),"DR")</f>
        <v>DR</v>
      </c>
      <c r="B471" s="108" t="str">
        <f ca="1">IFERROR(__xludf.DUMMYFUNCTION("""COMPUTED_VALUE"""),"Henry DeZee")</f>
        <v>Henry DeZee</v>
      </c>
      <c r="C471" s="109">
        <f ca="1">IFERROR(__xludf.DUMMYFUNCTION("""COMPUTED_VALUE"""),6)</f>
        <v>6</v>
      </c>
      <c r="D471" s="109" t="str">
        <f ca="1">IFERROR(__xludf.DUMMYFUNCTION("""COMPUTED_VALUE"""),"B")</f>
        <v>B</v>
      </c>
      <c r="E471" s="110" t="str">
        <f ca="1">IFERROR(__xludf.DUMMYFUNCTION("""COMPUTED_VALUE"""),"F")</f>
        <v>F</v>
      </c>
      <c r="F471" s="110" t="str">
        <f ca="1">IFERROR(__xludf.DUMMYFUNCTION("""COMPUTED_VALUE"""),"J")</f>
        <v>J</v>
      </c>
      <c r="G471" s="110">
        <f ca="1">IFERROR(__xludf.DUMMYFUNCTION("""COMPUTED_VALUE"""),3)</f>
        <v>3</v>
      </c>
      <c r="H471" s="112" t="str">
        <f ca="1"/>
        <v/>
      </c>
      <c r="I471" s="112" t="str">
        <f ca="1"/>
        <v/>
      </c>
    </row>
    <row r="472" spans="1:9" ht="13.2">
      <c r="A472" s="109" t="str">
        <f ca="1">IFERROR(__xludf.DUMMYFUNCTION("""COMPUTED_VALUE"""),"DR")</f>
        <v>DR</v>
      </c>
      <c r="B472" s="108" t="str">
        <f ca="1">IFERROR(__xludf.DUMMYFUNCTION("""COMPUTED_VALUE"""),"John Taylor")</f>
        <v>John Taylor</v>
      </c>
      <c r="C472" s="109">
        <f ca="1">IFERROR(__xludf.DUMMYFUNCTION("""COMPUTED_VALUE"""),9)</f>
        <v>9</v>
      </c>
      <c r="D472" s="109" t="str">
        <f ca="1">IFERROR(__xludf.DUMMYFUNCTION("""COMPUTED_VALUE"""),"B")</f>
        <v>B</v>
      </c>
      <c r="E472" s="110" t="str">
        <f ca="1">IFERROR(__xludf.DUMMYFUNCTION("""COMPUTED_VALUE"""),"F")</f>
        <v>F</v>
      </c>
      <c r="F472" s="110" t="str">
        <f ca="1">IFERROR(__xludf.DUMMYFUNCTION("""COMPUTED_VALUE"""),"J")</f>
        <v>J</v>
      </c>
      <c r="G472" s="110">
        <f ca="1">IFERROR(__xludf.DUMMYFUNCTION("""COMPUTED_VALUE"""),3)</f>
        <v>3</v>
      </c>
      <c r="H472" s="112" t="str">
        <f ca="1"/>
        <v/>
      </c>
      <c r="I472" s="112" t="str">
        <f ca="1"/>
        <v/>
      </c>
    </row>
    <row r="473" spans="1:9" ht="13.2">
      <c r="A473" s="109" t="str">
        <f ca="1">IFERROR(__xludf.DUMMYFUNCTION("""COMPUTED_VALUE"""),"DR")</f>
        <v>DR</v>
      </c>
      <c r="B473" s="108" t="str">
        <f ca="1">IFERROR(__xludf.DUMMYFUNCTION("""COMPUTED_VALUE"""),"Krishnan Greenwood")</f>
        <v>Krishnan Greenwood</v>
      </c>
      <c r="C473" s="109">
        <f ca="1">IFERROR(__xludf.DUMMYFUNCTION("""COMPUTED_VALUE"""),10)</f>
        <v>10</v>
      </c>
      <c r="D473" s="109" t="str">
        <f ca="1">IFERROR(__xludf.DUMMYFUNCTION("""COMPUTED_VALUE"""),"B")</f>
        <v>B</v>
      </c>
      <c r="E473" s="110" t="str">
        <f ca="1">IFERROR(__xludf.DUMMYFUNCTION("""COMPUTED_VALUE"""),"F")</f>
        <v>F</v>
      </c>
      <c r="F473" s="110" t="str">
        <f ca="1">IFERROR(__xludf.DUMMYFUNCTION("""COMPUTED_VALUE"""),"J")</f>
        <v>J</v>
      </c>
      <c r="G473" s="110">
        <f ca="1">IFERROR(__xludf.DUMMYFUNCTION("""COMPUTED_VALUE"""),3)</f>
        <v>3</v>
      </c>
      <c r="H473" s="112" t="str">
        <f ca="1"/>
        <v/>
      </c>
      <c r="I473" s="112" t="str">
        <f ca="1"/>
        <v/>
      </c>
    </row>
    <row r="474" spans="1:9" ht="13.2">
      <c r="A474" s="109" t="str">
        <f ca="1">IFERROR(__xludf.DUMMYFUNCTION("""COMPUTED_VALUE"""),"DR")</f>
        <v>DR</v>
      </c>
      <c r="B474" s="108" t="str">
        <f ca="1">IFERROR(__xludf.DUMMYFUNCTION("""COMPUTED_VALUE"""),"Liam Carr")</f>
        <v>Liam Carr</v>
      </c>
      <c r="C474" s="109">
        <f ca="1">IFERROR(__xludf.DUMMYFUNCTION("""COMPUTED_VALUE"""),9)</f>
        <v>9</v>
      </c>
      <c r="D474" s="109" t="str">
        <f ca="1">IFERROR(__xludf.DUMMYFUNCTION("""COMPUTED_VALUE"""),"B")</f>
        <v>B</v>
      </c>
      <c r="E474" s="110" t="str">
        <f ca="1">IFERROR(__xludf.DUMMYFUNCTION("""COMPUTED_VALUE"""),"F")</f>
        <v>F</v>
      </c>
      <c r="F474" s="110" t="str">
        <f ca="1">IFERROR(__xludf.DUMMYFUNCTION("""COMPUTED_VALUE"""),"J")</f>
        <v>J</v>
      </c>
      <c r="G474" s="110">
        <f ca="1">IFERROR(__xludf.DUMMYFUNCTION("""COMPUTED_VALUE"""),3)</f>
        <v>3</v>
      </c>
      <c r="H474" s="112" t="str">
        <f ca="1"/>
        <v/>
      </c>
      <c r="I474" s="112" t="str">
        <f ca="1"/>
        <v/>
      </c>
    </row>
    <row r="475" spans="1:9" ht="13.2">
      <c r="A475" s="109" t="str">
        <f ca="1">IFERROR(__xludf.DUMMYFUNCTION("""COMPUTED_VALUE"""),"DR")</f>
        <v>DR</v>
      </c>
      <c r="B475" s="108" t="str">
        <f ca="1">IFERROR(__xludf.DUMMYFUNCTION("""COMPUTED_VALUE"""),"Lincoln Epstein")</f>
        <v>Lincoln Epstein</v>
      </c>
      <c r="C475" s="109">
        <f ca="1">IFERROR(__xludf.DUMMYFUNCTION("""COMPUTED_VALUE"""),9)</f>
        <v>9</v>
      </c>
      <c r="D475" s="109" t="str">
        <f ca="1">IFERROR(__xludf.DUMMYFUNCTION("""COMPUTED_VALUE"""),"B")</f>
        <v>B</v>
      </c>
      <c r="E475" s="110" t="str">
        <f ca="1">IFERROR(__xludf.DUMMYFUNCTION("""COMPUTED_VALUE"""),"F")</f>
        <v>F</v>
      </c>
      <c r="F475" s="110" t="str">
        <f ca="1">IFERROR(__xludf.DUMMYFUNCTION("""COMPUTED_VALUE"""),"J")</f>
        <v>J</v>
      </c>
      <c r="G475" s="110">
        <f ca="1">IFERROR(__xludf.DUMMYFUNCTION("""COMPUTED_VALUE"""),3)</f>
        <v>3</v>
      </c>
      <c r="H475" s="112" t="str">
        <f ca="1"/>
        <v/>
      </c>
      <c r="I475" s="81" t="str">
        <f ca="1"/>
        <v/>
      </c>
    </row>
    <row r="476" spans="1:9" ht="13.2">
      <c r="A476" s="109" t="str">
        <f ca="1">IFERROR(__xludf.DUMMYFUNCTION("""COMPUTED_VALUE"""),"DR")</f>
        <v>DR</v>
      </c>
      <c r="B476" s="108" t="str">
        <f ca="1">IFERROR(__xludf.DUMMYFUNCTION("""COMPUTED_VALUE"""),"Luke Ezzeddin")</f>
        <v>Luke Ezzeddin</v>
      </c>
      <c r="C476" s="109">
        <f ca="1">IFERROR(__xludf.DUMMYFUNCTION("""COMPUTED_VALUE"""),9)</f>
        <v>9</v>
      </c>
      <c r="D476" s="109" t="str">
        <f ca="1">IFERROR(__xludf.DUMMYFUNCTION("""COMPUTED_VALUE"""),"B")</f>
        <v>B</v>
      </c>
      <c r="E476" s="110" t="str">
        <f ca="1">IFERROR(__xludf.DUMMYFUNCTION("""COMPUTED_VALUE"""),"F")</f>
        <v>F</v>
      </c>
      <c r="F476" s="110" t="str">
        <f ca="1">IFERROR(__xludf.DUMMYFUNCTION("""COMPUTED_VALUE"""),"J")</f>
        <v>J</v>
      </c>
      <c r="G476" s="110">
        <f ca="1">IFERROR(__xludf.DUMMYFUNCTION("""COMPUTED_VALUE"""),3)</f>
        <v>3</v>
      </c>
      <c r="H476" s="112" t="str">
        <f ca="1"/>
        <v/>
      </c>
      <c r="I476" s="81" t="str">
        <f ca="1"/>
        <v/>
      </c>
    </row>
    <row r="477" spans="1:9" ht="13.2">
      <c r="A477" s="109" t="str">
        <f ca="1">IFERROR(__xludf.DUMMYFUNCTION("""COMPUTED_VALUE"""),"DR")</f>
        <v>DR</v>
      </c>
      <c r="B477" s="108" t="str">
        <f ca="1">IFERROR(__xludf.DUMMYFUNCTION("""COMPUTED_VALUE"""),"Markus Krumins")</f>
        <v>Markus Krumins</v>
      </c>
      <c r="C477" s="109">
        <f ca="1">IFERROR(__xludf.DUMMYFUNCTION("""COMPUTED_VALUE"""),6)</f>
        <v>6</v>
      </c>
      <c r="D477" s="109" t="str">
        <f ca="1">IFERROR(__xludf.DUMMYFUNCTION("""COMPUTED_VALUE"""),"B")</f>
        <v>B</v>
      </c>
      <c r="E477" s="110" t="str">
        <f ca="1">IFERROR(__xludf.DUMMYFUNCTION("""COMPUTED_VALUE"""),"F")</f>
        <v>F</v>
      </c>
      <c r="F477" s="110" t="str">
        <f ca="1">IFERROR(__xludf.DUMMYFUNCTION("""COMPUTED_VALUE"""),"J")</f>
        <v>J</v>
      </c>
      <c r="G477" s="110">
        <f ca="1">IFERROR(__xludf.DUMMYFUNCTION("""COMPUTED_VALUE"""),3)</f>
        <v>3</v>
      </c>
      <c r="H477" s="112" t="str">
        <f ca="1"/>
        <v>26.6</v>
      </c>
      <c r="I477" s="112">
        <f ca="1"/>
        <v>26.6</v>
      </c>
    </row>
    <row r="478" spans="1:9" ht="13.2">
      <c r="A478" s="109" t="str">
        <f ca="1">IFERROR(__xludf.DUMMYFUNCTION("""COMPUTED_VALUE"""),"DR")</f>
        <v>DR</v>
      </c>
      <c r="B478" s="108" t="str">
        <f ca="1">IFERROR(__xludf.DUMMYFUNCTION("""COMPUTED_VALUE"""),"Miles Rubenstein")</f>
        <v>Miles Rubenstein</v>
      </c>
      <c r="C478" s="109">
        <f ca="1">IFERROR(__xludf.DUMMYFUNCTION("""COMPUTED_VALUE"""),10)</f>
        <v>10</v>
      </c>
      <c r="D478" s="109" t="str">
        <f ca="1">IFERROR(__xludf.DUMMYFUNCTION("""COMPUTED_VALUE"""),"B")</f>
        <v>B</v>
      </c>
      <c r="E478" s="110" t="str">
        <f ca="1">IFERROR(__xludf.DUMMYFUNCTION("""COMPUTED_VALUE"""),"F")</f>
        <v>F</v>
      </c>
      <c r="F478" s="110" t="str">
        <f ca="1">IFERROR(__xludf.DUMMYFUNCTION("""COMPUTED_VALUE"""),"J")</f>
        <v>J</v>
      </c>
      <c r="G478" s="110">
        <f ca="1">IFERROR(__xludf.DUMMYFUNCTION("""COMPUTED_VALUE"""),3)</f>
        <v>3</v>
      </c>
      <c r="H478" s="112" t="str">
        <f ca="1"/>
        <v/>
      </c>
      <c r="I478" s="112" t="str">
        <f ca="1"/>
        <v/>
      </c>
    </row>
    <row r="479" spans="1:9" ht="13.2">
      <c r="A479" s="109" t="str">
        <f ca="1">IFERROR(__xludf.DUMMYFUNCTION("""COMPUTED_VALUE"""),"DR")</f>
        <v>DR</v>
      </c>
      <c r="B479" s="108" t="str">
        <f ca="1">IFERROR(__xludf.DUMMYFUNCTION("""COMPUTED_VALUE"""),"Niko Klimek")</f>
        <v>Niko Klimek</v>
      </c>
      <c r="C479" s="109">
        <f ca="1">IFERROR(__xludf.DUMMYFUNCTION("""COMPUTED_VALUE"""),10)</f>
        <v>10</v>
      </c>
      <c r="D479" s="109" t="str">
        <f ca="1">IFERROR(__xludf.DUMMYFUNCTION("""COMPUTED_VALUE"""),"B")</f>
        <v>B</v>
      </c>
      <c r="E479" s="110" t="str">
        <f ca="1">IFERROR(__xludf.DUMMYFUNCTION("""COMPUTED_VALUE"""),"F")</f>
        <v>F</v>
      </c>
      <c r="F479" s="110" t="str">
        <f ca="1">IFERROR(__xludf.DUMMYFUNCTION("""COMPUTED_VALUE"""),"J")</f>
        <v>J</v>
      </c>
      <c r="G479" s="110">
        <f ca="1">IFERROR(__xludf.DUMMYFUNCTION("""COMPUTED_VALUE"""),3)</f>
        <v>3</v>
      </c>
      <c r="H479" s="112" t="str">
        <f ca="1"/>
        <v/>
      </c>
      <c r="I479" s="112" t="str">
        <f ca="1"/>
        <v/>
      </c>
    </row>
    <row r="480" spans="1:9" ht="13.2">
      <c r="A480" s="109" t="str">
        <f ca="1">IFERROR(__xludf.DUMMYFUNCTION("""COMPUTED_VALUE"""),"DR")</f>
        <v>DR</v>
      </c>
      <c r="B480" s="108" t="str">
        <f ca="1">IFERROR(__xludf.DUMMYFUNCTION("""COMPUTED_VALUE"""),"Oliver Hill")</f>
        <v>Oliver Hill</v>
      </c>
      <c r="C480" s="109">
        <f ca="1">IFERROR(__xludf.DUMMYFUNCTION("""COMPUTED_VALUE"""),10)</f>
        <v>10</v>
      </c>
      <c r="D480" s="109" t="str">
        <f ca="1">IFERROR(__xludf.DUMMYFUNCTION("""COMPUTED_VALUE"""),"B")</f>
        <v>B</v>
      </c>
      <c r="E480" s="110" t="str">
        <f ca="1">IFERROR(__xludf.DUMMYFUNCTION("""COMPUTED_VALUE"""),"F")</f>
        <v>F</v>
      </c>
      <c r="F480" s="110" t="str">
        <f ca="1">IFERROR(__xludf.DUMMYFUNCTION("""COMPUTED_VALUE"""),"J")</f>
        <v>J</v>
      </c>
      <c r="G480" s="110">
        <f ca="1">IFERROR(__xludf.DUMMYFUNCTION("""COMPUTED_VALUE"""),3)</f>
        <v>3</v>
      </c>
      <c r="H480" s="112" t="str">
        <f ca="1"/>
        <v/>
      </c>
      <c r="I480" s="112" t="str">
        <f ca="1"/>
        <v/>
      </c>
    </row>
    <row r="481" spans="1:9" ht="13.2">
      <c r="A481" s="109" t="str">
        <f ca="1">IFERROR(__xludf.DUMMYFUNCTION("""COMPUTED_VALUE"""),"DR")</f>
        <v>DR</v>
      </c>
      <c r="B481" s="108" t="str">
        <f ca="1">IFERROR(__xludf.DUMMYFUNCTION("""COMPUTED_VALUE"""),"Oskar Winters")</f>
        <v>Oskar Winters</v>
      </c>
      <c r="C481" s="109">
        <f ca="1">IFERROR(__xludf.DUMMYFUNCTION("""COMPUTED_VALUE"""),8)</f>
        <v>8</v>
      </c>
      <c r="D481" s="109" t="str">
        <f ca="1">IFERROR(__xludf.DUMMYFUNCTION("""COMPUTED_VALUE"""),"B")</f>
        <v>B</v>
      </c>
      <c r="E481" s="110" t="str">
        <f ca="1">IFERROR(__xludf.DUMMYFUNCTION("""COMPUTED_VALUE"""),"F")</f>
        <v>F</v>
      </c>
      <c r="F481" s="110" t="str">
        <f ca="1">IFERROR(__xludf.DUMMYFUNCTION("""COMPUTED_VALUE"""),"J")</f>
        <v>J</v>
      </c>
      <c r="G481" s="110">
        <f ca="1">IFERROR(__xludf.DUMMYFUNCTION("""COMPUTED_VALUE"""),3)</f>
        <v>3</v>
      </c>
      <c r="H481" s="112" t="str">
        <f ca="1"/>
        <v/>
      </c>
      <c r="I481" s="81" t="str">
        <f ca="1"/>
        <v/>
      </c>
    </row>
    <row r="482" spans="1:9" ht="13.2">
      <c r="A482" s="109" t="str">
        <f ca="1">IFERROR(__xludf.DUMMYFUNCTION("""COMPUTED_VALUE"""),"DR")</f>
        <v>DR</v>
      </c>
      <c r="B482" s="108" t="str">
        <f ca="1">IFERROR(__xludf.DUMMYFUNCTION("""COMPUTED_VALUE"""),"Parker Englerth")</f>
        <v>Parker Englerth</v>
      </c>
      <c r="C482" s="109">
        <f ca="1">IFERROR(__xludf.DUMMYFUNCTION("""COMPUTED_VALUE"""),9)</f>
        <v>9</v>
      </c>
      <c r="D482" s="109" t="str">
        <f ca="1">IFERROR(__xludf.DUMMYFUNCTION("""COMPUTED_VALUE"""),"B")</f>
        <v>B</v>
      </c>
      <c r="E482" s="110" t="str">
        <f ca="1">IFERROR(__xludf.DUMMYFUNCTION("""COMPUTED_VALUE"""),"F")</f>
        <v>F</v>
      </c>
      <c r="F482" s="110" t="str">
        <f ca="1">IFERROR(__xludf.DUMMYFUNCTION("""COMPUTED_VALUE"""),"J")</f>
        <v>J</v>
      </c>
      <c r="G482" s="110">
        <f ca="1">IFERROR(__xludf.DUMMYFUNCTION("""COMPUTED_VALUE"""),3)</f>
        <v>3</v>
      </c>
      <c r="H482" s="112" t="str">
        <f ca="1"/>
        <v>32.8</v>
      </c>
      <c r="I482" s="112">
        <f ca="1"/>
        <v>32.799999999999997</v>
      </c>
    </row>
    <row r="483" spans="1:9" ht="13.2">
      <c r="A483" s="109" t="str">
        <f ca="1">IFERROR(__xludf.DUMMYFUNCTION("""COMPUTED_VALUE"""),"DR")</f>
        <v>DR</v>
      </c>
      <c r="B483" s="108" t="str">
        <f ca="1">IFERROR(__xludf.DUMMYFUNCTION("""COMPUTED_VALUE"""),"Philip Bastow")</f>
        <v>Philip Bastow</v>
      </c>
      <c r="C483" s="109">
        <f ca="1">IFERROR(__xludf.DUMMYFUNCTION("""COMPUTED_VALUE"""),8)</f>
        <v>8</v>
      </c>
      <c r="D483" s="109" t="str">
        <f ca="1">IFERROR(__xludf.DUMMYFUNCTION("""COMPUTED_VALUE"""),"B")</f>
        <v>B</v>
      </c>
      <c r="E483" s="110" t="str">
        <f ca="1">IFERROR(__xludf.DUMMYFUNCTION("""COMPUTED_VALUE"""),"F")</f>
        <v>F</v>
      </c>
      <c r="F483" s="110" t="str">
        <f ca="1">IFERROR(__xludf.DUMMYFUNCTION("""COMPUTED_VALUE"""),"J")</f>
        <v>J</v>
      </c>
      <c r="G483" s="110">
        <f ca="1">IFERROR(__xludf.DUMMYFUNCTION("""COMPUTED_VALUE"""),3)</f>
        <v>3</v>
      </c>
      <c r="H483" s="112" t="str">
        <f ca="1"/>
        <v/>
      </c>
      <c r="I483" s="81" t="str">
        <f ca="1"/>
        <v/>
      </c>
    </row>
    <row r="484" spans="1:9" ht="13.2">
      <c r="A484" s="109" t="str">
        <f ca="1">IFERROR(__xludf.DUMMYFUNCTION("""COMPUTED_VALUE"""),"DR")</f>
        <v>DR</v>
      </c>
      <c r="B484" s="108" t="str">
        <f ca="1">IFERROR(__xludf.DUMMYFUNCTION("""COMPUTED_VALUE"""),"Sebastian Colvin")</f>
        <v>Sebastian Colvin</v>
      </c>
      <c r="C484" s="109">
        <f ca="1">IFERROR(__xludf.DUMMYFUNCTION("""COMPUTED_VALUE"""),10)</f>
        <v>10</v>
      </c>
      <c r="D484" s="109" t="str">
        <f ca="1">IFERROR(__xludf.DUMMYFUNCTION("""COMPUTED_VALUE"""),"B")</f>
        <v>B</v>
      </c>
      <c r="E484" s="110" t="str">
        <f ca="1">IFERROR(__xludf.DUMMYFUNCTION("""COMPUTED_VALUE"""),"F")</f>
        <v>F</v>
      </c>
      <c r="F484" s="110" t="str">
        <f ca="1">IFERROR(__xludf.DUMMYFUNCTION("""COMPUTED_VALUE"""),"J")</f>
        <v>J</v>
      </c>
      <c r="G484" s="110">
        <f ca="1">IFERROR(__xludf.DUMMYFUNCTION("""COMPUTED_VALUE"""),3)</f>
        <v>3</v>
      </c>
      <c r="H484" s="112" t="str">
        <f ca="1"/>
        <v/>
      </c>
      <c r="I484" s="81" t="str">
        <f ca="1"/>
        <v/>
      </c>
    </row>
    <row r="485" spans="1:9" ht="13.2">
      <c r="A485" s="109" t="str">
        <f ca="1">IFERROR(__xludf.DUMMYFUNCTION("""COMPUTED_VALUE"""),"DR")</f>
        <v>DR</v>
      </c>
      <c r="B485" s="108" t="str">
        <f ca="1">IFERROR(__xludf.DUMMYFUNCTION("""COMPUTED_VALUE"""),"Theo Winters")</f>
        <v>Theo Winters</v>
      </c>
      <c r="C485" s="109">
        <f ca="1">IFERROR(__xludf.DUMMYFUNCTION("""COMPUTED_VALUE"""),5)</f>
        <v>5</v>
      </c>
      <c r="D485" s="109" t="str">
        <f ca="1">IFERROR(__xludf.DUMMYFUNCTION("""COMPUTED_VALUE"""),"B")</f>
        <v>B</v>
      </c>
      <c r="E485" s="110" t="str">
        <f ca="1">IFERROR(__xludf.DUMMYFUNCTION("""COMPUTED_VALUE"""),"F")</f>
        <v>F</v>
      </c>
      <c r="F485" s="110" t="str">
        <f ca="1">IFERROR(__xludf.DUMMYFUNCTION("""COMPUTED_VALUE"""),"J")</f>
        <v>J</v>
      </c>
      <c r="G485" s="110">
        <f ca="1">IFERROR(__xludf.DUMMYFUNCTION("""COMPUTED_VALUE"""),3)</f>
        <v>3</v>
      </c>
      <c r="H485" s="112" t="str">
        <f ca="1"/>
        <v/>
      </c>
      <c r="I485" s="112" t="str">
        <f ca="1"/>
        <v/>
      </c>
    </row>
    <row r="486" spans="1:9" ht="13.2">
      <c r="A486" s="109" t="str">
        <f ca="1">IFERROR(__xludf.DUMMYFUNCTION("""COMPUTED_VALUE"""),"DR")</f>
        <v>DR</v>
      </c>
      <c r="B486" s="108" t="str">
        <f ca="1">IFERROR(__xludf.DUMMYFUNCTION("""COMPUTED_VALUE"""),"Thomas Edgerton")</f>
        <v>Thomas Edgerton</v>
      </c>
      <c r="C486" s="109">
        <f ca="1">IFERROR(__xludf.DUMMYFUNCTION("""COMPUTED_VALUE"""),8)</f>
        <v>8</v>
      </c>
      <c r="D486" s="109" t="str">
        <f ca="1">IFERROR(__xludf.DUMMYFUNCTION("""COMPUTED_VALUE"""),"B")</f>
        <v>B</v>
      </c>
      <c r="E486" s="110" t="str">
        <f ca="1">IFERROR(__xludf.DUMMYFUNCTION("""COMPUTED_VALUE"""),"F")</f>
        <v>F</v>
      </c>
      <c r="F486" s="110" t="str">
        <f ca="1">IFERROR(__xludf.DUMMYFUNCTION("""COMPUTED_VALUE"""),"J")</f>
        <v>J</v>
      </c>
      <c r="G486" s="110">
        <f ca="1">IFERROR(__xludf.DUMMYFUNCTION("""COMPUTED_VALUE"""),3)</f>
        <v>3</v>
      </c>
      <c r="H486" s="112" t="str">
        <f ca="1"/>
        <v/>
      </c>
      <c r="I486" s="81" t="str">
        <f ca="1"/>
        <v/>
      </c>
    </row>
    <row r="487" spans="1:9" ht="13.2">
      <c r="A487" s="109" t="str">
        <f ca="1">IFERROR(__xludf.DUMMYFUNCTION("""COMPUTED_VALUE"""),"DR")</f>
        <v>DR</v>
      </c>
      <c r="B487" s="108" t="str">
        <f ca="1">IFERROR(__xludf.DUMMYFUNCTION("""COMPUTED_VALUE"""),"Todd Orvald")</f>
        <v>Todd Orvald</v>
      </c>
      <c r="C487" s="109">
        <f ca="1">IFERROR(__xludf.DUMMYFUNCTION("""COMPUTED_VALUE"""),10)</f>
        <v>10</v>
      </c>
      <c r="D487" s="109" t="str">
        <f ca="1">IFERROR(__xludf.DUMMYFUNCTION("""COMPUTED_VALUE"""),"B")</f>
        <v>B</v>
      </c>
      <c r="E487" s="110" t="str">
        <f ca="1">IFERROR(__xludf.DUMMYFUNCTION("""COMPUTED_VALUE"""),"F")</f>
        <v>F</v>
      </c>
      <c r="F487" s="110" t="str">
        <f ca="1">IFERROR(__xludf.DUMMYFUNCTION("""COMPUTED_VALUE"""),"J")</f>
        <v>J</v>
      </c>
      <c r="G487" s="110">
        <f ca="1">IFERROR(__xludf.DUMMYFUNCTION("""COMPUTED_VALUE"""),3)</f>
        <v>3</v>
      </c>
      <c r="H487" s="112" t="str">
        <f ca="1"/>
        <v>44.8</v>
      </c>
      <c r="I487" s="112">
        <f ca="1"/>
        <v>44.8</v>
      </c>
    </row>
    <row r="488" spans="1:9" ht="13.2">
      <c r="A488" s="109" t="str">
        <f ca="1">IFERROR(__xludf.DUMMYFUNCTION("""COMPUTED_VALUE"""),"DR")</f>
        <v>DR</v>
      </c>
      <c r="B488" s="108" t="str">
        <f ca="1">IFERROR(__xludf.DUMMYFUNCTION("""COMPUTED_VALUE"""),"William McCool")</f>
        <v>William McCool</v>
      </c>
      <c r="C488" s="109">
        <f ca="1">IFERROR(__xludf.DUMMYFUNCTION("""COMPUTED_VALUE"""),7)</f>
        <v>7</v>
      </c>
      <c r="D488" s="109" t="str">
        <f ca="1">IFERROR(__xludf.DUMMYFUNCTION("""COMPUTED_VALUE"""),"B")</f>
        <v>B</v>
      </c>
      <c r="E488" s="110" t="str">
        <f ca="1">IFERROR(__xludf.DUMMYFUNCTION("""COMPUTED_VALUE"""),"F")</f>
        <v>F</v>
      </c>
      <c r="F488" s="110" t="str">
        <f ca="1">IFERROR(__xludf.DUMMYFUNCTION("""COMPUTED_VALUE"""),"J")</f>
        <v>J</v>
      </c>
      <c r="G488" s="110">
        <f ca="1">IFERROR(__xludf.DUMMYFUNCTION("""COMPUTED_VALUE"""),3)</f>
        <v>3</v>
      </c>
      <c r="H488" s="112" t="str">
        <f ca="1"/>
        <v/>
      </c>
      <c r="I488" s="112" t="str">
        <f ca="1"/>
        <v/>
      </c>
    </row>
    <row r="489" spans="1:9" ht="13.2">
      <c r="A489" s="109" t="str">
        <f ca="1">IFERROR(__xludf.DUMMYFUNCTION("""COMPUTED_VALUE"""),"DR")</f>
        <v>DR</v>
      </c>
      <c r="B489" s="108" t="str">
        <f ca="1">IFERROR(__xludf.DUMMYFUNCTION("""COMPUTED_VALUE"""),"William Staren")</f>
        <v>William Staren</v>
      </c>
      <c r="C489" s="109">
        <f ca="1">IFERROR(__xludf.DUMMYFUNCTION("""COMPUTED_VALUE"""),9)</f>
        <v>9</v>
      </c>
      <c r="D489" s="109" t="str">
        <f ca="1">IFERROR(__xludf.DUMMYFUNCTION("""COMPUTED_VALUE"""),"B")</f>
        <v>B</v>
      </c>
      <c r="E489" s="110" t="str">
        <f ca="1">IFERROR(__xludf.DUMMYFUNCTION("""COMPUTED_VALUE"""),"F")</f>
        <v>F</v>
      </c>
      <c r="F489" s="110" t="str">
        <f ca="1">IFERROR(__xludf.DUMMYFUNCTION("""COMPUTED_VALUE"""),"J")</f>
        <v>J</v>
      </c>
      <c r="G489" s="110">
        <f ca="1">IFERROR(__xludf.DUMMYFUNCTION("""COMPUTED_VALUE"""),3)</f>
        <v>3</v>
      </c>
      <c r="H489" s="112" t="str">
        <f ca="1"/>
        <v>25.75</v>
      </c>
      <c r="I489" s="81">
        <f ca="1"/>
        <v>25.75</v>
      </c>
    </row>
    <row r="490" spans="1:9" ht="13.2">
      <c r="A490" s="109" t="str">
        <f ca="1">IFERROR(__xludf.DUMMYFUNCTION("""COMPUTED_VALUE"""),"DR")</f>
        <v>DR</v>
      </c>
      <c r="B490" s="108" t="str">
        <f ca="1">IFERROR(__xludf.DUMMYFUNCTION("""COMPUTED_VALUE"""),"Alexandra Klimek")</f>
        <v>Alexandra Klimek</v>
      </c>
      <c r="C490" s="109">
        <f ca="1">IFERROR(__xludf.DUMMYFUNCTION("""COMPUTED_VALUE"""),8)</f>
        <v>8</v>
      </c>
      <c r="D490" s="109" t="str">
        <f ca="1">IFERROR(__xludf.DUMMYFUNCTION("""COMPUTED_VALUE"""),"G")</f>
        <v>G</v>
      </c>
      <c r="E490" s="110" t="str">
        <f ca="1">IFERROR(__xludf.DUMMYFUNCTION("""COMPUTED_VALUE"""),"F")</f>
        <v>F</v>
      </c>
      <c r="F490" s="110" t="str">
        <f ca="1">IFERROR(__xludf.DUMMYFUNCTION("""COMPUTED_VALUE"""),"J")</f>
        <v>J</v>
      </c>
      <c r="G490" s="110">
        <f ca="1">IFERROR(__xludf.DUMMYFUNCTION("""COMPUTED_VALUE"""),3)</f>
        <v>3</v>
      </c>
      <c r="H490" s="112" t="str">
        <f ca="1"/>
        <v/>
      </c>
      <c r="I490" s="112" t="str">
        <f ca="1"/>
        <v/>
      </c>
    </row>
    <row r="491" spans="1:9" ht="13.2">
      <c r="A491" s="109" t="str">
        <f ca="1">IFERROR(__xludf.DUMMYFUNCTION("""COMPUTED_VALUE"""),"DR")</f>
        <v>DR</v>
      </c>
      <c r="B491" s="108" t="str">
        <f ca="1">IFERROR(__xludf.DUMMYFUNCTION("""COMPUTED_VALUE"""),"Ann Madden")</f>
        <v>Ann Madden</v>
      </c>
      <c r="C491" s="109">
        <f ca="1">IFERROR(__xludf.DUMMYFUNCTION("""COMPUTED_VALUE"""),7)</f>
        <v>7</v>
      </c>
      <c r="D491" s="109" t="str">
        <f ca="1">IFERROR(__xludf.DUMMYFUNCTION("""COMPUTED_VALUE"""),"G")</f>
        <v>G</v>
      </c>
      <c r="E491" s="110" t="str">
        <f ca="1">IFERROR(__xludf.DUMMYFUNCTION("""COMPUTED_VALUE"""),"F")</f>
        <v>F</v>
      </c>
      <c r="F491" s="110" t="str">
        <f ca="1">IFERROR(__xludf.DUMMYFUNCTION("""COMPUTED_VALUE"""),"J")</f>
        <v>J</v>
      </c>
      <c r="G491" s="110">
        <f ca="1">IFERROR(__xludf.DUMMYFUNCTION("""COMPUTED_VALUE"""),3)</f>
        <v>3</v>
      </c>
      <c r="H491" s="112" t="str">
        <f ca="1"/>
        <v>44.45</v>
      </c>
      <c r="I491" s="81">
        <f ca="1"/>
        <v>44.45</v>
      </c>
    </row>
    <row r="492" spans="1:9" ht="13.2">
      <c r="A492" s="109" t="str">
        <f ca="1">IFERROR(__xludf.DUMMYFUNCTION("""COMPUTED_VALUE"""),"DR")</f>
        <v>DR</v>
      </c>
      <c r="B492" s="108" t="str">
        <f ca="1">IFERROR(__xludf.DUMMYFUNCTION("""COMPUTED_VALUE"""),"Anna Edgerton")</f>
        <v>Anna Edgerton</v>
      </c>
      <c r="C492" s="109">
        <f ca="1">IFERROR(__xludf.DUMMYFUNCTION("""COMPUTED_VALUE"""),10)</f>
        <v>10</v>
      </c>
      <c r="D492" s="109" t="str">
        <f ca="1">IFERROR(__xludf.DUMMYFUNCTION("""COMPUTED_VALUE"""),"G")</f>
        <v>G</v>
      </c>
      <c r="E492" s="110" t="str">
        <f ca="1">IFERROR(__xludf.DUMMYFUNCTION("""COMPUTED_VALUE"""),"F")</f>
        <v>F</v>
      </c>
      <c r="F492" s="110" t="str">
        <f ca="1">IFERROR(__xludf.DUMMYFUNCTION("""COMPUTED_VALUE"""),"J")</f>
        <v>J</v>
      </c>
      <c r="G492" s="110">
        <f ca="1">IFERROR(__xludf.DUMMYFUNCTION("""COMPUTED_VALUE"""),3)</f>
        <v>3</v>
      </c>
      <c r="H492" s="112" t="str">
        <f ca="1"/>
        <v/>
      </c>
      <c r="I492" s="112" t="str">
        <f ca="1"/>
        <v/>
      </c>
    </row>
    <row r="493" spans="1:9" ht="13.2">
      <c r="A493" s="109" t="str">
        <f ca="1">IFERROR(__xludf.DUMMYFUNCTION("""COMPUTED_VALUE"""),"DR")</f>
        <v>DR</v>
      </c>
      <c r="B493" s="108" t="str">
        <f ca="1">IFERROR(__xludf.DUMMYFUNCTION("""COMPUTED_VALUE"""),"Austin Johnson")</f>
        <v>Austin Johnson</v>
      </c>
      <c r="C493" s="109">
        <f ca="1">IFERROR(__xludf.DUMMYFUNCTION("""COMPUTED_VALUE"""),9)</f>
        <v>9</v>
      </c>
      <c r="D493" s="109" t="str">
        <f ca="1">IFERROR(__xludf.DUMMYFUNCTION("""COMPUTED_VALUE"""),"G")</f>
        <v>G</v>
      </c>
      <c r="E493" s="110" t="str">
        <f ca="1">IFERROR(__xludf.DUMMYFUNCTION("""COMPUTED_VALUE"""),"F")</f>
        <v>F</v>
      </c>
      <c r="F493" s="110" t="str">
        <f ca="1">IFERROR(__xludf.DUMMYFUNCTION("""COMPUTED_VALUE"""),"J")</f>
        <v>J</v>
      </c>
      <c r="G493" s="110">
        <f ca="1">IFERROR(__xludf.DUMMYFUNCTION("""COMPUTED_VALUE"""),3)</f>
        <v>3</v>
      </c>
      <c r="H493" s="112" t="str">
        <f ca="1"/>
        <v/>
      </c>
      <c r="I493" s="81" t="str">
        <f ca="1"/>
        <v/>
      </c>
    </row>
    <row r="494" spans="1:9" ht="13.2">
      <c r="A494" s="109" t="str">
        <f ca="1">IFERROR(__xludf.DUMMYFUNCTION("""COMPUTED_VALUE"""),"DR")</f>
        <v>DR</v>
      </c>
      <c r="B494" s="108" t="str">
        <f ca="1">IFERROR(__xludf.DUMMYFUNCTION("""COMPUTED_VALUE"""),"Caroline Baca")</f>
        <v>Caroline Baca</v>
      </c>
      <c r="C494" s="109">
        <f ca="1">IFERROR(__xludf.DUMMYFUNCTION("""COMPUTED_VALUE"""),7)</f>
        <v>7</v>
      </c>
      <c r="D494" s="109" t="str">
        <f ca="1">IFERROR(__xludf.DUMMYFUNCTION("""COMPUTED_VALUE"""),"G")</f>
        <v>G</v>
      </c>
      <c r="E494" s="110" t="str">
        <f ca="1">IFERROR(__xludf.DUMMYFUNCTION("""COMPUTED_VALUE"""),"F")</f>
        <v>F</v>
      </c>
      <c r="F494" s="110" t="str">
        <f ca="1">IFERROR(__xludf.DUMMYFUNCTION("""COMPUTED_VALUE"""),"J")</f>
        <v>J</v>
      </c>
      <c r="G494" s="110">
        <f ca="1">IFERROR(__xludf.DUMMYFUNCTION("""COMPUTED_VALUE"""),3)</f>
        <v>3</v>
      </c>
      <c r="H494" s="112" t="str">
        <f ca="1"/>
        <v/>
      </c>
      <c r="I494" s="81" t="str">
        <f ca="1"/>
        <v/>
      </c>
    </row>
    <row r="495" spans="1:9" ht="13.2">
      <c r="A495" s="109" t="str">
        <f ca="1">IFERROR(__xludf.DUMMYFUNCTION("""COMPUTED_VALUE"""),"DR")</f>
        <v>DR</v>
      </c>
      <c r="B495" s="108" t="str">
        <f ca="1">IFERROR(__xludf.DUMMYFUNCTION("""COMPUTED_VALUE"""),"Claire McCool")</f>
        <v>Claire McCool</v>
      </c>
      <c r="C495" s="109">
        <f ca="1">IFERROR(__xludf.DUMMYFUNCTION("""COMPUTED_VALUE"""),9)</f>
        <v>9</v>
      </c>
      <c r="D495" s="109" t="str">
        <f ca="1">IFERROR(__xludf.DUMMYFUNCTION("""COMPUTED_VALUE"""),"G")</f>
        <v>G</v>
      </c>
      <c r="E495" s="110" t="str">
        <f ca="1">IFERROR(__xludf.DUMMYFUNCTION("""COMPUTED_VALUE"""),"F")</f>
        <v>F</v>
      </c>
      <c r="F495" s="110" t="str">
        <f ca="1">IFERROR(__xludf.DUMMYFUNCTION("""COMPUTED_VALUE"""),"J")</f>
        <v>J</v>
      </c>
      <c r="G495" s="110">
        <f ca="1">IFERROR(__xludf.DUMMYFUNCTION("""COMPUTED_VALUE"""),3)</f>
        <v>3</v>
      </c>
      <c r="H495" s="112" t="str">
        <f ca="1"/>
        <v>27.85</v>
      </c>
      <c r="I495" s="112">
        <f ca="1"/>
        <v>27.85</v>
      </c>
    </row>
    <row r="496" spans="1:9" ht="13.2">
      <c r="A496" s="109" t="str">
        <f ca="1">IFERROR(__xludf.DUMMYFUNCTION("""COMPUTED_VALUE"""),"DR")</f>
        <v>DR</v>
      </c>
      <c r="B496" s="108" t="str">
        <f ca="1">IFERROR(__xludf.DUMMYFUNCTION("""COMPUTED_VALUE"""),"Elaine Stafford")</f>
        <v>Elaine Stafford</v>
      </c>
      <c r="C496" s="109">
        <f ca="1">IFERROR(__xludf.DUMMYFUNCTION("""COMPUTED_VALUE"""),9)</f>
        <v>9</v>
      </c>
      <c r="D496" s="109" t="str">
        <f ca="1">IFERROR(__xludf.DUMMYFUNCTION("""COMPUTED_VALUE"""),"G")</f>
        <v>G</v>
      </c>
      <c r="E496" s="110" t="str">
        <f ca="1">IFERROR(__xludf.DUMMYFUNCTION("""COMPUTED_VALUE"""),"F")</f>
        <v>F</v>
      </c>
      <c r="F496" s="110" t="str">
        <f ca="1">IFERROR(__xludf.DUMMYFUNCTION("""COMPUTED_VALUE"""),"J")</f>
        <v>J</v>
      </c>
      <c r="G496" s="110">
        <f ca="1">IFERROR(__xludf.DUMMYFUNCTION("""COMPUTED_VALUE"""),3)</f>
        <v>3</v>
      </c>
      <c r="H496" s="112" t="str">
        <f ca="1"/>
        <v/>
      </c>
      <c r="I496" s="81" t="str">
        <f ca="1"/>
        <v/>
      </c>
    </row>
    <row r="497" spans="1:9" ht="13.2">
      <c r="A497" s="109" t="str">
        <f ca="1">IFERROR(__xludf.DUMMYFUNCTION("""COMPUTED_VALUE"""),"DR")</f>
        <v>DR</v>
      </c>
      <c r="B497" s="108" t="str">
        <f ca="1">IFERROR(__xludf.DUMMYFUNCTION("""COMPUTED_VALUE"""),"Emma Traille")</f>
        <v>Emma Traille</v>
      </c>
      <c r="C497" s="109">
        <f ca="1">IFERROR(__xludf.DUMMYFUNCTION("""COMPUTED_VALUE"""),10)</f>
        <v>10</v>
      </c>
      <c r="D497" s="109" t="str">
        <f ca="1">IFERROR(__xludf.DUMMYFUNCTION("""COMPUTED_VALUE"""),"G")</f>
        <v>G</v>
      </c>
      <c r="E497" s="110" t="str">
        <f ca="1">IFERROR(__xludf.DUMMYFUNCTION("""COMPUTED_VALUE"""),"F")</f>
        <v>F</v>
      </c>
      <c r="F497" s="110" t="str">
        <f ca="1">IFERROR(__xludf.DUMMYFUNCTION("""COMPUTED_VALUE"""),"J")</f>
        <v>J</v>
      </c>
      <c r="G497" s="110">
        <f ca="1">IFERROR(__xludf.DUMMYFUNCTION("""COMPUTED_VALUE"""),3)</f>
        <v>3</v>
      </c>
      <c r="H497" s="112" t="str">
        <f ca="1"/>
        <v/>
      </c>
      <c r="I497" s="112" t="str">
        <f ca="1"/>
        <v/>
      </c>
    </row>
    <row r="498" spans="1:9" ht="13.2">
      <c r="A498" s="109" t="str">
        <f ca="1">IFERROR(__xludf.DUMMYFUNCTION("""COMPUTED_VALUE"""),"DR")</f>
        <v>DR</v>
      </c>
      <c r="B498" s="108" t="str">
        <f ca="1">IFERROR(__xludf.DUMMYFUNCTION("""COMPUTED_VALUE"""),"Everly Utz")</f>
        <v>Everly Utz</v>
      </c>
      <c r="C498" s="109">
        <f ca="1">IFERROR(__xludf.DUMMYFUNCTION("""COMPUTED_VALUE"""),9)</f>
        <v>9</v>
      </c>
      <c r="D498" s="109" t="str">
        <f ca="1">IFERROR(__xludf.DUMMYFUNCTION("""COMPUTED_VALUE"""),"G")</f>
        <v>G</v>
      </c>
      <c r="E498" s="110" t="str">
        <f ca="1">IFERROR(__xludf.DUMMYFUNCTION("""COMPUTED_VALUE"""),"F")</f>
        <v>F</v>
      </c>
      <c r="F498" s="110" t="str">
        <f ca="1">IFERROR(__xludf.DUMMYFUNCTION("""COMPUTED_VALUE"""),"J")</f>
        <v>J</v>
      </c>
      <c r="G498" s="110">
        <f ca="1">IFERROR(__xludf.DUMMYFUNCTION("""COMPUTED_VALUE"""),3)</f>
        <v>3</v>
      </c>
      <c r="H498" s="112" t="str">
        <f ca="1"/>
        <v/>
      </c>
      <c r="I498" s="112" t="str">
        <f ca="1"/>
        <v/>
      </c>
    </row>
    <row r="499" spans="1:9" ht="13.2">
      <c r="A499" s="109" t="str">
        <f ca="1">IFERROR(__xludf.DUMMYFUNCTION("""COMPUTED_VALUE"""),"DR")</f>
        <v>DR</v>
      </c>
      <c r="B499" s="108" t="str">
        <f ca="1">IFERROR(__xludf.DUMMYFUNCTION("""COMPUTED_VALUE"""),"Finley McDonnell")</f>
        <v>Finley McDonnell</v>
      </c>
      <c r="C499" s="109">
        <f ca="1">IFERROR(__xludf.DUMMYFUNCTION("""COMPUTED_VALUE"""),7)</f>
        <v>7</v>
      </c>
      <c r="D499" s="109" t="str">
        <f ca="1">IFERROR(__xludf.DUMMYFUNCTION("""COMPUTED_VALUE"""),"G")</f>
        <v>G</v>
      </c>
      <c r="E499" s="110" t="str">
        <f ca="1">IFERROR(__xludf.DUMMYFUNCTION("""COMPUTED_VALUE"""),"F")</f>
        <v>F</v>
      </c>
      <c r="F499" s="110" t="str">
        <f ca="1">IFERROR(__xludf.DUMMYFUNCTION("""COMPUTED_VALUE"""),"J")</f>
        <v>J</v>
      </c>
      <c r="G499" s="110">
        <f ca="1">IFERROR(__xludf.DUMMYFUNCTION("""COMPUTED_VALUE"""),3)</f>
        <v>3</v>
      </c>
      <c r="H499" s="112" t="str">
        <f ca="1"/>
        <v/>
      </c>
      <c r="I499" s="81" t="str">
        <f ca="1"/>
        <v/>
      </c>
    </row>
    <row r="500" spans="1:9" ht="13.2">
      <c r="A500" s="109" t="str">
        <f ca="1">IFERROR(__xludf.DUMMYFUNCTION("""COMPUTED_VALUE"""),"DR")</f>
        <v>DR</v>
      </c>
      <c r="B500" s="108" t="str">
        <f ca="1">IFERROR(__xludf.DUMMYFUNCTION("""COMPUTED_VALUE"""),"Grayson Wishneff")</f>
        <v>Grayson Wishneff</v>
      </c>
      <c r="C500" s="109">
        <f ca="1">IFERROR(__xludf.DUMMYFUNCTION("""COMPUTED_VALUE"""),9)</f>
        <v>9</v>
      </c>
      <c r="D500" s="109" t="str">
        <f ca="1">IFERROR(__xludf.DUMMYFUNCTION("""COMPUTED_VALUE"""),"G")</f>
        <v>G</v>
      </c>
      <c r="E500" s="110" t="str">
        <f ca="1">IFERROR(__xludf.DUMMYFUNCTION("""COMPUTED_VALUE"""),"F")</f>
        <v>F</v>
      </c>
      <c r="F500" s="110" t="str">
        <f ca="1">IFERROR(__xludf.DUMMYFUNCTION("""COMPUTED_VALUE"""),"J")</f>
        <v>J</v>
      </c>
      <c r="G500" s="110">
        <f ca="1">IFERROR(__xludf.DUMMYFUNCTION("""COMPUTED_VALUE"""),3)</f>
        <v>3</v>
      </c>
      <c r="H500" s="112" t="str">
        <f ca="1"/>
        <v>27.85</v>
      </c>
      <c r="I500" s="81">
        <f ca="1"/>
        <v>27.85</v>
      </c>
    </row>
    <row r="501" spans="1:9" ht="13.2">
      <c r="A501" s="109" t="str">
        <f ca="1">IFERROR(__xludf.DUMMYFUNCTION("""COMPUTED_VALUE"""),"DR")</f>
        <v>DR</v>
      </c>
      <c r="B501" s="108" t="str">
        <f ca="1">IFERROR(__xludf.DUMMYFUNCTION("""COMPUTED_VALUE"""),"Hailey Mesack")</f>
        <v>Hailey Mesack</v>
      </c>
      <c r="C501" s="109">
        <f ca="1">IFERROR(__xludf.DUMMYFUNCTION("""COMPUTED_VALUE"""),9)</f>
        <v>9</v>
      </c>
      <c r="D501" s="109" t="str">
        <f ca="1">IFERROR(__xludf.DUMMYFUNCTION("""COMPUTED_VALUE"""),"G")</f>
        <v>G</v>
      </c>
      <c r="E501" s="110" t="str">
        <f ca="1">IFERROR(__xludf.DUMMYFUNCTION("""COMPUTED_VALUE"""),"F")</f>
        <v>F</v>
      </c>
      <c r="F501" s="110" t="str">
        <f ca="1">IFERROR(__xludf.DUMMYFUNCTION("""COMPUTED_VALUE"""),"J")</f>
        <v>J</v>
      </c>
      <c r="G501" s="110">
        <f ca="1">IFERROR(__xludf.DUMMYFUNCTION("""COMPUTED_VALUE"""),3)</f>
        <v>3</v>
      </c>
      <c r="H501" s="112" t="str">
        <f ca="1"/>
        <v>26.65</v>
      </c>
      <c r="I501" s="81">
        <f ca="1"/>
        <v>26.65</v>
      </c>
    </row>
    <row r="502" spans="1:9" ht="13.2">
      <c r="A502" s="109" t="str">
        <f ca="1">IFERROR(__xludf.DUMMYFUNCTION("""COMPUTED_VALUE"""),"DR")</f>
        <v>DR</v>
      </c>
      <c r="B502" s="108" t="str">
        <f ca="1">IFERROR(__xludf.DUMMYFUNCTION("""COMPUTED_VALUE"""),"Ivy Thompson")</f>
        <v>Ivy Thompson</v>
      </c>
      <c r="C502" s="109">
        <f ca="1">IFERROR(__xludf.DUMMYFUNCTION("""COMPUTED_VALUE"""),8)</f>
        <v>8</v>
      </c>
      <c r="D502" s="109" t="str">
        <f ca="1">IFERROR(__xludf.DUMMYFUNCTION("""COMPUTED_VALUE"""),"G")</f>
        <v>G</v>
      </c>
      <c r="E502" s="110" t="str">
        <f ca="1">IFERROR(__xludf.DUMMYFUNCTION("""COMPUTED_VALUE"""),"F")</f>
        <v>F</v>
      </c>
      <c r="F502" s="110" t="str">
        <f ca="1">IFERROR(__xludf.DUMMYFUNCTION("""COMPUTED_VALUE"""),"J")</f>
        <v>J</v>
      </c>
      <c r="G502" s="110">
        <f ca="1">IFERROR(__xludf.DUMMYFUNCTION("""COMPUTED_VALUE"""),3)</f>
        <v>3</v>
      </c>
      <c r="H502" s="112" t="str">
        <f ca="1"/>
        <v/>
      </c>
      <c r="I502" s="81" t="str">
        <f ca="1"/>
        <v/>
      </c>
    </row>
    <row r="503" spans="1:9" ht="13.2">
      <c r="A503" s="109" t="str">
        <f ca="1">IFERROR(__xludf.DUMMYFUNCTION("""COMPUTED_VALUE"""),"DR")</f>
        <v>DR</v>
      </c>
      <c r="B503" s="108" t="str">
        <f ca="1">IFERROR(__xludf.DUMMYFUNCTION("""COMPUTED_VALUE"""),"Keegan Clark")</f>
        <v>Keegan Clark</v>
      </c>
      <c r="C503" s="109">
        <f ca="1">IFERROR(__xludf.DUMMYFUNCTION("""COMPUTED_VALUE"""),10)</f>
        <v>10</v>
      </c>
      <c r="D503" s="109" t="str">
        <f ca="1">IFERROR(__xludf.DUMMYFUNCTION("""COMPUTED_VALUE"""),"G")</f>
        <v>G</v>
      </c>
      <c r="E503" s="110" t="str">
        <f ca="1">IFERROR(__xludf.DUMMYFUNCTION("""COMPUTED_VALUE"""),"F")</f>
        <v>F</v>
      </c>
      <c r="F503" s="110" t="str">
        <f ca="1">IFERROR(__xludf.DUMMYFUNCTION("""COMPUTED_VALUE"""),"J")</f>
        <v>J</v>
      </c>
      <c r="G503" s="110">
        <f ca="1">IFERROR(__xludf.DUMMYFUNCTION("""COMPUTED_VALUE"""),3)</f>
        <v>3</v>
      </c>
      <c r="H503" s="112" t="str">
        <f ca="1"/>
        <v/>
      </c>
      <c r="I503" s="112" t="str">
        <f ca="1"/>
        <v/>
      </c>
    </row>
    <row r="504" spans="1:9" ht="13.2">
      <c r="A504" s="109" t="str">
        <f ca="1">IFERROR(__xludf.DUMMYFUNCTION("""COMPUTED_VALUE"""),"DR")</f>
        <v>DR</v>
      </c>
      <c r="B504" s="108" t="str">
        <f ca="1">IFERROR(__xludf.DUMMYFUNCTION("""COMPUTED_VALUE"""),"Leela Lakhani")</f>
        <v>Leela Lakhani</v>
      </c>
      <c r="C504" s="109">
        <f ca="1">IFERROR(__xludf.DUMMYFUNCTION("""COMPUTED_VALUE"""),8)</f>
        <v>8</v>
      </c>
      <c r="D504" s="109" t="str">
        <f ca="1">IFERROR(__xludf.DUMMYFUNCTION("""COMPUTED_VALUE"""),"G")</f>
        <v>G</v>
      </c>
      <c r="E504" s="110" t="str">
        <f ca="1">IFERROR(__xludf.DUMMYFUNCTION("""COMPUTED_VALUE"""),"F")</f>
        <v>F</v>
      </c>
      <c r="F504" s="110" t="str">
        <f ca="1">IFERROR(__xludf.DUMMYFUNCTION("""COMPUTED_VALUE"""),"J")</f>
        <v>J</v>
      </c>
      <c r="G504" s="110">
        <f ca="1">IFERROR(__xludf.DUMMYFUNCTION("""COMPUTED_VALUE"""),3)</f>
        <v>3</v>
      </c>
      <c r="H504" s="112" t="str">
        <f ca="1"/>
        <v/>
      </c>
      <c r="I504" s="81" t="str">
        <f ca="1"/>
        <v/>
      </c>
    </row>
    <row r="505" spans="1:9" ht="13.2">
      <c r="A505" s="109" t="str">
        <f ca="1">IFERROR(__xludf.DUMMYFUNCTION("""COMPUTED_VALUE"""),"DR")</f>
        <v>DR</v>
      </c>
      <c r="B505" s="108" t="str">
        <f ca="1">IFERROR(__xludf.DUMMYFUNCTION("""COMPUTED_VALUE"""),"Lila Epstein")</f>
        <v>Lila Epstein</v>
      </c>
      <c r="C505" s="109">
        <f ca="1">IFERROR(__xludf.DUMMYFUNCTION("""COMPUTED_VALUE"""),10)</f>
        <v>10</v>
      </c>
      <c r="D505" s="109" t="str">
        <f ca="1">IFERROR(__xludf.DUMMYFUNCTION("""COMPUTED_VALUE"""),"G")</f>
        <v>G</v>
      </c>
      <c r="E505" s="110" t="str">
        <f ca="1">IFERROR(__xludf.DUMMYFUNCTION("""COMPUTED_VALUE"""),"F")</f>
        <v>F</v>
      </c>
      <c r="F505" s="110" t="str">
        <f ca="1">IFERROR(__xludf.DUMMYFUNCTION("""COMPUTED_VALUE"""),"J")</f>
        <v>J</v>
      </c>
      <c r="G505" s="110">
        <f ca="1">IFERROR(__xludf.DUMMYFUNCTION("""COMPUTED_VALUE"""),3)</f>
        <v>3</v>
      </c>
      <c r="H505" s="112" t="str">
        <f ca="1"/>
        <v/>
      </c>
      <c r="I505" s="112" t="str">
        <f ca="1"/>
        <v/>
      </c>
    </row>
    <row r="506" spans="1:9" ht="13.2">
      <c r="A506" s="109" t="str">
        <f ca="1">IFERROR(__xludf.DUMMYFUNCTION("""COMPUTED_VALUE"""),"DR")</f>
        <v>DR</v>
      </c>
      <c r="B506" s="108" t="str">
        <f ca="1">IFERROR(__xludf.DUMMYFUNCTION("""COMPUTED_VALUE"""),"Lily Klein")</f>
        <v>Lily Klein</v>
      </c>
      <c r="C506" s="109">
        <f ca="1">IFERROR(__xludf.DUMMYFUNCTION("""COMPUTED_VALUE"""),9)</f>
        <v>9</v>
      </c>
      <c r="D506" s="109" t="str">
        <f ca="1">IFERROR(__xludf.DUMMYFUNCTION("""COMPUTED_VALUE"""),"G")</f>
        <v>G</v>
      </c>
      <c r="E506" s="110" t="str">
        <f ca="1">IFERROR(__xludf.DUMMYFUNCTION("""COMPUTED_VALUE"""),"F")</f>
        <v>F</v>
      </c>
      <c r="F506" s="110" t="str">
        <f ca="1">IFERROR(__xludf.DUMMYFUNCTION("""COMPUTED_VALUE"""),"J")</f>
        <v>J</v>
      </c>
      <c r="G506" s="110">
        <f ca="1">IFERROR(__xludf.DUMMYFUNCTION("""COMPUTED_VALUE"""),3)</f>
        <v>3</v>
      </c>
      <c r="H506" s="112" t="str">
        <f ca="1"/>
        <v/>
      </c>
      <c r="I506" s="112" t="str">
        <f ca="1"/>
        <v/>
      </c>
    </row>
    <row r="507" spans="1:9" ht="13.2">
      <c r="A507" s="109" t="str">
        <f ca="1">IFERROR(__xludf.DUMMYFUNCTION("""COMPUTED_VALUE"""),"DR")</f>
        <v>DR</v>
      </c>
      <c r="B507" s="108" t="str">
        <f ca="1">IFERROR(__xludf.DUMMYFUNCTION("""COMPUTED_VALUE"""),"Livy Jane Abbey")</f>
        <v>Livy Jane Abbey</v>
      </c>
      <c r="C507" s="109">
        <f ca="1">IFERROR(__xludf.DUMMYFUNCTION("""COMPUTED_VALUE"""),8)</f>
        <v>8</v>
      </c>
      <c r="D507" s="109" t="str">
        <f ca="1">IFERROR(__xludf.DUMMYFUNCTION("""COMPUTED_VALUE"""),"G")</f>
        <v>G</v>
      </c>
      <c r="E507" s="110" t="str">
        <f ca="1">IFERROR(__xludf.DUMMYFUNCTION("""COMPUTED_VALUE"""),"F")</f>
        <v>F</v>
      </c>
      <c r="F507" s="110" t="str">
        <f ca="1">IFERROR(__xludf.DUMMYFUNCTION("""COMPUTED_VALUE"""),"J")</f>
        <v>J</v>
      </c>
      <c r="G507" s="110">
        <f ca="1">IFERROR(__xludf.DUMMYFUNCTION("""COMPUTED_VALUE"""),3)</f>
        <v>3</v>
      </c>
      <c r="H507" s="112" t="str">
        <f ca="1"/>
        <v>37.15</v>
      </c>
      <c r="I507" s="81">
        <f ca="1"/>
        <v>37.15</v>
      </c>
    </row>
    <row r="508" spans="1:9" ht="13.2">
      <c r="A508" s="109" t="str">
        <f ca="1">IFERROR(__xludf.DUMMYFUNCTION("""COMPUTED_VALUE"""),"DR")</f>
        <v>DR</v>
      </c>
      <c r="B508" s="108" t="str">
        <f ca="1">IFERROR(__xludf.DUMMYFUNCTION("""COMPUTED_VALUE"""),"Liya Adenaw")</f>
        <v>Liya Adenaw</v>
      </c>
      <c r="C508" s="109">
        <f ca="1">IFERROR(__xludf.DUMMYFUNCTION("""COMPUTED_VALUE"""),8)</f>
        <v>8</v>
      </c>
      <c r="D508" s="109" t="str">
        <f ca="1">IFERROR(__xludf.DUMMYFUNCTION("""COMPUTED_VALUE"""),"G")</f>
        <v>G</v>
      </c>
      <c r="E508" s="110" t="str">
        <f ca="1">IFERROR(__xludf.DUMMYFUNCTION("""COMPUTED_VALUE"""),"F")</f>
        <v>F</v>
      </c>
      <c r="F508" s="110" t="str">
        <f ca="1">IFERROR(__xludf.DUMMYFUNCTION("""COMPUTED_VALUE"""),"J")</f>
        <v>J</v>
      </c>
      <c r="G508" s="110">
        <f ca="1">IFERROR(__xludf.DUMMYFUNCTION("""COMPUTED_VALUE"""),3)</f>
        <v>3</v>
      </c>
      <c r="H508" s="112" t="str">
        <f ca="1"/>
        <v/>
      </c>
      <c r="I508" s="112" t="str">
        <f ca="1"/>
        <v/>
      </c>
    </row>
    <row r="509" spans="1:9" ht="13.2">
      <c r="A509" s="109" t="str">
        <f ca="1">IFERROR(__xludf.DUMMYFUNCTION("""COMPUTED_VALUE"""),"DR")</f>
        <v>DR</v>
      </c>
      <c r="B509" s="108" t="str">
        <f ca="1">IFERROR(__xludf.DUMMYFUNCTION("""COMPUTED_VALUE"""),"Margaret Nelson")</f>
        <v>Margaret Nelson</v>
      </c>
      <c r="C509" s="109">
        <f ca="1">IFERROR(__xludf.DUMMYFUNCTION("""COMPUTED_VALUE"""),10)</f>
        <v>10</v>
      </c>
      <c r="D509" s="109" t="str">
        <f ca="1">IFERROR(__xludf.DUMMYFUNCTION("""COMPUTED_VALUE"""),"G")</f>
        <v>G</v>
      </c>
      <c r="E509" s="110" t="str">
        <f ca="1">IFERROR(__xludf.DUMMYFUNCTION("""COMPUTED_VALUE"""),"F")</f>
        <v>F</v>
      </c>
      <c r="F509" s="110" t="str">
        <f ca="1">IFERROR(__xludf.DUMMYFUNCTION("""COMPUTED_VALUE"""),"J")</f>
        <v>J</v>
      </c>
      <c r="G509" s="110">
        <f ca="1">IFERROR(__xludf.DUMMYFUNCTION("""COMPUTED_VALUE"""),3)</f>
        <v>3</v>
      </c>
      <c r="H509" s="112" t="str">
        <f ca="1"/>
        <v/>
      </c>
      <c r="I509" s="81" t="str">
        <f ca="1"/>
        <v/>
      </c>
    </row>
    <row r="510" spans="1:9" ht="13.2">
      <c r="A510" s="109" t="str">
        <f ca="1">IFERROR(__xludf.DUMMYFUNCTION("""COMPUTED_VALUE"""),"DR")</f>
        <v>DR</v>
      </c>
      <c r="B510" s="108" t="str">
        <f ca="1">IFERROR(__xludf.DUMMYFUNCTION("""COMPUTED_VALUE"""),"Stella Epstein")</f>
        <v>Stella Epstein</v>
      </c>
      <c r="C510" s="109">
        <f ca="1">IFERROR(__xludf.DUMMYFUNCTION("""COMPUTED_VALUE"""),9)</f>
        <v>9</v>
      </c>
      <c r="D510" s="109" t="str">
        <f ca="1">IFERROR(__xludf.DUMMYFUNCTION("""COMPUTED_VALUE"""),"G")</f>
        <v>G</v>
      </c>
      <c r="E510" s="110" t="str">
        <f ca="1">IFERROR(__xludf.DUMMYFUNCTION("""COMPUTED_VALUE"""),"F")</f>
        <v>F</v>
      </c>
      <c r="F510" s="110" t="str">
        <f ca="1">IFERROR(__xludf.DUMMYFUNCTION("""COMPUTED_VALUE"""),"J")</f>
        <v>J</v>
      </c>
      <c r="G510" s="110">
        <f ca="1">IFERROR(__xludf.DUMMYFUNCTION("""COMPUTED_VALUE"""),3)</f>
        <v>3</v>
      </c>
      <c r="H510" s="112" t="str">
        <f ca="1"/>
        <v>29.05</v>
      </c>
      <c r="I510" s="81">
        <f ca="1"/>
        <v>29.05</v>
      </c>
    </row>
    <row r="511" spans="1:9" ht="13.2">
      <c r="A511" s="109" t="str">
        <f ca="1">IFERROR(__xludf.DUMMYFUNCTION("""COMPUTED_VALUE"""),"DR")</f>
        <v>DR</v>
      </c>
      <c r="B511" s="108" t="str">
        <f ca="1">IFERROR(__xludf.DUMMYFUNCTION("""COMPUTED_VALUE"""),"Syona Chandy")</f>
        <v>Syona Chandy</v>
      </c>
      <c r="C511" s="109">
        <f ca="1">IFERROR(__xludf.DUMMYFUNCTION("""COMPUTED_VALUE"""),8)</f>
        <v>8</v>
      </c>
      <c r="D511" s="109" t="str">
        <f ca="1">IFERROR(__xludf.DUMMYFUNCTION("""COMPUTED_VALUE"""),"G")</f>
        <v>G</v>
      </c>
      <c r="E511" s="110" t="str">
        <f ca="1">IFERROR(__xludf.DUMMYFUNCTION("""COMPUTED_VALUE"""),"F")</f>
        <v>F</v>
      </c>
      <c r="F511" s="110" t="str">
        <f ca="1">IFERROR(__xludf.DUMMYFUNCTION("""COMPUTED_VALUE"""),"J")</f>
        <v>J</v>
      </c>
      <c r="G511" s="110">
        <f ca="1">IFERROR(__xludf.DUMMYFUNCTION("""COMPUTED_VALUE"""),3)</f>
        <v>3</v>
      </c>
      <c r="H511" s="112" t="str">
        <f ca="1"/>
        <v/>
      </c>
      <c r="I511" s="112" t="str">
        <f ca="1"/>
        <v/>
      </c>
    </row>
    <row r="512" spans="1:9" ht="13.2">
      <c r="A512" s="109" t="str">
        <f ca="1">IFERROR(__xludf.DUMMYFUNCTION("""COMPUTED_VALUE"""),"DR")</f>
        <v>DR</v>
      </c>
      <c r="B512" s="108" t="str">
        <f ca="1">IFERROR(__xludf.DUMMYFUNCTION("""COMPUTED_VALUE"""),"Taylor McDonnell")</f>
        <v>Taylor McDonnell</v>
      </c>
      <c r="C512" s="109">
        <f ca="1">IFERROR(__xludf.DUMMYFUNCTION("""COMPUTED_VALUE"""),10)</f>
        <v>10</v>
      </c>
      <c r="D512" s="109" t="str">
        <f ca="1">IFERROR(__xludf.DUMMYFUNCTION("""COMPUTED_VALUE"""),"G")</f>
        <v>G</v>
      </c>
      <c r="E512" s="110" t="str">
        <f ca="1">IFERROR(__xludf.DUMMYFUNCTION("""COMPUTED_VALUE"""),"F")</f>
        <v>F</v>
      </c>
      <c r="F512" s="110" t="str">
        <f ca="1">IFERROR(__xludf.DUMMYFUNCTION("""COMPUTED_VALUE"""),"J")</f>
        <v>J</v>
      </c>
      <c r="G512" s="110">
        <f ca="1">IFERROR(__xludf.DUMMYFUNCTION("""COMPUTED_VALUE"""),3)</f>
        <v>3</v>
      </c>
      <c r="H512" s="112" t="str">
        <f ca="1"/>
        <v/>
      </c>
      <c r="I512" s="112" t="str">
        <f ca="1"/>
        <v/>
      </c>
    </row>
    <row r="513" spans="1:9" ht="13.2">
      <c r="A513" s="109" t="str">
        <f ca="1">IFERROR(__xludf.DUMMYFUNCTION("""COMPUTED_VALUE"""),"DR")</f>
        <v>DR</v>
      </c>
      <c r="B513" s="108" t="str">
        <f ca="1">IFERROR(__xludf.DUMMYFUNCTION("""COMPUTED_VALUE"""),"Alexander Duong")</f>
        <v>Alexander Duong</v>
      </c>
      <c r="C513" s="109">
        <f ca="1">IFERROR(__xludf.DUMMYFUNCTION("""COMPUTED_VALUE"""),14)</f>
        <v>14</v>
      </c>
      <c r="D513" s="109" t="str">
        <f ca="1">IFERROR(__xludf.DUMMYFUNCTION("""COMPUTED_VALUE"""),"B")</f>
        <v>B</v>
      </c>
      <c r="E513" s="110" t="str">
        <f ca="1">IFERROR(__xludf.DUMMYFUNCTION("""COMPUTED_VALUE"""),"I")</f>
        <v>I</v>
      </c>
      <c r="F513" s="110" t="str">
        <f ca="1">IFERROR(__xludf.DUMMYFUNCTION("""COMPUTED_VALUE"""),"S")</f>
        <v>S</v>
      </c>
      <c r="G513" s="110">
        <f ca="1">IFERROR(__xludf.DUMMYFUNCTION("""COMPUTED_VALUE"""),3)</f>
        <v>3</v>
      </c>
      <c r="H513" s="112" t="str">
        <f ca="1"/>
        <v>43.55</v>
      </c>
      <c r="I513" s="81">
        <f ca="1"/>
        <v>43.55</v>
      </c>
    </row>
    <row r="514" spans="1:9" ht="13.2">
      <c r="A514" s="109" t="str">
        <f ca="1">IFERROR(__xludf.DUMMYFUNCTION("""COMPUTED_VALUE"""),"DR")</f>
        <v>DR</v>
      </c>
      <c r="B514" s="108" t="str">
        <f ca="1">IFERROR(__xludf.DUMMYFUNCTION("""COMPUTED_VALUE"""),"Jack Reed")</f>
        <v>Jack Reed</v>
      </c>
      <c r="C514" s="109">
        <f ca="1">IFERROR(__xludf.DUMMYFUNCTION("""COMPUTED_VALUE"""),14)</f>
        <v>14</v>
      </c>
      <c r="D514" s="109" t="str">
        <f ca="1">IFERROR(__xludf.DUMMYFUNCTION("""COMPUTED_VALUE"""),"B")</f>
        <v>B</v>
      </c>
      <c r="E514" s="110" t="str">
        <f ca="1">IFERROR(__xludf.DUMMYFUNCTION("""COMPUTED_VALUE"""),"I")</f>
        <v>I</v>
      </c>
      <c r="F514" s="110" t="str">
        <f ca="1">IFERROR(__xludf.DUMMYFUNCTION("""COMPUTED_VALUE"""),"S")</f>
        <v>S</v>
      </c>
      <c r="G514" s="110">
        <f ca="1">IFERROR(__xludf.DUMMYFUNCTION("""COMPUTED_VALUE"""),3)</f>
        <v>3</v>
      </c>
      <c r="H514" s="112" t="str">
        <f ca="1"/>
        <v/>
      </c>
      <c r="I514" s="81" t="str">
        <f ca="1"/>
        <v/>
      </c>
    </row>
    <row r="515" spans="1:9" ht="13.2">
      <c r="A515" s="109" t="str">
        <f ca="1">IFERROR(__xludf.DUMMYFUNCTION("""COMPUTED_VALUE"""),"DR")</f>
        <v>DR</v>
      </c>
      <c r="B515" s="108" t="str">
        <f ca="1">IFERROR(__xludf.DUMMYFUNCTION("""COMPUTED_VALUE"""),"John Bowman")</f>
        <v>John Bowman</v>
      </c>
      <c r="C515" s="109">
        <f ca="1">IFERROR(__xludf.DUMMYFUNCTION("""COMPUTED_VALUE"""),14)</f>
        <v>14</v>
      </c>
      <c r="D515" s="109" t="str">
        <f ca="1">IFERROR(__xludf.DUMMYFUNCTION("""COMPUTED_VALUE"""),"B")</f>
        <v>B</v>
      </c>
      <c r="E515" s="110" t="str">
        <f ca="1">IFERROR(__xludf.DUMMYFUNCTION("""COMPUTED_VALUE"""),"I")</f>
        <v>I</v>
      </c>
      <c r="F515" s="110" t="str">
        <f ca="1">IFERROR(__xludf.DUMMYFUNCTION("""COMPUTED_VALUE"""),"S")</f>
        <v>S</v>
      </c>
      <c r="G515" s="110">
        <f ca="1">IFERROR(__xludf.DUMMYFUNCTION("""COMPUTED_VALUE"""),3)</f>
        <v>3</v>
      </c>
      <c r="H515" s="112" t="str">
        <f ca="1"/>
        <v/>
      </c>
      <c r="I515" s="81" t="str">
        <f ca="1"/>
        <v/>
      </c>
    </row>
    <row r="516" spans="1:9" ht="13.2">
      <c r="A516" s="109" t="str">
        <f ca="1">IFERROR(__xludf.DUMMYFUNCTION("""COMPUTED_VALUE"""),"DR")</f>
        <v>DR</v>
      </c>
      <c r="B516" s="108" t="str">
        <f ca="1">IFERROR(__xludf.DUMMYFUNCTION("""COMPUTED_VALUE"""),"Matthew Mastrostefano")</f>
        <v>Matthew Mastrostefano</v>
      </c>
      <c r="C516" s="109">
        <f ca="1">IFERROR(__xludf.DUMMYFUNCTION("""COMPUTED_VALUE"""),14)</f>
        <v>14</v>
      </c>
      <c r="D516" s="109" t="str">
        <f ca="1">IFERROR(__xludf.DUMMYFUNCTION("""COMPUTED_VALUE"""),"B")</f>
        <v>B</v>
      </c>
      <c r="E516" s="110" t="str">
        <f ca="1">IFERROR(__xludf.DUMMYFUNCTION("""COMPUTED_VALUE"""),"I")</f>
        <v>I</v>
      </c>
      <c r="F516" s="110" t="str">
        <f ca="1">IFERROR(__xludf.DUMMYFUNCTION("""COMPUTED_VALUE"""),"S")</f>
        <v>S</v>
      </c>
      <c r="G516" s="110">
        <f ca="1">IFERROR(__xludf.DUMMYFUNCTION("""COMPUTED_VALUE"""),3)</f>
        <v>3</v>
      </c>
      <c r="H516" s="112" t="str">
        <f ca="1"/>
        <v/>
      </c>
      <c r="I516" s="81" t="str">
        <f ca="1"/>
        <v/>
      </c>
    </row>
    <row r="517" spans="1:9" ht="13.2">
      <c r="A517" s="109" t="str">
        <f ca="1">IFERROR(__xludf.DUMMYFUNCTION("""COMPUTED_VALUE"""),"DR")</f>
        <v>DR</v>
      </c>
      <c r="B517" s="108" t="str">
        <f ca="1">IFERROR(__xludf.DUMMYFUNCTION("""COMPUTED_VALUE"""),"Sam Jaeckel")</f>
        <v>Sam Jaeckel</v>
      </c>
      <c r="C517" s="109">
        <f ca="1">IFERROR(__xludf.DUMMYFUNCTION("""COMPUTED_VALUE"""),13)</f>
        <v>13</v>
      </c>
      <c r="D517" s="109" t="str">
        <f ca="1">IFERROR(__xludf.DUMMYFUNCTION("""COMPUTED_VALUE"""),"B")</f>
        <v>B</v>
      </c>
      <c r="E517" s="110" t="str">
        <f ca="1">IFERROR(__xludf.DUMMYFUNCTION("""COMPUTED_VALUE"""),"I")</f>
        <v>I</v>
      </c>
      <c r="F517" s="110" t="str">
        <f ca="1">IFERROR(__xludf.DUMMYFUNCTION("""COMPUTED_VALUE"""),"S")</f>
        <v>S</v>
      </c>
      <c r="G517" s="110">
        <f ca="1">IFERROR(__xludf.DUMMYFUNCTION("""COMPUTED_VALUE"""),3)</f>
        <v>3</v>
      </c>
      <c r="H517" s="112" t="str">
        <f ca="1"/>
        <v>61</v>
      </c>
      <c r="I517" s="112">
        <f ca="1"/>
        <v>61</v>
      </c>
    </row>
    <row r="518" spans="1:9" ht="13.2">
      <c r="A518" s="109" t="str">
        <f ca="1">IFERROR(__xludf.DUMMYFUNCTION("""COMPUTED_VALUE"""),"DR")</f>
        <v>DR</v>
      </c>
      <c r="B518" s="108" t="str">
        <f ca="1">IFERROR(__xludf.DUMMYFUNCTION("""COMPUTED_VALUE"""),"William Mount")</f>
        <v>William Mount</v>
      </c>
      <c r="C518" s="109">
        <f ca="1">IFERROR(__xludf.DUMMYFUNCTION("""COMPUTED_VALUE"""),14)</f>
        <v>14</v>
      </c>
      <c r="D518" s="109" t="str">
        <f ca="1">IFERROR(__xludf.DUMMYFUNCTION("""COMPUTED_VALUE"""),"B")</f>
        <v>B</v>
      </c>
      <c r="E518" s="110" t="str">
        <f ca="1">IFERROR(__xludf.DUMMYFUNCTION("""COMPUTED_VALUE"""),"I")</f>
        <v>I</v>
      </c>
      <c r="F518" s="110" t="str">
        <f ca="1">IFERROR(__xludf.DUMMYFUNCTION("""COMPUTED_VALUE"""),"S")</f>
        <v>S</v>
      </c>
      <c r="G518" s="110">
        <f ca="1">IFERROR(__xludf.DUMMYFUNCTION("""COMPUTED_VALUE"""),3)</f>
        <v>3</v>
      </c>
      <c r="H518" s="112" t="str">
        <f ca="1"/>
        <v>73.5</v>
      </c>
      <c r="I518" s="112">
        <f ca="1"/>
        <v>73.5</v>
      </c>
    </row>
    <row r="519" spans="1:9" ht="13.2">
      <c r="A519" s="109" t="str">
        <f ca="1">IFERROR(__xludf.DUMMYFUNCTION("""COMPUTED_VALUE"""),"DR")</f>
        <v>DR</v>
      </c>
      <c r="B519" s="108" t="str">
        <f ca="1">IFERROR(__xludf.DUMMYFUNCTION("""COMPUTED_VALUE"""),"Zachary Cohen")</f>
        <v>Zachary Cohen</v>
      </c>
      <c r="C519" s="109">
        <f ca="1">IFERROR(__xludf.DUMMYFUNCTION("""COMPUTED_VALUE"""),14)</f>
        <v>14</v>
      </c>
      <c r="D519" s="109" t="str">
        <f ca="1">IFERROR(__xludf.DUMMYFUNCTION("""COMPUTED_VALUE"""),"B")</f>
        <v>B</v>
      </c>
      <c r="E519" s="110" t="str">
        <f ca="1">IFERROR(__xludf.DUMMYFUNCTION("""COMPUTED_VALUE"""),"I")</f>
        <v>I</v>
      </c>
      <c r="F519" s="110" t="str">
        <f ca="1">IFERROR(__xludf.DUMMYFUNCTION("""COMPUTED_VALUE"""),"S")</f>
        <v>S</v>
      </c>
      <c r="G519" s="110">
        <f ca="1">IFERROR(__xludf.DUMMYFUNCTION("""COMPUTED_VALUE"""),3)</f>
        <v>3</v>
      </c>
      <c r="H519" s="112" t="str">
        <f ca="1"/>
        <v/>
      </c>
      <c r="I519" s="112" t="str">
        <f ca="1"/>
        <v/>
      </c>
    </row>
    <row r="520" spans="1:9" ht="13.2">
      <c r="A520" s="109" t="str">
        <f ca="1">IFERROR(__xludf.DUMMYFUNCTION("""COMPUTED_VALUE"""),"DR")</f>
        <v>DR</v>
      </c>
      <c r="B520" s="108" t="str">
        <f ca="1">IFERROR(__xludf.DUMMYFUNCTION("""COMPUTED_VALUE"""),"Charlotte Fletcher")</f>
        <v>Charlotte Fletcher</v>
      </c>
      <c r="C520" s="109">
        <f ca="1">IFERROR(__xludf.DUMMYFUNCTION("""COMPUTED_VALUE"""),13)</f>
        <v>13</v>
      </c>
      <c r="D520" s="109" t="str">
        <f ca="1">IFERROR(__xludf.DUMMYFUNCTION("""COMPUTED_VALUE"""),"G")</f>
        <v>G</v>
      </c>
      <c r="E520" s="110" t="str">
        <f ca="1">IFERROR(__xludf.DUMMYFUNCTION("""COMPUTED_VALUE"""),"I")</f>
        <v>I</v>
      </c>
      <c r="F520" s="110" t="str">
        <f ca="1">IFERROR(__xludf.DUMMYFUNCTION("""COMPUTED_VALUE"""),"S")</f>
        <v>S</v>
      </c>
      <c r="G520" s="110">
        <f ca="1">IFERROR(__xludf.DUMMYFUNCTION("""COMPUTED_VALUE"""),3)</f>
        <v>3</v>
      </c>
      <c r="H520" s="112" t="str">
        <f ca="1"/>
        <v/>
      </c>
      <c r="I520" s="81" t="str">
        <f ca="1"/>
        <v/>
      </c>
    </row>
    <row r="521" spans="1:9" ht="13.2">
      <c r="A521" s="109" t="str">
        <f ca="1">IFERROR(__xludf.DUMMYFUNCTION("""COMPUTED_VALUE"""),"DR")</f>
        <v>DR</v>
      </c>
      <c r="B521" s="108" t="str">
        <f ca="1">IFERROR(__xludf.DUMMYFUNCTION("""COMPUTED_VALUE"""),"Ella Paris")</f>
        <v>Ella Paris</v>
      </c>
      <c r="C521" s="109">
        <f ca="1">IFERROR(__xludf.DUMMYFUNCTION("""COMPUTED_VALUE"""),13)</f>
        <v>13</v>
      </c>
      <c r="D521" s="109" t="str">
        <f ca="1">IFERROR(__xludf.DUMMYFUNCTION("""COMPUTED_VALUE"""),"G")</f>
        <v>G</v>
      </c>
      <c r="E521" s="110" t="str">
        <f ca="1">IFERROR(__xludf.DUMMYFUNCTION("""COMPUTED_VALUE"""),"I")</f>
        <v>I</v>
      </c>
      <c r="F521" s="110" t="str">
        <f ca="1">IFERROR(__xludf.DUMMYFUNCTION("""COMPUTED_VALUE"""),"S")</f>
        <v>S</v>
      </c>
      <c r="G521" s="110">
        <f ca="1">IFERROR(__xludf.DUMMYFUNCTION("""COMPUTED_VALUE"""),3)</f>
        <v>3</v>
      </c>
      <c r="H521" s="112" t="str">
        <f ca="1"/>
        <v/>
      </c>
      <c r="I521" s="81" t="str">
        <f ca="1"/>
        <v/>
      </c>
    </row>
    <row r="522" spans="1:9" ht="13.2">
      <c r="A522" s="109" t="str">
        <f ca="1">IFERROR(__xludf.DUMMYFUNCTION("""COMPUTED_VALUE"""),"DR")</f>
        <v>DR</v>
      </c>
      <c r="B522" s="108" t="str">
        <f ca="1">IFERROR(__xludf.DUMMYFUNCTION("""COMPUTED_VALUE"""),"Emily Wiese")</f>
        <v>Emily Wiese</v>
      </c>
      <c r="C522" s="109">
        <f ca="1">IFERROR(__xludf.DUMMYFUNCTION("""COMPUTED_VALUE"""),14)</f>
        <v>14</v>
      </c>
      <c r="D522" s="109" t="str">
        <f ca="1">IFERROR(__xludf.DUMMYFUNCTION("""COMPUTED_VALUE"""),"G")</f>
        <v>G</v>
      </c>
      <c r="E522" s="110" t="str">
        <f ca="1">IFERROR(__xludf.DUMMYFUNCTION("""COMPUTED_VALUE"""),"I")</f>
        <v>I</v>
      </c>
      <c r="F522" s="110" t="str">
        <f ca="1">IFERROR(__xludf.DUMMYFUNCTION("""COMPUTED_VALUE"""),"S")</f>
        <v>S</v>
      </c>
      <c r="G522" s="110">
        <f ca="1">IFERROR(__xludf.DUMMYFUNCTION("""COMPUTED_VALUE"""),3)</f>
        <v>3</v>
      </c>
      <c r="H522" s="112" t="str">
        <f ca="1"/>
        <v/>
      </c>
      <c r="I522" s="112" t="str">
        <f ca="1"/>
        <v/>
      </c>
    </row>
    <row r="523" spans="1:9" ht="13.2">
      <c r="A523" s="109" t="str">
        <f ca="1">IFERROR(__xludf.DUMMYFUNCTION("""COMPUTED_VALUE"""),"DR")</f>
        <v>DR</v>
      </c>
      <c r="B523" s="108" t="str">
        <f ca="1">IFERROR(__xludf.DUMMYFUNCTION("""COMPUTED_VALUE"""),"Emma Dunne")</f>
        <v>Emma Dunne</v>
      </c>
      <c r="C523" s="109">
        <f ca="1">IFERROR(__xludf.DUMMYFUNCTION("""COMPUTED_VALUE"""),13)</f>
        <v>13</v>
      </c>
      <c r="D523" s="109" t="str">
        <f ca="1">IFERROR(__xludf.DUMMYFUNCTION("""COMPUTED_VALUE"""),"G")</f>
        <v>G</v>
      </c>
      <c r="E523" s="110" t="str">
        <f ca="1">IFERROR(__xludf.DUMMYFUNCTION("""COMPUTED_VALUE"""),"I")</f>
        <v>I</v>
      </c>
      <c r="F523" s="110" t="str">
        <f ca="1">IFERROR(__xludf.DUMMYFUNCTION("""COMPUTED_VALUE"""),"S")</f>
        <v>S</v>
      </c>
      <c r="G523" s="110">
        <f ca="1">IFERROR(__xludf.DUMMYFUNCTION("""COMPUTED_VALUE"""),3)</f>
        <v>3</v>
      </c>
      <c r="H523" s="112" t="str">
        <f ca="1"/>
        <v/>
      </c>
      <c r="I523" s="81" t="str">
        <f ca="1"/>
        <v/>
      </c>
    </row>
    <row r="524" spans="1:9" ht="13.2">
      <c r="A524" s="109" t="str">
        <f ca="1">IFERROR(__xludf.DUMMYFUNCTION("""COMPUTED_VALUE"""),"DR")</f>
        <v>DR</v>
      </c>
      <c r="B524" s="108" t="str">
        <f ca="1">IFERROR(__xludf.DUMMYFUNCTION("""COMPUTED_VALUE"""),"Eve Jungman")</f>
        <v>Eve Jungman</v>
      </c>
      <c r="C524" s="109">
        <f ca="1">IFERROR(__xludf.DUMMYFUNCTION("""COMPUTED_VALUE"""),13)</f>
        <v>13</v>
      </c>
      <c r="D524" s="109" t="str">
        <f ca="1">IFERROR(__xludf.DUMMYFUNCTION("""COMPUTED_VALUE"""),"G")</f>
        <v>G</v>
      </c>
      <c r="E524" s="110" t="str">
        <f ca="1">IFERROR(__xludf.DUMMYFUNCTION("""COMPUTED_VALUE"""),"I")</f>
        <v>I</v>
      </c>
      <c r="F524" s="110" t="str">
        <f ca="1">IFERROR(__xludf.DUMMYFUNCTION("""COMPUTED_VALUE"""),"S")</f>
        <v>S</v>
      </c>
      <c r="G524" s="110">
        <f ca="1">IFERROR(__xludf.DUMMYFUNCTION("""COMPUTED_VALUE"""),3)</f>
        <v>3</v>
      </c>
      <c r="H524" s="112" t="str">
        <f ca="1"/>
        <v>58.1</v>
      </c>
      <c r="I524" s="112">
        <f ca="1"/>
        <v>58.1</v>
      </c>
    </row>
    <row r="525" spans="1:9" ht="13.2">
      <c r="A525" s="109" t="str">
        <f ca="1">IFERROR(__xludf.DUMMYFUNCTION("""COMPUTED_VALUE"""),"DR")</f>
        <v>DR</v>
      </c>
      <c r="B525" s="108" t="str">
        <f ca="1">IFERROR(__xludf.DUMMYFUNCTION("""COMPUTED_VALUE"""),"Jenna Sheetz")</f>
        <v>Jenna Sheetz</v>
      </c>
      <c r="C525" s="109">
        <f ca="1">IFERROR(__xludf.DUMMYFUNCTION("""COMPUTED_VALUE"""),13)</f>
        <v>13</v>
      </c>
      <c r="D525" s="109" t="str">
        <f ca="1">IFERROR(__xludf.DUMMYFUNCTION("""COMPUTED_VALUE"""),"G")</f>
        <v>G</v>
      </c>
      <c r="E525" s="110" t="str">
        <f ca="1">IFERROR(__xludf.DUMMYFUNCTION("""COMPUTED_VALUE"""),"I")</f>
        <v>I</v>
      </c>
      <c r="F525" s="110" t="str">
        <f ca="1">IFERROR(__xludf.DUMMYFUNCTION("""COMPUTED_VALUE"""),"S")</f>
        <v>S</v>
      </c>
      <c r="G525" s="110">
        <f ca="1">IFERROR(__xludf.DUMMYFUNCTION("""COMPUTED_VALUE"""),3)</f>
        <v>3</v>
      </c>
      <c r="H525" s="112" t="str">
        <f ca="1"/>
        <v/>
      </c>
      <c r="I525" s="112" t="str">
        <f ca="1"/>
        <v/>
      </c>
    </row>
    <row r="526" spans="1:9" ht="13.2">
      <c r="A526" s="109" t="str">
        <f ca="1">IFERROR(__xludf.DUMMYFUNCTION("""COMPUTED_VALUE"""),"DR")</f>
        <v>DR</v>
      </c>
      <c r="B526" s="108" t="str">
        <f ca="1">IFERROR(__xludf.DUMMYFUNCTION("""COMPUTED_VALUE"""),"Lane Samowich")</f>
        <v>Lane Samowich</v>
      </c>
      <c r="C526" s="109">
        <f ca="1">IFERROR(__xludf.DUMMYFUNCTION("""COMPUTED_VALUE"""),14)</f>
        <v>14</v>
      </c>
      <c r="D526" s="109" t="str">
        <f ca="1">IFERROR(__xludf.DUMMYFUNCTION("""COMPUTED_VALUE"""),"G")</f>
        <v>G</v>
      </c>
      <c r="E526" s="110" t="str">
        <f ca="1">IFERROR(__xludf.DUMMYFUNCTION("""COMPUTED_VALUE"""),"I")</f>
        <v>I</v>
      </c>
      <c r="F526" s="110" t="str">
        <f ca="1">IFERROR(__xludf.DUMMYFUNCTION("""COMPUTED_VALUE"""),"S")</f>
        <v>S</v>
      </c>
      <c r="G526" s="110">
        <f ca="1">IFERROR(__xludf.DUMMYFUNCTION("""COMPUTED_VALUE"""),3)</f>
        <v>3</v>
      </c>
      <c r="H526" s="112" t="str">
        <f ca="1"/>
        <v/>
      </c>
      <c r="I526" s="112" t="str">
        <f ca="1"/>
        <v/>
      </c>
    </row>
    <row r="527" spans="1:9" ht="13.2">
      <c r="A527" s="109" t="str">
        <f ca="1">IFERROR(__xludf.DUMMYFUNCTION("""COMPUTED_VALUE"""),"DR")</f>
        <v>DR</v>
      </c>
      <c r="B527" s="108" t="str">
        <f ca="1">IFERROR(__xludf.DUMMYFUNCTION("""COMPUTED_VALUE"""),"Nyla Elder")</f>
        <v>Nyla Elder</v>
      </c>
      <c r="C527" s="109">
        <f ca="1">IFERROR(__xludf.DUMMYFUNCTION("""COMPUTED_VALUE"""),14)</f>
        <v>14</v>
      </c>
      <c r="D527" s="109" t="str">
        <f ca="1">IFERROR(__xludf.DUMMYFUNCTION("""COMPUTED_VALUE"""),"G")</f>
        <v>G</v>
      </c>
      <c r="E527" s="110" t="str">
        <f ca="1">IFERROR(__xludf.DUMMYFUNCTION("""COMPUTED_VALUE"""),"I")</f>
        <v>I</v>
      </c>
      <c r="F527" s="110" t="str">
        <f ca="1">IFERROR(__xludf.DUMMYFUNCTION("""COMPUTED_VALUE"""),"S")</f>
        <v>S</v>
      </c>
      <c r="G527" s="110">
        <f ca="1">IFERROR(__xludf.DUMMYFUNCTION("""COMPUTED_VALUE"""),3)</f>
        <v>3</v>
      </c>
      <c r="H527" s="112" t="str">
        <f ca="1"/>
        <v/>
      </c>
      <c r="I527" s="81" t="str">
        <f ca="1"/>
        <v/>
      </c>
    </row>
    <row r="528" spans="1:9" ht="13.2">
      <c r="A528" s="109" t="str">
        <f ca="1">IFERROR(__xludf.DUMMYFUNCTION("""COMPUTED_VALUE"""),"DR")</f>
        <v>DR</v>
      </c>
      <c r="B528" s="108" t="str">
        <f ca="1">IFERROR(__xludf.DUMMYFUNCTION("""COMPUTED_VALUE"""),"Sophie Adenaw")</f>
        <v>Sophie Adenaw</v>
      </c>
      <c r="C528" s="109">
        <f ca="1">IFERROR(__xludf.DUMMYFUNCTION("""COMPUTED_VALUE"""),13)</f>
        <v>13</v>
      </c>
      <c r="D528" s="109" t="str">
        <f ca="1">IFERROR(__xludf.DUMMYFUNCTION("""COMPUTED_VALUE"""),"G")</f>
        <v>G</v>
      </c>
      <c r="E528" s="110" t="str">
        <f ca="1">IFERROR(__xludf.DUMMYFUNCTION("""COMPUTED_VALUE"""),"I")</f>
        <v>I</v>
      </c>
      <c r="F528" s="110" t="str">
        <f ca="1">IFERROR(__xludf.DUMMYFUNCTION("""COMPUTED_VALUE"""),"S")</f>
        <v>S</v>
      </c>
      <c r="G528" s="110">
        <f ca="1">IFERROR(__xludf.DUMMYFUNCTION("""COMPUTED_VALUE"""),3)</f>
        <v>3</v>
      </c>
      <c r="H528" s="112" t="str">
        <f ca="1"/>
        <v/>
      </c>
      <c r="I528" s="81" t="str">
        <f ca="1"/>
        <v/>
      </c>
    </row>
    <row r="529" spans="1:9" ht="13.2">
      <c r="A529" s="109" t="str">
        <f ca="1">IFERROR(__xludf.DUMMYFUNCTION("""COMPUTED_VALUE"""),"DR")</f>
        <v>DR</v>
      </c>
      <c r="B529" s="108" t="str">
        <f ca="1">IFERROR(__xludf.DUMMYFUNCTION("""COMPUTED_VALUE"""),"Sophie Frost")</f>
        <v>Sophie Frost</v>
      </c>
      <c r="C529" s="109">
        <f ca="1">IFERROR(__xludf.DUMMYFUNCTION("""COMPUTED_VALUE"""),13)</f>
        <v>13</v>
      </c>
      <c r="D529" s="109" t="str">
        <f ca="1">IFERROR(__xludf.DUMMYFUNCTION("""COMPUTED_VALUE"""),"G")</f>
        <v>G</v>
      </c>
      <c r="E529" s="110" t="str">
        <f ca="1">IFERROR(__xludf.DUMMYFUNCTION("""COMPUTED_VALUE"""),"I")</f>
        <v>I</v>
      </c>
      <c r="F529" s="110" t="str">
        <f ca="1">IFERROR(__xludf.DUMMYFUNCTION("""COMPUTED_VALUE"""),"S")</f>
        <v>S</v>
      </c>
      <c r="G529" s="110">
        <f ca="1">IFERROR(__xludf.DUMMYFUNCTION("""COMPUTED_VALUE"""),3)</f>
        <v>3</v>
      </c>
      <c r="H529" s="112" t="str">
        <f ca="1"/>
        <v/>
      </c>
      <c r="I529" s="81" t="str">
        <f ca="1"/>
        <v/>
      </c>
    </row>
    <row r="530" spans="1:9" ht="13.2">
      <c r="A530" s="109" t="str">
        <f ca="1">IFERROR(__xludf.DUMMYFUNCTION("""COMPUTED_VALUE"""),"DR")</f>
        <v>DR</v>
      </c>
      <c r="B530" s="108" t="str">
        <f ca="1">IFERROR(__xludf.DUMMYFUNCTION("""COMPUTED_VALUE"""),"Valerie Engel")</f>
        <v>Valerie Engel</v>
      </c>
      <c r="C530" s="109">
        <f ca="1">IFERROR(__xludf.DUMMYFUNCTION("""COMPUTED_VALUE"""),14)</f>
        <v>14</v>
      </c>
      <c r="D530" s="109" t="str">
        <f ca="1">IFERROR(__xludf.DUMMYFUNCTION("""COMPUTED_VALUE"""),"G")</f>
        <v>G</v>
      </c>
      <c r="E530" s="110" t="str">
        <f ca="1">IFERROR(__xludf.DUMMYFUNCTION("""COMPUTED_VALUE"""),"I")</f>
        <v>I</v>
      </c>
      <c r="F530" s="110" t="str">
        <f ca="1">IFERROR(__xludf.DUMMYFUNCTION("""COMPUTED_VALUE"""),"S")</f>
        <v>S</v>
      </c>
      <c r="G530" s="110">
        <f ca="1">IFERROR(__xludf.DUMMYFUNCTION("""COMPUTED_VALUE"""),3)</f>
        <v>3</v>
      </c>
      <c r="H530" s="112" t="str">
        <f ca="1"/>
        <v/>
      </c>
      <c r="I530" s="81" t="str">
        <f ca="1"/>
        <v/>
      </c>
    </row>
    <row r="531" spans="1:9" ht="13.2">
      <c r="A531" s="109" t="str">
        <f ca="1">IFERROR(__xludf.DUMMYFUNCTION("""COMPUTED_VALUE"""),"DR")</f>
        <v>DR</v>
      </c>
      <c r="B531" s="108" t="str">
        <f ca="1">IFERROR(__xludf.DUMMYFUNCTION("""COMPUTED_VALUE"""),"Andrew Hovenburg")</f>
        <v>Andrew Hovenburg</v>
      </c>
      <c r="C531" s="109">
        <f ca="1">IFERROR(__xludf.DUMMYFUNCTION("""COMPUTED_VALUE"""),12)</f>
        <v>12</v>
      </c>
      <c r="D531" s="109" t="str">
        <f ca="1">IFERROR(__xludf.DUMMYFUNCTION("""COMPUTED_VALUE"""),"B")</f>
        <v>B</v>
      </c>
      <c r="E531" s="110" t="str">
        <f ca="1">IFERROR(__xludf.DUMMYFUNCTION("""COMPUTED_VALUE"""),"J")</f>
        <v>J</v>
      </c>
      <c r="F531" s="110" t="str">
        <f ca="1">IFERROR(__xludf.DUMMYFUNCTION("""COMPUTED_VALUE"""),"I")</f>
        <v>I</v>
      </c>
      <c r="G531" s="110">
        <f ca="1">IFERROR(__xludf.DUMMYFUNCTION("""COMPUTED_VALUE"""),3)</f>
        <v>3</v>
      </c>
      <c r="H531" s="112" t="str">
        <f ca="1"/>
        <v/>
      </c>
      <c r="I531" s="112" t="str">
        <f ca="1"/>
        <v/>
      </c>
    </row>
    <row r="532" spans="1:9" ht="13.2">
      <c r="A532" s="109" t="str">
        <f ca="1">IFERROR(__xludf.DUMMYFUNCTION("""COMPUTED_VALUE"""),"DR")</f>
        <v>DR</v>
      </c>
      <c r="B532" s="108" t="str">
        <f ca="1">IFERROR(__xludf.DUMMYFUNCTION("""COMPUTED_VALUE"""),"Gabriel Cohen")</f>
        <v>Gabriel Cohen</v>
      </c>
      <c r="C532" s="109">
        <f ca="1">IFERROR(__xludf.DUMMYFUNCTION("""COMPUTED_VALUE"""),12)</f>
        <v>12</v>
      </c>
      <c r="D532" s="109" t="str">
        <f ca="1">IFERROR(__xludf.DUMMYFUNCTION("""COMPUTED_VALUE"""),"B")</f>
        <v>B</v>
      </c>
      <c r="E532" s="110" t="str">
        <f ca="1">IFERROR(__xludf.DUMMYFUNCTION("""COMPUTED_VALUE"""),"J")</f>
        <v>J</v>
      </c>
      <c r="F532" s="110" t="str">
        <f ca="1">IFERROR(__xludf.DUMMYFUNCTION("""COMPUTED_VALUE"""),"I")</f>
        <v>I</v>
      </c>
      <c r="G532" s="110">
        <f ca="1">IFERROR(__xludf.DUMMYFUNCTION("""COMPUTED_VALUE"""),3)</f>
        <v>3</v>
      </c>
      <c r="H532" s="112" t="str">
        <f ca="1"/>
        <v/>
      </c>
      <c r="I532" s="112" t="str">
        <f ca="1"/>
        <v/>
      </c>
    </row>
    <row r="533" spans="1:9" ht="13.2">
      <c r="A533" s="109" t="str">
        <f ca="1">IFERROR(__xludf.DUMMYFUNCTION("""COMPUTED_VALUE"""),"DR")</f>
        <v>DR</v>
      </c>
      <c r="B533" s="108" t="str">
        <f ca="1">IFERROR(__xludf.DUMMYFUNCTION("""COMPUTED_VALUE"""),"Jack Englerth")</f>
        <v>Jack Englerth</v>
      </c>
      <c r="C533" s="109">
        <f ca="1">IFERROR(__xludf.DUMMYFUNCTION("""COMPUTED_VALUE"""),11)</f>
        <v>11</v>
      </c>
      <c r="D533" s="109" t="str">
        <f ca="1">IFERROR(__xludf.DUMMYFUNCTION("""COMPUTED_VALUE"""),"B")</f>
        <v>B</v>
      </c>
      <c r="E533" s="110" t="str">
        <f ca="1">IFERROR(__xludf.DUMMYFUNCTION("""COMPUTED_VALUE"""),"J")</f>
        <v>J</v>
      </c>
      <c r="F533" s="110" t="str">
        <f ca="1">IFERROR(__xludf.DUMMYFUNCTION("""COMPUTED_VALUE"""),"I")</f>
        <v>I</v>
      </c>
      <c r="G533" s="110">
        <f ca="1">IFERROR(__xludf.DUMMYFUNCTION("""COMPUTED_VALUE"""),3)</f>
        <v>3</v>
      </c>
      <c r="H533" s="112" t="str">
        <f ca="1"/>
        <v/>
      </c>
      <c r="I533" s="81" t="str">
        <f ca="1"/>
        <v/>
      </c>
    </row>
    <row r="534" spans="1:9" ht="13.2">
      <c r="A534" s="109" t="str">
        <f ca="1">IFERROR(__xludf.DUMMYFUNCTION("""COMPUTED_VALUE"""),"DR")</f>
        <v>DR</v>
      </c>
      <c r="B534" s="108" t="str">
        <f ca="1">IFERROR(__xludf.DUMMYFUNCTION("""COMPUTED_VALUE"""),"James Daniel")</f>
        <v>James Daniel</v>
      </c>
      <c r="C534" s="109">
        <f ca="1">IFERROR(__xludf.DUMMYFUNCTION("""COMPUTED_VALUE"""),12)</f>
        <v>12</v>
      </c>
      <c r="D534" s="109" t="str">
        <f ca="1">IFERROR(__xludf.DUMMYFUNCTION("""COMPUTED_VALUE"""),"B")</f>
        <v>B</v>
      </c>
      <c r="E534" s="110" t="str">
        <f ca="1">IFERROR(__xludf.DUMMYFUNCTION("""COMPUTED_VALUE"""),"J")</f>
        <v>J</v>
      </c>
      <c r="F534" s="110" t="str">
        <f ca="1">IFERROR(__xludf.DUMMYFUNCTION("""COMPUTED_VALUE"""),"I")</f>
        <v>I</v>
      </c>
      <c r="G534" s="110">
        <f ca="1">IFERROR(__xludf.DUMMYFUNCTION("""COMPUTED_VALUE"""),3)</f>
        <v>3</v>
      </c>
      <c r="H534" s="112" t="str">
        <f ca="1"/>
        <v/>
      </c>
      <c r="I534" s="112" t="str">
        <f ca="1"/>
        <v/>
      </c>
    </row>
    <row r="535" spans="1:9" ht="13.2">
      <c r="A535" s="109" t="str">
        <f ca="1">IFERROR(__xludf.DUMMYFUNCTION("""COMPUTED_VALUE"""),"DR")</f>
        <v>DR</v>
      </c>
      <c r="B535" s="108" t="str">
        <f ca="1">IFERROR(__xludf.DUMMYFUNCTION("""COMPUTED_VALUE"""),"Jett Bastow")</f>
        <v>Jett Bastow</v>
      </c>
      <c r="C535" s="109">
        <f ca="1">IFERROR(__xludf.DUMMYFUNCTION("""COMPUTED_VALUE"""),11)</f>
        <v>11</v>
      </c>
      <c r="D535" s="109" t="str">
        <f ca="1">IFERROR(__xludf.DUMMYFUNCTION("""COMPUTED_VALUE"""),"B")</f>
        <v>B</v>
      </c>
      <c r="E535" s="110" t="str">
        <f ca="1">IFERROR(__xludf.DUMMYFUNCTION("""COMPUTED_VALUE"""),"J")</f>
        <v>J</v>
      </c>
      <c r="F535" s="110" t="str">
        <f ca="1">IFERROR(__xludf.DUMMYFUNCTION("""COMPUTED_VALUE"""),"I")</f>
        <v>I</v>
      </c>
      <c r="G535" s="110">
        <f ca="1">IFERROR(__xludf.DUMMYFUNCTION("""COMPUTED_VALUE"""),3)</f>
        <v>3</v>
      </c>
      <c r="H535" s="112" t="str">
        <f ca="1"/>
        <v/>
      </c>
      <c r="I535" s="81" t="str">
        <f ca="1"/>
        <v/>
      </c>
    </row>
    <row r="536" spans="1:9" ht="13.2">
      <c r="A536" s="109" t="str">
        <f ca="1">IFERROR(__xludf.DUMMYFUNCTION("""COMPUTED_VALUE"""),"DR")</f>
        <v>DR</v>
      </c>
      <c r="B536" s="108" t="str">
        <f ca="1">IFERROR(__xludf.DUMMYFUNCTION("""COMPUTED_VALUE"""),"Matthew Kusel")</f>
        <v>Matthew Kusel</v>
      </c>
      <c r="C536" s="109">
        <f ca="1">IFERROR(__xludf.DUMMYFUNCTION("""COMPUTED_VALUE"""),11)</f>
        <v>11</v>
      </c>
      <c r="D536" s="109" t="str">
        <f ca="1">IFERROR(__xludf.DUMMYFUNCTION("""COMPUTED_VALUE"""),"B")</f>
        <v>B</v>
      </c>
      <c r="E536" s="110" t="str">
        <f ca="1">IFERROR(__xludf.DUMMYFUNCTION("""COMPUTED_VALUE"""),"J")</f>
        <v>J</v>
      </c>
      <c r="F536" s="110" t="str">
        <f ca="1">IFERROR(__xludf.DUMMYFUNCTION("""COMPUTED_VALUE"""),"I")</f>
        <v>I</v>
      </c>
      <c r="G536" s="110">
        <f ca="1">IFERROR(__xludf.DUMMYFUNCTION("""COMPUTED_VALUE"""),3)</f>
        <v>3</v>
      </c>
      <c r="H536" s="112" t="str">
        <f ca="1"/>
        <v/>
      </c>
      <c r="I536" s="81" t="str">
        <f ca="1"/>
        <v/>
      </c>
    </row>
    <row r="537" spans="1:9" ht="13.2">
      <c r="A537" s="109" t="str">
        <f ca="1">IFERROR(__xludf.DUMMYFUNCTION("""COMPUTED_VALUE"""),"DR")</f>
        <v>DR</v>
      </c>
      <c r="B537" s="108" t="str">
        <f ca="1">IFERROR(__xludf.DUMMYFUNCTION("""COMPUTED_VALUE"""),"Michael Staren")</f>
        <v>Michael Staren</v>
      </c>
      <c r="C537" s="109">
        <f ca="1">IFERROR(__xludf.DUMMYFUNCTION("""COMPUTED_VALUE"""),11)</f>
        <v>11</v>
      </c>
      <c r="D537" s="109" t="str">
        <f ca="1">IFERROR(__xludf.DUMMYFUNCTION("""COMPUTED_VALUE"""),"B")</f>
        <v>B</v>
      </c>
      <c r="E537" s="110" t="str">
        <f ca="1">IFERROR(__xludf.DUMMYFUNCTION("""COMPUTED_VALUE"""),"J")</f>
        <v>J</v>
      </c>
      <c r="F537" s="110" t="str">
        <f ca="1">IFERROR(__xludf.DUMMYFUNCTION("""COMPUTED_VALUE"""),"I")</f>
        <v>I</v>
      </c>
      <c r="G537" s="110">
        <f ca="1">IFERROR(__xludf.DUMMYFUNCTION("""COMPUTED_VALUE"""),3)</f>
        <v>3</v>
      </c>
      <c r="H537" s="112" t="str">
        <f ca="1"/>
        <v/>
      </c>
      <c r="I537" s="81" t="str">
        <f ca="1"/>
        <v/>
      </c>
    </row>
    <row r="538" spans="1:9" ht="13.2">
      <c r="A538" s="109" t="str">
        <f ca="1">IFERROR(__xludf.DUMMYFUNCTION("""COMPUTED_VALUE"""),"DR")</f>
        <v>DR</v>
      </c>
      <c r="B538" s="108" t="str">
        <f ca="1">IFERROR(__xludf.DUMMYFUNCTION("""COMPUTED_VALUE"""),"Samuel Mulchandani")</f>
        <v>Samuel Mulchandani</v>
      </c>
      <c r="C538" s="109">
        <f ca="1">IFERROR(__xludf.DUMMYFUNCTION("""COMPUTED_VALUE"""),12)</f>
        <v>12</v>
      </c>
      <c r="D538" s="109" t="str">
        <f ca="1">IFERROR(__xludf.DUMMYFUNCTION("""COMPUTED_VALUE"""),"B")</f>
        <v>B</v>
      </c>
      <c r="E538" s="110" t="str">
        <f ca="1">IFERROR(__xludf.DUMMYFUNCTION("""COMPUTED_VALUE"""),"J")</f>
        <v>J</v>
      </c>
      <c r="F538" s="110" t="str">
        <f ca="1">IFERROR(__xludf.DUMMYFUNCTION("""COMPUTED_VALUE"""),"I")</f>
        <v>I</v>
      </c>
      <c r="G538" s="110">
        <f ca="1">IFERROR(__xludf.DUMMYFUNCTION("""COMPUTED_VALUE"""),3)</f>
        <v>3</v>
      </c>
      <c r="H538" s="112" t="str">
        <f ca="1"/>
        <v/>
      </c>
      <c r="I538" s="112" t="str">
        <f ca="1"/>
        <v/>
      </c>
    </row>
    <row r="539" spans="1:9" ht="13.2">
      <c r="A539" s="109" t="str">
        <f ca="1">IFERROR(__xludf.DUMMYFUNCTION("""COMPUTED_VALUE"""),"DR")</f>
        <v>DR</v>
      </c>
      <c r="B539" s="108" t="str">
        <f ca="1">IFERROR(__xludf.DUMMYFUNCTION("""COMPUTED_VALUE"""),"Addison Johnson")</f>
        <v>Addison Johnson</v>
      </c>
      <c r="C539" s="109">
        <f ca="1">IFERROR(__xludf.DUMMYFUNCTION("""COMPUTED_VALUE"""),12)</f>
        <v>12</v>
      </c>
      <c r="D539" s="109" t="str">
        <f ca="1">IFERROR(__xludf.DUMMYFUNCTION("""COMPUTED_VALUE"""),"G")</f>
        <v>G</v>
      </c>
      <c r="E539" s="110" t="str">
        <f ca="1">IFERROR(__xludf.DUMMYFUNCTION("""COMPUTED_VALUE"""),"J")</f>
        <v>J</v>
      </c>
      <c r="F539" s="110" t="str">
        <f ca="1">IFERROR(__xludf.DUMMYFUNCTION("""COMPUTED_VALUE"""),"I")</f>
        <v>I</v>
      </c>
      <c r="G539" s="110">
        <f ca="1">IFERROR(__xludf.DUMMYFUNCTION("""COMPUTED_VALUE"""),3)</f>
        <v>3</v>
      </c>
      <c r="H539" s="112" t="str">
        <f ca="1"/>
        <v/>
      </c>
      <c r="I539" s="81" t="str">
        <f ca="1"/>
        <v/>
      </c>
    </row>
    <row r="540" spans="1:9" ht="13.2">
      <c r="A540" s="109" t="str">
        <f ca="1">IFERROR(__xludf.DUMMYFUNCTION("""COMPUTED_VALUE"""),"DR")</f>
        <v>DR</v>
      </c>
      <c r="B540" s="108" t="str">
        <f ca="1">IFERROR(__xludf.DUMMYFUNCTION("""COMPUTED_VALUE"""),"Adele Abouchar")</f>
        <v>Adele Abouchar</v>
      </c>
      <c r="C540" s="109">
        <f ca="1">IFERROR(__xludf.DUMMYFUNCTION("""COMPUTED_VALUE"""),12)</f>
        <v>12</v>
      </c>
      <c r="D540" s="109" t="str">
        <f ca="1">IFERROR(__xludf.DUMMYFUNCTION("""COMPUTED_VALUE"""),"G")</f>
        <v>G</v>
      </c>
      <c r="E540" s="110" t="str">
        <f ca="1">IFERROR(__xludf.DUMMYFUNCTION("""COMPUTED_VALUE"""),"J")</f>
        <v>J</v>
      </c>
      <c r="F540" s="110" t="str">
        <f ca="1">IFERROR(__xludf.DUMMYFUNCTION("""COMPUTED_VALUE"""),"I")</f>
        <v>I</v>
      </c>
      <c r="G540" s="110">
        <f ca="1">IFERROR(__xludf.DUMMYFUNCTION("""COMPUTED_VALUE"""),3)</f>
        <v>3</v>
      </c>
      <c r="H540" s="112" t="str">
        <f ca="1"/>
        <v/>
      </c>
      <c r="I540" s="112" t="str">
        <f ca="1"/>
        <v/>
      </c>
    </row>
    <row r="541" spans="1:9" ht="13.2">
      <c r="A541" s="109" t="str">
        <f ca="1">IFERROR(__xludf.DUMMYFUNCTION("""COMPUTED_VALUE"""),"DR")</f>
        <v>DR</v>
      </c>
      <c r="B541" s="108" t="str">
        <f ca="1">IFERROR(__xludf.DUMMYFUNCTION("""COMPUTED_VALUE"""),"Amara Chandy")</f>
        <v>Amara Chandy</v>
      </c>
      <c r="C541" s="109">
        <f ca="1">IFERROR(__xludf.DUMMYFUNCTION("""COMPUTED_VALUE"""),11)</f>
        <v>11</v>
      </c>
      <c r="D541" s="109" t="str">
        <f ca="1">IFERROR(__xludf.DUMMYFUNCTION("""COMPUTED_VALUE"""),"G")</f>
        <v>G</v>
      </c>
      <c r="E541" s="110" t="str">
        <f ca="1">IFERROR(__xludf.DUMMYFUNCTION("""COMPUTED_VALUE"""),"J")</f>
        <v>J</v>
      </c>
      <c r="F541" s="110" t="str">
        <f ca="1">IFERROR(__xludf.DUMMYFUNCTION("""COMPUTED_VALUE"""),"I")</f>
        <v>I</v>
      </c>
      <c r="G541" s="110">
        <f ca="1">IFERROR(__xludf.DUMMYFUNCTION("""COMPUTED_VALUE"""),3)</f>
        <v>3</v>
      </c>
      <c r="H541" s="112" t="str">
        <f ca="1"/>
        <v/>
      </c>
      <c r="I541" s="112" t="str">
        <f ca="1"/>
        <v/>
      </c>
    </row>
    <row r="542" spans="1:9" ht="13.2">
      <c r="A542" s="109" t="str">
        <f ca="1">IFERROR(__xludf.DUMMYFUNCTION("""COMPUTED_VALUE"""),"DR")</f>
        <v>DR</v>
      </c>
      <c r="B542" s="108" t="str">
        <f ca="1">IFERROR(__xludf.DUMMYFUNCTION("""COMPUTED_VALUE"""),"Anna Jungman")</f>
        <v>Anna Jungman</v>
      </c>
      <c r="C542" s="109">
        <f ca="1">IFERROR(__xludf.DUMMYFUNCTION("""COMPUTED_VALUE"""),11)</f>
        <v>11</v>
      </c>
      <c r="D542" s="109" t="str">
        <f ca="1">IFERROR(__xludf.DUMMYFUNCTION("""COMPUTED_VALUE"""),"G")</f>
        <v>G</v>
      </c>
      <c r="E542" s="110" t="str">
        <f ca="1">IFERROR(__xludf.DUMMYFUNCTION("""COMPUTED_VALUE"""),"J")</f>
        <v>J</v>
      </c>
      <c r="F542" s="110" t="str">
        <f ca="1">IFERROR(__xludf.DUMMYFUNCTION("""COMPUTED_VALUE"""),"I")</f>
        <v>I</v>
      </c>
      <c r="G542" s="110">
        <f ca="1">IFERROR(__xludf.DUMMYFUNCTION("""COMPUTED_VALUE"""),3)</f>
        <v>3</v>
      </c>
      <c r="H542" s="112" t="str">
        <f ca="1"/>
        <v/>
      </c>
      <c r="I542" s="112" t="str">
        <f ca="1"/>
        <v/>
      </c>
    </row>
    <row r="543" spans="1:9" ht="13.2">
      <c r="A543" s="109" t="str">
        <f ca="1">IFERROR(__xludf.DUMMYFUNCTION("""COMPUTED_VALUE"""),"DR")</f>
        <v>DR</v>
      </c>
      <c r="B543" s="108" t="str">
        <f ca="1">IFERROR(__xludf.DUMMYFUNCTION("""COMPUTED_VALUE"""),"Arya Greenwood")</f>
        <v>Arya Greenwood</v>
      </c>
      <c r="C543" s="109">
        <f ca="1">IFERROR(__xludf.DUMMYFUNCTION("""COMPUTED_VALUE"""),11)</f>
        <v>11</v>
      </c>
      <c r="D543" s="109" t="str">
        <f ca="1">IFERROR(__xludf.DUMMYFUNCTION("""COMPUTED_VALUE"""),"G")</f>
        <v>G</v>
      </c>
      <c r="E543" s="110" t="str">
        <f ca="1">IFERROR(__xludf.DUMMYFUNCTION("""COMPUTED_VALUE"""),"J")</f>
        <v>J</v>
      </c>
      <c r="F543" s="110" t="str">
        <f ca="1">IFERROR(__xludf.DUMMYFUNCTION("""COMPUTED_VALUE"""),"I")</f>
        <v>I</v>
      </c>
      <c r="G543" s="110">
        <f ca="1">IFERROR(__xludf.DUMMYFUNCTION("""COMPUTED_VALUE"""),3)</f>
        <v>3</v>
      </c>
      <c r="H543" s="112" t="str">
        <f ca="1"/>
        <v/>
      </c>
      <c r="I543" s="81" t="str">
        <f ca="1"/>
        <v/>
      </c>
    </row>
    <row r="544" spans="1:9" ht="13.2">
      <c r="A544" s="109" t="str">
        <f ca="1">IFERROR(__xludf.DUMMYFUNCTION("""COMPUTED_VALUE"""),"DR")</f>
        <v>DR</v>
      </c>
      <c r="B544" s="108" t="str">
        <f ca="1">IFERROR(__xludf.DUMMYFUNCTION("""COMPUTED_VALUE"""),"Audrey Bowman")</f>
        <v>Audrey Bowman</v>
      </c>
      <c r="C544" s="109">
        <f ca="1">IFERROR(__xludf.DUMMYFUNCTION("""COMPUTED_VALUE"""),12)</f>
        <v>12</v>
      </c>
      <c r="D544" s="109" t="str">
        <f ca="1">IFERROR(__xludf.DUMMYFUNCTION("""COMPUTED_VALUE"""),"G")</f>
        <v>G</v>
      </c>
      <c r="E544" s="110" t="str">
        <f ca="1">IFERROR(__xludf.DUMMYFUNCTION("""COMPUTED_VALUE"""),"J")</f>
        <v>J</v>
      </c>
      <c r="F544" s="110" t="str">
        <f ca="1">IFERROR(__xludf.DUMMYFUNCTION("""COMPUTED_VALUE"""),"I")</f>
        <v>I</v>
      </c>
      <c r="G544" s="110">
        <f ca="1">IFERROR(__xludf.DUMMYFUNCTION("""COMPUTED_VALUE"""),3)</f>
        <v>3</v>
      </c>
      <c r="H544" s="112" t="str">
        <f ca="1"/>
        <v/>
      </c>
      <c r="I544" s="112" t="str">
        <f ca="1"/>
        <v/>
      </c>
    </row>
    <row r="545" spans="1:9" ht="13.2">
      <c r="A545" s="109" t="str">
        <f ca="1">IFERROR(__xludf.DUMMYFUNCTION("""COMPUTED_VALUE"""),"DR")</f>
        <v>DR</v>
      </c>
      <c r="B545" s="108" t="str">
        <f ca="1">IFERROR(__xludf.DUMMYFUNCTION("""COMPUTED_VALUE"""),"Charlotte Mount")</f>
        <v>Charlotte Mount</v>
      </c>
      <c r="C545" s="109">
        <f ca="1">IFERROR(__xludf.DUMMYFUNCTION("""COMPUTED_VALUE"""),11)</f>
        <v>11</v>
      </c>
      <c r="D545" s="109" t="str">
        <f ca="1">IFERROR(__xludf.DUMMYFUNCTION("""COMPUTED_VALUE"""),"G")</f>
        <v>G</v>
      </c>
      <c r="E545" s="110" t="str">
        <f ca="1">IFERROR(__xludf.DUMMYFUNCTION("""COMPUTED_VALUE"""),"J")</f>
        <v>J</v>
      </c>
      <c r="F545" s="110" t="str">
        <f ca="1">IFERROR(__xludf.DUMMYFUNCTION("""COMPUTED_VALUE"""),"I")</f>
        <v>I</v>
      </c>
      <c r="G545" s="110">
        <f ca="1">IFERROR(__xludf.DUMMYFUNCTION("""COMPUTED_VALUE"""),3)</f>
        <v>3</v>
      </c>
      <c r="H545" s="112" t="str">
        <f ca="1"/>
        <v/>
      </c>
      <c r="I545" s="112" t="str">
        <f ca="1"/>
        <v/>
      </c>
    </row>
    <row r="546" spans="1:9" ht="13.2">
      <c r="A546" s="109" t="str">
        <f ca="1">IFERROR(__xludf.DUMMYFUNCTION("""COMPUTED_VALUE"""),"DR")</f>
        <v>DR</v>
      </c>
      <c r="B546" s="108" t="str">
        <f ca="1">IFERROR(__xludf.DUMMYFUNCTION("""COMPUTED_VALUE"""),"Chloe Samowich")</f>
        <v>Chloe Samowich</v>
      </c>
      <c r="C546" s="109">
        <f ca="1">IFERROR(__xludf.DUMMYFUNCTION("""COMPUTED_VALUE"""),12)</f>
        <v>12</v>
      </c>
      <c r="D546" s="109" t="str">
        <f ca="1">IFERROR(__xludf.DUMMYFUNCTION("""COMPUTED_VALUE"""),"G")</f>
        <v>G</v>
      </c>
      <c r="E546" s="110" t="str">
        <f ca="1">IFERROR(__xludf.DUMMYFUNCTION("""COMPUTED_VALUE"""),"J")</f>
        <v>J</v>
      </c>
      <c r="F546" s="110" t="str">
        <f ca="1">IFERROR(__xludf.DUMMYFUNCTION("""COMPUTED_VALUE"""),"I")</f>
        <v>I</v>
      </c>
      <c r="G546" s="110">
        <f ca="1">IFERROR(__xludf.DUMMYFUNCTION("""COMPUTED_VALUE"""),3)</f>
        <v>3</v>
      </c>
      <c r="H546" s="112" t="str">
        <f ca="1"/>
        <v/>
      </c>
      <c r="I546" s="81" t="str">
        <f ca="1"/>
        <v/>
      </c>
    </row>
    <row r="547" spans="1:9" ht="13.2">
      <c r="A547" s="109" t="str">
        <f ca="1">IFERROR(__xludf.DUMMYFUNCTION("""COMPUTED_VALUE"""),"DR")</f>
        <v>DR</v>
      </c>
      <c r="B547" s="108" t="str">
        <f ca="1">IFERROR(__xludf.DUMMYFUNCTION("""COMPUTED_VALUE"""),"Keira Dunne")</f>
        <v>Keira Dunne</v>
      </c>
      <c r="C547" s="109">
        <f ca="1">IFERROR(__xludf.DUMMYFUNCTION("""COMPUTED_VALUE"""),11)</f>
        <v>11</v>
      </c>
      <c r="D547" s="109" t="str">
        <f ca="1">IFERROR(__xludf.DUMMYFUNCTION("""COMPUTED_VALUE"""),"G")</f>
        <v>G</v>
      </c>
      <c r="E547" s="110" t="str">
        <f ca="1">IFERROR(__xludf.DUMMYFUNCTION("""COMPUTED_VALUE"""),"J")</f>
        <v>J</v>
      </c>
      <c r="F547" s="110" t="str">
        <f ca="1">IFERROR(__xludf.DUMMYFUNCTION("""COMPUTED_VALUE"""),"I")</f>
        <v>I</v>
      </c>
      <c r="G547" s="110">
        <f ca="1">IFERROR(__xludf.DUMMYFUNCTION("""COMPUTED_VALUE"""),3)</f>
        <v>3</v>
      </c>
      <c r="H547" s="112" t="str">
        <f ca="1"/>
        <v/>
      </c>
      <c r="I547" s="81" t="str">
        <f ca="1"/>
        <v/>
      </c>
    </row>
    <row r="548" spans="1:9" ht="13.2">
      <c r="A548" s="109" t="str">
        <f ca="1">IFERROR(__xludf.DUMMYFUNCTION("""COMPUTED_VALUE"""),"DR")</f>
        <v>DR</v>
      </c>
      <c r="B548" s="108" t="str">
        <f ca="1">IFERROR(__xludf.DUMMYFUNCTION("""COMPUTED_VALUE"""),"Madeline Duong")</f>
        <v>Madeline Duong</v>
      </c>
      <c r="C548" s="109">
        <f ca="1">IFERROR(__xludf.DUMMYFUNCTION("""COMPUTED_VALUE"""),12)</f>
        <v>12</v>
      </c>
      <c r="D548" s="109" t="str">
        <f ca="1">IFERROR(__xludf.DUMMYFUNCTION("""COMPUTED_VALUE"""),"G")</f>
        <v>G</v>
      </c>
      <c r="E548" s="110" t="str">
        <f ca="1">IFERROR(__xludf.DUMMYFUNCTION("""COMPUTED_VALUE"""),"J")</f>
        <v>J</v>
      </c>
      <c r="F548" s="110" t="str">
        <f ca="1">IFERROR(__xludf.DUMMYFUNCTION("""COMPUTED_VALUE"""),"I")</f>
        <v>I</v>
      </c>
      <c r="G548" s="110">
        <f ca="1">IFERROR(__xludf.DUMMYFUNCTION("""COMPUTED_VALUE"""),3)</f>
        <v>3</v>
      </c>
      <c r="H548" s="112" t="str">
        <f ca="1"/>
        <v>41.1</v>
      </c>
      <c r="I548" s="81">
        <f ca="1"/>
        <v>41.1</v>
      </c>
    </row>
    <row r="549" spans="1:9" ht="13.2">
      <c r="A549" s="109" t="str">
        <f ca="1">IFERROR(__xludf.DUMMYFUNCTION("""COMPUTED_VALUE"""),"DR")</f>
        <v>DR</v>
      </c>
      <c r="B549" s="108" t="str">
        <f ca="1">IFERROR(__xludf.DUMMYFUNCTION("""COMPUTED_VALUE"""),"Nina Jaeckel")</f>
        <v>Nina Jaeckel</v>
      </c>
      <c r="C549" s="109">
        <f ca="1">IFERROR(__xludf.DUMMYFUNCTION("""COMPUTED_VALUE"""),11)</f>
        <v>11</v>
      </c>
      <c r="D549" s="109" t="str">
        <f ca="1">IFERROR(__xludf.DUMMYFUNCTION("""COMPUTED_VALUE"""),"G")</f>
        <v>G</v>
      </c>
      <c r="E549" s="110" t="str">
        <f ca="1">IFERROR(__xludf.DUMMYFUNCTION("""COMPUTED_VALUE"""),"J")</f>
        <v>J</v>
      </c>
      <c r="F549" s="110" t="str">
        <f ca="1">IFERROR(__xludf.DUMMYFUNCTION("""COMPUTED_VALUE"""),"I")</f>
        <v>I</v>
      </c>
      <c r="G549" s="110">
        <f ca="1">IFERROR(__xludf.DUMMYFUNCTION("""COMPUTED_VALUE"""),3)</f>
        <v>3</v>
      </c>
      <c r="H549" s="112" t="str">
        <f ca="1"/>
        <v>33.1</v>
      </c>
      <c r="I549" s="81">
        <f ca="1"/>
        <v>33.1</v>
      </c>
    </row>
    <row r="550" spans="1:9" ht="13.2">
      <c r="A550" s="109" t="str">
        <f ca="1">IFERROR(__xludf.DUMMYFUNCTION("""COMPUTED_VALUE"""),"DR")</f>
        <v>DR</v>
      </c>
      <c r="B550" s="108" t="str">
        <f ca="1">IFERROR(__xludf.DUMMYFUNCTION("""COMPUTED_VALUE"""),"Nora Elder")</f>
        <v>Nora Elder</v>
      </c>
      <c r="C550" s="109">
        <f ca="1">IFERROR(__xludf.DUMMYFUNCTION("""COMPUTED_VALUE"""),11)</f>
        <v>11</v>
      </c>
      <c r="D550" s="109" t="str">
        <f ca="1">IFERROR(__xludf.DUMMYFUNCTION("""COMPUTED_VALUE"""),"G")</f>
        <v>G</v>
      </c>
      <c r="E550" s="110" t="str">
        <f ca="1">IFERROR(__xludf.DUMMYFUNCTION("""COMPUTED_VALUE"""),"J")</f>
        <v>J</v>
      </c>
      <c r="F550" s="110" t="str">
        <f ca="1">IFERROR(__xludf.DUMMYFUNCTION("""COMPUTED_VALUE"""),"I")</f>
        <v>I</v>
      </c>
      <c r="G550" s="110">
        <f ca="1">IFERROR(__xludf.DUMMYFUNCTION("""COMPUTED_VALUE"""),3)</f>
        <v>3</v>
      </c>
      <c r="H550" s="112" t="str">
        <f ca="1"/>
        <v/>
      </c>
      <c r="I550" s="112" t="str">
        <f ca="1"/>
        <v/>
      </c>
    </row>
    <row r="551" spans="1:9" ht="13.2">
      <c r="A551" s="109" t="str">
        <f ca="1">IFERROR(__xludf.DUMMYFUNCTION("""COMPUTED_VALUE"""),"DR")</f>
        <v>DR</v>
      </c>
      <c r="B551" s="108" t="str">
        <f ca="1">IFERROR(__xludf.DUMMYFUNCTION("""COMPUTED_VALUE"""),"Riley McDonnell")</f>
        <v>Riley McDonnell</v>
      </c>
      <c r="C551" s="109">
        <f ca="1">IFERROR(__xludf.DUMMYFUNCTION("""COMPUTED_VALUE"""),12)</f>
        <v>12</v>
      </c>
      <c r="D551" s="109" t="str">
        <f ca="1">IFERROR(__xludf.DUMMYFUNCTION("""COMPUTED_VALUE"""),"G")</f>
        <v>G</v>
      </c>
      <c r="E551" s="110" t="str">
        <f ca="1">IFERROR(__xludf.DUMMYFUNCTION("""COMPUTED_VALUE"""),"J")</f>
        <v>J</v>
      </c>
      <c r="F551" s="110" t="str">
        <f ca="1">IFERROR(__xludf.DUMMYFUNCTION("""COMPUTED_VALUE"""),"I")</f>
        <v>I</v>
      </c>
      <c r="G551" s="110">
        <f ca="1">IFERROR(__xludf.DUMMYFUNCTION("""COMPUTED_VALUE"""),3)</f>
        <v>3</v>
      </c>
      <c r="H551" s="112" t="str">
        <f ca="1"/>
        <v>47.95</v>
      </c>
      <c r="I551" s="112">
        <f ca="1"/>
        <v>47.95</v>
      </c>
    </row>
    <row r="552" spans="1:9" ht="13.2">
      <c r="A552" s="109" t="str">
        <f ca="1">IFERROR(__xludf.DUMMYFUNCTION("""COMPUTED_VALUE"""),"DR")</f>
        <v>DR</v>
      </c>
      <c r="B552" s="108" t="str">
        <f ca="1">IFERROR(__xludf.DUMMYFUNCTION("""COMPUTED_VALUE"""),"Riley Wishneff")</f>
        <v>Riley Wishneff</v>
      </c>
      <c r="C552" s="109">
        <f ca="1">IFERROR(__xludf.DUMMYFUNCTION("""COMPUTED_VALUE"""),11)</f>
        <v>11</v>
      </c>
      <c r="D552" s="109" t="str">
        <f ca="1">IFERROR(__xludf.DUMMYFUNCTION("""COMPUTED_VALUE"""),"G")</f>
        <v>G</v>
      </c>
      <c r="E552" s="110" t="str">
        <f ca="1">IFERROR(__xludf.DUMMYFUNCTION("""COMPUTED_VALUE"""),"J")</f>
        <v>J</v>
      </c>
      <c r="F552" s="110" t="str">
        <f ca="1">IFERROR(__xludf.DUMMYFUNCTION("""COMPUTED_VALUE"""),"I")</f>
        <v>I</v>
      </c>
      <c r="G552" s="110">
        <f ca="1">IFERROR(__xludf.DUMMYFUNCTION("""COMPUTED_VALUE"""),3)</f>
        <v>3</v>
      </c>
      <c r="H552" s="112" t="str">
        <f ca="1"/>
        <v/>
      </c>
      <c r="I552" s="81" t="str">
        <f ca="1"/>
        <v/>
      </c>
    </row>
    <row r="553" spans="1:9" ht="13.2">
      <c r="A553" s="109" t="str">
        <f ca="1">IFERROR(__xludf.DUMMYFUNCTION("""COMPUTED_VALUE"""),"DR")</f>
        <v>DR</v>
      </c>
      <c r="B553" s="108" t="str">
        <f ca="1">IFERROR(__xludf.DUMMYFUNCTION("""COMPUTED_VALUE"""),"Ruth Eliot")</f>
        <v>Ruth Eliot</v>
      </c>
      <c r="C553" s="109">
        <f ca="1">IFERROR(__xludf.DUMMYFUNCTION("""COMPUTED_VALUE"""),11)</f>
        <v>11</v>
      </c>
      <c r="D553" s="109" t="str">
        <f ca="1">IFERROR(__xludf.DUMMYFUNCTION("""COMPUTED_VALUE"""),"G")</f>
        <v>G</v>
      </c>
      <c r="E553" s="110" t="str">
        <f ca="1">IFERROR(__xludf.DUMMYFUNCTION("""COMPUTED_VALUE"""),"J")</f>
        <v>J</v>
      </c>
      <c r="F553" s="110" t="str">
        <f ca="1">IFERROR(__xludf.DUMMYFUNCTION("""COMPUTED_VALUE"""),"I")</f>
        <v>I</v>
      </c>
      <c r="G553" s="110">
        <f ca="1">IFERROR(__xludf.DUMMYFUNCTION("""COMPUTED_VALUE"""),3)</f>
        <v>3</v>
      </c>
      <c r="H553" s="112" t="str">
        <f ca="1"/>
        <v/>
      </c>
      <c r="I553" s="112" t="str">
        <f ca="1"/>
        <v/>
      </c>
    </row>
    <row r="554" spans="1:9" ht="13.2">
      <c r="A554" s="109" t="str">
        <f ca="1">IFERROR(__xludf.DUMMYFUNCTION("""COMPUTED_VALUE"""),"DR")</f>
        <v>DR</v>
      </c>
      <c r="B554" s="108" t="str">
        <f ca="1">IFERROR(__xludf.DUMMYFUNCTION("""COMPUTED_VALUE"""),"James Gray")</f>
        <v>James Gray</v>
      </c>
      <c r="C554" s="109">
        <f ca="1">IFERROR(__xludf.DUMMYFUNCTION("""COMPUTED_VALUE"""),19)</f>
        <v>19</v>
      </c>
      <c r="D554" s="109" t="str">
        <f ca="1">IFERROR(__xludf.DUMMYFUNCTION("""COMPUTED_VALUE"""),"B")</f>
        <v>B</v>
      </c>
      <c r="E554" s="110" t="str">
        <f ca="1">IFERROR(__xludf.DUMMYFUNCTION("""COMPUTED_VALUE"""),"S")</f>
        <v>S</v>
      </c>
      <c r="F554" s="110" t="str">
        <f ca="1">IFERROR(__xludf.DUMMYFUNCTION("""COMPUTED_VALUE"""),"S")</f>
        <v>S</v>
      </c>
      <c r="G554" s="110">
        <f ca="1">IFERROR(__xludf.DUMMYFUNCTION("""COMPUTED_VALUE"""),3)</f>
        <v>3</v>
      </c>
      <c r="H554" s="112" t="str">
        <f ca="1"/>
        <v/>
      </c>
      <c r="I554" s="112" t="str">
        <f ca="1"/>
        <v/>
      </c>
    </row>
    <row r="555" spans="1:9" ht="13.2">
      <c r="A555" s="109" t="str">
        <f ca="1">IFERROR(__xludf.DUMMYFUNCTION("""COMPUTED_VALUE"""),"DR")</f>
        <v>DR</v>
      </c>
      <c r="B555" s="108" t="str">
        <f ca="1">IFERROR(__xludf.DUMMYFUNCTION("""COMPUTED_VALUE"""),"William Parish")</f>
        <v>William Parish</v>
      </c>
      <c r="C555" s="109">
        <f ca="1">IFERROR(__xludf.DUMMYFUNCTION("""COMPUTED_VALUE"""),15)</f>
        <v>15</v>
      </c>
      <c r="D555" s="109" t="str">
        <f ca="1">IFERROR(__xludf.DUMMYFUNCTION("""COMPUTED_VALUE"""),"B")</f>
        <v>B</v>
      </c>
      <c r="E555" s="110" t="str">
        <f ca="1">IFERROR(__xludf.DUMMYFUNCTION("""COMPUTED_VALUE"""),"S")</f>
        <v>S</v>
      </c>
      <c r="F555" s="110" t="str">
        <f ca="1">IFERROR(__xludf.DUMMYFUNCTION("""COMPUTED_VALUE"""),"S")</f>
        <v>S</v>
      </c>
      <c r="G555" s="110">
        <f ca="1">IFERROR(__xludf.DUMMYFUNCTION("""COMPUTED_VALUE"""),3)</f>
        <v>3</v>
      </c>
      <c r="H555" s="112" t="str">
        <f ca="1"/>
        <v/>
      </c>
      <c r="I555" s="112" t="str">
        <f ca="1"/>
        <v/>
      </c>
    </row>
    <row r="556" spans="1:9" ht="13.2">
      <c r="A556" s="109" t="str">
        <f ca="1">IFERROR(__xludf.DUMMYFUNCTION("""COMPUTED_VALUE"""),"DR")</f>
        <v>DR</v>
      </c>
      <c r="B556" s="108" t="str">
        <f ca="1">IFERROR(__xludf.DUMMYFUNCTION("""COMPUTED_VALUE"""),"Elise Maher")</f>
        <v>Elise Maher</v>
      </c>
      <c r="C556" s="109">
        <f ca="1">IFERROR(__xludf.DUMMYFUNCTION("""COMPUTED_VALUE"""),16)</f>
        <v>16</v>
      </c>
      <c r="D556" s="109" t="str">
        <f ca="1">IFERROR(__xludf.DUMMYFUNCTION("""COMPUTED_VALUE"""),"G")</f>
        <v>G</v>
      </c>
      <c r="E556" s="110" t="str">
        <f ca="1">IFERROR(__xludf.DUMMYFUNCTION("""COMPUTED_VALUE"""),"S")</f>
        <v>S</v>
      </c>
      <c r="F556" s="110" t="str">
        <f ca="1">IFERROR(__xludf.DUMMYFUNCTION("""COMPUTED_VALUE"""),"S")</f>
        <v>S</v>
      </c>
      <c r="G556" s="110">
        <f ca="1">IFERROR(__xludf.DUMMYFUNCTION("""COMPUTED_VALUE"""),3)</f>
        <v>3</v>
      </c>
      <c r="H556" s="112" t="str">
        <f ca="1"/>
        <v/>
      </c>
      <c r="I556" s="112" t="str">
        <f ca="1"/>
        <v/>
      </c>
    </row>
    <row r="557" spans="1:9" ht="13.2">
      <c r="A557" s="109" t="str">
        <f ca="1">IFERROR(__xludf.DUMMYFUNCTION("""COMPUTED_VALUE"""),"DR")</f>
        <v>DR</v>
      </c>
      <c r="B557" s="108" t="str">
        <f ca="1">IFERROR(__xludf.DUMMYFUNCTION("""COMPUTED_VALUE"""),"Ellie Simmons")</f>
        <v>Ellie Simmons</v>
      </c>
      <c r="C557" s="109">
        <f ca="1">IFERROR(__xludf.DUMMYFUNCTION("""COMPUTED_VALUE"""),17)</f>
        <v>17</v>
      </c>
      <c r="D557" s="109" t="str">
        <f ca="1">IFERROR(__xludf.DUMMYFUNCTION("""COMPUTED_VALUE"""),"G")</f>
        <v>G</v>
      </c>
      <c r="E557" s="110" t="str">
        <f ca="1">IFERROR(__xludf.DUMMYFUNCTION("""COMPUTED_VALUE"""),"S")</f>
        <v>S</v>
      </c>
      <c r="F557" s="110" t="str">
        <f ca="1">IFERROR(__xludf.DUMMYFUNCTION("""COMPUTED_VALUE"""),"S")</f>
        <v>S</v>
      </c>
      <c r="G557" s="110">
        <f ca="1">IFERROR(__xludf.DUMMYFUNCTION("""COMPUTED_VALUE"""),3)</f>
        <v>3</v>
      </c>
      <c r="H557" s="112" t="str">
        <f ca="1"/>
        <v/>
      </c>
      <c r="I557" s="112" t="str">
        <f ca="1"/>
        <v/>
      </c>
    </row>
    <row r="558" spans="1:9" ht="13.2">
      <c r="A558" s="109" t="str">
        <f ca="1">IFERROR(__xludf.DUMMYFUNCTION("""COMPUTED_VALUE"""),"DR")</f>
        <v>DR</v>
      </c>
      <c r="B558" s="108" t="str">
        <f ca="1">IFERROR(__xludf.DUMMYFUNCTION("""COMPUTED_VALUE"""),"Emma Webb")</f>
        <v>Emma Webb</v>
      </c>
      <c r="C558" s="109">
        <f ca="1">IFERROR(__xludf.DUMMYFUNCTION("""COMPUTED_VALUE"""),16)</f>
        <v>16</v>
      </c>
      <c r="D558" s="109" t="str">
        <f ca="1">IFERROR(__xludf.DUMMYFUNCTION("""COMPUTED_VALUE"""),"G")</f>
        <v>G</v>
      </c>
      <c r="E558" s="110" t="str">
        <f ca="1">IFERROR(__xludf.DUMMYFUNCTION("""COMPUTED_VALUE"""),"S")</f>
        <v>S</v>
      </c>
      <c r="F558" s="110" t="str">
        <f ca="1">IFERROR(__xludf.DUMMYFUNCTION("""COMPUTED_VALUE"""),"S")</f>
        <v>S</v>
      </c>
      <c r="G558" s="110">
        <f ca="1">IFERROR(__xludf.DUMMYFUNCTION("""COMPUTED_VALUE"""),3)</f>
        <v>3</v>
      </c>
      <c r="H558" s="112" t="str">
        <f ca="1"/>
        <v/>
      </c>
      <c r="I558" s="112" t="str">
        <f ca="1"/>
        <v/>
      </c>
    </row>
    <row r="559" spans="1:9" ht="13.2">
      <c r="A559" s="109" t="str">
        <f ca="1">IFERROR(__xludf.DUMMYFUNCTION("""COMPUTED_VALUE"""),"DR")</f>
        <v>DR</v>
      </c>
      <c r="B559" s="108" t="str">
        <f ca="1">IFERROR(__xludf.DUMMYFUNCTION("""COMPUTED_VALUE"""),"Noelle Samowich")</f>
        <v>Noelle Samowich</v>
      </c>
      <c r="C559" s="109">
        <f ca="1">IFERROR(__xludf.DUMMYFUNCTION("""COMPUTED_VALUE"""),15)</f>
        <v>15</v>
      </c>
      <c r="D559" s="109" t="str">
        <f ca="1">IFERROR(__xludf.DUMMYFUNCTION("""COMPUTED_VALUE"""),"G")</f>
        <v>G</v>
      </c>
      <c r="E559" s="110" t="str">
        <f ca="1">IFERROR(__xludf.DUMMYFUNCTION("""COMPUTED_VALUE"""),"S")</f>
        <v>S</v>
      </c>
      <c r="F559" s="110" t="str">
        <f ca="1">IFERROR(__xludf.DUMMYFUNCTION("""COMPUTED_VALUE"""),"S")</f>
        <v>S</v>
      </c>
      <c r="G559" s="110">
        <f ca="1">IFERROR(__xludf.DUMMYFUNCTION("""COMPUTED_VALUE"""),3)</f>
        <v>3</v>
      </c>
      <c r="H559" s="112" t="str">
        <f ca="1"/>
        <v/>
      </c>
      <c r="I559" s="112" t="str">
        <f ca="1"/>
        <v/>
      </c>
    </row>
    <row r="560" spans="1:9" ht="13.2">
      <c r="A560" s="109" t="str">
        <f ca="1">IFERROR(__xludf.DUMMYFUNCTION("""COMPUTED_VALUE"""),"F")</f>
        <v>F</v>
      </c>
      <c r="B560" s="108" t="str">
        <f ca="1">IFERROR(__xludf.DUMMYFUNCTION("""COMPUTED_VALUE"""),"Alex Shea")</f>
        <v>Alex Shea</v>
      </c>
      <c r="C560" s="109">
        <f ca="1">IFERROR(__xludf.DUMMYFUNCTION("""COMPUTED_VALUE"""),10)</f>
        <v>10</v>
      </c>
      <c r="D560" s="109" t="str">
        <f ca="1">IFERROR(__xludf.DUMMYFUNCTION("""COMPUTED_VALUE"""),"B")</f>
        <v>B</v>
      </c>
      <c r="E560" s="110" t="str">
        <f ca="1">IFERROR(__xludf.DUMMYFUNCTION("""COMPUTED_VALUE"""),"F")</f>
        <v>F</v>
      </c>
      <c r="F560" s="110" t="str">
        <f ca="1">IFERROR(__xludf.DUMMYFUNCTION("""COMPUTED_VALUE"""),"J")</f>
        <v>J</v>
      </c>
      <c r="G560" s="110">
        <f ca="1">IFERROR(__xludf.DUMMYFUNCTION("""COMPUTED_VALUE"""),2)</f>
        <v>2</v>
      </c>
      <c r="H560" s="112" t="str">
        <f ca="1"/>
        <v/>
      </c>
      <c r="I560" s="112" t="str">
        <f ca="1"/>
        <v/>
      </c>
    </row>
    <row r="561" spans="1:9" ht="13.2">
      <c r="A561" s="109" t="str">
        <f ca="1">IFERROR(__xludf.DUMMYFUNCTION("""COMPUTED_VALUE"""),"F")</f>
        <v>F</v>
      </c>
      <c r="B561" s="108" t="str">
        <f ca="1">IFERROR(__xludf.DUMMYFUNCTION("""COMPUTED_VALUE"""),"Caiden Stark")</f>
        <v>Caiden Stark</v>
      </c>
      <c r="C561" s="109">
        <f ca="1">IFERROR(__xludf.DUMMYFUNCTION("""COMPUTED_VALUE"""),9)</f>
        <v>9</v>
      </c>
      <c r="D561" s="109" t="str">
        <f ca="1">IFERROR(__xludf.DUMMYFUNCTION("""COMPUTED_VALUE"""),"B")</f>
        <v>B</v>
      </c>
      <c r="E561" s="110" t="str">
        <f ca="1">IFERROR(__xludf.DUMMYFUNCTION("""COMPUTED_VALUE"""),"F")</f>
        <v>F</v>
      </c>
      <c r="F561" s="110" t="str">
        <f ca="1">IFERROR(__xludf.DUMMYFUNCTION("""COMPUTED_VALUE"""),"J")</f>
        <v>J</v>
      </c>
      <c r="G561" s="110">
        <f ca="1">IFERROR(__xludf.DUMMYFUNCTION("""COMPUTED_VALUE"""),2)</f>
        <v>2</v>
      </c>
      <c r="H561" s="112" t="str">
        <f ca="1"/>
        <v/>
      </c>
      <c r="I561" s="81" t="str">
        <f ca="1"/>
        <v/>
      </c>
    </row>
    <row r="562" spans="1:9" ht="13.2">
      <c r="A562" s="109" t="str">
        <f ca="1">IFERROR(__xludf.DUMMYFUNCTION("""COMPUTED_VALUE"""),"F")</f>
        <v>F</v>
      </c>
      <c r="B562" s="108" t="str">
        <f ca="1">IFERROR(__xludf.DUMMYFUNCTION("""COMPUTED_VALUE"""),"Calibro Dumas")</f>
        <v>Calibro Dumas</v>
      </c>
      <c r="C562" s="109">
        <f ca="1">IFERROR(__xludf.DUMMYFUNCTION("""COMPUTED_VALUE"""),6)</f>
        <v>6</v>
      </c>
      <c r="D562" s="109" t="str">
        <f ca="1">IFERROR(__xludf.DUMMYFUNCTION("""COMPUTED_VALUE"""),"B")</f>
        <v>B</v>
      </c>
      <c r="E562" s="110" t="str">
        <f ca="1">IFERROR(__xludf.DUMMYFUNCTION("""COMPUTED_VALUE"""),"F")</f>
        <v>F</v>
      </c>
      <c r="F562" s="110" t="str">
        <f ca="1">IFERROR(__xludf.DUMMYFUNCTION("""COMPUTED_VALUE"""),"J")</f>
        <v>J</v>
      </c>
      <c r="G562" s="110">
        <f ca="1">IFERROR(__xludf.DUMMYFUNCTION("""COMPUTED_VALUE"""),2)</f>
        <v>2</v>
      </c>
      <c r="H562" s="112" t="str">
        <f ca="1"/>
        <v/>
      </c>
      <c r="I562" s="81" t="str">
        <f ca="1"/>
        <v/>
      </c>
    </row>
    <row r="563" spans="1:9" ht="13.2">
      <c r="A563" s="109" t="str">
        <f ca="1">IFERROR(__xludf.DUMMYFUNCTION("""COMPUTED_VALUE"""),"F")</f>
        <v>F</v>
      </c>
      <c r="B563" s="108" t="str">
        <f ca="1">IFERROR(__xludf.DUMMYFUNCTION("""COMPUTED_VALUE"""),"Christopher Barron")</f>
        <v>Christopher Barron</v>
      </c>
      <c r="C563" s="109">
        <f ca="1">IFERROR(__xludf.DUMMYFUNCTION("""COMPUTED_VALUE"""),9)</f>
        <v>9</v>
      </c>
      <c r="D563" s="109" t="str">
        <f ca="1">IFERROR(__xludf.DUMMYFUNCTION("""COMPUTED_VALUE"""),"B")</f>
        <v>B</v>
      </c>
      <c r="E563" s="110" t="str">
        <f ca="1">IFERROR(__xludf.DUMMYFUNCTION("""COMPUTED_VALUE"""),"F")</f>
        <v>F</v>
      </c>
      <c r="F563" s="110" t="str">
        <f ca="1">IFERROR(__xludf.DUMMYFUNCTION("""COMPUTED_VALUE"""),"J")</f>
        <v>J</v>
      </c>
      <c r="G563" s="110">
        <f ca="1">IFERROR(__xludf.DUMMYFUNCTION("""COMPUTED_VALUE"""),2)</f>
        <v>2</v>
      </c>
      <c r="H563" s="112" t="str">
        <f ca="1"/>
        <v/>
      </c>
      <c r="I563" s="81" t="str">
        <f ca="1"/>
        <v/>
      </c>
    </row>
    <row r="564" spans="1:9" ht="13.2">
      <c r="A564" s="109" t="str">
        <f ca="1">IFERROR(__xludf.DUMMYFUNCTION("""COMPUTED_VALUE"""),"F")</f>
        <v>F</v>
      </c>
      <c r="B564" s="108" t="str">
        <f ca="1">IFERROR(__xludf.DUMMYFUNCTION("""COMPUTED_VALUE"""),"Cian Stark")</f>
        <v>Cian Stark</v>
      </c>
      <c r="C564" s="109">
        <f ca="1">IFERROR(__xludf.DUMMYFUNCTION("""COMPUTED_VALUE"""),6)</f>
        <v>6</v>
      </c>
      <c r="D564" s="109" t="str">
        <f ca="1">IFERROR(__xludf.DUMMYFUNCTION("""COMPUTED_VALUE"""),"B")</f>
        <v>B</v>
      </c>
      <c r="E564" s="110" t="str">
        <f ca="1">IFERROR(__xludf.DUMMYFUNCTION("""COMPUTED_VALUE"""),"F")</f>
        <v>F</v>
      </c>
      <c r="F564" s="110" t="str">
        <f ca="1">IFERROR(__xludf.DUMMYFUNCTION("""COMPUTED_VALUE"""),"J")</f>
        <v>J</v>
      </c>
      <c r="G564" s="110">
        <f ca="1">IFERROR(__xludf.DUMMYFUNCTION("""COMPUTED_VALUE"""),2)</f>
        <v>2</v>
      </c>
      <c r="H564" s="112" t="str">
        <f ca="1"/>
        <v/>
      </c>
      <c r="I564" s="112" t="str">
        <f ca="1"/>
        <v/>
      </c>
    </row>
    <row r="565" spans="1:9" ht="13.2">
      <c r="A565" s="109" t="str">
        <f ca="1">IFERROR(__xludf.DUMMYFUNCTION("""COMPUTED_VALUE"""),"F")</f>
        <v>F</v>
      </c>
      <c r="B565" s="108" t="str">
        <f ca="1">IFERROR(__xludf.DUMMYFUNCTION("""COMPUTED_VALUE"""),"Connor Barron")</f>
        <v>Connor Barron</v>
      </c>
      <c r="C565" s="109">
        <f ca="1">IFERROR(__xludf.DUMMYFUNCTION("""COMPUTED_VALUE"""),7)</f>
        <v>7</v>
      </c>
      <c r="D565" s="109" t="str">
        <f ca="1">IFERROR(__xludf.DUMMYFUNCTION("""COMPUTED_VALUE"""),"B")</f>
        <v>B</v>
      </c>
      <c r="E565" s="110" t="str">
        <f ca="1">IFERROR(__xludf.DUMMYFUNCTION("""COMPUTED_VALUE"""),"F")</f>
        <v>F</v>
      </c>
      <c r="F565" s="110" t="str">
        <f ca="1">IFERROR(__xludf.DUMMYFUNCTION("""COMPUTED_VALUE"""),"J")</f>
        <v>J</v>
      </c>
      <c r="G565" s="110">
        <f ca="1">IFERROR(__xludf.DUMMYFUNCTION("""COMPUTED_VALUE"""),2)</f>
        <v>2</v>
      </c>
      <c r="H565" s="112" t="str">
        <f ca="1"/>
        <v/>
      </c>
      <c r="I565" s="81" t="str">
        <f ca="1"/>
        <v/>
      </c>
    </row>
    <row r="566" spans="1:9" ht="13.2">
      <c r="A566" s="109" t="str">
        <f ca="1">IFERROR(__xludf.DUMMYFUNCTION("""COMPUTED_VALUE"""),"F")</f>
        <v>F</v>
      </c>
      <c r="B566" s="108" t="str">
        <f ca="1">IFERROR(__xludf.DUMMYFUNCTION("""COMPUTED_VALUE"""),"Deen Garbia")</f>
        <v>Deen Garbia</v>
      </c>
      <c r="C566" s="109">
        <f ca="1">IFERROR(__xludf.DUMMYFUNCTION("""COMPUTED_VALUE"""),10)</f>
        <v>10</v>
      </c>
      <c r="D566" s="109" t="str">
        <f ca="1">IFERROR(__xludf.DUMMYFUNCTION("""COMPUTED_VALUE"""),"B")</f>
        <v>B</v>
      </c>
      <c r="E566" s="110" t="str">
        <f ca="1">IFERROR(__xludf.DUMMYFUNCTION("""COMPUTED_VALUE"""),"F")</f>
        <v>F</v>
      </c>
      <c r="F566" s="110" t="str">
        <f ca="1">IFERROR(__xludf.DUMMYFUNCTION("""COMPUTED_VALUE"""),"J")</f>
        <v>J</v>
      </c>
      <c r="G566" s="110">
        <f ca="1">IFERROR(__xludf.DUMMYFUNCTION("""COMPUTED_VALUE"""),2)</f>
        <v>2</v>
      </c>
      <c r="H566" s="112" t="str">
        <f ca="1"/>
        <v/>
      </c>
      <c r="I566" s="112" t="str">
        <f ca="1"/>
        <v/>
      </c>
    </row>
    <row r="567" spans="1:9" ht="13.2">
      <c r="A567" s="109" t="str">
        <f ca="1">IFERROR(__xludf.DUMMYFUNCTION("""COMPUTED_VALUE"""),"F")</f>
        <v>F</v>
      </c>
      <c r="B567" s="108" t="str">
        <f ca="1">IFERROR(__xludf.DUMMYFUNCTION("""COMPUTED_VALUE"""),"Eli Stovall")</f>
        <v>Eli Stovall</v>
      </c>
      <c r="C567" s="109">
        <f ca="1">IFERROR(__xludf.DUMMYFUNCTION("""COMPUTED_VALUE"""),9)</f>
        <v>9</v>
      </c>
      <c r="D567" s="109" t="str">
        <f ca="1">IFERROR(__xludf.DUMMYFUNCTION("""COMPUTED_VALUE"""),"B")</f>
        <v>B</v>
      </c>
      <c r="E567" s="110" t="str">
        <f ca="1">IFERROR(__xludf.DUMMYFUNCTION("""COMPUTED_VALUE"""),"F")</f>
        <v>F</v>
      </c>
      <c r="F567" s="110" t="str">
        <f ca="1">IFERROR(__xludf.DUMMYFUNCTION("""COMPUTED_VALUE"""),"J")</f>
        <v>J</v>
      </c>
      <c r="G567" s="110">
        <f ca="1">IFERROR(__xludf.DUMMYFUNCTION("""COMPUTED_VALUE"""),2)</f>
        <v>2</v>
      </c>
      <c r="H567" s="112" t="str">
        <f ca="1"/>
        <v/>
      </c>
      <c r="I567" s="81" t="str">
        <f ca="1"/>
        <v/>
      </c>
    </row>
    <row r="568" spans="1:9" ht="13.2">
      <c r="A568" s="109" t="str">
        <f ca="1">IFERROR(__xludf.DUMMYFUNCTION("""COMPUTED_VALUE"""),"F")</f>
        <v>F</v>
      </c>
      <c r="B568" s="108" t="str">
        <f ca="1">IFERROR(__xludf.DUMMYFUNCTION("""COMPUTED_VALUE"""),"Jack Devlin")</f>
        <v>Jack Devlin</v>
      </c>
      <c r="C568" s="109">
        <f ca="1">IFERROR(__xludf.DUMMYFUNCTION("""COMPUTED_VALUE"""),7)</f>
        <v>7</v>
      </c>
      <c r="D568" s="109" t="str">
        <f ca="1">IFERROR(__xludf.DUMMYFUNCTION("""COMPUTED_VALUE"""),"B")</f>
        <v>B</v>
      </c>
      <c r="E568" s="110" t="str">
        <f ca="1">IFERROR(__xludf.DUMMYFUNCTION("""COMPUTED_VALUE"""),"F")</f>
        <v>F</v>
      </c>
      <c r="F568" s="110" t="str">
        <f ca="1">IFERROR(__xludf.DUMMYFUNCTION("""COMPUTED_VALUE"""),"J")</f>
        <v>J</v>
      </c>
      <c r="G568" s="110">
        <f ca="1">IFERROR(__xludf.DUMMYFUNCTION("""COMPUTED_VALUE"""),2)</f>
        <v>2</v>
      </c>
      <c r="H568" s="112" t="str">
        <f ca="1"/>
        <v/>
      </c>
      <c r="I568" s="81" t="str">
        <f ca="1"/>
        <v/>
      </c>
    </row>
    <row r="569" spans="1:9" ht="13.2">
      <c r="A569" s="109" t="str">
        <f ca="1">IFERROR(__xludf.DUMMYFUNCTION("""COMPUTED_VALUE"""),"F")</f>
        <v>F</v>
      </c>
      <c r="B569" s="108" t="str">
        <f ca="1">IFERROR(__xludf.DUMMYFUNCTION("""COMPUTED_VALUE"""),"Jason Vericker")</f>
        <v>Jason Vericker</v>
      </c>
      <c r="C569" s="109">
        <f ca="1">IFERROR(__xludf.DUMMYFUNCTION("""COMPUTED_VALUE"""),8)</f>
        <v>8</v>
      </c>
      <c r="D569" s="109" t="str">
        <f ca="1">IFERROR(__xludf.DUMMYFUNCTION("""COMPUTED_VALUE"""),"B")</f>
        <v>B</v>
      </c>
      <c r="E569" s="110" t="str">
        <f ca="1">IFERROR(__xludf.DUMMYFUNCTION("""COMPUTED_VALUE"""),"F")</f>
        <v>F</v>
      </c>
      <c r="F569" s="110" t="str">
        <f ca="1">IFERROR(__xludf.DUMMYFUNCTION("""COMPUTED_VALUE"""),"J")</f>
        <v>J</v>
      </c>
      <c r="G569" s="110">
        <f ca="1">IFERROR(__xludf.DUMMYFUNCTION("""COMPUTED_VALUE"""),2)</f>
        <v>2</v>
      </c>
      <c r="H569" s="112" t="str">
        <f ca="1"/>
        <v/>
      </c>
      <c r="I569" s="81" t="str">
        <f ca="1"/>
        <v/>
      </c>
    </row>
    <row r="570" spans="1:9" ht="13.2">
      <c r="A570" s="109" t="str">
        <f ca="1">IFERROR(__xludf.DUMMYFUNCTION("""COMPUTED_VALUE"""),"F")</f>
        <v>F</v>
      </c>
      <c r="B570" s="108" t="str">
        <f ca="1">IFERROR(__xludf.DUMMYFUNCTION("""COMPUTED_VALUE"""),"Jaspar Carpenter")</f>
        <v>Jaspar Carpenter</v>
      </c>
      <c r="C570" s="109">
        <f ca="1">IFERROR(__xludf.DUMMYFUNCTION("""COMPUTED_VALUE"""),6)</f>
        <v>6</v>
      </c>
      <c r="D570" s="109" t="str">
        <f ca="1">IFERROR(__xludf.DUMMYFUNCTION("""COMPUTED_VALUE"""),"B")</f>
        <v>B</v>
      </c>
      <c r="E570" s="110" t="str">
        <f ca="1">IFERROR(__xludf.DUMMYFUNCTION("""COMPUTED_VALUE"""),"F")</f>
        <v>F</v>
      </c>
      <c r="F570" s="110" t="str">
        <f ca="1">IFERROR(__xludf.DUMMYFUNCTION("""COMPUTED_VALUE"""),"J")</f>
        <v>J</v>
      </c>
      <c r="G570" s="110">
        <f ca="1">IFERROR(__xludf.DUMMYFUNCTION("""COMPUTED_VALUE"""),2)</f>
        <v>2</v>
      </c>
      <c r="H570" s="112" t="str">
        <f ca="1"/>
        <v>37.6</v>
      </c>
      <c r="I570" s="81">
        <f ca="1"/>
        <v>37.6</v>
      </c>
    </row>
    <row r="571" spans="1:9" ht="13.2">
      <c r="A571" s="109" t="str">
        <f ca="1">IFERROR(__xludf.DUMMYFUNCTION("""COMPUTED_VALUE"""),"F")</f>
        <v>F</v>
      </c>
      <c r="B571" s="108" t="str">
        <f ca="1">IFERROR(__xludf.DUMMYFUNCTION("""COMPUTED_VALUE"""),"Jonathan Shaffer")</f>
        <v>Jonathan Shaffer</v>
      </c>
      <c r="C571" s="109">
        <f ca="1">IFERROR(__xludf.DUMMYFUNCTION("""COMPUTED_VALUE"""),9)</f>
        <v>9</v>
      </c>
      <c r="D571" s="109" t="str">
        <f ca="1">IFERROR(__xludf.DUMMYFUNCTION("""COMPUTED_VALUE"""),"B")</f>
        <v>B</v>
      </c>
      <c r="E571" s="110" t="str">
        <f ca="1">IFERROR(__xludf.DUMMYFUNCTION("""COMPUTED_VALUE"""),"F")</f>
        <v>F</v>
      </c>
      <c r="F571" s="110" t="str">
        <f ca="1">IFERROR(__xludf.DUMMYFUNCTION("""COMPUTED_VALUE"""),"J")</f>
        <v>J</v>
      </c>
      <c r="G571" s="110">
        <f ca="1">IFERROR(__xludf.DUMMYFUNCTION("""COMPUTED_VALUE"""),2)</f>
        <v>2</v>
      </c>
      <c r="H571" s="112" t="str">
        <f ca="1"/>
        <v/>
      </c>
      <c r="I571" s="112" t="str">
        <f ca="1"/>
        <v/>
      </c>
    </row>
    <row r="572" spans="1:9" ht="13.2">
      <c r="A572" s="109" t="str">
        <f ca="1">IFERROR(__xludf.DUMMYFUNCTION("""COMPUTED_VALUE"""),"F")</f>
        <v>F</v>
      </c>
      <c r="B572" s="108" t="str">
        <f ca="1">IFERROR(__xludf.DUMMYFUNCTION("""COMPUTED_VALUE"""),"Jude Sbeih")</f>
        <v>Jude Sbeih</v>
      </c>
      <c r="C572" s="109">
        <f ca="1">IFERROR(__xludf.DUMMYFUNCTION("""COMPUTED_VALUE"""),10)</f>
        <v>10</v>
      </c>
      <c r="D572" s="109" t="str">
        <f ca="1">IFERROR(__xludf.DUMMYFUNCTION("""COMPUTED_VALUE"""),"B")</f>
        <v>B</v>
      </c>
      <c r="E572" s="110" t="str">
        <f ca="1">IFERROR(__xludf.DUMMYFUNCTION("""COMPUTED_VALUE"""),"F")</f>
        <v>F</v>
      </c>
      <c r="F572" s="110" t="str">
        <f ca="1">IFERROR(__xludf.DUMMYFUNCTION("""COMPUTED_VALUE"""),"J")</f>
        <v>J</v>
      </c>
      <c r="G572" s="110">
        <f ca="1">IFERROR(__xludf.DUMMYFUNCTION("""COMPUTED_VALUE"""),2)</f>
        <v>2</v>
      </c>
      <c r="H572" s="112" t="str">
        <f ca="1"/>
        <v/>
      </c>
      <c r="I572" s="81" t="str">
        <f ca="1"/>
        <v/>
      </c>
    </row>
    <row r="573" spans="1:9" ht="13.2">
      <c r="A573" s="109" t="str">
        <f ca="1">IFERROR(__xludf.DUMMYFUNCTION("""COMPUTED_VALUE"""),"F")</f>
        <v>F</v>
      </c>
      <c r="B573" s="108" t="str">
        <f ca="1">IFERROR(__xludf.DUMMYFUNCTION("""COMPUTED_VALUE"""),"Kai Lowery")</f>
        <v>Kai Lowery</v>
      </c>
      <c r="C573" s="109">
        <f ca="1">IFERROR(__xludf.DUMMYFUNCTION("""COMPUTED_VALUE"""),6)</f>
        <v>6</v>
      </c>
      <c r="D573" s="109" t="str">
        <f ca="1">IFERROR(__xludf.DUMMYFUNCTION("""COMPUTED_VALUE"""),"B")</f>
        <v>B</v>
      </c>
      <c r="E573" s="110" t="str">
        <f ca="1">IFERROR(__xludf.DUMMYFUNCTION("""COMPUTED_VALUE"""),"F")</f>
        <v>F</v>
      </c>
      <c r="F573" s="110" t="str">
        <f ca="1">IFERROR(__xludf.DUMMYFUNCTION("""COMPUTED_VALUE"""),"J")</f>
        <v>J</v>
      </c>
      <c r="G573" s="110">
        <f ca="1">IFERROR(__xludf.DUMMYFUNCTION("""COMPUTED_VALUE"""),2)</f>
        <v>2</v>
      </c>
      <c r="H573" s="112" t="str">
        <f ca="1"/>
        <v/>
      </c>
      <c r="I573" s="112" t="str">
        <f ca="1"/>
        <v/>
      </c>
    </row>
    <row r="574" spans="1:9" ht="13.2">
      <c r="A574" s="109" t="str">
        <f ca="1">IFERROR(__xludf.DUMMYFUNCTION("""COMPUTED_VALUE"""),"F")</f>
        <v>F</v>
      </c>
      <c r="B574" s="108" t="str">
        <f ca="1">IFERROR(__xludf.DUMMYFUNCTION("""COMPUTED_VALUE"""),"Nino Wells")</f>
        <v>Nino Wells</v>
      </c>
      <c r="C574" s="109">
        <f ca="1">IFERROR(__xludf.DUMMYFUNCTION("""COMPUTED_VALUE"""),8)</f>
        <v>8</v>
      </c>
      <c r="D574" s="109" t="str">
        <f ca="1">IFERROR(__xludf.DUMMYFUNCTION("""COMPUTED_VALUE"""),"B")</f>
        <v>B</v>
      </c>
      <c r="E574" s="110" t="str">
        <f ca="1">IFERROR(__xludf.DUMMYFUNCTION("""COMPUTED_VALUE"""),"F")</f>
        <v>F</v>
      </c>
      <c r="F574" s="110" t="str">
        <f ca="1">IFERROR(__xludf.DUMMYFUNCTION("""COMPUTED_VALUE"""),"J")</f>
        <v>J</v>
      </c>
      <c r="G574" s="110">
        <f ca="1">IFERROR(__xludf.DUMMYFUNCTION("""COMPUTED_VALUE"""),2)</f>
        <v>2</v>
      </c>
      <c r="H574" s="112" t="str">
        <f ca="1"/>
        <v>22.4</v>
      </c>
      <c r="I574" s="112">
        <f ca="1"/>
        <v>22.4</v>
      </c>
    </row>
    <row r="575" spans="1:9" ht="13.2">
      <c r="A575" s="109" t="str">
        <f ca="1">IFERROR(__xludf.DUMMYFUNCTION("""COMPUTED_VALUE"""),"F")</f>
        <v>F</v>
      </c>
      <c r="B575" s="108" t="str">
        <f ca="1">IFERROR(__xludf.DUMMYFUNCTION("""COMPUTED_VALUE"""),"Robert Stovall")</f>
        <v>Robert Stovall</v>
      </c>
      <c r="C575" s="109">
        <f ca="1">IFERROR(__xludf.DUMMYFUNCTION("""COMPUTED_VALUE"""),8)</f>
        <v>8</v>
      </c>
      <c r="D575" s="109" t="str">
        <f ca="1">IFERROR(__xludf.DUMMYFUNCTION("""COMPUTED_VALUE"""),"B")</f>
        <v>B</v>
      </c>
      <c r="E575" s="110" t="str">
        <f ca="1">IFERROR(__xludf.DUMMYFUNCTION("""COMPUTED_VALUE"""),"F")</f>
        <v>F</v>
      </c>
      <c r="F575" s="110" t="str">
        <f ca="1">IFERROR(__xludf.DUMMYFUNCTION("""COMPUTED_VALUE"""),"J")</f>
        <v>J</v>
      </c>
      <c r="G575" s="110">
        <f ca="1">IFERROR(__xludf.DUMMYFUNCTION("""COMPUTED_VALUE"""),2)</f>
        <v>2</v>
      </c>
      <c r="H575" s="112" t="str">
        <f ca="1"/>
        <v/>
      </c>
      <c r="I575" s="112" t="str">
        <f ca="1"/>
        <v/>
      </c>
    </row>
    <row r="576" spans="1:9" ht="13.2">
      <c r="A576" s="109" t="str">
        <f ca="1">IFERROR(__xludf.DUMMYFUNCTION("""COMPUTED_VALUE"""),"F")</f>
        <v>F</v>
      </c>
      <c r="B576" s="108" t="str">
        <f ca="1">IFERROR(__xludf.DUMMYFUNCTION("""COMPUTED_VALUE"""),"Sung Min Kim")</f>
        <v>Sung Min Kim</v>
      </c>
      <c r="C576" s="109">
        <f ca="1">IFERROR(__xludf.DUMMYFUNCTION("""COMPUTED_VALUE"""),8)</f>
        <v>8</v>
      </c>
      <c r="D576" s="109" t="str">
        <f ca="1">IFERROR(__xludf.DUMMYFUNCTION("""COMPUTED_VALUE"""),"B")</f>
        <v>B</v>
      </c>
      <c r="E576" s="110" t="str">
        <f ca="1">IFERROR(__xludf.DUMMYFUNCTION("""COMPUTED_VALUE"""),"F")</f>
        <v>F</v>
      </c>
      <c r="F576" s="110" t="str">
        <f ca="1">IFERROR(__xludf.DUMMYFUNCTION("""COMPUTED_VALUE"""),"J")</f>
        <v>J</v>
      </c>
      <c r="G576" s="110">
        <f ca="1">IFERROR(__xludf.DUMMYFUNCTION("""COMPUTED_VALUE"""),2)</f>
        <v>2</v>
      </c>
      <c r="H576" s="112" t="str">
        <f ca="1"/>
        <v/>
      </c>
      <c r="I576" s="112" t="str">
        <f ca="1"/>
        <v/>
      </c>
    </row>
    <row r="577" spans="1:9" ht="13.2">
      <c r="A577" s="109" t="str">
        <f ca="1">IFERROR(__xludf.DUMMYFUNCTION("""COMPUTED_VALUE"""),"F")</f>
        <v>F</v>
      </c>
      <c r="B577" s="108" t="str">
        <f ca="1">IFERROR(__xludf.DUMMYFUNCTION("""COMPUTED_VALUE"""),"Trey McIntosh")</f>
        <v>Trey McIntosh</v>
      </c>
      <c r="C577" s="109">
        <f ca="1">IFERROR(__xludf.DUMMYFUNCTION("""COMPUTED_VALUE"""),8)</f>
        <v>8</v>
      </c>
      <c r="D577" s="109" t="str">
        <f ca="1">IFERROR(__xludf.DUMMYFUNCTION("""COMPUTED_VALUE"""),"B")</f>
        <v>B</v>
      </c>
      <c r="E577" s="110" t="str">
        <f ca="1">IFERROR(__xludf.DUMMYFUNCTION("""COMPUTED_VALUE"""),"F")</f>
        <v>F</v>
      </c>
      <c r="F577" s="110" t="str">
        <f ca="1">IFERROR(__xludf.DUMMYFUNCTION("""COMPUTED_VALUE"""),"J")</f>
        <v>J</v>
      </c>
      <c r="G577" s="110">
        <f ca="1">IFERROR(__xludf.DUMMYFUNCTION("""COMPUTED_VALUE"""),2)</f>
        <v>2</v>
      </c>
      <c r="H577" s="112" t="str">
        <f ca="1"/>
        <v/>
      </c>
      <c r="I577" s="112" t="str">
        <f ca="1"/>
        <v/>
      </c>
    </row>
    <row r="578" spans="1:9" ht="13.2">
      <c r="A578" s="109" t="str">
        <f ca="1">IFERROR(__xludf.DUMMYFUNCTION("""COMPUTED_VALUE"""),"F")</f>
        <v>F</v>
      </c>
      <c r="B578" s="108" t="str">
        <f ca="1">IFERROR(__xludf.DUMMYFUNCTION("""COMPUTED_VALUE"""),"Zachary Rodjom")</f>
        <v>Zachary Rodjom</v>
      </c>
      <c r="C578" s="109">
        <f ca="1">IFERROR(__xludf.DUMMYFUNCTION("""COMPUTED_VALUE"""),7)</f>
        <v>7</v>
      </c>
      <c r="D578" s="109" t="str">
        <f ca="1">IFERROR(__xludf.DUMMYFUNCTION("""COMPUTED_VALUE"""),"B")</f>
        <v>B</v>
      </c>
      <c r="E578" s="110" t="str">
        <f ca="1">IFERROR(__xludf.DUMMYFUNCTION("""COMPUTED_VALUE"""),"F")</f>
        <v>F</v>
      </c>
      <c r="F578" s="110" t="str">
        <f ca="1">IFERROR(__xludf.DUMMYFUNCTION("""COMPUTED_VALUE"""),"J")</f>
        <v>J</v>
      </c>
      <c r="G578" s="110">
        <f ca="1">IFERROR(__xludf.DUMMYFUNCTION("""COMPUTED_VALUE"""),2)</f>
        <v>2</v>
      </c>
      <c r="H578" s="112" t="str">
        <f ca="1"/>
        <v>20</v>
      </c>
      <c r="I578" s="112">
        <f ca="1"/>
        <v>20</v>
      </c>
    </row>
    <row r="579" spans="1:9" ht="13.2">
      <c r="A579" s="109" t="str">
        <f ca="1">IFERROR(__xludf.DUMMYFUNCTION("""COMPUTED_VALUE"""),"F")</f>
        <v>F</v>
      </c>
      <c r="B579" s="108" t="str">
        <f ca="1">IFERROR(__xludf.DUMMYFUNCTION("""COMPUTED_VALUE"""),"Zade Garbia")</f>
        <v>Zade Garbia</v>
      </c>
      <c r="C579" s="109">
        <f ca="1">IFERROR(__xludf.DUMMYFUNCTION("""COMPUTED_VALUE"""),8)</f>
        <v>8</v>
      </c>
      <c r="D579" s="109" t="str">
        <f ca="1">IFERROR(__xludf.DUMMYFUNCTION("""COMPUTED_VALUE"""),"B")</f>
        <v>B</v>
      </c>
      <c r="E579" s="110" t="str">
        <f ca="1">IFERROR(__xludf.DUMMYFUNCTION("""COMPUTED_VALUE"""),"F")</f>
        <v>F</v>
      </c>
      <c r="F579" s="110" t="str">
        <f ca="1">IFERROR(__xludf.DUMMYFUNCTION("""COMPUTED_VALUE"""),"J")</f>
        <v>J</v>
      </c>
      <c r="G579" s="110">
        <f ca="1">IFERROR(__xludf.DUMMYFUNCTION("""COMPUTED_VALUE"""),2)</f>
        <v>2</v>
      </c>
      <c r="H579" s="112" t="str">
        <f ca="1"/>
        <v/>
      </c>
      <c r="I579" s="81" t="str">
        <f ca="1"/>
        <v/>
      </c>
    </row>
    <row r="580" spans="1:9" ht="13.2">
      <c r="A580" s="109" t="str">
        <f ca="1">IFERROR(__xludf.DUMMYFUNCTION("""COMPUTED_VALUE"""),"F")</f>
        <v>F</v>
      </c>
      <c r="B580" s="108" t="str">
        <f ca="1">IFERROR(__xludf.DUMMYFUNCTION("""COMPUTED_VALUE"""),"Abbie Colwill")</f>
        <v>Abbie Colwill</v>
      </c>
      <c r="C580" s="109">
        <f ca="1">IFERROR(__xludf.DUMMYFUNCTION("""COMPUTED_VALUE"""),9)</f>
        <v>9</v>
      </c>
      <c r="D580" s="109" t="str">
        <f ca="1">IFERROR(__xludf.DUMMYFUNCTION("""COMPUTED_VALUE"""),"G")</f>
        <v>G</v>
      </c>
      <c r="E580" s="110" t="str">
        <f ca="1">IFERROR(__xludf.DUMMYFUNCTION("""COMPUTED_VALUE"""),"F")</f>
        <v>F</v>
      </c>
      <c r="F580" s="110" t="str">
        <f ca="1">IFERROR(__xludf.DUMMYFUNCTION("""COMPUTED_VALUE"""),"J")</f>
        <v>J</v>
      </c>
      <c r="G580" s="110">
        <f ca="1">IFERROR(__xludf.DUMMYFUNCTION("""COMPUTED_VALUE"""),2)</f>
        <v>2</v>
      </c>
      <c r="H580" s="112" t="str">
        <f ca="1"/>
        <v/>
      </c>
      <c r="I580" s="81" t="str">
        <f ca="1"/>
        <v/>
      </c>
    </row>
    <row r="581" spans="1:9" ht="13.2">
      <c r="A581" s="109" t="str">
        <f ca="1">IFERROR(__xludf.DUMMYFUNCTION("""COMPUTED_VALUE"""),"F")</f>
        <v>F</v>
      </c>
      <c r="B581" s="108" t="str">
        <f ca="1">IFERROR(__xludf.DUMMYFUNCTION("""COMPUTED_VALUE"""),"Carleigh Devlin")</f>
        <v>Carleigh Devlin</v>
      </c>
      <c r="C581" s="109">
        <f ca="1">IFERROR(__xludf.DUMMYFUNCTION("""COMPUTED_VALUE"""),10)</f>
        <v>10</v>
      </c>
      <c r="D581" s="109" t="str">
        <f ca="1">IFERROR(__xludf.DUMMYFUNCTION("""COMPUTED_VALUE"""),"G")</f>
        <v>G</v>
      </c>
      <c r="E581" s="110" t="str">
        <f ca="1">IFERROR(__xludf.DUMMYFUNCTION("""COMPUTED_VALUE"""),"F")</f>
        <v>F</v>
      </c>
      <c r="F581" s="110" t="str">
        <f ca="1">IFERROR(__xludf.DUMMYFUNCTION("""COMPUTED_VALUE"""),"J")</f>
        <v>J</v>
      </c>
      <c r="G581" s="110">
        <f ca="1">IFERROR(__xludf.DUMMYFUNCTION("""COMPUTED_VALUE"""),2)</f>
        <v>2</v>
      </c>
      <c r="H581" s="112" t="str">
        <f ca="1"/>
        <v/>
      </c>
      <c r="I581" s="112" t="str">
        <f ca="1"/>
        <v/>
      </c>
    </row>
    <row r="582" spans="1:9" ht="13.2">
      <c r="A582" s="109" t="str">
        <f ca="1">IFERROR(__xludf.DUMMYFUNCTION("""COMPUTED_VALUE"""),"F")</f>
        <v>F</v>
      </c>
      <c r="B582" s="108" t="str">
        <f ca="1">IFERROR(__xludf.DUMMYFUNCTION("""COMPUTED_VALUE"""),"Delaney Fructuoso")</f>
        <v>Delaney Fructuoso</v>
      </c>
      <c r="C582" s="109">
        <f ca="1">IFERROR(__xludf.DUMMYFUNCTION("""COMPUTED_VALUE"""),10)</f>
        <v>10</v>
      </c>
      <c r="D582" s="109" t="str">
        <f ca="1">IFERROR(__xludf.DUMMYFUNCTION("""COMPUTED_VALUE"""),"G")</f>
        <v>G</v>
      </c>
      <c r="E582" s="110" t="str">
        <f ca="1">IFERROR(__xludf.DUMMYFUNCTION("""COMPUTED_VALUE"""),"F")</f>
        <v>F</v>
      </c>
      <c r="F582" s="110" t="str">
        <f ca="1">IFERROR(__xludf.DUMMYFUNCTION("""COMPUTED_VALUE"""),"J")</f>
        <v>J</v>
      </c>
      <c r="G582" s="110">
        <f ca="1">IFERROR(__xludf.DUMMYFUNCTION("""COMPUTED_VALUE"""),2)</f>
        <v>2</v>
      </c>
      <c r="H582" s="112" t="str">
        <f ca="1"/>
        <v/>
      </c>
      <c r="I582" s="112" t="str">
        <f ca="1"/>
        <v/>
      </c>
    </row>
    <row r="583" spans="1:9" ht="13.2">
      <c r="A583" s="109" t="str">
        <f ca="1">IFERROR(__xludf.DUMMYFUNCTION("""COMPUTED_VALUE"""),"F")</f>
        <v>F</v>
      </c>
      <c r="B583" s="108" t="str">
        <f ca="1">IFERROR(__xludf.DUMMYFUNCTION("""COMPUTED_VALUE"""),"Emily Rodjom")</f>
        <v>Emily Rodjom</v>
      </c>
      <c r="C583" s="109">
        <f ca="1">IFERROR(__xludf.DUMMYFUNCTION("""COMPUTED_VALUE"""),10)</f>
        <v>10</v>
      </c>
      <c r="D583" s="109" t="str">
        <f ca="1">IFERROR(__xludf.DUMMYFUNCTION("""COMPUTED_VALUE"""),"G")</f>
        <v>G</v>
      </c>
      <c r="E583" s="110" t="str">
        <f ca="1">IFERROR(__xludf.DUMMYFUNCTION("""COMPUTED_VALUE"""),"F")</f>
        <v>F</v>
      </c>
      <c r="F583" s="110" t="str">
        <f ca="1">IFERROR(__xludf.DUMMYFUNCTION("""COMPUTED_VALUE"""),"J")</f>
        <v>J</v>
      </c>
      <c r="G583" s="110">
        <f ca="1">IFERROR(__xludf.DUMMYFUNCTION("""COMPUTED_VALUE"""),2)</f>
        <v>2</v>
      </c>
      <c r="H583" s="112" t="str">
        <f ca="1"/>
        <v>34.7</v>
      </c>
      <c r="I583" s="81">
        <f ca="1"/>
        <v>34.700000000000003</v>
      </c>
    </row>
    <row r="584" spans="1:9" ht="13.2">
      <c r="A584" s="109" t="str">
        <f ca="1">IFERROR(__xludf.DUMMYFUNCTION("""COMPUTED_VALUE"""),"F")</f>
        <v>F</v>
      </c>
      <c r="B584" s="108" t="str">
        <f ca="1">IFERROR(__xludf.DUMMYFUNCTION("""COMPUTED_VALUE"""),"Farah Stark")</f>
        <v>Farah Stark</v>
      </c>
      <c r="C584" s="109">
        <f ca="1">IFERROR(__xludf.DUMMYFUNCTION("""COMPUTED_VALUE"""),7)</f>
        <v>7</v>
      </c>
      <c r="D584" s="109" t="str">
        <f ca="1">IFERROR(__xludf.DUMMYFUNCTION("""COMPUTED_VALUE"""),"G")</f>
        <v>G</v>
      </c>
      <c r="E584" s="110" t="str">
        <f ca="1">IFERROR(__xludf.DUMMYFUNCTION("""COMPUTED_VALUE"""),"F")</f>
        <v>F</v>
      </c>
      <c r="F584" s="110" t="str">
        <f ca="1">IFERROR(__xludf.DUMMYFUNCTION("""COMPUTED_VALUE"""),"J")</f>
        <v>J</v>
      </c>
      <c r="G584" s="110">
        <f ca="1">IFERROR(__xludf.DUMMYFUNCTION("""COMPUTED_VALUE"""),2)</f>
        <v>2</v>
      </c>
      <c r="H584" s="112" t="str">
        <f ca="1"/>
        <v/>
      </c>
      <c r="I584" s="81" t="str">
        <f ca="1"/>
        <v/>
      </c>
    </row>
    <row r="585" spans="1:9" ht="13.2">
      <c r="A585" s="109" t="str">
        <f ca="1">IFERROR(__xludf.DUMMYFUNCTION("""COMPUTED_VALUE"""),"F")</f>
        <v>F</v>
      </c>
      <c r="B585" s="108" t="str">
        <f ca="1">IFERROR(__xludf.DUMMYFUNCTION("""COMPUTED_VALUE"""),"Lily Carpenter")</f>
        <v>Lily Carpenter</v>
      </c>
      <c r="C585" s="109">
        <f ca="1">IFERROR(__xludf.DUMMYFUNCTION("""COMPUTED_VALUE"""),8)</f>
        <v>8</v>
      </c>
      <c r="D585" s="109" t="str">
        <f ca="1">IFERROR(__xludf.DUMMYFUNCTION("""COMPUTED_VALUE"""),"G")</f>
        <v>G</v>
      </c>
      <c r="E585" s="110" t="str">
        <f ca="1">IFERROR(__xludf.DUMMYFUNCTION("""COMPUTED_VALUE"""),"F")</f>
        <v>F</v>
      </c>
      <c r="F585" s="110" t="str">
        <f ca="1">IFERROR(__xludf.DUMMYFUNCTION("""COMPUTED_VALUE"""),"J")</f>
        <v>J</v>
      </c>
      <c r="G585" s="110">
        <f ca="1">IFERROR(__xludf.DUMMYFUNCTION("""COMPUTED_VALUE"""),2)</f>
        <v>2</v>
      </c>
      <c r="H585" s="112" t="str">
        <f ca="1"/>
        <v/>
      </c>
      <c r="I585" s="81" t="str">
        <f ca="1"/>
        <v/>
      </c>
    </row>
    <row r="586" spans="1:9" ht="13.2">
      <c r="A586" s="109" t="str">
        <f ca="1">IFERROR(__xludf.DUMMYFUNCTION("""COMPUTED_VALUE"""),"F")</f>
        <v>F</v>
      </c>
      <c r="B586" s="108" t="str">
        <f ca="1">IFERROR(__xludf.DUMMYFUNCTION("""COMPUTED_VALUE"""),"Maddie Laccone")</f>
        <v>Maddie Laccone</v>
      </c>
      <c r="C586" s="109">
        <f ca="1">IFERROR(__xludf.DUMMYFUNCTION("""COMPUTED_VALUE"""),9)</f>
        <v>9</v>
      </c>
      <c r="D586" s="109" t="str">
        <f ca="1">IFERROR(__xludf.DUMMYFUNCTION("""COMPUTED_VALUE"""),"G")</f>
        <v>G</v>
      </c>
      <c r="E586" s="110" t="str">
        <f ca="1">IFERROR(__xludf.DUMMYFUNCTION("""COMPUTED_VALUE"""),"F")</f>
        <v>F</v>
      </c>
      <c r="F586" s="110" t="str">
        <f ca="1">IFERROR(__xludf.DUMMYFUNCTION("""COMPUTED_VALUE"""),"J")</f>
        <v>J</v>
      </c>
      <c r="G586" s="110">
        <f ca="1">IFERROR(__xludf.DUMMYFUNCTION("""COMPUTED_VALUE"""),2)</f>
        <v>2</v>
      </c>
      <c r="H586" s="112" t="str">
        <f ca="1"/>
        <v/>
      </c>
      <c r="I586" s="81" t="str">
        <f ca="1"/>
        <v/>
      </c>
    </row>
    <row r="587" spans="1:9" ht="13.2">
      <c r="A587" s="109" t="str">
        <f ca="1">IFERROR(__xludf.DUMMYFUNCTION("""COMPUTED_VALUE"""),"F")</f>
        <v>F</v>
      </c>
      <c r="B587" s="108" t="str">
        <f ca="1">IFERROR(__xludf.DUMMYFUNCTION("""COMPUTED_VALUE"""),"Makayla Barnes")</f>
        <v>Makayla Barnes</v>
      </c>
      <c r="C587" s="109">
        <f ca="1">IFERROR(__xludf.DUMMYFUNCTION("""COMPUTED_VALUE"""),8)</f>
        <v>8</v>
      </c>
      <c r="D587" s="109" t="str">
        <f ca="1">IFERROR(__xludf.DUMMYFUNCTION("""COMPUTED_VALUE"""),"G")</f>
        <v>G</v>
      </c>
      <c r="E587" s="110" t="str">
        <f ca="1">IFERROR(__xludf.DUMMYFUNCTION("""COMPUTED_VALUE"""),"F")</f>
        <v>F</v>
      </c>
      <c r="F587" s="110" t="str">
        <f ca="1">IFERROR(__xludf.DUMMYFUNCTION("""COMPUTED_VALUE"""),"J")</f>
        <v>J</v>
      </c>
      <c r="G587" s="110">
        <f ca="1">IFERROR(__xludf.DUMMYFUNCTION("""COMPUTED_VALUE"""),2)</f>
        <v>2</v>
      </c>
      <c r="H587" s="112" t="str">
        <f ca="1"/>
        <v>38.7</v>
      </c>
      <c r="I587" s="81">
        <f ca="1"/>
        <v>38.700000000000003</v>
      </c>
    </row>
    <row r="588" spans="1:9" ht="13.2">
      <c r="A588" s="109" t="str">
        <f ca="1">IFERROR(__xludf.DUMMYFUNCTION("""COMPUTED_VALUE"""),"F")</f>
        <v>F</v>
      </c>
      <c r="B588" s="108" t="str">
        <f ca="1">IFERROR(__xludf.DUMMYFUNCTION("""COMPUTED_VALUE"""),"Marisa Rodjom")</f>
        <v>Marisa Rodjom</v>
      </c>
      <c r="C588" s="109">
        <f ca="1">IFERROR(__xludf.DUMMYFUNCTION("""COMPUTED_VALUE"""),10)</f>
        <v>10</v>
      </c>
      <c r="D588" s="109" t="str">
        <f ca="1">IFERROR(__xludf.DUMMYFUNCTION("""COMPUTED_VALUE"""),"G")</f>
        <v>G</v>
      </c>
      <c r="E588" s="110" t="str">
        <f ca="1">IFERROR(__xludf.DUMMYFUNCTION("""COMPUTED_VALUE"""),"F")</f>
        <v>F</v>
      </c>
      <c r="F588" s="110" t="str">
        <f ca="1">IFERROR(__xludf.DUMMYFUNCTION("""COMPUTED_VALUE"""),"J")</f>
        <v>J</v>
      </c>
      <c r="G588" s="110">
        <f ca="1">IFERROR(__xludf.DUMMYFUNCTION("""COMPUTED_VALUE"""),2)</f>
        <v>2</v>
      </c>
      <c r="H588" s="112" t="str">
        <f ca="1"/>
        <v>38.4</v>
      </c>
      <c r="I588" s="112">
        <f ca="1"/>
        <v>38.4</v>
      </c>
    </row>
    <row r="589" spans="1:9" ht="13.2">
      <c r="A589" s="109" t="str">
        <f ca="1">IFERROR(__xludf.DUMMYFUNCTION("""COMPUTED_VALUE"""),"F")</f>
        <v>F</v>
      </c>
      <c r="B589" s="108" t="str">
        <f ca="1">IFERROR(__xludf.DUMMYFUNCTION("""COMPUTED_VALUE"""),"Nya Lowery")</f>
        <v>Nya Lowery</v>
      </c>
      <c r="C589" s="109">
        <f ca="1">IFERROR(__xludf.DUMMYFUNCTION("""COMPUTED_VALUE"""),10)</f>
        <v>10</v>
      </c>
      <c r="D589" s="109" t="str">
        <f ca="1">IFERROR(__xludf.DUMMYFUNCTION("""COMPUTED_VALUE"""),"G")</f>
        <v>G</v>
      </c>
      <c r="E589" s="110" t="str">
        <f ca="1">IFERROR(__xludf.DUMMYFUNCTION("""COMPUTED_VALUE"""),"F")</f>
        <v>F</v>
      </c>
      <c r="F589" s="110" t="str">
        <f ca="1">IFERROR(__xludf.DUMMYFUNCTION("""COMPUTED_VALUE"""),"J")</f>
        <v>J</v>
      </c>
      <c r="G589" s="110">
        <f ca="1">IFERROR(__xludf.DUMMYFUNCTION("""COMPUTED_VALUE"""),2)</f>
        <v>2</v>
      </c>
      <c r="H589" s="112" t="str">
        <f ca="1"/>
        <v/>
      </c>
      <c r="I589" s="112" t="str">
        <f ca="1"/>
        <v/>
      </c>
    </row>
    <row r="590" spans="1:9" ht="13.2">
      <c r="A590" s="109" t="str">
        <f ca="1">IFERROR(__xludf.DUMMYFUNCTION("""COMPUTED_VALUE"""),"F")</f>
        <v>F</v>
      </c>
      <c r="B590" s="108" t="str">
        <f ca="1">IFERROR(__xludf.DUMMYFUNCTION("""COMPUTED_VALUE"""),"Riya Doshi")</f>
        <v>Riya Doshi</v>
      </c>
      <c r="C590" s="109">
        <f ca="1">IFERROR(__xludf.DUMMYFUNCTION("""COMPUTED_VALUE"""),9)</f>
        <v>9</v>
      </c>
      <c r="D590" s="109" t="str">
        <f ca="1">IFERROR(__xludf.DUMMYFUNCTION("""COMPUTED_VALUE"""),"G")</f>
        <v>G</v>
      </c>
      <c r="E590" s="110" t="str">
        <f ca="1">IFERROR(__xludf.DUMMYFUNCTION("""COMPUTED_VALUE"""),"F")</f>
        <v>F</v>
      </c>
      <c r="F590" s="110" t="str">
        <f ca="1">IFERROR(__xludf.DUMMYFUNCTION("""COMPUTED_VALUE"""),"J")</f>
        <v>J</v>
      </c>
      <c r="G590" s="110">
        <f ca="1">IFERROR(__xludf.DUMMYFUNCTION("""COMPUTED_VALUE"""),2)</f>
        <v>2</v>
      </c>
      <c r="H590" s="112" t="str">
        <f ca="1"/>
        <v>23.3</v>
      </c>
      <c r="I590" s="112">
        <f ca="1"/>
        <v>23.3</v>
      </c>
    </row>
    <row r="591" spans="1:9" ht="13.2">
      <c r="A591" s="109" t="str">
        <f ca="1">IFERROR(__xludf.DUMMYFUNCTION("""COMPUTED_VALUE"""),"F")</f>
        <v>F</v>
      </c>
      <c r="B591" s="108" t="str">
        <f ca="1">IFERROR(__xludf.DUMMYFUNCTION("""COMPUTED_VALUE"""),"Mikey Stechl")</f>
        <v>Mikey Stechl</v>
      </c>
      <c r="C591" s="109">
        <f ca="1">IFERROR(__xludf.DUMMYFUNCTION("""COMPUTED_VALUE"""),13)</f>
        <v>13</v>
      </c>
      <c r="D591" s="109" t="str">
        <f ca="1">IFERROR(__xludf.DUMMYFUNCTION("""COMPUTED_VALUE"""),"B")</f>
        <v>B</v>
      </c>
      <c r="E591" s="110" t="str">
        <f ca="1">IFERROR(__xludf.DUMMYFUNCTION("""COMPUTED_VALUE"""),"I")</f>
        <v>I</v>
      </c>
      <c r="F591" s="110" t="str">
        <f ca="1">IFERROR(__xludf.DUMMYFUNCTION("""COMPUTED_VALUE"""),"S")</f>
        <v>S</v>
      </c>
      <c r="G591" s="110">
        <f ca="1">IFERROR(__xludf.DUMMYFUNCTION("""COMPUTED_VALUE"""),2)</f>
        <v>2</v>
      </c>
      <c r="H591" s="112" t="str">
        <f ca="1"/>
        <v/>
      </c>
      <c r="I591" s="112" t="str">
        <f ca="1"/>
        <v/>
      </c>
    </row>
    <row r="592" spans="1:9" ht="13.2">
      <c r="A592" s="109" t="str">
        <f ca="1">IFERROR(__xludf.DUMMYFUNCTION("""COMPUTED_VALUE"""),"F")</f>
        <v>F</v>
      </c>
      <c r="B592" s="108" t="str">
        <f ca="1">IFERROR(__xludf.DUMMYFUNCTION("""COMPUTED_VALUE"""),"Wade Winslow")</f>
        <v>Wade Winslow</v>
      </c>
      <c r="C592" s="109">
        <f ca="1">IFERROR(__xludf.DUMMYFUNCTION("""COMPUTED_VALUE"""),13)</f>
        <v>13</v>
      </c>
      <c r="D592" s="109" t="str">
        <f ca="1">IFERROR(__xludf.DUMMYFUNCTION("""COMPUTED_VALUE"""),"B")</f>
        <v>B</v>
      </c>
      <c r="E592" s="110" t="str">
        <f ca="1">IFERROR(__xludf.DUMMYFUNCTION("""COMPUTED_VALUE"""),"I")</f>
        <v>I</v>
      </c>
      <c r="F592" s="110" t="str">
        <f ca="1">IFERROR(__xludf.DUMMYFUNCTION("""COMPUTED_VALUE"""),"S")</f>
        <v>S</v>
      </c>
      <c r="G592" s="110">
        <f ca="1">IFERROR(__xludf.DUMMYFUNCTION("""COMPUTED_VALUE"""),2)</f>
        <v>2</v>
      </c>
      <c r="H592" s="112" t="str">
        <f ca="1"/>
        <v/>
      </c>
      <c r="I592" s="81" t="str">
        <f ca="1"/>
        <v/>
      </c>
    </row>
    <row r="593" spans="1:9" ht="13.2">
      <c r="A593" s="109" t="str">
        <f ca="1">IFERROR(__xludf.DUMMYFUNCTION("""COMPUTED_VALUE"""),"F")</f>
        <v>F</v>
      </c>
      <c r="B593" s="108" t="str">
        <f ca="1">IFERROR(__xludf.DUMMYFUNCTION("""COMPUTED_VALUE"""),"Alexa Haynie")</f>
        <v>Alexa Haynie</v>
      </c>
      <c r="C593" s="109">
        <f ca="1">IFERROR(__xludf.DUMMYFUNCTION("""COMPUTED_VALUE"""),14)</f>
        <v>14</v>
      </c>
      <c r="D593" s="109" t="str">
        <f ca="1">IFERROR(__xludf.DUMMYFUNCTION("""COMPUTED_VALUE"""),"G")</f>
        <v>G</v>
      </c>
      <c r="E593" s="110" t="str">
        <f ca="1">IFERROR(__xludf.DUMMYFUNCTION("""COMPUTED_VALUE"""),"I")</f>
        <v>I</v>
      </c>
      <c r="F593" s="110" t="str">
        <f ca="1">IFERROR(__xludf.DUMMYFUNCTION("""COMPUTED_VALUE"""),"S")</f>
        <v>S</v>
      </c>
      <c r="G593" s="110">
        <f ca="1">IFERROR(__xludf.DUMMYFUNCTION("""COMPUTED_VALUE"""),2)</f>
        <v>2</v>
      </c>
      <c r="H593" s="112" t="str">
        <f ca="1"/>
        <v/>
      </c>
      <c r="I593" s="81" t="str">
        <f ca="1"/>
        <v/>
      </c>
    </row>
    <row r="594" spans="1:9" ht="13.2">
      <c r="A594" s="109" t="str">
        <f ca="1">IFERROR(__xludf.DUMMYFUNCTION("""COMPUTED_VALUE"""),"F")</f>
        <v>F</v>
      </c>
      <c r="B594" s="108" t="str">
        <f ca="1">IFERROR(__xludf.DUMMYFUNCTION("""COMPUTED_VALUE"""),"Eve McLaury")</f>
        <v>Eve McLaury</v>
      </c>
      <c r="C594" s="109">
        <f ca="1">IFERROR(__xludf.DUMMYFUNCTION("""COMPUTED_VALUE"""),14)</f>
        <v>14</v>
      </c>
      <c r="D594" s="109" t="str">
        <f ca="1">IFERROR(__xludf.DUMMYFUNCTION("""COMPUTED_VALUE"""),"G")</f>
        <v>G</v>
      </c>
      <c r="E594" s="110" t="str">
        <f ca="1">IFERROR(__xludf.DUMMYFUNCTION("""COMPUTED_VALUE"""),"I")</f>
        <v>I</v>
      </c>
      <c r="F594" s="110" t="str">
        <f ca="1">IFERROR(__xludf.DUMMYFUNCTION("""COMPUTED_VALUE"""),"S")</f>
        <v>S</v>
      </c>
      <c r="G594" s="110">
        <f ca="1">IFERROR(__xludf.DUMMYFUNCTION("""COMPUTED_VALUE"""),2)</f>
        <v>2</v>
      </c>
      <c r="H594" s="112" t="str">
        <f ca="1"/>
        <v/>
      </c>
      <c r="I594" s="81" t="str">
        <f ca="1"/>
        <v/>
      </c>
    </row>
    <row r="595" spans="1:9" ht="13.2">
      <c r="A595" s="109" t="str">
        <f ca="1">IFERROR(__xludf.DUMMYFUNCTION("""COMPUTED_VALUE"""),"F")</f>
        <v>F</v>
      </c>
      <c r="B595" s="108" t="str">
        <f ca="1">IFERROR(__xludf.DUMMYFUNCTION("""COMPUTED_VALUE"""),"Fiona Rice")</f>
        <v>Fiona Rice</v>
      </c>
      <c r="C595" s="109">
        <f ca="1">IFERROR(__xludf.DUMMYFUNCTION("""COMPUTED_VALUE"""),13)</f>
        <v>13</v>
      </c>
      <c r="D595" s="109" t="str">
        <f ca="1">IFERROR(__xludf.DUMMYFUNCTION("""COMPUTED_VALUE"""),"G")</f>
        <v>G</v>
      </c>
      <c r="E595" s="110" t="str">
        <f ca="1">IFERROR(__xludf.DUMMYFUNCTION("""COMPUTED_VALUE"""),"I")</f>
        <v>I</v>
      </c>
      <c r="F595" s="110" t="str">
        <f ca="1">IFERROR(__xludf.DUMMYFUNCTION("""COMPUTED_VALUE"""),"S")</f>
        <v>S</v>
      </c>
      <c r="G595" s="110">
        <f ca="1">IFERROR(__xludf.DUMMYFUNCTION("""COMPUTED_VALUE"""),2)</f>
        <v>2</v>
      </c>
      <c r="H595" s="112" t="str">
        <f ca="1"/>
        <v/>
      </c>
      <c r="I595" s="112" t="str">
        <f ca="1"/>
        <v/>
      </c>
    </row>
    <row r="596" spans="1:9" ht="13.2">
      <c r="A596" s="109" t="str">
        <f ca="1">IFERROR(__xludf.DUMMYFUNCTION("""COMPUTED_VALUE"""),"F")</f>
        <v>F</v>
      </c>
      <c r="B596" s="108" t="str">
        <f ca="1">IFERROR(__xludf.DUMMYFUNCTION("""COMPUTED_VALUE"""),"Holly Bailey")</f>
        <v>Holly Bailey</v>
      </c>
      <c r="C596" s="109">
        <f ca="1">IFERROR(__xludf.DUMMYFUNCTION("""COMPUTED_VALUE"""),13)</f>
        <v>13</v>
      </c>
      <c r="D596" s="109" t="str">
        <f ca="1">IFERROR(__xludf.DUMMYFUNCTION("""COMPUTED_VALUE"""),"G")</f>
        <v>G</v>
      </c>
      <c r="E596" s="110" t="str">
        <f ca="1">IFERROR(__xludf.DUMMYFUNCTION("""COMPUTED_VALUE"""),"I")</f>
        <v>I</v>
      </c>
      <c r="F596" s="110" t="str">
        <f ca="1">IFERROR(__xludf.DUMMYFUNCTION("""COMPUTED_VALUE"""),"S")</f>
        <v>S</v>
      </c>
      <c r="G596" s="110">
        <f ca="1">IFERROR(__xludf.DUMMYFUNCTION("""COMPUTED_VALUE"""),2)</f>
        <v>2</v>
      </c>
      <c r="H596" s="112" t="str">
        <f ca="1"/>
        <v/>
      </c>
      <c r="I596" s="81" t="str">
        <f ca="1"/>
        <v/>
      </c>
    </row>
    <row r="597" spans="1:9" ht="13.2">
      <c r="A597" s="109" t="str">
        <f ca="1">IFERROR(__xludf.DUMMYFUNCTION("""COMPUTED_VALUE"""),"F")</f>
        <v>F</v>
      </c>
      <c r="B597" s="108" t="str">
        <f ca="1">IFERROR(__xludf.DUMMYFUNCTION("""COMPUTED_VALUE"""),"Kamryn Kaye")</f>
        <v>Kamryn Kaye</v>
      </c>
      <c r="C597" s="109">
        <f ca="1">IFERROR(__xludf.DUMMYFUNCTION("""COMPUTED_VALUE"""),14)</f>
        <v>14</v>
      </c>
      <c r="D597" s="109" t="str">
        <f ca="1">IFERROR(__xludf.DUMMYFUNCTION("""COMPUTED_VALUE"""),"G")</f>
        <v>G</v>
      </c>
      <c r="E597" s="110" t="str">
        <f ca="1">IFERROR(__xludf.DUMMYFUNCTION("""COMPUTED_VALUE"""),"I")</f>
        <v>I</v>
      </c>
      <c r="F597" s="110" t="str">
        <f ca="1">IFERROR(__xludf.DUMMYFUNCTION("""COMPUTED_VALUE"""),"S")</f>
        <v>S</v>
      </c>
      <c r="G597" s="110">
        <f ca="1">IFERROR(__xludf.DUMMYFUNCTION("""COMPUTED_VALUE"""),2)</f>
        <v>2</v>
      </c>
      <c r="H597" s="112" t="str">
        <f ca="1"/>
        <v/>
      </c>
      <c r="I597" s="81" t="str">
        <f ca="1"/>
        <v/>
      </c>
    </row>
    <row r="598" spans="1:9" ht="13.2">
      <c r="A598" s="109" t="str">
        <f ca="1">IFERROR(__xludf.DUMMYFUNCTION("""COMPUTED_VALUE"""),"F")</f>
        <v>F</v>
      </c>
      <c r="B598" s="108" t="str">
        <f ca="1">IFERROR(__xludf.DUMMYFUNCTION("""COMPUTED_VALUE"""),"Katie Wilson")</f>
        <v>Katie Wilson</v>
      </c>
      <c r="C598" s="109">
        <f ca="1">IFERROR(__xludf.DUMMYFUNCTION("""COMPUTED_VALUE"""),13)</f>
        <v>13</v>
      </c>
      <c r="D598" s="109" t="str">
        <f ca="1">IFERROR(__xludf.DUMMYFUNCTION("""COMPUTED_VALUE"""),"G")</f>
        <v>G</v>
      </c>
      <c r="E598" s="110" t="str">
        <f ca="1">IFERROR(__xludf.DUMMYFUNCTION("""COMPUTED_VALUE"""),"I")</f>
        <v>I</v>
      </c>
      <c r="F598" s="110" t="str">
        <f ca="1">IFERROR(__xludf.DUMMYFUNCTION("""COMPUTED_VALUE"""),"S")</f>
        <v>S</v>
      </c>
      <c r="G598" s="110">
        <f ca="1">IFERROR(__xludf.DUMMYFUNCTION("""COMPUTED_VALUE"""),2)</f>
        <v>2</v>
      </c>
      <c r="H598" s="112" t="str">
        <f ca="1"/>
        <v/>
      </c>
      <c r="I598" s="112" t="str">
        <f ca="1"/>
        <v/>
      </c>
    </row>
    <row r="599" spans="1:9" ht="13.2">
      <c r="A599" s="109" t="str">
        <f ca="1">IFERROR(__xludf.DUMMYFUNCTION("""COMPUTED_VALUE"""),"F")</f>
        <v>F</v>
      </c>
      <c r="B599" s="108" t="str">
        <f ca="1">IFERROR(__xludf.DUMMYFUNCTION("""COMPUTED_VALUE"""),"Keri Hough")</f>
        <v>Keri Hough</v>
      </c>
      <c r="C599" s="109">
        <f ca="1">IFERROR(__xludf.DUMMYFUNCTION("""COMPUTED_VALUE"""),13)</f>
        <v>13</v>
      </c>
      <c r="D599" s="109" t="str">
        <f ca="1">IFERROR(__xludf.DUMMYFUNCTION("""COMPUTED_VALUE"""),"G")</f>
        <v>G</v>
      </c>
      <c r="E599" s="110" t="str">
        <f ca="1">IFERROR(__xludf.DUMMYFUNCTION("""COMPUTED_VALUE"""),"I")</f>
        <v>I</v>
      </c>
      <c r="F599" s="110" t="str">
        <f ca="1">IFERROR(__xludf.DUMMYFUNCTION("""COMPUTED_VALUE"""),"S")</f>
        <v>S</v>
      </c>
      <c r="G599" s="110">
        <f ca="1">IFERROR(__xludf.DUMMYFUNCTION("""COMPUTED_VALUE"""),2)</f>
        <v>2</v>
      </c>
      <c r="H599" s="112" t="str">
        <f ca="1"/>
        <v/>
      </c>
      <c r="I599" s="112" t="str">
        <f ca="1"/>
        <v/>
      </c>
    </row>
    <row r="600" spans="1:9" ht="13.2">
      <c r="A600" s="109" t="str">
        <f ca="1">IFERROR(__xludf.DUMMYFUNCTION("""COMPUTED_VALUE"""),"F")</f>
        <v>F</v>
      </c>
      <c r="B600" s="108" t="str">
        <f ca="1">IFERROR(__xludf.DUMMYFUNCTION("""COMPUTED_VALUE"""),"Maddie Devlin")</f>
        <v>Maddie Devlin</v>
      </c>
      <c r="C600" s="109">
        <f ca="1">IFERROR(__xludf.DUMMYFUNCTION("""COMPUTED_VALUE"""),14)</f>
        <v>14</v>
      </c>
      <c r="D600" s="109" t="str">
        <f ca="1">IFERROR(__xludf.DUMMYFUNCTION("""COMPUTED_VALUE"""),"G")</f>
        <v>G</v>
      </c>
      <c r="E600" s="110" t="str">
        <f ca="1">IFERROR(__xludf.DUMMYFUNCTION("""COMPUTED_VALUE"""),"I")</f>
        <v>I</v>
      </c>
      <c r="F600" s="110" t="str">
        <f ca="1">IFERROR(__xludf.DUMMYFUNCTION("""COMPUTED_VALUE"""),"S")</f>
        <v>S</v>
      </c>
      <c r="G600" s="110">
        <f ca="1">IFERROR(__xludf.DUMMYFUNCTION("""COMPUTED_VALUE"""),2)</f>
        <v>2</v>
      </c>
      <c r="H600" s="112" t="str">
        <f ca="1"/>
        <v/>
      </c>
      <c r="I600" s="81" t="str">
        <f ca="1"/>
        <v/>
      </c>
    </row>
    <row r="601" spans="1:9" ht="13.2">
      <c r="A601" s="109" t="str">
        <f ca="1">IFERROR(__xludf.DUMMYFUNCTION("""COMPUTED_VALUE"""),"F")</f>
        <v>F</v>
      </c>
      <c r="B601" s="108" t="str">
        <f ca="1">IFERROR(__xludf.DUMMYFUNCTION("""COMPUTED_VALUE"""),"Nesrine Harrache")</f>
        <v>Nesrine Harrache</v>
      </c>
      <c r="C601" s="109">
        <f ca="1">IFERROR(__xludf.DUMMYFUNCTION("""COMPUTED_VALUE"""),13)</f>
        <v>13</v>
      </c>
      <c r="D601" s="109" t="str">
        <f ca="1">IFERROR(__xludf.DUMMYFUNCTION("""COMPUTED_VALUE"""),"G")</f>
        <v>G</v>
      </c>
      <c r="E601" s="110" t="str">
        <f ca="1">IFERROR(__xludf.DUMMYFUNCTION("""COMPUTED_VALUE"""),"I")</f>
        <v>I</v>
      </c>
      <c r="F601" s="110" t="str">
        <f ca="1">IFERROR(__xludf.DUMMYFUNCTION("""COMPUTED_VALUE"""),"S")</f>
        <v>S</v>
      </c>
      <c r="G601" s="110">
        <f ca="1">IFERROR(__xludf.DUMMYFUNCTION("""COMPUTED_VALUE"""),2)</f>
        <v>2</v>
      </c>
      <c r="H601" s="112" t="str">
        <f ca="1"/>
        <v/>
      </c>
      <c r="I601" s="81" t="str">
        <f ca="1"/>
        <v/>
      </c>
    </row>
    <row r="602" spans="1:9" ht="13.2">
      <c r="A602" s="109" t="str">
        <f ca="1">IFERROR(__xludf.DUMMYFUNCTION("""COMPUTED_VALUE"""),"F")</f>
        <v>F</v>
      </c>
      <c r="B602" s="108" t="str">
        <f ca="1">IFERROR(__xludf.DUMMYFUNCTION("""COMPUTED_VALUE"""),"Adam Harchich")</f>
        <v>Adam Harchich</v>
      </c>
      <c r="C602" s="109">
        <f ca="1">IFERROR(__xludf.DUMMYFUNCTION("""COMPUTED_VALUE"""),12)</f>
        <v>12</v>
      </c>
      <c r="D602" s="109" t="str">
        <f ca="1">IFERROR(__xludf.DUMMYFUNCTION("""COMPUTED_VALUE"""),"B")</f>
        <v>B</v>
      </c>
      <c r="E602" s="110" t="str">
        <f ca="1">IFERROR(__xludf.DUMMYFUNCTION("""COMPUTED_VALUE"""),"J")</f>
        <v>J</v>
      </c>
      <c r="F602" s="110" t="str">
        <f ca="1">IFERROR(__xludf.DUMMYFUNCTION("""COMPUTED_VALUE"""),"I")</f>
        <v>I</v>
      </c>
      <c r="G602" s="110">
        <f ca="1">IFERROR(__xludf.DUMMYFUNCTION("""COMPUTED_VALUE"""),2)</f>
        <v>2</v>
      </c>
      <c r="H602" s="112" t="str">
        <f ca="1"/>
        <v/>
      </c>
      <c r="I602" s="81" t="str">
        <f ca="1"/>
        <v/>
      </c>
    </row>
    <row r="603" spans="1:9" ht="13.2">
      <c r="A603" s="109" t="str">
        <f ca="1">IFERROR(__xludf.DUMMYFUNCTION("""COMPUTED_VALUE"""),"F")</f>
        <v>F</v>
      </c>
      <c r="B603" s="108" t="str">
        <f ca="1">IFERROR(__xludf.DUMMYFUNCTION("""COMPUTED_VALUE"""),"Elzat Parhat")</f>
        <v>Elzat Parhat</v>
      </c>
      <c r="C603" s="109">
        <f ca="1">IFERROR(__xludf.DUMMYFUNCTION("""COMPUTED_VALUE"""),12)</f>
        <v>12</v>
      </c>
      <c r="D603" s="109" t="str">
        <f ca="1">IFERROR(__xludf.DUMMYFUNCTION("""COMPUTED_VALUE"""),"B")</f>
        <v>B</v>
      </c>
      <c r="E603" s="110" t="str">
        <f ca="1">IFERROR(__xludf.DUMMYFUNCTION("""COMPUTED_VALUE"""),"J")</f>
        <v>J</v>
      </c>
      <c r="F603" s="110" t="str">
        <f ca="1">IFERROR(__xludf.DUMMYFUNCTION("""COMPUTED_VALUE"""),"I")</f>
        <v>I</v>
      </c>
      <c r="G603" s="110">
        <f ca="1">IFERROR(__xludf.DUMMYFUNCTION("""COMPUTED_VALUE"""),2)</f>
        <v>2</v>
      </c>
      <c r="H603" s="112" t="str">
        <f ca="1"/>
        <v/>
      </c>
      <c r="I603" s="112" t="str">
        <f ca="1"/>
        <v/>
      </c>
    </row>
    <row r="604" spans="1:9" ht="13.2">
      <c r="A604" s="109" t="str">
        <f ca="1">IFERROR(__xludf.DUMMYFUNCTION("""COMPUTED_VALUE"""),"F")</f>
        <v>F</v>
      </c>
      <c r="B604" s="108" t="str">
        <f ca="1">IFERROR(__xludf.DUMMYFUNCTION("""COMPUTED_VALUE"""),"Ethan Hough")</f>
        <v>Ethan Hough</v>
      </c>
      <c r="C604" s="109">
        <f ca="1">IFERROR(__xludf.DUMMYFUNCTION("""COMPUTED_VALUE"""),11)</f>
        <v>11</v>
      </c>
      <c r="D604" s="109" t="str">
        <f ca="1">IFERROR(__xludf.DUMMYFUNCTION("""COMPUTED_VALUE"""),"B")</f>
        <v>B</v>
      </c>
      <c r="E604" s="110" t="str">
        <f ca="1">IFERROR(__xludf.DUMMYFUNCTION("""COMPUTED_VALUE"""),"J")</f>
        <v>J</v>
      </c>
      <c r="F604" s="110" t="str">
        <f ca="1">IFERROR(__xludf.DUMMYFUNCTION("""COMPUTED_VALUE"""),"I")</f>
        <v>I</v>
      </c>
      <c r="G604" s="110">
        <f ca="1">IFERROR(__xludf.DUMMYFUNCTION("""COMPUTED_VALUE"""),2)</f>
        <v>2</v>
      </c>
      <c r="H604" s="112" t="str">
        <f ca="1"/>
        <v/>
      </c>
      <c r="I604" s="112" t="str">
        <f ca="1"/>
        <v/>
      </c>
    </row>
    <row r="605" spans="1:9" ht="13.2">
      <c r="A605" s="109" t="str">
        <f ca="1">IFERROR(__xludf.DUMMYFUNCTION("""COMPUTED_VALUE"""),"F")</f>
        <v>F</v>
      </c>
      <c r="B605" s="108" t="str">
        <f ca="1">IFERROR(__xludf.DUMMYFUNCTION("""COMPUTED_VALUE"""),"Noah Laccone")</f>
        <v>Noah Laccone</v>
      </c>
      <c r="C605" s="109">
        <f ca="1">IFERROR(__xludf.DUMMYFUNCTION("""COMPUTED_VALUE"""),11)</f>
        <v>11</v>
      </c>
      <c r="D605" s="109" t="str">
        <f ca="1">IFERROR(__xludf.DUMMYFUNCTION("""COMPUTED_VALUE"""),"B")</f>
        <v>B</v>
      </c>
      <c r="E605" s="110" t="str">
        <f ca="1">IFERROR(__xludf.DUMMYFUNCTION("""COMPUTED_VALUE"""),"J")</f>
        <v>J</v>
      </c>
      <c r="F605" s="110" t="str">
        <f ca="1">IFERROR(__xludf.DUMMYFUNCTION("""COMPUTED_VALUE"""),"I")</f>
        <v>I</v>
      </c>
      <c r="G605" s="110">
        <f ca="1">IFERROR(__xludf.DUMMYFUNCTION("""COMPUTED_VALUE"""),2)</f>
        <v>2</v>
      </c>
      <c r="H605" s="112" t="str">
        <f ca="1"/>
        <v/>
      </c>
      <c r="I605" s="81" t="str">
        <f ca="1"/>
        <v/>
      </c>
    </row>
    <row r="606" spans="1:9" ht="13.2">
      <c r="A606" s="109" t="str">
        <f ca="1">IFERROR(__xludf.DUMMYFUNCTION("""COMPUTED_VALUE"""),"F")</f>
        <v>F</v>
      </c>
      <c r="B606" s="108" t="str">
        <f ca="1">IFERROR(__xludf.DUMMYFUNCTION("""COMPUTED_VALUE"""),"Oliver Cory")</f>
        <v>Oliver Cory</v>
      </c>
      <c r="C606" s="109">
        <f ca="1">IFERROR(__xludf.DUMMYFUNCTION("""COMPUTED_VALUE"""),11)</f>
        <v>11</v>
      </c>
      <c r="D606" s="109" t="str">
        <f ca="1">IFERROR(__xludf.DUMMYFUNCTION("""COMPUTED_VALUE"""),"B")</f>
        <v>B</v>
      </c>
      <c r="E606" s="110" t="str">
        <f ca="1">IFERROR(__xludf.DUMMYFUNCTION("""COMPUTED_VALUE"""),"J")</f>
        <v>J</v>
      </c>
      <c r="F606" s="110" t="str">
        <f ca="1">IFERROR(__xludf.DUMMYFUNCTION("""COMPUTED_VALUE"""),"I")</f>
        <v>I</v>
      </c>
      <c r="G606" s="110">
        <f ca="1">IFERROR(__xludf.DUMMYFUNCTION("""COMPUTED_VALUE"""),2)</f>
        <v>2</v>
      </c>
      <c r="H606" s="112" t="str">
        <f ca="1"/>
        <v>58.8</v>
      </c>
      <c r="I606" s="81">
        <f ca="1"/>
        <v>58.8</v>
      </c>
    </row>
    <row r="607" spans="1:9" ht="13.2">
      <c r="A607" s="109" t="str">
        <f ca="1">IFERROR(__xludf.DUMMYFUNCTION("""COMPUTED_VALUE"""),"F")</f>
        <v>F</v>
      </c>
      <c r="B607" s="108" t="str">
        <f ca="1">IFERROR(__xludf.DUMMYFUNCTION("""COMPUTED_VALUE"""),"Sung Joo Kim")</f>
        <v>Sung Joo Kim</v>
      </c>
      <c r="C607" s="109">
        <f ca="1">IFERROR(__xludf.DUMMYFUNCTION("""COMPUTED_VALUE"""),12)</f>
        <v>12</v>
      </c>
      <c r="D607" s="109" t="str">
        <f ca="1">IFERROR(__xludf.DUMMYFUNCTION("""COMPUTED_VALUE"""),"B")</f>
        <v>B</v>
      </c>
      <c r="E607" s="110" t="str">
        <f ca="1">IFERROR(__xludf.DUMMYFUNCTION("""COMPUTED_VALUE"""),"J")</f>
        <v>J</v>
      </c>
      <c r="F607" s="110" t="str">
        <f ca="1">IFERROR(__xludf.DUMMYFUNCTION("""COMPUTED_VALUE"""),"I")</f>
        <v>I</v>
      </c>
      <c r="G607" s="110">
        <f ca="1">IFERROR(__xludf.DUMMYFUNCTION("""COMPUTED_VALUE"""),2)</f>
        <v>2</v>
      </c>
      <c r="H607" s="112" t="str">
        <f ca="1"/>
        <v/>
      </c>
      <c r="I607" s="81" t="str">
        <f ca="1"/>
        <v/>
      </c>
    </row>
    <row r="608" spans="1:9" ht="13.2">
      <c r="A608" s="109" t="str">
        <f ca="1">IFERROR(__xludf.DUMMYFUNCTION("""COMPUTED_VALUE"""),"F")</f>
        <v>F</v>
      </c>
      <c r="B608" s="108" t="str">
        <f ca="1">IFERROR(__xludf.DUMMYFUNCTION("""COMPUTED_VALUE"""),"Wes Heard")</f>
        <v>Wes Heard</v>
      </c>
      <c r="C608" s="109">
        <f ca="1">IFERROR(__xludf.DUMMYFUNCTION("""COMPUTED_VALUE"""),11)</f>
        <v>11</v>
      </c>
      <c r="D608" s="109" t="str">
        <f ca="1">IFERROR(__xludf.DUMMYFUNCTION("""COMPUTED_VALUE"""),"B")</f>
        <v>B</v>
      </c>
      <c r="E608" s="110" t="str">
        <f ca="1">IFERROR(__xludf.DUMMYFUNCTION("""COMPUTED_VALUE"""),"J")</f>
        <v>J</v>
      </c>
      <c r="F608" s="110" t="str">
        <f ca="1">IFERROR(__xludf.DUMMYFUNCTION("""COMPUTED_VALUE"""),"I")</f>
        <v>I</v>
      </c>
      <c r="G608" s="110">
        <f ca="1">IFERROR(__xludf.DUMMYFUNCTION("""COMPUTED_VALUE"""),2)</f>
        <v>2</v>
      </c>
      <c r="H608" s="112" t="str">
        <f ca="1"/>
        <v/>
      </c>
      <c r="I608" s="81" t="str">
        <f ca="1"/>
        <v/>
      </c>
    </row>
    <row r="609" spans="1:9" ht="13.2">
      <c r="A609" s="109" t="str">
        <f ca="1">IFERROR(__xludf.DUMMYFUNCTION("""COMPUTED_VALUE"""),"F")</f>
        <v>F</v>
      </c>
      <c r="B609" s="108" t="str">
        <f ca="1">IFERROR(__xludf.DUMMYFUNCTION("""COMPUTED_VALUE"""),"Anna Bailey")</f>
        <v>Anna Bailey</v>
      </c>
      <c r="C609" s="109">
        <f ca="1">IFERROR(__xludf.DUMMYFUNCTION("""COMPUTED_VALUE"""),11)</f>
        <v>11</v>
      </c>
      <c r="D609" s="109" t="str">
        <f ca="1">IFERROR(__xludf.DUMMYFUNCTION("""COMPUTED_VALUE"""),"G")</f>
        <v>G</v>
      </c>
      <c r="E609" s="110" t="str">
        <f ca="1">IFERROR(__xludf.DUMMYFUNCTION("""COMPUTED_VALUE"""),"J")</f>
        <v>J</v>
      </c>
      <c r="F609" s="110" t="str">
        <f ca="1">IFERROR(__xludf.DUMMYFUNCTION("""COMPUTED_VALUE"""),"I")</f>
        <v>I</v>
      </c>
      <c r="G609" s="110">
        <f ca="1">IFERROR(__xludf.DUMMYFUNCTION("""COMPUTED_VALUE"""),2)</f>
        <v>2</v>
      </c>
      <c r="H609" s="112" t="str">
        <f ca="1"/>
        <v/>
      </c>
      <c r="I609" s="112" t="str">
        <f ca="1"/>
        <v/>
      </c>
    </row>
    <row r="610" spans="1:9" ht="13.2">
      <c r="A610" s="109" t="str">
        <f ca="1">IFERROR(__xludf.DUMMYFUNCTION("""COMPUTED_VALUE"""),"F")</f>
        <v>F</v>
      </c>
      <c r="B610" s="108" t="str">
        <f ca="1">IFERROR(__xludf.DUMMYFUNCTION("""COMPUTED_VALUE"""),"Ashlyn Connor")</f>
        <v>Ashlyn Connor</v>
      </c>
      <c r="C610" s="109">
        <f ca="1">IFERROR(__xludf.DUMMYFUNCTION("""COMPUTED_VALUE"""),12)</f>
        <v>12</v>
      </c>
      <c r="D610" s="109" t="str">
        <f ca="1">IFERROR(__xludf.DUMMYFUNCTION("""COMPUTED_VALUE"""),"G")</f>
        <v>G</v>
      </c>
      <c r="E610" s="110" t="str">
        <f ca="1">IFERROR(__xludf.DUMMYFUNCTION("""COMPUTED_VALUE"""),"J")</f>
        <v>J</v>
      </c>
      <c r="F610" s="110" t="str">
        <f ca="1">IFERROR(__xludf.DUMMYFUNCTION("""COMPUTED_VALUE"""),"I")</f>
        <v>I</v>
      </c>
      <c r="G610" s="110">
        <f ca="1">IFERROR(__xludf.DUMMYFUNCTION("""COMPUTED_VALUE"""),2)</f>
        <v>2</v>
      </c>
      <c r="H610" s="112" t="str">
        <f ca="1"/>
        <v/>
      </c>
      <c r="I610" s="81" t="str">
        <f ca="1"/>
        <v/>
      </c>
    </row>
    <row r="611" spans="1:9" ht="13.2">
      <c r="A611" s="109" t="str">
        <f ca="1">IFERROR(__xludf.DUMMYFUNCTION("""COMPUTED_VALUE"""),"F")</f>
        <v>F</v>
      </c>
      <c r="B611" s="108" t="str">
        <f ca="1">IFERROR(__xludf.DUMMYFUNCTION("""COMPUTED_VALUE"""),"Cally Codding")</f>
        <v>Cally Codding</v>
      </c>
      <c r="C611" s="109">
        <f ca="1">IFERROR(__xludf.DUMMYFUNCTION("""COMPUTED_VALUE"""),11)</f>
        <v>11</v>
      </c>
      <c r="D611" s="109" t="str">
        <f ca="1">IFERROR(__xludf.DUMMYFUNCTION("""COMPUTED_VALUE"""),"G")</f>
        <v>G</v>
      </c>
      <c r="E611" s="110" t="str">
        <f ca="1">IFERROR(__xludf.DUMMYFUNCTION("""COMPUTED_VALUE"""),"J")</f>
        <v>J</v>
      </c>
      <c r="F611" s="110" t="str">
        <f ca="1">IFERROR(__xludf.DUMMYFUNCTION("""COMPUTED_VALUE"""),"I")</f>
        <v>I</v>
      </c>
      <c r="G611" s="110">
        <f ca="1">IFERROR(__xludf.DUMMYFUNCTION("""COMPUTED_VALUE"""),2)</f>
        <v>2</v>
      </c>
      <c r="H611" s="112" t="str">
        <f ca="1"/>
        <v/>
      </c>
      <c r="I611" s="81" t="str">
        <f ca="1"/>
        <v/>
      </c>
    </row>
    <row r="612" spans="1:9" ht="13.2">
      <c r="A612" s="109" t="str">
        <f ca="1">IFERROR(__xludf.DUMMYFUNCTION("""COMPUTED_VALUE"""),"F")</f>
        <v>F</v>
      </c>
      <c r="B612" s="108" t="str">
        <f ca="1">IFERROR(__xludf.DUMMYFUNCTION("""COMPUTED_VALUE"""),"Clara Bruner")</f>
        <v>Clara Bruner</v>
      </c>
      <c r="C612" s="109">
        <f ca="1">IFERROR(__xludf.DUMMYFUNCTION("""COMPUTED_VALUE"""),11)</f>
        <v>11</v>
      </c>
      <c r="D612" s="109" t="str">
        <f ca="1">IFERROR(__xludf.DUMMYFUNCTION("""COMPUTED_VALUE"""),"G")</f>
        <v>G</v>
      </c>
      <c r="E612" s="110" t="str">
        <f ca="1">IFERROR(__xludf.DUMMYFUNCTION("""COMPUTED_VALUE"""),"J")</f>
        <v>J</v>
      </c>
      <c r="F612" s="110" t="str">
        <f ca="1">IFERROR(__xludf.DUMMYFUNCTION("""COMPUTED_VALUE"""),"I")</f>
        <v>I</v>
      </c>
      <c r="G612" s="110">
        <f ca="1">IFERROR(__xludf.DUMMYFUNCTION("""COMPUTED_VALUE"""),2)</f>
        <v>2</v>
      </c>
      <c r="H612" s="112" t="str">
        <f ca="1"/>
        <v/>
      </c>
      <c r="I612" s="81" t="str">
        <f ca="1"/>
        <v/>
      </c>
    </row>
    <row r="613" spans="1:9" ht="13.2">
      <c r="A613" s="109" t="str">
        <f ca="1">IFERROR(__xludf.DUMMYFUNCTION("""COMPUTED_VALUE"""),"F")</f>
        <v>F</v>
      </c>
      <c r="B613" s="108" t="str">
        <f ca="1">IFERROR(__xludf.DUMMYFUNCTION("""COMPUTED_VALUE"""),"Eldana Parhat")</f>
        <v>Eldana Parhat</v>
      </c>
      <c r="C613" s="109">
        <f ca="1">IFERROR(__xludf.DUMMYFUNCTION("""COMPUTED_VALUE"""),12)</f>
        <v>12</v>
      </c>
      <c r="D613" s="109" t="str">
        <f ca="1">IFERROR(__xludf.DUMMYFUNCTION("""COMPUTED_VALUE"""),"G")</f>
        <v>G</v>
      </c>
      <c r="E613" s="110" t="str">
        <f ca="1">IFERROR(__xludf.DUMMYFUNCTION("""COMPUTED_VALUE"""),"J")</f>
        <v>J</v>
      </c>
      <c r="F613" s="110" t="str">
        <f ca="1">IFERROR(__xludf.DUMMYFUNCTION("""COMPUTED_VALUE"""),"I")</f>
        <v>I</v>
      </c>
      <c r="G613" s="110">
        <f ca="1">IFERROR(__xludf.DUMMYFUNCTION("""COMPUTED_VALUE"""),2)</f>
        <v>2</v>
      </c>
      <c r="H613" s="112" t="str">
        <f ca="1"/>
        <v/>
      </c>
      <c r="I613" s="81" t="str">
        <f ca="1"/>
        <v/>
      </c>
    </row>
    <row r="614" spans="1:9" ht="13.2">
      <c r="A614" s="109" t="str">
        <f ca="1">IFERROR(__xludf.DUMMYFUNCTION("""COMPUTED_VALUE"""),"F")</f>
        <v>F</v>
      </c>
      <c r="B614" s="108" t="str">
        <f ca="1">IFERROR(__xludf.DUMMYFUNCTION("""COMPUTED_VALUE"""),"Gabrielle Leesing")</f>
        <v>Gabrielle Leesing</v>
      </c>
      <c r="C614" s="109">
        <f ca="1">IFERROR(__xludf.DUMMYFUNCTION("""COMPUTED_VALUE"""),12)</f>
        <v>12</v>
      </c>
      <c r="D614" s="109" t="str">
        <f ca="1">IFERROR(__xludf.DUMMYFUNCTION("""COMPUTED_VALUE"""),"G")</f>
        <v>G</v>
      </c>
      <c r="E614" s="110" t="str">
        <f ca="1">IFERROR(__xludf.DUMMYFUNCTION("""COMPUTED_VALUE"""),"J")</f>
        <v>J</v>
      </c>
      <c r="F614" s="110" t="str">
        <f ca="1">IFERROR(__xludf.DUMMYFUNCTION("""COMPUTED_VALUE"""),"I")</f>
        <v>I</v>
      </c>
      <c r="G614" s="110">
        <f ca="1">IFERROR(__xludf.DUMMYFUNCTION("""COMPUTED_VALUE"""),2)</f>
        <v>2</v>
      </c>
      <c r="H614" s="112" t="str">
        <f ca="1"/>
        <v>70.6</v>
      </c>
      <c r="I614" s="81">
        <f ca="1"/>
        <v>70.599999999999994</v>
      </c>
    </row>
    <row r="615" spans="1:9" ht="13.2">
      <c r="A615" s="109" t="str">
        <f ca="1">IFERROR(__xludf.DUMMYFUNCTION("""COMPUTED_VALUE"""),"F")</f>
        <v>F</v>
      </c>
      <c r="B615" s="108" t="str">
        <f ca="1">IFERROR(__xludf.DUMMYFUNCTION("""COMPUTED_VALUE"""),"Jackie Colwill")</f>
        <v>Jackie Colwill</v>
      </c>
      <c r="C615" s="109">
        <f ca="1">IFERROR(__xludf.DUMMYFUNCTION("""COMPUTED_VALUE"""),11)</f>
        <v>11</v>
      </c>
      <c r="D615" s="109" t="str">
        <f ca="1">IFERROR(__xludf.DUMMYFUNCTION("""COMPUTED_VALUE"""),"G")</f>
        <v>G</v>
      </c>
      <c r="E615" s="110" t="str">
        <f ca="1">IFERROR(__xludf.DUMMYFUNCTION("""COMPUTED_VALUE"""),"J")</f>
        <v>J</v>
      </c>
      <c r="F615" s="110" t="str">
        <f ca="1">IFERROR(__xludf.DUMMYFUNCTION("""COMPUTED_VALUE"""),"I")</f>
        <v>I</v>
      </c>
      <c r="G615" s="110">
        <f ca="1">IFERROR(__xludf.DUMMYFUNCTION("""COMPUTED_VALUE"""),2)</f>
        <v>2</v>
      </c>
      <c r="H615" s="112" t="str">
        <f ca="1"/>
        <v/>
      </c>
      <c r="I615" s="112" t="str">
        <f ca="1"/>
        <v/>
      </c>
    </row>
    <row r="616" spans="1:9" ht="13.2">
      <c r="A616" s="109" t="str">
        <f ca="1">IFERROR(__xludf.DUMMYFUNCTION("""COMPUTED_VALUE"""),"F")</f>
        <v>F</v>
      </c>
      <c r="B616" s="108" t="str">
        <f ca="1">IFERROR(__xludf.DUMMYFUNCTION("""COMPUTED_VALUE"""),"Kayleigh McCarthy")</f>
        <v>Kayleigh McCarthy</v>
      </c>
      <c r="C616" s="109">
        <f ca="1">IFERROR(__xludf.DUMMYFUNCTION("""COMPUTED_VALUE"""),12)</f>
        <v>12</v>
      </c>
      <c r="D616" s="109" t="str">
        <f ca="1">IFERROR(__xludf.DUMMYFUNCTION("""COMPUTED_VALUE"""),"G")</f>
        <v>G</v>
      </c>
      <c r="E616" s="110" t="str">
        <f ca="1">IFERROR(__xludf.DUMMYFUNCTION("""COMPUTED_VALUE"""),"J")</f>
        <v>J</v>
      </c>
      <c r="F616" s="110" t="str">
        <f ca="1">IFERROR(__xludf.DUMMYFUNCTION("""COMPUTED_VALUE"""),"I")</f>
        <v>I</v>
      </c>
      <c r="G616" s="110">
        <f ca="1">IFERROR(__xludf.DUMMYFUNCTION("""COMPUTED_VALUE"""),2)</f>
        <v>2</v>
      </c>
      <c r="H616" s="112" t="str">
        <f ca="1"/>
        <v/>
      </c>
      <c r="I616" s="81" t="str">
        <f ca="1"/>
        <v/>
      </c>
    </row>
    <row r="617" spans="1:9" ht="13.2">
      <c r="A617" s="109" t="str">
        <f ca="1">IFERROR(__xludf.DUMMYFUNCTION("""COMPUTED_VALUE"""),"F")</f>
        <v>F</v>
      </c>
      <c r="B617" s="108" t="str">
        <f ca="1">IFERROR(__xludf.DUMMYFUNCTION("""COMPUTED_VALUE"""),"Lyla Devlin")</f>
        <v>Lyla Devlin</v>
      </c>
      <c r="C617" s="109">
        <f ca="1">IFERROR(__xludf.DUMMYFUNCTION("""COMPUTED_VALUE"""),12)</f>
        <v>12</v>
      </c>
      <c r="D617" s="109" t="str">
        <f ca="1">IFERROR(__xludf.DUMMYFUNCTION("""COMPUTED_VALUE"""),"G")</f>
        <v>G</v>
      </c>
      <c r="E617" s="110" t="str">
        <f ca="1">IFERROR(__xludf.DUMMYFUNCTION("""COMPUTED_VALUE"""),"J")</f>
        <v>J</v>
      </c>
      <c r="F617" s="110" t="str">
        <f ca="1">IFERROR(__xludf.DUMMYFUNCTION("""COMPUTED_VALUE"""),"I")</f>
        <v>I</v>
      </c>
      <c r="G617" s="110">
        <f ca="1">IFERROR(__xludf.DUMMYFUNCTION("""COMPUTED_VALUE"""),2)</f>
        <v>2</v>
      </c>
      <c r="H617" s="112" t="str">
        <f ca="1"/>
        <v/>
      </c>
      <c r="I617" s="112" t="str">
        <f ca="1"/>
        <v/>
      </c>
    </row>
    <row r="618" spans="1:9" ht="13.2">
      <c r="A618" s="109" t="str">
        <f ca="1">IFERROR(__xludf.DUMMYFUNCTION("""COMPUTED_VALUE"""),"F")</f>
        <v>F</v>
      </c>
      <c r="B618" s="108" t="str">
        <f ca="1">IFERROR(__xludf.DUMMYFUNCTION("""COMPUTED_VALUE"""),"Mo Winslow")</f>
        <v>Mo Winslow</v>
      </c>
      <c r="C618" s="109">
        <f ca="1">IFERROR(__xludf.DUMMYFUNCTION("""COMPUTED_VALUE"""),12)</f>
        <v>12</v>
      </c>
      <c r="D618" s="109" t="str">
        <f ca="1">IFERROR(__xludf.DUMMYFUNCTION("""COMPUTED_VALUE"""),"G")</f>
        <v>G</v>
      </c>
      <c r="E618" s="110" t="str">
        <f ca="1">IFERROR(__xludf.DUMMYFUNCTION("""COMPUTED_VALUE"""),"J")</f>
        <v>J</v>
      </c>
      <c r="F618" s="110" t="str">
        <f ca="1">IFERROR(__xludf.DUMMYFUNCTION("""COMPUTED_VALUE"""),"I")</f>
        <v>I</v>
      </c>
      <c r="G618" s="110">
        <f ca="1">IFERROR(__xludf.DUMMYFUNCTION("""COMPUTED_VALUE"""),2)</f>
        <v>2</v>
      </c>
      <c r="H618" s="112" t="str">
        <f ca="1"/>
        <v/>
      </c>
      <c r="I618" s="112" t="str">
        <f ca="1"/>
        <v/>
      </c>
    </row>
    <row r="619" spans="1:9" ht="13.2">
      <c r="A619" s="109" t="str">
        <f ca="1">IFERROR(__xludf.DUMMYFUNCTION("""COMPUTED_VALUE"""),"F")</f>
        <v>F</v>
      </c>
      <c r="B619" s="108" t="str">
        <f ca="1">IFERROR(__xludf.DUMMYFUNCTION("""COMPUTED_VALUE"""),"Nyla Doshi")</f>
        <v>Nyla Doshi</v>
      </c>
      <c r="C619" s="109">
        <f ca="1">IFERROR(__xludf.DUMMYFUNCTION("""COMPUTED_VALUE"""),11)</f>
        <v>11</v>
      </c>
      <c r="D619" s="109" t="str">
        <f ca="1">IFERROR(__xludf.DUMMYFUNCTION("""COMPUTED_VALUE"""),"G")</f>
        <v>G</v>
      </c>
      <c r="E619" s="110" t="str">
        <f ca="1">IFERROR(__xludf.DUMMYFUNCTION("""COMPUTED_VALUE"""),"J")</f>
        <v>J</v>
      </c>
      <c r="F619" s="110" t="str">
        <f ca="1">IFERROR(__xludf.DUMMYFUNCTION("""COMPUTED_VALUE"""),"I")</f>
        <v>I</v>
      </c>
      <c r="G619" s="110">
        <f ca="1">IFERROR(__xludf.DUMMYFUNCTION("""COMPUTED_VALUE"""),2)</f>
        <v>2</v>
      </c>
      <c r="H619" s="112" t="str">
        <f ca="1"/>
        <v/>
      </c>
      <c r="I619" s="112" t="str">
        <f ca="1"/>
        <v/>
      </c>
    </row>
    <row r="620" spans="1:9" ht="13.2">
      <c r="A620" s="109" t="str">
        <f ca="1">IFERROR(__xludf.DUMMYFUNCTION("""COMPUTED_VALUE"""),"F")</f>
        <v>F</v>
      </c>
      <c r="B620" s="108" t="str">
        <f ca="1">IFERROR(__xludf.DUMMYFUNCTION("""COMPUTED_VALUE"""),"Olivia Ho")</f>
        <v>Olivia Ho</v>
      </c>
      <c r="C620" s="109">
        <f ca="1">IFERROR(__xludf.DUMMYFUNCTION("""COMPUTED_VALUE"""),11)</f>
        <v>11</v>
      </c>
      <c r="D620" s="109" t="str">
        <f ca="1">IFERROR(__xludf.DUMMYFUNCTION("""COMPUTED_VALUE"""),"G")</f>
        <v>G</v>
      </c>
      <c r="E620" s="110" t="str">
        <f ca="1">IFERROR(__xludf.DUMMYFUNCTION("""COMPUTED_VALUE"""),"J")</f>
        <v>J</v>
      </c>
      <c r="F620" s="110" t="str">
        <f ca="1">IFERROR(__xludf.DUMMYFUNCTION("""COMPUTED_VALUE"""),"I")</f>
        <v>I</v>
      </c>
      <c r="G620" s="110">
        <f ca="1">IFERROR(__xludf.DUMMYFUNCTION("""COMPUTED_VALUE"""),2)</f>
        <v>2</v>
      </c>
      <c r="H620" s="112" t="str">
        <f ca="1"/>
        <v/>
      </c>
      <c r="I620" s="81" t="str">
        <f ca="1"/>
        <v/>
      </c>
    </row>
    <row r="621" spans="1:9" ht="13.2">
      <c r="A621" s="109" t="str">
        <f ca="1">IFERROR(__xludf.DUMMYFUNCTION("""COMPUTED_VALUE"""),"F")</f>
        <v>F</v>
      </c>
      <c r="B621" s="108" t="str">
        <f ca="1">IFERROR(__xludf.DUMMYFUNCTION("""COMPUTED_VALUE"""),"Olivia Roca")</f>
        <v>Olivia Roca</v>
      </c>
      <c r="C621" s="109">
        <f ca="1">IFERROR(__xludf.DUMMYFUNCTION("""COMPUTED_VALUE"""),12)</f>
        <v>12</v>
      </c>
      <c r="D621" s="109" t="str">
        <f ca="1">IFERROR(__xludf.DUMMYFUNCTION("""COMPUTED_VALUE"""),"G")</f>
        <v>G</v>
      </c>
      <c r="E621" s="110" t="str">
        <f ca="1">IFERROR(__xludf.DUMMYFUNCTION("""COMPUTED_VALUE"""),"J")</f>
        <v>J</v>
      </c>
      <c r="F621" s="110" t="str">
        <f ca="1">IFERROR(__xludf.DUMMYFUNCTION("""COMPUTED_VALUE"""),"I")</f>
        <v>I</v>
      </c>
      <c r="G621" s="110">
        <f ca="1">IFERROR(__xludf.DUMMYFUNCTION("""COMPUTED_VALUE"""),2)</f>
        <v>2</v>
      </c>
      <c r="H621" s="112" t="str">
        <f ca="1"/>
        <v/>
      </c>
      <c r="I621" s="81" t="str">
        <f ca="1"/>
        <v/>
      </c>
    </row>
    <row r="622" spans="1:9" ht="13.2">
      <c r="A622" s="109" t="str">
        <f ca="1">IFERROR(__xludf.DUMMYFUNCTION("""COMPUTED_VALUE"""),"F")</f>
        <v>F</v>
      </c>
      <c r="B622" s="108" t="str">
        <f ca="1">IFERROR(__xludf.DUMMYFUNCTION("""COMPUTED_VALUE"""),"Sadie Buckley")</f>
        <v>Sadie Buckley</v>
      </c>
      <c r="C622" s="109">
        <f ca="1">IFERROR(__xludf.DUMMYFUNCTION("""COMPUTED_VALUE"""),12)</f>
        <v>12</v>
      </c>
      <c r="D622" s="109" t="str">
        <f ca="1">IFERROR(__xludf.DUMMYFUNCTION("""COMPUTED_VALUE"""),"G")</f>
        <v>G</v>
      </c>
      <c r="E622" s="110" t="str">
        <f ca="1">IFERROR(__xludf.DUMMYFUNCTION("""COMPUTED_VALUE"""),"J")</f>
        <v>J</v>
      </c>
      <c r="F622" s="110" t="str">
        <f ca="1">IFERROR(__xludf.DUMMYFUNCTION("""COMPUTED_VALUE"""),"I")</f>
        <v>I</v>
      </c>
      <c r="G622" s="110">
        <f ca="1">IFERROR(__xludf.DUMMYFUNCTION("""COMPUTED_VALUE"""),2)</f>
        <v>2</v>
      </c>
      <c r="H622" s="112" t="str">
        <f ca="1"/>
        <v/>
      </c>
      <c r="I622" s="81" t="str">
        <f ca="1"/>
        <v/>
      </c>
    </row>
    <row r="623" spans="1:9" ht="13.2">
      <c r="A623" s="109" t="str">
        <f ca="1">IFERROR(__xludf.DUMMYFUNCTION("""COMPUTED_VALUE"""),"F")</f>
        <v>F</v>
      </c>
      <c r="B623" s="108" t="str">
        <f ca="1">IFERROR(__xludf.DUMMYFUNCTION("""COMPUTED_VALUE"""),"Sophia Richmond")</f>
        <v>Sophia Richmond</v>
      </c>
      <c r="C623" s="109">
        <f ca="1">IFERROR(__xludf.DUMMYFUNCTION("""COMPUTED_VALUE"""),11)</f>
        <v>11</v>
      </c>
      <c r="D623" s="109" t="str">
        <f ca="1">IFERROR(__xludf.DUMMYFUNCTION("""COMPUTED_VALUE"""),"G")</f>
        <v>G</v>
      </c>
      <c r="E623" s="110" t="str">
        <f ca="1">IFERROR(__xludf.DUMMYFUNCTION("""COMPUTED_VALUE"""),"J")</f>
        <v>J</v>
      </c>
      <c r="F623" s="110" t="str">
        <f ca="1">IFERROR(__xludf.DUMMYFUNCTION("""COMPUTED_VALUE"""),"I")</f>
        <v>I</v>
      </c>
      <c r="G623" s="110">
        <f ca="1">IFERROR(__xludf.DUMMYFUNCTION("""COMPUTED_VALUE"""),2)</f>
        <v>2</v>
      </c>
      <c r="H623" s="112" t="str">
        <f ca="1"/>
        <v/>
      </c>
      <c r="I623" s="112" t="str">
        <f ca="1"/>
        <v/>
      </c>
    </row>
    <row r="624" spans="1:9" ht="13.2">
      <c r="A624" s="109" t="str">
        <f ca="1">IFERROR(__xludf.DUMMYFUNCTION("""COMPUTED_VALUE"""),"F")</f>
        <v>F</v>
      </c>
      <c r="B624" s="108" t="str">
        <f ca="1">IFERROR(__xludf.DUMMYFUNCTION("""COMPUTED_VALUE"""),"Sophia Vericker")</f>
        <v>Sophia Vericker</v>
      </c>
      <c r="C624" s="109">
        <f ca="1">IFERROR(__xludf.DUMMYFUNCTION("""COMPUTED_VALUE"""),11)</f>
        <v>11</v>
      </c>
      <c r="D624" s="109" t="str">
        <f ca="1">IFERROR(__xludf.DUMMYFUNCTION("""COMPUTED_VALUE"""),"G")</f>
        <v>G</v>
      </c>
      <c r="E624" s="110" t="str">
        <f ca="1">IFERROR(__xludf.DUMMYFUNCTION("""COMPUTED_VALUE"""),"J")</f>
        <v>J</v>
      </c>
      <c r="F624" s="110" t="str">
        <f ca="1">IFERROR(__xludf.DUMMYFUNCTION("""COMPUTED_VALUE"""),"I")</f>
        <v>I</v>
      </c>
      <c r="G624" s="110">
        <f ca="1">IFERROR(__xludf.DUMMYFUNCTION("""COMPUTED_VALUE"""),2)</f>
        <v>2</v>
      </c>
      <c r="H624" s="112" t="str">
        <f ca="1"/>
        <v/>
      </c>
      <c r="I624" s="81" t="str">
        <f ca="1"/>
        <v/>
      </c>
    </row>
    <row r="625" spans="1:9" ht="13.2">
      <c r="A625" s="109" t="str">
        <f ca="1">IFERROR(__xludf.DUMMYFUNCTION("""COMPUTED_VALUE"""),"F")</f>
        <v>F</v>
      </c>
      <c r="B625" s="108" t="str">
        <f ca="1">IFERROR(__xludf.DUMMYFUNCTION("""COMPUTED_VALUE"""),"Adam Crossin")</f>
        <v>Adam Crossin</v>
      </c>
      <c r="C625" s="109">
        <f ca="1">IFERROR(__xludf.DUMMYFUNCTION("""COMPUTED_VALUE"""),15)</f>
        <v>15</v>
      </c>
      <c r="D625" s="109" t="str">
        <f ca="1">IFERROR(__xludf.DUMMYFUNCTION("""COMPUTED_VALUE"""),"B")</f>
        <v>B</v>
      </c>
      <c r="E625" s="110" t="str">
        <f ca="1">IFERROR(__xludf.DUMMYFUNCTION("""COMPUTED_VALUE"""),"S")</f>
        <v>S</v>
      </c>
      <c r="F625" s="110" t="str">
        <f ca="1">IFERROR(__xludf.DUMMYFUNCTION("""COMPUTED_VALUE"""),"S")</f>
        <v>S</v>
      </c>
      <c r="G625" s="110">
        <f ca="1">IFERROR(__xludf.DUMMYFUNCTION("""COMPUTED_VALUE"""),2)</f>
        <v>2</v>
      </c>
      <c r="H625" s="112" t="str">
        <f ca="1"/>
        <v/>
      </c>
      <c r="I625" s="81" t="str">
        <f ca="1"/>
        <v/>
      </c>
    </row>
    <row r="626" spans="1:9" ht="13.2">
      <c r="A626" s="109" t="str">
        <f ca="1">IFERROR(__xludf.DUMMYFUNCTION("""COMPUTED_VALUE"""),"F")</f>
        <v>F</v>
      </c>
      <c r="B626" s="108" t="str">
        <f ca="1">IFERROR(__xludf.DUMMYFUNCTION("""COMPUTED_VALUE"""),"Christian Anderson")</f>
        <v>Christian Anderson</v>
      </c>
      <c r="C626" s="109">
        <f ca="1">IFERROR(__xludf.DUMMYFUNCTION("""COMPUTED_VALUE"""),16)</f>
        <v>16</v>
      </c>
      <c r="D626" s="109" t="str">
        <f ca="1">IFERROR(__xludf.DUMMYFUNCTION("""COMPUTED_VALUE"""),"B")</f>
        <v>B</v>
      </c>
      <c r="E626" s="110" t="str">
        <f ca="1">IFERROR(__xludf.DUMMYFUNCTION("""COMPUTED_VALUE"""),"S")</f>
        <v>S</v>
      </c>
      <c r="F626" s="110" t="str">
        <f ca="1">IFERROR(__xludf.DUMMYFUNCTION("""COMPUTED_VALUE"""),"S")</f>
        <v>S</v>
      </c>
      <c r="G626" s="110">
        <f ca="1">IFERROR(__xludf.DUMMYFUNCTION("""COMPUTED_VALUE"""),2)</f>
        <v>2</v>
      </c>
      <c r="H626" s="112" t="str">
        <f ca="1"/>
        <v/>
      </c>
      <c r="I626" s="112" t="str">
        <f ca="1"/>
        <v/>
      </c>
    </row>
    <row r="627" spans="1:9" ht="13.2">
      <c r="A627" s="109" t="str">
        <f ca="1">IFERROR(__xludf.DUMMYFUNCTION("""COMPUTED_VALUE"""),"F")</f>
        <v>F</v>
      </c>
      <c r="B627" s="108" t="str">
        <f ca="1">IFERROR(__xludf.DUMMYFUNCTION("""COMPUTED_VALUE"""),"Jack McLaury")</f>
        <v>Jack McLaury</v>
      </c>
      <c r="C627" s="109">
        <f ca="1">IFERROR(__xludf.DUMMYFUNCTION("""COMPUTED_VALUE"""),16)</f>
        <v>16</v>
      </c>
      <c r="D627" s="109" t="str">
        <f ca="1">IFERROR(__xludf.DUMMYFUNCTION("""COMPUTED_VALUE"""),"B")</f>
        <v>B</v>
      </c>
      <c r="E627" s="110" t="str">
        <f ca="1">IFERROR(__xludf.DUMMYFUNCTION("""COMPUTED_VALUE"""),"S")</f>
        <v>S</v>
      </c>
      <c r="F627" s="110" t="str">
        <f ca="1">IFERROR(__xludf.DUMMYFUNCTION("""COMPUTED_VALUE"""),"S")</f>
        <v>S</v>
      </c>
      <c r="G627" s="110">
        <f ca="1">IFERROR(__xludf.DUMMYFUNCTION("""COMPUTED_VALUE"""),2)</f>
        <v>2</v>
      </c>
      <c r="H627" s="112" t="str">
        <f ca="1"/>
        <v/>
      </c>
      <c r="I627" s="81" t="str">
        <f ca="1"/>
        <v/>
      </c>
    </row>
    <row r="628" spans="1:9" ht="13.2">
      <c r="A628" s="109" t="str">
        <f ca="1">IFERROR(__xludf.DUMMYFUNCTION("""COMPUTED_VALUE"""),"F")</f>
        <v>F</v>
      </c>
      <c r="B628" s="108" t="str">
        <f ca="1">IFERROR(__xludf.DUMMYFUNCTION("""COMPUTED_VALUE"""),"Mikey D'Alessandro")</f>
        <v>Mikey D'Alessandro</v>
      </c>
      <c r="C628" s="109">
        <f ca="1">IFERROR(__xludf.DUMMYFUNCTION("""COMPUTED_VALUE"""),18)</f>
        <v>18</v>
      </c>
      <c r="D628" s="109" t="str">
        <f ca="1">IFERROR(__xludf.DUMMYFUNCTION("""COMPUTED_VALUE"""),"B")</f>
        <v>B</v>
      </c>
      <c r="E628" s="110" t="str">
        <f ca="1">IFERROR(__xludf.DUMMYFUNCTION("""COMPUTED_VALUE"""),"S")</f>
        <v>S</v>
      </c>
      <c r="F628" s="110" t="str">
        <f ca="1">IFERROR(__xludf.DUMMYFUNCTION("""COMPUTED_VALUE"""),"S")</f>
        <v>S</v>
      </c>
      <c r="G628" s="110">
        <f ca="1">IFERROR(__xludf.DUMMYFUNCTION("""COMPUTED_VALUE"""),2)</f>
        <v>2</v>
      </c>
      <c r="H628" s="112" t="str">
        <f ca="1"/>
        <v/>
      </c>
      <c r="I628" s="112" t="str">
        <f ca="1"/>
        <v/>
      </c>
    </row>
    <row r="629" spans="1:9" ht="13.2">
      <c r="A629" s="109" t="str">
        <f ca="1">IFERROR(__xludf.DUMMYFUNCTION("""COMPUTED_VALUE"""),"F")</f>
        <v>F</v>
      </c>
      <c r="B629" s="108" t="str">
        <f ca="1">IFERROR(__xludf.DUMMYFUNCTION("""COMPUTED_VALUE"""),"Ryan Hough")</f>
        <v>Ryan Hough</v>
      </c>
      <c r="C629" s="109">
        <f ca="1">IFERROR(__xludf.DUMMYFUNCTION("""COMPUTED_VALUE"""),15)</f>
        <v>15</v>
      </c>
      <c r="D629" s="109" t="str">
        <f ca="1">IFERROR(__xludf.DUMMYFUNCTION("""COMPUTED_VALUE"""),"B")</f>
        <v>B</v>
      </c>
      <c r="E629" s="110" t="str">
        <f ca="1">IFERROR(__xludf.DUMMYFUNCTION("""COMPUTED_VALUE"""),"S")</f>
        <v>S</v>
      </c>
      <c r="F629" s="110" t="str">
        <f ca="1">IFERROR(__xludf.DUMMYFUNCTION("""COMPUTED_VALUE"""),"S")</f>
        <v>S</v>
      </c>
      <c r="G629" s="110">
        <f ca="1">IFERROR(__xludf.DUMMYFUNCTION("""COMPUTED_VALUE"""),2)</f>
        <v>2</v>
      </c>
      <c r="H629" s="112" t="str">
        <f ca="1"/>
        <v/>
      </c>
      <c r="I629" s="112" t="str">
        <f ca="1"/>
        <v/>
      </c>
    </row>
    <row r="630" spans="1:9" ht="13.2">
      <c r="A630" s="109" t="str">
        <f ca="1">IFERROR(__xludf.DUMMYFUNCTION("""COMPUTED_VALUE"""),"F")</f>
        <v>F</v>
      </c>
      <c r="B630" s="108" t="str">
        <f ca="1">IFERROR(__xludf.DUMMYFUNCTION("""COMPUTED_VALUE"""),"Will McLaury.")</f>
        <v>Will McLaury.</v>
      </c>
      <c r="C630" s="109">
        <f ca="1">IFERROR(__xludf.DUMMYFUNCTION("""COMPUTED_VALUE"""),18)</f>
        <v>18</v>
      </c>
      <c r="D630" s="109" t="str">
        <f ca="1">IFERROR(__xludf.DUMMYFUNCTION("""COMPUTED_VALUE"""),"B")</f>
        <v>B</v>
      </c>
      <c r="E630" s="110" t="str">
        <f ca="1">IFERROR(__xludf.DUMMYFUNCTION("""COMPUTED_VALUE"""),"S")</f>
        <v>S</v>
      </c>
      <c r="F630" s="110" t="str">
        <f ca="1">IFERROR(__xludf.DUMMYFUNCTION("""COMPUTED_VALUE"""),"S")</f>
        <v>S</v>
      </c>
      <c r="G630" s="110">
        <f ca="1">IFERROR(__xludf.DUMMYFUNCTION("""COMPUTED_VALUE"""),2)</f>
        <v>2</v>
      </c>
      <c r="H630" s="112" t="str">
        <f ca="1"/>
        <v/>
      </c>
      <c r="I630" s="81" t="str">
        <f ca="1"/>
        <v/>
      </c>
    </row>
    <row r="631" spans="1:9" ht="13.2">
      <c r="A631" s="109" t="str">
        <f ca="1">IFERROR(__xludf.DUMMYFUNCTION("""COMPUTED_VALUE"""),"F")</f>
        <v>F</v>
      </c>
      <c r="B631" s="108" t="str">
        <f ca="1">IFERROR(__xludf.DUMMYFUNCTION("""COMPUTED_VALUE"""),"Ellie Shriver")</f>
        <v>Ellie Shriver</v>
      </c>
      <c r="C631" s="109">
        <f ca="1">IFERROR(__xludf.DUMMYFUNCTION("""COMPUTED_VALUE"""),19)</f>
        <v>19</v>
      </c>
      <c r="D631" s="109" t="str">
        <f ca="1">IFERROR(__xludf.DUMMYFUNCTION("""COMPUTED_VALUE"""),"G")</f>
        <v>G</v>
      </c>
      <c r="E631" s="110" t="str">
        <f ca="1">IFERROR(__xludf.DUMMYFUNCTION("""COMPUTED_VALUE"""),"S")</f>
        <v>S</v>
      </c>
      <c r="F631" s="110" t="str">
        <f ca="1">IFERROR(__xludf.DUMMYFUNCTION("""COMPUTED_VALUE"""),"S")</f>
        <v>S</v>
      </c>
      <c r="G631" s="110">
        <f ca="1">IFERROR(__xludf.DUMMYFUNCTION("""COMPUTED_VALUE"""),2)</f>
        <v>2</v>
      </c>
      <c r="H631" s="112" t="str">
        <f ca="1"/>
        <v/>
      </c>
      <c r="I631" s="81" t="str">
        <f ca="1"/>
        <v/>
      </c>
    </row>
    <row r="632" spans="1:9" ht="13.2">
      <c r="A632" s="109" t="str">
        <f ca="1">IFERROR(__xludf.DUMMYFUNCTION("""COMPUTED_VALUE"""),"F")</f>
        <v>F</v>
      </c>
      <c r="B632" s="108" t="str">
        <f ca="1">IFERROR(__xludf.DUMMYFUNCTION("""COMPUTED_VALUE"""),"Faith Hoyle")</f>
        <v>Faith Hoyle</v>
      </c>
      <c r="C632" s="109">
        <f ca="1">IFERROR(__xludf.DUMMYFUNCTION("""COMPUTED_VALUE"""),16)</f>
        <v>16</v>
      </c>
      <c r="D632" s="109" t="str">
        <f ca="1">IFERROR(__xludf.DUMMYFUNCTION("""COMPUTED_VALUE"""),"G")</f>
        <v>G</v>
      </c>
      <c r="E632" s="110" t="str">
        <f ca="1">IFERROR(__xludf.DUMMYFUNCTION("""COMPUTED_VALUE"""),"S")</f>
        <v>S</v>
      </c>
      <c r="F632" s="110" t="str">
        <f ca="1">IFERROR(__xludf.DUMMYFUNCTION("""COMPUTED_VALUE"""),"S")</f>
        <v>S</v>
      </c>
      <c r="G632" s="110">
        <f ca="1">IFERROR(__xludf.DUMMYFUNCTION("""COMPUTED_VALUE"""),2)</f>
        <v>2</v>
      </c>
      <c r="H632" s="112" t="str">
        <f ca="1"/>
        <v/>
      </c>
      <c r="I632" s="81" t="str">
        <f ca="1"/>
        <v/>
      </c>
    </row>
    <row r="633" spans="1:9" ht="13.2">
      <c r="A633" s="109" t="str">
        <f ca="1">IFERROR(__xludf.DUMMYFUNCTION("""COMPUTED_VALUE"""),"F")</f>
        <v>F</v>
      </c>
      <c r="B633" s="108" t="str">
        <f ca="1">IFERROR(__xludf.DUMMYFUNCTION("""COMPUTED_VALUE"""),"Greer Dempster")</f>
        <v>Greer Dempster</v>
      </c>
      <c r="C633" s="109">
        <f ca="1">IFERROR(__xludf.DUMMYFUNCTION("""COMPUTED_VALUE"""),15)</f>
        <v>15</v>
      </c>
      <c r="D633" s="109" t="str">
        <f ca="1">IFERROR(__xludf.DUMMYFUNCTION("""COMPUTED_VALUE"""),"G")</f>
        <v>G</v>
      </c>
      <c r="E633" s="110" t="str">
        <f ca="1">IFERROR(__xludf.DUMMYFUNCTION("""COMPUTED_VALUE"""),"S")</f>
        <v>S</v>
      </c>
      <c r="F633" s="110" t="str">
        <f ca="1">IFERROR(__xludf.DUMMYFUNCTION("""COMPUTED_VALUE"""),"S")</f>
        <v>S</v>
      </c>
      <c r="G633" s="110">
        <f ca="1">IFERROR(__xludf.DUMMYFUNCTION("""COMPUTED_VALUE"""),2)</f>
        <v>2</v>
      </c>
      <c r="H633" s="112" t="str">
        <f ca="1"/>
        <v/>
      </c>
      <c r="I633" s="81" t="str">
        <f ca="1"/>
        <v/>
      </c>
    </row>
    <row r="634" spans="1:9" ht="13.2">
      <c r="A634" s="109" t="str">
        <f ca="1">IFERROR(__xludf.DUMMYFUNCTION("""COMPUTED_VALUE"""),"F")</f>
        <v>F</v>
      </c>
      <c r="B634" s="108" t="str">
        <f ca="1">IFERROR(__xludf.DUMMYFUNCTION("""COMPUTED_VALUE"""),"Yesmine Harrache")</f>
        <v>Yesmine Harrache</v>
      </c>
      <c r="C634" s="109">
        <f ca="1">IFERROR(__xludf.DUMMYFUNCTION("""COMPUTED_VALUE"""),16)</f>
        <v>16</v>
      </c>
      <c r="D634" s="109" t="str">
        <f ca="1">IFERROR(__xludf.DUMMYFUNCTION("""COMPUTED_VALUE"""),"G")</f>
        <v>G</v>
      </c>
      <c r="E634" s="110" t="str">
        <f ca="1">IFERROR(__xludf.DUMMYFUNCTION("""COMPUTED_VALUE"""),"S")</f>
        <v>S</v>
      </c>
      <c r="F634" s="110" t="str">
        <f ca="1">IFERROR(__xludf.DUMMYFUNCTION("""COMPUTED_VALUE"""),"S")</f>
        <v>S</v>
      </c>
      <c r="G634" s="110">
        <f ca="1">IFERROR(__xludf.DUMMYFUNCTION("""COMPUTED_VALUE"""),2)</f>
        <v>2</v>
      </c>
      <c r="H634" s="112" t="str">
        <f ca="1"/>
        <v/>
      </c>
      <c r="I634" s="112" t="str">
        <f ca="1"/>
        <v/>
      </c>
    </row>
    <row r="635" spans="1:9" ht="13.2">
      <c r="A635" s="109" t="str">
        <f ca="1">IFERROR(__xludf.DUMMYFUNCTION("""COMPUTED_VALUE"""),"FS")</f>
        <v>FS</v>
      </c>
      <c r="B635" s="108" t="str">
        <f ca="1">IFERROR(__xludf.DUMMYFUNCTION("""COMPUTED_VALUE"""),"Andrew Parente")</f>
        <v>Andrew Parente</v>
      </c>
      <c r="C635" s="109">
        <f ca="1">IFERROR(__xludf.DUMMYFUNCTION("""COMPUTED_VALUE"""),10)</f>
        <v>10</v>
      </c>
      <c r="D635" s="109" t="str">
        <f ca="1">IFERROR(__xludf.DUMMYFUNCTION("""COMPUTED_VALUE"""),"B")</f>
        <v>B</v>
      </c>
      <c r="E635" s="110" t="str">
        <f ca="1">IFERROR(__xludf.DUMMYFUNCTION("""COMPUTED_VALUE"""),"F")</f>
        <v>F</v>
      </c>
      <c r="F635" s="110" t="str">
        <f ca="1">IFERROR(__xludf.DUMMYFUNCTION("""COMPUTED_VALUE"""),"J")</f>
        <v>J</v>
      </c>
      <c r="G635" s="110">
        <f ca="1">IFERROR(__xludf.DUMMYFUNCTION("""COMPUTED_VALUE"""),6)</f>
        <v>6</v>
      </c>
      <c r="H635" s="112" t="str">
        <f ca="1"/>
        <v/>
      </c>
      <c r="I635" s="81" t="str">
        <f ca="1"/>
        <v/>
      </c>
    </row>
    <row r="636" spans="1:9" ht="13.2">
      <c r="A636" s="109" t="str">
        <f ca="1">IFERROR(__xludf.DUMMYFUNCTION("""COMPUTED_VALUE"""),"FS")</f>
        <v>FS</v>
      </c>
      <c r="B636" s="108" t="str">
        <f ca="1">IFERROR(__xludf.DUMMYFUNCTION("""COMPUTED_VALUE"""),"Boone Dean")</f>
        <v>Boone Dean</v>
      </c>
      <c r="C636" s="109">
        <f ca="1">IFERROR(__xludf.DUMMYFUNCTION("""COMPUTED_VALUE"""),10)</f>
        <v>10</v>
      </c>
      <c r="D636" s="109" t="str">
        <f ca="1">IFERROR(__xludf.DUMMYFUNCTION("""COMPUTED_VALUE"""),"B")</f>
        <v>B</v>
      </c>
      <c r="E636" s="110" t="str">
        <f ca="1">IFERROR(__xludf.DUMMYFUNCTION("""COMPUTED_VALUE"""),"F")</f>
        <v>F</v>
      </c>
      <c r="F636" s="110" t="str">
        <f ca="1">IFERROR(__xludf.DUMMYFUNCTION("""COMPUTED_VALUE"""),"J")</f>
        <v>J</v>
      </c>
      <c r="G636" s="110">
        <f ca="1">IFERROR(__xludf.DUMMYFUNCTION("""COMPUTED_VALUE"""),6)</f>
        <v>6</v>
      </c>
      <c r="H636" s="112" t="str">
        <f ca="1"/>
        <v>40.5</v>
      </c>
      <c r="I636" s="81">
        <f ca="1"/>
        <v>40.5</v>
      </c>
    </row>
    <row r="637" spans="1:9" ht="13.2">
      <c r="A637" s="109" t="str">
        <f ca="1">IFERROR(__xludf.DUMMYFUNCTION("""COMPUTED_VALUE"""),"FS")</f>
        <v>FS</v>
      </c>
      <c r="B637" s="108" t="str">
        <f ca="1">IFERROR(__xludf.DUMMYFUNCTION("""COMPUTED_VALUE"""),"Cavan Telleen")</f>
        <v>Cavan Telleen</v>
      </c>
      <c r="C637" s="109">
        <f ca="1">IFERROR(__xludf.DUMMYFUNCTION("""COMPUTED_VALUE"""),6)</f>
        <v>6</v>
      </c>
      <c r="D637" s="109" t="str">
        <f ca="1">IFERROR(__xludf.DUMMYFUNCTION("""COMPUTED_VALUE"""),"B")</f>
        <v>B</v>
      </c>
      <c r="E637" s="110" t="str">
        <f ca="1">IFERROR(__xludf.DUMMYFUNCTION("""COMPUTED_VALUE"""),"F")</f>
        <v>F</v>
      </c>
      <c r="F637" s="110" t="str">
        <f ca="1">IFERROR(__xludf.DUMMYFUNCTION("""COMPUTED_VALUE"""),"J")</f>
        <v>J</v>
      </c>
      <c r="G637" s="110">
        <f ca="1">IFERROR(__xludf.DUMMYFUNCTION("""COMPUTED_VALUE"""),6)</f>
        <v>6</v>
      </c>
      <c r="H637" s="112" t="str">
        <f ca="1"/>
        <v>25.2</v>
      </c>
      <c r="I637" s="81">
        <f ca="1"/>
        <v>25.2</v>
      </c>
    </row>
    <row r="638" spans="1:9" ht="13.2">
      <c r="A638" s="109" t="str">
        <f ca="1">IFERROR(__xludf.DUMMYFUNCTION("""COMPUTED_VALUE"""),"FS")</f>
        <v>FS</v>
      </c>
      <c r="B638" s="108" t="str">
        <f ca="1">IFERROR(__xludf.DUMMYFUNCTION("""COMPUTED_VALUE"""),"Chace Majiros")</f>
        <v>Chace Majiros</v>
      </c>
      <c r="C638" s="109">
        <f ca="1">IFERROR(__xludf.DUMMYFUNCTION("""COMPUTED_VALUE"""),10)</f>
        <v>10</v>
      </c>
      <c r="D638" s="109" t="str">
        <f ca="1">IFERROR(__xludf.DUMMYFUNCTION("""COMPUTED_VALUE"""),"B")</f>
        <v>B</v>
      </c>
      <c r="E638" s="110" t="str">
        <f ca="1">IFERROR(__xludf.DUMMYFUNCTION("""COMPUTED_VALUE"""),"F")</f>
        <v>F</v>
      </c>
      <c r="F638" s="110" t="str">
        <f ca="1">IFERROR(__xludf.DUMMYFUNCTION("""COMPUTED_VALUE"""),"J")</f>
        <v>J</v>
      </c>
      <c r="G638" s="110">
        <f ca="1">IFERROR(__xludf.DUMMYFUNCTION("""COMPUTED_VALUE"""),6)</f>
        <v>6</v>
      </c>
      <c r="H638" s="112" t="str">
        <f ca="1"/>
        <v>33.55</v>
      </c>
      <c r="I638" s="81">
        <f ca="1"/>
        <v>33.549999999999997</v>
      </c>
    </row>
    <row r="639" spans="1:9" ht="13.2">
      <c r="A639" s="109" t="str">
        <f ca="1">IFERROR(__xludf.DUMMYFUNCTION("""COMPUTED_VALUE"""),"FS")</f>
        <v>FS</v>
      </c>
      <c r="B639" s="108" t="str">
        <f ca="1">IFERROR(__xludf.DUMMYFUNCTION("""COMPUTED_VALUE"""),"Charlie Mahoney")</f>
        <v>Charlie Mahoney</v>
      </c>
      <c r="C639" s="109">
        <f ca="1">IFERROR(__xludf.DUMMYFUNCTION("""COMPUTED_VALUE"""),8)</f>
        <v>8</v>
      </c>
      <c r="D639" s="109" t="str">
        <f ca="1">IFERROR(__xludf.DUMMYFUNCTION("""COMPUTED_VALUE"""),"B")</f>
        <v>B</v>
      </c>
      <c r="E639" s="110" t="str">
        <f ca="1">IFERROR(__xludf.DUMMYFUNCTION("""COMPUTED_VALUE"""),"F")</f>
        <v>F</v>
      </c>
      <c r="F639" s="110" t="str">
        <f ca="1">IFERROR(__xludf.DUMMYFUNCTION("""COMPUTED_VALUE"""),"J")</f>
        <v>J</v>
      </c>
      <c r="G639" s="110">
        <f ca="1">IFERROR(__xludf.DUMMYFUNCTION("""COMPUTED_VALUE"""),6)</f>
        <v>6</v>
      </c>
      <c r="H639" s="112" t="str">
        <f ca="1"/>
        <v>16.5</v>
      </c>
      <c r="I639" s="81">
        <f ca="1"/>
        <v>16.5</v>
      </c>
    </row>
    <row r="640" spans="1:9" ht="13.2">
      <c r="A640" s="109" t="str">
        <f ca="1">IFERROR(__xludf.DUMMYFUNCTION("""COMPUTED_VALUE"""),"FS")</f>
        <v>FS</v>
      </c>
      <c r="B640" s="108" t="str">
        <f ca="1">IFERROR(__xludf.DUMMYFUNCTION("""COMPUTED_VALUE"""),"Ebenezer Louie")</f>
        <v>Ebenezer Louie</v>
      </c>
      <c r="C640" s="109">
        <f ca="1">IFERROR(__xludf.DUMMYFUNCTION("""COMPUTED_VALUE"""),6)</f>
        <v>6</v>
      </c>
      <c r="D640" s="109" t="str">
        <f ca="1">IFERROR(__xludf.DUMMYFUNCTION("""COMPUTED_VALUE"""),"B")</f>
        <v>B</v>
      </c>
      <c r="E640" s="110" t="str">
        <f ca="1">IFERROR(__xludf.DUMMYFUNCTION("""COMPUTED_VALUE"""),"F")</f>
        <v>F</v>
      </c>
      <c r="F640" s="110" t="str">
        <f ca="1">IFERROR(__xludf.DUMMYFUNCTION("""COMPUTED_VALUE"""),"J")</f>
        <v>J</v>
      </c>
      <c r="G640" s="110">
        <f ca="1">IFERROR(__xludf.DUMMYFUNCTION("""COMPUTED_VALUE"""),6)</f>
        <v>6</v>
      </c>
      <c r="H640" s="112" t="str">
        <f ca="1"/>
        <v/>
      </c>
      <c r="I640" s="81" t="str">
        <f ca="1"/>
        <v/>
      </c>
    </row>
    <row r="641" spans="1:9" ht="13.2">
      <c r="A641" s="109" t="str">
        <f ca="1">IFERROR(__xludf.DUMMYFUNCTION("""COMPUTED_VALUE"""),"FS")</f>
        <v>FS</v>
      </c>
      <c r="B641" s="108" t="str">
        <f ca="1">IFERROR(__xludf.DUMMYFUNCTION("""COMPUTED_VALUE"""),"Henry Perkowski")</f>
        <v>Henry Perkowski</v>
      </c>
      <c r="C641" s="109">
        <f ca="1">IFERROR(__xludf.DUMMYFUNCTION("""COMPUTED_VALUE"""),9)</f>
        <v>9</v>
      </c>
      <c r="D641" s="109" t="str">
        <f ca="1">IFERROR(__xludf.DUMMYFUNCTION("""COMPUTED_VALUE"""),"B")</f>
        <v>B</v>
      </c>
      <c r="E641" s="110" t="str">
        <f ca="1">IFERROR(__xludf.DUMMYFUNCTION("""COMPUTED_VALUE"""),"F")</f>
        <v>F</v>
      </c>
      <c r="F641" s="110" t="str">
        <f ca="1">IFERROR(__xludf.DUMMYFUNCTION("""COMPUTED_VALUE"""),"J")</f>
        <v>J</v>
      </c>
      <c r="G641" s="110">
        <f ca="1">IFERROR(__xludf.DUMMYFUNCTION("""COMPUTED_VALUE"""),6)</f>
        <v>6</v>
      </c>
      <c r="H641" s="112" t="str">
        <f ca="1"/>
        <v/>
      </c>
      <c r="I641" s="81" t="str">
        <f ca="1"/>
        <v/>
      </c>
    </row>
    <row r="642" spans="1:9" ht="13.2">
      <c r="A642" s="109" t="str">
        <f ca="1">IFERROR(__xludf.DUMMYFUNCTION("""COMPUTED_VALUE"""),"FS")</f>
        <v>FS</v>
      </c>
      <c r="B642" s="108" t="str">
        <f ca="1">IFERROR(__xludf.DUMMYFUNCTION("""COMPUTED_VALUE"""),"Isaiah Meredith")</f>
        <v>Isaiah Meredith</v>
      </c>
      <c r="C642" s="109">
        <f ca="1">IFERROR(__xludf.DUMMYFUNCTION("""COMPUTED_VALUE"""),9)</f>
        <v>9</v>
      </c>
      <c r="D642" s="109" t="str">
        <f ca="1">IFERROR(__xludf.DUMMYFUNCTION("""COMPUTED_VALUE"""),"B")</f>
        <v>B</v>
      </c>
      <c r="E642" s="110" t="str">
        <f ca="1">IFERROR(__xludf.DUMMYFUNCTION("""COMPUTED_VALUE"""),"F")</f>
        <v>F</v>
      </c>
      <c r="F642" s="110" t="str">
        <f ca="1">IFERROR(__xludf.DUMMYFUNCTION("""COMPUTED_VALUE"""),"J")</f>
        <v>J</v>
      </c>
      <c r="G642" s="110">
        <f ca="1">IFERROR(__xludf.DUMMYFUNCTION("""COMPUTED_VALUE"""),6)</f>
        <v>6</v>
      </c>
      <c r="H642" s="112" t="str">
        <f ca="1"/>
        <v>34.2</v>
      </c>
      <c r="I642" s="81">
        <f ca="1"/>
        <v>34.200000000000003</v>
      </c>
    </row>
    <row r="643" spans="1:9" ht="13.2">
      <c r="A643" s="109" t="str">
        <f ca="1">IFERROR(__xludf.DUMMYFUNCTION("""COMPUTED_VALUE"""),"FS")</f>
        <v>FS</v>
      </c>
      <c r="B643" s="108" t="str">
        <f ca="1">IFERROR(__xludf.DUMMYFUNCTION("""COMPUTED_VALUE"""),"Levi Lundeby")</f>
        <v>Levi Lundeby</v>
      </c>
      <c r="C643" s="109">
        <f ca="1">IFERROR(__xludf.DUMMYFUNCTION("""COMPUTED_VALUE"""),10)</f>
        <v>10</v>
      </c>
      <c r="D643" s="109" t="str">
        <f ca="1">IFERROR(__xludf.DUMMYFUNCTION("""COMPUTED_VALUE"""),"B")</f>
        <v>B</v>
      </c>
      <c r="E643" s="110" t="str">
        <f ca="1">IFERROR(__xludf.DUMMYFUNCTION("""COMPUTED_VALUE"""),"F")</f>
        <v>F</v>
      </c>
      <c r="F643" s="110" t="str">
        <f ca="1">IFERROR(__xludf.DUMMYFUNCTION("""COMPUTED_VALUE"""),"J")</f>
        <v>J</v>
      </c>
      <c r="G643" s="110">
        <f ca="1">IFERROR(__xludf.DUMMYFUNCTION("""COMPUTED_VALUE"""),6)</f>
        <v>6</v>
      </c>
      <c r="H643" s="112" t="str">
        <f ca="1"/>
        <v/>
      </c>
      <c r="I643" s="81" t="str">
        <f ca="1"/>
        <v/>
      </c>
    </row>
    <row r="644" spans="1:9" ht="13.2">
      <c r="A644" s="109" t="str">
        <f ca="1">IFERROR(__xludf.DUMMYFUNCTION("""COMPUTED_VALUE"""),"FS")</f>
        <v>FS</v>
      </c>
      <c r="B644" s="108" t="str">
        <f ca="1">IFERROR(__xludf.DUMMYFUNCTION("""COMPUTED_VALUE"""),"RoRo Siegmund")</f>
        <v>RoRo Siegmund</v>
      </c>
      <c r="C644" s="109">
        <f ca="1">IFERROR(__xludf.DUMMYFUNCTION("""COMPUTED_VALUE"""),7)</f>
        <v>7</v>
      </c>
      <c r="D644" s="109" t="str">
        <f ca="1">IFERROR(__xludf.DUMMYFUNCTION("""COMPUTED_VALUE"""),"B")</f>
        <v>B</v>
      </c>
      <c r="E644" s="110" t="str">
        <f ca="1">IFERROR(__xludf.DUMMYFUNCTION("""COMPUTED_VALUE"""),"F")</f>
        <v>F</v>
      </c>
      <c r="F644" s="110" t="str">
        <f ca="1">IFERROR(__xludf.DUMMYFUNCTION("""COMPUTED_VALUE"""),"J")</f>
        <v>J</v>
      </c>
      <c r="G644" s="110">
        <f ca="1">IFERROR(__xludf.DUMMYFUNCTION("""COMPUTED_VALUE"""),6)</f>
        <v>6</v>
      </c>
      <c r="H644" s="112" t="str">
        <f ca="1"/>
        <v>28.1</v>
      </c>
      <c r="I644" s="112">
        <f ca="1"/>
        <v>28.1</v>
      </c>
    </row>
    <row r="645" spans="1:9" ht="13.2">
      <c r="A645" s="109" t="str">
        <f ca="1">IFERROR(__xludf.DUMMYFUNCTION("""COMPUTED_VALUE"""),"FS")</f>
        <v>FS</v>
      </c>
      <c r="B645" s="108" t="str">
        <f ca="1">IFERROR(__xludf.DUMMYFUNCTION("""COMPUTED_VALUE"""),"Simon Brooks")</f>
        <v>Simon Brooks</v>
      </c>
      <c r="C645" s="109">
        <f ca="1">IFERROR(__xludf.DUMMYFUNCTION("""COMPUTED_VALUE"""),5)</f>
        <v>5</v>
      </c>
      <c r="D645" s="109" t="str">
        <f ca="1">IFERROR(__xludf.DUMMYFUNCTION("""COMPUTED_VALUE"""),"B")</f>
        <v>B</v>
      </c>
      <c r="E645" s="110" t="str">
        <f ca="1">IFERROR(__xludf.DUMMYFUNCTION("""COMPUTED_VALUE"""),"F")</f>
        <v>F</v>
      </c>
      <c r="F645" s="110" t="str">
        <f ca="1">IFERROR(__xludf.DUMMYFUNCTION("""COMPUTED_VALUE"""),"J")</f>
        <v>J</v>
      </c>
      <c r="G645" s="110">
        <f ca="1">IFERROR(__xludf.DUMMYFUNCTION("""COMPUTED_VALUE"""),6)</f>
        <v>6</v>
      </c>
      <c r="H645" s="112" t="str">
        <f ca="1"/>
        <v>8</v>
      </c>
      <c r="I645" s="81">
        <f ca="1"/>
        <v>8</v>
      </c>
    </row>
    <row r="646" spans="1:9" ht="13.2">
      <c r="A646" s="109" t="str">
        <f ca="1">IFERROR(__xludf.DUMMYFUNCTION("""COMPUTED_VALUE"""),"FS")</f>
        <v>FS</v>
      </c>
      <c r="B646" s="108" t="str">
        <f ca="1">IFERROR(__xludf.DUMMYFUNCTION("""COMPUTED_VALUE"""),"Travis Wittekind")</f>
        <v>Travis Wittekind</v>
      </c>
      <c r="C646" s="109">
        <f ca="1">IFERROR(__xludf.DUMMYFUNCTION("""COMPUTED_VALUE"""),8)</f>
        <v>8</v>
      </c>
      <c r="D646" s="109" t="str">
        <f ca="1">IFERROR(__xludf.DUMMYFUNCTION("""COMPUTED_VALUE"""),"B")</f>
        <v>B</v>
      </c>
      <c r="E646" s="110" t="str">
        <f ca="1">IFERROR(__xludf.DUMMYFUNCTION("""COMPUTED_VALUE"""),"F")</f>
        <v>F</v>
      </c>
      <c r="F646" s="110" t="str">
        <f ca="1">IFERROR(__xludf.DUMMYFUNCTION("""COMPUTED_VALUE"""),"J")</f>
        <v>J</v>
      </c>
      <c r="G646" s="110">
        <f ca="1">IFERROR(__xludf.DUMMYFUNCTION("""COMPUTED_VALUE"""),6)</f>
        <v>6</v>
      </c>
      <c r="H646" s="112" t="str">
        <f ca="1"/>
        <v>31.5</v>
      </c>
      <c r="I646" s="112">
        <f ca="1"/>
        <v>31.5</v>
      </c>
    </row>
    <row r="647" spans="1:9" ht="13.2">
      <c r="A647" s="109" t="str">
        <f ca="1">IFERROR(__xludf.DUMMYFUNCTION("""COMPUTED_VALUE"""),"FS")</f>
        <v>FS</v>
      </c>
      <c r="B647" s="108" t="str">
        <f ca="1">IFERROR(__xludf.DUMMYFUNCTION("""COMPUTED_VALUE"""),"William Clark")</f>
        <v>William Clark</v>
      </c>
      <c r="C647" s="109">
        <f ca="1">IFERROR(__xludf.DUMMYFUNCTION("""COMPUTED_VALUE"""),9)</f>
        <v>9</v>
      </c>
      <c r="D647" s="109" t="str">
        <f ca="1">IFERROR(__xludf.DUMMYFUNCTION("""COMPUTED_VALUE"""),"B")</f>
        <v>B</v>
      </c>
      <c r="E647" s="110" t="str">
        <f ca="1">IFERROR(__xludf.DUMMYFUNCTION("""COMPUTED_VALUE"""),"F")</f>
        <v>F</v>
      </c>
      <c r="F647" s="110" t="str">
        <f ca="1">IFERROR(__xludf.DUMMYFUNCTION("""COMPUTED_VALUE"""),"J")</f>
        <v>J</v>
      </c>
      <c r="G647" s="110">
        <f ca="1">IFERROR(__xludf.DUMMYFUNCTION("""COMPUTED_VALUE"""),6)</f>
        <v>6</v>
      </c>
      <c r="H647" s="112" t="str">
        <f ca="1"/>
        <v/>
      </c>
      <c r="I647" s="112" t="str">
        <f ca="1"/>
        <v/>
      </c>
    </row>
    <row r="648" spans="1:9" ht="13.2">
      <c r="A648" s="109" t="str">
        <f ca="1">IFERROR(__xludf.DUMMYFUNCTION("""COMPUTED_VALUE"""),"FS")</f>
        <v>FS</v>
      </c>
      <c r="B648" s="108" t="str">
        <f ca="1">IFERROR(__xludf.DUMMYFUNCTION("""COMPUTED_VALUE"""),"Zeke Louie")</f>
        <v>Zeke Louie</v>
      </c>
      <c r="C648" s="109">
        <f ca="1">IFERROR(__xludf.DUMMYFUNCTION("""COMPUTED_VALUE"""),9)</f>
        <v>9</v>
      </c>
      <c r="D648" s="109" t="str">
        <f ca="1">IFERROR(__xludf.DUMMYFUNCTION("""COMPUTED_VALUE"""),"B")</f>
        <v>B</v>
      </c>
      <c r="E648" s="110" t="str">
        <f ca="1">IFERROR(__xludf.DUMMYFUNCTION("""COMPUTED_VALUE"""),"F")</f>
        <v>F</v>
      </c>
      <c r="F648" s="110" t="str">
        <f ca="1">IFERROR(__xludf.DUMMYFUNCTION("""COMPUTED_VALUE"""),"J")</f>
        <v>J</v>
      </c>
      <c r="G648" s="110">
        <f ca="1">IFERROR(__xludf.DUMMYFUNCTION("""COMPUTED_VALUE"""),6)</f>
        <v>6</v>
      </c>
      <c r="H648" s="112" t="str">
        <f ca="1"/>
        <v>30.5</v>
      </c>
      <c r="I648" s="112">
        <f ca="1"/>
        <v>30.5</v>
      </c>
    </row>
    <row r="649" spans="1:9" ht="13.2">
      <c r="A649" s="109" t="str">
        <f ca="1">IFERROR(__xludf.DUMMYFUNCTION("""COMPUTED_VALUE"""),"FS")</f>
        <v>FS</v>
      </c>
      <c r="B649" s="108" t="str">
        <f ca="1">IFERROR(__xludf.DUMMYFUNCTION("""COMPUTED_VALUE"""),"Abby Reilly")</f>
        <v>Abby Reilly</v>
      </c>
      <c r="C649" s="109">
        <f ca="1">IFERROR(__xludf.DUMMYFUNCTION("""COMPUTED_VALUE"""),9)</f>
        <v>9</v>
      </c>
      <c r="D649" s="109" t="str">
        <f ca="1">IFERROR(__xludf.DUMMYFUNCTION("""COMPUTED_VALUE"""),"G")</f>
        <v>G</v>
      </c>
      <c r="E649" s="110" t="str">
        <f ca="1">IFERROR(__xludf.DUMMYFUNCTION("""COMPUTED_VALUE"""),"F")</f>
        <v>F</v>
      </c>
      <c r="F649" s="110" t="str">
        <f ca="1">IFERROR(__xludf.DUMMYFUNCTION("""COMPUTED_VALUE"""),"J")</f>
        <v>J</v>
      </c>
      <c r="G649" s="110">
        <f ca="1">IFERROR(__xludf.DUMMYFUNCTION("""COMPUTED_VALUE"""),6)</f>
        <v>6</v>
      </c>
      <c r="H649" s="112" t="str">
        <f ca="1"/>
        <v>39.55</v>
      </c>
      <c r="I649" s="81">
        <f ca="1"/>
        <v>39.549999999999997</v>
      </c>
    </row>
    <row r="650" spans="1:9" ht="13.2">
      <c r="A650" s="109" t="str">
        <f ca="1">IFERROR(__xludf.DUMMYFUNCTION("""COMPUTED_VALUE"""),"FS")</f>
        <v>FS</v>
      </c>
      <c r="B650" s="108" t="str">
        <f ca="1">IFERROR(__xludf.DUMMYFUNCTION("""COMPUTED_VALUE"""),"Alice Siegmund")</f>
        <v>Alice Siegmund</v>
      </c>
      <c r="C650" s="109">
        <f ca="1">IFERROR(__xludf.DUMMYFUNCTION("""COMPUTED_VALUE"""),9)</f>
        <v>9</v>
      </c>
      <c r="D650" s="109" t="str">
        <f ca="1">IFERROR(__xludf.DUMMYFUNCTION("""COMPUTED_VALUE"""),"G")</f>
        <v>G</v>
      </c>
      <c r="E650" s="110" t="str">
        <f ca="1">IFERROR(__xludf.DUMMYFUNCTION("""COMPUTED_VALUE"""),"F")</f>
        <v>F</v>
      </c>
      <c r="F650" s="110" t="str">
        <f ca="1">IFERROR(__xludf.DUMMYFUNCTION("""COMPUTED_VALUE"""),"J")</f>
        <v>J</v>
      </c>
      <c r="G650" s="110">
        <f ca="1">IFERROR(__xludf.DUMMYFUNCTION("""COMPUTED_VALUE"""),6)</f>
        <v>6</v>
      </c>
      <c r="H650" s="112" t="str">
        <f ca="1"/>
        <v/>
      </c>
      <c r="I650" s="112" t="str">
        <f ca="1"/>
        <v/>
      </c>
    </row>
    <row r="651" spans="1:9" ht="13.2">
      <c r="A651" s="109" t="str">
        <f ca="1">IFERROR(__xludf.DUMMYFUNCTION("""COMPUTED_VALUE"""),"FS")</f>
        <v>FS</v>
      </c>
      <c r="B651" s="108" t="str">
        <f ca="1">IFERROR(__xludf.DUMMYFUNCTION("""COMPUTED_VALUE"""),"Amelia Brooks")</f>
        <v>Amelia Brooks</v>
      </c>
      <c r="C651" s="109">
        <f ca="1">IFERROR(__xludf.DUMMYFUNCTION("""COMPUTED_VALUE"""),5)</f>
        <v>5</v>
      </c>
      <c r="D651" s="109" t="str">
        <f ca="1">IFERROR(__xludf.DUMMYFUNCTION("""COMPUTED_VALUE"""),"G")</f>
        <v>G</v>
      </c>
      <c r="E651" s="110" t="str">
        <f ca="1">IFERROR(__xludf.DUMMYFUNCTION("""COMPUTED_VALUE"""),"F")</f>
        <v>F</v>
      </c>
      <c r="F651" s="110" t="str">
        <f ca="1">IFERROR(__xludf.DUMMYFUNCTION("""COMPUTED_VALUE"""),"J")</f>
        <v>J</v>
      </c>
      <c r="G651" s="110">
        <f ca="1">IFERROR(__xludf.DUMMYFUNCTION("""COMPUTED_VALUE"""),6)</f>
        <v>6</v>
      </c>
      <c r="H651" s="112" t="str">
        <f ca="1"/>
        <v>10.5</v>
      </c>
      <c r="I651" s="112">
        <f ca="1"/>
        <v>10.5</v>
      </c>
    </row>
    <row r="652" spans="1:9" ht="13.2">
      <c r="A652" s="109" t="str">
        <f ca="1">IFERROR(__xludf.DUMMYFUNCTION("""COMPUTED_VALUE"""),"FS")</f>
        <v>FS</v>
      </c>
      <c r="B652" s="108" t="str">
        <f ca="1">IFERROR(__xludf.DUMMYFUNCTION("""COMPUTED_VALUE"""),"Anna Haigh")</f>
        <v>Anna Haigh</v>
      </c>
      <c r="C652" s="109">
        <f ca="1">IFERROR(__xludf.DUMMYFUNCTION("""COMPUTED_VALUE"""),10)</f>
        <v>10</v>
      </c>
      <c r="D652" s="109" t="str">
        <f ca="1">IFERROR(__xludf.DUMMYFUNCTION("""COMPUTED_VALUE"""),"G")</f>
        <v>G</v>
      </c>
      <c r="E652" s="110" t="str">
        <f ca="1">IFERROR(__xludf.DUMMYFUNCTION("""COMPUTED_VALUE"""),"F")</f>
        <v>F</v>
      </c>
      <c r="F652" s="110" t="str">
        <f ca="1">IFERROR(__xludf.DUMMYFUNCTION("""COMPUTED_VALUE"""),"J")</f>
        <v>J</v>
      </c>
      <c r="G652" s="110">
        <f ca="1">IFERROR(__xludf.DUMMYFUNCTION("""COMPUTED_VALUE"""),6)</f>
        <v>6</v>
      </c>
      <c r="H652" s="112" t="str">
        <f ca="1"/>
        <v>22.2</v>
      </c>
      <c r="I652" s="81">
        <f ca="1"/>
        <v>22.2</v>
      </c>
    </row>
    <row r="653" spans="1:9" ht="13.2">
      <c r="A653" s="109" t="str">
        <f ca="1">IFERROR(__xludf.DUMMYFUNCTION("""COMPUTED_VALUE"""),"FS")</f>
        <v>FS</v>
      </c>
      <c r="B653" s="108" t="str">
        <f ca="1">IFERROR(__xludf.DUMMYFUNCTION("""COMPUTED_VALUE"""),"Antonella Salcedo")</f>
        <v>Antonella Salcedo</v>
      </c>
      <c r="C653" s="109">
        <f ca="1">IFERROR(__xludf.DUMMYFUNCTION("""COMPUTED_VALUE"""),8)</f>
        <v>8</v>
      </c>
      <c r="D653" s="109" t="str">
        <f ca="1">IFERROR(__xludf.DUMMYFUNCTION("""COMPUTED_VALUE"""),"G")</f>
        <v>G</v>
      </c>
      <c r="E653" s="110" t="str">
        <f ca="1">IFERROR(__xludf.DUMMYFUNCTION("""COMPUTED_VALUE"""),"F")</f>
        <v>F</v>
      </c>
      <c r="F653" s="110" t="str">
        <f ca="1">IFERROR(__xludf.DUMMYFUNCTION("""COMPUTED_VALUE"""),"J")</f>
        <v>J</v>
      </c>
      <c r="G653" s="110">
        <f ca="1">IFERROR(__xludf.DUMMYFUNCTION("""COMPUTED_VALUE"""),6)</f>
        <v>6</v>
      </c>
      <c r="H653" s="112" t="str">
        <f ca="1"/>
        <v>39.65</v>
      </c>
      <c r="I653" s="81">
        <f ca="1"/>
        <v>39.65</v>
      </c>
    </row>
    <row r="654" spans="1:9" ht="13.2">
      <c r="A654" s="109" t="str">
        <f ca="1">IFERROR(__xludf.DUMMYFUNCTION("""COMPUTED_VALUE"""),"FS")</f>
        <v>FS</v>
      </c>
      <c r="B654" s="108" t="str">
        <f ca="1">IFERROR(__xludf.DUMMYFUNCTION("""COMPUTED_VALUE"""),"April Jensen")</f>
        <v>April Jensen</v>
      </c>
      <c r="C654" s="109">
        <f ca="1">IFERROR(__xludf.DUMMYFUNCTION("""COMPUTED_VALUE"""),7)</f>
        <v>7</v>
      </c>
      <c r="D654" s="109" t="str">
        <f ca="1">IFERROR(__xludf.DUMMYFUNCTION("""COMPUTED_VALUE"""),"G")</f>
        <v>G</v>
      </c>
      <c r="E654" s="110" t="str">
        <f ca="1">IFERROR(__xludf.DUMMYFUNCTION("""COMPUTED_VALUE"""),"F")</f>
        <v>F</v>
      </c>
      <c r="F654" s="110" t="str">
        <f ca="1">IFERROR(__xludf.DUMMYFUNCTION("""COMPUTED_VALUE"""),"J")</f>
        <v>J</v>
      </c>
      <c r="G654" s="110">
        <f ca="1">IFERROR(__xludf.DUMMYFUNCTION("""COMPUTED_VALUE"""),6)</f>
        <v>6</v>
      </c>
      <c r="H654" s="112" t="str">
        <f ca="1"/>
        <v/>
      </c>
      <c r="I654" s="112" t="str">
        <f ca="1"/>
        <v/>
      </c>
    </row>
    <row r="655" spans="1:9" ht="13.2">
      <c r="A655" s="109" t="str">
        <f ca="1">IFERROR(__xludf.DUMMYFUNCTION("""COMPUTED_VALUE"""),"FS")</f>
        <v>FS</v>
      </c>
      <c r="B655" s="108" t="str">
        <f ca="1">IFERROR(__xludf.DUMMYFUNCTION("""COMPUTED_VALUE"""),"Aria Giarraputo")</f>
        <v>Aria Giarraputo</v>
      </c>
      <c r="C655" s="109">
        <f ca="1">IFERROR(__xludf.DUMMYFUNCTION("""COMPUTED_VALUE"""),9)</f>
        <v>9</v>
      </c>
      <c r="D655" s="109" t="str">
        <f ca="1">IFERROR(__xludf.DUMMYFUNCTION("""COMPUTED_VALUE"""),"G")</f>
        <v>G</v>
      </c>
      <c r="E655" s="110" t="str">
        <f ca="1">IFERROR(__xludf.DUMMYFUNCTION("""COMPUTED_VALUE"""),"F")</f>
        <v>F</v>
      </c>
      <c r="F655" s="110" t="str">
        <f ca="1">IFERROR(__xludf.DUMMYFUNCTION("""COMPUTED_VALUE"""),"J")</f>
        <v>J</v>
      </c>
      <c r="G655" s="110">
        <f ca="1">IFERROR(__xludf.DUMMYFUNCTION("""COMPUTED_VALUE"""),6)</f>
        <v>6</v>
      </c>
      <c r="H655" s="112" t="str">
        <f ca="1"/>
        <v/>
      </c>
      <c r="I655" s="112" t="str">
        <f ca="1"/>
        <v/>
      </c>
    </row>
    <row r="656" spans="1:9" ht="13.2">
      <c r="A656" s="109" t="str">
        <f ca="1">IFERROR(__xludf.DUMMYFUNCTION("""COMPUTED_VALUE"""),"FS")</f>
        <v>FS</v>
      </c>
      <c r="B656" s="108" t="str">
        <f ca="1">IFERROR(__xludf.DUMMYFUNCTION("""COMPUTED_VALUE"""),"Betsy Trollinger")</f>
        <v>Betsy Trollinger</v>
      </c>
      <c r="C656" s="109">
        <f ca="1">IFERROR(__xludf.DUMMYFUNCTION("""COMPUTED_VALUE"""),9)</f>
        <v>9</v>
      </c>
      <c r="D656" s="109" t="str">
        <f ca="1">IFERROR(__xludf.DUMMYFUNCTION("""COMPUTED_VALUE"""),"G")</f>
        <v>G</v>
      </c>
      <c r="E656" s="110" t="str">
        <f ca="1">IFERROR(__xludf.DUMMYFUNCTION("""COMPUTED_VALUE"""),"F")</f>
        <v>F</v>
      </c>
      <c r="F656" s="110" t="str">
        <f ca="1">IFERROR(__xludf.DUMMYFUNCTION("""COMPUTED_VALUE"""),"J")</f>
        <v>J</v>
      </c>
      <c r="G656" s="110">
        <f ca="1">IFERROR(__xludf.DUMMYFUNCTION("""COMPUTED_VALUE"""),6)</f>
        <v>6</v>
      </c>
      <c r="H656" s="112" t="str">
        <f ca="1"/>
        <v/>
      </c>
      <c r="I656" s="81" t="str">
        <f ca="1"/>
        <v/>
      </c>
    </row>
    <row r="657" spans="1:9" ht="13.2">
      <c r="A657" s="109" t="str">
        <f ca="1">IFERROR(__xludf.DUMMYFUNCTION("""COMPUTED_VALUE"""),"FS")</f>
        <v>FS</v>
      </c>
      <c r="B657" s="108" t="str">
        <f ca="1">IFERROR(__xludf.DUMMYFUNCTION("""COMPUTED_VALUE"""),"Elza Jones")</f>
        <v>Elza Jones</v>
      </c>
      <c r="C657" s="109">
        <f ca="1">IFERROR(__xludf.DUMMYFUNCTION("""COMPUTED_VALUE"""),10)</f>
        <v>10</v>
      </c>
      <c r="D657" s="109" t="str">
        <f ca="1">IFERROR(__xludf.DUMMYFUNCTION("""COMPUTED_VALUE"""),"G")</f>
        <v>G</v>
      </c>
      <c r="E657" s="110" t="str">
        <f ca="1">IFERROR(__xludf.DUMMYFUNCTION("""COMPUTED_VALUE"""),"F")</f>
        <v>F</v>
      </c>
      <c r="F657" s="110" t="str">
        <f ca="1">IFERROR(__xludf.DUMMYFUNCTION("""COMPUTED_VALUE"""),"J")</f>
        <v>J</v>
      </c>
      <c r="G657" s="110">
        <f ca="1">IFERROR(__xludf.DUMMYFUNCTION("""COMPUTED_VALUE"""),6)</f>
        <v>6</v>
      </c>
      <c r="H657" s="112" t="str">
        <f ca="1"/>
        <v/>
      </c>
      <c r="I657" s="81" t="str">
        <f ca="1"/>
        <v/>
      </c>
    </row>
    <row r="658" spans="1:9" ht="13.2">
      <c r="A658" s="109" t="str">
        <f ca="1">IFERROR(__xludf.DUMMYFUNCTION("""COMPUTED_VALUE"""),"FS")</f>
        <v>FS</v>
      </c>
      <c r="B658" s="108" t="str">
        <f ca="1">IFERROR(__xludf.DUMMYFUNCTION("""COMPUTED_VALUE"""),"Emersyn Wilbur")</f>
        <v>Emersyn Wilbur</v>
      </c>
      <c r="C658" s="109">
        <f ca="1">IFERROR(__xludf.DUMMYFUNCTION("""COMPUTED_VALUE"""),9)</f>
        <v>9</v>
      </c>
      <c r="D658" s="109" t="str">
        <f ca="1">IFERROR(__xludf.DUMMYFUNCTION("""COMPUTED_VALUE"""),"G")</f>
        <v>G</v>
      </c>
      <c r="E658" s="110" t="str">
        <f ca="1">IFERROR(__xludf.DUMMYFUNCTION("""COMPUTED_VALUE"""),"F")</f>
        <v>F</v>
      </c>
      <c r="F658" s="110" t="str">
        <f ca="1">IFERROR(__xludf.DUMMYFUNCTION("""COMPUTED_VALUE"""),"J")</f>
        <v>J</v>
      </c>
      <c r="G658" s="110">
        <f ca="1">IFERROR(__xludf.DUMMYFUNCTION("""COMPUTED_VALUE"""),6)</f>
        <v>6</v>
      </c>
      <c r="H658" s="112" t="str">
        <f ca="1"/>
        <v>32.45</v>
      </c>
      <c r="I658" s="112">
        <f ca="1"/>
        <v>32.450000000000003</v>
      </c>
    </row>
    <row r="659" spans="1:9" ht="13.2">
      <c r="A659" s="109" t="str">
        <f ca="1">IFERROR(__xludf.DUMMYFUNCTION("""COMPUTED_VALUE"""),"FS")</f>
        <v>FS</v>
      </c>
      <c r="B659" s="108" t="str">
        <f ca="1">IFERROR(__xludf.DUMMYFUNCTION("""COMPUTED_VALUE"""),"Gaia Salcedo")</f>
        <v>Gaia Salcedo</v>
      </c>
      <c r="C659" s="109">
        <f ca="1">IFERROR(__xludf.DUMMYFUNCTION("""COMPUTED_VALUE"""),7)</f>
        <v>7</v>
      </c>
      <c r="D659" s="109" t="str">
        <f ca="1">IFERROR(__xludf.DUMMYFUNCTION("""COMPUTED_VALUE"""),"G")</f>
        <v>G</v>
      </c>
      <c r="E659" s="110" t="str">
        <f ca="1">IFERROR(__xludf.DUMMYFUNCTION("""COMPUTED_VALUE"""),"F")</f>
        <v>F</v>
      </c>
      <c r="F659" s="110" t="str">
        <f ca="1">IFERROR(__xludf.DUMMYFUNCTION("""COMPUTED_VALUE"""),"J")</f>
        <v>J</v>
      </c>
      <c r="G659" s="110">
        <f ca="1">IFERROR(__xludf.DUMMYFUNCTION("""COMPUTED_VALUE"""),6)</f>
        <v>6</v>
      </c>
      <c r="H659" s="112" t="str">
        <f ca="1"/>
        <v>21.75</v>
      </c>
      <c r="I659" s="81">
        <f ca="1"/>
        <v>21.75</v>
      </c>
    </row>
    <row r="660" spans="1:9" ht="13.2">
      <c r="A660" s="109" t="str">
        <f ca="1">IFERROR(__xludf.DUMMYFUNCTION("""COMPUTED_VALUE"""),"FS")</f>
        <v>FS</v>
      </c>
      <c r="B660" s="108" t="str">
        <f ca="1">IFERROR(__xludf.DUMMYFUNCTION("""COMPUTED_VALUE"""),"Gwyn Howard")</f>
        <v>Gwyn Howard</v>
      </c>
      <c r="C660" s="109">
        <f ca="1">IFERROR(__xludf.DUMMYFUNCTION("""COMPUTED_VALUE"""),10)</f>
        <v>10</v>
      </c>
      <c r="D660" s="109" t="str">
        <f ca="1">IFERROR(__xludf.DUMMYFUNCTION("""COMPUTED_VALUE"""),"G")</f>
        <v>G</v>
      </c>
      <c r="E660" s="110" t="str">
        <f ca="1">IFERROR(__xludf.DUMMYFUNCTION("""COMPUTED_VALUE"""),"F")</f>
        <v>F</v>
      </c>
      <c r="F660" s="110" t="str">
        <f ca="1">IFERROR(__xludf.DUMMYFUNCTION("""COMPUTED_VALUE"""),"J")</f>
        <v>J</v>
      </c>
      <c r="G660" s="110">
        <f ca="1">IFERROR(__xludf.DUMMYFUNCTION("""COMPUTED_VALUE"""),6)</f>
        <v>6</v>
      </c>
      <c r="H660" s="112" t="str">
        <f ca="1"/>
        <v>41.35</v>
      </c>
      <c r="I660" s="81">
        <f ca="1"/>
        <v>41.35</v>
      </c>
    </row>
    <row r="661" spans="1:9" ht="13.2">
      <c r="A661" s="109" t="str">
        <f ca="1">IFERROR(__xludf.DUMMYFUNCTION("""COMPUTED_VALUE"""),"FS")</f>
        <v>FS</v>
      </c>
      <c r="B661" s="108" t="str">
        <f ca="1">IFERROR(__xludf.DUMMYFUNCTION("""COMPUTED_VALUE"""),"Harper LoBosco")</f>
        <v>Harper LoBosco</v>
      </c>
      <c r="C661" s="109">
        <f ca="1">IFERROR(__xludf.DUMMYFUNCTION("""COMPUTED_VALUE"""),9)</f>
        <v>9</v>
      </c>
      <c r="D661" s="109" t="str">
        <f ca="1">IFERROR(__xludf.DUMMYFUNCTION("""COMPUTED_VALUE"""),"G")</f>
        <v>G</v>
      </c>
      <c r="E661" s="110" t="str">
        <f ca="1">IFERROR(__xludf.DUMMYFUNCTION("""COMPUTED_VALUE"""),"F")</f>
        <v>F</v>
      </c>
      <c r="F661" s="110" t="str">
        <f ca="1">IFERROR(__xludf.DUMMYFUNCTION("""COMPUTED_VALUE"""),"J")</f>
        <v>J</v>
      </c>
      <c r="G661" s="110">
        <f ca="1">IFERROR(__xludf.DUMMYFUNCTION("""COMPUTED_VALUE"""),6)</f>
        <v>6</v>
      </c>
      <c r="H661" s="112" t="str">
        <f ca="1"/>
        <v/>
      </c>
      <c r="I661" s="112" t="str">
        <f ca="1"/>
        <v/>
      </c>
    </row>
    <row r="662" spans="1:9" ht="13.2">
      <c r="A662" s="109" t="str">
        <f ca="1">IFERROR(__xludf.DUMMYFUNCTION("""COMPUTED_VALUE"""),"FS")</f>
        <v>FS</v>
      </c>
      <c r="B662" s="108" t="str">
        <f ca="1">IFERROR(__xludf.DUMMYFUNCTION("""COMPUTED_VALUE"""),"Jacqueline Potter")</f>
        <v>Jacqueline Potter</v>
      </c>
      <c r="C662" s="109">
        <f ca="1">IFERROR(__xludf.DUMMYFUNCTION("""COMPUTED_VALUE"""),10)</f>
        <v>10</v>
      </c>
      <c r="D662" s="109" t="str">
        <f ca="1">IFERROR(__xludf.DUMMYFUNCTION("""COMPUTED_VALUE"""),"G")</f>
        <v>G</v>
      </c>
      <c r="E662" s="110" t="str">
        <f ca="1">IFERROR(__xludf.DUMMYFUNCTION("""COMPUTED_VALUE"""),"F")</f>
        <v>F</v>
      </c>
      <c r="F662" s="110" t="str">
        <f ca="1">IFERROR(__xludf.DUMMYFUNCTION("""COMPUTED_VALUE"""),"J")</f>
        <v>J</v>
      </c>
      <c r="G662" s="110">
        <f ca="1">IFERROR(__xludf.DUMMYFUNCTION("""COMPUTED_VALUE"""),6)</f>
        <v>6</v>
      </c>
      <c r="H662" s="112" t="str">
        <f ca="1"/>
        <v>25</v>
      </c>
      <c r="I662" s="112">
        <f ca="1"/>
        <v>25</v>
      </c>
    </row>
    <row r="663" spans="1:9" ht="13.2">
      <c r="A663" s="109" t="str">
        <f ca="1">IFERROR(__xludf.DUMMYFUNCTION("""COMPUTED_VALUE"""),"FS")</f>
        <v>FS</v>
      </c>
      <c r="B663" s="108" t="str">
        <f ca="1">IFERROR(__xludf.DUMMYFUNCTION("""COMPUTED_VALUE"""),"Jocelyn Myers")</f>
        <v>Jocelyn Myers</v>
      </c>
      <c r="C663" s="109">
        <f ca="1">IFERROR(__xludf.DUMMYFUNCTION("""COMPUTED_VALUE"""),8)</f>
        <v>8</v>
      </c>
      <c r="D663" s="109" t="str">
        <f ca="1">IFERROR(__xludf.DUMMYFUNCTION("""COMPUTED_VALUE"""),"G")</f>
        <v>G</v>
      </c>
      <c r="E663" s="110" t="str">
        <f ca="1">IFERROR(__xludf.DUMMYFUNCTION("""COMPUTED_VALUE"""),"F")</f>
        <v>F</v>
      </c>
      <c r="F663" s="110" t="str">
        <f ca="1">IFERROR(__xludf.DUMMYFUNCTION("""COMPUTED_VALUE"""),"J")</f>
        <v>J</v>
      </c>
      <c r="G663" s="110">
        <f ca="1">IFERROR(__xludf.DUMMYFUNCTION("""COMPUTED_VALUE"""),6)</f>
        <v>6</v>
      </c>
      <c r="H663" s="112" t="str">
        <f ca="1"/>
        <v/>
      </c>
      <c r="I663" s="112" t="str">
        <f ca="1"/>
        <v/>
      </c>
    </row>
    <row r="664" spans="1:9" ht="13.2">
      <c r="A664" s="109" t="str">
        <f ca="1">IFERROR(__xludf.DUMMYFUNCTION("""COMPUTED_VALUE"""),"FS")</f>
        <v>FS</v>
      </c>
      <c r="B664" s="108" t="str">
        <f ca="1">IFERROR(__xludf.DUMMYFUNCTION("""COMPUTED_VALUE"""),"Jocelyn Schermer")</f>
        <v>Jocelyn Schermer</v>
      </c>
      <c r="C664" s="109">
        <f ca="1">IFERROR(__xludf.DUMMYFUNCTION("""COMPUTED_VALUE"""),10)</f>
        <v>10</v>
      </c>
      <c r="D664" s="109" t="str">
        <f ca="1">IFERROR(__xludf.DUMMYFUNCTION("""COMPUTED_VALUE"""),"G")</f>
        <v>G</v>
      </c>
      <c r="E664" s="110" t="str">
        <f ca="1">IFERROR(__xludf.DUMMYFUNCTION("""COMPUTED_VALUE"""),"F")</f>
        <v>F</v>
      </c>
      <c r="F664" s="110" t="str">
        <f ca="1">IFERROR(__xludf.DUMMYFUNCTION("""COMPUTED_VALUE"""),"J")</f>
        <v>J</v>
      </c>
      <c r="G664" s="110">
        <f ca="1">IFERROR(__xludf.DUMMYFUNCTION("""COMPUTED_VALUE"""),6)</f>
        <v>6</v>
      </c>
      <c r="H664" s="112" t="str">
        <f ca="1"/>
        <v/>
      </c>
      <c r="I664" s="81" t="str">
        <f ca="1"/>
        <v/>
      </c>
    </row>
    <row r="665" spans="1:9" ht="13.2">
      <c r="A665" s="109" t="str">
        <f ca="1">IFERROR(__xludf.DUMMYFUNCTION("""COMPUTED_VALUE"""),"FS")</f>
        <v>FS</v>
      </c>
      <c r="B665" s="108" t="str">
        <f ca="1">IFERROR(__xludf.DUMMYFUNCTION("""COMPUTED_VALUE"""),"Lillian Haigh")</f>
        <v>Lillian Haigh</v>
      </c>
      <c r="C665" s="109">
        <f ca="1">IFERROR(__xludf.DUMMYFUNCTION("""COMPUTED_VALUE"""),8)</f>
        <v>8</v>
      </c>
      <c r="D665" s="109" t="str">
        <f ca="1">IFERROR(__xludf.DUMMYFUNCTION("""COMPUTED_VALUE"""),"G")</f>
        <v>G</v>
      </c>
      <c r="E665" s="110" t="str">
        <f ca="1">IFERROR(__xludf.DUMMYFUNCTION("""COMPUTED_VALUE"""),"F")</f>
        <v>F</v>
      </c>
      <c r="F665" s="110" t="str">
        <f ca="1">IFERROR(__xludf.DUMMYFUNCTION("""COMPUTED_VALUE"""),"J")</f>
        <v>J</v>
      </c>
      <c r="G665" s="110">
        <f ca="1">IFERROR(__xludf.DUMMYFUNCTION("""COMPUTED_VALUE"""),6)</f>
        <v>6</v>
      </c>
      <c r="H665" s="112" t="str">
        <f ca="1"/>
        <v/>
      </c>
      <c r="I665" s="81" t="str">
        <f ca="1"/>
        <v/>
      </c>
    </row>
    <row r="666" spans="1:9" ht="13.2">
      <c r="A666" s="109" t="str">
        <f ca="1">IFERROR(__xludf.DUMMYFUNCTION("""COMPUTED_VALUE"""),"FS")</f>
        <v>FS</v>
      </c>
      <c r="B666" s="108" t="str">
        <f ca="1">IFERROR(__xludf.DUMMYFUNCTION("""COMPUTED_VALUE"""),"Mady McCormack")</f>
        <v>Mady McCormack</v>
      </c>
      <c r="C666" s="109">
        <f ca="1">IFERROR(__xludf.DUMMYFUNCTION("""COMPUTED_VALUE"""),9)</f>
        <v>9</v>
      </c>
      <c r="D666" s="109" t="str">
        <f ca="1">IFERROR(__xludf.DUMMYFUNCTION("""COMPUTED_VALUE"""),"G")</f>
        <v>G</v>
      </c>
      <c r="E666" s="110" t="str">
        <f ca="1">IFERROR(__xludf.DUMMYFUNCTION("""COMPUTED_VALUE"""),"F")</f>
        <v>F</v>
      </c>
      <c r="F666" s="110" t="str">
        <f ca="1">IFERROR(__xludf.DUMMYFUNCTION("""COMPUTED_VALUE"""),"J")</f>
        <v>J</v>
      </c>
      <c r="G666" s="110">
        <f ca="1">IFERROR(__xludf.DUMMYFUNCTION("""COMPUTED_VALUE"""),6)</f>
        <v>6</v>
      </c>
      <c r="H666" s="112" t="str">
        <f ca="1"/>
        <v>36.35</v>
      </c>
      <c r="I666" s="112">
        <f ca="1"/>
        <v>36.35</v>
      </c>
    </row>
    <row r="667" spans="1:9" ht="13.2">
      <c r="A667" s="109" t="str">
        <f ca="1">IFERROR(__xludf.DUMMYFUNCTION("""COMPUTED_VALUE"""),"FS")</f>
        <v>FS</v>
      </c>
      <c r="B667" s="108" t="str">
        <f ca="1">IFERROR(__xludf.DUMMYFUNCTION("""COMPUTED_VALUE"""),"Noelle Telleen")</f>
        <v>Noelle Telleen</v>
      </c>
      <c r="C667" s="109">
        <f ca="1">IFERROR(__xludf.DUMMYFUNCTION("""COMPUTED_VALUE"""),9)</f>
        <v>9</v>
      </c>
      <c r="D667" s="109" t="str">
        <f ca="1">IFERROR(__xludf.DUMMYFUNCTION("""COMPUTED_VALUE"""),"G")</f>
        <v>G</v>
      </c>
      <c r="E667" s="110" t="str">
        <f ca="1">IFERROR(__xludf.DUMMYFUNCTION("""COMPUTED_VALUE"""),"F")</f>
        <v>F</v>
      </c>
      <c r="F667" s="110" t="str">
        <f ca="1">IFERROR(__xludf.DUMMYFUNCTION("""COMPUTED_VALUE"""),"J")</f>
        <v>J</v>
      </c>
      <c r="G667" s="110">
        <f ca="1">IFERROR(__xludf.DUMMYFUNCTION("""COMPUTED_VALUE"""),6)</f>
        <v>6</v>
      </c>
      <c r="H667" s="112" t="str">
        <f ca="1"/>
        <v>46.35</v>
      </c>
      <c r="I667" s="81">
        <f ca="1"/>
        <v>46.35</v>
      </c>
    </row>
    <row r="668" spans="1:9" ht="13.2">
      <c r="A668" s="109" t="str">
        <f ca="1">IFERROR(__xludf.DUMMYFUNCTION("""COMPUTED_VALUE"""),"FS")</f>
        <v>FS</v>
      </c>
      <c r="B668" s="108" t="str">
        <f ca="1">IFERROR(__xludf.DUMMYFUNCTION("""COMPUTED_VALUE"""),"Olive Schuppin")</f>
        <v>Olive Schuppin</v>
      </c>
      <c r="C668" s="109">
        <f ca="1">IFERROR(__xludf.DUMMYFUNCTION("""COMPUTED_VALUE"""),4)</f>
        <v>4</v>
      </c>
      <c r="D668" s="109" t="str">
        <f ca="1">IFERROR(__xludf.DUMMYFUNCTION("""COMPUTED_VALUE"""),"G")</f>
        <v>G</v>
      </c>
      <c r="E668" s="110" t="str">
        <f ca="1">IFERROR(__xludf.DUMMYFUNCTION("""COMPUTED_VALUE"""),"F")</f>
        <v>F</v>
      </c>
      <c r="F668" s="110" t="str">
        <f ca="1">IFERROR(__xludf.DUMMYFUNCTION("""COMPUTED_VALUE"""),"J")</f>
        <v>J</v>
      </c>
      <c r="G668" s="110">
        <f ca="1">IFERROR(__xludf.DUMMYFUNCTION("""COMPUTED_VALUE"""),6)</f>
        <v>6</v>
      </c>
      <c r="H668" s="112" t="str">
        <f ca="1"/>
        <v/>
      </c>
      <c r="I668" s="81" t="str">
        <f ca="1"/>
        <v/>
      </c>
    </row>
    <row r="669" spans="1:9" ht="13.2">
      <c r="A669" s="109" t="str">
        <f ca="1">IFERROR(__xludf.DUMMYFUNCTION("""COMPUTED_VALUE"""),"FS")</f>
        <v>FS</v>
      </c>
      <c r="B669" s="108" t="str">
        <f ca="1">IFERROR(__xludf.DUMMYFUNCTION("""COMPUTED_VALUE"""),"Olivia Hilliard")</f>
        <v>Olivia Hilliard</v>
      </c>
      <c r="C669" s="109">
        <f ca="1">IFERROR(__xludf.DUMMYFUNCTION("""COMPUTED_VALUE"""),10)</f>
        <v>10</v>
      </c>
      <c r="D669" s="109" t="str">
        <f ca="1">IFERROR(__xludf.DUMMYFUNCTION("""COMPUTED_VALUE"""),"G")</f>
        <v>G</v>
      </c>
      <c r="E669" s="110" t="str">
        <f ca="1">IFERROR(__xludf.DUMMYFUNCTION("""COMPUTED_VALUE"""),"F")</f>
        <v>F</v>
      </c>
      <c r="F669" s="110" t="str">
        <f ca="1">IFERROR(__xludf.DUMMYFUNCTION("""COMPUTED_VALUE"""),"J")</f>
        <v>J</v>
      </c>
      <c r="G669" s="110">
        <f ca="1">IFERROR(__xludf.DUMMYFUNCTION("""COMPUTED_VALUE"""),6)</f>
        <v>6</v>
      </c>
      <c r="H669" s="112" t="str">
        <f ca="1"/>
        <v>21</v>
      </c>
      <c r="I669" s="112">
        <f ca="1"/>
        <v>21</v>
      </c>
    </row>
    <row r="670" spans="1:9" ht="13.2">
      <c r="A670" s="109" t="str">
        <f ca="1">IFERROR(__xludf.DUMMYFUNCTION("""COMPUTED_VALUE"""),"FS")</f>
        <v>FS</v>
      </c>
      <c r="B670" s="108" t="str">
        <f ca="1">IFERROR(__xludf.DUMMYFUNCTION("""COMPUTED_VALUE"""),"Serena Howard")</f>
        <v>Serena Howard</v>
      </c>
      <c r="C670" s="109">
        <f ca="1">IFERROR(__xludf.DUMMYFUNCTION("""COMPUTED_VALUE"""),8)</f>
        <v>8</v>
      </c>
      <c r="D670" s="109" t="str">
        <f ca="1">IFERROR(__xludf.DUMMYFUNCTION("""COMPUTED_VALUE"""),"G")</f>
        <v>G</v>
      </c>
      <c r="E670" s="110" t="str">
        <f ca="1">IFERROR(__xludf.DUMMYFUNCTION("""COMPUTED_VALUE"""),"F")</f>
        <v>F</v>
      </c>
      <c r="F670" s="110" t="str">
        <f ca="1">IFERROR(__xludf.DUMMYFUNCTION("""COMPUTED_VALUE"""),"J")</f>
        <v>J</v>
      </c>
      <c r="G670" s="110">
        <f ca="1">IFERROR(__xludf.DUMMYFUNCTION("""COMPUTED_VALUE"""),6)</f>
        <v>6</v>
      </c>
      <c r="H670" s="112" t="str">
        <f ca="1"/>
        <v>37.25</v>
      </c>
      <c r="I670" s="112">
        <f ca="1"/>
        <v>37.25</v>
      </c>
    </row>
    <row r="671" spans="1:9" ht="13.2">
      <c r="A671" s="109" t="str">
        <f ca="1">IFERROR(__xludf.DUMMYFUNCTION("""COMPUTED_VALUE"""),"FS")</f>
        <v>FS</v>
      </c>
      <c r="B671" s="108" t="str">
        <f ca="1">IFERROR(__xludf.DUMMYFUNCTION("""COMPUTED_VALUE"""),"Stella Budiu")</f>
        <v>Stella Budiu</v>
      </c>
      <c r="C671" s="109">
        <f ca="1">IFERROR(__xludf.DUMMYFUNCTION("""COMPUTED_VALUE"""),10)</f>
        <v>10</v>
      </c>
      <c r="D671" s="109" t="str">
        <f ca="1">IFERROR(__xludf.DUMMYFUNCTION("""COMPUTED_VALUE"""),"G")</f>
        <v>G</v>
      </c>
      <c r="E671" s="110" t="str">
        <f ca="1">IFERROR(__xludf.DUMMYFUNCTION("""COMPUTED_VALUE"""),"F")</f>
        <v>F</v>
      </c>
      <c r="F671" s="110" t="str">
        <f ca="1">IFERROR(__xludf.DUMMYFUNCTION("""COMPUTED_VALUE"""),"J")</f>
        <v>J</v>
      </c>
      <c r="G671" s="110">
        <f ca="1">IFERROR(__xludf.DUMMYFUNCTION("""COMPUTED_VALUE"""),6)</f>
        <v>6</v>
      </c>
      <c r="H671" s="112" t="str">
        <f ca="1"/>
        <v/>
      </c>
      <c r="I671" s="112" t="str">
        <f ca="1"/>
        <v/>
      </c>
    </row>
    <row r="672" spans="1:9" ht="13.2">
      <c r="A672" s="109" t="str">
        <f ca="1">IFERROR(__xludf.DUMMYFUNCTION("""COMPUTED_VALUE"""),"FS")</f>
        <v>FS</v>
      </c>
      <c r="B672" s="108" t="str">
        <f ca="1">IFERROR(__xludf.DUMMYFUNCTION("""COMPUTED_VALUE"""),"Teresa Matiasek")</f>
        <v>Teresa Matiasek</v>
      </c>
      <c r="C672" s="109">
        <f ca="1">IFERROR(__xludf.DUMMYFUNCTION("""COMPUTED_VALUE"""),8)</f>
        <v>8</v>
      </c>
      <c r="D672" s="109" t="str">
        <f ca="1">IFERROR(__xludf.DUMMYFUNCTION("""COMPUTED_VALUE"""),"G")</f>
        <v>G</v>
      </c>
      <c r="E672" s="110" t="str">
        <f ca="1">IFERROR(__xludf.DUMMYFUNCTION("""COMPUTED_VALUE"""),"F")</f>
        <v>F</v>
      </c>
      <c r="F672" s="110" t="str">
        <f ca="1">IFERROR(__xludf.DUMMYFUNCTION("""COMPUTED_VALUE"""),"J")</f>
        <v>J</v>
      </c>
      <c r="G672" s="110">
        <f ca="1">IFERROR(__xludf.DUMMYFUNCTION("""COMPUTED_VALUE"""),6)</f>
        <v>6</v>
      </c>
      <c r="H672" s="112" t="str">
        <f ca="1"/>
        <v/>
      </c>
      <c r="I672" s="112" t="str">
        <f ca="1"/>
        <v/>
      </c>
    </row>
    <row r="673" spans="1:9" ht="13.2">
      <c r="A673" s="109" t="str">
        <f ca="1">IFERROR(__xludf.DUMMYFUNCTION("""COMPUTED_VALUE"""),"FS")</f>
        <v>FS</v>
      </c>
      <c r="B673" s="108" t="str">
        <f ca="1">IFERROR(__xludf.DUMMYFUNCTION("""COMPUTED_VALUE"""),"Victoria Williams")</f>
        <v>Victoria Williams</v>
      </c>
      <c r="C673" s="109">
        <f ca="1">IFERROR(__xludf.DUMMYFUNCTION("""COMPUTED_VALUE"""),7)</f>
        <v>7</v>
      </c>
      <c r="D673" s="109" t="str">
        <f ca="1">IFERROR(__xludf.DUMMYFUNCTION("""COMPUTED_VALUE"""),"G")</f>
        <v>G</v>
      </c>
      <c r="E673" s="110" t="str">
        <f ca="1">IFERROR(__xludf.DUMMYFUNCTION("""COMPUTED_VALUE"""),"F")</f>
        <v>F</v>
      </c>
      <c r="F673" s="110" t="str">
        <f ca="1">IFERROR(__xludf.DUMMYFUNCTION("""COMPUTED_VALUE"""),"J")</f>
        <v>J</v>
      </c>
      <c r="G673" s="110">
        <f ca="1">IFERROR(__xludf.DUMMYFUNCTION("""COMPUTED_VALUE"""),6)</f>
        <v>6</v>
      </c>
      <c r="H673" s="112" t="str">
        <f ca="1"/>
        <v>47.9</v>
      </c>
      <c r="I673" s="112">
        <f ca="1"/>
        <v>47.9</v>
      </c>
    </row>
    <row r="674" spans="1:9" ht="13.2">
      <c r="A674" s="109" t="str">
        <f ca="1">IFERROR(__xludf.DUMMYFUNCTION("""COMPUTED_VALUE"""),"FS")</f>
        <v>FS</v>
      </c>
      <c r="B674" s="108" t="str">
        <f ca="1">IFERROR(__xludf.DUMMYFUNCTION("""COMPUTED_VALUE"""),"Charles Schuppin")</f>
        <v>Charles Schuppin</v>
      </c>
      <c r="C674" s="109">
        <f ca="1">IFERROR(__xludf.DUMMYFUNCTION("""COMPUTED_VALUE"""),13)</f>
        <v>13</v>
      </c>
      <c r="D674" s="109" t="str">
        <f ca="1">IFERROR(__xludf.DUMMYFUNCTION("""COMPUTED_VALUE"""),"B")</f>
        <v>B</v>
      </c>
      <c r="E674" s="110" t="str">
        <f ca="1">IFERROR(__xludf.DUMMYFUNCTION("""COMPUTED_VALUE"""),"I")</f>
        <v>I</v>
      </c>
      <c r="F674" s="110" t="str">
        <f ca="1">IFERROR(__xludf.DUMMYFUNCTION("""COMPUTED_VALUE"""),"S")</f>
        <v>S</v>
      </c>
      <c r="G674" s="110">
        <f ca="1">IFERROR(__xludf.DUMMYFUNCTION("""COMPUTED_VALUE"""),6)</f>
        <v>6</v>
      </c>
      <c r="H674" s="112" t="str">
        <f ca="1"/>
        <v/>
      </c>
      <c r="I674" s="112" t="str">
        <f ca="1"/>
        <v/>
      </c>
    </row>
    <row r="675" spans="1:9" ht="13.2">
      <c r="A675" s="109" t="str">
        <f ca="1">IFERROR(__xludf.DUMMYFUNCTION("""COMPUTED_VALUE"""),"FS")</f>
        <v>FS</v>
      </c>
      <c r="B675" s="108" t="str">
        <f ca="1">IFERROR(__xludf.DUMMYFUNCTION("""COMPUTED_VALUE"""),"Milo Feller")</f>
        <v>Milo Feller</v>
      </c>
      <c r="C675" s="109">
        <f ca="1">IFERROR(__xludf.DUMMYFUNCTION("""COMPUTED_VALUE"""),13)</f>
        <v>13</v>
      </c>
      <c r="D675" s="109" t="str">
        <f ca="1">IFERROR(__xludf.DUMMYFUNCTION("""COMPUTED_VALUE"""),"B")</f>
        <v>B</v>
      </c>
      <c r="E675" s="110" t="str">
        <f ca="1">IFERROR(__xludf.DUMMYFUNCTION("""COMPUTED_VALUE"""),"I")</f>
        <v>I</v>
      </c>
      <c r="F675" s="110" t="str">
        <f ca="1">IFERROR(__xludf.DUMMYFUNCTION("""COMPUTED_VALUE"""),"S")</f>
        <v>S</v>
      </c>
      <c r="G675" s="110">
        <f ca="1">IFERROR(__xludf.DUMMYFUNCTION("""COMPUTED_VALUE"""),6)</f>
        <v>6</v>
      </c>
      <c r="H675" s="112" t="str">
        <f ca="1"/>
        <v>37.1</v>
      </c>
      <c r="I675" s="81">
        <f ca="1"/>
        <v>37.1</v>
      </c>
    </row>
    <row r="676" spans="1:9" ht="13.2">
      <c r="A676" s="109" t="str">
        <f ca="1">IFERROR(__xludf.DUMMYFUNCTION("""COMPUTED_VALUE"""),"FS")</f>
        <v>FS</v>
      </c>
      <c r="B676" s="108" t="str">
        <f ca="1">IFERROR(__xludf.DUMMYFUNCTION("""COMPUTED_VALUE"""),"Alyssa Mahoney")</f>
        <v>Alyssa Mahoney</v>
      </c>
      <c r="C676" s="109">
        <f ca="1">IFERROR(__xludf.DUMMYFUNCTION("""COMPUTED_VALUE"""),13)</f>
        <v>13</v>
      </c>
      <c r="D676" s="109" t="str">
        <f ca="1">IFERROR(__xludf.DUMMYFUNCTION("""COMPUTED_VALUE"""),"G")</f>
        <v>G</v>
      </c>
      <c r="E676" s="110" t="str">
        <f ca="1">IFERROR(__xludf.DUMMYFUNCTION("""COMPUTED_VALUE"""),"I")</f>
        <v>I</v>
      </c>
      <c r="F676" s="110" t="str">
        <f ca="1">IFERROR(__xludf.DUMMYFUNCTION("""COMPUTED_VALUE"""),"S")</f>
        <v>S</v>
      </c>
      <c r="G676" s="110">
        <f ca="1">IFERROR(__xludf.DUMMYFUNCTION("""COMPUTED_VALUE"""),6)</f>
        <v>6</v>
      </c>
      <c r="H676" s="112" t="str">
        <f ca="1"/>
        <v>56.15</v>
      </c>
      <c r="I676" s="81">
        <f ca="1"/>
        <v>56.15</v>
      </c>
    </row>
    <row r="677" spans="1:9" ht="13.2">
      <c r="A677" s="109" t="str">
        <f ca="1">IFERROR(__xludf.DUMMYFUNCTION("""COMPUTED_VALUE"""),"FS")</f>
        <v>FS</v>
      </c>
      <c r="B677" s="108" t="str">
        <f ca="1">IFERROR(__xludf.DUMMYFUNCTION("""COMPUTED_VALUE"""),"Devyn Telleen")</f>
        <v>Devyn Telleen</v>
      </c>
      <c r="C677" s="109">
        <f ca="1">IFERROR(__xludf.DUMMYFUNCTION("""COMPUTED_VALUE"""),14)</f>
        <v>14</v>
      </c>
      <c r="D677" s="109" t="str">
        <f ca="1">IFERROR(__xludf.DUMMYFUNCTION("""COMPUTED_VALUE"""),"G")</f>
        <v>G</v>
      </c>
      <c r="E677" s="110" t="str">
        <f ca="1">IFERROR(__xludf.DUMMYFUNCTION("""COMPUTED_VALUE"""),"I")</f>
        <v>I</v>
      </c>
      <c r="F677" s="110" t="str">
        <f ca="1">IFERROR(__xludf.DUMMYFUNCTION("""COMPUTED_VALUE"""),"S")</f>
        <v>S</v>
      </c>
      <c r="G677" s="110">
        <f ca="1">IFERROR(__xludf.DUMMYFUNCTION("""COMPUTED_VALUE"""),6)</f>
        <v>6</v>
      </c>
      <c r="H677" s="112" t="str">
        <f ca="1"/>
        <v/>
      </c>
      <c r="I677" s="81" t="str">
        <f ca="1"/>
        <v/>
      </c>
    </row>
    <row r="678" spans="1:9" ht="13.2">
      <c r="A678" s="109" t="str">
        <f ca="1">IFERROR(__xludf.DUMMYFUNCTION("""COMPUTED_VALUE"""),"FS")</f>
        <v>FS</v>
      </c>
      <c r="B678" s="108" t="str">
        <f ca="1">IFERROR(__xludf.DUMMYFUNCTION("""COMPUTED_VALUE"""),"Eliana Louie")</f>
        <v>Eliana Louie</v>
      </c>
      <c r="C678" s="109">
        <f ca="1">IFERROR(__xludf.DUMMYFUNCTION("""COMPUTED_VALUE"""),14)</f>
        <v>14</v>
      </c>
      <c r="D678" s="109" t="str">
        <f ca="1">IFERROR(__xludf.DUMMYFUNCTION("""COMPUTED_VALUE"""),"G")</f>
        <v>G</v>
      </c>
      <c r="E678" s="110" t="str">
        <f ca="1">IFERROR(__xludf.DUMMYFUNCTION("""COMPUTED_VALUE"""),"I")</f>
        <v>I</v>
      </c>
      <c r="F678" s="110" t="str">
        <f ca="1">IFERROR(__xludf.DUMMYFUNCTION("""COMPUTED_VALUE"""),"S")</f>
        <v>S</v>
      </c>
      <c r="G678" s="110">
        <f ca="1">IFERROR(__xludf.DUMMYFUNCTION("""COMPUTED_VALUE"""),6)</f>
        <v>6</v>
      </c>
      <c r="H678" s="112" t="str">
        <f ca="1"/>
        <v>38.55</v>
      </c>
      <c r="I678" s="112">
        <f ca="1"/>
        <v>38.549999999999997</v>
      </c>
    </row>
    <row r="679" spans="1:9" ht="13.2">
      <c r="A679" s="109" t="str">
        <f ca="1">IFERROR(__xludf.DUMMYFUNCTION("""COMPUTED_VALUE"""),"FS")</f>
        <v>FS</v>
      </c>
      <c r="B679" s="108" t="str">
        <f ca="1">IFERROR(__xludf.DUMMYFUNCTION("""COMPUTED_VALUE"""),"Lauren Lundeby")</f>
        <v>Lauren Lundeby</v>
      </c>
      <c r="C679" s="109">
        <f ca="1">IFERROR(__xludf.DUMMYFUNCTION("""COMPUTED_VALUE"""),13)</f>
        <v>13</v>
      </c>
      <c r="D679" s="109" t="str">
        <f ca="1">IFERROR(__xludf.DUMMYFUNCTION("""COMPUTED_VALUE"""),"G")</f>
        <v>G</v>
      </c>
      <c r="E679" s="110" t="str">
        <f ca="1">IFERROR(__xludf.DUMMYFUNCTION("""COMPUTED_VALUE"""),"I")</f>
        <v>I</v>
      </c>
      <c r="F679" s="110" t="str">
        <f ca="1">IFERROR(__xludf.DUMMYFUNCTION("""COMPUTED_VALUE"""),"S")</f>
        <v>S</v>
      </c>
      <c r="G679" s="110">
        <f ca="1">IFERROR(__xludf.DUMMYFUNCTION("""COMPUTED_VALUE"""),6)</f>
        <v>6</v>
      </c>
      <c r="H679" s="112" t="str">
        <f ca="1"/>
        <v/>
      </c>
      <c r="I679" s="81" t="str">
        <f ca="1"/>
        <v/>
      </c>
    </row>
    <row r="680" spans="1:9" ht="13.2">
      <c r="A680" s="109" t="str">
        <f ca="1">IFERROR(__xludf.DUMMYFUNCTION("""COMPUTED_VALUE"""),"FS")</f>
        <v>FS</v>
      </c>
      <c r="B680" s="108" t="str">
        <f ca="1">IFERROR(__xludf.DUMMYFUNCTION("""COMPUTED_VALUE"""),"Olivia Giarraputo")</f>
        <v>Olivia Giarraputo</v>
      </c>
      <c r="C680" s="109">
        <f ca="1">IFERROR(__xludf.DUMMYFUNCTION("""COMPUTED_VALUE"""),13)</f>
        <v>13</v>
      </c>
      <c r="D680" s="109" t="str">
        <f ca="1">IFERROR(__xludf.DUMMYFUNCTION("""COMPUTED_VALUE"""),"G")</f>
        <v>G</v>
      </c>
      <c r="E680" s="110" t="str">
        <f ca="1">IFERROR(__xludf.DUMMYFUNCTION("""COMPUTED_VALUE"""),"I")</f>
        <v>I</v>
      </c>
      <c r="F680" s="110" t="str">
        <f ca="1">IFERROR(__xludf.DUMMYFUNCTION("""COMPUTED_VALUE"""),"S")</f>
        <v>S</v>
      </c>
      <c r="G680" s="110">
        <f ca="1">IFERROR(__xludf.DUMMYFUNCTION("""COMPUTED_VALUE"""),6)</f>
        <v>6</v>
      </c>
      <c r="H680" s="112" t="str">
        <f ca="1"/>
        <v/>
      </c>
      <c r="I680" s="112" t="str">
        <f ca="1"/>
        <v/>
      </c>
    </row>
    <row r="681" spans="1:9" ht="13.2">
      <c r="A681" s="109" t="str">
        <f ca="1">IFERROR(__xludf.DUMMYFUNCTION("""COMPUTED_VALUE"""),"FS")</f>
        <v>FS</v>
      </c>
      <c r="B681" s="108" t="str">
        <f ca="1">IFERROR(__xludf.DUMMYFUNCTION("""COMPUTED_VALUE"""),"Luca Budiu")</f>
        <v>Luca Budiu</v>
      </c>
      <c r="C681" s="109">
        <f ca="1">IFERROR(__xludf.DUMMYFUNCTION("""COMPUTED_VALUE"""),11)</f>
        <v>11</v>
      </c>
      <c r="D681" s="109" t="str">
        <f ca="1">IFERROR(__xludf.DUMMYFUNCTION("""COMPUTED_VALUE"""),"B")</f>
        <v>B</v>
      </c>
      <c r="E681" s="110" t="str">
        <f ca="1">IFERROR(__xludf.DUMMYFUNCTION("""COMPUTED_VALUE"""),"J")</f>
        <v>J</v>
      </c>
      <c r="F681" s="110" t="str">
        <f ca="1">IFERROR(__xludf.DUMMYFUNCTION("""COMPUTED_VALUE"""),"I")</f>
        <v>I</v>
      </c>
      <c r="G681" s="110">
        <f ca="1">IFERROR(__xludf.DUMMYFUNCTION("""COMPUTED_VALUE"""),6)</f>
        <v>6</v>
      </c>
      <c r="H681" s="112" t="str">
        <f ca="1"/>
        <v/>
      </c>
      <c r="I681" s="81" t="str">
        <f ca="1"/>
        <v/>
      </c>
    </row>
    <row r="682" spans="1:9" ht="13.2">
      <c r="A682" s="109" t="str">
        <f ca="1">IFERROR(__xludf.DUMMYFUNCTION("""COMPUTED_VALUE"""),"FS")</f>
        <v>FS</v>
      </c>
      <c r="B682" s="108" t="str">
        <f ca="1">IFERROR(__xludf.DUMMYFUNCTION("""COMPUTED_VALUE"""),"Oliver Jones")</f>
        <v>Oliver Jones</v>
      </c>
      <c r="C682" s="109">
        <f ca="1">IFERROR(__xludf.DUMMYFUNCTION("""COMPUTED_VALUE"""),12)</f>
        <v>12</v>
      </c>
      <c r="D682" s="109" t="str">
        <f ca="1">IFERROR(__xludf.DUMMYFUNCTION("""COMPUTED_VALUE"""),"B")</f>
        <v>B</v>
      </c>
      <c r="E682" s="110" t="str">
        <f ca="1">IFERROR(__xludf.DUMMYFUNCTION("""COMPUTED_VALUE"""),"J")</f>
        <v>J</v>
      </c>
      <c r="F682" s="110" t="str">
        <f ca="1">IFERROR(__xludf.DUMMYFUNCTION("""COMPUTED_VALUE"""),"I")</f>
        <v>I</v>
      </c>
      <c r="G682" s="110">
        <f ca="1">IFERROR(__xludf.DUMMYFUNCTION("""COMPUTED_VALUE"""),6)</f>
        <v>6</v>
      </c>
      <c r="H682" s="112" t="str">
        <f ca="1"/>
        <v/>
      </c>
      <c r="I682" s="112" t="str">
        <f ca="1"/>
        <v/>
      </c>
    </row>
    <row r="683" spans="1:9" ht="13.2">
      <c r="A683" s="109" t="str">
        <f ca="1">IFERROR(__xludf.DUMMYFUNCTION("""COMPUTED_VALUE"""),"FS")</f>
        <v>FS</v>
      </c>
      <c r="B683" s="108" t="str">
        <f ca="1">IFERROR(__xludf.DUMMYFUNCTION("""COMPUTED_VALUE"""),"Agnes Matiasek")</f>
        <v>Agnes Matiasek</v>
      </c>
      <c r="C683" s="109">
        <f ca="1">IFERROR(__xludf.DUMMYFUNCTION("""COMPUTED_VALUE"""),11)</f>
        <v>11</v>
      </c>
      <c r="D683" s="109" t="str">
        <f ca="1">IFERROR(__xludf.DUMMYFUNCTION("""COMPUTED_VALUE"""),"G")</f>
        <v>G</v>
      </c>
      <c r="E683" s="110" t="str">
        <f ca="1">IFERROR(__xludf.DUMMYFUNCTION("""COMPUTED_VALUE"""),"J")</f>
        <v>J</v>
      </c>
      <c r="F683" s="110" t="str">
        <f ca="1">IFERROR(__xludf.DUMMYFUNCTION("""COMPUTED_VALUE"""),"I")</f>
        <v>I</v>
      </c>
      <c r="G683" s="110">
        <f ca="1">IFERROR(__xludf.DUMMYFUNCTION("""COMPUTED_VALUE"""),6)</f>
        <v>6</v>
      </c>
      <c r="H683" s="112" t="str">
        <f ca="1"/>
        <v/>
      </c>
      <c r="I683" s="112" t="str">
        <f ca="1"/>
        <v/>
      </c>
    </row>
    <row r="684" spans="1:9" ht="13.2">
      <c r="A684" s="109" t="str">
        <f ca="1">IFERROR(__xludf.DUMMYFUNCTION("""COMPUTED_VALUE"""),"FS")</f>
        <v>FS</v>
      </c>
      <c r="B684" s="108" t="str">
        <f ca="1">IFERROR(__xludf.DUMMYFUNCTION("""COMPUTED_VALUE"""),"Avery LoBosco")</f>
        <v>Avery LoBosco</v>
      </c>
      <c r="C684" s="109">
        <f ca="1">IFERROR(__xludf.DUMMYFUNCTION("""COMPUTED_VALUE"""),11)</f>
        <v>11</v>
      </c>
      <c r="D684" s="109" t="str">
        <f ca="1">IFERROR(__xludf.DUMMYFUNCTION("""COMPUTED_VALUE"""),"G")</f>
        <v>G</v>
      </c>
      <c r="E684" s="110" t="str">
        <f ca="1">IFERROR(__xludf.DUMMYFUNCTION("""COMPUTED_VALUE"""),"J")</f>
        <v>J</v>
      </c>
      <c r="F684" s="110" t="str">
        <f ca="1">IFERROR(__xludf.DUMMYFUNCTION("""COMPUTED_VALUE"""),"I")</f>
        <v>I</v>
      </c>
      <c r="G684" s="110">
        <f ca="1">IFERROR(__xludf.DUMMYFUNCTION("""COMPUTED_VALUE"""),6)</f>
        <v>6</v>
      </c>
      <c r="H684" s="112" t="str">
        <f ca="1"/>
        <v/>
      </c>
      <c r="I684" s="81" t="str">
        <f ca="1"/>
        <v/>
      </c>
    </row>
    <row r="685" spans="1:9" ht="13.2">
      <c r="A685" s="109" t="str">
        <f ca="1">IFERROR(__xludf.DUMMYFUNCTION("""COMPUTED_VALUE"""),"FS")</f>
        <v>FS</v>
      </c>
      <c r="B685" s="108" t="str">
        <f ca="1">IFERROR(__xludf.DUMMYFUNCTION("""COMPUTED_VALUE"""),"Darcy Telleen")</f>
        <v>Darcy Telleen</v>
      </c>
      <c r="C685" s="109">
        <f ca="1">IFERROR(__xludf.DUMMYFUNCTION("""COMPUTED_VALUE"""),12)</f>
        <v>12</v>
      </c>
      <c r="D685" s="109" t="str">
        <f ca="1">IFERROR(__xludf.DUMMYFUNCTION("""COMPUTED_VALUE"""),"G")</f>
        <v>G</v>
      </c>
      <c r="E685" s="110" t="str">
        <f ca="1">IFERROR(__xludf.DUMMYFUNCTION("""COMPUTED_VALUE"""),"J")</f>
        <v>J</v>
      </c>
      <c r="F685" s="110" t="str">
        <f ca="1">IFERROR(__xludf.DUMMYFUNCTION("""COMPUTED_VALUE"""),"I")</f>
        <v>I</v>
      </c>
      <c r="G685" s="110">
        <f ca="1">IFERROR(__xludf.DUMMYFUNCTION("""COMPUTED_VALUE"""),6)</f>
        <v>6</v>
      </c>
      <c r="H685" s="112" t="str">
        <f ca="1"/>
        <v/>
      </c>
      <c r="I685" s="81" t="str">
        <f ca="1"/>
        <v/>
      </c>
    </row>
    <row r="686" spans="1:9" ht="13.2">
      <c r="A686" s="109" t="str">
        <f ca="1">IFERROR(__xludf.DUMMYFUNCTION("""COMPUTED_VALUE"""),"FS")</f>
        <v>FS</v>
      </c>
      <c r="B686" s="108" t="str">
        <f ca="1">IFERROR(__xludf.DUMMYFUNCTION("""COMPUTED_VALUE"""),"Edith Louie")</f>
        <v>Edith Louie</v>
      </c>
      <c r="C686" s="109">
        <f ca="1">IFERROR(__xludf.DUMMYFUNCTION("""COMPUTED_VALUE"""),12)</f>
        <v>12</v>
      </c>
      <c r="D686" s="109" t="str">
        <f ca="1">IFERROR(__xludf.DUMMYFUNCTION("""COMPUTED_VALUE"""),"G")</f>
        <v>G</v>
      </c>
      <c r="E686" s="110" t="str">
        <f ca="1">IFERROR(__xludf.DUMMYFUNCTION("""COMPUTED_VALUE"""),"J")</f>
        <v>J</v>
      </c>
      <c r="F686" s="110" t="str">
        <f ca="1">IFERROR(__xludf.DUMMYFUNCTION("""COMPUTED_VALUE"""),"I")</f>
        <v>I</v>
      </c>
      <c r="G686" s="110">
        <f ca="1">IFERROR(__xludf.DUMMYFUNCTION("""COMPUTED_VALUE"""),6)</f>
        <v>6</v>
      </c>
      <c r="H686" s="112" t="str">
        <f ca="1"/>
        <v>38.25</v>
      </c>
      <c r="I686" s="81">
        <f ca="1"/>
        <v>38.25</v>
      </c>
    </row>
    <row r="687" spans="1:9" ht="13.2">
      <c r="A687" s="109" t="str">
        <f ca="1">IFERROR(__xludf.DUMMYFUNCTION("""COMPUTED_VALUE"""),"FS")</f>
        <v>FS</v>
      </c>
      <c r="B687" s="108" t="str">
        <f ca="1">IFERROR(__xludf.DUMMYFUNCTION("""COMPUTED_VALUE"""),"Hannah Goldberg")</f>
        <v>Hannah Goldberg</v>
      </c>
      <c r="C687" s="109">
        <f ca="1">IFERROR(__xludf.DUMMYFUNCTION("""COMPUTED_VALUE"""),12)</f>
        <v>12</v>
      </c>
      <c r="D687" s="109" t="str">
        <f ca="1">IFERROR(__xludf.DUMMYFUNCTION("""COMPUTED_VALUE"""),"G")</f>
        <v>G</v>
      </c>
      <c r="E687" s="110" t="str">
        <f ca="1">IFERROR(__xludf.DUMMYFUNCTION("""COMPUTED_VALUE"""),"J")</f>
        <v>J</v>
      </c>
      <c r="F687" s="110" t="str">
        <f ca="1">IFERROR(__xludf.DUMMYFUNCTION("""COMPUTED_VALUE"""),"I")</f>
        <v>I</v>
      </c>
      <c r="G687" s="110">
        <f ca="1">IFERROR(__xludf.DUMMYFUNCTION("""COMPUTED_VALUE"""),6)</f>
        <v>6</v>
      </c>
      <c r="H687" s="112" t="str">
        <f ca="1"/>
        <v>54.3</v>
      </c>
      <c r="I687" s="112">
        <f ca="1"/>
        <v>54.3</v>
      </c>
    </row>
    <row r="688" spans="1:9" ht="13.2">
      <c r="A688" s="109" t="str">
        <f ca="1">IFERROR(__xludf.DUMMYFUNCTION("""COMPUTED_VALUE"""),"FS")</f>
        <v>FS</v>
      </c>
      <c r="B688" s="108" t="str">
        <f ca="1">IFERROR(__xludf.DUMMYFUNCTION("""COMPUTED_VALUE"""),"Lilla Wilbur")</f>
        <v>Lilla Wilbur</v>
      </c>
      <c r="C688" s="109">
        <f ca="1">IFERROR(__xludf.DUMMYFUNCTION("""COMPUTED_VALUE"""),12)</f>
        <v>12</v>
      </c>
      <c r="D688" s="109" t="str">
        <f ca="1">IFERROR(__xludf.DUMMYFUNCTION("""COMPUTED_VALUE"""),"G")</f>
        <v>G</v>
      </c>
      <c r="E688" s="110" t="str">
        <f ca="1">IFERROR(__xludf.DUMMYFUNCTION("""COMPUTED_VALUE"""),"J")</f>
        <v>J</v>
      </c>
      <c r="F688" s="110" t="str">
        <f ca="1">IFERROR(__xludf.DUMMYFUNCTION("""COMPUTED_VALUE"""),"I")</f>
        <v>I</v>
      </c>
      <c r="G688" s="110">
        <f ca="1">IFERROR(__xludf.DUMMYFUNCTION("""COMPUTED_VALUE"""),6)</f>
        <v>6</v>
      </c>
      <c r="H688" s="112" t="str">
        <f ca="1"/>
        <v/>
      </c>
      <c r="I688" s="81" t="str">
        <f ca="1"/>
        <v/>
      </c>
    </row>
    <row r="689" spans="1:9" ht="13.2">
      <c r="A689" s="109" t="str">
        <f ca="1">IFERROR(__xludf.DUMMYFUNCTION("""COMPUTED_VALUE"""),"FS")</f>
        <v>FS</v>
      </c>
      <c r="B689" s="108" t="str">
        <f ca="1">IFERROR(__xludf.DUMMYFUNCTION("""COMPUTED_VALUE"""),"Lyla Chutuape")</f>
        <v>Lyla Chutuape</v>
      </c>
      <c r="C689" s="109">
        <f ca="1">IFERROR(__xludf.DUMMYFUNCTION("""COMPUTED_VALUE"""),11)</f>
        <v>11</v>
      </c>
      <c r="D689" s="109" t="str">
        <f ca="1">IFERROR(__xludf.DUMMYFUNCTION("""COMPUTED_VALUE"""),"G")</f>
        <v>G</v>
      </c>
      <c r="E689" s="110" t="str">
        <f ca="1">IFERROR(__xludf.DUMMYFUNCTION("""COMPUTED_VALUE"""),"J")</f>
        <v>J</v>
      </c>
      <c r="F689" s="110" t="str">
        <f ca="1">IFERROR(__xludf.DUMMYFUNCTION("""COMPUTED_VALUE"""),"I")</f>
        <v>I</v>
      </c>
      <c r="G689" s="110">
        <f ca="1">IFERROR(__xludf.DUMMYFUNCTION("""COMPUTED_VALUE"""),6)</f>
        <v>6</v>
      </c>
      <c r="H689" s="112" t="str">
        <f ca="1"/>
        <v/>
      </c>
      <c r="I689" s="81" t="str">
        <f ca="1"/>
        <v/>
      </c>
    </row>
    <row r="690" spans="1:9" ht="13.2">
      <c r="A690" s="109" t="str">
        <f ca="1">IFERROR(__xludf.DUMMYFUNCTION("""COMPUTED_VALUE"""),"FS")</f>
        <v>FS</v>
      </c>
      <c r="B690" s="108" t="str">
        <f ca="1">IFERROR(__xludf.DUMMYFUNCTION("""COMPUTED_VALUE"""),"Rebecca Perkowski")</f>
        <v>Rebecca Perkowski</v>
      </c>
      <c r="C690" s="109">
        <f ca="1">IFERROR(__xludf.DUMMYFUNCTION("""COMPUTED_VALUE"""),11)</f>
        <v>11</v>
      </c>
      <c r="D690" s="109" t="str">
        <f ca="1">IFERROR(__xludf.DUMMYFUNCTION("""COMPUTED_VALUE"""),"G")</f>
        <v>G</v>
      </c>
      <c r="E690" s="110" t="str">
        <f ca="1">IFERROR(__xludf.DUMMYFUNCTION("""COMPUTED_VALUE"""),"J")</f>
        <v>J</v>
      </c>
      <c r="F690" s="110" t="str">
        <f ca="1">IFERROR(__xludf.DUMMYFUNCTION("""COMPUTED_VALUE"""),"I")</f>
        <v>I</v>
      </c>
      <c r="G690" s="110">
        <f ca="1">IFERROR(__xludf.DUMMYFUNCTION("""COMPUTED_VALUE"""),6)</f>
        <v>6</v>
      </c>
      <c r="H690" s="112" t="str">
        <f ca="1"/>
        <v/>
      </c>
      <c r="I690" s="112" t="str">
        <f ca="1"/>
        <v/>
      </c>
    </row>
    <row r="691" spans="1:9" ht="13.2">
      <c r="A691" s="109" t="str">
        <f ca="1">IFERROR(__xludf.DUMMYFUNCTION("""COMPUTED_VALUE"""),"FS")</f>
        <v>FS</v>
      </c>
      <c r="B691" s="108" t="str">
        <f ca="1">IFERROR(__xludf.DUMMYFUNCTION("""COMPUTED_VALUE"""),"Samantha Sitton")</f>
        <v>Samantha Sitton</v>
      </c>
      <c r="C691" s="109">
        <f ca="1">IFERROR(__xludf.DUMMYFUNCTION("""COMPUTED_VALUE"""),12)</f>
        <v>12</v>
      </c>
      <c r="D691" s="109" t="str">
        <f ca="1">IFERROR(__xludf.DUMMYFUNCTION("""COMPUTED_VALUE"""),"G")</f>
        <v>G</v>
      </c>
      <c r="E691" s="110" t="str">
        <f ca="1">IFERROR(__xludf.DUMMYFUNCTION("""COMPUTED_VALUE"""),"J")</f>
        <v>J</v>
      </c>
      <c r="F691" s="110" t="str">
        <f ca="1">IFERROR(__xludf.DUMMYFUNCTION("""COMPUTED_VALUE"""),"I")</f>
        <v>I</v>
      </c>
      <c r="G691" s="110">
        <f ca="1">IFERROR(__xludf.DUMMYFUNCTION("""COMPUTED_VALUE"""),6)</f>
        <v>6</v>
      </c>
      <c r="H691" s="112" t="str">
        <f ca="1"/>
        <v>24.7</v>
      </c>
      <c r="I691" s="112">
        <f ca="1"/>
        <v>24.7</v>
      </c>
    </row>
    <row r="692" spans="1:9" ht="13.2">
      <c r="A692" s="109" t="str">
        <f ca="1">IFERROR(__xludf.DUMMYFUNCTION("""COMPUTED_VALUE"""),"FS")</f>
        <v>FS</v>
      </c>
      <c r="B692" s="108" t="str">
        <f ca="1">IFERROR(__xludf.DUMMYFUNCTION("""COMPUTED_VALUE"""),"Sophie Goldberg")</f>
        <v>Sophie Goldberg</v>
      </c>
      <c r="C692" s="109">
        <f ca="1">IFERROR(__xludf.DUMMYFUNCTION("""COMPUTED_VALUE"""),12)</f>
        <v>12</v>
      </c>
      <c r="D692" s="109" t="str">
        <f ca="1">IFERROR(__xludf.DUMMYFUNCTION("""COMPUTED_VALUE"""),"G")</f>
        <v>G</v>
      </c>
      <c r="E692" s="110" t="str">
        <f ca="1">IFERROR(__xludf.DUMMYFUNCTION("""COMPUTED_VALUE"""),"J")</f>
        <v>J</v>
      </c>
      <c r="F692" s="110" t="str">
        <f ca="1">IFERROR(__xludf.DUMMYFUNCTION("""COMPUTED_VALUE"""),"I")</f>
        <v>I</v>
      </c>
      <c r="G692" s="110">
        <f ca="1">IFERROR(__xludf.DUMMYFUNCTION("""COMPUTED_VALUE"""),6)</f>
        <v>6</v>
      </c>
      <c r="H692" s="112" t="str">
        <f ca="1"/>
        <v>37.7</v>
      </c>
      <c r="I692" s="112">
        <f ca="1"/>
        <v>37.700000000000003</v>
      </c>
    </row>
    <row r="693" spans="1:9" ht="13.2">
      <c r="A693" s="109" t="str">
        <f ca="1">IFERROR(__xludf.DUMMYFUNCTION("""COMPUTED_VALUE"""),"FS")</f>
        <v>FS</v>
      </c>
      <c r="B693" s="108" t="str">
        <f ca="1">IFERROR(__xludf.DUMMYFUNCTION("""COMPUTED_VALUE"""),"Zara-Jean Penn")</f>
        <v>Zara-Jean Penn</v>
      </c>
      <c r="C693" s="109">
        <f ca="1">IFERROR(__xludf.DUMMYFUNCTION("""COMPUTED_VALUE"""),12)</f>
        <v>12</v>
      </c>
      <c r="D693" s="109" t="str">
        <f ca="1">IFERROR(__xludf.DUMMYFUNCTION("""COMPUTED_VALUE"""),"G")</f>
        <v>G</v>
      </c>
      <c r="E693" s="110" t="str">
        <f ca="1">IFERROR(__xludf.DUMMYFUNCTION("""COMPUTED_VALUE"""),"J")</f>
        <v>J</v>
      </c>
      <c r="F693" s="110" t="str">
        <f ca="1">IFERROR(__xludf.DUMMYFUNCTION("""COMPUTED_VALUE"""),"I")</f>
        <v>I</v>
      </c>
      <c r="G693" s="110">
        <f ca="1">IFERROR(__xludf.DUMMYFUNCTION("""COMPUTED_VALUE"""),6)</f>
        <v>6</v>
      </c>
      <c r="H693" s="112" t="str">
        <f ca="1"/>
        <v>72.75</v>
      </c>
      <c r="I693" s="112">
        <f ca="1"/>
        <v>72.75</v>
      </c>
    </row>
    <row r="694" spans="1:9" ht="13.2">
      <c r="A694" s="109" t="str">
        <f ca="1">IFERROR(__xludf.DUMMYFUNCTION("""COMPUTED_VALUE"""),"FS")</f>
        <v>FS</v>
      </c>
      <c r="B694" s="108" t="str">
        <f ca="1">IFERROR(__xludf.DUMMYFUNCTION("""COMPUTED_VALUE"""),"Julian Penn")</f>
        <v>Julian Penn</v>
      </c>
      <c r="C694" s="109">
        <f ca="1">IFERROR(__xludf.DUMMYFUNCTION("""COMPUTED_VALUE"""),17)</f>
        <v>17</v>
      </c>
      <c r="D694" s="109" t="str">
        <f ca="1">IFERROR(__xludf.DUMMYFUNCTION("""COMPUTED_VALUE"""),"B")</f>
        <v>B</v>
      </c>
      <c r="E694" s="110" t="str">
        <f ca="1">IFERROR(__xludf.DUMMYFUNCTION("""COMPUTED_VALUE"""),"S")</f>
        <v>S</v>
      </c>
      <c r="F694" s="110" t="str">
        <f ca="1">IFERROR(__xludf.DUMMYFUNCTION("""COMPUTED_VALUE"""),"S")</f>
        <v>S</v>
      </c>
      <c r="G694" s="110">
        <f ca="1">IFERROR(__xludf.DUMMYFUNCTION("""COMPUTED_VALUE"""),6)</f>
        <v>6</v>
      </c>
      <c r="H694" s="112" t="str">
        <f ca="1"/>
        <v>54.75</v>
      </c>
      <c r="I694" s="112">
        <f ca="1"/>
        <v>54.75</v>
      </c>
    </row>
    <row r="695" spans="1:9" ht="13.2">
      <c r="A695" s="109" t="str">
        <f ca="1">IFERROR(__xludf.DUMMYFUNCTION("""COMPUTED_VALUE"""),"FS")</f>
        <v>FS</v>
      </c>
      <c r="B695" s="108" t="str">
        <f ca="1">IFERROR(__xludf.DUMMYFUNCTION("""COMPUTED_VALUE"""),"Trey Telleen")</f>
        <v>Trey Telleen</v>
      </c>
      <c r="C695" s="109">
        <f ca="1">IFERROR(__xludf.DUMMYFUNCTION("""COMPUTED_VALUE"""),15)</f>
        <v>15</v>
      </c>
      <c r="D695" s="109" t="str">
        <f ca="1">IFERROR(__xludf.DUMMYFUNCTION("""COMPUTED_VALUE"""),"B")</f>
        <v>B</v>
      </c>
      <c r="E695" s="110" t="str">
        <f ca="1">IFERROR(__xludf.DUMMYFUNCTION("""COMPUTED_VALUE"""),"S")</f>
        <v>S</v>
      </c>
      <c r="F695" s="110" t="str">
        <f ca="1">IFERROR(__xludf.DUMMYFUNCTION("""COMPUTED_VALUE"""),"S")</f>
        <v>S</v>
      </c>
      <c r="G695" s="110">
        <f ca="1">IFERROR(__xludf.DUMMYFUNCTION("""COMPUTED_VALUE"""),6)</f>
        <v>6</v>
      </c>
      <c r="H695" s="112" t="str">
        <f ca="1"/>
        <v/>
      </c>
      <c r="I695" s="81" t="str">
        <f ca="1"/>
        <v/>
      </c>
    </row>
    <row r="696" spans="1:9" ht="13.2">
      <c r="A696" s="109" t="str">
        <f ca="1">IFERROR(__xludf.DUMMYFUNCTION("""COMPUTED_VALUE"""),"FS")</f>
        <v>FS</v>
      </c>
      <c r="B696" s="108" t="str">
        <f ca="1">IFERROR(__xludf.DUMMYFUNCTION("""COMPUTED_VALUE"""),"Elisabeth Rockefeller")</f>
        <v>Elisabeth Rockefeller</v>
      </c>
      <c r="C696" s="109">
        <f ca="1">IFERROR(__xludf.DUMMYFUNCTION("""COMPUTED_VALUE"""),15)</f>
        <v>15</v>
      </c>
      <c r="D696" s="109" t="str">
        <f ca="1">IFERROR(__xludf.DUMMYFUNCTION("""COMPUTED_VALUE"""),"G")</f>
        <v>G</v>
      </c>
      <c r="E696" s="110" t="str">
        <f ca="1">IFERROR(__xludf.DUMMYFUNCTION("""COMPUTED_VALUE"""),"S")</f>
        <v>S</v>
      </c>
      <c r="F696" s="110" t="str">
        <f ca="1">IFERROR(__xludf.DUMMYFUNCTION("""COMPUTED_VALUE"""),"S")</f>
        <v>S</v>
      </c>
      <c r="G696" s="110">
        <f ca="1">IFERROR(__xludf.DUMMYFUNCTION("""COMPUTED_VALUE"""),6)</f>
        <v>6</v>
      </c>
      <c r="H696" s="112" t="str">
        <f ca="1"/>
        <v/>
      </c>
      <c r="I696" s="112" t="str">
        <f ca="1"/>
        <v/>
      </c>
    </row>
    <row r="697" spans="1:9" ht="13.2">
      <c r="A697" s="109" t="str">
        <f ca="1">IFERROR(__xludf.DUMMYFUNCTION("""COMPUTED_VALUE"""),"FS")</f>
        <v>FS</v>
      </c>
      <c r="B697" s="108" t="str">
        <f ca="1">IFERROR(__xludf.DUMMYFUNCTION("""COMPUTED_VALUE"""),"Lucy Parente")</f>
        <v>Lucy Parente</v>
      </c>
      <c r="C697" s="109">
        <f ca="1">IFERROR(__xludf.DUMMYFUNCTION("""COMPUTED_VALUE"""),18)</f>
        <v>18</v>
      </c>
      <c r="D697" s="109" t="str">
        <f ca="1">IFERROR(__xludf.DUMMYFUNCTION("""COMPUTED_VALUE"""),"G")</f>
        <v>G</v>
      </c>
      <c r="E697" s="110" t="str">
        <f ca="1">IFERROR(__xludf.DUMMYFUNCTION("""COMPUTED_VALUE"""),"S")</f>
        <v>S</v>
      </c>
      <c r="F697" s="110" t="str">
        <f ca="1">IFERROR(__xludf.DUMMYFUNCTION("""COMPUTED_VALUE"""),"S")</f>
        <v>S</v>
      </c>
      <c r="G697" s="110">
        <f ca="1">IFERROR(__xludf.DUMMYFUNCTION("""COMPUTED_VALUE"""),6)</f>
        <v>6</v>
      </c>
      <c r="H697" s="112" t="str">
        <f ca="1"/>
        <v/>
      </c>
      <c r="I697" s="81" t="str">
        <f ca="1"/>
        <v/>
      </c>
    </row>
    <row r="698" spans="1:9" ht="13.2">
      <c r="A698" s="109" t="str">
        <f ca="1">IFERROR(__xludf.DUMMYFUNCTION("""COMPUTED_VALUE"""),"FS")</f>
        <v>FS</v>
      </c>
      <c r="B698" s="108" t="str">
        <f ca="1">IFERROR(__xludf.DUMMYFUNCTION("""COMPUTED_VALUE"""),"Sarina Meyer")</f>
        <v>Sarina Meyer</v>
      </c>
      <c r="C698" s="109">
        <f ca="1">IFERROR(__xludf.DUMMYFUNCTION("""COMPUTED_VALUE"""),15)</f>
        <v>15</v>
      </c>
      <c r="D698" s="109" t="str">
        <f ca="1">IFERROR(__xludf.DUMMYFUNCTION("""COMPUTED_VALUE"""),"G")</f>
        <v>G</v>
      </c>
      <c r="E698" s="110" t="str">
        <f ca="1">IFERROR(__xludf.DUMMYFUNCTION("""COMPUTED_VALUE"""),"S")</f>
        <v>S</v>
      </c>
      <c r="F698" s="110" t="str">
        <f ca="1">IFERROR(__xludf.DUMMYFUNCTION("""COMPUTED_VALUE"""),"S")</f>
        <v>S</v>
      </c>
      <c r="G698" s="110">
        <f ca="1">IFERROR(__xludf.DUMMYFUNCTION("""COMPUTED_VALUE"""),6)</f>
        <v>6</v>
      </c>
      <c r="H698" s="112" t="str">
        <f ca="1"/>
        <v/>
      </c>
      <c r="I698" s="81" t="str">
        <f ca="1"/>
        <v/>
      </c>
    </row>
    <row r="699" spans="1:9" ht="13.2">
      <c r="A699" s="109" t="str">
        <f ca="1">IFERROR(__xludf.DUMMYFUNCTION("""COMPUTED_VALUE"""),"G")</f>
        <v>G</v>
      </c>
      <c r="B699" s="108" t="str">
        <f ca="1">IFERROR(__xludf.DUMMYFUNCTION("""COMPUTED_VALUE"""),"Aiden Escobar")</f>
        <v>Aiden Escobar</v>
      </c>
      <c r="C699" s="109">
        <f ca="1">IFERROR(__xludf.DUMMYFUNCTION("""COMPUTED_VALUE"""),9)</f>
        <v>9</v>
      </c>
      <c r="D699" s="109" t="str">
        <f ca="1">IFERROR(__xludf.DUMMYFUNCTION("""COMPUTED_VALUE"""),"B")</f>
        <v>B</v>
      </c>
      <c r="E699" s="110" t="str">
        <f ca="1">IFERROR(__xludf.DUMMYFUNCTION("""COMPUTED_VALUE"""),"F")</f>
        <v>F</v>
      </c>
      <c r="F699" s="110" t="str">
        <f ca="1">IFERROR(__xludf.DUMMYFUNCTION("""COMPUTED_VALUE"""),"J")</f>
        <v>J</v>
      </c>
      <c r="G699" s="110">
        <f ca="1">IFERROR(__xludf.DUMMYFUNCTION("""COMPUTED_VALUE"""),6)</f>
        <v>6</v>
      </c>
      <c r="H699" s="112" t="str">
        <f ca="1"/>
        <v/>
      </c>
      <c r="I699" s="112" t="str">
        <f ca="1"/>
        <v/>
      </c>
    </row>
    <row r="700" spans="1:9" ht="13.2">
      <c r="A700" s="109" t="str">
        <f ca="1">IFERROR(__xludf.DUMMYFUNCTION("""COMPUTED_VALUE"""),"G")</f>
        <v>G</v>
      </c>
      <c r="B700" s="108" t="str">
        <f ca="1">IFERROR(__xludf.DUMMYFUNCTION("""COMPUTED_VALUE"""),"Ben Blaeuer")</f>
        <v>Ben Blaeuer</v>
      </c>
      <c r="C700" s="109">
        <f ca="1">IFERROR(__xludf.DUMMYFUNCTION("""COMPUTED_VALUE"""),9)</f>
        <v>9</v>
      </c>
      <c r="D700" s="109" t="str">
        <f ca="1">IFERROR(__xludf.DUMMYFUNCTION("""COMPUTED_VALUE"""),"B")</f>
        <v>B</v>
      </c>
      <c r="E700" s="110" t="str">
        <f ca="1">IFERROR(__xludf.DUMMYFUNCTION("""COMPUTED_VALUE"""),"F")</f>
        <v>F</v>
      </c>
      <c r="F700" s="110" t="str">
        <f ca="1">IFERROR(__xludf.DUMMYFUNCTION("""COMPUTED_VALUE"""),"J")</f>
        <v>J</v>
      </c>
      <c r="G700" s="110">
        <f ca="1">IFERROR(__xludf.DUMMYFUNCTION("""COMPUTED_VALUE"""),6)</f>
        <v>6</v>
      </c>
      <c r="H700" s="112" t="str">
        <f ca="1"/>
        <v/>
      </c>
      <c r="I700" s="112" t="str">
        <f ca="1"/>
        <v/>
      </c>
    </row>
    <row r="701" spans="1:9" ht="13.2">
      <c r="A701" s="109" t="str">
        <f ca="1">IFERROR(__xludf.DUMMYFUNCTION("""COMPUTED_VALUE"""),"G")</f>
        <v>G</v>
      </c>
      <c r="B701" s="108" t="str">
        <f ca="1">IFERROR(__xludf.DUMMYFUNCTION("""COMPUTED_VALUE"""),"Blake Allen")</f>
        <v>Blake Allen</v>
      </c>
      <c r="C701" s="109">
        <f ca="1">IFERROR(__xludf.DUMMYFUNCTION("""COMPUTED_VALUE"""),8)</f>
        <v>8</v>
      </c>
      <c r="D701" s="109" t="str">
        <f ca="1">IFERROR(__xludf.DUMMYFUNCTION("""COMPUTED_VALUE"""),"B")</f>
        <v>B</v>
      </c>
      <c r="E701" s="110" t="str">
        <f ca="1">IFERROR(__xludf.DUMMYFUNCTION("""COMPUTED_VALUE"""),"F")</f>
        <v>F</v>
      </c>
      <c r="F701" s="110" t="str">
        <f ca="1">IFERROR(__xludf.DUMMYFUNCTION("""COMPUTED_VALUE"""),"J")</f>
        <v>J</v>
      </c>
      <c r="G701" s="110">
        <f ca="1">IFERROR(__xludf.DUMMYFUNCTION("""COMPUTED_VALUE"""),6)</f>
        <v>6</v>
      </c>
      <c r="H701" s="112" t="str">
        <f ca="1"/>
        <v/>
      </c>
      <c r="I701" s="81" t="str">
        <f ca="1"/>
        <v/>
      </c>
    </row>
    <row r="702" spans="1:9" ht="13.2">
      <c r="A702" s="109" t="str">
        <f ca="1">IFERROR(__xludf.DUMMYFUNCTION("""COMPUTED_VALUE"""),"G")</f>
        <v>G</v>
      </c>
      <c r="B702" s="108" t="str">
        <f ca="1">IFERROR(__xludf.DUMMYFUNCTION("""COMPUTED_VALUE"""),"Cal Lawrence")</f>
        <v>Cal Lawrence</v>
      </c>
      <c r="C702" s="109">
        <f ca="1">IFERROR(__xludf.DUMMYFUNCTION("""COMPUTED_VALUE"""),7)</f>
        <v>7</v>
      </c>
      <c r="D702" s="109" t="str">
        <f ca="1">IFERROR(__xludf.DUMMYFUNCTION("""COMPUTED_VALUE"""),"B")</f>
        <v>B</v>
      </c>
      <c r="E702" s="110" t="str">
        <f ca="1">IFERROR(__xludf.DUMMYFUNCTION("""COMPUTED_VALUE"""),"F")</f>
        <v>F</v>
      </c>
      <c r="F702" s="110" t="str">
        <f ca="1">IFERROR(__xludf.DUMMYFUNCTION("""COMPUTED_VALUE"""),"J")</f>
        <v>J</v>
      </c>
      <c r="G702" s="110">
        <f ca="1">IFERROR(__xludf.DUMMYFUNCTION("""COMPUTED_VALUE"""),6)</f>
        <v>6</v>
      </c>
      <c r="H702" s="112" t="str">
        <f ca="1"/>
        <v>25.8</v>
      </c>
      <c r="I702" s="81">
        <f ca="1"/>
        <v>25.8</v>
      </c>
    </row>
    <row r="703" spans="1:9" ht="13.2">
      <c r="A703" s="109" t="str">
        <f ca="1">IFERROR(__xludf.DUMMYFUNCTION("""COMPUTED_VALUE"""),"G")</f>
        <v>G</v>
      </c>
      <c r="B703" s="108" t="str">
        <f ca="1">IFERROR(__xludf.DUMMYFUNCTION("""COMPUTED_VALUE"""),"Daniel Caceres")</f>
        <v>Daniel Caceres</v>
      </c>
      <c r="C703" s="109">
        <f ca="1">IFERROR(__xludf.DUMMYFUNCTION("""COMPUTED_VALUE"""),7)</f>
        <v>7</v>
      </c>
      <c r="D703" s="109" t="str">
        <f ca="1">IFERROR(__xludf.DUMMYFUNCTION("""COMPUTED_VALUE"""),"B")</f>
        <v>B</v>
      </c>
      <c r="E703" s="110" t="str">
        <f ca="1">IFERROR(__xludf.DUMMYFUNCTION("""COMPUTED_VALUE"""),"F")</f>
        <v>F</v>
      </c>
      <c r="F703" s="110" t="str">
        <f ca="1">IFERROR(__xludf.DUMMYFUNCTION("""COMPUTED_VALUE"""),"J")</f>
        <v>J</v>
      </c>
      <c r="G703" s="110">
        <f ca="1">IFERROR(__xludf.DUMMYFUNCTION("""COMPUTED_VALUE"""),6)</f>
        <v>6</v>
      </c>
      <c r="H703" s="112" t="str">
        <f ca="1"/>
        <v/>
      </c>
      <c r="I703" s="112" t="str">
        <f ca="1"/>
        <v/>
      </c>
    </row>
    <row r="704" spans="1:9" ht="13.2">
      <c r="A704" s="109" t="str">
        <f ca="1">IFERROR(__xludf.DUMMYFUNCTION("""COMPUTED_VALUE"""),"G")</f>
        <v>G</v>
      </c>
      <c r="B704" s="108" t="str">
        <f ca="1">IFERROR(__xludf.DUMMYFUNCTION("""COMPUTED_VALUE"""),"Foster Eig")</f>
        <v>Foster Eig</v>
      </c>
      <c r="C704" s="109">
        <f ca="1">IFERROR(__xludf.DUMMYFUNCTION("""COMPUTED_VALUE"""),8)</f>
        <v>8</v>
      </c>
      <c r="D704" s="109" t="str">
        <f ca="1">IFERROR(__xludf.DUMMYFUNCTION("""COMPUTED_VALUE"""),"B")</f>
        <v>B</v>
      </c>
      <c r="E704" s="110" t="str">
        <f ca="1">IFERROR(__xludf.DUMMYFUNCTION("""COMPUTED_VALUE"""),"F")</f>
        <v>F</v>
      </c>
      <c r="F704" s="110" t="str">
        <f ca="1">IFERROR(__xludf.DUMMYFUNCTION("""COMPUTED_VALUE"""),"J")</f>
        <v>J</v>
      </c>
      <c r="G704" s="110">
        <f ca="1">IFERROR(__xludf.DUMMYFUNCTION("""COMPUTED_VALUE"""),6)</f>
        <v>6</v>
      </c>
      <c r="H704" s="112" t="str">
        <f ca="1"/>
        <v>20.45</v>
      </c>
      <c r="I704" s="112">
        <f ca="1"/>
        <v>20.45</v>
      </c>
    </row>
    <row r="705" spans="1:9" ht="13.2">
      <c r="A705" s="109" t="str">
        <f ca="1">IFERROR(__xludf.DUMMYFUNCTION("""COMPUTED_VALUE"""),"G")</f>
        <v>G</v>
      </c>
      <c r="B705" s="108" t="str">
        <f ca="1">IFERROR(__xludf.DUMMYFUNCTION("""COMPUTED_VALUE"""),"Jack Henry")</f>
        <v>Jack Henry</v>
      </c>
      <c r="C705" s="109">
        <f ca="1">IFERROR(__xludf.DUMMYFUNCTION("""COMPUTED_VALUE"""),8)</f>
        <v>8</v>
      </c>
      <c r="D705" s="109" t="str">
        <f ca="1">IFERROR(__xludf.DUMMYFUNCTION("""COMPUTED_VALUE"""),"B")</f>
        <v>B</v>
      </c>
      <c r="E705" s="110" t="str">
        <f ca="1">IFERROR(__xludf.DUMMYFUNCTION("""COMPUTED_VALUE"""),"F")</f>
        <v>F</v>
      </c>
      <c r="F705" s="110" t="str">
        <f ca="1">IFERROR(__xludf.DUMMYFUNCTION("""COMPUTED_VALUE"""),"J")</f>
        <v>J</v>
      </c>
      <c r="G705" s="110">
        <f ca="1">IFERROR(__xludf.DUMMYFUNCTION("""COMPUTED_VALUE"""),6)</f>
        <v>6</v>
      </c>
      <c r="H705" s="112" t="str">
        <f ca="1"/>
        <v>34.65</v>
      </c>
      <c r="I705" s="112">
        <f ca="1"/>
        <v>34.65</v>
      </c>
    </row>
    <row r="706" spans="1:9" ht="13.2">
      <c r="A706" s="109" t="str">
        <f ca="1">IFERROR(__xludf.DUMMYFUNCTION("""COMPUTED_VALUE"""),"G")</f>
        <v>G</v>
      </c>
      <c r="B706" s="108" t="str">
        <f ca="1">IFERROR(__xludf.DUMMYFUNCTION("""COMPUTED_VALUE"""),"Joshua Nassar")</f>
        <v>Joshua Nassar</v>
      </c>
      <c r="C706" s="109">
        <f ca="1">IFERROR(__xludf.DUMMYFUNCTION("""COMPUTED_VALUE"""),7)</f>
        <v>7</v>
      </c>
      <c r="D706" s="109" t="str">
        <f ca="1">IFERROR(__xludf.DUMMYFUNCTION("""COMPUTED_VALUE"""),"B")</f>
        <v>B</v>
      </c>
      <c r="E706" s="110" t="str">
        <f ca="1">IFERROR(__xludf.DUMMYFUNCTION("""COMPUTED_VALUE"""),"F")</f>
        <v>F</v>
      </c>
      <c r="F706" s="110" t="str">
        <f ca="1">IFERROR(__xludf.DUMMYFUNCTION("""COMPUTED_VALUE"""),"J")</f>
        <v>J</v>
      </c>
      <c r="G706" s="110">
        <f ca="1">IFERROR(__xludf.DUMMYFUNCTION("""COMPUTED_VALUE"""),6)</f>
        <v>6</v>
      </c>
      <c r="H706" s="112" t="str">
        <f ca="1"/>
        <v/>
      </c>
      <c r="I706" s="112" t="str">
        <f ca="1"/>
        <v/>
      </c>
    </row>
    <row r="707" spans="1:9" ht="13.2">
      <c r="A707" s="109" t="str">
        <f ca="1">IFERROR(__xludf.DUMMYFUNCTION("""COMPUTED_VALUE"""),"G")</f>
        <v>G</v>
      </c>
      <c r="B707" s="108" t="str">
        <f ca="1">IFERROR(__xludf.DUMMYFUNCTION("""COMPUTED_VALUE"""),"Leo Ehteshami")</f>
        <v>Leo Ehteshami</v>
      </c>
      <c r="C707" s="109">
        <f ca="1">IFERROR(__xludf.DUMMYFUNCTION("""COMPUTED_VALUE"""),6)</f>
        <v>6</v>
      </c>
      <c r="D707" s="109" t="str">
        <f ca="1">IFERROR(__xludf.DUMMYFUNCTION("""COMPUTED_VALUE"""),"B")</f>
        <v>B</v>
      </c>
      <c r="E707" s="110" t="str">
        <f ca="1">IFERROR(__xludf.DUMMYFUNCTION("""COMPUTED_VALUE"""),"F")</f>
        <v>F</v>
      </c>
      <c r="F707" s="110" t="str">
        <f ca="1">IFERROR(__xludf.DUMMYFUNCTION("""COMPUTED_VALUE"""),"J")</f>
        <v>J</v>
      </c>
      <c r="G707" s="110">
        <f ca="1">IFERROR(__xludf.DUMMYFUNCTION("""COMPUTED_VALUE"""),6)</f>
        <v>6</v>
      </c>
      <c r="H707" s="112" t="str">
        <f ca="1"/>
        <v/>
      </c>
      <c r="I707" s="112" t="str">
        <f ca="1"/>
        <v/>
      </c>
    </row>
    <row r="708" spans="1:9" ht="13.2">
      <c r="A708" s="109" t="str">
        <f ca="1">IFERROR(__xludf.DUMMYFUNCTION("""COMPUTED_VALUE"""),"G")</f>
        <v>G</v>
      </c>
      <c r="B708" s="108" t="str">
        <f ca="1">IFERROR(__xludf.DUMMYFUNCTION("""COMPUTED_VALUE"""),"Mack Miller")</f>
        <v>Mack Miller</v>
      </c>
      <c r="C708" s="109">
        <f ca="1">IFERROR(__xludf.DUMMYFUNCTION("""COMPUTED_VALUE"""),10)</f>
        <v>10</v>
      </c>
      <c r="D708" s="109" t="str">
        <f ca="1">IFERROR(__xludf.DUMMYFUNCTION("""COMPUTED_VALUE"""),"B")</f>
        <v>B</v>
      </c>
      <c r="E708" s="110" t="str">
        <f ca="1">IFERROR(__xludf.DUMMYFUNCTION("""COMPUTED_VALUE"""),"F")</f>
        <v>F</v>
      </c>
      <c r="F708" s="110" t="str">
        <f ca="1">IFERROR(__xludf.DUMMYFUNCTION("""COMPUTED_VALUE"""),"J")</f>
        <v>J</v>
      </c>
      <c r="G708" s="110">
        <f ca="1">IFERROR(__xludf.DUMMYFUNCTION("""COMPUTED_VALUE"""),6)</f>
        <v>6</v>
      </c>
      <c r="H708" s="112" t="str">
        <f ca="1"/>
        <v/>
      </c>
      <c r="I708" s="81" t="str">
        <f ca="1"/>
        <v/>
      </c>
    </row>
    <row r="709" spans="1:9" ht="13.2">
      <c r="A709" s="109" t="str">
        <f ca="1">IFERROR(__xludf.DUMMYFUNCTION("""COMPUTED_VALUE"""),"G")</f>
        <v>G</v>
      </c>
      <c r="B709" s="108" t="str">
        <f ca="1">IFERROR(__xludf.DUMMYFUNCTION("""COMPUTED_VALUE"""),"Max Waterman")</f>
        <v>Max Waterman</v>
      </c>
      <c r="C709" s="109">
        <f ca="1">IFERROR(__xludf.DUMMYFUNCTION("""COMPUTED_VALUE"""),9)</f>
        <v>9</v>
      </c>
      <c r="D709" s="109" t="str">
        <f ca="1">IFERROR(__xludf.DUMMYFUNCTION("""COMPUTED_VALUE"""),"B")</f>
        <v>B</v>
      </c>
      <c r="E709" s="110" t="str">
        <f ca="1">IFERROR(__xludf.DUMMYFUNCTION("""COMPUTED_VALUE"""),"F")</f>
        <v>F</v>
      </c>
      <c r="F709" s="110" t="str">
        <f ca="1">IFERROR(__xludf.DUMMYFUNCTION("""COMPUTED_VALUE"""),"J")</f>
        <v>J</v>
      </c>
      <c r="G709" s="110">
        <f ca="1">IFERROR(__xludf.DUMMYFUNCTION("""COMPUTED_VALUE"""),6)</f>
        <v>6</v>
      </c>
      <c r="H709" s="112" t="str">
        <f ca="1"/>
        <v>35.45</v>
      </c>
      <c r="I709" s="112">
        <f ca="1"/>
        <v>35.450000000000003</v>
      </c>
    </row>
    <row r="710" spans="1:9" ht="13.2">
      <c r="A710" s="109" t="str">
        <f ca="1">IFERROR(__xludf.DUMMYFUNCTION("""COMPUTED_VALUE"""),"G")</f>
        <v>G</v>
      </c>
      <c r="B710" s="108" t="str">
        <f ca="1">IFERROR(__xludf.DUMMYFUNCTION("""COMPUTED_VALUE"""),"Nick Henry")</f>
        <v>Nick Henry</v>
      </c>
      <c r="C710" s="109">
        <f ca="1">IFERROR(__xludf.DUMMYFUNCTION("""COMPUTED_VALUE"""),6)</f>
        <v>6</v>
      </c>
      <c r="D710" s="109" t="str">
        <f ca="1">IFERROR(__xludf.DUMMYFUNCTION("""COMPUTED_VALUE"""),"B")</f>
        <v>B</v>
      </c>
      <c r="E710" s="110" t="str">
        <f ca="1">IFERROR(__xludf.DUMMYFUNCTION("""COMPUTED_VALUE"""),"F")</f>
        <v>F</v>
      </c>
      <c r="F710" s="110" t="str">
        <f ca="1">IFERROR(__xludf.DUMMYFUNCTION("""COMPUTED_VALUE"""),"J")</f>
        <v>J</v>
      </c>
      <c r="G710" s="110">
        <f ca="1">IFERROR(__xludf.DUMMYFUNCTION("""COMPUTED_VALUE"""),6)</f>
        <v>6</v>
      </c>
      <c r="H710" s="112" t="str">
        <f ca="1"/>
        <v>9.5</v>
      </c>
      <c r="I710" s="81">
        <f ca="1"/>
        <v>9.5</v>
      </c>
    </row>
    <row r="711" spans="1:9" ht="13.2">
      <c r="A711" s="109" t="str">
        <f ca="1">IFERROR(__xludf.DUMMYFUNCTION("""COMPUTED_VALUE"""),"G")</f>
        <v>G</v>
      </c>
      <c r="B711" s="108" t="str">
        <f ca="1">IFERROR(__xludf.DUMMYFUNCTION("""COMPUTED_VALUE"""),"Pike Conway")</f>
        <v>Pike Conway</v>
      </c>
      <c r="C711" s="109">
        <f ca="1">IFERROR(__xludf.DUMMYFUNCTION("""COMPUTED_VALUE"""),9)</f>
        <v>9</v>
      </c>
      <c r="D711" s="109" t="str">
        <f ca="1">IFERROR(__xludf.DUMMYFUNCTION("""COMPUTED_VALUE"""),"B")</f>
        <v>B</v>
      </c>
      <c r="E711" s="110" t="str">
        <f ca="1">IFERROR(__xludf.DUMMYFUNCTION("""COMPUTED_VALUE"""),"F")</f>
        <v>F</v>
      </c>
      <c r="F711" s="110" t="str">
        <f ca="1">IFERROR(__xludf.DUMMYFUNCTION("""COMPUTED_VALUE"""),"J")</f>
        <v>J</v>
      </c>
      <c r="G711" s="110">
        <f ca="1">IFERROR(__xludf.DUMMYFUNCTION("""COMPUTED_VALUE"""),6)</f>
        <v>6</v>
      </c>
      <c r="H711" s="112" t="str">
        <f ca="1"/>
        <v/>
      </c>
      <c r="I711" s="112" t="str">
        <f ca="1"/>
        <v/>
      </c>
    </row>
    <row r="712" spans="1:9" ht="13.2">
      <c r="A712" s="109" t="str">
        <f ca="1">IFERROR(__xludf.DUMMYFUNCTION("""COMPUTED_VALUE"""),"G")</f>
        <v>G</v>
      </c>
      <c r="B712" s="108" t="str">
        <f ca="1">IFERROR(__xludf.DUMMYFUNCTION("""COMPUTED_VALUE"""),"Will Sourwine")</f>
        <v>Will Sourwine</v>
      </c>
      <c r="C712" s="109">
        <f ca="1">IFERROR(__xludf.DUMMYFUNCTION("""COMPUTED_VALUE"""),7)</f>
        <v>7</v>
      </c>
      <c r="D712" s="109" t="str">
        <f ca="1">IFERROR(__xludf.DUMMYFUNCTION("""COMPUTED_VALUE"""),"B")</f>
        <v>B</v>
      </c>
      <c r="E712" s="110" t="str">
        <f ca="1">IFERROR(__xludf.DUMMYFUNCTION("""COMPUTED_VALUE"""),"F")</f>
        <v>F</v>
      </c>
      <c r="F712" s="110" t="str">
        <f ca="1">IFERROR(__xludf.DUMMYFUNCTION("""COMPUTED_VALUE"""),"J")</f>
        <v>J</v>
      </c>
      <c r="G712" s="110">
        <f ca="1">IFERROR(__xludf.DUMMYFUNCTION("""COMPUTED_VALUE"""),6)</f>
        <v>6</v>
      </c>
      <c r="H712" s="112" t="str">
        <f ca="1"/>
        <v/>
      </c>
      <c r="I712" s="81" t="str">
        <f ca="1"/>
        <v/>
      </c>
    </row>
    <row r="713" spans="1:9" ht="13.2">
      <c r="A713" s="109" t="str">
        <f ca="1">IFERROR(__xludf.DUMMYFUNCTION("""COMPUTED_VALUE"""),"G")</f>
        <v>G</v>
      </c>
      <c r="B713" s="108" t="str">
        <f ca="1">IFERROR(__xludf.DUMMYFUNCTION("""COMPUTED_VALUE"""),"Amelia Price")</f>
        <v>Amelia Price</v>
      </c>
      <c r="C713" s="109">
        <f ca="1">IFERROR(__xludf.DUMMYFUNCTION("""COMPUTED_VALUE"""),8)</f>
        <v>8</v>
      </c>
      <c r="D713" s="109" t="str">
        <f ca="1">IFERROR(__xludf.DUMMYFUNCTION("""COMPUTED_VALUE"""),"G")</f>
        <v>G</v>
      </c>
      <c r="E713" s="110" t="str">
        <f ca="1">IFERROR(__xludf.DUMMYFUNCTION("""COMPUTED_VALUE"""),"F")</f>
        <v>F</v>
      </c>
      <c r="F713" s="110" t="str">
        <f ca="1">IFERROR(__xludf.DUMMYFUNCTION("""COMPUTED_VALUE"""),"J")</f>
        <v>J</v>
      </c>
      <c r="G713" s="110">
        <f ca="1">IFERROR(__xludf.DUMMYFUNCTION("""COMPUTED_VALUE"""),6)</f>
        <v>6</v>
      </c>
      <c r="H713" s="112" t="str">
        <f ca="1"/>
        <v/>
      </c>
      <c r="I713" s="112" t="str">
        <f ca="1"/>
        <v/>
      </c>
    </row>
    <row r="714" spans="1:9" ht="13.2">
      <c r="A714" s="109" t="str">
        <f ca="1">IFERROR(__xludf.DUMMYFUNCTION("""COMPUTED_VALUE"""),"G")</f>
        <v>G</v>
      </c>
      <c r="B714" s="108" t="str">
        <f ca="1">IFERROR(__xludf.DUMMYFUNCTION("""COMPUTED_VALUE"""),"Anna Goodell")</f>
        <v>Anna Goodell</v>
      </c>
      <c r="C714" s="109">
        <f ca="1">IFERROR(__xludf.DUMMYFUNCTION("""COMPUTED_VALUE"""),8)</f>
        <v>8</v>
      </c>
      <c r="D714" s="109" t="str">
        <f ca="1">IFERROR(__xludf.DUMMYFUNCTION("""COMPUTED_VALUE"""),"G")</f>
        <v>G</v>
      </c>
      <c r="E714" s="110" t="str">
        <f ca="1">IFERROR(__xludf.DUMMYFUNCTION("""COMPUTED_VALUE"""),"F")</f>
        <v>F</v>
      </c>
      <c r="F714" s="110" t="str">
        <f ca="1">IFERROR(__xludf.DUMMYFUNCTION("""COMPUTED_VALUE"""),"J")</f>
        <v>J</v>
      </c>
      <c r="G714" s="110">
        <f ca="1">IFERROR(__xludf.DUMMYFUNCTION("""COMPUTED_VALUE"""),6)</f>
        <v>6</v>
      </c>
      <c r="H714" s="112" t="str">
        <f ca="1"/>
        <v/>
      </c>
      <c r="I714" s="81" t="str">
        <f ca="1"/>
        <v/>
      </c>
    </row>
    <row r="715" spans="1:9" ht="13.2">
      <c r="A715" s="109" t="str">
        <f ca="1">IFERROR(__xludf.DUMMYFUNCTION("""COMPUTED_VALUE"""),"G")</f>
        <v>G</v>
      </c>
      <c r="B715" s="108" t="str">
        <f ca="1">IFERROR(__xludf.DUMMYFUNCTION("""COMPUTED_VALUE"""),"Gabriella Roberts")</f>
        <v>Gabriella Roberts</v>
      </c>
      <c r="C715" s="109">
        <f ca="1">IFERROR(__xludf.DUMMYFUNCTION("""COMPUTED_VALUE"""),7)</f>
        <v>7</v>
      </c>
      <c r="D715" s="109" t="str">
        <f ca="1">IFERROR(__xludf.DUMMYFUNCTION("""COMPUTED_VALUE"""),"G")</f>
        <v>G</v>
      </c>
      <c r="E715" s="110" t="str">
        <f ca="1">IFERROR(__xludf.DUMMYFUNCTION("""COMPUTED_VALUE"""),"F")</f>
        <v>F</v>
      </c>
      <c r="F715" s="110" t="str">
        <f ca="1">IFERROR(__xludf.DUMMYFUNCTION("""COMPUTED_VALUE"""),"J")</f>
        <v>J</v>
      </c>
      <c r="G715" s="110">
        <f ca="1">IFERROR(__xludf.DUMMYFUNCTION("""COMPUTED_VALUE"""),6)</f>
        <v>6</v>
      </c>
      <c r="H715" s="112" t="str">
        <f ca="1"/>
        <v>34.45</v>
      </c>
      <c r="I715" s="81">
        <f ca="1"/>
        <v>34.450000000000003</v>
      </c>
    </row>
    <row r="716" spans="1:9" ht="13.2">
      <c r="A716" s="109" t="str">
        <f ca="1">IFERROR(__xludf.DUMMYFUNCTION("""COMPUTED_VALUE"""),"G")</f>
        <v>G</v>
      </c>
      <c r="B716" s="108" t="str">
        <f ca="1">IFERROR(__xludf.DUMMYFUNCTION("""COMPUTED_VALUE"""),"Hannah Snyder")</f>
        <v>Hannah Snyder</v>
      </c>
      <c r="C716" s="109">
        <f ca="1">IFERROR(__xludf.DUMMYFUNCTION("""COMPUTED_VALUE"""),9)</f>
        <v>9</v>
      </c>
      <c r="D716" s="109" t="str">
        <f ca="1">IFERROR(__xludf.DUMMYFUNCTION("""COMPUTED_VALUE"""),"G")</f>
        <v>G</v>
      </c>
      <c r="E716" s="110" t="str">
        <f ca="1">IFERROR(__xludf.DUMMYFUNCTION("""COMPUTED_VALUE"""),"F")</f>
        <v>F</v>
      </c>
      <c r="F716" s="110" t="str">
        <f ca="1">IFERROR(__xludf.DUMMYFUNCTION("""COMPUTED_VALUE"""),"J")</f>
        <v>J</v>
      </c>
      <c r="G716" s="110">
        <f ca="1">IFERROR(__xludf.DUMMYFUNCTION("""COMPUTED_VALUE"""),6)</f>
        <v>6</v>
      </c>
      <c r="H716" s="112" t="str">
        <f ca="1"/>
        <v>35.65</v>
      </c>
      <c r="I716" s="81">
        <f ca="1"/>
        <v>35.65</v>
      </c>
    </row>
    <row r="717" spans="1:9" ht="13.2">
      <c r="A717" s="109" t="str">
        <f ca="1">IFERROR(__xludf.DUMMYFUNCTION("""COMPUTED_VALUE"""),"G")</f>
        <v>G</v>
      </c>
      <c r="B717" s="108" t="str">
        <f ca="1">IFERROR(__xludf.DUMMYFUNCTION("""COMPUTED_VALUE"""),"Kayla Tarugsa")</f>
        <v>Kayla Tarugsa</v>
      </c>
      <c r="C717" s="109">
        <f ca="1">IFERROR(__xludf.DUMMYFUNCTION("""COMPUTED_VALUE"""),10)</f>
        <v>10</v>
      </c>
      <c r="D717" s="109" t="str">
        <f ca="1">IFERROR(__xludf.DUMMYFUNCTION("""COMPUTED_VALUE"""),"G")</f>
        <v>G</v>
      </c>
      <c r="E717" s="110" t="str">
        <f ca="1">IFERROR(__xludf.DUMMYFUNCTION("""COMPUTED_VALUE"""),"F")</f>
        <v>F</v>
      </c>
      <c r="F717" s="110" t="str">
        <f ca="1">IFERROR(__xludf.DUMMYFUNCTION("""COMPUTED_VALUE"""),"J")</f>
        <v>J</v>
      </c>
      <c r="G717" s="110">
        <f ca="1">IFERROR(__xludf.DUMMYFUNCTION("""COMPUTED_VALUE"""),6)</f>
        <v>6</v>
      </c>
      <c r="H717" s="112" t="str">
        <f ca="1"/>
        <v/>
      </c>
      <c r="I717" s="81" t="str">
        <f ca="1"/>
        <v/>
      </c>
    </row>
    <row r="718" spans="1:9" ht="13.2">
      <c r="A718" s="109" t="str">
        <f ca="1">IFERROR(__xludf.DUMMYFUNCTION("""COMPUTED_VALUE"""),"G")</f>
        <v>G</v>
      </c>
      <c r="B718" s="108" t="str">
        <f ca="1">IFERROR(__xludf.DUMMYFUNCTION("""COMPUTED_VALUE"""),"Leighton Raich")</f>
        <v>Leighton Raich</v>
      </c>
      <c r="C718" s="109">
        <f ca="1">IFERROR(__xludf.DUMMYFUNCTION("""COMPUTED_VALUE"""),9)</f>
        <v>9</v>
      </c>
      <c r="D718" s="109" t="str">
        <f ca="1">IFERROR(__xludf.DUMMYFUNCTION("""COMPUTED_VALUE"""),"G")</f>
        <v>G</v>
      </c>
      <c r="E718" s="110" t="str">
        <f ca="1">IFERROR(__xludf.DUMMYFUNCTION("""COMPUTED_VALUE"""),"F")</f>
        <v>F</v>
      </c>
      <c r="F718" s="110" t="str">
        <f ca="1">IFERROR(__xludf.DUMMYFUNCTION("""COMPUTED_VALUE"""),"J")</f>
        <v>J</v>
      </c>
      <c r="G718" s="110">
        <f ca="1">IFERROR(__xludf.DUMMYFUNCTION("""COMPUTED_VALUE"""),6)</f>
        <v>6</v>
      </c>
      <c r="H718" s="112" t="str">
        <f ca="1"/>
        <v/>
      </c>
      <c r="I718" s="81" t="str">
        <f ca="1"/>
        <v/>
      </c>
    </row>
    <row r="719" spans="1:9" ht="13.2">
      <c r="A719" s="109" t="str">
        <f ca="1">IFERROR(__xludf.DUMMYFUNCTION("""COMPUTED_VALUE"""),"G")</f>
        <v>G</v>
      </c>
      <c r="B719" s="108" t="str">
        <f ca="1">IFERROR(__xludf.DUMMYFUNCTION("""COMPUTED_VALUE"""),"Madelyn Nassar")</f>
        <v>Madelyn Nassar</v>
      </c>
      <c r="C719" s="109">
        <f ca="1">IFERROR(__xludf.DUMMYFUNCTION("""COMPUTED_VALUE"""),9)</f>
        <v>9</v>
      </c>
      <c r="D719" s="109" t="str">
        <f ca="1">IFERROR(__xludf.DUMMYFUNCTION("""COMPUTED_VALUE"""),"G")</f>
        <v>G</v>
      </c>
      <c r="E719" s="110" t="str">
        <f ca="1">IFERROR(__xludf.DUMMYFUNCTION("""COMPUTED_VALUE"""),"F")</f>
        <v>F</v>
      </c>
      <c r="F719" s="110" t="str">
        <f ca="1">IFERROR(__xludf.DUMMYFUNCTION("""COMPUTED_VALUE"""),"J")</f>
        <v>J</v>
      </c>
      <c r="G719" s="110">
        <f ca="1">IFERROR(__xludf.DUMMYFUNCTION("""COMPUTED_VALUE"""),6)</f>
        <v>6</v>
      </c>
      <c r="H719" s="112" t="str">
        <f ca="1"/>
        <v/>
      </c>
      <c r="I719" s="112" t="str">
        <f ca="1"/>
        <v/>
      </c>
    </row>
    <row r="720" spans="1:9" ht="13.2">
      <c r="A720" s="109" t="str">
        <f ca="1">IFERROR(__xludf.DUMMYFUNCTION("""COMPUTED_VALUE"""),"G")</f>
        <v>G</v>
      </c>
      <c r="B720" s="108" t="str">
        <f ca="1">IFERROR(__xludf.DUMMYFUNCTION("""COMPUTED_VALUE"""),"Michelle Pietress")</f>
        <v>Michelle Pietress</v>
      </c>
      <c r="C720" s="109">
        <f ca="1">IFERROR(__xludf.DUMMYFUNCTION("""COMPUTED_VALUE"""),7)</f>
        <v>7</v>
      </c>
      <c r="D720" s="109" t="str">
        <f ca="1">IFERROR(__xludf.DUMMYFUNCTION("""COMPUTED_VALUE"""),"G")</f>
        <v>G</v>
      </c>
      <c r="E720" s="110" t="str">
        <f ca="1">IFERROR(__xludf.DUMMYFUNCTION("""COMPUTED_VALUE"""),"F")</f>
        <v>F</v>
      </c>
      <c r="F720" s="110" t="str">
        <f ca="1">IFERROR(__xludf.DUMMYFUNCTION("""COMPUTED_VALUE"""),"J")</f>
        <v>J</v>
      </c>
      <c r="G720" s="110">
        <f ca="1">IFERROR(__xludf.DUMMYFUNCTION("""COMPUTED_VALUE"""),6)</f>
        <v>6</v>
      </c>
      <c r="H720" s="112" t="str">
        <f ca="1"/>
        <v>41.5</v>
      </c>
      <c r="I720" s="81">
        <f ca="1"/>
        <v>41.5</v>
      </c>
    </row>
    <row r="721" spans="1:9" ht="13.2">
      <c r="A721" s="109" t="str">
        <f ca="1">IFERROR(__xludf.DUMMYFUNCTION("""COMPUTED_VALUE"""),"G")</f>
        <v>G</v>
      </c>
      <c r="B721" s="108" t="str">
        <f ca="1">IFERROR(__xludf.DUMMYFUNCTION("""COMPUTED_VALUE"""),"Mila Brown")</f>
        <v>Mila Brown</v>
      </c>
      <c r="C721" s="109">
        <f ca="1">IFERROR(__xludf.DUMMYFUNCTION("""COMPUTED_VALUE"""),6)</f>
        <v>6</v>
      </c>
      <c r="D721" s="109" t="str">
        <f ca="1">IFERROR(__xludf.DUMMYFUNCTION("""COMPUTED_VALUE"""),"G")</f>
        <v>G</v>
      </c>
      <c r="E721" s="110" t="str">
        <f ca="1">IFERROR(__xludf.DUMMYFUNCTION("""COMPUTED_VALUE"""),"F")</f>
        <v>F</v>
      </c>
      <c r="F721" s="110" t="str">
        <f ca="1">IFERROR(__xludf.DUMMYFUNCTION("""COMPUTED_VALUE"""),"J")</f>
        <v>J</v>
      </c>
      <c r="G721" s="110">
        <f ca="1">IFERROR(__xludf.DUMMYFUNCTION("""COMPUTED_VALUE"""),6)</f>
        <v>6</v>
      </c>
      <c r="H721" s="112" t="str">
        <f ca="1"/>
        <v>41.6</v>
      </c>
      <c r="I721" s="112">
        <f ca="1"/>
        <v>41.6</v>
      </c>
    </row>
    <row r="722" spans="1:9" ht="13.2">
      <c r="A722" s="109" t="str">
        <f ca="1">IFERROR(__xludf.DUMMYFUNCTION("""COMPUTED_VALUE"""),"G")</f>
        <v>G</v>
      </c>
      <c r="B722" s="108" t="str">
        <f ca="1">IFERROR(__xludf.DUMMYFUNCTION("""COMPUTED_VALUE"""),"Olivia Pietress")</f>
        <v>Olivia Pietress</v>
      </c>
      <c r="C722" s="109">
        <f ca="1">IFERROR(__xludf.DUMMYFUNCTION("""COMPUTED_VALUE"""),10)</f>
        <v>10</v>
      </c>
      <c r="D722" s="109" t="str">
        <f ca="1">IFERROR(__xludf.DUMMYFUNCTION("""COMPUTED_VALUE"""),"G")</f>
        <v>G</v>
      </c>
      <c r="E722" s="110" t="str">
        <f ca="1">IFERROR(__xludf.DUMMYFUNCTION("""COMPUTED_VALUE"""),"F")</f>
        <v>F</v>
      </c>
      <c r="F722" s="110" t="str">
        <f ca="1">IFERROR(__xludf.DUMMYFUNCTION("""COMPUTED_VALUE"""),"J")</f>
        <v>J</v>
      </c>
      <c r="G722" s="110">
        <f ca="1">IFERROR(__xludf.DUMMYFUNCTION("""COMPUTED_VALUE"""),6)</f>
        <v>6</v>
      </c>
      <c r="H722" s="112" t="str">
        <f ca="1"/>
        <v/>
      </c>
      <c r="I722" s="112" t="str">
        <f ca="1"/>
        <v/>
      </c>
    </row>
    <row r="723" spans="1:9" ht="13.2">
      <c r="A723" s="109" t="str">
        <f ca="1">IFERROR(__xludf.DUMMYFUNCTION("""COMPUTED_VALUE"""),"G")</f>
        <v>G</v>
      </c>
      <c r="B723" s="108" t="str">
        <f ca="1">IFERROR(__xludf.DUMMYFUNCTION("""COMPUTED_VALUE"""),"Quinn Leonard")</f>
        <v>Quinn Leonard</v>
      </c>
      <c r="C723" s="109">
        <f ca="1">IFERROR(__xludf.DUMMYFUNCTION("""COMPUTED_VALUE"""),7)</f>
        <v>7</v>
      </c>
      <c r="D723" s="109" t="str">
        <f ca="1">IFERROR(__xludf.DUMMYFUNCTION("""COMPUTED_VALUE"""),"G")</f>
        <v>G</v>
      </c>
      <c r="E723" s="110" t="str">
        <f ca="1">IFERROR(__xludf.DUMMYFUNCTION("""COMPUTED_VALUE"""),"F")</f>
        <v>F</v>
      </c>
      <c r="F723" s="110" t="str">
        <f ca="1">IFERROR(__xludf.DUMMYFUNCTION("""COMPUTED_VALUE"""),"J")</f>
        <v>J</v>
      </c>
      <c r="G723" s="110">
        <f ca="1">IFERROR(__xludf.DUMMYFUNCTION("""COMPUTED_VALUE"""),6)</f>
        <v>6</v>
      </c>
      <c r="H723" s="112" t="str">
        <f ca="1"/>
        <v/>
      </c>
      <c r="I723" s="112" t="str">
        <f ca="1"/>
        <v/>
      </c>
    </row>
    <row r="724" spans="1:9" ht="13.2">
      <c r="A724" s="109" t="str">
        <f ca="1">IFERROR(__xludf.DUMMYFUNCTION("""COMPUTED_VALUE"""),"G")</f>
        <v>G</v>
      </c>
      <c r="B724" s="108" t="str">
        <f ca="1">IFERROR(__xludf.DUMMYFUNCTION("""COMPUTED_VALUE"""),"Riley Waterman")</f>
        <v>Riley Waterman</v>
      </c>
      <c r="C724" s="109">
        <f ca="1">IFERROR(__xludf.DUMMYFUNCTION("""COMPUTED_VALUE"""),7)</f>
        <v>7</v>
      </c>
      <c r="D724" s="109" t="str">
        <f ca="1">IFERROR(__xludf.DUMMYFUNCTION("""COMPUTED_VALUE"""),"G")</f>
        <v>G</v>
      </c>
      <c r="E724" s="110" t="str">
        <f ca="1">IFERROR(__xludf.DUMMYFUNCTION("""COMPUTED_VALUE"""),"F")</f>
        <v>F</v>
      </c>
      <c r="F724" s="110" t="str">
        <f ca="1">IFERROR(__xludf.DUMMYFUNCTION("""COMPUTED_VALUE"""),"J")</f>
        <v>J</v>
      </c>
      <c r="G724" s="110">
        <f ca="1">IFERROR(__xludf.DUMMYFUNCTION("""COMPUTED_VALUE"""),6)</f>
        <v>6</v>
      </c>
      <c r="H724" s="112" t="str">
        <f ca="1"/>
        <v>31.25</v>
      </c>
      <c r="I724" s="112">
        <f ca="1"/>
        <v>31.25</v>
      </c>
    </row>
    <row r="725" spans="1:9" ht="13.2">
      <c r="A725" s="109" t="str">
        <f ca="1">IFERROR(__xludf.DUMMYFUNCTION("""COMPUTED_VALUE"""),"G")</f>
        <v>G</v>
      </c>
      <c r="B725" s="108" t="str">
        <f ca="1">IFERROR(__xludf.DUMMYFUNCTION("""COMPUTED_VALUE"""),"Simone Feil")</f>
        <v>Simone Feil</v>
      </c>
      <c r="C725" s="109">
        <f ca="1">IFERROR(__xludf.DUMMYFUNCTION("""COMPUTED_VALUE"""),10)</f>
        <v>10</v>
      </c>
      <c r="D725" s="109" t="str">
        <f ca="1">IFERROR(__xludf.DUMMYFUNCTION("""COMPUTED_VALUE"""),"G")</f>
        <v>G</v>
      </c>
      <c r="E725" s="110" t="str">
        <f ca="1">IFERROR(__xludf.DUMMYFUNCTION("""COMPUTED_VALUE"""),"F")</f>
        <v>F</v>
      </c>
      <c r="F725" s="110" t="str">
        <f ca="1">IFERROR(__xludf.DUMMYFUNCTION("""COMPUTED_VALUE"""),"J")</f>
        <v>J</v>
      </c>
      <c r="G725" s="110">
        <f ca="1">IFERROR(__xludf.DUMMYFUNCTION("""COMPUTED_VALUE"""),6)</f>
        <v>6</v>
      </c>
      <c r="H725" s="112" t="str">
        <f ca="1"/>
        <v/>
      </c>
      <c r="I725" s="112" t="str">
        <f ca="1"/>
        <v/>
      </c>
    </row>
    <row r="726" spans="1:9" ht="13.2">
      <c r="A726" s="109" t="str">
        <f ca="1">IFERROR(__xludf.DUMMYFUNCTION("""COMPUTED_VALUE"""),"G")</f>
        <v>G</v>
      </c>
      <c r="B726" s="108" t="str">
        <f ca="1">IFERROR(__xludf.DUMMYFUNCTION("""COMPUTED_VALUE"""),"Zanna Brown")</f>
        <v>Zanna Brown</v>
      </c>
      <c r="C726" s="109">
        <f ca="1">IFERROR(__xludf.DUMMYFUNCTION("""COMPUTED_VALUE"""),8)</f>
        <v>8</v>
      </c>
      <c r="D726" s="109" t="str">
        <f ca="1">IFERROR(__xludf.DUMMYFUNCTION("""COMPUTED_VALUE"""),"G")</f>
        <v>G</v>
      </c>
      <c r="E726" s="110" t="str">
        <f ca="1">IFERROR(__xludf.DUMMYFUNCTION("""COMPUTED_VALUE"""),"F")</f>
        <v>F</v>
      </c>
      <c r="F726" s="110" t="str">
        <f ca="1">IFERROR(__xludf.DUMMYFUNCTION("""COMPUTED_VALUE"""),"J")</f>
        <v>J</v>
      </c>
      <c r="G726" s="110">
        <f ca="1">IFERROR(__xludf.DUMMYFUNCTION("""COMPUTED_VALUE"""),6)</f>
        <v>6</v>
      </c>
      <c r="H726" s="112" t="str">
        <f ca="1"/>
        <v>48.2</v>
      </c>
      <c r="I726" s="112">
        <f ca="1"/>
        <v>48.2</v>
      </c>
    </row>
    <row r="727" spans="1:9" ht="13.2">
      <c r="A727" s="109" t="str">
        <f ca="1">IFERROR(__xludf.DUMMYFUNCTION("""COMPUTED_VALUE"""),"G")</f>
        <v>G</v>
      </c>
      <c r="B727" s="108" t="str">
        <f ca="1">IFERROR(__xludf.DUMMYFUNCTION("""COMPUTED_VALUE"""),"Corban Lawrence")</f>
        <v>Corban Lawrence</v>
      </c>
      <c r="C727" s="109">
        <f ca="1">IFERROR(__xludf.DUMMYFUNCTION("""COMPUTED_VALUE"""),13)</f>
        <v>13</v>
      </c>
      <c r="D727" s="109" t="str">
        <f ca="1">IFERROR(__xludf.DUMMYFUNCTION("""COMPUTED_VALUE"""),"B")</f>
        <v>B</v>
      </c>
      <c r="E727" s="110" t="str">
        <f ca="1">IFERROR(__xludf.DUMMYFUNCTION("""COMPUTED_VALUE"""),"I")</f>
        <v>I</v>
      </c>
      <c r="F727" s="110" t="str">
        <f ca="1">IFERROR(__xludf.DUMMYFUNCTION("""COMPUTED_VALUE"""),"S")</f>
        <v>S</v>
      </c>
      <c r="G727" s="110">
        <f ca="1">IFERROR(__xludf.DUMMYFUNCTION("""COMPUTED_VALUE"""),6)</f>
        <v>6</v>
      </c>
      <c r="H727" s="112" t="str">
        <f ca="1"/>
        <v/>
      </c>
      <c r="I727" s="112" t="str">
        <f ca="1"/>
        <v/>
      </c>
    </row>
    <row r="728" spans="1:9" ht="13.2">
      <c r="A728" s="109" t="str">
        <f ca="1">IFERROR(__xludf.DUMMYFUNCTION("""COMPUTED_VALUE"""),"G")</f>
        <v>G</v>
      </c>
      <c r="B728" s="108" t="str">
        <f ca="1">IFERROR(__xludf.DUMMYFUNCTION("""COMPUTED_VALUE"""),"Hunter Colandria")</f>
        <v>Hunter Colandria</v>
      </c>
      <c r="C728" s="109">
        <f ca="1">IFERROR(__xludf.DUMMYFUNCTION("""COMPUTED_VALUE"""),13)</f>
        <v>13</v>
      </c>
      <c r="D728" s="109" t="str">
        <f ca="1">IFERROR(__xludf.DUMMYFUNCTION("""COMPUTED_VALUE"""),"B")</f>
        <v>B</v>
      </c>
      <c r="E728" s="110" t="str">
        <f ca="1">IFERROR(__xludf.DUMMYFUNCTION("""COMPUTED_VALUE"""),"I")</f>
        <v>I</v>
      </c>
      <c r="F728" s="110" t="str">
        <f ca="1">IFERROR(__xludf.DUMMYFUNCTION("""COMPUTED_VALUE"""),"S")</f>
        <v>S</v>
      </c>
      <c r="G728" s="110">
        <f ca="1">IFERROR(__xludf.DUMMYFUNCTION("""COMPUTED_VALUE"""),6)</f>
        <v>6</v>
      </c>
      <c r="H728" s="112" t="str">
        <f ca="1"/>
        <v/>
      </c>
      <c r="I728" s="112" t="str">
        <f ca="1"/>
        <v/>
      </c>
    </row>
    <row r="729" spans="1:9" ht="13.2">
      <c r="A729" s="109" t="str">
        <f ca="1">IFERROR(__xludf.DUMMYFUNCTION("""COMPUTED_VALUE"""),"G")</f>
        <v>G</v>
      </c>
      <c r="B729" s="108" t="str">
        <f ca="1">IFERROR(__xludf.DUMMYFUNCTION("""COMPUTED_VALUE"""),"Luke Jones")</f>
        <v>Luke Jones</v>
      </c>
      <c r="C729" s="109">
        <f ca="1">IFERROR(__xludf.DUMMYFUNCTION("""COMPUTED_VALUE"""),13)</f>
        <v>13</v>
      </c>
      <c r="D729" s="109" t="str">
        <f ca="1">IFERROR(__xludf.DUMMYFUNCTION("""COMPUTED_VALUE"""),"B")</f>
        <v>B</v>
      </c>
      <c r="E729" s="110" t="str">
        <f ca="1">IFERROR(__xludf.DUMMYFUNCTION("""COMPUTED_VALUE"""),"I")</f>
        <v>I</v>
      </c>
      <c r="F729" s="110" t="str">
        <f ca="1">IFERROR(__xludf.DUMMYFUNCTION("""COMPUTED_VALUE"""),"S")</f>
        <v>S</v>
      </c>
      <c r="G729" s="110">
        <f ca="1">IFERROR(__xludf.DUMMYFUNCTION("""COMPUTED_VALUE"""),6)</f>
        <v>6</v>
      </c>
      <c r="H729" s="112" t="str">
        <f ca="1"/>
        <v/>
      </c>
      <c r="I729" s="81" t="str">
        <f ca="1"/>
        <v/>
      </c>
    </row>
    <row r="730" spans="1:9" ht="13.2">
      <c r="A730" s="109" t="str">
        <f ca="1">IFERROR(__xludf.DUMMYFUNCTION("""COMPUTED_VALUE"""),"G")</f>
        <v>G</v>
      </c>
      <c r="B730" s="108" t="str">
        <f ca="1">IFERROR(__xludf.DUMMYFUNCTION("""COMPUTED_VALUE"""),"Mason Waterfield")</f>
        <v>Mason Waterfield</v>
      </c>
      <c r="C730" s="109">
        <f ca="1">IFERROR(__xludf.DUMMYFUNCTION("""COMPUTED_VALUE"""),13)</f>
        <v>13</v>
      </c>
      <c r="D730" s="109" t="str">
        <f ca="1">IFERROR(__xludf.DUMMYFUNCTION("""COMPUTED_VALUE"""),"B")</f>
        <v>B</v>
      </c>
      <c r="E730" s="110" t="str">
        <f ca="1">IFERROR(__xludf.DUMMYFUNCTION("""COMPUTED_VALUE"""),"I")</f>
        <v>I</v>
      </c>
      <c r="F730" s="110" t="str">
        <f ca="1">IFERROR(__xludf.DUMMYFUNCTION("""COMPUTED_VALUE"""),"S")</f>
        <v>S</v>
      </c>
      <c r="G730" s="110">
        <f ca="1">IFERROR(__xludf.DUMMYFUNCTION("""COMPUTED_VALUE"""),6)</f>
        <v>6</v>
      </c>
      <c r="H730" s="112" t="str">
        <f ca="1"/>
        <v/>
      </c>
      <c r="I730" s="112" t="str">
        <f ca="1"/>
        <v/>
      </c>
    </row>
    <row r="731" spans="1:9" ht="13.2">
      <c r="A731" s="109" t="str">
        <f ca="1">IFERROR(__xludf.DUMMYFUNCTION("""COMPUTED_VALUE"""),"G")</f>
        <v>G</v>
      </c>
      <c r="B731" s="108" t="str">
        <f ca="1">IFERROR(__xludf.DUMMYFUNCTION("""COMPUTED_VALUE"""),"Michael Bray")</f>
        <v>Michael Bray</v>
      </c>
      <c r="C731" s="109">
        <f ca="1">IFERROR(__xludf.DUMMYFUNCTION("""COMPUTED_VALUE"""),14)</f>
        <v>14</v>
      </c>
      <c r="D731" s="109" t="str">
        <f ca="1">IFERROR(__xludf.DUMMYFUNCTION("""COMPUTED_VALUE"""),"B")</f>
        <v>B</v>
      </c>
      <c r="E731" s="110" t="str">
        <f ca="1">IFERROR(__xludf.DUMMYFUNCTION("""COMPUTED_VALUE"""),"I")</f>
        <v>I</v>
      </c>
      <c r="F731" s="110" t="str">
        <f ca="1">IFERROR(__xludf.DUMMYFUNCTION("""COMPUTED_VALUE"""),"S")</f>
        <v>S</v>
      </c>
      <c r="G731" s="110">
        <f ca="1">IFERROR(__xludf.DUMMYFUNCTION("""COMPUTED_VALUE"""),6)</f>
        <v>6</v>
      </c>
      <c r="H731" s="112" t="str">
        <f ca="1"/>
        <v/>
      </c>
      <c r="I731" s="112" t="str">
        <f ca="1"/>
        <v/>
      </c>
    </row>
    <row r="732" spans="1:9" ht="13.2">
      <c r="A732" s="109" t="str">
        <f ca="1">IFERROR(__xludf.DUMMYFUNCTION("""COMPUTED_VALUE"""),"G")</f>
        <v>G</v>
      </c>
      <c r="B732" s="108" t="str">
        <f ca="1">IFERROR(__xludf.DUMMYFUNCTION("""COMPUTED_VALUE"""),"Paxton Martinez")</f>
        <v>Paxton Martinez</v>
      </c>
      <c r="C732" s="109">
        <f ca="1">IFERROR(__xludf.DUMMYFUNCTION("""COMPUTED_VALUE"""),14)</f>
        <v>14</v>
      </c>
      <c r="D732" s="109" t="str">
        <f ca="1">IFERROR(__xludf.DUMMYFUNCTION("""COMPUTED_VALUE"""),"B")</f>
        <v>B</v>
      </c>
      <c r="E732" s="110" t="str">
        <f ca="1">IFERROR(__xludf.DUMMYFUNCTION("""COMPUTED_VALUE"""),"I")</f>
        <v>I</v>
      </c>
      <c r="F732" s="110" t="str">
        <f ca="1">IFERROR(__xludf.DUMMYFUNCTION("""COMPUTED_VALUE"""),"S")</f>
        <v>S</v>
      </c>
      <c r="G732" s="110">
        <f ca="1">IFERROR(__xludf.DUMMYFUNCTION("""COMPUTED_VALUE"""),6)</f>
        <v>6</v>
      </c>
      <c r="H732" s="112" t="str">
        <f ca="1"/>
        <v/>
      </c>
      <c r="I732" s="81" t="str">
        <f ca="1"/>
        <v/>
      </c>
    </row>
    <row r="733" spans="1:9" ht="13.2">
      <c r="A733" s="109" t="str">
        <f ca="1">IFERROR(__xludf.DUMMYFUNCTION("""COMPUTED_VALUE"""),"G")</f>
        <v>G</v>
      </c>
      <c r="B733" s="108" t="str">
        <f ca="1">IFERROR(__xludf.DUMMYFUNCTION("""COMPUTED_VALUE"""),"Ash Quick")</f>
        <v>Ash Quick</v>
      </c>
      <c r="C733" s="109">
        <f ca="1">IFERROR(__xludf.DUMMYFUNCTION("""COMPUTED_VALUE"""),14)</f>
        <v>14</v>
      </c>
      <c r="D733" s="109" t="str">
        <f ca="1">IFERROR(__xludf.DUMMYFUNCTION("""COMPUTED_VALUE"""),"G")</f>
        <v>G</v>
      </c>
      <c r="E733" s="110" t="str">
        <f ca="1">IFERROR(__xludf.DUMMYFUNCTION("""COMPUTED_VALUE"""),"I")</f>
        <v>I</v>
      </c>
      <c r="F733" s="110" t="str">
        <f ca="1">IFERROR(__xludf.DUMMYFUNCTION("""COMPUTED_VALUE"""),"S")</f>
        <v>S</v>
      </c>
      <c r="G733" s="110">
        <f ca="1">IFERROR(__xludf.DUMMYFUNCTION("""COMPUTED_VALUE"""),6)</f>
        <v>6</v>
      </c>
      <c r="H733" s="112" t="str">
        <f ca="1"/>
        <v>47.4</v>
      </c>
      <c r="I733" s="81">
        <f ca="1"/>
        <v>47.4</v>
      </c>
    </row>
    <row r="734" spans="1:9" ht="13.2">
      <c r="A734" s="109" t="str">
        <f ca="1">IFERROR(__xludf.DUMMYFUNCTION("""COMPUTED_VALUE"""),"G")</f>
        <v>G</v>
      </c>
      <c r="B734" s="108" t="str">
        <f ca="1">IFERROR(__xludf.DUMMYFUNCTION("""COMPUTED_VALUE"""),"Avery Lawrence")</f>
        <v>Avery Lawrence</v>
      </c>
      <c r="C734" s="109">
        <f ca="1">IFERROR(__xludf.DUMMYFUNCTION("""COMPUTED_VALUE"""),14)</f>
        <v>14</v>
      </c>
      <c r="D734" s="109" t="str">
        <f ca="1">IFERROR(__xludf.DUMMYFUNCTION("""COMPUTED_VALUE"""),"G")</f>
        <v>G</v>
      </c>
      <c r="E734" s="110" t="str">
        <f ca="1">IFERROR(__xludf.DUMMYFUNCTION("""COMPUTED_VALUE"""),"I")</f>
        <v>I</v>
      </c>
      <c r="F734" s="110" t="str">
        <f ca="1">IFERROR(__xludf.DUMMYFUNCTION("""COMPUTED_VALUE"""),"S")</f>
        <v>S</v>
      </c>
      <c r="G734" s="110">
        <f ca="1">IFERROR(__xludf.DUMMYFUNCTION("""COMPUTED_VALUE"""),6)</f>
        <v>6</v>
      </c>
      <c r="H734" s="112" t="str">
        <f ca="1"/>
        <v>61.25</v>
      </c>
      <c r="I734" s="112">
        <f ca="1"/>
        <v>61.25</v>
      </c>
    </row>
    <row r="735" spans="1:9" ht="13.2">
      <c r="A735" s="109" t="str">
        <f ca="1">IFERROR(__xludf.DUMMYFUNCTION("""COMPUTED_VALUE"""),"G")</f>
        <v>G</v>
      </c>
      <c r="B735" s="108" t="str">
        <f ca="1">IFERROR(__xludf.DUMMYFUNCTION("""COMPUTED_VALUE"""),"Evie Kehoe")</f>
        <v>Evie Kehoe</v>
      </c>
      <c r="C735" s="109">
        <f ca="1">IFERROR(__xludf.DUMMYFUNCTION("""COMPUTED_VALUE"""),13)</f>
        <v>13</v>
      </c>
      <c r="D735" s="109" t="str">
        <f ca="1">IFERROR(__xludf.DUMMYFUNCTION("""COMPUTED_VALUE"""),"G")</f>
        <v>G</v>
      </c>
      <c r="E735" s="110" t="str">
        <f ca="1">IFERROR(__xludf.DUMMYFUNCTION("""COMPUTED_VALUE"""),"I")</f>
        <v>I</v>
      </c>
      <c r="F735" s="110" t="str">
        <f ca="1">IFERROR(__xludf.DUMMYFUNCTION("""COMPUTED_VALUE"""),"S")</f>
        <v>S</v>
      </c>
      <c r="G735" s="110">
        <f ca="1">IFERROR(__xludf.DUMMYFUNCTION("""COMPUTED_VALUE"""),6)</f>
        <v>6</v>
      </c>
      <c r="H735" s="112" t="str">
        <f ca="1"/>
        <v/>
      </c>
      <c r="I735" s="112" t="str">
        <f ca="1"/>
        <v/>
      </c>
    </row>
    <row r="736" spans="1:9" ht="13.2">
      <c r="A736" s="109" t="str">
        <f ca="1">IFERROR(__xludf.DUMMYFUNCTION("""COMPUTED_VALUE"""),"G")</f>
        <v>G</v>
      </c>
      <c r="B736" s="108" t="str">
        <f ca="1">IFERROR(__xludf.DUMMYFUNCTION("""COMPUTED_VALUE"""),"Evie Miller")</f>
        <v>Evie Miller</v>
      </c>
      <c r="C736" s="109">
        <f ca="1">IFERROR(__xludf.DUMMYFUNCTION("""COMPUTED_VALUE"""),14)</f>
        <v>14</v>
      </c>
      <c r="D736" s="109" t="str">
        <f ca="1">IFERROR(__xludf.DUMMYFUNCTION("""COMPUTED_VALUE"""),"G")</f>
        <v>G</v>
      </c>
      <c r="E736" s="110" t="str">
        <f ca="1">IFERROR(__xludf.DUMMYFUNCTION("""COMPUTED_VALUE"""),"I")</f>
        <v>I</v>
      </c>
      <c r="F736" s="110" t="str">
        <f ca="1">IFERROR(__xludf.DUMMYFUNCTION("""COMPUTED_VALUE"""),"S")</f>
        <v>S</v>
      </c>
      <c r="G736" s="110">
        <f ca="1">IFERROR(__xludf.DUMMYFUNCTION("""COMPUTED_VALUE"""),6)</f>
        <v>6</v>
      </c>
      <c r="H736" s="112" t="str">
        <f ca="1"/>
        <v/>
      </c>
      <c r="I736" s="81" t="str">
        <f ca="1"/>
        <v/>
      </c>
    </row>
    <row r="737" spans="1:9" ht="13.2">
      <c r="A737" s="109" t="str">
        <f ca="1">IFERROR(__xludf.DUMMYFUNCTION("""COMPUTED_VALUE"""),"G")</f>
        <v>G</v>
      </c>
      <c r="B737" s="108" t="str">
        <f ca="1">IFERROR(__xludf.DUMMYFUNCTION("""COMPUTED_VALUE"""),"Hazel Flynn")</f>
        <v>Hazel Flynn</v>
      </c>
      <c r="C737" s="109">
        <f ca="1">IFERROR(__xludf.DUMMYFUNCTION("""COMPUTED_VALUE"""),14)</f>
        <v>14</v>
      </c>
      <c r="D737" s="109" t="str">
        <f ca="1">IFERROR(__xludf.DUMMYFUNCTION("""COMPUTED_VALUE"""),"G")</f>
        <v>G</v>
      </c>
      <c r="E737" s="110" t="str">
        <f ca="1">IFERROR(__xludf.DUMMYFUNCTION("""COMPUTED_VALUE"""),"I")</f>
        <v>I</v>
      </c>
      <c r="F737" s="110" t="str">
        <f ca="1">IFERROR(__xludf.DUMMYFUNCTION("""COMPUTED_VALUE"""),"S")</f>
        <v>S</v>
      </c>
      <c r="G737" s="110">
        <f ca="1">IFERROR(__xludf.DUMMYFUNCTION("""COMPUTED_VALUE"""),6)</f>
        <v>6</v>
      </c>
      <c r="H737" s="112" t="str">
        <f ca="1"/>
        <v/>
      </c>
      <c r="I737" s="81" t="str">
        <f ca="1"/>
        <v/>
      </c>
    </row>
    <row r="738" spans="1:9" ht="13.2">
      <c r="A738" s="109" t="str">
        <f ca="1">IFERROR(__xludf.DUMMYFUNCTION("""COMPUTED_VALUE"""),"G")</f>
        <v>G</v>
      </c>
      <c r="B738" s="108" t="str">
        <f ca="1">IFERROR(__xludf.DUMMYFUNCTION("""COMPUTED_VALUE"""),"Kendall Arnz")</f>
        <v>Kendall Arnz</v>
      </c>
      <c r="C738" s="109">
        <f ca="1">IFERROR(__xludf.DUMMYFUNCTION("""COMPUTED_VALUE"""),13)</f>
        <v>13</v>
      </c>
      <c r="D738" s="109" t="str">
        <f ca="1">IFERROR(__xludf.DUMMYFUNCTION("""COMPUTED_VALUE"""),"G")</f>
        <v>G</v>
      </c>
      <c r="E738" s="110" t="str">
        <f ca="1">IFERROR(__xludf.DUMMYFUNCTION("""COMPUTED_VALUE"""),"I")</f>
        <v>I</v>
      </c>
      <c r="F738" s="110" t="str">
        <f ca="1">IFERROR(__xludf.DUMMYFUNCTION("""COMPUTED_VALUE"""),"S")</f>
        <v>S</v>
      </c>
      <c r="G738" s="110">
        <f ca="1">IFERROR(__xludf.DUMMYFUNCTION("""COMPUTED_VALUE"""),6)</f>
        <v>6</v>
      </c>
      <c r="H738" s="112" t="str">
        <f ca="1"/>
        <v/>
      </c>
      <c r="I738" s="112" t="str">
        <f ca="1"/>
        <v/>
      </c>
    </row>
    <row r="739" spans="1:9" ht="13.2">
      <c r="A739" s="109" t="str">
        <f ca="1">IFERROR(__xludf.DUMMYFUNCTION("""COMPUTED_VALUE"""),"G")</f>
        <v>G</v>
      </c>
      <c r="B739" s="108" t="str">
        <f ca="1">IFERROR(__xludf.DUMMYFUNCTION("""COMPUTED_VALUE"""),"Fitz Chewning")</f>
        <v>Fitz Chewning</v>
      </c>
      <c r="C739" s="109">
        <f ca="1">IFERROR(__xludf.DUMMYFUNCTION("""COMPUTED_VALUE"""),12)</f>
        <v>12</v>
      </c>
      <c r="D739" s="109" t="str">
        <f ca="1">IFERROR(__xludf.DUMMYFUNCTION("""COMPUTED_VALUE"""),"B")</f>
        <v>B</v>
      </c>
      <c r="E739" s="110" t="str">
        <f ca="1">IFERROR(__xludf.DUMMYFUNCTION("""COMPUTED_VALUE"""),"J")</f>
        <v>J</v>
      </c>
      <c r="F739" s="110" t="str">
        <f ca="1">IFERROR(__xludf.DUMMYFUNCTION("""COMPUTED_VALUE"""),"I")</f>
        <v>I</v>
      </c>
      <c r="G739" s="110">
        <f ca="1">IFERROR(__xludf.DUMMYFUNCTION("""COMPUTED_VALUE"""),6)</f>
        <v>6</v>
      </c>
      <c r="H739" s="112" t="str">
        <f ca="1"/>
        <v/>
      </c>
      <c r="I739" s="112" t="str">
        <f ca="1"/>
        <v/>
      </c>
    </row>
    <row r="740" spans="1:9" ht="13.2">
      <c r="A740" s="109" t="str">
        <f ca="1">IFERROR(__xludf.DUMMYFUNCTION("""COMPUTED_VALUE"""),"G")</f>
        <v>G</v>
      </c>
      <c r="B740" s="108" t="str">
        <f ca="1">IFERROR(__xludf.DUMMYFUNCTION("""COMPUTED_VALUE"""),"Levi Raich")</f>
        <v>Levi Raich</v>
      </c>
      <c r="C740" s="109">
        <f ca="1">IFERROR(__xludf.DUMMYFUNCTION("""COMPUTED_VALUE"""),12)</f>
        <v>12</v>
      </c>
      <c r="D740" s="109" t="str">
        <f ca="1">IFERROR(__xludf.DUMMYFUNCTION("""COMPUTED_VALUE"""),"B")</f>
        <v>B</v>
      </c>
      <c r="E740" s="110" t="str">
        <f ca="1">IFERROR(__xludf.DUMMYFUNCTION("""COMPUTED_VALUE"""),"J")</f>
        <v>J</v>
      </c>
      <c r="F740" s="110" t="str">
        <f ca="1">IFERROR(__xludf.DUMMYFUNCTION("""COMPUTED_VALUE"""),"I")</f>
        <v>I</v>
      </c>
      <c r="G740" s="110">
        <f ca="1">IFERROR(__xludf.DUMMYFUNCTION("""COMPUTED_VALUE"""),6)</f>
        <v>6</v>
      </c>
      <c r="H740" s="112" t="str">
        <f ca="1"/>
        <v/>
      </c>
      <c r="I740" s="112" t="str">
        <f ca="1"/>
        <v/>
      </c>
    </row>
    <row r="741" spans="1:9" ht="13.2">
      <c r="A741" s="109" t="str">
        <f ca="1">IFERROR(__xludf.DUMMYFUNCTION("""COMPUTED_VALUE"""),"G")</f>
        <v>G</v>
      </c>
      <c r="B741" s="108" t="str">
        <f ca="1">IFERROR(__xludf.DUMMYFUNCTION("""COMPUTED_VALUE"""),"Luke Snyder")</f>
        <v>Luke Snyder</v>
      </c>
      <c r="C741" s="109">
        <f ca="1">IFERROR(__xludf.DUMMYFUNCTION("""COMPUTED_VALUE"""),11)</f>
        <v>11</v>
      </c>
      <c r="D741" s="109" t="str">
        <f ca="1">IFERROR(__xludf.DUMMYFUNCTION("""COMPUTED_VALUE"""),"B")</f>
        <v>B</v>
      </c>
      <c r="E741" s="110" t="str">
        <f ca="1">IFERROR(__xludf.DUMMYFUNCTION("""COMPUTED_VALUE"""),"J")</f>
        <v>J</v>
      </c>
      <c r="F741" s="110" t="str">
        <f ca="1">IFERROR(__xludf.DUMMYFUNCTION("""COMPUTED_VALUE"""),"I")</f>
        <v>I</v>
      </c>
      <c r="G741" s="110">
        <f ca="1">IFERROR(__xludf.DUMMYFUNCTION("""COMPUTED_VALUE"""),6)</f>
        <v>6</v>
      </c>
      <c r="H741" s="112" t="str">
        <f ca="1"/>
        <v/>
      </c>
      <c r="I741" s="112" t="str">
        <f ca="1"/>
        <v/>
      </c>
    </row>
    <row r="742" spans="1:9" ht="13.2">
      <c r="A742" s="109" t="str">
        <f ca="1">IFERROR(__xludf.DUMMYFUNCTION("""COMPUTED_VALUE"""),"G")</f>
        <v>G</v>
      </c>
      <c r="B742" s="108" t="str">
        <f ca="1">IFERROR(__xludf.DUMMYFUNCTION("""COMPUTED_VALUE"""),"Eliza Miller")</f>
        <v>Eliza Miller</v>
      </c>
      <c r="C742" s="109">
        <f ca="1">IFERROR(__xludf.DUMMYFUNCTION("""COMPUTED_VALUE"""),12)</f>
        <v>12</v>
      </c>
      <c r="D742" s="109" t="str">
        <f ca="1">IFERROR(__xludf.DUMMYFUNCTION("""COMPUTED_VALUE"""),"G")</f>
        <v>G</v>
      </c>
      <c r="E742" s="110" t="str">
        <f ca="1">IFERROR(__xludf.DUMMYFUNCTION("""COMPUTED_VALUE"""),"J")</f>
        <v>J</v>
      </c>
      <c r="F742" s="110" t="str">
        <f ca="1">IFERROR(__xludf.DUMMYFUNCTION("""COMPUTED_VALUE"""),"I")</f>
        <v>I</v>
      </c>
      <c r="G742" s="110">
        <f ca="1">IFERROR(__xludf.DUMMYFUNCTION("""COMPUTED_VALUE"""),6)</f>
        <v>6</v>
      </c>
      <c r="H742" s="112" t="str">
        <f ca="1"/>
        <v/>
      </c>
      <c r="I742" s="81" t="str">
        <f ca="1"/>
        <v/>
      </c>
    </row>
    <row r="743" spans="1:9" ht="13.2">
      <c r="A743" s="109" t="str">
        <f ca="1">IFERROR(__xludf.DUMMYFUNCTION("""COMPUTED_VALUE"""),"G")</f>
        <v>G</v>
      </c>
      <c r="B743" s="108" t="str">
        <f ca="1">IFERROR(__xludf.DUMMYFUNCTION("""COMPUTED_VALUE"""),"Jenna Speredelozzi")</f>
        <v>Jenna Speredelozzi</v>
      </c>
      <c r="C743" s="109">
        <f ca="1">IFERROR(__xludf.DUMMYFUNCTION("""COMPUTED_VALUE"""),11)</f>
        <v>11</v>
      </c>
      <c r="D743" s="109" t="str">
        <f ca="1">IFERROR(__xludf.DUMMYFUNCTION("""COMPUTED_VALUE"""),"G")</f>
        <v>G</v>
      </c>
      <c r="E743" s="110" t="str">
        <f ca="1">IFERROR(__xludf.DUMMYFUNCTION("""COMPUTED_VALUE"""),"J")</f>
        <v>J</v>
      </c>
      <c r="F743" s="110" t="str">
        <f ca="1">IFERROR(__xludf.DUMMYFUNCTION("""COMPUTED_VALUE"""),"I")</f>
        <v>I</v>
      </c>
      <c r="G743" s="110">
        <f ca="1">IFERROR(__xludf.DUMMYFUNCTION("""COMPUTED_VALUE"""),6)</f>
        <v>6</v>
      </c>
      <c r="H743" s="112" t="str">
        <f ca="1"/>
        <v/>
      </c>
      <c r="I743" s="112" t="str">
        <f ca="1"/>
        <v/>
      </c>
    </row>
    <row r="744" spans="1:9" ht="13.2">
      <c r="A744" s="109" t="str">
        <f ca="1">IFERROR(__xludf.DUMMYFUNCTION("""COMPUTED_VALUE"""),"G")</f>
        <v>G</v>
      </c>
      <c r="B744" s="108" t="str">
        <f ca="1">IFERROR(__xludf.DUMMYFUNCTION("""COMPUTED_VALUE"""),"Penny Lawrence")</f>
        <v>Penny Lawrence</v>
      </c>
      <c r="C744" s="109">
        <f ca="1">IFERROR(__xludf.DUMMYFUNCTION("""COMPUTED_VALUE"""),11)</f>
        <v>11</v>
      </c>
      <c r="D744" s="109" t="str">
        <f ca="1">IFERROR(__xludf.DUMMYFUNCTION("""COMPUTED_VALUE"""),"G")</f>
        <v>G</v>
      </c>
      <c r="E744" s="110" t="str">
        <f ca="1">IFERROR(__xludf.DUMMYFUNCTION("""COMPUTED_VALUE"""),"J")</f>
        <v>J</v>
      </c>
      <c r="F744" s="110" t="str">
        <f ca="1">IFERROR(__xludf.DUMMYFUNCTION("""COMPUTED_VALUE"""),"I")</f>
        <v>I</v>
      </c>
      <c r="G744" s="110">
        <f ca="1">IFERROR(__xludf.DUMMYFUNCTION("""COMPUTED_VALUE"""),6)</f>
        <v>6</v>
      </c>
      <c r="H744" s="112" t="str">
        <f ca="1"/>
        <v>41.85</v>
      </c>
      <c r="I744" s="112">
        <f ca="1"/>
        <v>41.85</v>
      </c>
    </row>
    <row r="745" spans="1:9" ht="13.2">
      <c r="A745" s="109" t="str">
        <f ca="1">IFERROR(__xludf.DUMMYFUNCTION("""COMPUTED_VALUE"""),"G")</f>
        <v>G</v>
      </c>
      <c r="B745" s="108" t="str">
        <f ca="1">IFERROR(__xludf.DUMMYFUNCTION("""COMPUTED_VALUE"""),"Rowan Threadgill")</f>
        <v>Rowan Threadgill</v>
      </c>
      <c r="C745" s="109">
        <f ca="1">IFERROR(__xludf.DUMMYFUNCTION("""COMPUTED_VALUE"""),12)</f>
        <v>12</v>
      </c>
      <c r="D745" s="109" t="str">
        <f ca="1">IFERROR(__xludf.DUMMYFUNCTION("""COMPUTED_VALUE"""),"G")</f>
        <v>G</v>
      </c>
      <c r="E745" s="110" t="str">
        <f ca="1">IFERROR(__xludf.DUMMYFUNCTION("""COMPUTED_VALUE"""),"J")</f>
        <v>J</v>
      </c>
      <c r="F745" s="110" t="str">
        <f ca="1">IFERROR(__xludf.DUMMYFUNCTION("""COMPUTED_VALUE"""),"I")</f>
        <v>I</v>
      </c>
      <c r="G745" s="110">
        <f ca="1">IFERROR(__xludf.DUMMYFUNCTION("""COMPUTED_VALUE"""),6)</f>
        <v>6</v>
      </c>
      <c r="H745" s="112" t="str">
        <f ca="1"/>
        <v/>
      </c>
      <c r="I745" s="81" t="str">
        <f ca="1"/>
        <v/>
      </c>
    </row>
    <row r="746" spans="1:9" ht="13.2">
      <c r="A746" s="109" t="str">
        <f ca="1">IFERROR(__xludf.DUMMYFUNCTION("""COMPUTED_VALUE"""),"G")</f>
        <v>G</v>
      </c>
      <c r="B746" s="108" t="str">
        <f ca="1">IFERROR(__xludf.DUMMYFUNCTION("""COMPUTED_VALUE"""),"Sage Smyth")</f>
        <v>Sage Smyth</v>
      </c>
      <c r="C746" s="109">
        <f ca="1">IFERROR(__xludf.DUMMYFUNCTION("""COMPUTED_VALUE"""),11)</f>
        <v>11</v>
      </c>
      <c r="D746" s="109" t="str">
        <f ca="1">IFERROR(__xludf.DUMMYFUNCTION("""COMPUTED_VALUE"""),"G")</f>
        <v>G</v>
      </c>
      <c r="E746" s="110" t="str">
        <f ca="1">IFERROR(__xludf.DUMMYFUNCTION("""COMPUTED_VALUE"""),"J")</f>
        <v>J</v>
      </c>
      <c r="F746" s="110" t="str">
        <f ca="1">IFERROR(__xludf.DUMMYFUNCTION("""COMPUTED_VALUE"""),"I")</f>
        <v>I</v>
      </c>
      <c r="G746" s="110">
        <f ca="1">IFERROR(__xludf.DUMMYFUNCTION("""COMPUTED_VALUE"""),6)</f>
        <v>6</v>
      </c>
      <c r="H746" s="112" t="str">
        <f ca="1"/>
        <v/>
      </c>
      <c r="I746" s="112" t="str">
        <f ca="1"/>
        <v/>
      </c>
    </row>
    <row r="747" spans="1:9" ht="13.2">
      <c r="A747" s="109" t="str">
        <f ca="1">IFERROR(__xludf.DUMMYFUNCTION("""COMPUTED_VALUE"""),"G")</f>
        <v>G</v>
      </c>
      <c r="B747" s="108" t="str">
        <f ca="1">IFERROR(__xludf.DUMMYFUNCTION("""COMPUTED_VALUE"""),"H K Kim")</f>
        <v>H K Kim</v>
      </c>
      <c r="C747" s="109">
        <f ca="1">IFERROR(__xludf.DUMMYFUNCTION("""COMPUTED_VALUE"""),15)</f>
        <v>15</v>
      </c>
      <c r="D747" s="109" t="str">
        <f ca="1">IFERROR(__xludf.DUMMYFUNCTION("""COMPUTED_VALUE"""),"B")</f>
        <v>B</v>
      </c>
      <c r="E747" s="110" t="str">
        <f ca="1">IFERROR(__xludf.DUMMYFUNCTION("""COMPUTED_VALUE"""),"S")</f>
        <v>S</v>
      </c>
      <c r="F747" s="110" t="str">
        <f ca="1">IFERROR(__xludf.DUMMYFUNCTION("""COMPUTED_VALUE"""),"S")</f>
        <v>S</v>
      </c>
      <c r="G747" s="110">
        <f ca="1">IFERROR(__xludf.DUMMYFUNCTION("""COMPUTED_VALUE"""),6)</f>
        <v>6</v>
      </c>
      <c r="H747" s="112" t="str">
        <f ca="1"/>
        <v/>
      </c>
      <c r="I747" s="112" t="str">
        <f ca="1"/>
        <v/>
      </c>
    </row>
    <row r="748" spans="1:9" ht="13.2">
      <c r="A748" s="109" t="str">
        <f ca="1">IFERROR(__xludf.DUMMYFUNCTION("""COMPUTED_VALUE"""),"G")</f>
        <v>G</v>
      </c>
      <c r="B748" s="108" t="str">
        <f ca="1">IFERROR(__xludf.DUMMYFUNCTION("""COMPUTED_VALUE"""),"Hugh Gannon")</f>
        <v>Hugh Gannon</v>
      </c>
      <c r="C748" s="109">
        <f ca="1">IFERROR(__xludf.DUMMYFUNCTION("""COMPUTED_VALUE"""),19)</f>
        <v>19</v>
      </c>
      <c r="D748" s="109" t="str">
        <f ca="1">IFERROR(__xludf.DUMMYFUNCTION("""COMPUTED_VALUE"""),"B")</f>
        <v>B</v>
      </c>
      <c r="E748" s="110" t="str">
        <f ca="1">IFERROR(__xludf.DUMMYFUNCTION("""COMPUTED_VALUE"""),"S")</f>
        <v>S</v>
      </c>
      <c r="F748" s="110" t="str">
        <f ca="1">IFERROR(__xludf.DUMMYFUNCTION("""COMPUTED_VALUE"""),"S")</f>
        <v>S</v>
      </c>
      <c r="G748" s="110">
        <f ca="1">IFERROR(__xludf.DUMMYFUNCTION("""COMPUTED_VALUE"""),6)</f>
        <v>6</v>
      </c>
      <c r="H748" s="112" t="str">
        <f ca="1"/>
        <v/>
      </c>
      <c r="I748" s="81" t="str">
        <f ca="1"/>
        <v/>
      </c>
    </row>
    <row r="749" spans="1:9" ht="13.2">
      <c r="A749" s="109" t="str">
        <f ca="1">IFERROR(__xludf.DUMMYFUNCTION("""COMPUTED_VALUE"""),"G")</f>
        <v>G</v>
      </c>
      <c r="B749" s="108" t="str">
        <f ca="1">IFERROR(__xludf.DUMMYFUNCTION("""COMPUTED_VALUE"""),"Kai Threadgill")</f>
        <v>Kai Threadgill</v>
      </c>
      <c r="C749" s="109">
        <f ca="1">IFERROR(__xludf.DUMMYFUNCTION("""COMPUTED_VALUE"""),15)</f>
        <v>15</v>
      </c>
      <c r="D749" s="109" t="str">
        <f ca="1">IFERROR(__xludf.DUMMYFUNCTION("""COMPUTED_VALUE"""),"B")</f>
        <v>B</v>
      </c>
      <c r="E749" s="110" t="str">
        <f ca="1">IFERROR(__xludf.DUMMYFUNCTION("""COMPUTED_VALUE"""),"S")</f>
        <v>S</v>
      </c>
      <c r="F749" s="110" t="str">
        <f ca="1">IFERROR(__xludf.DUMMYFUNCTION("""COMPUTED_VALUE"""),"S")</f>
        <v>S</v>
      </c>
      <c r="G749" s="110">
        <f ca="1">IFERROR(__xludf.DUMMYFUNCTION("""COMPUTED_VALUE"""),6)</f>
        <v>6</v>
      </c>
      <c r="H749" s="112" t="str">
        <f ca="1"/>
        <v>46.15</v>
      </c>
      <c r="I749" s="112">
        <f ca="1"/>
        <v>46.15</v>
      </c>
    </row>
    <row r="750" spans="1:9" ht="13.2">
      <c r="A750" s="109" t="str">
        <f ca="1">IFERROR(__xludf.DUMMYFUNCTION("""COMPUTED_VALUE"""),"G")</f>
        <v>G</v>
      </c>
      <c r="B750" s="108" t="str">
        <f ca="1">IFERROR(__xludf.DUMMYFUNCTION("""COMPUTED_VALUE"""),"Matthew Bray")</f>
        <v>Matthew Bray</v>
      </c>
      <c r="C750" s="109">
        <f ca="1">IFERROR(__xludf.DUMMYFUNCTION("""COMPUTED_VALUE"""),16)</f>
        <v>16</v>
      </c>
      <c r="D750" s="109" t="str">
        <f ca="1">IFERROR(__xludf.DUMMYFUNCTION("""COMPUTED_VALUE"""),"B")</f>
        <v>B</v>
      </c>
      <c r="E750" s="110" t="str">
        <f ca="1">IFERROR(__xludf.DUMMYFUNCTION("""COMPUTED_VALUE"""),"S")</f>
        <v>S</v>
      </c>
      <c r="F750" s="110" t="str">
        <f ca="1">IFERROR(__xludf.DUMMYFUNCTION("""COMPUTED_VALUE"""),"S")</f>
        <v>S</v>
      </c>
      <c r="G750" s="110">
        <f ca="1">IFERROR(__xludf.DUMMYFUNCTION("""COMPUTED_VALUE"""),6)</f>
        <v>6</v>
      </c>
      <c r="H750" s="112" t="str">
        <f ca="1"/>
        <v/>
      </c>
      <c r="I750" s="112" t="str">
        <f ca="1"/>
        <v/>
      </c>
    </row>
    <row r="751" spans="1:9" ht="13.2">
      <c r="A751" s="109" t="str">
        <f ca="1">IFERROR(__xludf.DUMMYFUNCTION("""COMPUTED_VALUE"""),"G")</f>
        <v>G</v>
      </c>
      <c r="B751" s="108" t="str">
        <f ca="1">IFERROR(__xludf.DUMMYFUNCTION("""COMPUTED_VALUE"""),"Wesley Green")</f>
        <v>Wesley Green</v>
      </c>
      <c r="C751" s="109">
        <f ca="1">IFERROR(__xludf.DUMMYFUNCTION("""COMPUTED_VALUE"""),18)</f>
        <v>18</v>
      </c>
      <c r="D751" s="109" t="str">
        <f ca="1">IFERROR(__xludf.DUMMYFUNCTION("""COMPUTED_VALUE"""),"B")</f>
        <v>B</v>
      </c>
      <c r="E751" s="110" t="str">
        <f ca="1">IFERROR(__xludf.DUMMYFUNCTION("""COMPUTED_VALUE"""),"S")</f>
        <v>S</v>
      </c>
      <c r="F751" s="110" t="str">
        <f ca="1">IFERROR(__xludf.DUMMYFUNCTION("""COMPUTED_VALUE"""),"S")</f>
        <v>S</v>
      </c>
      <c r="G751" s="110">
        <f ca="1">IFERROR(__xludf.DUMMYFUNCTION("""COMPUTED_VALUE"""),6)</f>
        <v>6</v>
      </c>
      <c r="H751" s="112" t="str">
        <f ca="1"/>
        <v/>
      </c>
      <c r="I751" s="112" t="str">
        <f ca="1"/>
        <v/>
      </c>
    </row>
    <row r="752" spans="1:9" ht="13.2">
      <c r="A752" s="109" t="str">
        <f ca="1">IFERROR(__xludf.DUMMYFUNCTION("""COMPUTED_VALUE"""),"G")</f>
        <v>G</v>
      </c>
      <c r="B752" s="108" t="str">
        <f ca="1">IFERROR(__xludf.DUMMYFUNCTION("""COMPUTED_VALUE"""),"Alyse Madsen")</f>
        <v>Alyse Madsen</v>
      </c>
      <c r="C752" s="109">
        <f ca="1">IFERROR(__xludf.DUMMYFUNCTION("""COMPUTED_VALUE"""),17)</f>
        <v>17</v>
      </c>
      <c r="D752" s="109" t="str">
        <f ca="1">IFERROR(__xludf.DUMMYFUNCTION("""COMPUTED_VALUE"""),"G")</f>
        <v>G</v>
      </c>
      <c r="E752" s="110" t="str">
        <f ca="1">IFERROR(__xludf.DUMMYFUNCTION("""COMPUTED_VALUE"""),"S")</f>
        <v>S</v>
      </c>
      <c r="F752" s="110" t="str">
        <f ca="1">IFERROR(__xludf.DUMMYFUNCTION("""COMPUTED_VALUE"""),"S")</f>
        <v>S</v>
      </c>
      <c r="G752" s="110">
        <f ca="1">IFERROR(__xludf.DUMMYFUNCTION("""COMPUTED_VALUE"""),6)</f>
        <v>6</v>
      </c>
      <c r="H752" s="112" t="str">
        <f ca="1"/>
        <v/>
      </c>
      <c r="I752" s="112" t="str">
        <f ca="1"/>
        <v/>
      </c>
    </row>
    <row r="753" spans="1:9" ht="13.2">
      <c r="A753" s="109" t="str">
        <f ca="1">IFERROR(__xludf.DUMMYFUNCTION("""COMPUTED_VALUE"""),"G")</f>
        <v>G</v>
      </c>
      <c r="B753" s="108" t="str">
        <f ca="1">IFERROR(__xludf.DUMMYFUNCTION("""COMPUTED_VALUE"""),"Hannah Quick")</f>
        <v>Hannah Quick</v>
      </c>
      <c r="C753" s="109">
        <f ca="1">IFERROR(__xludf.DUMMYFUNCTION("""COMPUTED_VALUE"""),15)</f>
        <v>15</v>
      </c>
      <c r="D753" s="109" t="str">
        <f ca="1">IFERROR(__xludf.DUMMYFUNCTION("""COMPUTED_VALUE"""),"G")</f>
        <v>G</v>
      </c>
      <c r="E753" s="110" t="str">
        <f ca="1">IFERROR(__xludf.DUMMYFUNCTION("""COMPUTED_VALUE"""),"S")</f>
        <v>S</v>
      </c>
      <c r="F753" s="110" t="str">
        <f ca="1">IFERROR(__xludf.DUMMYFUNCTION("""COMPUTED_VALUE"""),"S")</f>
        <v>S</v>
      </c>
      <c r="G753" s="110">
        <f ca="1">IFERROR(__xludf.DUMMYFUNCTION("""COMPUTED_VALUE"""),6)</f>
        <v>6</v>
      </c>
      <c r="H753" s="112" t="str">
        <f ca="1"/>
        <v>46.8</v>
      </c>
      <c r="I753" s="112">
        <f ca="1"/>
        <v>46.8</v>
      </c>
    </row>
    <row r="754" spans="1:9" ht="13.2">
      <c r="A754" s="109" t="str">
        <f ca="1">IFERROR(__xludf.DUMMYFUNCTION("""COMPUTED_VALUE"""),"G")</f>
        <v>G</v>
      </c>
      <c r="B754" s="108" t="str">
        <f ca="1">IFERROR(__xludf.DUMMYFUNCTION("""COMPUTED_VALUE"""),"Katelyn Ruehle")</f>
        <v>Katelyn Ruehle</v>
      </c>
      <c r="C754" s="109">
        <f ca="1">IFERROR(__xludf.DUMMYFUNCTION("""COMPUTED_VALUE"""),15)</f>
        <v>15</v>
      </c>
      <c r="D754" s="109" t="str">
        <f ca="1">IFERROR(__xludf.DUMMYFUNCTION("""COMPUTED_VALUE"""),"G")</f>
        <v>G</v>
      </c>
      <c r="E754" s="110" t="str">
        <f ca="1">IFERROR(__xludf.DUMMYFUNCTION("""COMPUTED_VALUE"""),"S")</f>
        <v>S</v>
      </c>
      <c r="F754" s="110" t="str">
        <f ca="1">IFERROR(__xludf.DUMMYFUNCTION("""COMPUTED_VALUE"""),"S")</f>
        <v>S</v>
      </c>
      <c r="G754" s="110">
        <f ca="1">IFERROR(__xludf.DUMMYFUNCTION("""COMPUTED_VALUE"""),6)</f>
        <v>6</v>
      </c>
      <c r="H754" s="112" t="str">
        <f ca="1"/>
        <v/>
      </c>
      <c r="I754" s="112" t="str">
        <f ca="1"/>
        <v/>
      </c>
    </row>
    <row r="755" spans="1:9" ht="13.2">
      <c r="A755" s="109" t="str">
        <f ca="1">IFERROR(__xludf.DUMMYFUNCTION("""COMPUTED_VALUE"""),"G")</f>
        <v>G</v>
      </c>
      <c r="B755" s="108" t="str">
        <f ca="1">IFERROR(__xludf.DUMMYFUNCTION("""COMPUTED_VALUE"""),"Leah Mozeleski")</f>
        <v>Leah Mozeleski</v>
      </c>
      <c r="C755" s="109">
        <f ca="1">IFERROR(__xludf.DUMMYFUNCTION("""COMPUTED_VALUE"""),16)</f>
        <v>16</v>
      </c>
      <c r="D755" s="109" t="str">
        <f ca="1">IFERROR(__xludf.DUMMYFUNCTION("""COMPUTED_VALUE"""),"G")</f>
        <v>G</v>
      </c>
      <c r="E755" s="110" t="str">
        <f ca="1">IFERROR(__xludf.DUMMYFUNCTION("""COMPUTED_VALUE"""),"S")</f>
        <v>S</v>
      </c>
      <c r="F755" s="110" t="str">
        <f ca="1">IFERROR(__xludf.DUMMYFUNCTION("""COMPUTED_VALUE"""),"S")</f>
        <v>S</v>
      </c>
      <c r="G755" s="110">
        <f ca="1">IFERROR(__xludf.DUMMYFUNCTION("""COMPUTED_VALUE"""),6)</f>
        <v>6</v>
      </c>
      <c r="H755" s="112" t="str">
        <f ca="1"/>
        <v/>
      </c>
      <c r="I755" s="112" t="str">
        <f ca="1"/>
        <v/>
      </c>
    </row>
    <row r="756" spans="1:9" ht="13.2">
      <c r="A756" s="109" t="str">
        <f ca="1">IFERROR(__xludf.DUMMYFUNCTION("""COMPUTED_VALUE"""),"G")</f>
        <v>G</v>
      </c>
      <c r="B756" s="108" t="str">
        <f ca="1">IFERROR(__xludf.DUMMYFUNCTION("""COMPUTED_VALUE"""),"Sarah-Lane Roberts")</f>
        <v>Sarah-Lane Roberts</v>
      </c>
      <c r="C756" s="109">
        <f ca="1">IFERROR(__xludf.DUMMYFUNCTION("""COMPUTED_VALUE"""),15)</f>
        <v>15</v>
      </c>
      <c r="D756" s="109" t="str">
        <f ca="1">IFERROR(__xludf.DUMMYFUNCTION("""COMPUTED_VALUE"""),"G")</f>
        <v>G</v>
      </c>
      <c r="E756" s="110" t="str">
        <f ca="1">IFERROR(__xludf.DUMMYFUNCTION("""COMPUTED_VALUE"""),"S")</f>
        <v>S</v>
      </c>
      <c r="F756" s="110" t="str">
        <f ca="1">IFERROR(__xludf.DUMMYFUNCTION("""COMPUTED_VALUE"""),"S")</f>
        <v>S</v>
      </c>
      <c r="G756" s="110">
        <f ca="1">IFERROR(__xludf.DUMMYFUNCTION("""COMPUTED_VALUE"""),6)</f>
        <v>6</v>
      </c>
      <c r="H756" s="112" t="str">
        <f ca="1"/>
        <v>37.25</v>
      </c>
      <c r="I756" s="112">
        <f ca="1"/>
        <v>37.25</v>
      </c>
    </row>
    <row r="757" spans="1:9" ht="13.2">
      <c r="A757" s="109" t="str">
        <f ca="1">IFERROR(__xludf.DUMMYFUNCTION("""COMPUTED_VALUE"""),"G")</f>
        <v>G</v>
      </c>
      <c r="B757" s="108" t="str">
        <f ca="1">IFERROR(__xludf.DUMMYFUNCTION("""COMPUTED_VALUE"""),"Virginia Portofe")</f>
        <v>Virginia Portofe</v>
      </c>
      <c r="C757" s="109">
        <f ca="1">IFERROR(__xludf.DUMMYFUNCTION("""COMPUTED_VALUE"""),15)</f>
        <v>15</v>
      </c>
      <c r="D757" s="109" t="str">
        <f ca="1">IFERROR(__xludf.DUMMYFUNCTION("""COMPUTED_VALUE"""),"G")</f>
        <v>G</v>
      </c>
      <c r="E757" s="110" t="str">
        <f ca="1">IFERROR(__xludf.DUMMYFUNCTION("""COMPUTED_VALUE"""),"S")</f>
        <v>S</v>
      </c>
      <c r="F757" s="110" t="str">
        <f ca="1">IFERROR(__xludf.DUMMYFUNCTION("""COMPUTED_VALUE"""),"S")</f>
        <v>S</v>
      </c>
      <c r="G757" s="110">
        <f ca="1">IFERROR(__xludf.DUMMYFUNCTION("""COMPUTED_VALUE"""),6)</f>
        <v>6</v>
      </c>
      <c r="H757" s="112" t="str">
        <f ca="1"/>
        <v/>
      </c>
      <c r="I757" s="112" t="str">
        <f ca="1"/>
        <v/>
      </c>
    </row>
    <row r="758" spans="1:9" ht="13.2">
      <c r="A758" s="109" t="str">
        <f ca="1">IFERROR(__xludf.DUMMYFUNCTION("""COMPUTED_VALUE"""),"GF")</f>
        <v>GF</v>
      </c>
      <c r="B758" s="108" t="str">
        <f ca="1">IFERROR(__xludf.DUMMYFUNCTION("""COMPUTED_VALUE"""),"Alexandre Kroely")</f>
        <v>Alexandre Kroely</v>
      </c>
      <c r="C758" s="109">
        <f ca="1">IFERROR(__xludf.DUMMYFUNCTION("""COMPUTED_VALUE"""),9)</f>
        <v>9</v>
      </c>
      <c r="D758" s="109" t="str">
        <f ca="1">IFERROR(__xludf.DUMMYFUNCTION("""COMPUTED_VALUE"""),"B")</f>
        <v>B</v>
      </c>
      <c r="E758" s="110" t="str">
        <f ca="1">IFERROR(__xludf.DUMMYFUNCTION("""COMPUTED_VALUE"""),"F")</f>
        <v>F</v>
      </c>
      <c r="F758" s="110" t="str">
        <f ca="1">IFERROR(__xludf.DUMMYFUNCTION("""COMPUTED_VALUE"""),"J")</f>
        <v>J</v>
      </c>
      <c r="G758" s="110">
        <f ca="1">IFERROR(__xludf.DUMMYFUNCTION("""COMPUTED_VALUE"""),2)</f>
        <v>2</v>
      </c>
      <c r="H758" s="112" t="str">
        <f ca="1"/>
        <v/>
      </c>
      <c r="I758" s="81" t="str">
        <f ca="1"/>
        <v/>
      </c>
    </row>
    <row r="759" spans="1:9" ht="13.2">
      <c r="A759" s="109" t="str">
        <f ca="1">IFERROR(__xludf.DUMMYFUNCTION("""COMPUTED_VALUE"""),"GF")</f>
        <v>GF</v>
      </c>
      <c r="B759" s="108" t="str">
        <f ca="1">IFERROR(__xludf.DUMMYFUNCTION("""COMPUTED_VALUE"""),"Colin Lymphany")</f>
        <v>Colin Lymphany</v>
      </c>
      <c r="C759" s="109">
        <f ca="1">IFERROR(__xludf.DUMMYFUNCTION("""COMPUTED_VALUE"""),9)</f>
        <v>9</v>
      </c>
      <c r="D759" s="109" t="str">
        <f ca="1">IFERROR(__xludf.DUMMYFUNCTION("""COMPUTED_VALUE"""),"B")</f>
        <v>B</v>
      </c>
      <c r="E759" s="110" t="str">
        <f ca="1">IFERROR(__xludf.DUMMYFUNCTION("""COMPUTED_VALUE"""),"F")</f>
        <v>F</v>
      </c>
      <c r="F759" s="110" t="str">
        <f ca="1">IFERROR(__xludf.DUMMYFUNCTION("""COMPUTED_VALUE"""),"J")</f>
        <v>J</v>
      </c>
      <c r="G759" s="110">
        <f ca="1">IFERROR(__xludf.DUMMYFUNCTION("""COMPUTED_VALUE"""),2)</f>
        <v>2</v>
      </c>
      <c r="H759" s="112" t="str">
        <f ca="1"/>
        <v>23.4</v>
      </c>
      <c r="I759" s="112">
        <f ca="1"/>
        <v>23.4</v>
      </c>
    </row>
    <row r="760" spans="1:9" ht="13.2">
      <c r="A760" s="109" t="str">
        <f ca="1">IFERROR(__xludf.DUMMYFUNCTION("""COMPUTED_VALUE"""),"GF")</f>
        <v>GF</v>
      </c>
      <c r="B760" s="108" t="str">
        <f ca="1">IFERROR(__xludf.DUMMYFUNCTION("""COMPUTED_VALUE"""),"Eli Bockman")</f>
        <v>Eli Bockman</v>
      </c>
      <c r="C760" s="109">
        <f ca="1">IFERROR(__xludf.DUMMYFUNCTION("""COMPUTED_VALUE"""),9)</f>
        <v>9</v>
      </c>
      <c r="D760" s="109" t="str">
        <f ca="1">IFERROR(__xludf.DUMMYFUNCTION("""COMPUTED_VALUE"""),"B")</f>
        <v>B</v>
      </c>
      <c r="E760" s="110" t="str">
        <f ca="1">IFERROR(__xludf.DUMMYFUNCTION("""COMPUTED_VALUE"""),"F")</f>
        <v>F</v>
      </c>
      <c r="F760" s="110" t="str">
        <f ca="1">IFERROR(__xludf.DUMMYFUNCTION("""COMPUTED_VALUE"""),"J")</f>
        <v>J</v>
      </c>
      <c r="G760" s="110">
        <f ca="1">IFERROR(__xludf.DUMMYFUNCTION("""COMPUTED_VALUE"""),2)</f>
        <v>2</v>
      </c>
      <c r="H760" s="112" t="str">
        <f ca="1"/>
        <v>51.75</v>
      </c>
      <c r="I760" s="112">
        <f ca="1"/>
        <v>51.75</v>
      </c>
    </row>
    <row r="761" spans="1:9" ht="13.2">
      <c r="A761" s="109" t="str">
        <f ca="1">IFERROR(__xludf.DUMMYFUNCTION("""COMPUTED_VALUE"""),"GF")</f>
        <v>GF</v>
      </c>
      <c r="B761" s="108" t="str">
        <f ca="1">IFERROR(__xludf.DUMMYFUNCTION("""COMPUTED_VALUE"""),"Finn Pierson")</f>
        <v>Finn Pierson</v>
      </c>
      <c r="C761" s="109">
        <f ca="1">IFERROR(__xludf.DUMMYFUNCTION("""COMPUTED_VALUE"""),8)</f>
        <v>8</v>
      </c>
      <c r="D761" s="109" t="str">
        <f ca="1">IFERROR(__xludf.DUMMYFUNCTION("""COMPUTED_VALUE"""),"B")</f>
        <v>B</v>
      </c>
      <c r="E761" s="110" t="str">
        <f ca="1">IFERROR(__xludf.DUMMYFUNCTION("""COMPUTED_VALUE"""),"F")</f>
        <v>F</v>
      </c>
      <c r="F761" s="110" t="str">
        <f ca="1">IFERROR(__xludf.DUMMYFUNCTION("""COMPUTED_VALUE"""),"J")</f>
        <v>J</v>
      </c>
      <c r="G761" s="110">
        <f ca="1">IFERROR(__xludf.DUMMYFUNCTION("""COMPUTED_VALUE"""),2)</f>
        <v>2</v>
      </c>
      <c r="H761" s="112" t="str">
        <f ca="1"/>
        <v/>
      </c>
      <c r="I761" s="112" t="str">
        <f ca="1"/>
        <v/>
      </c>
    </row>
    <row r="762" spans="1:9" ht="13.2">
      <c r="A762" s="109" t="str">
        <f ca="1">IFERROR(__xludf.DUMMYFUNCTION("""COMPUTED_VALUE"""),"GF")</f>
        <v>GF</v>
      </c>
      <c r="B762" s="108" t="str">
        <f ca="1">IFERROR(__xludf.DUMMYFUNCTION("""COMPUTED_VALUE"""),"Harper Clayton")</f>
        <v>Harper Clayton</v>
      </c>
      <c r="C762" s="109">
        <f ca="1">IFERROR(__xludf.DUMMYFUNCTION("""COMPUTED_VALUE"""),7)</f>
        <v>7</v>
      </c>
      <c r="D762" s="109" t="str">
        <f ca="1">IFERROR(__xludf.DUMMYFUNCTION("""COMPUTED_VALUE"""),"B")</f>
        <v>B</v>
      </c>
      <c r="E762" s="110" t="str">
        <f ca="1">IFERROR(__xludf.DUMMYFUNCTION("""COMPUTED_VALUE"""),"F")</f>
        <v>F</v>
      </c>
      <c r="F762" s="110" t="str">
        <f ca="1">IFERROR(__xludf.DUMMYFUNCTION("""COMPUTED_VALUE"""),"J")</f>
        <v>J</v>
      </c>
      <c r="G762" s="110">
        <f ca="1">IFERROR(__xludf.DUMMYFUNCTION("""COMPUTED_VALUE"""),2)</f>
        <v>2</v>
      </c>
      <c r="H762" s="112" t="str">
        <f ca="1"/>
        <v>28.8</v>
      </c>
      <c r="I762" s="112">
        <f ca="1"/>
        <v>28.8</v>
      </c>
    </row>
    <row r="763" spans="1:9" ht="13.2">
      <c r="A763" s="109" t="str">
        <f ca="1">IFERROR(__xludf.DUMMYFUNCTION("""COMPUTED_VALUE"""),"GF")</f>
        <v>GF</v>
      </c>
      <c r="B763" s="108" t="str">
        <f ca="1">IFERROR(__xludf.DUMMYFUNCTION("""COMPUTED_VALUE"""),"Nikolas Aucoin")</f>
        <v>Nikolas Aucoin</v>
      </c>
      <c r="C763" s="109">
        <f ca="1">IFERROR(__xludf.DUMMYFUNCTION("""COMPUTED_VALUE"""),10)</f>
        <v>10</v>
      </c>
      <c r="D763" s="109" t="str">
        <f ca="1">IFERROR(__xludf.DUMMYFUNCTION("""COMPUTED_VALUE"""),"B")</f>
        <v>B</v>
      </c>
      <c r="E763" s="110" t="str">
        <f ca="1">IFERROR(__xludf.DUMMYFUNCTION("""COMPUTED_VALUE"""),"F")</f>
        <v>F</v>
      </c>
      <c r="F763" s="110" t="str">
        <f ca="1">IFERROR(__xludf.DUMMYFUNCTION("""COMPUTED_VALUE"""),"J")</f>
        <v>J</v>
      </c>
      <c r="G763" s="110">
        <f ca="1">IFERROR(__xludf.DUMMYFUNCTION("""COMPUTED_VALUE"""),2)</f>
        <v>2</v>
      </c>
      <c r="H763" s="112" t="str">
        <f ca="1"/>
        <v/>
      </c>
      <c r="I763" s="112" t="str">
        <f ca="1"/>
        <v/>
      </c>
    </row>
    <row r="764" spans="1:9" ht="13.2">
      <c r="A764" s="109" t="str">
        <f ca="1">IFERROR(__xludf.DUMMYFUNCTION("""COMPUTED_VALUE"""),"GF")</f>
        <v>GF</v>
      </c>
      <c r="B764" s="108" t="str">
        <f ca="1">IFERROR(__xludf.DUMMYFUNCTION("""COMPUTED_VALUE"""),"Ryan Mekouar")</f>
        <v>Ryan Mekouar</v>
      </c>
      <c r="C764" s="109">
        <f ca="1">IFERROR(__xludf.DUMMYFUNCTION("""COMPUTED_VALUE"""),6)</f>
        <v>6</v>
      </c>
      <c r="D764" s="109" t="str">
        <f ca="1">IFERROR(__xludf.DUMMYFUNCTION("""COMPUTED_VALUE"""),"B")</f>
        <v>B</v>
      </c>
      <c r="E764" s="110" t="str">
        <f ca="1">IFERROR(__xludf.DUMMYFUNCTION("""COMPUTED_VALUE"""),"F")</f>
        <v>F</v>
      </c>
      <c r="F764" s="110" t="str">
        <f ca="1">IFERROR(__xludf.DUMMYFUNCTION("""COMPUTED_VALUE"""),"J")</f>
        <v>J</v>
      </c>
      <c r="G764" s="110">
        <f ca="1">IFERROR(__xludf.DUMMYFUNCTION("""COMPUTED_VALUE"""),2)</f>
        <v>2</v>
      </c>
      <c r="H764" s="112" t="str">
        <f ca="1"/>
        <v/>
      </c>
      <c r="I764" s="112" t="str">
        <f ca="1"/>
        <v/>
      </c>
    </row>
    <row r="765" spans="1:9" ht="13.2">
      <c r="A765" s="109" t="str">
        <f ca="1">IFERROR(__xludf.DUMMYFUNCTION("""COMPUTED_VALUE"""),"GF")</f>
        <v>GF</v>
      </c>
      <c r="B765" s="108" t="str">
        <f ca="1">IFERROR(__xludf.DUMMYFUNCTION("""COMPUTED_VALUE"""),"Sasha Gilstrap")</f>
        <v>Sasha Gilstrap</v>
      </c>
      <c r="C765" s="109">
        <f ca="1">IFERROR(__xludf.DUMMYFUNCTION("""COMPUTED_VALUE"""),7)</f>
        <v>7</v>
      </c>
      <c r="D765" s="109" t="str">
        <f ca="1">IFERROR(__xludf.DUMMYFUNCTION("""COMPUTED_VALUE"""),"B")</f>
        <v>B</v>
      </c>
      <c r="E765" s="110" t="str">
        <f ca="1">IFERROR(__xludf.DUMMYFUNCTION("""COMPUTED_VALUE"""),"F")</f>
        <v>F</v>
      </c>
      <c r="F765" s="110" t="str">
        <f ca="1">IFERROR(__xludf.DUMMYFUNCTION("""COMPUTED_VALUE"""),"J")</f>
        <v>J</v>
      </c>
      <c r="G765" s="110">
        <f ca="1">IFERROR(__xludf.DUMMYFUNCTION("""COMPUTED_VALUE"""),2)</f>
        <v>2</v>
      </c>
      <c r="H765" s="112" t="str">
        <f ca="1"/>
        <v/>
      </c>
      <c r="I765" s="81" t="str">
        <f ca="1"/>
        <v/>
      </c>
    </row>
    <row r="766" spans="1:9" ht="13.2">
      <c r="A766" s="109" t="str">
        <f ca="1">IFERROR(__xludf.DUMMYFUNCTION("""COMPUTED_VALUE"""),"GF")</f>
        <v>GF</v>
      </c>
      <c r="B766" s="108" t="str">
        <f ca="1">IFERROR(__xludf.DUMMYFUNCTION("""COMPUTED_VALUE"""),"Sebastian Lam")</f>
        <v>Sebastian Lam</v>
      </c>
      <c r="C766" s="109">
        <f ca="1">IFERROR(__xludf.DUMMYFUNCTION("""COMPUTED_VALUE"""),9)</f>
        <v>9</v>
      </c>
      <c r="D766" s="109" t="str">
        <f ca="1">IFERROR(__xludf.DUMMYFUNCTION("""COMPUTED_VALUE"""),"B")</f>
        <v>B</v>
      </c>
      <c r="E766" s="110" t="str">
        <f ca="1">IFERROR(__xludf.DUMMYFUNCTION("""COMPUTED_VALUE"""),"F")</f>
        <v>F</v>
      </c>
      <c r="F766" s="110" t="str">
        <f ca="1">IFERROR(__xludf.DUMMYFUNCTION("""COMPUTED_VALUE"""),"J")</f>
        <v>J</v>
      </c>
      <c r="G766" s="110">
        <f ca="1">IFERROR(__xludf.DUMMYFUNCTION("""COMPUTED_VALUE"""),2)</f>
        <v>2</v>
      </c>
      <c r="H766" s="112" t="str">
        <f ca="1"/>
        <v>33.3</v>
      </c>
      <c r="I766" s="112">
        <f ca="1"/>
        <v>33.299999999999997</v>
      </c>
    </row>
    <row r="767" spans="1:9" ht="13.2">
      <c r="A767" s="109" t="str">
        <f ca="1">IFERROR(__xludf.DUMMYFUNCTION("""COMPUTED_VALUE"""),"GF")</f>
        <v>GF</v>
      </c>
      <c r="B767" s="108" t="str">
        <f ca="1">IFERROR(__xludf.DUMMYFUNCTION("""COMPUTED_VALUE"""),"Sutton Pierson")</f>
        <v>Sutton Pierson</v>
      </c>
      <c r="C767" s="109">
        <f ca="1">IFERROR(__xludf.DUMMYFUNCTION("""COMPUTED_VALUE"""),5)</f>
        <v>5</v>
      </c>
      <c r="D767" s="109" t="str">
        <f ca="1">IFERROR(__xludf.DUMMYFUNCTION("""COMPUTED_VALUE"""),"B")</f>
        <v>B</v>
      </c>
      <c r="E767" s="110" t="str">
        <f ca="1">IFERROR(__xludf.DUMMYFUNCTION("""COMPUTED_VALUE"""),"F")</f>
        <v>F</v>
      </c>
      <c r="F767" s="110" t="str">
        <f ca="1">IFERROR(__xludf.DUMMYFUNCTION("""COMPUTED_VALUE"""),"J")</f>
        <v>J</v>
      </c>
      <c r="G767" s="110">
        <f ca="1">IFERROR(__xludf.DUMMYFUNCTION("""COMPUTED_VALUE"""),2)</f>
        <v>2</v>
      </c>
      <c r="H767" s="112" t="str">
        <f ca="1"/>
        <v>26.1</v>
      </c>
      <c r="I767" s="112">
        <f ca="1"/>
        <v>26.1</v>
      </c>
    </row>
    <row r="768" spans="1:9" ht="13.2">
      <c r="A768" s="109" t="str">
        <f ca="1">IFERROR(__xludf.DUMMYFUNCTION("""COMPUTED_VALUE"""),"GF")</f>
        <v>GF</v>
      </c>
      <c r="B768" s="108" t="str">
        <f ca="1">IFERROR(__xludf.DUMMYFUNCTION("""COMPUTED_VALUE"""),"Thomas Barletta")</f>
        <v>Thomas Barletta</v>
      </c>
      <c r="C768" s="109">
        <f ca="1">IFERROR(__xludf.DUMMYFUNCTION("""COMPUTED_VALUE"""),7)</f>
        <v>7</v>
      </c>
      <c r="D768" s="109" t="str">
        <f ca="1">IFERROR(__xludf.DUMMYFUNCTION("""COMPUTED_VALUE"""),"B")</f>
        <v>B</v>
      </c>
      <c r="E768" s="110" t="str">
        <f ca="1">IFERROR(__xludf.DUMMYFUNCTION("""COMPUTED_VALUE"""),"F")</f>
        <v>F</v>
      </c>
      <c r="F768" s="110" t="str">
        <f ca="1">IFERROR(__xludf.DUMMYFUNCTION("""COMPUTED_VALUE"""),"J")</f>
        <v>J</v>
      </c>
      <c r="G768" s="110">
        <f ca="1">IFERROR(__xludf.DUMMYFUNCTION("""COMPUTED_VALUE"""),2)</f>
        <v>2</v>
      </c>
      <c r="H768" s="112" t="str">
        <f ca="1"/>
        <v/>
      </c>
      <c r="I768" s="112" t="str">
        <f ca="1"/>
        <v/>
      </c>
    </row>
    <row r="769" spans="1:9" ht="13.2">
      <c r="A769" s="109" t="str">
        <f ca="1">IFERROR(__xludf.DUMMYFUNCTION("""COMPUTED_VALUE"""),"GF")</f>
        <v>GF</v>
      </c>
      <c r="B769" s="108" t="str">
        <f ca="1">IFERROR(__xludf.DUMMYFUNCTION("""COMPUTED_VALUE"""),"William Jeffery")</f>
        <v>William Jeffery</v>
      </c>
      <c r="C769" s="109">
        <f ca="1">IFERROR(__xludf.DUMMYFUNCTION("""COMPUTED_VALUE"""),6)</f>
        <v>6</v>
      </c>
      <c r="D769" s="109" t="str">
        <f ca="1">IFERROR(__xludf.DUMMYFUNCTION("""COMPUTED_VALUE"""),"B")</f>
        <v>B</v>
      </c>
      <c r="E769" s="110" t="str">
        <f ca="1">IFERROR(__xludf.DUMMYFUNCTION("""COMPUTED_VALUE"""),"F")</f>
        <v>F</v>
      </c>
      <c r="F769" s="110" t="str">
        <f ca="1">IFERROR(__xludf.DUMMYFUNCTION("""COMPUTED_VALUE"""),"J")</f>
        <v>J</v>
      </c>
      <c r="G769" s="110">
        <f ca="1">IFERROR(__xludf.DUMMYFUNCTION("""COMPUTED_VALUE"""),2)</f>
        <v>2</v>
      </c>
      <c r="H769" s="112" t="str">
        <f ca="1"/>
        <v>33.05</v>
      </c>
      <c r="I769" s="81">
        <f ca="1"/>
        <v>33.049999999999997</v>
      </c>
    </row>
    <row r="770" spans="1:9" ht="13.2">
      <c r="A770" s="109" t="str">
        <f ca="1">IFERROR(__xludf.DUMMYFUNCTION("""COMPUTED_VALUE"""),"GF")</f>
        <v>GF</v>
      </c>
      <c r="B770" s="108" t="str">
        <f ca="1">IFERROR(__xludf.DUMMYFUNCTION("""COMPUTED_VALUE"""),"Zade Shoheiber")</f>
        <v>Zade Shoheiber</v>
      </c>
      <c r="C770" s="109">
        <f ca="1">IFERROR(__xludf.DUMMYFUNCTION("""COMPUTED_VALUE"""),7)</f>
        <v>7</v>
      </c>
      <c r="D770" s="109" t="str">
        <f ca="1">IFERROR(__xludf.DUMMYFUNCTION("""COMPUTED_VALUE"""),"B")</f>
        <v>B</v>
      </c>
      <c r="E770" s="110" t="str">
        <f ca="1">IFERROR(__xludf.DUMMYFUNCTION("""COMPUTED_VALUE"""),"F")</f>
        <v>F</v>
      </c>
      <c r="F770" s="110" t="str">
        <f ca="1">IFERROR(__xludf.DUMMYFUNCTION("""COMPUTED_VALUE"""),"J")</f>
        <v>J</v>
      </c>
      <c r="G770" s="110">
        <f ca="1">IFERROR(__xludf.DUMMYFUNCTION("""COMPUTED_VALUE"""),2)</f>
        <v>2</v>
      </c>
      <c r="H770" s="112" t="str">
        <f ca="1"/>
        <v/>
      </c>
      <c r="I770" s="81" t="str">
        <f ca="1"/>
        <v/>
      </c>
    </row>
    <row r="771" spans="1:9" ht="13.2">
      <c r="A771" s="109" t="str">
        <f ca="1">IFERROR(__xludf.DUMMYFUNCTION("""COMPUTED_VALUE"""),"GF")</f>
        <v>GF</v>
      </c>
      <c r="B771" s="108" t="str">
        <f ca="1">IFERROR(__xludf.DUMMYFUNCTION("""COMPUTED_VALUE"""),"Abby Bockman")</f>
        <v>Abby Bockman</v>
      </c>
      <c r="C771" s="109">
        <f ca="1">IFERROR(__xludf.DUMMYFUNCTION("""COMPUTED_VALUE"""),6)</f>
        <v>6</v>
      </c>
      <c r="D771" s="109" t="str">
        <f ca="1">IFERROR(__xludf.DUMMYFUNCTION("""COMPUTED_VALUE"""),"G")</f>
        <v>G</v>
      </c>
      <c r="E771" s="110" t="str">
        <f ca="1">IFERROR(__xludf.DUMMYFUNCTION("""COMPUTED_VALUE"""),"F")</f>
        <v>F</v>
      </c>
      <c r="F771" s="110" t="str">
        <f ca="1">IFERROR(__xludf.DUMMYFUNCTION("""COMPUTED_VALUE"""),"J")</f>
        <v>J</v>
      </c>
      <c r="G771" s="110">
        <f ca="1">IFERROR(__xludf.DUMMYFUNCTION("""COMPUTED_VALUE"""),2)</f>
        <v>2</v>
      </c>
      <c r="H771" s="112" t="str">
        <f ca="1"/>
        <v>22.3</v>
      </c>
      <c r="I771" s="112">
        <f ca="1"/>
        <v>22.3</v>
      </c>
    </row>
    <row r="772" spans="1:9" ht="13.2">
      <c r="A772" s="109" t="str">
        <f ca="1">IFERROR(__xludf.DUMMYFUNCTION("""COMPUTED_VALUE"""),"GF")</f>
        <v>GF</v>
      </c>
      <c r="B772" s="108" t="str">
        <f ca="1">IFERROR(__xludf.DUMMYFUNCTION("""COMPUTED_VALUE"""),"Alexa Landi")</f>
        <v>Alexa Landi</v>
      </c>
      <c r="C772" s="109">
        <f ca="1">IFERROR(__xludf.DUMMYFUNCTION("""COMPUTED_VALUE"""),10)</f>
        <v>10</v>
      </c>
      <c r="D772" s="109" t="str">
        <f ca="1">IFERROR(__xludf.DUMMYFUNCTION("""COMPUTED_VALUE"""),"G")</f>
        <v>G</v>
      </c>
      <c r="E772" s="110" t="str">
        <f ca="1">IFERROR(__xludf.DUMMYFUNCTION("""COMPUTED_VALUE"""),"F")</f>
        <v>F</v>
      </c>
      <c r="F772" s="110" t="str">
        <f ca="1">IFERROR(__xludf.DUMMYFUNCTION("""COMPUTED_VALUE"""),"J")</f>
        <v>J</v>
      </c>
      <c r="G772" s="110">
        <f ca="1">IFERROR(__xludf.DUMMYFUNCTION("""COMPUTED_VALUE"""),2)</f>
        <v>2</v>
      </c>
      <c r="H772" s="112" t="str">
        <f ca="1"/>
        <v>38.15</v>
      </c>
      <c r="I772" s="81">
        <f ca="1"/>
        <v>38.15</v>
      </c>
    </row>
    <row r="773" spans="1:9" ht="13.2">
      <c r="A773" s="109" t="str">
        <f ca="1">IFERROR(__xludf.DUMMYFUNCTION("""COMPUTED_VALUE"""),"GF")</f>
        <v>GF</v>
      </c>
      <c r="B773" s="108" t="str">
        <f ca="1">IFERROR(__xludf.DUMMYFUNCTION("""COMPUTED_VALUE"""),"Ali Wiley-Jimenez")</f>
        <v>Ali Wiley-Jimenez</v>
      </c>
      <c r="C773" s="109">
        <f ca="1">IFERROR(__xludf.DUMMYFUNCTION("""COMPUTED_VALUE"""),8)</f>
        <v>8</v>
      </c>
      <c r="D773" s="109" t="str">
        <f ca="1">IFERROR(__xludf.DUMMYFUNCTION("""COMPUTED_VALUE"""),"G")</f>
        <v>G</v>
      </c>
      <c r="E773" s="110" t="str">
        <f ca="1">IFERROR(__xludf.DUMMYFUNCTION("""COMPUTED_VALUE"""),"F")</f>
        <v>F</v>
      </c>
      <c r="F773" s="110" t="str">
        <f ca="1">IFERROR(__xludf.DUMMYFUNCTION("""COMPUTED_VALUE"""),"J")</f>
        <v>J</v>
      </c>
      <c r="G773" s="110">
        <f ca="1">IFERROR(__xludf.DUMMYFUNCTION("""COMPUTED_VALUE"""),2)</f>
        <v>2</v>
      </c>
      <c r="H773" s="112" t="str">
        <f ca="1"/>
        <v/>
      </c>
      <c r="I773" s="112" t="str">
        <f ca="1"/>
        <v/>
      </c>
    </row>
    <row r="774" spans="1:9" ht="13.2">
      <c r="A774" s="109" t="str">
        <f ca="1">IFERROR(__xludf.DUMMYFUNCTION("""COMPUTED_VALUE"""),"GF")</f>
        <v>GF</v>
      </c>
      <c r="B774" s="108" t="str">
        <f ca="1">IFERROR(__xludf.DUMMYFUNCTION("""COMPUTED_VALUE"""),"Amelia Lochhead")</f>
        <v>Amelia Lochhead</v>
      </c>
      <c r="C774" s="109">
        <f ca="1">IFERROR(__xludf.DUMMYFUNCTION("""COMPUTED_VALUE"""),9)</f>
        <v>9</v>
      </c>
      <c r="D774" s="109" t="str">
        <f ca="1">IFERROR(__xludf.DUMMYFUNCTION("""COMPUTED_VALUE"""),"G")</f>
        <v>G</v>
      </c>
      <c r="E774" s="110" t="str">
        <f ca="1">IFERROR(__xludf.DUMMYFUNCTION("""COMPUTED_VALUE"""),"F")</f>
        <v>F</v>
      </c>
      <c r="F774" s="110" t="str">
        <f ca="1">IFERROR(__xludf.DUMMYFUNCTION("""COMPUTED_VALUE"""),"J")</f>
        <v>J</v>
      </c>
      <c r="G774" s="110">
        <f ca="1">IFERROR(__xludf.DUMMYFUNCTION("""COMPUTED_VALUE"""),2)</f>
        <v>2</v>
      </c>
      <c r="H774" s="112" t="str">
        <f ca="1"/>
        <v/>
      </c>
      <c r="I774" s="112" t="str">
        <f ca="1"/>
        <v/>
      </c>
    </row>
    <row r="775" spans="1:9" ht="13.2">
      <c r="A775" s="109" t="str">
        <f ca="1">IFERROR(__xludf.DUMMYFUNCTION("""COMPUTED_VALUE"""),"GF")</f>
        <v>GF</v>
      </c>
      <c r="B775" s="108" t="str">
        <f ca="1">IFERROR(__xludf.DUMMYFUNCTION("""COMPUTED_VALUE"""),"Ana Pourbabai")</f>
        <v>Ana Pourbabai</v>
      </c>
      <c r="C775" s="109">
        <f ca="1">IFERROR(__xludf.DUMMYFUNCTION("""COMPUTED_VALUE"""),9)</f>
        <v>9</v>
      </c>
      <c r="D775" s="109" t="str">
        <f ca="1">IFERROR(__xludf.DUMMYFUNCTION("""COMPUTED_VALUE"""),"G")</f>
        <v>G</v>
      </c>
      <c r="E775" s="110" t="str">
        <f ca="1">IFERROR(__xludf.DUMMYFUNCTION("""COMPUTED_VALUE"""),"F")</f>
        <v>F</v>
      </c>
      <c r="F775" s="110" t="str">
        <f ca="1">IFERROR(__xludf.DUMMYFUNCTION("""COMPUTED_VALUE"""),"J")</f>
        <v>J</v>
      </c>
      <c r="G775" s="110">
        <f ca="1">IFERROR(__xludf.DUMMYFUNCTION("""COMPUTED_VALUE"""),2)</f>
        <v>2</v>
      </c>
      <c r="H775" s="112" t="str">
        <f ca="1"/>
        <v/>
      </c>
      <c r="I775" s="81" t="str">
        <f ca="1"/>
        <v/>
      </c>
    </row>
    <row r="776" spans="1:9" ht="13.2">
      <c r="A776" s="109" t="str">
        <f ca="1">IFERROR(__xludf.DUMMYFUNCTION("""COMPUTED_VALUE"""),"GF")</f>
        <v>GF</v>
      </c>
      <c r="B776" s="108" t="str">
        <f ca="1">IFERROR(__xludf.DUMMYFUNCTION("""COMPUTED_VALUE"""),"Ari Wiley-Jimenez")</f>
        <v>Ari Wiley-Jimenez</v>
      </c>
      <c r="C776" s="109">
        <f ca="1">IFERROR(__xludf.DUMMYFUNCTION("""COMPUTED_VALUE"""),8)</f>
        <v>8</v>
      </c>
      <c r="D776" s="109" t="str">
        <f ca="1">IFERROR(__xludf.DUMMYFUNCTION("""COMPUTED_VALUE"""),"G")</f>
        <v>G</v>
      </c>
      <c r="E776" s="110" t="str">
        <f ca="1">IFERROR(__xludf.DUMMYFUNCTION("""COMPUTED_VALUE"""),"F")</f>
        <v>F</v>
      </c>
      <c r="F776" s="110" t="str">
        <f ca="1">IFERROR(__xludf.DUMMYFUNCTION("""COMPUTED_VALUE"""),"J")</f>
        <v>J</v>
      </c>
      <c r="G776" s="110">
        <f ca="1">IFERROR(__xludf.DUMMYFUNCTION("""COMPUTED_VALUE"""),2)</f>
        <v>2</v>
      </c>
      <c r="H776" s="112" t="str">
        <f ca="1"/>
        <v>71.45</v>
      </c>
      <c r="I776" s="81">
        <f ca="1"/>
        <v>71.45</v>
      </c>
    </row>
    <row r="777" spans="1:9" ht="13.2">
      <c r="A777" s="109" t="str">
        <f ca="1">IFERROR(__xludf.DUMMYFUNCTION("""COMPUTED_VALUE"""),"GF")</f>
        <v>GF</v>
      </c>
      <c r="B777" s="108" t="str">
        <f ca="1">IFERROR(__xludf.DUMMYFUNCTION("""COMPUTED_VALUE"""),"Ashley Sanders")</f>
        <v>Ashley Sanders</v>
      </c>
      <c r="C777" s="109">
        <f ca="1">IFERROR(__xludf.DUMMYFUNCTION("""COMPUTED_VALUE"""),8)</f>
        <v>8</v>
      </c>
      <c r="D777" s="109" t="str">
        <f ca="1">IFERROR(__xludf.DUMMYFUNCTION("""COMPUTED_VALUE"""),"G")</f>
        <v>G</v>
      </c>
      <c r="E777" s="110" t="str">
        <f ca="1">IFERROR(__xludf.DUMMYFUNCTION("""COMPUTED_VALUE"""),"F")</f>
        <v>F</v>
      </c>
      <c r="F777" s="110" t="str">
        <f ca="1">IFERROR(__xludf.DUMMYFUNCTION("""COMPUTED_VALUE"""),"J")</f>
        <v>J</v>
      </c>
      <c r="G777" s="110">
        <f ca="1">IFERROR(__xludf.DUMMYFUNCTION("""COMPUTED_VALUE"""),2)</f>
        <v>2</v>
      </c>
      <c r="H777" s="112" t="str">
        <f ca="1"/>
        <v>25</v>
      </c>
      <c r="I777" s="112">
        <f ca="1"/>
        <v>25</v>
      </c>
    </row>
    <row r="778" spans="1:9" ht="13.2">
      <c r="A778" s="109" t="str">
        <f ca="1">IFERROR(__xludf.DUMMYFUNCTION("""COMPUTED_VALUE"""),"GF")</f>
        <v>GF</v>
      </c>
      <c r="B778" s="108" t="str">
        <f ca="1">IFERROR(__xludf.DUMMYFUNCTION("""COMPUTED_VALUE"""),"Ayla Asner")</f>
        <v>Ayla Asner</v>
      </c>
      <c r="C778" s="109">
        <f ca="1">IFERROR(__xludf.DUMMYFUNCTION("""COMPUTED_VALUE"""),10)</f>
        <v>10</v>
      </c>
      <c r="D778" s="109" t="str">
        <f ca="1">IFERROR(__xludf.DUMMYFUNCTION("""COMPUTED_VALUE"""),"G")</f>
        <v>G</v>
      </c>
      <c r="E778" s="110" t="str">
        <f ca="1">IFERROR(__xludf.DUMMYFUNCTION("""COMPUTED_VALUE"""),"F")</f>
        <v>F</v>
      </c>
      <c r="F778" s="110" t="str">
        <f ca="1">IFERROR(__xludf.DUMMYFUNCTION("""COMPUTED_VALUE"""),"J")</f>
        <v>J</v>
      </c>
      <c r="G778" s="110">
        <f ca="1">IFERROR(__xludf.DUMMYFUNCTION("""COMPUTED_VALUE"""),2)</f>
        <v>2</v>
      </c>
      <c r="H778" s="112" t="str">
        <f ca="1"/>
        <v>34.3</v>
      </c>
      <c r="I778" s="112">
        <f ca="1"/>
        <v>34.299999999999997</v>
      </c>
    </row>
    <row r="779" spans="1:9" ht="13.2">
      <c r="A779" s="109" t="str">
        <f ca="1">IFERROR(__xludf.DUMMYFUNCTION("""COMPUTED_VALUE"""),"GF")</f>
        <v>GF</v>
      </c>
      <c r="B779" s="108" t="str">
        <f ca="1">IFERROR(__xludf.DUMMYFUNCTION("""COMPUTED_VALUE"""),"Bennett Barletta")</f>
        <v>Bennett Barletta</v>
      </c>
      <c r="C779" s="109">
        <f ca="1">IFERROR(__xludf.DUMMYFUNCTION("""COMPUTED_VALUE"""),9)</f>
        <v>9</v>
      </c>
      <c r="D779" s="109" t="str">
        <f ca="1">IFERROR(__xludf.DUMMYFUNCTION("""COMPUTED_VALUE"""),"G")</f>
        <v>G</v>
      </c>
      <c r="E779" s="110" t="str">
        <f ca="1">IFERROR(__xludf.DUMMYFUNCTION("""COMPUTED_VALUE"""),"F")</f>
        <v>F</v>
      </c>
      <c r="F779" s="110" t="str">
        <f ca="1">IFERROR(__xludf.DUMMYFUNCTION("""COMPUTED_VALUE"""),"J")</f>
        <v>J</v>
      </c>
      <c r="G779" s="110">
        <f ca="1">IFERROR(__xludf.DUMMYFUNCTION("""COMPUTED_VALUE"""),2)</f>
        <v>2</v>
      </c>
      <c r="H779" s="112" t="str">
        <f ca="1"/>
        <v/>
      </c>
      <c r="I779" s="81" t="str">
        <f ca="1"/>
        <v/>
      </c>
    </row>
    <row r="780" spans="1:9" ht="13.2">
      <c r="A780" s="109" t="str">
        <f ca="1">IFERROR(__xludf.DUMMYFUNCTION("""COMPUTED_VALUE"""),"GF")</f>
        <v>GF</v>
      </c>
      <c r="B780" s="108" t="str">
        <f ca="1">IFERROR(__xludf.DUMMYFUNCTION("""COMPUTED_VALUE"""),"Byanne Shoheiber")</f>
        <v>Byanne Shoheiber</v>
      </c>
      <c r="C780" s="109">
        <f ca="1">IFERROR(__xludf.DUMMYFUNCTION("""COMPUTED_VALUE"""),9)</f>
        <v>9</v>
      </c>
      <c r="D780" s="109" t="str">
        <f ca="1">IFERROR(__xludf.DUMMYFUNCTION("""COMPUTED_VALUE"""),"G")</f>
        <v>G</v>
      </c>
      <c r="E780" s="110" t="str">
        <f ca="1">IFERROR(__xludf.DUMMYFUNCTION("""COMPUTED_VALUE"""),"F")</f>
        <v>F</v>
      </c>
      <c r="F780" s="110" t="str">
        <f ca="1">IFERROR(__xludf.DUMMYFUNCTION("""COMPUTED_VALUE"""),"J")</f>
        <v>J</v>
      </c>
      <c r="G780" s="110">
        <f ca="1">IFERROR(__xludf.DUMMYFUNCTION("""COMPUTED_VALUE"""),2)</f>
        <v>2</v>
      </c>
      <c r="H780" s="112" t="str">
        <f ca="1"/>
        <v/>
      </c>
      <c r="I780" s="81" t="str">
        <f ca="1"/>
        <v/>
      </c>
    </row>
    <row r="781" spans="1:9" ht="13.2">
      <c r="A781" s="109" t="str">
        <f ca="1">IFERROR(__xludf.DUMMYFUNCTION("""COMPUTED_VALUE"""),"GF")</f>
        <v>GF</v>
      </c>
      <c r="B781" s="108" t="str">
        <f ca="1">IFERROR(__xludf.DUMMYFUNCTION("""COMPUTED_VALUE"""),"Cate Pino")</f>
        <v>Cate Pino</v>
      </c>
      <c r="C781" s="109">
        <f ca="1">IFERROR(__xludf.DUMMYFUNCTION("""COMPUTED_VALUE"""),9)</f>
        <v>9</v>
      </c>
      <c r="D781" s="109" t="str">
        <f ca="1">IFERROR(__xludf.DUMMYFUNCTION("""COMPUTED_VALUE"""),"G")</f>
        <v>G</v>
      </c>
      <c r="E781" s="110" t="str">
        <f ca="1">IFERROR(__xludf.DUMMYFUNCTION("""COMPUTED_VALUE"""),"F")</f>
        <v>F</v>
      </c>
      <c r="F781" s="110" t="str">
        <f ca="1">IFERROR(__xludf.DUMMYFUNCTION("""COMPUTED_VALUE"""),"J")</f>
        <v>J</v>
      </c>
      <c r="G781" s="110">
        <f ca="1">IFERROR(__xludf.DUMMYFUNCTION("""COMPUTED_VALUE"""),2)</f>
        <v>2</v>
      </c>
      <c r="H781" s="112" t="str">
        <f ca="1"/>
        <v/>
      </c>
      <c r="I781" s="112" t="str">
        <f ca="1"/>
        <v/>
      </c>
    </row>
    <row r="782" spans="1:9" ht="13.2">
      <c r="A782" s="109" t="str">
        <f ca="1">IFERROR(__xludf.DUMMYFUNCTION("""COMPUTED_VALUE"""),"GF")</f>
        <v>GF</v>
      </c>
      <c r="B782" s="108" t="str">
        <f ca="1">IFERROR(__xludf.DUMMYFUNCTION("""COMPUTED_VALUE"""),"Daliyah McKimmy")</f>
        <v>Daliyah McKimmy</v>
      </c>
      <c r="C782" s="109">
        <f ca="1">IFERROR(__xludf.DUMMYFUNCTION("""COMPUTED_VALUE"""),10)</f>
        <v>10</v>
      </c>
      <c r="D782" s="109" t="str">
        <f ca="1">IFERROR(__xludf.DUMMYFUNCTION("""COMPUTED_VALUE"""),"G")</f>
        <v>G</v>
      </c>
      <c r="E782" s="110" t="str">
        <f ca="1">IFERROR(__xludf.DUMMYFUNCTION("""COMPUTED_VALUE"""),"F")</f>
        <v>F</v>
      </c>
      <c r="F782" s="110" t="str">
        <f ca="1">IFERROR(__xludf.DUMMYFUNCTION("""COMPUTED_VALUE"""),"J")</f>
        <v>J</v>
      </c>
      <c r="G782" s="110">
        <f ca="1">IFERROR(__xludf.DUMMYFUNCTION("""COMPUTED_VALUE"""),2)</f>
        <v>2</v>
      </c>
      <c r="H782" s="112" t="str">
        <f ca="1"/>
        <v>30.95</v>
      </c>
      <c r="I782" s="81">
        <f ca="1"/>
        <v>30.95</v>
      </c>
    </row>
    <row r="783" spans="1:9" ht="13.2">
      <c r="A783" s="109" t="str">
        <f ca="1">IFERROR(__xludf.DUMMYFUNCTION("""COMPUTED_VALUE"""),"GF")</f>
        <v>GF</v>
      </c>
      <c r="B783" s="108" t="str">
        <f ca="1">IFERROR(__xludf.DUMMYFUNCTION("""COMPUTED_VALUE"""),"Ellie Vroom")</f>
        <v>Ellie Vroom</v>
      </c>
      <c r="C783" s="109">
        <f ca="1">IFERROR(__xludf.DUMMYFUNCTION("""COMPUTED_VALUE"""),9)</f>
        <v>9</v>
      </c>
      <c r="D783" s="109" t="str">
        <f ca="1">IFERROR(__xludf.DUMMYFUNCTION("""COMPUTED_VALUE"""),"G")</f>
        <v>G</v>
      </c>
      <c r="E783" s="110" t="str">
        <f ca="1">IFERROR(__xludf.DUMMYFUNCTION("""COMPUTED_VALUE"""),"F")</f>
        <v>F</v>
      </c>
      <c r="F783" s="110" t="str">
        <f ca="1">IFERROR(__xludf.DUMMYFUNCTION("""COMPUTED_VALUE"""),"J")</f>
        <v>J</v>
      </c>
      <c r="G783" s="110">
        <f ca="1">IFERROR(__xludf.DUMMYFUNCTION("""COMPUTED_VALUE"""),2)</f>
        <v>2</v>
      </c>
      <c r="H783" s="112" t="str">
        <f ca="1"/>
        <v/>
      </c>
      <c r="I783" s="81" t="str">
        <f ca="1"/>
        <v/>
      </c>
    </row>
    <row r="784" spans="1:9" ht="13.2">
      <c r="A784" s="109" t="str">
        <f ca="1">IFERROR(__xludf.DUMMYFUNCTION("""COMPUTED_VALUE"""),"GF")</f>
        <v>GF</v>
      </c>
      <c r="B784" s="108" t="str">
        <f ca="1">IFERROR(__xludf.DUMMYFUNCTION("""COMPUTED_VALUE"""),"Estella Lam")</f>
        <v>Estella Lam</v>
      </c>
      <c r="C784" s="109">
        <f ca="1">IFERROR(__xludf.DUMMYFUNCTION("""COMPUTED_VALUE"""),6)</f>
        <v>6</v>
      </c>
      <c r="D784" s="109" t="str">
        <f ca="1">IFERROR(__xludf.DUMMYFUNCTION("""COMPUTED_VALUE"""),"G")</f>
        <v>G</v>
      </c>
      <c r="E784" s="110" t="str">
        <f ca="1">IFERROR(__xludf.DUMMYFUNCTION("""COMPUTED_VALUE"""),"F")</f>
        <v>F</v>
      </c>
      <c r="F784" s="110" t="str">
        <f ca="1">IFERROR(__xludf.DUMMYFUNCTION("""COMPUTED_VALUE"""),"J")</f>
        <v>J</v>
      </c>
      <c r="G784" s="110">
        <f ca="1">IFERROR(__xludf.DUMMYFUNCTION("""COMPUTED_VALUE"""),2)</f>
        <v>2</v>
      </c>
      <c r="H784" s="112" t="str">
        <f ca="1"/>
        <v>16.2</v>
      </c>
      <c r="I784" s="81">
        <f ca="1"/>
        <v>16.2</v>
      </c>
    </row>
    <row r="785" spans="1:9" ht="13.2">
      <c r="A785" s="109" t="str">
        <f ca="1">IFERROR(__xludf.DUMMYFUNCTION("""COMPUTED_VALUE"""),"GF")</f>
        <v>GF</v>
      </c>
      <c r="B785" s="108" t="str">
        <f ca="1">IFERROR(__xludf.DUMMYFUNCTION("""COMPUTED_VALUE"""),"Heidi Stoddard")</f>
        <v>Heidi Stoddard</v>
      </c>
      <c r="C785" s="109">
        <f ca="1">IFERROR(__xludf.DUMMYFUNCTION("""COMPUTED_VALUE"""),9)</f>
        <v>9</v>
      </c>
      <c r="D785" s="109" t="str">
        <f ca="1">IFERROR(__xludf.DUMMYFUNCTION("""COMPUTED_VALUE"""),"G")</f>
        <v>G</v>
      </c>
      <c r="E785" s="110" t="str">
        <f ca="1">IFERROR(__xludf.DUMMYFUNCTION("""COMPUTED_VALUE"""),"F")</f>
        <v>F</v>
      </c>
      <c r="F785" s="110" t="str">
        <f ca="1">IFERROR(__xludf.DUMMYFUNCTION("""COMPUTED_VALUE"""),"J")</f>
        <v>J</v>
      </c>
      <c r="G785" s="110">
        <f ca="1">IFERROR(__xludf.DUMMYFUNCTION("""COMPUTED_VALUE"""),2)</f>
        <v>2</v>
      </c>
      <c r="H785" s="112" t="str">
        <f ca="1"/>
        <v/>
      </c>
      <c r="I785" s="112" t="str">
        <f ca="1"/>
        <v/>
      </c>
    </row>
    <row r="786" spans="1:9" ht="13.2">
      <c r="A786" s="109" t="str">
        <f ca="1">IFERROR(__xludf.DUMMYFUNCTION("""COMPUTED_VALUE"""),"GF")</f>
        <v>GF</v>
      </c>
      <c r="B786" s="108" t="str">
        <f ca="1">IFERROR(__xludf.DUMMYFUNCTION("""COMPUTED_VALUE"""),"Mia Hansen")</f>
        <v>Mia Hansen</v>
      </c>
      <c r="C786" s="109">
        <f ca="1">IFERROR(__xludf.DUMMYFUNCTION("""COMPUTED_VALUE"""),7)</f>
        <v>7</v>
      </c>
      <c r="D786" s="109" t="str">
        <f ca="1">IFERROR(__xludf.DUMMYFUNCTION("""COMPUTED_VALUE"""),"G")</f>
        <v>G</v>
      </c>
      <c r="E786" s="110" t="str">
        <f ca="1">IFERROR(__xludf.DUMMYFUNCTION("""COMPUTED_VALUE"""),"F")</f>
        <v>F</v>
      </c>
      <c r="F786" s="110" t="str">
        <f ca="1">IFERROR(__xludf.DUMMYFUNCTION("""COMPUTED_VALUE"""),"J")</f>
        <v>J</v>
      </c>
      <c r="G786" s="110">
        <f ca="1">IFERROR(__xludf.DUMMYFUNCTION("""COMPUTED_VALUE"""),2)</f>
        <v>2</v>
      </c>
      <c r="H786" s="112" t="str">
        <f ca="1"/>
        <v/>
      </c>
      <c r="I786" s="81" t="str">
        <f ca="1"/>
        <v/>
      </c>
    </row>
    <row r="787" spans="1:9" ht="13.2">
      <c r="A787" s="109" t="str">
        <f ca="1">IFERROR(__xludf.DUMMYFUNCTION("""COMPUTED_VALUE"""),"GF")</f>
        <v>GF</v>
      </c>
      <c r="B787" s="108" t="str">
        <f ca="1">IFERROR(__xludf.DUMMYFUNCTION("""COMPUTED_VALUE"""),"Nora Mekouar")</f>
        <v>Nora Mekouar</v>
      </c>
      <c r="C787" s="109">
        <f ca="1">IFERROR(__xludf.DUMMYFUNCTION("""COMPUTED_VALUE"""),8)</f>
        <v>8</v>
      </c>
      <c r="D787" s="109" t="str">
        <f ca="1">IFERROR(__xludf.DUMMYFUNCTION("""COMPUTED_VALUE"""),"G")</f>
        <v>G</v>
      </c>
      <c r="E787" s="110" t="str">
        <f ca="1">IFERROR(__xludf.DUMMYFUNCTION("""COMPUTED_VALUE"""),"F")</f>
        <v>F</v>
      </c>
      <c r="F787" s="110" t="str">
        <f ca="1">IFERROR(__xludf.DUMMYFUNCTION("""COMPUTED_VALUE"""),"J")</f>
        <v>J</v>
      </c>
      <c r="G787" s="110">
        <f ca="1">IFERROR(__xludf.DUMMYFUNCTION("""COMPUTED_VALUE"""),2)</f>
        <v>2</v>
      </c>
      <c r="H787" s="112" t="str">
        <f ca="1"/>
        <v/>
      </c>
      <c r="I787" s="81" t="str">
        <f ca="1"/>
        <v/>
      </c>
    </row>
    <row r="788" spans="1:9" ht="13.2">
      <c r="A788" s="109" t="str">
        <f ca="1">IFERROR(__xludf.DUMMYFUNCTION("""COMPUTED_VALUE"""),"GF")</f>
        <v>GF</v>
      </c>
      <c r="B788" s="108" t="str">
        <f ca="1">IFERROR(__xludf.DUMMYFUNCTION("""COMPUTED_VALUE"""),"Olivia Meng")</f>
        <v>Olivia Meng</v>
      </c>
      <c r="C788" s="109">
        <f ca="1">IFERROR(__xludf.DUMMYFUNCTION("""COMPUTED_VALUE"""),8)</f>
        <v>8</v>
      </c>
      <c r="D788" s="109" t="str">
        <f ca="1">IFERROR(__xludf.DUMMYFUNCTION("""COMPUTED_VALUE"""),"G")</f>
        <v>G</v>
      </c>
      <c r="E788" s="110" t="str">
        <f ca="1">IFERROR(__xludf.DUMMYFUNCTION("""COMPUTED_VALUE"""),"F")</f>
        <v>F</v>
      </c>
      <c r="F788" s="110" t="str">
        <f ca="1">IFERROR(__xludf.DUMMYFUNCTION("""COMPUTED_VALUE"""),"J")</f>
        <v>J</v>
      </c>
      <c r="G788" s="110">
        <f ca="1">IFERROR(__xludf.DUMMYFUNCTION("""COMPUTED_VALUE"""),2)</f>
        <v>2</v>
      </c>
      <c r="H788" s="112" t="str">
        <f ca="1"/>
        <v>34.55</v>
      </c>
      <c r="I788" s="112">
        <f ca="1"/>
        <v>34.549999999999997</v>
      </c>
    </row>
    <row r="789" spans="1:9" ht="13.2">
      <c r="A789" s="109" t="str">
        <f ca="1">IFERROR(__xludf.DUMMYFUNCTION("""COMPUTED_VALUE"""),"GF")</f>
        <v>GF</v>
      </c>
      <c r="B789" s="108" t="str">
        <f ca="1">IFERROR(__xludf.DUMMYFUNCTION("""COMPUTED_VALUE"""),"Phoebe Jeffery")</f>
        <v>Phoebe Jeffery</v>
      </c>
      <c r="C789" s="109">
        <f ca="1">IFERROR(__xludf.DUMMYFUNCTION("""COMPUTED_VALUE"""),8)</f>
        <v>8</v>
      </c>
      <c r="D789" s="109" t="str">
        <f ca="1">IFERROR(__xludf.DUMMYFUNCTION("""COMPUTED_VALUE"""),"G")</f>
        <v>G</v>
      </c>
      <c r="E789" s="110" t="str">
        <f ca="1">IFERROR(__xludf.DUMMYFUNCTION("""COMPUTED_VALUE"""),"F")</f>
        <v>F</v>
      </c>
      <c r="F789" s="110" t="str">
        <f ca="1">IFERROR(__xludf.DUMMYFUNCTION("""COMPUTED_VALUE"""),"J")</f>
        <v>J</v>
      </c>
      <c r="G789" s="110">
        <f ca="1">IFERROR(__xludf.DUMMYFUNCTION("""COMPUTED_VALUE"""),2)</f>
        <v>2</v>
      </c>
      <c r="H789" s="112" t="str">
        <f ca="1"/>
        <v>48.5</v>
      </c>
      <c r="I789" s="81">
        <f ca="1"/>
        <v>48.5</v>
      </c>
    </row>
    <row r="790" spans="1:9" ht="13.2">
      <c r="A790" s="109" t="str">
        <f ca="1">IFERROR(__xludf.DUMMYFUNCTION("""COMPUTED_VALUE"""),"GF")</f>
        <v>GF</v>
      </c>
      <c r="B790" s="108" t="str">
        <f ca="1">IFERROR(__xludf.DUMMYFUNCTION("""COMPUTED_VALUE"""),"Riyah McKimmy")</f>
        <v>Riyah McKimmy</v>
      </c>
      <c r="C790" s="109">
        <f ca="1">IFERROR(__xludf.DUMMYFUNCTION("""COMPUTED_VALUE"""),9)</f>
        <v>9</v>
      </c>
      <c r="D790" s="109" t="str">
        <f ca="1">IFERROR(__xludf.DUMMYFUNCTION("""COMPUTED_VALUE"""),"G")</f>
        <v>G</v>
      </c>
      <c r="E790" s="110" t="str">
        <f ca="1">IFERROR(__xludf.DUMMYFUNCTION("""COMPUTED_VALUE"""),"F")</f>
        <v>F</v>
      </c>
      <c r="F790" s="110" t="str">
        <f ca="1">IFERROR(__xludf.DUMMYFUNCTION("""COMPUTED_VALUE"""),"J")</f>
        <v>J</v>
      </c>
      <c r="G790" s="110">
        <f ca="1">IFERROR(__xludf.DUMMYFUNCTION("""COMPUTED_VALUE"""),2)</f>
        <v>2</v>
      </c>
      <c r="H790" s="112" t="str">
        <f ca="1"/>
        <v>29.05</v>
      </c>
      <c r="I790" s="112">
        <f ca="1"/>
        <v>29.05</v>
      </c>
    </row>
    <row r="791" spans="1:9" ht="13.2">
      <c r="A791" s="109" t="str">
        <f ca="1">IFERROR(__xludf.DUMMYFUNCTION("""COMPUTED_VALUE"""),"GF")</f>
        <v>GF</v>
      </c>
      <c r="B791" s="108" t="str">
        <f ca="1">IFERROR(__xludf.DUMMYFUNCTION("""COMPUTED_VALUE"""),"Taylor Mathey")</f>
        <v>Taylor Mathey</v>
      </c>
      <c r="C791" s="109">
        <f ca="1">IFERROR(__xludf.DUMMYFUNCTION("""COMPUTED_VALUE"""),10)</f>
        <v>10</v>
      </c>
      <c r="D791" s="109" t="str">
        <f ca="1">IFERROR(__xludf.DUMMYFUNCTION("""COMPUTED_VALUE"""),"G")</f>
        <v>G</v>
      </c>
      <c r="E791" s="110" t="str">
        <f ca="1">IFERROR(__xludf.DUMMYFUNCTION("""COMPUTED_VALUE"""),"F")</f>
        <v>F</v>
      </c>
      <c r="F791" s="110" t="str">
        <f ca="1">IFERROR(__xludf.DUMMYFUNCTION("""COMPUTED_VALUE"""),"J")</f>
        <v>J</v>
      </c>
      <c r="G791" s="110">
        <f ca="1">IFERROR(__xludf.DUMMYFUNCTION("""COMPUTED_VALUE"""),2)</f>
        <v>2</v>
      </c>
      <c r="H791" s="112" t="str">
        <f ca="1"/>
        <v>34.7</v>
      </c>
      <c r="I791" s="81">
        <f ca="1"/>
        <v>34.700000000000003</v>
      </c>
    </row>
    <row r="792" spans="1:9" ht="13.2">
      <c r="A792" s="109" t="str">
        <f ca="1">IFERROR(__xludf.DUMMYFUNCTION("""COMPUTED_VALUE"""),"GF")</f>
        <v>GF</v>
      </c>
      <c r="B792" s="108" t="str">
        <f ca="1">IFERROR(__xludf.DUMMYFUNCTION("""COMPUTED_VALUE"""),"Cameron Crawford")</f>
        <v>Cameron Crawford</v>
      </c>
      <c r="C792" s="109">
        <f ca="1">IFERROR(__xludf.DUMMYFUNCTION("""COMPUTED_VALUE"""),13)</f>
        <v>13</v>
      </c>
      <c r="D792" s="109" t="str">
        <f ca="1">IFERROR(__xludf.DUMMYFUNCTION("""COMPUTED_VALUE"""),"B")</f>
        <v>B</v>
      </c>
      <c r="E792" s="110" t="str">
        <f ca="1">IFERROR(__xludf.DUMMYFUNCTION("""COMPUTED_VALUE"""),"I")</f>
        <v>I</v>
      </c>
      <c r="F792" s="110" t="str">
        <f ca="1">IFERROR(__xludf.DUMMYFUNCTION("""COMPUTED_VALUE"""),"S")</f>
        <v>S</v>
      </c>
      <c r="G792" s="110">
        <f ca="1">IFERROR(__xludf.DUMMYFUNCTION("""COMPUTED_VALUE"""),2)</f>
        <v>2</v>
      </c>
      <c r="H792" s="112" t="str">
        <f ca="1"/>
        <v/>
      </c>
      <c r="I792" s="81" t="str">
        <f ca="1"/>
        <v/>
      </c>
    </row>
    <row r="793" spans="1:9" ht="13.2">
      <c r="A793" s="109" t="str">
        <f ca="1">IFERROR(__xludf.DUMMYFUNCTION("""COMPUTED_VALUE"""),"GF")</f>
        <v>GF</v>
      </c>
      <c r="B793" s="108" t="str">
        <f ca="1">IFERROR(__xludf.DUMMYFUNCTION("""COMPUTED_VALUE"""),"Cian Gallagher")</f>
        <v>Cian Gallagher</v>
      </c>
      <c r="C793" s="109">
        <f ca="1">IFERROR(__xludf.DUMMYFUNCTION("""COMPUTED_VALUE"""),13)</f>
        <v>13</v>
      </c>
      <c r="D793" s="109" t="str">
        <f ca="1">IFERROR(__xludf.DUMMYFUNCTION("""COMPUTED_VALUE"""),"B")</f>
        <v>B</v>
      </c>
      <c r="E793" s="110" t="str">
        <f ca="1">IFERROR(__xludf.DUMMYFUNCTION("""COMPUTED_VALUE"""),"I")</f>
        <v>I</v>
      </c>
      <c r="F793" s="110" t="str">
        <f ca="1">IFERROR(__xludf.DUMMYFUNCTION("""COMPUTED_VALUE"""),"S")</f>
        <v>S</v>
      </c>
      <c r="G793" s="110">
        <f ca="1">IFERROR(__xludf.DUMMYFUNCTION("""COMPUTED_VALUE"""),2)</f>
        <v>2</v>
      </c>
      <c r="H793" s="112" t="str">
        <f ca="1"/>
        <v/>
      </c>
      <c r="I793" s="81" t="str">
        <f ca="1"/>
        <v/>
      </c>
    </row>
    <row r="794" spans="1:9" ht="13.2">
      <c r="A794" s="109" t="str">
        <f ca="1">IFERROR(__xludf.DUMMYFUNCTION("""COMPUTED_VALUE"""),"GF")</f>
        <v>GF</v>
      </c>
      <c r="B794" s="108" t="str">
        <f ca="1">IFERROR(__xludf.DUMMYFUNCTION("""COMPUTED_VALUE"""),"Kebeer Chawla")</f>
        <v>Kebeer Chawla</v>
      </c>
      <c r="C794" s="109">
        <f ca="1">IFERROR(__xludf.DUMMYFUNCTION("""COMPUTED_VALUE"""),13)</f>
        <v>13</v>
      </c>
      <c r="D794" s="109" t="str">
        <f ca="1">IFERROR(__xludf.DUMMYFUNCTION("""COMPUTED_VALUE"""),"B")</f>
        <v>B</v>
      </c>
      <c r="E794" s="110" t="str">
        <f ca="1">IFERROR(__xludf.DUMMYFUNCTION("""COMPUTED_VALUE"""),"I")</f>
        <v>I</v>
      </c>
      <c r="F794" s="110" t="str">
        <f ca="1">IFERROR(__xludf.DUMMYFUNCTION("""COMPUTED_VALUE"""),"S")</f>
        <v>S</v>
      </c>
      <c r="G794" s="110">
        <f ca="1">IFERROR(__xludf.DUMMYFUNCTION("""COMPUTED_VALUE"""),2)</f>
        <v>2</v>
      </c>
      <c r="H794" s="112" t="str">
        <f ca="1"/>
        <v/>
      </c>
      <c r="I794" s="81" t="str">
        <f ca="1"/>
        <v/>
      </c>
    </row>
    <row r="795" spans="1:9" ht="13.2">
      <c r="A795" s="109" t="str">
        <f ca="1">IFERROR(__xludf.DUMMYFUNCTION("""COMPUTED_VALUE"""),"GF")</f>
        <v>GF</v>
      </c>
      <c r="B795" s="108" t="str">
        <f ca="1">IFERROR(__xludf.DUMMYFUNCTION("""COMPUTED_VALUE"""),"Tajan Wiley-Jimenez")</f>
        <v>Tajan Wiley-Jimenez</v>
      </c>
      <c r="C795" s="109">
        <f ca="1">IFERROR(__xludf.DUMMYFUNCTION("""COMPUTED_VALUE"""),13)</f>
        <v>13</v>
      </c>
      <c r="D795" s="109" t="str">
        <f ca="1">IFERROR(__xludf.DUMMYFUNCTION("""COMPUTED_VALUE"""),"B")</f>
        <v>B</v>
      </c>
      <c r="E795" s="110" t="str">
        <f ca="1">IFERROR(__xludf.DUMMYFUNCTION("""COMPUTED_VALUE"""),"I")</f>
        <v>I</v>
      </c>
      <c r="F795" s="110" t="str">
        <f ca="1">IFERROR(__xludf.DUMMYFUNCTION("""COMPUTED_VALUE"""),"S")</f>
        <v>S</v>
      </c>
      <c r="G795" s="110">
        <f ca="1">IFERROR(__xludf.DUMMYFUNCTION("""COMPUTED_VALUE"""),2)</f>
        <v>2</v>
      </c>
      <c r="H795" s="112" t="str">
        <f ca="1"/>
        <v/>
      </c>
      <c r="I795" s="81" t="str">
        <f ca="1"/>
        <v/>
      </c>
    </row>
    <row r="796" spans="1:9" ht="13.2">
      <c r="A796" s="109" t="str">
        <f ca="1">IFERROR(__xludf.DUMMYFUNCTION("""COMPUTED_VALUE"""),"GF")</f>
        <v>GF</v>
      </c>
      <c r="B796" s="108" t="str">
        <f ca="1">IFERROR(__xludf.DUMMYFUNCTION("""COMPUTED_VALUE"""),"Will Pourbabai")</f>
        <v>Will Pourbabai</v>
      </c>
      <c r="C796" s="109">
        <f ca="1">IFERROR(__xludf.DUMMYFUNCTION("""COMPUTED_VALUE"""),13)</f>
        <v>13</v>
      </c>
      <c r="D796" s="109" t="str">
        <f ca="1">IFERROR(__xludf.DUMMYFUNCTION("""COMPUTED_VALUE"""),"B")</f>
        <v>B</v>
      </c>
      <c r="E796" s="110" t="str">
        <f ca="1">IFERROR(__xludf.DUMMYFUNCTION("""COMPUTED_VALUE"""),"I")</f>
        <v>I</v>
      </c>
      <c r="F796" s="110" t="str">
        <f ca="1">IFERROR(__xludf.DUMMYFUNCTION("""COMPUTED_VALUE"""),"S")</f>
        <v>S</v>
      </c>
      <c r="G796" s="110">
        <f ca="1">IFERROR(__xludf.DUMMYFUNCTION("""COMPUTED_VALUE"""),2)</f>
        <v>2</v>
      </c>
      <c r="H796" s="112" t="str">
        <f ca="1"/>
        <v/>
      </c>
      <c r="I796" s="81" t="str">
        <f ca="1"/>
        <v/>
      </c>
    </row>
    <row r="797" spans="1:9" ht="13.2">
      <c r="A797" s="109" t="str">
        <f ca="1">IFERROR(__xludf.DUMMYFUNCTION("""COMPUTED_VALUE"""),"GF")</f>
        <v>GF</v>
      </c>
      <c r="B797" s="108" t="str">
        <f ca="1">IFERROR(__xludf.DUMMYFUNCTION("""COMPUTED_VALUE"""),"Cami Knight")</f>
        <v>Cami Knight</v>
      </c>
      <c r="C797" s="109">
        <f ca="1">IFERROR(__xludf.DUMMYFUNCTION("""COMPUTED_VALUE"""),14)</f>
        <v>14</v>
      </c>
      <c r="D797" s="109" t="str">
        <f ca="1">IFERROR(__xludf.DUMMYFUNCTION("""COMPUTED_VALUE"""),"G")</f>
        <v>G</v>
      </c>
      <c r="E797" s="110" t="str">
        <f ca="1">IFERROR(__xludf.DUMMYFUNCTION("""COMPUTED_VALUE"""),"I")</f>
        <v>I</v>
      </c>
      <c r="F797" s="110" t="str">
        <f ca="1">IFERROR(__xludf.DUMMYFUNCTION("""COMPUTED_VALUE"""),"S")</f>
        <v>S</v>
      </c>
      <c r="G797" s="110">
        <f ca="1">IFERROR(__xludf.DUMMYFUNCTION("""COMPUTED_VALUE"""),2)</f>
        <v>2</v>
      </c>
      <c r="H797" s="112" t="str">
        <f ca="1"/>
        <v/>
      </c>
      <c r="I797" s="112" t="str">
        <f ca="1"/>
        <v/>
      </c>
    </row>
    <row r="798" spans="1:9" ht="13.2">
      <c r="A798" s="109" t="str">
        <f ca="1">IFERROR(__xludf.DUMMYFUNCTION("""COMPUTED_VALUE"""),"GF")</f>
        <v>GF</v>
      </c>
      <c r="B798" s="108" t="str">
        <f ca="1">IFERROR(__xludf.DUMMYFUNCTION("""COMPUTED_VALUE"""),"Corinne Jaggard")</f>
        <v>Corinne Jaggard</v>
      </c>
      <c r="C798" s="109">
        <f ca="1">IFERROR(__xludf.DUMMYFUNCTION("""COMPUTED_VALUE"""),14)</f>
        <v>14</v>
      </c>
      <c r="D798" s="109" t="str">
        <f ca="1">IFERROR(__xludf.DUMMYFUNCTION("""COMPUTED_VALUE"""),"G")</f>
        <v>G</v>
      </c>
      <c r="E798" s="110" t="str">
        <f ca="1">IFERROR(__xludf.DUMMYFUNCTION("""COMPUTED_VALUE"""),"I")</f>
        <v>I</v>
      </c>
      <c r="F798" s="110" t="str">
        <f ca="1">IFERROR(__xludf.DUMMYFUNCTION("""COMPUTED_VALUE"""),"S")</f>
        <v>S</v>
      </c>
      <c r="G798" s="110">
        <f ca="1">IFERROR(__xludf.DUMMYFUNCTION("""COMPUTED_VALUE"""),2)</f>
        <v>2</v>
      </c>
      <c r="H798" s="112" t="str">
        <f ca="1"/>
        <v/>
      </c>
      <c r="I798" s="81" t="str">
        <f ca="1"/>
        <v/>
      </c>
    </row>
    <row r="799" spans="1:9" ht="13.2">
      <c r="A799" s="109" t="str">
        <f ca="1">IFERROR(__xludf.DUMMYFUNCTION("""COMPUTED_VALUE"""),"GF")</f>
        <v>GF</v>
      </c>
      <c r="B799" s="108" t="str">
        <f ca="1">IFERROR(__xludf.DUMMYFUNCTION("""COMPUTED_VALUE"""),"Ella Decker")</f>
        <v>Ella Decker</v>
      </c>
      <c r="C799" s="109">
        <f ca="1">IFERROR(__xludf.DUMMYFUNCTION("""COMPUTED_VALUE"""),13)</f>
        <v>13</v>
      </c>
      <c r="D799" s="109" t="str">
        <f ca="1">IFERROR(__xludf.DUMMYFUNCTION("""COMPUTED_VALUE"""),"G")</f>
        <v>G</v>
      </c>
      <c r="E799" s="110" t="str">
        <f ca="1">IFERROR(__xludf.DUMMYFUNCTION("""COMPUTED_VALUE"""),"I")</f>
        <v>I</v>
      </c>
      <c r="F799" s="110" t="str">
        <f ca="1">IFERROR(__xludf.DUMMYFUNCTION("""COMPUTED_VALUE"""),"S")</f>
        <v>S</v>
      </c>
      <c r="G799" s="110">
        <f ca="1">IFERROR(__xludf.DUMMYFUNCTION("""COMPUTED_VALUE"""),2)</f>
        <v>2</v>
      </c>
      <c r="H799" s="112" t="str">
        <f ca="1"/>
        <v/>
      </c>
      <c r="I799" s="112" t="str">
        <f ca="1"/>
        <v/>
      </c>
    </row>
    <row r="800" spans="1:9" ht="13.2">
      <c r="A800" s="109" t="str">
        <f ca="1">IFERROR(__xludf.DUMMYFUNCTION("""COMPUTED_VALUE"""),"GF")</f>
        <v>GF</v>
      </c>
      <c r="B800" s="108" t="str">
        <f ca="1">IFERROR(__xludf.DUMMYFUNCTION("""COMPUTED_VALUE"""),"Grant Clark")</f>
        <v>Grant Clark</v>
      </c>
      <c r="C800" s="109">
        <f ca="1">IFERROR(__xludf.DUMMYFUNCTION("""COMPUTED_VALUE"""),11)</f>
        <v>11</v>
      </c>
      <c r="D800" s="109" t="str">
        <f ca="1">IFERROR(__xludf.DUMMYFUNCTION("""COMPUTED_VALUE"""),"B")</f>
        <v>B</v>
      </c>
      <c r="E800" s="110" t="str">
        <f ca="1">IFERROR(__xludf.DUMMYFUNCTION("""COMPUTED_VALUE"""),"J")</f>
        <v>J</v>
      </c>
      <c r="F800" s="110" t="str">
        <f ca="1">IFERROR(__xludf.DUMMYFUNCTION("""COMPUTED_VALUE"""),"I")</f>
        <v>I</v>
      </c>
      <c r="G800" s="110">
        <f ca="1">IFERROR(__xludf.DUMMYFUNCTION("""COMPUTED_VALUE"""),2)</f>
        <v>2</v>
      </c>
      <c r="H800" s="112" t="str">
        <f ca="1"/>
        <v/>
      </c>
      <c r="I800" s="112" t="str">
        <f ca="1"/>
        <v/>
      </c>
    </row>
    <row r="801" spans="1:9" ht="13.2">
      <c r="A801" s="109" t="str">
        <f ca="1">IFERROR(__xludf.DUMMYFUNCTION("""COMPUTED_VALUE"""),"GF")</f>
        <v>GF</v>
      </c>
      <c r="B801" s="108" t="str">
        <f ca="1">IFERROR(__xludf.DUMMYFUNCTION("""COMPUTED_VALUE"""),"Hudson Clayton")</f>
        <v>Hudson Clayton</v>
      </c>
      <c r="C801" s="109">
        <f ca="1">IFERROR(__xludf.DUMMYFUNCTION("""COMPUTED_VALUE"""),11)</f>
        <v>11</v>
      </c>
      <c r="D801" s="109" t="str">
        <f ca="1">IFERROR(__xludf.DUMMYFUNCTION("""COMPUTED_VALUE"""),"B")</f>
        <v>B</v>
      </c>
      <c r="E801" s="110" t="str">
        <f ca="1">IFERROR(__xludf.DUMMYFUNCTION("""COMPUTED_VALUE"""),"J")</f>
        <v>J</v>
      </c>
      <c r="F801" s="110" t="str">
        <f ca="1">IFERROR(__xludf.DUMMYFUNCTION("""COMPUTED_VALUE"""),"I")</f>
        <v>I</v>
      </c>
      <c r="G801" s="110">
        <f ca="1">IFERROR(__xludf.DUMMYFUNCTION("""COMPUTED_VALUE"""),2)</f>
        <v>2</v>
      </c>
      <c r="H801" s="112" t="str">
        <f ca="1"/>
        <v>49.3</v>
      </c>
      <c r="I801" s="81">
        <f ca="1"/>
        <v>49.3</v>
      </c>
    </row>
    <row r="802" spans="1:9" ht="13.2">
      <c r="A802" s="109" t="str">
        <f ca="1">IFERROR(__xludf.DUMMYFUNCTION("""COMPUTED_VALUE"""),"GF")</f>
        <v>GF</v>
      </c>
      <c r="B802" s="108" t="str">
        <f ca="1">IFERROR(__xludf.DUMMYFUNCTION("""COMPUTED_VALUE"""),"Lucian DeBellia")</f>
        <v>Lucian DeBellia</v>
      </c>
      <c r="C802" s="109">
        <f ca="1">IFERROR(__xludf.DUMMYFUNCTION("""COMPUTED_VALUE"""),11)</f>
        <v>11</v>
      </c>
      <c r="D802" s="109" t="str">
        <f ca="1">IFERROR(__xludf.DUMMYFUNCTION("""COMPUTED_VALUE"""),"B")</f>
        <v>B</v>
      </c>
      <c r="E802" s="110" t="str">
        <f ca="1">IFERROR(__xludf.DUMMYFUNCTION("""COMPUTED_VALUE"""),"J")</f>
        <v>J</v>
      </c>
      <c r="F802" s="110" t="str">
        <f ca="1">IFERROR(__xludf.DUMMYFUNCTION("""COMPUTED_VALUE"""),"I")</f>
        <v>I</v>
      </c>
      <c r="G802" s="110">
        <f ca="1">IFERROR(__xludf.DUMMYFUNCTION("""COMPUTED_VALUE"""),2)</f>
        <v>2</v>
      </c>
      <c r="H802" s="112" t="str">
        <f ca="1"/>
        <v/>
      </c>
      <c r="I802" s="81" t="str">
        <f ca="1"/>
        <v/>
      </c>
    </row>
    <row r="803" spans="1:9" ht="13.2">
      <c r="A803" s="109" t="str">
        <f ca="1">IFERROR(__xludf.DUMMYFUNCTION("""COMPUTED_VALUE"""),"GF")</f>
        <v>GF</v>
      </c>
      <c r="B803" s="108" t="str">
        <f ca="1">IFERROR(__xludf.DUMMYFUNCTION("""COMPUTED_VALUE"""),"Peter Baird")</f>
        <v>Peter Baird</v>
      </c>
      <c r="C803" s="109">
        <f ca="1">IFERROR(__xludf.DUMMYFUNCTION("""COMPUTED_VALUE"""),12)</f>
        <v>12</v>
      </c>
      <c r="D803" s="109" t="str">
        <f ca="1">IFERROR(__xludf.DUMMYFUNCTION("""COMPUTED_VALUE"""),"B")</f>
        <v>B</v>
      </c>
      <c r="E803" s="110" t="str">
        <f ca="1">IFERROR(__xludf.DUMMYFUNCTION("""COMPUTED_VALUE"""),"J")</f>
        <v>J</v>
      </c>
      <c r="F803" s="110" t="str">
        <f ca="1">IFERROR(__xludf.DUMMYFUNCTION("""COMPUTED_VALUE"""),"I")</f>
        <v>I</v>
      </c>
      <c r="G803" s="110">
        <f ca="1">IFERROR(__xludf.DUMMYFUNCTION("""COMPUTED_VALUE"""),2)</f>
        <v>2</v>
      </c>
      <c r="H803" s="112" t="str">
        <f ca="1"/>
        <v/>
      </c>
      <c r="I803" s="112" t="str">
        <f ca="1"/>
        <v/>
      </c>
    </row>
    <row r="804" spans="1:9" ht="13.2">
      <c r="A804" s="109" t="str">
        <f ca="1">IFERROR(__xludf.DUMMYFUNCTION("""COMPUTED_VALUE"""),"GF")</f>
        <v>GF</v>
      </c>
      <c r="B804" s="108" t="str">
        <f ca="1">IFERROR(__xludf.DUMMYFUNCTION("""COMPUTED_VALUE"""),"Trey Donovan")</f>
        <v>Trey Donovan</v>
      </c>
      <c r="C804" s="109">
        <f ca="1">IFERROR(__xludf.DUMMYFUNCTION("""COMPUTED_VALUE"""),11)</f>
        <v>11</v>
      </c>
      <c r="D804" s="109" t="str">
        <f ca="1">IFERROR(__xludf.DUMMYFUNCTION("""COMPUTED_VALUE"""),"B")</f>
        <v>B</v>
      </c>
      <c r="E804" s="110" t="str">
        <f ca="1">IFERROR(__xludf.DUMMYFUNCTION("""COMPUTED_VALUE"""),"J")</f>
        <v>J</v>
      </c>
      <c r="F804" s="110" t="str">
        <f ca="1">IFERROR(__xludf.DUMMYFUNCTION("""COMPUTED_VALUE"""),"I")</f>
        <v>I</v>
      </c>
      <c r="G804" s="110">
        <f ca="1">IFERROR(__xludf.DUMMYFUNCTION("""COMPUTED_VALUE"""),2)</f>
        <v>2</v>
      </c>
      <c r="H804" s="112" t="str">
        <f ca="1"/>
        <v/>
      </c>
      <c r="I804" s="81" t="str">
        <f ca="1"/>
        <v/>
      </c>
    </row>
    <row r="805" spans="1:9" ht="13.2">
      <c r="A805" s="109" t="str">
        <f ca="1">IFERROR(__xludf.DUMMYFUNCTION("""COMPUTED_VALUE"""),"GF")</f>
        <v>GF</v>
      </c>
      <c r="B805" s="108" t="str">
        <f ca="1">IFERROR(__xludf.DUMMYFUNCTION("""COMPUTED_VALUE"""),"Vincent Landi")</f>
        <v>Vincent Landi</v>
      </c>
      <c r="C805" s="109">
        <f ca="1">IFERROR(__xludf.DUMMYFUNCTION("""COMPUTED_VALUE"""),11)</f>
        <v>11</v>
      </c>
      <c r="D805" s="109" t="str">
        <f ca="1">IFERROR(__xludf.DUMMYFUNCTION("""COMPUTED_VALUE"""),"B")</f>
        <v>B</v>
      </c>
      <c r="E805" s="110" t="str">
        <f ca="1">IFERROR(__xludf.DUMMYFUNCTION("""COMPUTED_VALUE"""),"J")</f>
        <v>J</v>
      </c>
      <c r="F805" s="110" t="str">
        <f ca="1">IFERROR(__xludf.DUMMYFUNCTION("""COMPUTED_VALUE"""),"I")</f>
        <v>I</v>
      </c>
      <c r="G805" s="110">
        <f ca="1">IFERROR(__xludf.DUMMYFUNCTION("""COMPUTED_VALUE"""),2)</f>
        <v>2</v>
      </c>
      <c r="H805" s="112" t="str">
        <f ca="1"/>
        <v>46.55</v>
      </c>
      <c r="I805" s="112">
        <f ca="1"/>
        <v>46.55</v>
      </c>
    </row>
    <row r="806" spans="1:9" ht="13.2">
      <c r="A806" s="109" t="str">
        <f ca="1">IFERROR(__xludf.DUMMYFUNCTION("""COMPUTED_VALUE"""),"GF")</f>
        <v>GF</v>
      </c>
      <c r="B806" s="108" t="str">
        <f ca="1">IFERROR(__xludf.DUMMYFUNCTION("""COMPUTED_VALUE"""),"Caroline Mascatella")</f>
        <v>Caroline Mascatella</v>
      </c>
      <c r="C806" s="109">
        <f ca="1">IFERROR(__xludf.DUMMYFUNCTION("""COMPUTED_VALUE"""),11)</f>
        <v>11</v>
      </c>
      <c r="D806" s="109" t="str">
        <f ca="1">IFERROR(__xludf.DUMMYFUNCTION("""COMPUTED_VALUE"""),"G")</f>
        <v>G</v>
      </c>
      <c r="E806" s="110" t="str">
        <f ca="1">IFERROR(__xludf.DUMMYFUNCTION("""COMPUTED_VALUE"""),"J")</f>
        <v>J</v>
      </c>
      <c r="F806" s="110" t="str">
        <f ca="1">IFERROR(__xludf.DUMMYFUNCTION("""COMPUTED_VALUE"""),"I")</f>
        <v>I</v>
      </c>
      <c r="G806" s="110">
        <f ca="1">IFERROR(__xludf.DUMMYFUNCTION("""COMPUTED_VALUE"""),2)</f>
        <v>2</v>
      </c>
      <c r="H806" s="112" t="str">
        <f ca="1"/>
        <v/>
      </c>
      <c r="I806" s="112" t="str">
        <f ca="1"/>
        <v/>
      </c>
    </row>
    <row r="807" spans="1:9" ht="13.2">
      <c r="A807" s="109" t="str">
        <f ca="1">IFERROR(__xludf.DUMMYFUNCTION("""COMPUTED_VALUE"""),"GF")</f>
        <v>GF</v>
      </c>
      <c r="B807" s="108" t="str">
        <f ca="1">IFERROR(__xludf.DUMMYFUNCTION("""COMPUTED_VALUE"""),"Christine Rolph")</f>
        <v>Christine Rolph</v>
      </c>
      <c r="C807" s="109">
        <f ca="1">IFERROR(__xludf.DUMMYFUNCTION("""COMPUTED_VALUE"""),11)</f>
        <v>11</v>
      </c>
      <c r="D807" s="109" t="str">
        <f ca="1">IFERROR(__xludf.DUMMYFUNCTION("""COMPUTED_VALUE"""),"G")</f>
        <v>G</v>
      </c>
      <c r="E807" s="110" t="str">
        <f ca="1">IFERROR(__xludf.DUMMYFUNCTION("""COMPUTED_VALUE"""),"J")</f>
        <v>J</v>
      </c>
      <c r="F807" s="110" t="str">
        <f ca="1">IFERROR(__xludf.DUMMYFUNCTION("""COMPUTED_VALUE"""),"I")</f>
        <v>I</v>
      </c>
      <c r="G807" s="110">
        <f ca="1">IFERROR(__xludf.DUMMYFUNCTION("""COMPUTED_VALUE"""),2)</f>
        <v>2</v>
      </c>
      <c r="H807" s="112" t="str">
        <f ca="1"/>
        <v/>
      </c>
      <c r="I807" s="81" t="str">
        <f ca="1"/>
        <v/>
      </c>
    </row>
    <row r="808" spans="1:9" ht="13.2">
      <c r="A808" s="109" t="str">
        <f ca="1">IFERROR(__xludf.DUMMYFUNCTION("""COMPUTED_VALUE"""),"GF")</f>
        <v>GF</v>
      </c>
      <c r="B808" s="108" t="str">
        <f ca="1">IFERROR(__xludf.DUMMYFUNCTION("""COMPUTED_VALUE"""),"Elizabeth Crawford")</f>
        <v>Elizabeth Crawford</v>
      </c>
      <c r="C808" s="109">
        <f ca="1">IFERROR(__xludf.DUMMYFUNCTION("""COMPUTED_VALUE"""),11)</f>
        <v>11</v>
      </c>
      <c r="D808" s="109" t="str">
        <f ca="1">IFERROR(__xludf.DUMMYFUNCTION("""COMPUTED_VALUE"""),"G")</f>
        <v>G</v>
      </c>
      <c r="E808" s="110" t="str">
        <f ca="1">IFERROR(__xludf.DUMMYFUNCTION("""COMPUTED_VALUE"""),"J")</f>
        <v>J</v>
      </c>
      <c r="F808" s="110" t="str">
        <f ca="1">IFERROR(__xludf.DUMMYFUNCTION("""COMPUTED_VALUE"""),"I")</f>
        <v>I</v>
      </c>
      <c r="G808" s="110">
        <f ca="1">IFERROR(__xludf.DUMMYFUNCTION("""COMPUTED_VALUE"""),2)</f>
        <v>2</v>
      </c>
      <c r="H808" s="112" t="str">
        <f ca="1"/>
        <v/>
      </c>
      <c r="I808" s="81" t="str">
        <f ca="1"/>
        <v/>
      </c>
    </row>
    <row r="809" spans="1:9" ht="13.2">
      <c r="A809" s="109" t="str">
        <f ca="1">IFERROR(__xludf.DUMMYFUNCTION("""COMPUTED_VALUE"""),"GF")</f>
        <v>GF</v>
      </c>
      <c r="B809" s="108" t="str">
        <f ca="1">IFERROR(__xludf.DUMMYFUNCTION("""COMPUTED_VALUE"""),"Gigi Ruse")</f>
        <v>Gigi Ruse</v>
      </c>
      <c r="C809" s="109">
        <f ca="1">IFERROR(__xludf.DUMMYFUNCTION("""COMPUTED_VALUE"""),12)</f>
        <v>12</v>
      </c>
      <c r="D809" s="109" t="str">
        <f ca="1">IFERROR(__xludf.DUMMYFUNCTION("""COMPUTED_VALUE"""),"G")</f>
        <v>G</v>
      </c>
      <c r="E809" s="110" t="str">
        <f ca="1">IFERROR(__xludf.DUMMYFUNCTION("""COMPUTED_VALUE"""),"J")</f>
        <v>J</v>
      </c>
      <c r="F809" s="110" t="str">
        <f ca="1">IFERROR(__xludf.DUMMYFUNCTION("""COMPUTED_VALUE"""),"I")</f>
        <v>I</v>
      </c>
      <c r="G809" s="110">
        <f ca="1">IFERROR(__xludf.DUMMYFUNCTION("""COMPUTED_VALUE"""),2)</f>
        <v>2</v>
      </c>
      <c r="H809" s="112" t="str">
        <f ca="1"/>
        <v/>
      </c>
      <c r="I809" s="112" t="str">
        <f ca="1"/>
        <v/>
      </c>
    </row>
    <row r="810" spans="1:9" ht="13.2">
      <c r="A810" s="109" t="str">
        <f ca="1">IFERROR(__xludf.DUMMYFUNCTION("""COMPUTED_VALUE"""),"GF")</f>
        <v>GF</v>
      </c>
      <c r="B810" s="108" t="str">
        <f ca="1">IFERROR(__xludf.DUMMYFUNCTION("""COMPUTED_VALUE"""),"Mary Clare Abela")</f>
        <v>Mary Clare Abela</v>
      </c>
      <c r="C810" s="109">
        <f ca="1">IFERROR(__xludf.DUMMYFUNCTION("""COMPUTED_VALUE"""),12)</f>
        <v>12</v>
      </c>
      <c r="D810" s="109" t="str">
        <f ca="1">IFERROR(__xludf.DUMMYFUNCTION("""COMPUTED_VALUE"""),"G")</f>
        <v>G</v>
      </c>
      <c r="E810" s="110" t="str">
        <f ca="1">IFERROR(__xludf.DUMMYFUNCTION("""COMPUTED_VALUE"""),"J")</f>
        <v>J</v>
      </c>
      <c r="F810" s="110" t="str">
        <f ca="1">IFERROR(__xludf.DUMMYFUNCTION("""COMPUTED_VALUE"""),"I")</f>
        <v>I</v>
      </c>
      <c r="G810" s="110">
        <f ca="1">IFERROR(__xludf.DUMMYFUNCTION("""COMPUTED_VALUE"""),2)</f>
        <v>2</v>
      </c>
      <c r="H810" s="112" t="str">
        <f ca="1"/>
        <v/>
      </c>
      <c r="I810" s="112" t="str">
        <f ca="1"/>
        <v/>
      </c>
    </row>
    <row r="811" spans="1:9" ht="13.2">
      <c r="A811" s="109" t="str">
        <f ca="1">IFERROR(__xludf.DUMMYFUNCTION("""COMPUTED_VALUE"""),"GF")</f>
        <v>GF</v>
      </c>
      <c r="B811" s="108" t="str">
        <f ca="1">IFERROR(__xludf.DUMMYFUNCTION("""COMPUTED_VALUE"""),"Mia Nash")</f>
        <v>Mia Nash</v>
      </c>
      <c r="C811" s="109">
        <f ca="1">IFERROR(__xludf.DUMMYFUNCTION("""COMPUTED_VALUE"""),12)</f>
        <v>12</v>
      </c>
      <c r="D811" s="109" t="str">
        <f ca="1">IFERROR(__xludf.DUMMYFUNCTION("""COMPUTED_VALUE"""),"G")</f>
        <v>G</v>
      </c>
      <c r="E811" s="110" t="str">
        <f ca="1">IFERROR(__xludf.DUMMYFUNCTION("""COMPUTED_VALUE"""),"J")</f>
        <v>J</v>
      </c>
      <c r="F811" s="110" t="str">
        <f ca="1">IFERROR(__xludf.DUMMYFUNCTION("""COMPUTED_VALUE"""),"I")</f>
        <v>I</v>
      </c>
      <c r="G811" s="110">
        <f ca="1">IFERROR(__xludf.DUMMYFUNCTION("""COMPUTED_VALUE"""),2)</f>
        <v>2</v>
      </c>
      <c r="H811" s="112" t="str">
        <f ca="1"/>
        <v/>
      </c>
      <c r="I811" s="112" t="str">
        <f ca="1"/>
        <v/>
      </c>
    </row>
    <row r="812" spans="1:9" ht="13.2">
      <c r="A812" s="109" t="str">
        <f ca="1">IFERROR(__xludf.DUMMYFUNCTION("""COMPUTED_VALUE"""),"GF")</f>
        <v>GF</v>
      </c>
      <c r="B812" s="108" t="str">
        <f ca="1">IFERROR(__xludf.DUMMYFUNCTION("""COMPUTED_VALUE"""),"Natalie Aucoin")</f>
        <v>Natalie Aucoin</v>
      </c>
      <c r="C812" s="109">
        <f ca="1">IFERROR(__xludf.DUMMYFUNCTION("""COMPUTED_VALUE"""),12)</f>
        <v>12</v>
      </c>
      <c r="D812" s="109" t="str">
        <f ca="1">IFERROR(__xludf.DUMMYFUNCTION("""COMPUTED_VALUE"""),"G")</f>
        <v>G</v>
      </c>
      <c r="E812" s="110" t="str">
        <f ca="1">IFERROR(__xludf.DUMMYFUNCTION("""COMPUTED_VALUE"""),"J")</f>
        <v>J</v>
      </c>
      <c r="F812" s="110" t="str">
        <f ca="1">IFERROR(__xludf.DUMMYFUNCTION("""COMPUTED_VALUE"""),"I")</f>
        <v>I</v>
      </c>
      <c r="G812" s="110">
        <f ca="1">IFERROR(__xludf.DUMMYFUNCTION("""COMPUTED_VALUE"""),2)</f>
        <v>2</v>
      </c>
      <c r="H812" s="112" t="str">
        <f ca="1"/>
        <v/>
      </c>
      <c r="I812" s="112" t="str">
        <f ca="1"/>
        <v/>
      </c>
    </row>
    <row r="813" spans="1:9" ht="13.2">
      <c r="A813" s="109" t="str">
        <f ca="1">IFERROR(__xludf.DUMMYFUNCTION("""COMPUTED_VALUE"""),"GF")</f>
        <v>GF</v>
      </c>
      <c r="B813" s="108" t="str">
        <f ca="1">IFERROR(__xludf.DUMMYFUNCTION("""COMPUTED_VALUE"""),"Samantha Schiller")</f>
        <v>Samantha Schiller</v>
      </c>
      <c r="C813" s="109">
        <f ca="1">IFERROR(__xludf.DUMMYFUNCTION("""COMPUTED_VALUE"""),12)</f>
        <v>12</v>
      </c>
      <c r="D813" s="109" t="str">
        <f ca="1">IFERROR(__xludf.DUMMYFUNCTION("""COMPUTED_VALUE"""),"G")</f>
        <v>G</v>
      </c>
      <c r="E813" s="110" t="str">
        <f ca="1">IFERROR(__xludf.DUMMYFUNCTION("""COMPUTED_VALUE"""),"J")</f>
        <v>J</v>
      </c>
      <c r="F813" s="110" t="str">
        <f ca="1">IFERROR(__xludf.DUMMYFUNCTION("""COMPUTED_VALUE"""),"I")</f>
        <v>I</v>
      </c>
      <c r="G813" s="110">
        <f ca="1">IFERROR(__xludf.DUMMYFUNCTION("""COMPUTED_VALUE"""),2)</f>
        <v>2</v>
      </c>
      <c r="H813" s="112" t="str">
        <f ca="1"/>
        <v/>
      </c>
      <c r="I813" s="81" t="str">
        <f ca="1"/>
        <v/>
      </c>
    </row>
    <row r="814" spans="1:9" ht="13.2">
      <c r="A814" s="109" t="str">
        <f ca="1">IFERROR(__xludf.DUMMYFUNCTION("""COMPUTED_VALUE"""),"GF")</f>
        <v>GF</v>
      </c>
      <c r="B814" s="108" t="str">
        <f ca="1">IFERROR(__xludf.DUMMYFUNCTION("""COMPUTED_VALUE"""),"Sophia Dalton")</f>
        <v>Sophia Dalton</v>
      </c>
      <c r="C814" s="109">
        <f ca="1">IFERROR(__xludf.DUMMYFUNCTION("""COMPUTED_VALUE"""),11)</f>
        <v>11</v>
      </c>
      <c r="D814" s="109" t="str">
        <f ca="1">IFERROR(__xludf.DUMMYFUNCTION("""COMPUTED_VALUE"""),"G")</f>
        <v>G</v>
      </c>
      <c r="E814" s="110" t="str">
        <f ca="1">IFERROR(__xludf.DUMMYFUNCTION("""COMPUTED_VALUE"""),"J")</f>
        <v>J</v>
      </c>
      <c r="F814" s="110" t="str">
        <f ca="1">IFERROR(__xludf.DUMMYFUNCTION("""COMPUTED_VALUE"""),"I")</f>
        <v>I</v>
      </c>
      <c r="G814" s="110">
        <f ca="1">IFERROR(__xludf.DUMMYFUNCTION("""COMPUTED_VALUE"""),2)</f>
        <v>2</v>
      </c>
      <c r="H814" s="112" t="str">
        <f ca="1"/>
        <v/>
      </c>
      <c r="I814" s="112" t="str">
        <f ca="1"/>
        <v/>
      </c>
    </row>
    <row r="815" spans="1:9" ht="13.2">
      <c r="A815" s="109" t="str">
        <f ca="1">IFERROR(__xludf.DUMMYFUNCTION("""COMPUTED_VALUE"""),"GF")</f>
        <v>GF</v>
      </c>
      <c r="B815" s="108" t="str">
        <f ca="1">IFERROR(__xludf.DUMMYFUNCTION("""COMPUTED_VALUE"""),"Teagan Coulon")</f>
        <v>Teagan Coulon</v>
      </c>
      <c r="C815" s="109">
        <f ca="1">IFERROR(__xludf.DUMMYFUNCTION("""COMPUTED_VALUE"""),11)</f>
        <v>11</v>
      </c>
      <c r="D815" s="109" t="str">
        <f ca="1">IFERROR(__xludf.DUMMYFUNCTION("""COMPUTED_VALUE"""),"G")</f>
        <v>G</v>
      </c>
      <c r="E815" s="110" t="str">
        <f ca="1">IFERROR(__xludf.DUMMYFUNCTION("""COMPUTED_VALUE"""),"J")</f>
        <v>J</v>
      </c>
      <c r="F815" s="110" t="str">
        <f ca="1">IFERROR(__xludf.DUMMYFUNCTION("""COMPUTED_VALUE"""),"I")</f>
        <v>I</v>
      </c>
      <c r="G815" s="110">
        <f ca="1">IFERROR(__xludf.DUMMYFUNCTION("""COMPUTED_VALUE"""),2)</f>
        <v>2</v>
      </c>
      <c r="H815" s="112" t="str">
        <f ca="1"/>
        <v/>
      </c>
      <c r="I815" s="112" t="str">
        <f ca="1"/>
        <v/>
      </c>
    </row>
    <row r="816" spans="1:9" ht="13.2">
      <c r="A816" s="109" t="str">
        <f ca="1">IFERROR(__xludf.DUMMYFUNCTION("""COMPUTED_VALUE"""),"GF")</f>
        <v>GF</v>
      </c>
      <c r="B816" s="108" t="str">
        <f ca="1">IFERROR(__xludf.DUMMYFUNCTION("""COMPUTED_VALUE"""),"Adam Manley")</f>
        <v>Adam Manley</v>
      </c>
      <c r="C816" s="109">
        <f ca="1">IFERROR(__xludf.DUMMYFUNCTION("""COMPUTED_VALUE"""),16)</f>
        <v>16</v>
      </c>
      <c r="D816" s="109" t="str">
        <f ca="1">IFERROR(__xludf.DUMMYFUNCTION("""COMPUTED_VALUE"""),"B")</f>
        <v>B</v>
      </c>
      <c r="E816" s="110" t="str">
        <f ca="1">IFERROR(__xludf.DUMMYFUNCTION("""COMPUTED_VALUE"""),"S")</f>
        <v>S</v>
      </c>
      <c r="F816" s="110" t="str">
        <f ca="1">IFERROR(__xludf.DUMMYFUNCTION("""COMPUTED_VALUE"""),"S")</f>
        <v>S</v>
      </c>
      <c r="G816" s="110">
        <f ca="1">IFERROR(__xludf.DUMMYFUNCTION("""COMPUTED_VALUE"""),2)</f>
        <v>2</v>
      </c>
      <c r="H816" s="112" t="str">
        <f ca="1"/>
        <v/>
      </c>
      <c r="I816" s="81" t="str">
        <f ca="1"/>
        <v/>
      </c>
    </row>
    <row r="817" spans="1:9" ht="13.2">
      <c r="A817" s="109" t="str">
        <f ca="1">IFERROR(__xludf.DUMMYFUNCTION("""COMPUTED_VALUE"""),"GF")</f>
        <v>GF</v>
      </c>
      <c r="B817" s="108" t="str">
        <f ca="1">IFERROR(__xludf.DUMMYFUNCTION("""COMPUTED_VALUE"""),"Dan McGaughey")</f>
        <v>Dan McGaughey</v>
      </c>
      <c r="C817" s="109">
        <f ca="1">IFERROR(__xludf.DUMMYFUNCTION("""COMPUTED_VALUE"""),16)</f>
        <v>16</v>
      </c>
      <c r="D817" s="109" t="str">
        <f ca="1">IFERROR(__xludf.DUMMYFUNCTION("""COMPUTED_VALUE"""),"B")</f>
        <v>B</v>
      </c>
      <c r="E817" s="110" t="str">
        <f ca="1">IFERROR(__xludf.DUMMYFUNCTION("""COMPUTED_VALUE"""),"S")</f>
        <v>S</v>
      </c>
      <c r="F817" s="110" t="str">
        <f ca="1">IFERROR(__xludf.DUMMYFUNCTION("""COMPUTED_VALUE"""),"S")</f>
        <v>S</v>
      </c>
      <c r="G817" s="110">
        <f ca="1">IFERROR(__xludf.DUMMYFUNCTION("""COMPUTED_VALUE"""),2)</f>
        <v>2</v>
      </c>
      <c r="H817" s="112" t="str">
        <f ca="1"/>
        <v/>
      </c>
      <c r="I817" s="81" t="str">
        <f ca="1"/>
        <v/>
      </c>
    </row>
    <row r="818" spans="1:9" ht="13.2">
      <c r="A818" s="109" t="str">
        <f ca="1">IFERROR(__xludf.DUMMYFUNCTION("""COMPUTED_VALUE"""),"GF")</f>
        <v>GF</v>
      </c>
      <c r="B818" s="108" t="str">
        <f ca="1">IFERROR(__xludf.DUMMYFUNCTION("""COMPUTED_VALUE"""),"Max Pourbabai")</f>
        <v>Max Pourbabai</v>
      </c>
      <c r="C818" s="109">
        <f ca="1">IFERROR(__xludf.DUMMYFUNCTION("""COMPUTED_VALUE"""),16)</f>
        <v>16</v>
      </c>
      <c r="D818" s="109" t="str">
        <f ca="1">IFERROR(__xludf.DUMMYFUNCTION("""COMPUTED_VALUE"""),"B")</f>
        <v>B</v>
      </c>
      <c r="E818" s="110" t="str">
        <f ca="1">IFERROR(__xludf.DUMMYFUNCTION("""COMPUTED_VALUE"""),"S")</f>
        <v>S</v>
      </c>
      <c r="F818" s="110" t="str">
        <f ca="1">IFERROR(__xludf.DUMMYFUNCTION("""COMPUTED_VALUE"""),"S")</f>
        <v>S</v>
      </c>
      <c r="G818" s="110">
        <f ca="1">IFERROR(__xludf.DUMMYFUNCTION("""COMPUTED_VALUE"""),2)</f>
        <v>2</v>
      </c>
      <c r="H818" s="112" t="str">
        <f ca="1"/>
        <v/>
      </c>
      <c r="I818" s="112" t="str">
        <f ca="1"/>
        <v/>
      </c>
    </row>
    <row r="819" spans="1:9" ht="13.2">
      <c r="A819" s="109" t="str">
        <f ca="1">IFERROR(__xludf.DUMMYFUNCTION("""COMPUTED_VALUE"""),"GF")</f>
        <v>GF</v>
      </c>
      <c r="B819" s="108" t="str">
        <f ca="1">IFERROR(__xludf.DUMMYFUNCTION("""COMPUTED_VALUE"""),"Caroline Gallagher")</f>
        <v>Caroline Gallagher</v>
      </c>
      <c r="C819" s="109">
        <f ca="1">IFERROR(__xludf.DUMMYFUNCTION("""COMPUTED_VALUE"""),15)</f>
        <v>15</v>
      </c>
      <c r="D819" s="109" t="str">
        <f ca="1">IFERROR(__xludf.DUMMYFUNCTION("""COMPUTED_VALUE"""),"G")</f>
        <v>G</v>
      </c>
      <c r="E819" s="110" t="str">
        <f ca="1">IFERROR(__xludf.DUMMYFUNCTION("""COMPUTED_VALUE"""),"S")</f>
        <v>S</v>
      </c>
      <c r="F819" s="110" t="str">
        <f ca="1">IFERROR(__xludf.DUMMYFUNCTION("""COMPUTED_VALUE"""),"S")</f>
        <v>S</v>
      </c>
      <c r="G819" s="110">
        <f ca="1">IFERROR(__xludf.DUMMYFUNCTION("""COMPUTED_VALUE"""),2)</f>
        <v>2</v>
      </c>
      <c r="H819" s="112" t="str">
        <f ca="1"/>
        <v/>
      </c>
      <c r="I819" s="112" t="str">
        <f ca="1"/>
        <v/>
      </c>
    </row>
    <row r="820" spans="1:9" ht="13.2">
      <c r="A820" s="109" t="str">
        <f ca="1">IFERROR(__xludf.DUMMYFUNCTION("""COMPUTED_VALUE"""),"GF")</f>
        <v>GF</v>
      </c>
      <c r="B820" s="108" t="str">
        <f ca="1">IFERROR(__xludf.DUMMYFUNCTION("""COMPUTED_VALUE"""),"Claire Vroom")</f>
        <v>Claire Vroom</v>
      </c>
      <c r="C820" s="109">
        <f ca="1">IFERROR(__xludf.DUMMYFUNCTION("""COMPUTED_VALUE"""),17)</f>
        <v>17</v>
      </c>
      <c r="D820" s="109" t="str">
        <f ca="1">IFERROR(__xludf.DUMMYFUNCTION("""COMPUTED_VALUE"""),"G")</f>
        <v>G</v>
      </c>
      <c r="E820" s="110" t="str">
        <f ca="1">IFERROR(__xludf.DUMMYFUNCTION("""COMPUTED_VALUE"""),"S")</f>
        <v>S</v>
      </c>
      <c r="F820" s="110" t="str">
        <f ca="1">IFERROR(__xludf.DUMMYFUNCTION("""COMPUTED_VALUE"""),"S")</f>
        <v>S</v>
      </c>
      <c r="G820" s="110">
        <f ca="1">IFERROR(__xludf.DUMMYFUNCTION("""COMPUTED_VALUE"""),2)</f>
        <v>2</v>
      </c>
      <c r="H820" s="112" t="str">
        <f ca="1"/>
        <v/>
      </c>
      <c r="I820" s="81" t="str">
        <f ca="1"/>
        <v/>
      </c>
    </row>
    <row r="821" spans="1:9" ht="13.2">
      <c r="A821" s="109" t="str">
        <f ca="1">IFERROR(__xludf.DUMMYFUNCTION("""COMPUTED_VALUE"""),"GF")</f>
        <v>GF</v>
      </c>
      <c r="B821" s="108" t="str">
        <f ca="1">IFERROR(__xludf.DUMMYFUNCTION("""COMPUTED_VALUE"""),"Julia Toloczko")</f>
        <v>Julia Toloczko</v>
      </c>
      <c r="C821" s="109">
        <f ca="1">IFERROR(__xludf.DUMMYFUNCTION("""COMPUTED_VALUE"""),17)</f>
        <v>17</v>
      </c>
      <c r="D821" s="109" t="str">
        <f ca="1">IFERROR(__xludf.DUMMYFUNCTION("""COMPUTED_VALUE"""),"G")</f>
        <v>G</v>
      </c>
      <c r="E821" s="110" t="str">
        <f ca="1">IFERROR(__xludf.DUMMYFUNCTION("""COMPUTED_VALUE"""),"S")</f>
        <v>S</v>
      </c>
      <c r="F821" s="110" t="str">
        <f ca="1">IFERROR(__xludf.DUMMYFUNCTION("""COMPUTED_VALUE"""),"S")</f>
        <v>S</v>
      </c>
      <c r="G821" s="110">
        <f ca="1">IFERROR(__xludf.DUMMYFUNCTION("""COMPUTED_VALUE"""),2)</f>
        <v>2</v>
      </c>
      <c r="H821" s="112" t="str">
        <f ca="1"/>
        <v/>
      </c>
      <c r="I821" s="81" t="str">
        <f ca="1"/>
        <v/>
      </c>
    </row>
    <row r="822" spans="1:9" ht="13.2">
      <c r="A822" s="109" t="str">
        <f ca="1">IFERROR(__xludf.DUMMYFUNCTION("""COMPUTED_VALUE"""),"HF")</f>
        <v>HF</v>
      </c>
      <c r="B822" s="108" t="str">
        <f ca="1">IFERROR(__xludf.DUMMYFUNCTION("""COMPUTED_VALUE"""),"Ben Lyon")</f>
        <v>Ben Lyon</v>
      </c>
      <c r="C822" s="109">
        <f ca="1">IFERROR(__xludf.DUMMYFUNCTION("""COMPUTED_VALUE"""),6)</f>
        <v>6</v>
      </c>
      <c r="D822" s="109" t="str">
        <f ca="1">IFERROR(__xludf.DUMMYFUNCTION("""COMPUTED_VALUE"""),"B")</f>
        <v>B</v>
      </c>
      <c r="E822" s="110" t="str">
        <f ca="1">IFERROR(__xludf.DUMMYFUNCTION("""COMPUTED_VALUE"""),"F")</f>
        <v>F</v>
      </c>
      <c r="F822" s="110" t="str">
        <f ca="1">IFERROR(__xludf.DUMMYFUNCTION("""COMPUTED_VALUE"""),"J")</f>
        <v>J</v>
      </c>
      <c r="G822" s="110">
        <f ca="1">IFERROR(__xludf.DUMMYFUNCTION("""COMPUTED_VALUE"""),4)</f>
        <v>4</v>
      </c>
      <c r="H822" s="112" t="str">
        <f ca="1"/>
        <v/>
      </c>
      <c r="I822" s="112" t="str">
        <f ca="1"/>
        <v/>
      </c>
    </row>
    <row r="823" spans="1:9" ht="13.2">
      <c r="A823" s="109" t="str">
        <f ca="1">IFERROR(__xludf.DUMMYFUNCTION("""COMPUTED_VALUE"""),"HF")</f>
        <v>HF</v>
      </c>
      <c r="B823" s="108" t="str">
        <f ca="1">IFERROR(__xludf.DUMMYFUNCTION("""COMPUTED_VALUE"""),"Caleb Lyon")</f>
        <v>Caleb Lyon</v>
      </c>
      <c r="C823" s="109">
        <f ca="1">IFERROR(__xludf.DUMMYFUNCTION("""COMPUTED_VALUE"""),8)</f>
        <v>8</v>
      </c>
      <c r="D823" s="109" t="str">
        <f ca="1">IFERROR(__xludf.DUMMYFUNCTION("""COMPUTED_VALUE"""),"B")</f>
        <v>B</v>
      </c>
      <c r="E823" s="110" t="str">
        <f ca="1">IFERROR(__xludf.DUMMYFUNCTION("""COMPUTED_VALUE"""),"F")</f>
        <v>F</v>
      </c>
      <c r="F823" s="110" t="str">
        <f ca="1">IFERROR(__xludf.DUMMYFUNCTION("""COMPUTED_VALUE"""),"J")</f>
        <v>J</v>
      </c>
      <c r="G823" s="110">
        <f ca="1">IFERROR(__xludf.DUMMYFUNCTION("""COMPUTED_VALUE"""),4)</f>
        <v>4</v>
      </c>
      <c r="H823" s="112" t="str">
        <f ca="1"/>
        <v/>
      </c>
      <c r="I823" s="81" t="str">
        <f ca="1"/>
        <v/>
      </c>
    </row>
    <row r="824" spans="1:9" ht="13.2">
      <c r="A824" s="109" t="str">
        <f ca="1">IFERROR(__xludf.DUMMYFUNCTION("""COMPUTED_VALUE"""),"HF")</f>
        <v>HF</v>
      </c>
      <c r="B824" s="108" t="str">
        <f ca="1">IFERROR(__xludf.DUMMYFUNCTION("""COMPUTED_VALUE"""),"Carsten Stewart")</f>
        <v>Carsten Stewart</v>
      </c>
      <c r="C824" s="109">
        <f ca="1">IFERROR(__xludf.DUMMYFUNCTION("""COMPUTED_VALUE"""),8)</f>
        <v>8</v>
      </c>
      <c r="D824" s="109" t="str">
        <f ca="1">IFERROR(__xludf.DUMMYFUNCTION("""COMPUTED_VALUE"""),"B")</f>
        <v>B</v>
      </c>
      <c r="E824" s="110" t="str">
        <f ca="1">IFERROR(__xludf.DUMMYFUNCTION("""COMPUTED_VALUE"""),"F")</f>
        <v>F</v>
      </c>
      <c r="F824" s="110" t="str">
        <f ca="1">IFERROR(__xludf.DUMMYFUNCTION("""COMPUTED_VALUE"""),"J")</f>
        <v>J</v>
      </c>
      <c r="G824" s="110">
        <f ca="1">IFERROR(__xludf.DUMMYFUNCTION("""COMPUTED_VALUE"""),4)</f>
        <v>4</v>
      </c>
      <c r="H824" s="112" t="str">
        <f ca="1"/>
        <v/>
      </c>
      <c r="I824" s="81" t="str">
        <f ca="1"/>
        <v/>
      </c>
    </row>
    <row r="825" spans="1:9" ht="13.2">
      <c r="A825" s="109" t="str">
        <f ca="1">IFERROR(__xludf.DUMMYFUNCTION("""COMPUTED_VALUE"""),"HF")</f>
        <v>HF</v>
      </c>
      <c r="B825" s="108" t="str">
        <f ca="1">IFERROR(__xludf.DUMMYFUNCTION("""COMPUTED_VALUE"""),"Davis Carter")</f>
        <v>Davis Carter</v>
      </c>
      <c r="C825" s="109">
        <f ca="1">IFERROR(__xludf.DUMMYFUNCTION("""COMPUTED_VALUE"""),9)</f>
        <v>9</v>
      </c>
      <c r="D825" s="109" t="str">
        <f ca="1">IFERROR(__xludf.DUMMYFUNCTION("""COMPUTED_VALUE"""),"B")</f>
        <v>B</v>
      </c>
      <c r="E825" s="110" t="str">
        <f ca="1">IFERROR(__xludf.DUMMYFUNCTION("""COMPUTED_VALUE"""),"F")</f>
        <v>F</v>
      </c>
      <c r="F825" s="110" t="str">
        <f ca="1">IFERROR(__xludf.DUMMYFUNCTION("""COMPUTED_VALUE"""),"J")</f>
        <v>J</v>
      </c>
      <c r="G825" s="110">
        <f ca="1">IFERROR(__xludf.DUMMYFUNCTION("""COMPUTED_VALUE"""),4)</f>
        <v>4</v>
      </c>
      <c r="H825" s="112" t="str">
        <f ca="1"/>
        <v/>
      </c>
      <c r="I825" s="112" t="str">
        <f ca="1"/>
        <v/>
      </c>
    </row>
    <row r="826" spans="1:9" ht="13.2">
      <c r="A826" s="109" t="str">
        <f ca="1">IFERROR(__xludf.DUMMYFUNCTION("""COMPUTED_VALUE"""),"HF")</f>
        <v>HF</v>
      </c>
      <c r="B826" s="108" t="str">
        <f ca="1">IFERROR(__xludf.DUMMYFUNCTION("""COMPUTED_VALUE"""),"Henry Dulaney")</f>
        <v>Henry Dulaney</v>
      </c>
      <c r="C826" s="109">
        <f ca="1">IFERROR(__xludf.DUMMYFUNCTION("""COMPUTED_VALUE"""),9)</f>
        <v>9</v>
      </c>
      <c r="D826" s="109" t="str">
        <f ca="1">IFERROR(__xludf.DUMMYFUNCTION("""COMPUTED_VALUE"""),"B")</f>
        <v>B</v>
      </c>
      <c r="E826" s="110" t="str">
        <f ca="1">IFERROR(__xludf.DUMMYFUNCTION("""COMPUTED_VALUE"""),"F")</f>
        <v>F</v>
      </c>
      <c r="F826" s="110" t="str">
        <f ca="1">IFERROR(__xludf.DUMMYFUNCTION("""COMPUTED_VALUE"""),"J")</f>
        <v>J</v>
      </c>
      <c r="G826" s="110">
        <f ca="1">IFERROR(__xludf.DUMMYFUNCTION("""COMPUTED_VALUE"""),4)</f>
        <v>4</v>
      </c>
      <c r="H826" s="112" t="str">
        <f ca="1"/>
        <v/>
      </c>
      <c r="I826" s="112" t="str">
        <f ca="1"/>
        <v/>
      </c>
    </row>
    <row r="827" spans="1:9" ht="13.2">
      <c r="A827" s="109" t="str">
        <f ca="1">IFERROR(__xludf.DUMMYFUNCTION("""COMPUTED_VALUE"""),"HF")</f>
        <v>HF</v>
      </c>
      <c r="B827" s="108" t="str">
        <f ca="1">IFERROR(__xludf.DUMMYFUNCTION("""COMPUTED_VALUE"""),"Jack McGuire")</f>
        <v>Jack McGuire</v>
      </c>
      <c r="C827" s="109">
        <f ca="1">IFERROR(__xludf.DUMMYFUNCTION("""COMPUTED_VALUE"""),10)</f>
        <v>10</v>
      </c>
      <c r="D827" s="109" t="str">
        <f ca="1">IFERROR(__xludf.DUMMYFUNCTION("""COMPUTED_VALUE"""),"B")</f>
        <v>B</v>
      </c>
      <c r="E827" s="110" t="str">
        <f ca="1">IFERROR(__xludf.DUMMYFUNCTION("""COMPUTED_VALUE"""),"F")</f>
        <v>F</v>
      </c>
      <c r="F827" s="110" t="str">
        <f ca="1">IFERROR(__xludf.DUMMYFUNCTION("""COMPUTED_VALUE"""),"J")</f>
        <v>J</v>
      </c>
      <c r="G827" s="110">
        <f ca="1">IFERROR(__xludf.DUMMYFUNCTION("""COMPUTED_VALUE"""),4)</f>
        <v>4</v>
      </c>
      <c r="H827" s="112" t="str">
        <f ca="1"/>
        <v/>
      </c>
      <c r="I827" s="81" t="str">
        <f ca="1"/>
        <v/>
      </c>
    </row>
    <row r="828" spans="1:9" ht="13.2">
      <c r="A828" s="109" t="str">
        <f ca="1">IFERROR(__xludf.DUMMYFUNCTION("""COMPUTED_VALUE"""),"HF")</f>
        <v>HF</v>
      </c>
      <c r="B828" s="108" t="str">
        <f ca="1">IFERROR(__xludf.DUMMYFUNCTION("""COMPUTED_VALUE"""),"Jonah Dulaney")</f>
        <v>Jonah Dulaney</v>
      </c>
      <c r="C828" s="109">
        <f ca="1">IFERROR(__xludf.DUMMYFUNCTION("""COMPUTED_VALUE"""),6)</f>
        <v>6</v>
      </c>
      <c r="D828" s="109" t="str">
        <f ca="1">IFERROR(__xludf.DUMMYFUNCTION("""COMPUTED_VALUE"""),"B")</f>
        <v>B</v>
      </c>
      <c r="E828" s="110" t="str">
        <f ca="1">IFERROR(__xludf.DUMMYFUNCTION("""COMPUTED_VALUE"""),"F")</f>
        <v>F</v>
      </c>
      <c r="F828" s="110" t="str">
        <f ca="1">IFERROR(__xludf.DUMMYFUNCTION("""COMPUTED_VALUE"""),"J")</f>
        <v>J</v>
      </c>
      <c r="G828" s="110">
        <f ca="1">IFERROR(__xludf.DUMMYFUNCTION("""COMPUTED_VALUE"""),4)</f>
        <v>4</v>
      </c>
      <c r="H828" s="112" t="str">
        <f ca="1"/>
        <v/>
      </c>
      <c r="I828" s="81" t="str">
        <f ca="1"/>
        <v/>
      </c>
    </row>
    <row r="829" spans="1:9" ht="13.2">
      <c r="A829" s="109" t="str">
        <f ca="1">IFERROR(__xludf.DUMMYFUNCTION("""COMPUTED_VALUE"""),"HF")</f>
        <v>HF</v>
      </c>
      <c r="B829" s="108" t="str">
        <f ca="1">IFERROR(__xludf.DUMMYFUNCTION("""COMPUTED_VALUE"""),"Luke Peters")</f>
        <v>Luke Peters</v>
      </c>
      <c r="C829" s="109">
        <f ca="1">IFERROR(__xludf.DUMMYFUNCTION("""COMPUTED_VALUE"""),9)</f>
        <v>9</v>
      </c>
      <c r="D829" s="109" t="str">
        <f ca="1">IFERROR(__xludf.DUMMYFUNCTION("""COMPUTED_VALUE"""),"B")</f>
        <v>B</v>
      </c>
      <c r="E829" s="110" t="str">
        <f ca="1">IFERROR(__xludf.DUMMYFUNCTION("""COMPUTED_VALUE"""),"F")</f>
        <v>F</v>
      </c>
      <c r="F829" s="110" t="str">
        <f ca="1">IFERROR(__xludf.DUMMYFUNCTION("""COMPUTED_VALUE"""),"J")</f>
        <v>J</v>
      </c>
      <c r="G829" s="110">
        <f ca="1">IFERROR(__xludf.DUMMYFUNCTION("""COMPUTED_VALUE"""),4)</f>
        <v>4</v>
      </c>
      <c r="H829" s="112" t="str">
        <f ca="1"/>
        <v/>
      </c>
      <c r="I829" s="112" t="str">
        <f ca="1"/>
        <v/>
      </c>
    </row>
    <row r="830" spans="1:9" ht="13.2">
      <c r="A830" s="109" t="str">
        <f ca="1">IFERROR(__xludf.DUMMYFUNCTION("""COMPUTED_VALUE"""),"HF")</f>
        <v>HF</v>
      </c>
      <c r="B830" s="108" t="str">
        <f ca="1">IFERROR(__xludf.DUMMYFUNCTION("""COMPUTED_VALUE"""),"Michael Davis")</f>
        <v>Michael Davis</v>
      </c>
      <c r="C830" s="109">
        <f ca="1">IFERROR(__xludf.DUMMYFUNCTION("""COMPUTED_VALUE"""),10)</f>
        <v>10</v>
      </c>
      <c r="D830" s="109" t="str">
        <f ca="1">IFERROR(__xludf.DUMMYFUNCTION("""COMPUTED_VALUE"""),"B")</f>
        <v>B</v>
      </c>
      <c r="E830" s="110" t="str">
        <f ca="1">IFERROR(__xludf.DUMMYFUNCTION("""COMPUTED_VALUE"""),"F")</f>
        <v>F</v>
      </c>
      <c r="F830" s="110" t="str">
        <f ca="1">IFERROR(__xludf.DUMMYFUNCTION("""COMPUTED_VALUE"""),"J")</f>
        <v>J</v>
      </c>
      <c r="G830" s="110">
        <f ca="1">IFERROR(__xludf.DUMMYFUNCTION("""COMPUTED_VALUE"""),4)</f>
        <v>4</v>
      </c>
      <c r="H830" s="112" t="str">
        <f ca="1"/>
        <v/>
      </c>
      <c r="I830" s="112" t="str">
        <f ca="1"/>
        <v/>
      </c>
    </row>
    <row r="831" spans="1:9" ht="13.2">
      <c r="A831" s="109" t="str">
        <f ca="1">IFERROR(__xludf.DUMMYFUNCTION("""COMPUTED_VALUE"""),"HF")</f>
        <v>HF</v>
      </c>
      <c r="B831" s="108" t="str">
        <f ca="1">IFERROR(__xludf.DUMMYFUNCTION("""COMPUTED_VALUE"""),"Oliver Klueber")</f>
        <v>Oliver Klueber</v>
      </c>
      <c r="C831" s="109">
        <f ca="1">IFERROR(__xludf.DUMMYFUNCTION("""COMPUTED_VALUE"""),8)</f>
        <v>8</v>
      </c>
      <c r="D831" s="109" t="str">
        <f ca="1">IFERROR(__xludf.DUMMYFUNCTION("""COMPUTED_VALUE"""),"B")</f>
        <v>B</v>
      </c>
      <c r="E831" s="110" t="str">
        <f ca="1">IFERROR(__xludf.DUMMYFUNCTION("""COMPUTED_VALUE"""),"F")</f>
        <v>F</v>
      </c>
      <c r="F831" s="110" t="str">
        <f ca="1">IFERROR(__xludf.DUMMYFUNCTION("""COMPUTED_VALUE"""),"J")</f>
        <v>J</v>
      </c>
      <c r="G831" s="110">
        <f ca="1">IFERROR(__xludf.DUMMYFUNCTION("""COMPUTED_VALUE"""),4)</f>
        <v>4</v>
      </c>
      <c r="H831" s="112" t="str">
        <f ca="1"/>
        <v/>
      </c>
      <c r="I831" s="112" t="str">
        <f ca="1"/>
        <v/>
      </c>
    </row>
    <row r="832" spans="1:9" ht="13.2">
      <c r="A832" s="109" t="str">
        <f ca="1">IFERROR(__xludf.DUMMYFUNCTION("""COMPUTED_VALUE"""),"HF")</f>
        <v>HF</v>
      </c>
      <c r="B832" s="108" t="str">
        <f ca="1">IFERROR(__xludf.DUMMYFUNCTION("""COMPUTED_VALUE"""),"Stone Perdue")</f>
        <v>Stone Perdue</v>
      </c>
      <c r="C832" s="109">
        <f ca="1">IFERROR(__xludf.DUMMYFUNCTION("""COMPUTED_VALUE"""),10)</f>
        <v>10</v>
      </c>
      <c r="D832" s="109" t="str">
        <f ca="1">IFERROR(__xludf.DUMMYFUNCTION("""COMPUTED_VALUE"""),"B")</f>
        <v>B</v>
      </c>
      <c r="E832" s="110" t="str">
        <f ca="1">IFERROR(__xludf.DUMMYFUNCTION("""COMPUTED_VALUE"""),"F")</f>
        <v>F</v>
      </c>
      <c r="F832" s="110" t="str">
        <f ca="1">IFERROR(__xludf.DUMMYFUNCTION("""COMPUTED_VALUE"""),"J")</f>
        <v>J</v>
      </c>
      <c r="G832" s="110">
        <f ca="1">IFERROR(__xludf.DUMMYFUNCTION("""COMPUTED_VALUE"""),4)</f>
        <v>4</v>
      </c>
      <c r="H832" s="112" t="str">
        <f ca="1"/>
        <v/>
      </c>
      <c r="I832" s="81" t="str">
        <f ca="1"/>
        <v/>
      </c>
    </row>
    <row r="833" spans="1:9" ht="13.2">
      <c r="A833" s="109" t="str">
        <f ca="1">IFERROR(__xludf.DUMMYFUNCTION("""COMPUTED_VALUE"""),"HF")</f>
        <v>HF</v>
      </c>
      <c r="B833" s="108" t="str">
        <f ca="1">IFERROR(__xludf.DUMMYFUNCTION("""COMPUTED_VALUE"""),"Will Copes")</f>
        <v>Will Copes</v>
      </c>
      <c r="C833" s="109">
        <f ca="1">IFERROR(__xludf.DUMMYFUNCTION("""COMPUTED_VALUE"""),9)</f>
        <v>9</v>
      </c>
      <c r="D833" s="109" t="str">
        <f ca="1">IFERROR(__xludf.DUMMYFUNCTION("""COMPUTED_VALUE"""),"B")</f>
        <v>B</v>
      </c>
      <c r="E833" s="110" t="str">
        <f ca="1">IFERROR(__xludf.DUMMYFUNCTION("""COMPUTED_VALUE"""),"F")</f>
        <v>F</v>
      </c>
      <c r="F833" s="110" t="str">
        <f ca="1">IFERROR(__xludf.DUMMYFUNCTION("""COMPUTED_VALUE"""),"J")</f>
        <v>J</v>
      </c>
      <c r="G833" s="110">
        <f ca="1">IFERROR(__xludf.DUMMYFUNCTION("""COMPUTED_VALUE"""),4)</f>
        <v>4</v>
      </c>
      <c r="H833" s="112" t="str">
        <f ca="1"/>
        <v/>
      </c>
      <c r="I833" s="81" t="str">
        <f ca="1"/>
        <v/>
      </c>
    </row>
    <row r="834" spans="1:9" ht="13.2">
      <c r="A834" s="109" t="str">
        <f ca="1">IFERROR(__xludf.DUMMYFUNCTION("""COMPUTED_VALUE"""),"HF")</f>
        <v>HF</v>
      </c>
      <c r="B834" s="108" t="str">
        <f ca="1">IFERROR(__xludf.DUMMYFUNCTION("""COMPUTED_VALUE"""),"Allie Pearson")</f>
        <v>Allie Pearson</v>
      </c>
      <c r="C834" s="109">
        <f ca="1">IFERROR(__xludf.DUMMYFUNCTION("""COMPUTED_VALUE"""),8)</f>
        <v>8</v>
      </c>
      <c r="D834" s="109" t="str">
        <f ca="1">IFERROR(__xludf.DUMMYFUNCTION("""COMPUTED_VALUE"""),"G")</f>
        <v>G</v>
      </c>
      <c r="E834" s="110" t="str">
        <f ca="1">IFERROR(__xludf.DUMMYFUNCTION("""COMPUTED_VALUE"""),"F")</f>
        <v>F</v>
      </c>
      <c r="F834" s="110" t="str">
        <f ca="1">IFERROR(__xludf.DUMMYFUNCTION("""COMPUTED_VALUE"""),"J")</f>
        <v>J</v>
      </c>
      <c r="G834" s="110">
        <f ca="1">IFERROR(__xludf.DUMMYFUNCTION("""COMPUTED_VALUE"""),4)</f>
        <v>4</v>
      </c>
      <c r="H834" s="112" t="str">
        <f ca="1"/>
        <v/>
      </c>
      <c r="I834" s="81" t="str">
        <f ca="1"/>
        <v/>
      </c>
    </row>
    <row r="835" spans="1:9" ht="13.2">
      <c r="A835" s="109" t="str">
        <f ca="1">IFERROR(__xludf.DUMMYFUNCTION("""COMPUTED_VALUE"""),"HF")</f>
        <v>HF</v>
      </c>
      <c r="B835" s="108" t="str">
        <f ca="1">IFERROR(__xludf.DUMMYFUNCTION("""COMPUTED_VALUE"""),"Annabella Wilder")</f>
        <v>Annabella Wilder</v>
      </c>
      <c r="C835" s="109">
        <f ca="1">IFERROR(__xludf.DUMMYFUNCTION("""COMPUTED_VALUE"""),9)</f>
        <v>9</v>
      </c>
      <c r="D835" s="109" t="str">
        <f ca="1">IFERROR(__xludf.DUMMYFUNCTION("""COMPUTED_VALUE"""),"G")</f>
        <v>G</v>
      </c>
      <c r="E835" s="110" t="str">
        <f ca="1">IFERROR(__xludf.DUMMYFUNCTION("""COMPUTED_VALUE"""),"F")</f>
        <v>F</v>
      </c>
      <c r="F835" s="110" t="str">
        <f ca="1">IFERROR(__xludf.DUMMYFUNCTION("""COMPUTED_VALUE"""),"J")</f>
        <v>J</v>
      </c>
      <c r="G835" s="110">
        <f ca="1">IFERROR(__xludf.DUMMYFUNCTION("""COMPUTED_VALUE"""),4)</f>
        <v>4</v>
      </c>
      <c r="H835" s="112" t="str">
        <f ca="1"/>
        <v/>
      </c>
      <c r="I835" s="112" t="str">
        <f ca="1"/>
        <v/>
      </c>
    </row>
    <row r="836" spans="1:9" ht="13.2">
      <c r="A836" s="109" t="str">
        <f ca="1">IFERROR(__xludf.DUMMYFUNCTION("""COMPUTED_VALUE"""),"HF")</f>
        <v>HF</v>
      </c>
      <c r="B836" s="108" t="str">
        <f ca="1">IFERROR(__xludf.DUMMYFUNCTION("""COMPUTED_VALUE"""),"Ava Kowalchick")</f>
        <v>Ava Kowalchick</v>
      </c>
      <c r="C836" s="109">
        <f ca="1">IFERROR(__xludf.DUMMYFUNCTION("""COMPUTED_VALUE"""),6)</f>
        <v>6</v>
      </c>
      <c r="D836" s="109" t="str">
        <f ca="1">IFERROR(__xludf.DUMMYFUNCTION("""COMPUTED_VALUE"""),"G")</f>
        <v>G</v>
      </c>
      <c r="E836" s="110" t="str">
        <f ca="1">IFERROR(__xludf.DUMMYFUNCTION("""COMPUTED_VALUE"""),"F")</f>
        <v>F</v>
      </c>
      <c r="F836" s="110" t="str">
        <f ca="1">IFERROR(__xludf.DUMMYFUNCTION("""COMPUTED_VALUE"""),"J")</f>
        <v>J</v>
      </c>
      <c r="G836" s="110">
        <f ca="1">IFERROR(__xludf.DUMMYFUNCTION("""COMPUTED_VALUE"""),4)</f>
        <v>4</v>
      </c>
      <c r="H836" s="112" t="str">
        <f ca="1"/>
        <v/>
      </c>
      <c r="I836" s="112" t="str">
        <f ca="1"/>
        <v/>
      </c>
    </row>
    <row r="837" spans="1:9" ht="13.2">
      <c r="A837" s="109" t="str">
        <f ca="1">IFERROR(__xludf.DUMMYFUNCTION("""COMPUTED_VALUE"""),"HF")</f>
        <v>HF</v>
      </c>
      <c r="B837" s="108" t="str">
        <f ca="1">IFERROR(__xludf.DUMMYFUNCTION("""COMPUTED_VALUE"""),"Harper Wilder")</f>
        <v>Harper Wilder</v>
      </c>
      <c r="C837" s="109">
        <f ca="1">IFERROR(__xludf.DUMMYFUNCTION("""COMPUTED_VALUE"""),8)</f>
        <v>8</v>
      </c>
      <c r="D837" s="109" t="str">
        <f ca="1">IFERROR(__xludf.DUMMYFUNCTION("""COMPUTED_VALUE"""),"G")</f>
        <v>G</v>
      </c>
      <c r="E837" s="110" t="str">
        <f ca="1">IFERROR(__xludf.DUMMYFUNCTION("""COMPUTED_VALUE"""),"F")</f>
        <v>F</v>
      </c>
      <c r="F837" s="110" t="str">
        <f ca="1">IFERROR(__xludf.DUMMYFUNCTION("""COMPUTED_VALUE"""),"J")</f>
        <v>J</v>
      </c>
      <c r="G837" s="110">
        <f ca="1">IFERROR(__xludf.DUMMYFUNCTION("""COMPUTED_VALUE"""),4)</f>
        <v>4</v>
      </c>
      <c r="H837" s="112" t="str">
        <f ca="1"/>
        <v/>
      </c>
      <c r="I837" s="81" t="str">
        <f ca="1"/>
        <v/>
      </c>
    </row>
    <row r="838" spans="1:9" ht="13.2">
      <c r="A838" s="109" t="str">
        <f ca="1">IFERROR(__xludf.DUMMYFUNCTION("""COMPUTED_VALUE"""),"HF")</f>
        <v>HF</v>
      </c>
      <c r="B838" s="108" t="str">
        <f ca="1">IFERROR(__xludf.DUMMYFUNCTION("""COMPUTED_VALUE"""),"Isabelle Quinn")</f>
        <v>Isabelle Quinn</v>
      </c>
      <c r="C838" s="109">
        <f ca="1">IFERROR(__xludf.DUMMYFUNCTION("""COMPUTED_VALUE"""),10)</f>
        <v>10</v>
      </c>
      <c r="D838" s="109" t="str">
        <f ca="1">IFERROR(__xludf.DUMMYFUNCTION("""COMPUTED_VALUE"""),"G")</f>
        <v>G</v>
      </c>
      <c r="E838" s="110" t="str">
        <f ca="1">IFERROR(__xludf.DUMMYFUNCTION("""COMPUTED_VALUE"""),"F")</f>
        <v>F</v>
      </c>
      <c r="F838" s="110" t="str">
        <f ca="1">IFERROR(__xludf.DUMMYFUNCTION("""COMPUTED_VALUE"""),"J")</f>
        <v>J</v>
      </c>
      <c r="G838" s="110">
        <f ca="1">IFERROR(__xludf.DUMMYFUNCTION("""COMPUTED_VALUE"""),4)</f>
        <v>4</v>
      </c>
      <c r="H838" s="112" t="str">
        <f ca="1"/>
        <v/>
      </c>
      <c r="I838" s="112" t="str">
        <f ca="1"/>
        <v/>
      </c>
    </row>
    <row r="839" spans="1:9" ht="13.2">
      <c r="A839" s="109" t="str">
        <f ca="1">IFERROR(__xludf.DUMMYFUNCTION("""COMPUTED_VALUE"""),"HF")</f>
        <v>HF</v>
      </c>
      <c r="B839" s="108" t="str">
        <f ca="1">IFERROR(__xludf.DUMMYFUNCTION("""COMPUTED_VALUE"""),"Julianna Butler")</f>
        <v>Julianna Butler</v>
      </c>
      <c r="C839" s="109">
        <f ca="1">IFERROR(__xludf.DUMMYFUNCTION("""COMPUTED_VALUE"""),9)</f>
        <v>9</v>
      </c>
      <c r="D839" s="109" t="str">
        <f ca="1">IFERROR(__xludf.DUMMYFUNCTION("""COMPUTED_VALUE"""),"G")</f>
        <v>G</v>
      </c>
      <c r="E839" s="110" t="str">
        <f ca="1">IFERROR(__xludf.DUMMYFUNCTION("""COMPUTED_VALUE"""),"F")</f>
        <v>F</v>
      </c>
      <c r="F839" s="110" t="str">
        <f ca="1">IFERROR(__xludf.DUMMYFUNCTION("""COMPUTED_VALUE"""),"J")</f>
        <v>J</v>
      </c>
      <c r="G839" s="110">
        <f ca="1">IFERROR(__xludf.DUMMYFUNCTION("""COMPUTED_VALUE"""),4)</f>
        <v>4</v>
      </c>
      <c r="H839" s="112" t="str">
        <f ca="1"/>
        <v/>
      </c>
      <c r="I839" s="112" t="str">
        <f ca="1"/>
        <v/>
      </c>
    </row>
    <row r="840" spans="1:9" ht="13.2">
      <c r="A840" s="109" t="str">
        <f ca="1">IFERROR(__xludf.DUMMYFUNCTION("""COMPUTED_VALUE"""),"HF")</f>
        <v>HF</v>
      </c>
      <c r="B840" s="108" t="str">
        <f ca="1">IFERROR(__xludf.DUMMYFUNCTION("""COMPUTED_VALUE"""),"Kate Payne")</f>
        <v>Kate Payne</v>
      </c>
      <c r="C840" s="109">
        <f ca="1">IFERROR(__xludf.DUMMYFUNCTION("""COMPUTED_VALUE"""),10)</f>
        <v>10</v>
      </c>
      <c r="D840" s="109" t="str">
        <f ca="1">IFERROR(__xludf.DUMMYFUNCTION("""COMPUTED_VALUE"""),"G")</f>
        <v>G</v>
      </c>
      <c r="E840" s="110" t="str">
        <f ca="1">IFERROR(__xludf.DUMMYFUNCTION("""COMPUTED_VALUE"""),"F")</f>
        <v>F</v>
      </c>
      <c r="F840" s="110" t="str">
        <f ca="1">IFERROR(__xludf.DUMMYFUNCTION("""COMPUTED_VALUE"""),"J")</f>
        <v>J</v>
      </c>
      <c r="G840" s="110">
        <f ca="1">IFERROR(__xludf.DUMMYFUNCTION("""COMPUTED_VALUE"""),4)</f>
        <v>4</v>
      </c>
      <c r="H840" s="112" t="str">
        <f ca="1"/>
        <v/>
      </c>
      <c r="I840" s="112" t="str">
        <f ca="1"/>
        <v/>
      </c>
    </row>
    <row r="841" spans="1:9" ht="13.2">
      <c r="A841" s="109" t="str">
        <f ca="1">IFERROR(__xludf.DUMMYFUNCTION("""COMPUTED_VALUE"""),"HF")</f>
        <v>HF</v>
      </c>
      <c r="B841" s="108" t="str">
        <f ca="1">IFERROR(__xludf.DUMMYFUNCTION("""COMPUTED_VALUE"""),"Moira Terebesi")</f>
        <v>Moira Terebesi</v>
      </c>
      <c r="C841" s="109">
        <f ca="1">IFERROR(__xludf.DUMMYFUNCTION("""COMPUTED_VALUE"""),7)</f>
        <v>7</v>
      </c>
      <c r="D841" s="109" t="str">
        <f ca="1">IFERROR(__xludf.DUMMYFUNCTION("""COMPUTED_VALUE"""),"G")</f>
        <v>G</v>
      </c>
      <c r="E841" s="110" t="str">
        <f ca="1">IFERROR(__xludf.DUMMYFUNCTION("""COMPUTED_VALUE"""),"F")</f>
        <v>F</v>
      </c>
      <c r="F841" s="110" t="str">
        <f ca="1">IFERROR(__xludf.DUMMYFUNCTION("""COMPUTED_VALUE"""),"J")</f>
        <v>J</v>
      </c>
      <c r="G841" s="110">
        <f ca="1">IFERROR(__xludf.DUMMYFUNCTION("""COMPUTED_VALUE"""),4)</f>
        <v>4</v>
      </c>
      <c r="H841" s="112" t="str">
        <f ca="1"/>
        <v/>
      </c>
      <c r="I841" s="112" t="str">
        <f ca="1"/>
        <v/>
      </c>
    </row>
    <row r="842" spans="1:9" ht="13.2">
      <c r="A842" s="109" t="str">
        <f ca="1">IFERROR(__xludf.DUMMYFUNCTION("""COMPUTED_VALUE"""),"HF")</f>
        <v>HF</v>
      </c>
      <c r="B842" s="108" t="str">
        <f ca="1">IFERROR(__xludf.DUMMYFUNCTION("""COMPUTED_VALUE"""),"Molly Payne")</f>
        <v>Molly Payne</v>
      </c>
      <c r="C842" s="109">
        <f ca="1">IFERROR(__xludf.DUMMYFUNCTION("""COMPUTED_VALUE"""),8)</f>
        <v>8</v>
      </c>
      <c r="D842" s="109" t="str">
        <f ca="1">IFERROR(__xludf.DUMMYFUNCTION("""COMPUTED_VALUE"""),"G")</f>
        <v>G</v>
      </c>
      <c r="E842" s="110" t="str">
        <f ca="1">IFERROR(__xludf.DUMMYFUNCTION("""COMPUTED_VALUE"""),"F")</f>
        <v>F</v>
      </c>
      <c r="F842" s="110" t="str">
        <f ca="1">IFERROR(__xludf.DUMMYFUNCTION("""COMPUTED_VALUE"""),"J")</f>
        <v>J</v>
      </c>
      <c r="G842" s="110">
        <f ca="1">IFERROR(__xludf.DUMMYFUNCTION("""COMPUTED_VALUE"""),4)</f>
        <v>4</v>
      </c>
      <c r="H842" s="112" t="str">
        <f ca="1"/>
        <v/>
      </c>
      <c r="I842" s="112" t="str">
        <f ca="1"/>
        <v/>
      </c>
    </row>
    <row r="843" spans="1:9" ht="13.2">
      <c r="A843" s="109" t="str">
        <f ca="1">IFERROR(__xludf.DUMMYFUNCTION("""COMPUTED_VALUE"""),"HF")</f>
        <v>HF</v>
      </c>
      <c r="B843" s="108" t="str">
        <f ca="1">IFERROR(__xludf.DUMMYFUNCTION("""COMPUTED_VALUE"""),"Q Perdue")</f>
        <v>Q Perdue</v>
      </c>
      <c r="C843" s="109">
        <f ca="1">IFERROR(__xludf.DUMMYFUNCTION("""COMPUTED_VALUE"""),9)</f>
        <v>9</v>
      </c>
      <c r="D843" s="109" t="str">
        <f ca="1">IFERROR(__xludf.DUMMYFUNCTION("""COMPUTED_VALUE"""),"G")</f>
        <v>G</v>
      </c>
      <c r="E843" s="110" t="str">
        <f ca="1">IFERROR(__xludf.DUMMYFUNCTION("""COMPUTED_VALUE"""),"F")</f>
        <v>F</v>
      </c>
      <c r="F843" s="110" t="str">
        <f ca="1">IFERROR(__xludf.DUMMYFUNCTION("""COMPUTED_VALUE"""),"J")</f>
        <v>J</v>
      </c>
      <c r="G843" s="110">
        <f ca="1">IFERROR(__xludf.DUMMYFUNCTION("""COMPUTED_VALUE"""),4)</f>
        <v>4</v>
      </c>
      <c r="H843" s="112" t="str">
        <f ca="1"/>
        <v/>
      </c>
      <c r="I843" s="112" t="str">
        <f ca="1"/>
        <v/>
      </c>
    </row>
    <row r="844" spans="1:9" ht="13.2">
      <c r="A844" s="109" t="str">
        <f ca="1">IFERROR(__xludf.DUMMYFUNCTION("""COMPUTED_VALUE"""),"HF")</f>
        <v>HF</v>
      </c>
      <c r="B844" s="108" t="str">
        <f ca="1">IFERROR(__xludf.DUMMYFUNCTION("""COMPUTED_VALUE"""),"Sydney Stewart")</f>
        <v>Sydney Stewart</v>
      </c>
      <c r="C844" s="109">
        <f ca="1">IFERROR(__xludf.DUMMYFUNCTION("""COMPUTED_VALUE"""),10)</f>
        <v>10</v>
      </c>
      <c r="D844" s="109" t="str">
        <f ca="1">IFERROR(__xludf.DUMMYFUNCTION("""COMPUTED_VALUE"""),"G")</f>
        <v>G</v>
      </c>
      <c r="E844" s="110" t="str">
        <f ca="1">IFERROR(__xludf.DUMMYFUNCTION("""COMPUTED_VALUE"""),"F")</f>
        <v>F</v>
      </c>
      <c r="F844" s="110" t="str">
        <f ca="1">IFERROR(__xludf.DUMMYFUNCTION("""COMPUTED_VALUE"""),"J")</f>
        <v>J</v>
      </c>
      <c r="G844" s="110">
        <f ca="1">IFERROR(__xludf.DUMMYFUNCTION("""COMPUTED_VALUE"""),4)</f>
        <v>4</v>
      </c>
      <c r="H844" s="112" t="str">
        <f ca="1"/>
        <v/>
      </c>
      <c r="I844" s="112" t="str">
        <f ca="1"/>
        <v/>
      </c>
    </row>
    <row r="845" spans="1:9" ht="13.2">
      <c r="A845" s="109" t="str">
        <f ca="1">IFERROR(__xludf.DUMMYFUNCTION("""COMPUTED_VALUE"""),"HF")</f>
        <v>HF</v>
      </c>
      <c r="B845" s="108" t="str">
        <f ca="1">IFERROR(__xludf.DUMMYFUNCTION("""COMPUTED_VALUE"""),"Cooper Belt")</f>
        <v>Cooper Belt</v>
      </c>
      <c r="C845" s="109">
        <f ca="1">IFERROR(__xludf.DUMMYFUNCTION("""COMPUTED_VALUE"""),14)</f>
        <v>14</v>
      </c>
      <c r="D845" s="109" t="str">
        <f ca="1">IFERROR(__xludf.DUMMYFUNCTION("""COMPUTED_VALUE"""),"B")</f>
        <v>B</v>
      </c>
      <c r="E845" s="110" t="str">
        <f ca="1">IFERROR(__xludf.DUMMYFUNCTION("""COMPUTED_VALUE"""),"I")</f>
        <v>I</v>
      </c>
      <c r="F845" s="110" t="str">
        <f ca="1">IFERROR(__xludf.DUMMYFUNCTION("""COMPUTED_VALUE"""),"S")</f>
        <v>S</v>
      </c>
      <c r="G845" s="110">
        <f ca="1">IFERROR(__xludf.DUMMYFUNCTION("""COMPUTED_VALUE"""),4)</f>
        <v>4</v>
      </c>
      <c r="H845" s="112" t="str">
        <f ca="1"/>
        <v/>
      </c>
      <c r="I845" s="81" t="str">
        <f ca="1"/>
        <v/>
      </c>
    </row>
    <row r="846" spans="1:9" ht="13.2">
      <c r="A846" s="109" t="str">
        <f ca="1">IFERROR(__xludf.DUMMYFUNCTION("""COMPUTED_VALUE"""),"HF")</f>
        <v>HF</v>
      </c>
      <c r="B846" s="108" t="str">
        <f ca="1">IFERROR(__xludf.DUMMYFUNCTION("""COMPUTED_VALUE"""),"George Brennan")</f>
        <v>George Brennan</v>
      </c>
      <c r="C846" s="109">
        <f ca="1">IFERROR(__xludf.DUMMYFUNCTION("""COMPUTED_VALUE"""),14)</f>
        <v>14</v>
      </c>
      <c r="D846" s="109" t="str">
        <f ca="1">IFERROR(__xludf.DUMMYFUNCTION("""COMPUTED_VALUE"""),"B")</f>
        <v>B</v>
      </c>
      <c r="E846" s="110" t="str">
        <f ca="1">IFERROR(__xludf.DUMMYFUNCTION("""COMPUTED_VALUE"""),"I")</f>
        <v>I</v>
      </c>
      <c r="F846" s="110" t="str">
        <f ca="1">IFERROR(__xludf.DUMMYFUNCTION("""COMPUTED_VALUE"""),"S")</f>
        <v>S</v>
      </c>
      <c r="G846" s="110">
        <f ca="1">IFERROR(__xludf.DUMMYFUNCTION("""COMPUTED_VALUE"""),4)</f>
        <v>4</v>
      </c>
      <c r="H846" s="112" t="str">
        <f ca="1"/>
        <v/>
      </c>
      <c r="I846" s="81" t="str">
        <f ca="1"/>
        <v/>
      </c>
    </row>
    <row r="847" spans="1:9" ht="13.2">
      <c r="A847" s="109" t="str">
        <f ca="1">IFERROR(__xludf.DUMMYFUNCTION("""COMPUTED_VALUE"""),"HF")</f>
        <v>HF</v>
      </c>
      <c r="B847" s="108" t="str">
        <f ca="1">IFERROR(__xludf.DUMMYFUNCTION("""COMPUTED_VALUE"""),"Jack Rusch")</f>
        <v>Jack Rusch</v>
      </c>
      <c r="C847" s="109">
        <f ca="1">IFERROR(__xludf.DUMMYFUNCTION("""COMPUTED_VALUE"""),13)</f>
        <v>13</v>
      </c>
      <c r="D847" s="109" t="str">
        <f ca="1">IFERROR(__xludf.DUMMYFUNCTION("""COMPUTED_VALUE"""),"B")</f>
        <v>B</v>
      </c>
      <c r="E847" s="110" t="str">
        <f ca="1">IFERROR(__xludf.DUMMYFUNCTION("""COMPUTED_VALUE"""),"I")</f>
        <v>I</v>
      </c>
      <c r="F847" s="110" t="str">
        <f ca="1">IFERROR(__xludf.DUMMYFUNCTION("""COMPUTED_VALUE"""),"S")</f>
        <v>S</v>
      </c>
      <c r="G847" s="110">
        <f ca="1">IFERROR(__xludf.DUMMYFUNCTION("""COMPUTED_VALUE"""),4)</f>
        <v>4</v>
      </c>
      <c r="H847" s="112" t="str">
        <f ca="1"/>
        <v/>
      </c>
      <c r="I847" s="112" t="str">
        <f ca="1"/>
        <v/>
      </c>
    </row>
    <row r="848" spans="1:9" ht="13.2">
      <c r="A848" s="109" t="str">
        <f ca="1">IFERROR(__xludf.DUMMYFUNCTION("""COMPUTED_VALUE"""),"HF")</f>
        <v>HF</v>
      </c>
      <c r="B848" s="108" t="str">
        <f ca="1">IFERROR(__xludf.DUMMYFUNCTION("""COMPUTED_VALUE"""),"Sam Johnson")</f>
        <v>Sam Johnson</v>
      </c>
      <c r="C848" s="109">
        <f ca="1">IFERROR(__xludf.DUMMYFUNCTION("""COMPUTED_VALUE"""),13)</f>
        <v>13</v>
      </c>
      <c r="D848" s="109" t="str">
        <f ca="1">IFERROR(__xludf.DUMMYFUNCTION("""COMPUTED_VALUE"""),"B")</f>
        <v>B</v>
      </c>
      <c r="E848" s="110" t="str">
        <f ca="1">IFERROR(__xludf.DUMMYFUNCTION("""COMPUTED_VALUE"""),"I")</f>
        <v>I</v>
      </c>
      <c r="F848" s="110" t="str">
        <f ca="1">IFERROR(__xludf.DUMMYFUNCTION("""COMPUTED_VALUE"""),"S")</f>
        <v>S</v>
      </c>
      <c r="G848" s="110">
        <f ca="1">IFERROR(__xludf.DUMMYFUNCTION("""COMPUTED_VALUE"""),4)</f>
        <v>4</v>
      </c>
      <c r="H848" s="112" t="str">
        <f ca="1"/>
        <v/>
      </c>
      <c r="I848" s="81" t="str">
        <f ca="1"/>
        <v/>
      </c>
    </row>
    <row r="849" spans="1:9" ht="13.2">
      <c r="A849" s="109" t="str">
        <f ca="1">IFERROR(__xludf.DUMMYFUNCTION("""COMPUTED_VALUE"""),"HF")</f>
        <v>HF</v>
      </c>
      <c r="B849" s="108" t="str">
        <f ca="1">IFERROR(__xludf.DUMMYFUNCTION("""COMPUTED_VALUE"""),"Sean Watson")</f>
        <v>Sean Watson</v>
      </c>
      <c r="C849" s="109">
        <f ca="1">IFERROR(__xludf.DUMMYFUNCTION("""COMPUTED_VALUE"""),13)</f>
        <v>13</v>
      </c>
      <c r="D849" s="109" t="str">
        <f ca="1">IFERROR(__xludf.DUMMYFUNCTION("""COMPUTED_VALUE"""),"B")</f>
        <v>B</v>
      </c>
      <c r="E849" s="110" t="str">
        <f ca="1">IFERROR(__xludf.DUMMYFUNCTION("""COMPUTED_VALUE"""),"I")</f>
        <v>I</v>
      </c>
      <c r="F849" s="110" t="str">
        <f ca="1">IFERROR(__xludf.DUMMYFUNCTION("""COMPUTED_VALUE"""),"S")</f>
        <v>S</v>
      </c>
      <c r="G849" s="110">
        <f ca="1">IFERROR(__xludf.DUMMYFUNCTION("""COMPUTED_VALUE"""),4)</f>
        <v>4</v>
      </c>
      <c r="H849" s="112" t="str">
        <f ca="1"/>
        <v/>
      </c>
      <c r="I849" s="112" t="str">
        <f ca="1"/>
        <v/>
      </c>
    </row>
    <row r="850" spans="1:9" ht="13.2">
      <c r="A850" s="109" t="str">
        <f ca="1">IFERROR(__xludf.DUMMYFUNCTION("""COMPUTED_VALUE"""),"HF")</f>
        <v>HF</v>
      </c>
      <c r="B850" s="108" t="str">
        <f ca="1">IFERROR(__xludf.DUMMYFUNCTION("""COMPUTED_VALUE"""),"Kellen Courtney")</f>
        <v>Kellen Courtney</v>
      </c>
      <c r="C850" s="109">
        <f ca="1">IFERROR(__xludf.DUMMYFUNCTION("""COMPUTED_VALUE"""),11)</f>
        <v>11</v>
      </c>
      <c r="D850" s="109" t="str">
        <f ca="1">IFERROR(__xludf.DUMMYFUNCTION("""COMPUTED_VALUE"""),"B")</f>
        <v>B</v>
      </c>
      <c r="E850" s="110" t="str">
        <f ca="1">IFERROR(__xludf.DUMMYFUNCTION("""COMPUTED_VALUE"""),"J")</f>
        <v>J</v>
      </c>
      <c r="F850" s="110" t="str">
        <f ca="1">IFERROR(__xludf.DUMMYFUNCTION("""COMPUTED_VALUE"""),"I")</f>
        <v>I</v>
      </c>
      <c r="G850" s="110">
        <f ca="1">IFERROR(__xludf.DUMMYFUNCTION("""COMPUTED_VALUE"""),4)</f>
        <v>4</v>
      </c>
      <c r="H850" s="112" t="str">
        <f ca="1"/>
        <v/>
      </c>
      <c r="I850" s="81" t="str">
        <f ca="1"/>
        <v/>
      </c>
    </row>
    <row r="851" spans="1:9" ht="13.2">
      <c r="A851" s="109" t="str">
        <f ca="1">IFERROR(__xludf.DUMMYFUNCTION("""COMPUTED_VALUE"""),"HF")</f>
        <v>HF</v>
      </c>
      <c r="B851" s="108" t="str">
        <f ca="1">IFERROR(__xludf.DUMMYFUNCTION("""COMPUTED_VALUE"""),"Zakir Chinoy")</f>
        <v>Zakir Chinoy</v>
      </c>
      <c r="C851" s="109">
        <f ca="1">IFERROR(__xludf.DUMMYFUNCTION("""COMPUTED_VALUE"""),12)</f>
        <v>12</v>
      </c>
      <c r="D851" s="109" t="str">
        <f ca="1">IFERROR(__xludf.DUMMYFUNCTION("""COMPUTED_VALUE"""),"B")</f>
        <v>B</v>
      </c>
      <c r="E851" s="110" t="str">
        <f ca="1">IFERROR(__xludf.DUMMYFUNCTION("""COMPUTED_VALUE"""),"J")</f>
        <v>J</v>
      </c>
      <c r="F851" s="110" t="str">
        <f ca="1">IFERROR(__xludf.DUMMYFUNCTION("""COMPUTED_VALUE"""),"I")</f>
        <v>I</v>
      </c>
      <c r="G851" s="110">
        <f ca="1">IFERROR(__xludf.DUMMYFUNCTION("""COMPUTED_VALUE"""),4)</f>
        <v>4</v>
      </c>
      <c r="H851" s="112" t="str">
        <f ca="1"/>
        <v/>
      </c>
      <c r="I851" s="81" t="str">
        <f ca="1"/>
        <v/>
      </c>
    </row>
    <row r="852" spans="1:9" ht="13.2">
      <c r="A852" s="109" t="str">
        <f ca="1">IFERROR(__xludf.DUMMYFUNCTION("""COMPUTED_VALUE"""),"HF")</f>
        <v>HF</v>
      </c>
      <c r="B852" s="108" t="str">
        <f ca="1">IFERROR(__xludf.DUMMYFUNCTION("""COMPUTED_VALUE"""),"Clayre Payne")</f>
        <v>Clayre Payne</v>
      </c>
      <c r="C852" s="109">
        <f ca="1">IFERROR(__xludf.DUMMYFUNCTION("""COMPUTED_VALUE"""),12)</f>
        <v>12</v>
      </c>
      <c r="D852" s="109" t="str">
        <f ca="1">IFERROR(__xludf.DUMMYFUNCTION("""COMPUTED_VALUE"""),"G")</f>
        <v>G</v>
      </c>
      <c r="E852" s="110" t="str">
        <f ca="1">IFERROR(__xludf.DUMMYFUNCTION("""COMPUTED_VALUE"""),"J")</f>
        <v>J</v>
      </c>
      <c r="F852" s="110" t="str">
        <f ca="1">IFERROR(__xludf.DUMMYFUNCTION("""COMPUTED_VALUE"""),"I")</f>
        <v>I</v>
      </c>
      <c r="G852" s="110">
        <f ca="1">IFERROR(__xludf.DUMMYFUNCTION("""COMPUTED_VALUE"""),4)</f>
        <v>4</v>
      </c>
      <c r="H852" s="112" t="str">
        <f ca="1"/>
        <v/>
      </c>
      <c r="I852" s="112" t="str">
        <f ca="1"/>
        <v/>
      </c>
    </row>
    <row r="853" spans="1:9" ht="13.2">
      <c r="A853" s="109" t="str">
        <f ca="1">IFERROR(__xludf.DUMMYFUNCTION("""COMPUTED_VALUE"""),"HF")</f>
        <v>HF</v>
      </c>
      <c r="B853" s="108" t="str">
        <f ca="1">IFERROR(__xludf.DUMMYFUNCTION("""COMPUTED_VALUE"""),"Emma Kowalchick")</f>
        <v>Emma Kowalchick</v>
      </c>
      <c r="C853" s="109">
        <f ca="1">IFERROR(__xludf.DUMMYFUNCTION("""COMPUTED_VALUE"""),11)</f>
        <v>11</v>
      </c>
      <c r="D853" s="109" t="str">
        <f ca="1">IFERROR(__xludf.DUMMYFUNCTION("""COMPUTED_VALUE"""),"G")</f>
        <v>G</v>
      </c>
      <c r="E853" s="110" t="str">
        <f ca="1">IFERROR(__xludf.DUMMYFUNCTION("""COMPUTED_VALUE"""),"J")</f>
        <v>J</v>
      </c>
      <c r="F853" s="110" t="str">
        <f ca="1">IFERROR(__xludf.DUMMYFUNCTION("""COMPUTED_VALUE"""),"I")</f>
        <v>I</v>
      </c>
      <c r="G853" s="110">
        <f ca="1">IFERROR(__xludf.DUMMYFUNCTION("""COMPUTED_VALUE"""),4)</f>
        <v>4</v>
      </c>
      <c r="H853" s="112" t="str">
        <f ca="1"/>
        <v/>
      </c>
      <c r="I853" s="112" t="str">
        <f ca="1"/>
        <v/>
      </c>
    </row>
    <row r="854" spans="1:9" ht="13.2">
      <c r="A854" s="109" t="str">
        <f ca="1">IFERROR(__xludf.DUMMYFUNCTION("""COMPUTED_VALUE"""),"HF")</f>
        <v>HF</v>
      </c>
      <c r="B854" s="108" t="str">
        <f ca="1">IFERROR(__xludf.DUMMYFUNCTION("""COMPUTED_VALUE"""),"Maeve McGuire")</f>
        <v>Maeve McGuire</v>
      </c>
      <c r="C854" s="109">
        <f ca="1">IFERROR(__xludf.DUMMYFUNCTION("""COMPUTED_VALUE"""),12)</f>
        <v>12</v>
      </c>
      <c r="D854" s="109" t="str">
        <f ca="1">IFERROR(__xludf.DUMMYFUNCTION("""COMPUTED_VALUE"""),"G")</f>
        <v>G</v>
      </c>
      <c r="E854" s="110" t="str">
        <f ca="1">IFERROR(__xludf.DUMMYFUNCTION("""COMPUTED_VALUE"""),"J")</f>
        <v>J</v>
      </c>
      <c r="F854" s="110" t="str">
        <f ca="1">IFERROR(__xludf.DUMMYFUNCTION("""COMPUTED_VALUE"""),"I")</f>
        <v>I</v>
      </c>
      <c r="G854" s="110">
        <f ca="1">IFERROR(__xludf.DUMMYFUNCTION("""COMPUTED_VALUE"""),4)</f>
        <v>4</v>
      </c>
      <c r="H854" s="112" t="str">
        <f ca="1"/>
        <v/>
      </c>
      <c r="I854" s="112" t="str">
        <f ca="1"/>
        <v/>
      </c>
    </row>
    <row r="855" spans="1:9" ht="13.2">
      <c r="A855" s="109" t="str">
        <f ca="1">IFERROR(__xludf.DUMMYFUNCTION("""COMPUTED_VALUE"""),"HF")</f>
        <v>HF</v>
      </c>
      <c r="B855" s="108" t="str">
        <f ca="1">IFERROR(__xludf.DUMMYFUNCTION("""COMPUTED_VALUE"""),"Fin Belt")</f>
        <v>Fin Belt</v>
      </c>
      <c r="C855" s="109">
        <f ca="1">IFERROR(__xludf.DUMMYFUNCTION("""COMPUTED_VALUE"""),16)</f>
        <v>16</v>
      </c>
      <c r="D855" s="109" t="str">
        <f ca="1">IFERROR(__xludf.DUMMYFUNCTION("""COMPUTED_VALUE"""),"B")</f>
        <v>B</v>
      </c>
      <c r="E855" s="110" t="str">
        <f ca="1">IFERROR(__xludf.DUMMYFUNCTION("""COMPUTED_VALUE"""),"S")</f>
        <v>S</v>
      </c>
      <c r="F855" s="110" t="str">
        <f ca="1">IFERROR(__xludf.DUMMYFUNCTION("""COMPUTED_VALUE"""),"S")</f>
        <v>S</v>
      </c>
      <c r="G855" s="110">
        <f ca="1">IFERROR(__xludf.DUMMYFUNCTION("""COMPUTED_VALUE"""),4)</f>
        <v>4</v>
      </c>
      <c r="H855" s="112" t="str">
        <f ca="1"/>
        <v/>
      </c>
      <c r="I855" s="112" t="str">
        <f ca="1"/>
        <v/>
      </c>
    </row>
    <row r="856" spans="1:9" ht="13.2">
      <c r="A856" s="109" t="str">
        <f ca="1">IFERROR(__xludf.DUMMYFUNCTION("""COMPUTED_VALUE"""),"HF")</f>
        <v>HF</v>
      </c>
      <c r="B856" s="108" t="str">
        <f ca="1">IFERROR(__xludf.DUMMYFUNCTION("""COMPUTED_VALUE"""),"Gavin Bergen-Hill")</f>
        <v>Gavin Bergen-Hill</v>
      </c>
      <c r="C856" s="109">
        <f ca="1">IFERROR(__xludf.DUMMYFUNCTION("""COMPUTED_VALUE"""),18)</f>
        <v>18</v>
      </c>
      <c r="D856" s="109" t="str">
        <f ca="1">IFERROR(__xludf.DUMMYFUNCTION("""COMPUTED_VALUE"""),"B")</f>
        <v>B</v>
      </c>
      <c r="E856" s="110" t="str">
        <f ca="1">IFERROR(__xludf.DUMMYFUNCTION("""COMPUTED_VALUE"""),"S")</f>
        <v>S</v>
      </c>
      <c r="F856" s="110" t="str">
        <f ca="1">IFERROR(__xludf.DUMMYFUNCTION("""COMPUTED_VALUE"""),"S")</f>
        <v>S</v>
      </c>
      <c r="G856" s="110">
        <f ca="1">IFERROR(__xludf.DUMMYFUNCTION("""COMPUTED_VALUE"""),4)</f>
        <v>4</v>
      </c>
      <c r="H856" s="112" t="str">
        <f ca="1"/>
        <v/>
      </c>
      <c r="I856" s="81" t="str">
        <f ca="1"/>
        <v/>
      </c>
    </row>
    <row r="857" spans="1:9" ht="13.2">
      <c r="A857" s="109" t="str">
        <f ca="1">IFERROR(__xludf.DUMMYFUNCTION("""COMPUTED_VALUE"""),"HF")</f>
        <v>HF</v>
      </c>
      <c r="B857" s="108" t="str">
        <f ca="1">IFERROR(__xludf.DUMMYFUNCTION("""COMPUTED_VALUE"""),"Lucy Porter")</f>
        <v>Lucy Porter</v>
      </c>
      <c r="C857" s="109">
        <f ca="1">IFERROR(__xludf.DUMMYFUNCTION("""COMPUTED_VALUE"""),16)</f>
        <v>16</v>
      </c>
      <c r="D857" s="109" t="str">
        <f ca="1">IFERROR(__xludf.DUMMYFUNCTION("""COMPUTED_VALUE"""),"G")</f>
        <v>G</v>
      </c>
      <c r="E857" s="110" t="str">
        <f ca="1">IFERROR(__xludf.DUMMYFUNCTION("""COMPUTED_VALUE"""),"S")</f>
        <v>S</v>
      </c>
      <c r="F857" s="110" t="str">
        <f ca="1">IFERROR(__xludf.DUMMYFUNCTION("""COMPUTED_VALUE"""),"S")</f>
        <v>S</v>
      </c>
      <c r="G857" s="110">
        <f ca="1">IFERROR(__xludf.DUMMYFUNCTION("""COMPUTED_VALUE"""),4)</f>
        <v>4</v>
      </c>
      <c r="H857" s="112" t="str">
        <f ca="1"/>
        <v/>
      </c>
      <c r="I857" s="112" t="str">
        <f ca="1"/>
        <v/>
      </c>
    </row>
    <row r="858" spans="1:9" ht="13.2">
      <c r="A858" s="109" t="str">
        <f ca="1">IFERROR(__xludf.DUMMYFUNCTION("""COMPUTED_VALUE"""),"HP")</f>
        <v>HP</v>
      </c>
      <c r="B858" s="108" t="str">
        <f ca="1">IFERROR(__xludf.DUMMYFUNCTION("""COMPUTED_VALUE"""),"Adam Elbekri")</f>
        <v>Adam Elbekri</v>
      </c>
      <c r="C858" s="109">
        <f ca="1">IFERROR(__xludf.DUMMYFUNCTION("""COMPUTED_VALUE"""),9)</f>
        <v>9</v>
      </c>
      <c r="D858" s="109" t="str">
        <f ca="1">IFERROR(__xludf.DUMMYFUNCTION("""COMPUTED_VALUE"""),"B")</f>
        <v>B</v>
      </c>
      <c r="E858" s="110" t="str">
        <f ca="1">IFERROR(__xludf.DUMMYFUNCTION("""COMPUTED_VALUE"""),"F")</f>
        <v>F</v>
      </c>
      <c r="F858" s="110" t="str">
        <f ca="1">IFERROR(__xludf.DUMMYFUNCTION("""COMPUTED_VALUE"""),"J")</f>
        <v>J</v>
      </c>
      <c r="G858" s="110">
        <f ca="1">IFERROR(__xludf.DUMMYFUNCTION("""COMPUTED_VALUE"""),6)</f>
        <v>6</v>
      </c>
      <c r="H858" s="112" t="str">
        <f ca="1"/>
        <v/>
      </c>
      <c r="I858" s="81" t="str">
        <f ca="1"/>
        <v/>
      </c>
    </row>
    <row r="859" spans="1:9" ht="13.2">
      <c r="A859" s="109" t="str">
        <f ca="1">IFERROR(__xludf.DUMMYFUNCTION("""COMPUTED_VALUE"""),"HP")</f>
        <v>HP</v>
      </c>
      <c r="B859" s="108" t="str">
        <f ca="1">IFERROR(__xludf.DUMMYFUNCTION("""COMPUTED_VALUE"""),"Azeem Tyabji")</f>
        <v>Azeem Tyabji</v>
      </c>
      <c r="C859" s="109">
        <f ca="1">IFERROR(__xludf.DUMMYFUNCTION("""COMPUTED_VALUE"""),8)</f>
        <v>8</v>
      </c>
      <c r="D859" s="109" t="str">
        <f ca="1">IFERROR(__xludf.DUMMYFUNCTION("""COMPUTED_VALUE"""),"B")</f>
        <v>B</v>
      </c>
      <c r="E859" s="110" t="str">
        <f ca="1">IFERROR(__xludf.DUMMYFUNCTION("""COMPUTED_VALUE"""),"F")</f>
        <v>F</v>
      </c>
      <c r="F859" s="110" t="str">
        <f ca="1">IFERROR(__xludf.DUMMYFUNCTION("""COMPUTED_VALUE"""),"J")</f>
        <v>J</v>
      </c>
      <c r="G859" s="110">
        <f ca="1">IFERROR(__xludf.DUMMYFUNCTION("""COMPUTED_VALUE"""),6)</f>
        <v>6</v>
      </c>
      <c r="H859" s="112" t="str">
        <f ca="1"/>
        <v>19.5</v>
      </c>
      <c r="I859" s="81">
        <f ca="1"/>
        <v>19.5</v>
      </c>
    </row>
    <row r="860" spans="1:9" ht="13.2">
      <c r="A860" s="109" t="str">
        <f ca="1">IFERROR(__xludf.DUMMYFUNCTION("""COMPUTED_VALUE"""),"HP")</f>
        <v>HP</v>
      </c>
      <c r="B860" s="108" t="str">
        <f ca="1">IFERROR(__xludf.DUMMYFUNCTION("""COMPUTED_VALUE"""),"Benjamin Allen")</f>
        <v>Benjamin Allen</v>
      </c>
      <c r="C860" s="109">
        <f ca="1">IFERROR(__xludf.DUMMYFUNCTION("""COMPUTED_VALUE"""),9)</f>
        <v>9</v>
      </c>
      <c r="D860" s="109" t="str">
        <f ca="1">IFERROR(__xludf.DUMMYFUNCTION("""COMPUTED_VALUE"""),"B")</f>
        <v>B</v>
      </c>
      <c r="E860" s="110" t="str">
        <f ca="1">IFERROR(__xludf.DUMMYFUNCTION("""COMPUTED_VALUE"""),"F")</f>
        <v>F</v>
      </c>
      <c r="F860" s="110" t="str">
        <f ca="1">IFERROR(__xludf.DUMMYFUNCTION("""COMPUTED_VALUE"""),"J")</f>
        <v>J</v>
      </c>
      <c r="G860" s="110">
        <f ca="1">IFERROR(__xludf.DUMMYFUNCTION("""COMPUTED_VALUE"""),6)</f>
        <v>6</v>
      </c>
      <c r="H860" s="112" t="str">
        <f ca="1"/>
        <v>34.1</v>
      </c>
      <c r="I860" s="81">
        <f ca="1"/>
        <v>34.1</v>
      </c>
    </row>
    <row r="861" spans="1:9" ht="13.2">
      <c r="A861" s="109" t="str">
        <f ca="1">IFERROR(__xludf.DUMMYFUNCTION("""COMPUTED_VALUE"""),"HP")</f>
        <v>HP</v>
      </c>
      <c r="B861" s="108" t="str">
        <f ca="1">IFERROR(__xludf.DUMMYFUNCTION("""COMPUTED_VALUE"""),"Benjamin Margolis")</f>
        <v>Benjamin Margolis</v>
      </c>
      <c r="C861" s="109">
        <f ca="1">IFERROR(__xludf.DUMMYFUNCTION("""COMPUTED_VALUE"""),9)</f>
        <v>9</v>
      </c>
      <c r="D861" s="109" t="str">
        <f ca="1">IFERROR(__xludf.DUMMYFUNCTION("""COMPUTED_VALUE"""),"B")</f>
        <v>B</v>
      </c>
      <c r="E861" s="110" t="str">
        <f ca="1">IFERROR(__xludf.DUMMYFUNCTION("""COMPUTED_VALUE"""),"F")</f>
        <v>F</v>
      </c>
      <c r="F861" s="110" t="str">
        <f ca="1">IFERROR(__xludf.DUMMYFUNCTION("""COMPUTED_VALUE"""),"J")</f>
        <v>J</v>
      </c>
      <c r="G861" s="110">
        <f ca="1">IFERROR(__xludf.DUMMYFUNCTION("""COMPUTED_VALUE"""),6)</f>
        <v>6</v>
      </c>
      <c r="H861" s="112" t="str">
        <f ca="1"/>
        <v/>
      </c>
      <c r="I861" s="81" t="str">
        <f ca="1"/>
        <v/>
      </c>
    </row>
    <row r="862" spans="1:9" ht="13.2">
      <c r="A862" s="109" t="str">
        <f ca="1">IFERROR(__xludf.DUMMYFUNCTION("""COMPUTED_VALUE"""),"HP")</f>
        <v>HP</v>
      </c>
      <c r="B862" s="108" t="str">
        <f ca="1">IFERROR(__xludf.DUMMYFUNCTION("""COMPUTED_VALUE"""),"Cameron Cohen")</f>
        <v>Cameron Cohen</v>
      </c>
      <c r="C862" s="109">
        <f ca="1">IFERROR(__xludf.DUMMYFUNCTION("""COMPUTED_VALUE"""),8)</f>
        <v>8</v>
      </c>
      <c r="D862" s="109" t="str">
        <f ca="1">IFERROR(__xludf.DUMMYFUNCTION("""COMPUTED_VALUE"""),"B")</f>
        <v>B</v>
      </c>
      <c r="E862" s="110" t="str">
        <f ca="1">IFERROR(__xludf.DUMMYFUNCTION("""COMPUTED_VALUE"""),"F")</f>
        <v>F</v>
      </c>
      <c r="F862" s="110" t="str">
        <f ca="1">IFERROR(__xludf.DUMMYFUNCTION("""COMPUTED_VALUE"""),"J")</f>
        <v>J</v>
      </c>
      <c r="G862" s="110">
        <f ca="1">IFERROR(__xludf.DUMMYFUNCTION("""COMPUTED_VALUE"""),6)</f>
        <v>6</v>
      </c>
      <c r="H862" s="112" t="str">
        <f ca="1"/>
        <v>7.5</v>
      </c>
      <c r="I862" s="112">
        <f ca="1"/>
        <v>7.5</v>
      </c>
    </row>
    <row r="863" spans="1:9" ht="13.2">
      <c r="A863" s="109" t="str">
        <f ca="1">IFERROR(__xludf.DUMMYFUNCTION("""COMPUTED_VALUE"""),"HP")</f>
        <v>HP</v>
      </c>
      <c r="B863" s="108" t="str">
        <f ca="1">IFERROR(__xludf.DUMMYFUNCTION("""COMPUTED_VALUE"""),"Devon Taylor")</f>
        <v>Devon Taylor</v>
      </c>
      <c r="C863" s="109">
        <f ca="1">IFERROR(__xludf.DUMMYFUNCTION("""COMPUTED_VALUE"""),6)</f>
        <v>6</v>
      </c>
      <c r="D863" s="109" t="str">
        <f ca="1">IFERROR(__xludf.DUMMYFUNCTION("""COMPUTED_VALUE"""),"B")</f>
        <v>B</v>
      </c>
      <c r="E863" s="110" t="str">
        <f ca="1">IFERROR(__xludf.DUMMYFUNCTION("""COMPUTED_VALUE"""),"F")</f>
        <v>F</v>
      </c>
      <c r="F863" s="110" t="str">
        <f ca="1">IFERROR(__xludf.DUMMYFUNCTION("""COMPUTED_VALUE"""),"J")</f>
        <v>J</v>
      </c>
      <c r="G863" s="110">
        <f ca="1">IFERROR(__xludf.DUMMYFUNCTION("""COMPUTED_VALUE"""),6)</f>
        <v>6</v>
      </c>
      <c r="H863" s="112" t="str">
        <f ca="1"/>
        <v>12.25</v>
      </c>
      <c r="I863" s="81">
        <f ca="1"/>
        <v>12.25</v>
      </c>
    </row>
    <row r="864" spans="1:9" ht="13.2">
      <c r="A864" s="109" t="str">
        <f ca="1">IFERROR(__xludf.DUMMYFUNCTION("""COMPUTED_VALUE"""),"HP")</f>
        <v>HP</v>
      </c>
      <c r="B864" s="108" t="str">
        <f ca="1">IFERROR(__xludf.DUMMYFUNCTION("""COMPUTED_VALUE"""),"Elliot Kobus")</f>
        <v>Elliot Kobus</v>
      </c>
      <c r="C864" s="109">
        <f ca="1">IFERROR(__xludf.DUMMYFUNCTION("""COMPUTED_VALUE"""),8)</f>
        <v>8</v>
      </c>
      <c r="D864" s="109" t="str">
        <f ca="1">IFERROR(__xludf.DUMMYFUNCTION("""COMPUTED_VALUE"""),"B")</f>
        <v>B</v>
      </c>
      <c r="E864" s="110" t="str">
        <f ca="1">IFERROR(__xludf.DUMMYFUNCTION("""COMPUTED_VALUE"""),"F")</f>
        <v>F</v>
      </c>
      <c r="F864" s="110" t="str">
        <f ca="1">IFERROR(__xludf.DUMMYFUNCTION("""COMPUTED_VALUE"""),"J")</f>
        <v>J</v>
      </c>
      <c r="G864" s="110">
        <f ca="1">IFERROR(__xludf.DUMMYFUNCTION("""COMPUTED_VALUE"""),6)</f>
        <v>6</v>
      </c>
      <c r="H864" s="112" t="str">
        <f ca="1"/>
        <v>12.5</v>
      </c>
      <c r="I864" s="112">
        <f ca="1"/>
        <v>12.5</v>
      </c>
    </row>
    <row r="865" spans="1:9" ht="13.2">
      <c r="A865" s="109" t="str">
        <f ca="1">IFERROR(__xludf.DUMMYFUNCTION("""COMPUTED_VALUE"""),"HP")</f>
        <v>HP</v>
      </c>
      <c r="B865" s="108" t="str">
        <f ca="1">IFERROR(__xludf.DUMMYFUNCTION("""COMPUTED_VALUE"""),"Henry Cutts")</f>
        <v>Henry Cutts</v>
      </c>
      <c r="C865" s="109">
        <f ca="1">IFERROR(__xludf.DUMMYFUNCTION("""COMPUTED_VALUE"""),8)</f>
        <v>8</v>
      </c>
      <c r="D865" s="109" t="str">
        <f ca="1">IFERROR(__xludf.DUMMYFUNCTION("""COMPUTED_VALUE"""),"B")</f>
        <v>B</v>
      </c>
      <c r="E865" s="110" t="str">
        <f ca="1">IFERROR(__xludf.DUMMYFUNCTION("""COMPUTED_VALUE"""),"F")</f>
        <v>F</v>
      </c>
      <c r="F865" s="110" t="str">
        <f ca="1">IFERROR(__xludf.DUMMYFUNCTION("""COMPUTED_VALUE"""),"J")</f>
        <v>J</v>
      </c>
      <c r="G865" s="110">
        <f ca="1">IFERROR(__xludf.DUMMYFUNCTION("""COMPUTED_VALUE"""),6)</f>
        <v>6</v>
      </c>
      <c r="H865" s="112" t="str">
        <f ca="1"/>
        <v/>
      </c>
      <c r="I865" s="112" t="str">
        <f ca="1"/>
        <v/>
      </c>
    </row>
    <row r="866" spans="1:9" ht="13.2">
      <c r="A866" s="109" t="str">
        <f ca="1">IFERROR(__xludf.DUMMYFUNCTION("""COMPUTED_VALUE"""),"HP")</f>
        <v>HP</v>
      </c>
      <c r="B866" s="108" t="str">
        <f ca="1">IFERROR(__xludf.DUMMYFUNCTION("""COMPUTED_VALUE"""),"Jacob Stigliano")</f>
        <v>Jacob Stigliano</v>
      </c>
      <c r="C866" s="109">
        <f ca="1">IFERROR(__xludf.DUMMYFUNCTION("""COMPUTED_VALUE"""),6)</f>
        <v>6</v>
      </c>
      <c r="D866" s="109" t="str">
        <f ca="1">IFERROR(__xludf.DUMMYFUNCTION("""COMPUTED_VALUE"""),"B")</f>
        <v>B</v>
      </c>
      <c r="E866" s="110" t="str">
        <f ca="1">IFERROR(__xludf.DUMMYFUNCTION("""COMPUTED_VALUE"""),"F")</f>
        <v>F</v>
      </c>
      <c r="F866" s="110" t="str">
        <f ca="1">IFERROR(__xludf.DUMMYFUNCTION("""COMPUTED_VALUE"""),"J")</f>
        <v>J</v>
      </c>
      <c r="G866" s="110">
        <f ca="1">IFERROR(__xludf.DUMMYFUNCTION("""COMPUTED_VALUE"""),6)</f>
        <v>6</v>
      </c>
      <c r="H866" s="112" t="str">
        <f ca="1"/>
        <v/>
      </c>
      <c r="I866" s="112" t="str">
        <f ca="1"/>
        <v/>
      </c>
    </row>
    <row r="867" spans="1:9" ht="13.2">
      <c r="A867" s="109" t="str">
        <f ca="1">IFERROR(__xludf.DUMMYFUNCTION("""COMPUTED_VALUE"""),"HP")</f>
        <v>HP</v>
      </c>
      <c r="B867" s="108" t="str">
        <f ca="1">IFERROR(__xludf.DUMMYFUNCTION("""COMPUTED_VALUE"""),"JJ Snyder")</f>
        <v>JJ Snyder</v>
      </c>
      <c r="C867" s="109">
        <f ca="1">IFERROR(__xludf.DUMMYFUNCTION("""COMPUTED_VALUE"""),8)</f>
        <v>8</v>
      </c>
      <c r="D867" s="109" t="str">
        <f ca="1">IFERROR(__xludf.DUMMYFUNCTION("""COMPUTED_VALUE"""),"B")</f>
        <v>B</v>
      </c>
      <c r="E867" s="110" t="str">
        <f ca="1">IFERROR(__xludf.DUMMYFUNCTION("""COMPUTED_VALUE"""),"F")</f>
        <v>F</v>
      </c>
      <c r="F867" s="110" t="str">
        <f ca="1">IFERROR(__xludf.DUMMYFUNCTION("""COMPUTED_VALUE"""),"J")</f>
        <v>J</v>
      </c>
      <c r="G867" s="110">
        <f ca="1">IFERROR(__xludf.DUMMYFUNCTION("""COMPUTED_VALUE"""),6)</f>
        <v>6</v>
      </c>
      <c r="H867" s="112" t="str">
        <f ca="1"/>
        <v/>
      </c>
      <c r="I867" s="112" t="str">
        <f ca="1"/>
        <v/>
      </c>
    </row>
    <row r="868" spans="1:9" ht="13.2">
      <c r="A868" s="109" t="str">
        <f ca="1">IFERROR(__xludf.DUMMYFUNCTION("""COMPUTED_VALUE"""),"HP")</f>
        <v>HP</v>
      </c>
      <c r="B868" s="108" t="str">
        <f ca="1">IFERROR(__xludf.DUMMYFUNCTION("""COMPUTED_VALUE"""),"Johnny Simon")</f>
        <v>Johnny Simon</v>
      </c>
      <c r="C868" s="109">
        <f ca="1">IFERROR(__xludf.DUMMYFUNCTION("""COMPUTED_VALUE"""),9)</f>
        <v>9</v>
      </c>
      <c r="D868" s="109" t="str">
        <f ca="1">IFERROR(__xludf.DUMMYFUNCTION("""COMPUTED_VALUE"""),"B")</f>
        <v>B</v>
      </c>
      <c r="E868" s="110" t="str">
        <f ca="1">IFERROR(__xludf.DUMMYFUNCTION("""COMPUTED_VALUE"""),"F")</f>
        <v>F</v>
      </c>
      <c r="F868" s="110" t="str">
        <f ca="1">IFERROR(__xludf.DUMMYFUNCTION("""COMPUTED_VALUE"""),"J")</f>
        <v>J</v>
      </c>
      <c r="G868" s="110">
        <f ca="1">IFERROR(__xludf.DUMMYFUNCTION("""COMPUTED_VALUE"""),6)</f>
        <v>6</v>
      </c>
      <c r="H868" s="112" t="str">
        <f ca="1"/>
        <v/>
      </c>
      <c r="I868" s="112" t="str">
        <f ca="1"/>
        <v/>
      </c>
    </row>
    <row r="869" spans="1:9" ht="13.2">
      <c r="A869" s="109" t="str">
        <f ca="1">IFERROR(__xludf.DUMMYFUNCTION("""COMPUTED_VALUE"""),"HP")</f>
        <v>HP</v>
      </c>
      <c r="B869" s="108" t="str">
        <f ca="1">IFERROR(__xludf.DUMMYFUNCTION("""COMPUTED_VALUE"""),"Joseph Mosinski")</f>
        <v>Joseph Mosinski</v>
      </c>
      <c r="C869" s="109">
        <f ca="1">IFERROR(__xludf.DUMMYFUNCTION("""COMPUTED_VALUE"""),9)</f>
        <v>9</v>
      </c>
      <c r="D869" s="109" t="str">
        <f ca="1">IFERROR(__xludf.DUMMYFUNCTION("""COMPUTED_VALUE"""),"B")</f>
        <v>B</v>
      </c>
      <c r="E869" s="110" t="str">
        <f ca="1">IFERROR(__xludf.DUMMYFUNCTION("""COMPUTED_VALUE"""),"F")</f>
        <v>F</v>
      </c>
      <c r="F869" s="110" t="str">
        <f ca="1">IFERROR(__xludf.DUMMYFUNCTION("""COMPUTED_VALUE"""),"J")</f>
        <v>J</v>
      </c>
      <c r="G869" s="110">
        <f ca="1">IFERROR(__xludf.DUMMYFUNCTION("""COMPUTED_VALUE"""),6)</f>
        <v>6</v>
      </c>
      <c r="H869" s="112" t="str">
        <f ca="1"/>
        <v/>
      </c>
      <c r="I869" s="81" t="str">
        <f ca="1"/>
        <v/>
      </c>
    </row>
    <row r="870" spans="1:9" ht="13.2">
      <c r="A870" s="109" t="str">
        <f ca="1">IFERROR(__xludf.DUMMYFUNCTION("""COMPUTED_VALUE"""),"HP")</f>
        <v>HP</v>
      </c>
      <c r="B870" s="108" t="str">
        <f ca="1">IFERROR(__xludf.DUMMYFUNCTION("""COMPUTED_VALUE"""),"Julian Castro")</f>
        <v>Julian Castro</v>
      </c>
      <c r="C870" s="109">
        <f ca="1">IFERROR(__xludf.DUMMYFUNCTION("""COMPUTED_VALUE"""),8)</f>
        <v>8</v>
      </c>
      <c r="D870" s="109" t="str">
        <f ca="1">IFERROR(__xludf.DUMMYFUNCTION("""COMPUTED_VALUE"""),"B")</f>
        <v>B</v>
      </c>
      <c r="E870" s="110" t="str">
        <f ca="1">IFERROR(__xludf.DUMMYFUNCTION("""COMPUTED_VALUE"""),"F")</f>
        <v>F</v>
      </c>
      <c r="F870" s="110" t="str">
        <f ca="1">IFERROR(__xludf.DUMMYFUNCTION("""COMPUTED_VALUE"""),"J")</f>
        <v>J</v>
      </c>
      <c r="G870" s="110">
        <f ca="1">IFERROR(__xludf.DUMMYFUNCTION("""COMPUTED_VALUE"""),6)</f>
        <v>6</v>
      </c>
      <c r="H870" s="112" t="str">
        <f ca="1"/>
        <v>22.9</v>
      </c>
      <c r="I870" s="112">
        <f ca="1"/>
        <v>22.9</v>
      </c>
    </row>
    <row r="871" spans="1:9" ht="13.2">
      <c r="A871" s="109" t="str">
        <f ca="1">IFERROR(__xludf.DUMMYFUNCTION("""COMPUTED_VALUE"""),"HP")</f>
        <v>HP</v>
      </c>
      <c r="B871" s="108" t="str">
        <f ca="1">IFERROR(__xludf.DUMMYFUNCTION("""COMPUTED_VALUE"""),"Liam Geyer")</f>
        <v>Liam Geyer</v>
      </c>
      <c r="C871" s="109">
        <f ca="1">IFERROR(__xludf.DUMMYFUNCTION("""COMPUTED_VALUE"""),10)</f>
        <v>10</v>
      </c>
      <c r="D871" s="109" t="str">
        <f ca="1">IFERROR(__xludf.DUMMYFUNCTION("""COMPUTED_VALUE"""),"B")</f>
        <v>B</v>
      </c>
      <c r="E871" s="110" t="str">
        <f ca="1">IFERROR(__xludf.DUMMYFUNCTION("""COMPUTED_VALUE"""),"F")</f>
        <v>F</v>
      </c>
      <c r="F871" s="110" t="str">
        <f ca="1">IFERROR(__xludf.DUMMYFUNCTION("""COMPUTED_VALUE"""),"J")</f>
        <v>J</v>
      </c>
      <c r="G871" s="110">
        <f ca="1">IFERROR(__xludf.DUMMYFUNCTION("""COMPUTED_VALUE"""),6)</f>
        <v>6</v>
      </c>
      <c r="H871" s="112" t="str">
        <f ca="1"/>
        <v/>
      </c>
      <c r="I871" s="112" t="str">
        <f ca="1"/>
        <v/>
      </c>
    </row>
    <row r="872" spans="1:9" ht="13.2">
      <c r="A872" s="109" t="str">
        <f ca="1">IFERROR(__xludf.DUMMYFUNCTION("""COMPUTED_VALUE"""),"HP")</f>
        <v>HP</v>
      </c>
      <c r="B872" s="108" t="str">
        <f ca="1">IFERROR(__xludf.DUMMYFUNCTION("""COMPUTED_VALUE"""),"Liam Painter")</f>
        <v>Liam Painter</v>
      </c>
      <c r="C872" s="109">
        <f ca="1">IFERROR(__xludf.DUMMYFUNCTION("""COMPUTED_VALUE"""),10)</f>
        <v>10</v>
      </c>
      <c r="D872" s="109" t="str">
        <f ca="1">IFERROR(__xludf.DUMMYFUNCTION("""COMPUTED_VALUE"""),"B")</f>
        <v>B</v>
      </c>
      <c r="E872" s="110" t="str">
        <f ca="1">IFERROR(__xludf.DUMMYFUNCTION("""COMPUTED_VALUE"""),"F")</f>
        <v>F</v>
      </c>
      <c r="F872" s="110" t="str">
        <f ca="1">IFERROR(__xludf.DUMMYFUNCTION("""COMPUTED_VALUE"""),"J")</f>
        <v>J</v>
      </c>
      <c r="G872" s="110">
        <f ca="1">IFERROR(__xludf.DUMMYFUNCTION("""COMPUTED_VALUE"""),6)</f>
        <v>6</v>
      </c>
      <c r="H872" s="112" t="str">
        <f ca="1"/>
        <v>21.8</v>
      </c>
      <c r="I872" s="112">
        <f ca="1"/>
        <v>21.8</v>
      </c>
    </row>
    <row r="873" spans="1:9" ht="13.2">
      <c r="A873" s="109" t="str">
        <f ca="1">IFERROR(__xludf.DUMMYFUNCTION("""COMPUTED_VALUE"""),"HP")</f>
        <v>HP</v>
      </c>
      <c r="B873" s="108" t="str">
        <f ca="1">IFERROR(__xludf.DUMMYFUNCTION("""COMPUTED_VALUE"""),"Max Gura")</f>
        <v>Max Gura</v>
      </c>
      <c r="C873" s="109">
        <f ca="1">IFERROR(__xludf.DUMMYFUNCTION("""COMPUTED_VALUE"""),8)</f>
        <v>8</v>
      </c>
      <c r="D873" s="109" t="str">
        <f ca="1">IFERROR(__xludf.DUMMYFUNCTION("""COMPUTED_VALUE"""),"B")</f>
        <v>B</v>
      </c>
      <c r="E873" s="110" t="str">
        <f ca="1">IFERROR(__xludf.DUMMYFUNCTION("""COMPUTED_VALUE"""),"F")</f>
        <v>F</v>
      </c>
      <c r="F873" s="110" t="str">
        <f ca="1">IFERROR(__xludf.DUMMYFUNCTION("""COMPUTED_VALUE"""),"J")</f>
        <v>J</v>
      </c>
      <c r="G873" s="110">
        <f ca="1">IFERROR(__xludf.DUMMYFUNCTION("""COMPUTED_VALUE"""),6)</f>
        <v>6</v>
      </c>
      <c r="H873" s="112" t="str">
        <f ca="1"/>
        <v>41.65</v>
      </c>
      <c r="I873" s="81">
        <f ca="1"/>
        <v>41.65</v>
      </c>
    </row>
    <row r="874" spans="1:9" ht="13.2">
      <c r="A874" s="109" t="str">
        <f ca="1">IFERROR(__xludf.DUMMYFUNCTION("""COMPUTED_VALUE"""),"HP")</f>
        <v>HP</v>
      </c>
      <c r="B874" s="108" t="str">
        <f ca="1">IFERROR(__xludf.DUMMYFUNCTION("""COMPUTED_VALUE"""),"Philip Stigliano")</f>
        <v>Philip Stigliano</v>
      </c>
      <c r="C874" s="109">
        <f ca="1">IFERROR(__xludf.DUMMYFUNCTION("""COMPUTED_VALUE"""),8)</f>
        <v>8</v>
      </c>
      <c r="D874" s="109" t="str">
        <f ca="1">IFERROR(__xludf.DUMMYFUNCTION("""COMPUTED_VALUE"""),"B")</f>
        <v>B</v>
      </c>
      <c r="E874" s="110" t="str">
        <f ca="1">IFERROR(__xludf.DUMMYFUNCTION("""COMPUTED_VALUE"""),"F")</f>
        <v>F</v>
      </c>
      <c r="F874" s="110" t="str">
        <f ca="1">IFERROR(__xludf.DUMMYFUNCTION("""COMPUTED_VALUE"""),"J")</f>
        <v>J</v>
      </c>
      <c r="G874" s="110">
        <f ca="1">IFERROR(__xludf.DUMMYFUNCTION("""COMPUTED_VALUE"""),6)</f>
        <v>6</v>
      </c>
      <c r="H874" s="112" t="str">
        <f ca="1"/>
        <v/>
      </c>
      <c r="I874" s="112" t="str">
        <f ca="1"/>
        <v/>
      </c>
    </row>
    <row r="875" spans="1:9" ht="13.2">
      <c r="A875" s="109" t="str">
        <f ca="1">IFERROR(__xludf.DUMMYFUNCTION("""COMPUTED_VALUE"""),"HP")</f>
        <v>HP</v>
      </c>
      <c r="B875" s="108" t="str">
        <f ca="1">IFERROR(__xludf.DUMMYFUNCTION("""COMPUTED_VALUE"""),"Steven Knott")</f>
        <v>Steven Knott</v>
      </c>
      <c r="C875" s="109">
        <f ca="1">IFERROR(__xludf.DUMMYFUNCTION("""COMPUTED_VALUE"""),9)</f>
        <v>9</v>
      </c>
      <c r="D875" s="109" t="str">
        <f ca="1">IFERROR(__xludf.DUMMYFUNCTION("""COMPUTED_VALUE"""),"B")</f>
        <v>B</v>
      </c>
      <c r="E875" s="110" t="str">
        <f ca="1">IFERROR(__xludf.DUMMYFUNCTION("""COMPUTED_VALUE"""),"F")</f>
        <v>F</v>
      </c>
      <c r="F875" s="110" t="str">
        <f ca="1">IFERROR(__xludf.DUMMYFUNCTION("""COMPUTED_VALUE"""),"J")</f>
        <v>J</v>
      </c>
      <c r="G875" s="110">
        <f ca="1">IFERROR(__xludf.DUMMYFUNCTION("""COMPUTED_VALUE"""),6)</f>
        <v>6</v>
      </c>
      <c r="H875" s="112" t="str">
        <f ca="1"/>
        <v/>
      </c>
      <c r="I875" s="81" t="str">
        <f ca="1"/>
        <v/>
      </c>
    </row>
    <row r="876" spans="1:9" ht="13.2">
      <c r="A876" s="109" t="str">
        <f ca="1">IFERROR(__xludf.DUMMYFUNCTION("""COMPUTED_VALUE"""),"HP")</f>
        <v>HP</v>
      </c>
      <c r="B876" s="108" t="str">
        <f ca="1">IFERROR(__xludf.DUMMYFUNCTION("""COMPUTED_VALUE"""),"Teddy Anderson")</f>
        <v>Teddy Anderson</v>
      </c>
      <c r="C876" s="109">
        <f ca="1">IFERROR(__xludf.DUMMYFUNCTION("""COMPUTED_VALUE"""),9)</f>
        <v>9</v>
      </c>
      <c r="D876" s="109" t="str">
        <f ca="1">IFERROR(__xludf.DUMMYFUNCTION("""COMPUTED_VALUE"""),"B")</f>
        <v>B</v>
      </c>
      <c r="E876" s="110" t="str">
        <f ca="1">IFERROR(__xludf.DUMMYFUNCTION("""COMPUTED_VALUE"""),"F")</f>
        <v>F</v>
      </c>
      <c r="F876" s="110" t="str">
        <f ca="1">IFERROR(__xludf.DUMMYFUNCTION("""COMPUTED_VALUE"""),"J")</f>
        <v>J</v>
      </c>
      <c r="G876" s="110">
        <f ca="1">IFERROR(__xludf.DUMMYFUNCTION("""COMPUTED_VALUE"""),6)</f>
        <v>6</v>
      </c>
      <c r="H876" s="112" t="str">
        <f ca="1"/>
        <v/>
      </c>
      <c r="I876" s="112" t="str">
        <f ca="1"/>
        <v/>
      </c>
    </row>
    <row r="877" spans="1:9" ht="13.2">
      <c r="A877" s="109" t="str">
        <f ca="1">IFERROR(__xludf.DUMMYFUNCTION("""COMPUTED_VALUE"""),"HP")</f>
        <v>HP</v>
      </c>
      <c r="B877" s="108" t="str">
        <f ca="1">IFERROR(__xludf.DUMMYFUNCTION("""COMPUTED_VALUE"""),"Theodore Romanosky")</f>
        <v>Theodore Romanosky</v>
      </c>
      <c r="C877" s="109">
        <f ca="1">IFERROR(__xludf.DUMMYFUNCTION("""COMPUTED_VALUE"""),8)</f>
        <v>8</v>
      </c>
      <c r="D877" s="109" t="str">
        <f ca="1">IFERROR(__xludf.DUMMYFUNCTION("""COMPUTED_VALUE"""),"B")</f>
        <v>B</v>
      </c>
      <c r="E877" s="110" t="str">
        <f ca="1">IFERROR(__xludf.DUMMYFUNCTION("""COMPUTED_VALUE"""),"F")</f>
        <v>F</v>
      </c>
      <c r="F877" s="110" t="str">
        <f ca="1">IFERROR(__xludf.DUMMYFUNCTION("""COMPUTED_VALUE"""),"J")</f>
        <v>J</v>
      </c>
      <c r="G877" s="110">
        <f ca="1">IFERROR(__xludf.DUMMYFUNCTION("""COMPUTED_VALUE"""),6)</f>
        <v>6</v>
      </c>
      <c r="H877" s="112" t="str">
        <f ca="1"/>
        <v>28.55</v>
      </c>
      <c r="I877" s="112">
        <f ca="1"/>
        <v>28.55</v>
      </c>
    </row>
    <row r="878" spans="1:9" ht="13.2">
      <c r="A878" s="109" t="str">
        <f ca="1">IFERROR(__xludf.DUMMYFUNCTION("""COMPUTED_VALUE"""),"HP")</f>
        <v>HP</v>
      </c>
      <c r="B878" s="108" t="str">
        <f ca="1">IFERROR(__xludf.DUMMYFUNCTION("""COMPUTED_VALUE"""),"Bridget Snyder")</f>
        <v>Bridget Snyder</v>
      </c>
      <c r="C878" s="109">
        <f ca="1">IFERROR(__xludf.DUMMYFUNCTION("""COMPUTED_VALUE"""),6)</f>
        <v>6</v>
      </c>
      <c r="D878" s="109" t="str">
        <f ca="1">IFERROR(__xludf.DUMMYFUNCTION("""COMPUTED_VALUE"""),"G")</f>
        <v>G</v>
      </c>
      <c r="E878" s="110" t="str">
        <f ca="1">IFERROR(__xludf.DUMMYFUNCTION("""COMPUTED_VALUE"""),"F")</f>
        <v>F</v>
      </c>
      <c r="F878" s="110" t="str">
        <f ca="1">IFERROR(__xludf.DUMMYFUNCTION("""COMPUTED_VALUE"""),"J")</f>
        <v>J</v>
      </c>
      <c r="G878" s="110">
        <f ca="1">IFERROR(__xludf.DUMMYFUNCTION("""COMPUTED_VALUE"""),6)</f>
        <v>6</v>
      </c>
      <c r="H878" s="112" t="str">
        <f ca="1"/>
        <v>28.8</v>
      </c>
      <c r="I878" s="81">
        <f ca="1"/>
        <v>28.8</v>
      </c>
    </row>
    <row r="879" spans="1:9" ht="13.2">
      <c r="A879" s="109" t="str">
        <f ca="1">IFERROR(__xludf.DUMMYFUNCTION("""COMPUTED_VALUE"""),"HP")</f>
        <v>HP</v>
      </c>
      <c r="B879" s="108" t="str">
        <f ca="1">IFERROR(__xludf.DUMMYFUNCTION("""COMPUTED_VALUE"""),"Caroline Todd")</f>
        <v>Caroline Todd</v>
      </c>
      <c r="C879" s="109">
        <f ca="1">IFERROR(__xludf.DUMMYFUNCTION("""COMPUTED_VALUE"""),7)</f>
        <v>7</v>
      </c>
      <c r="D879" s="109" t="str">
        <f ca="1">IFERROR(__xludf.DUMMYFUNCTION("""COMPUTED_VALUE"""),"G")</f>
        <v>G</v>
      </c>
      <c r="E879" s="110" t="str">
        <f ca="1">IFERROR(__xludf.DUMMYFUNCTION("""COMPUTED_VALUE"""),"F")</f>
        <v>F</v>
      </c>
      <c r="F879" s="110" t="str">
        <f ca="1">IFERROR(__xludf.DUMMYFUNCTION("""COMPUTED_VALUE"""),"J")</f>
        <v>J</v>
      </c>
      <c r="G879" s="110">
        <f ca="1">IFERROR(__xludf.DUMMYFUNCTION("""COMPUTED_VALUE"""),6)</f>
        <v>6</v>
      </c>
      <c r="H879" s="112" t="str">
        <f ca="1"/>
        <v/>
      </c>
      <c r="I879" s="81" t="str">
        <f ca="1"/>
        <v/>
      </c>
    </row>
    <row r="880" spans="1:9" ht="13.2">
      <c r="A880" s="109" t="str">
        <f ca="1">IFERROR(__xludf.DUMMYFUNCTION("""COMPUTED_VALUE"""),"HP")</f>
        <v>HP</v>
      </c>
      <c r="B880" s="108" t="str">
        <f ca="1">IFERROR(__xludf.DUMMYFUNCTION("""COMPUTED_VALUE"""),"Clara Taylor")</f>
        <v>Clara Taylor</v>
      </c>
      <c r="C880" s="109">
        <f ca="1">IFERROR(__xludf.DUMMYFUNCTION("""COMPUTED_VALUE"""),8)</f>
        <v>8</v>
      </c>
      <c r="D880" s="109" t="str">
        <f ca="1">IFERROR(__xludf.DUMMYFUNCTION("""COMPUTED_VALUE"""),"G")</f>
        <v>G</v>
      </c>
      <c r="E880" s="110" t="str">
        <f ca="1">IFERROR(__xludf.DUMMYFUNCTION("""COMPUTED_VALUE"""),"F")</f>
        <v>F</v>
      </c>
      <c r="F880" s="110" t="str">
        <f ca="1">IFERROR(__xludf.DUMMYFUNCTION("""COMPUTED_VALUE"""),"J")</f>
        <v>J</v>
      </c>
      <c r="G880" s="110">
        <f ca="1">IFERROR(__xludf.DUMMYFUNCTION("""COMPUTED_VALUE"""),6)</f>
        <v>6</v>
      </c>
      <c r="H880" s="112" t="str">
        <f ca="1"/>
        <v>20.7</v>
      </c>
      <c r="I880" s="112">
        <f ca="1"/>
        <v>20.7</v>
      </c>
    </row>
    <row r="881" spans="1:9" ht="13.2">
      <c r="A881" s="109" t="str">
        <f ca="1">IFERROR(__xludf.DUMMYFUNCTION("""COMPUTED_VALUE"""),"HP")</f>
        <v>HP</v>
      </c>
      <c r="B881" s="108" t="str">
        <f ca="1">IFERROR(__xludf.DUMMYFUNCTION("""COMPUTED_VALUE"""),"Emily LaSalle")</f>
        <v>Emily LaSalle</v>
      </c>
      <c r="C881" s="109">
        <f ca="1">IFERROR(__xludf.DUMMYFUNCTION("""COMPUTED_VALUE"""),10)</f>
        <v>10</v>
      </c>
      <c r="D881" s="109" t="str">
        <f ca="1">IFERROR(__xludf.DUMMYFUNCTION("""COMPUTED_VALUE"""),"G")</f>
        <v>G</v>
      </c>
      <c r="E881" s="110" t="str">
        <f ca="1">IFERROR(__xludf.DUMMYFUNCTION("""COMPUTED_VALUE"""),"F")</f>
        <v>F</v>
      </c>
      <c r="F881" s="110" t="str">
        <f ca="1">IFERROR(__xludf.DUMMYFUNCTION("""COMPUTED_VALUE"""),"J")</f>
        <v>J</v>
      </c>
      <c r="G881" s="110">
        <f ca="1">IFERROR(__xludf.DUMMYFUNCTION("""COMPUTED_VALUE"""),6)</f>
        <v>6</v>
      </c>
      <c r="H881" s="112" t="str">
        <f ca="1"/>
        <v/>
      </c>
      <c r="I881" s="81" t="str">
        <f ca="1"/>
        <v/>
      </c>
    </row>
    <row r="882" spans="1:9" ht="13.2">
      <c r="A882" s="109" t="str">
        <f ca="1">IFERROR(__xludf.DUMMYFUNCTION("""COMPUTED_VALUE"""),"HP")</f>
        <v>HP</v>
      </c>
      <c r="B882" s="108" t="str">
        <f ca="1">IFERROR(__xludf.DUMMYFUNCTION("""COMPUTED_VALUE"""),"Emmy Guy")</f>
        <v>Emmy Guy</v>
      </c>
      <c r="C882" s="109">
        <f ca="1">IFERROR(__xludf.DUMMYFUNCTION("""COMPUTED_VALUE"""),7)</f>
        <v>7</v>
      </c>
      <c r="D882" s="109" t="str">
        <f ca="1">IFERROR(__xludf.DUMMYFUNCTION("""COMPUTED_VALUE"""),"G")</f>
        <v>G</v>
      </c>
      <c r="E882" s="110" t="str">
        <f ca="1">IFERROR(__xludf.DUMMYFUNCTION("""COMPUTED_VALUE"""),"F")</f>
        <v>F</v>
      </c>
      <c r="F882" s="110" t="str">
        <f ca="1">IFERROR(__xludf.DUMMYFUNCTION("""COMPUTED_VALUE"""),"J")</f>
        <v>J</v>
      </c>
      <c r="G882" s="110">
        <f ca="1">IFERROR(__xludf.DUMMYFUNCTION("""COMPUTED_VALUE"""),6)</f>
        <v>6</v>
      </c>
      <c r="H882" s="112" t="str">
        <f ca="1"/>
        <v>23.05</v>
      </c>
      <c r="I882" s="81">
        <f ca="1"/>
        <v>23.05</v>
      </c>
    </row>
    <row r="883" spans="1:9" ht="13.2">
      <c r="A883" s="109" t="str">
        <f ca="1">IFERROR(__xludf.DUMMYFUNCTION("""COMPUTED_VALUE"""),"HP")</f>
        <v>HP</v>
      </c>
      <c r="B883" s="108" t="str">
        <f ca="1">IFERROR(__xludf.DUMMYFUNCTION("""COMPUTED_VALUE"""),"Imogene Cutts")</f>
        <v>Imogene Cutts</v>
      </c>
      <c r="C883" s="109">
        <f ca="1">IFERROR(__xludf.DUMMYFUNCTION("""COMPUTED_VALUE"""),6)</f>
        <v>6</v>
      </c>
      <c r="D883" s="109" t="str">
        <f ca="1">IFERROR(__xludf.DUMMYFUNCTION("""COMPUTED_VALUE"""),"G")</f>
        <v>G</v>
      </c>
      <c r="E883" s="110" t="str">
        <f ca="1">IFERROR(__xludf.DUMMYFUNCTION("""COMPUTED_VALUE"""),"F")</f>
        <v>F</v>
      </c>
      <c r="F883" s="110" t="str">
        <f ca="1">IFERROR(__xludf.DUMMYFUNCTION("""COMPUTED_VALUE"""),"J")</f>
        <v>J</v>
      </c>
      <c r="G883" s="110">
        <f ca="1">IFERROR(__xludf.DUMMYFUNCTION("""COMPUTED_VALUE"""),6)</f>
        <v>6</v>
      </c>
      <c r="H883" s="112" t="str">
        <f ca="1"/>
        <v/>
      </c>
      <c r="I883" s="81" t="str">
        <f ca="1"/>
        <v/>
      </c>
    </row>
    <row r="884" spans="1:9" ht="13.2">
      <c r="A884" s="109" t="str">
        <f ca="1">IFERROR(__xludf.DUMMYFUNCTION("""COMPUTED_VALUE"""),"HP")</f>
        <v>HP</v>
      </c>
      <c r="B884" s="108" t="str">
        <f ca="1">IFERROR(__xludf.DUMMYFUNCTION("""COMPUTED_VALUE"""),"Katie Lee Cutts")</f>
        <v>Katie Lee Cutts</v>
      </c>
      <c r="C884" s="109">
        <f ca="1">IFERROR(__xludf.DUMMYFUNCTION("""COMPUTED_VALUE"""),10)</f>
        <v>10</v>
      </c>
      <c r="D884" s="109" t="str">
        <f ca="1">IFERROR(__xludf.DUMMYFUNCTION("""COMPUTED_VALUE"""),"G")</f>
        <v>G</v>
      </c>
      <c r="E884" s="110" t="str">
        <f ca="1">IFERROR(__xludf.DUMMYFUNCTION("""COMPUTED_VALUE"""),"F")</f>
        <v>F</v>
      </c>
      <c r="F884" s="110" t="str">
        <f ca="1">IFERROR(__xludf.DUMMYFUNCTION("""COMPUTED_VALUE"""),"J")</f>
        <v>J</v>
      </c>
      <c r="G884" s="110">
        <f ca="1">IFERROR(__xludf.DUMMYFUNCTION("""COMPUTED_VALUE"""),6)</f>
        <v>6</v>
      </c>
      <c r="H884" s="112" t="str">
        <f ca="1"/>
        <v/>
      </c>
      <c r="I884" s="112" t="str">
        <f ca="1"/>
        <v/>
      </c>
    </row>
    <row r="885" spans="1:9" ht="13.2">
      <c r="A885" s="109" t="str">
        <f ca="1">IFERROR(__xludf.DUMMYFUNCTION("""COMPUTED_VALUE"""),"HP")</f>
        <v>HP</v>
      </c>
      <c r="B885" s="108" t="str">
        <f ca="1">IFERROR(__xludf.DUMMYFUNCTION("""COMPUTED_VALUE"""),"Leah Jandrain")</f>
        <v>Leah Jandrain</v>
      </c>
      <c r="C885" s="109">
        <f ca="1">IFERROR(__xludf.DUMMYFUNCTION("""COMPUTED_VALUE"""),8)</f>
        <v>8</v>
      </c>
      <c r="D885" s="109" t="str">
        <f ca="1">IFERROR(__xludf.DUMMYFUNCTION("""COMPUTED_VALUE"""),"G")</f>
        <v>G</v>
      </c>
      <c r="E885" s="110" t="str">
        <f ca="1">IFERROR(__xludf.DUMMYFUNCTION("""COMPUTED_VALUE"""),"F")</f>
        <v>F</v>
      </c>
      <c r="F885" s="110" t="str">
        <f ca="1">IFERROR(__xludf.DUMMYFUNCTION("""COMPUTED_VALUE"""),"J")</f>
        <v>J</v>
      </c>
      <c r="G885" s="110">
        <f ca="1">IFERROR(__xludf.DUMMYFUNCTION("""COMPUTED_VALUE"""),6)</f>
        <v>6</v>
      </c>
      <c r="H885" s="112" t="str">
        <f ca="1"/>
        <v>52.05</v>
      </c>
      <c r="I885" s="112">
        <f ca="1"/>
        <v>52.05</v>
      </c>
    </row>
    <row r="886" spans="1:9" ht="13.2">
      <c r="A886" s="109" t="str">
        <f ca="1">IFERROR(__xludf.DUMMYFUNCTION("""COMPUTED_VALUE"""),"HP")</f>
        <v>HP</v>
      </c>
      <c r="B886" s="108" t="str">
        <f ca="1">IFERROR(__xludf.DUMMYFUNCTION("""COMPUTED_VALUE"""),"Maddy Guy")</f>
        <v>Maddy Guy</v>
      </c>
      <c r="C886" s="109">
        <f ca="1">IFERROR(__xludf.DUMMYFUNCTION("""COMPUTED_VALUE"""),8)</f>
        <v>8</v>
      </c>
      <c r="D886" s="109" t="str">
        <f ca="1">IFERROR(__xludf.DUMMYFUNCTION("""COMPUTED_VALUE"""),"G")</f>
        <v>G</v>
      </c>
      <c r="E886" s="110" t="str">
        <f ca="1">IFERROR(__xludf.DUMMYFUNCTION("""COMPUTED_VALUE"""),"F")</f>
        <v>F</v>
      </c>
      <c r="F886" s="110" t="str">
        <f ca="1">IFERROR(__xludf.DUMMYFUNCTION("""COMPUTED_VALUE"""),"J")</f>
        <v>J</v>
      </c>
      <c r="G886" s="110">
        <f ca="1">IFERROR(__xludf.DUMMYFUNCTION("""COMPUTED_VALUE"""),6)</f>
        <v>6</v>
      </c>
      <c r="H886" s="112" t="str">
        <f ca="1"/>
        <v/>
      </c>
      <c r="I886" s="81" t="str">
        <f ca="1"/>
        <v/>
      </c>
    </row>
    <row r="887" spans="1:9" ht="13.2">
      <c r="A887" s="109" t="str">
        <f ca="1">IFERROR(__xludf.DUMMYFUNCTION("""COMPUTED_VALUE"""),"HP")</f>
        <v>HP</v>
      </c>
      <c r="B887" s="108" t="str">
        <f ca="1">IFERROR(__xludf.DUMMYFUNCTION("""COMPUTED_VALUE"""),"Molly Foster")</f>
        <v>Molly Foster</v>
      </c>
      <c r="C887" s="109">
        <f ca="1">IFERROR(__xludf.DUMMYFUNCTION("""COMPUTED_VALUE"""),8)</f>
        <v>8</v>
      </c>
      <c r="D887" s="109" t="str">
        <f ca="1">IFERROR(__xludf.DUMMYFUNCTION("""COMPUTED_VALUE"""),"G")</f>
        <v>G</v>
      </c>
      <c r="E887" s="110" t="str">
        <f ca="1">IFERROR(__xludf.DUMMYFUNCTION("""COMPUTED_VALUE"""),"F")</f>
        <v>F</v>
      </c>
      <c r="F887" s="110" t="str">
        <f ca="1">IFERROR(__xludf.DUMMYFUNCTION("""COMPUTED_VALUE"""),"J")</f>
        <v>J</v>
      </c>
      <c r="G887" s="110">
        <f ca="1">IFERROR(__xludf.DUMMYFUNCTION("""COMPUTED_VALUE"""),6)</f>
        <v>6</v>
      </c>
      <c r="H887" s="112" t="str">
        <f ca="1"/>
        <v/>
      </c>
      <c r="I887" s="112" t="str">
        <f ca="1"/>
        <v/>
      </c>
    </row>
    <row r="888" spans="1:9" ht="13.2">
      <c r="A888" s="109" t="str">
        <f ca="1">IFERROR(__xludf.DUMMYFUNCTION("""COMPUTED_VALUE"""),"HP")</f>
        <v>HP</v>
      </c>
      <c r="B888" s="108" t="str">
        <f ca="1">IFERROR(__xludf.DUMMYFUNCTION("""COMPUTED_VALUE"""),"Peyton Anderson")</f>
        <v>Peyton Anderson</v>
      </c>
      <c r="C888" s="109">
        <f ca="1">IFERROR(__xludf.DUMMYFUNCTION("""COMPUTED_VALUE"""),7)</f>
        <v>7</v>
      </c>
      <c r="D888" s="109" t="str">
        <f ca="1">IFERROR(__xludf.DUMMYFUNCTION("""COMPUTED_VALUE"""),"G")</f>
        <v>G</v>
      </c>
      <c r="E888" s="110" t="str">
        <f ca="1">IFERROR(__xludf.DUMMYFUNCTION("""COMPUTED_VALUE"""),"F")</f>
        <v>F</v>
      </c>
      <c r="F888" s="110" t="str">
        <f ca="1">IFERROR(__xludf.DUMMYFUNCTION("""COMPUTED_VALUE"""),"J")</f>
        <v>J</v>
      </c>
      <c r="G888" s="110">
        <f ca="1">IFERROR(__xludf.DUMMYFUNCTION("""COMPUTED_VALUE"""),6)</f>
        <v>6</v>
      </c>
      <c r="H888" s="112" t="str">
        <f ca="1"/>
        <v/>
      </c>
      <c r="I888" s="112" t="str">
        <f ca="1"/>
        <v/>
      </c>
    </row>
    <row r="889" spans="1:9" ht="13.2">
      <c r="A889" s="109" t="str">
        <f ca="1">IFERROR(__xludf.DUMMYFUNCTION("""COMPUTED_VALUE"""),"HP")</f>
        <v>HP</v>
      </c>
      <c r="B889" s="108" t="str">
        <f ca="1">IFERROR(__xludf.DUMMYFUNCTION("""COMPUTED_VALUE"""),"Phoebe Guy")</f>
        <v>Phoebe Guy</v>
      </c>
      <c r="C889" s="109">
        <f ca="1">IFERROR(__xludf.DUMMYFUNCTION("""COMPUTED_VALUE"""),9)</f>
        <v>9</v>
      </c>
      <c r="D889" s="109" t="str">
        <f ca="1">IFERROR(__xludf.DUMMYFUNCTION("""COMPUTED_VALUE"""),"G")</f>
        <v>G</v>
      </c>
      <c r="E889" s="110" t="str">
        <f ca="1">IFERROR(__xludf.DUMMYFUNCTION("""COMPUTED_VALUE"""),"F")</f>
        <v>F</v>
      </c>
      <c r="F889" s="110" t="str">
        <f ca="1">IFERROR(__xludf.DUMMYFUNCTION("""COMPUTED_VALUE"""),"J")</f>
        <v>J</v>
      </c>
      <c r="G889" s="110">
        <f ca="1">IFERROR(__xludf.DUMMYFUNCTION("""COMPUTED_VALUE"""),6)</f>
        <v>6</v>
      </c>
      <c r="H889" s="112" t="str">
        <f ca="1"/>
        <v>40.25</v>
      </c>
      <c r="I889" s="112">
        <f ca="1"/>
        <v>40.25</v>
      </c>
    </row>
    <row r="890" spans="1:9" ht="13.2">
      <c r="A890" s="109" t="str">
        <f ca="1">IFERROR(__xludf.DUMMYFUNCTION("""COMPUTED_VALUE"""),"HP")</f>
        <v>HP</v>
      </c>
      <c r="B890" s="108" t="str">
        <f ca="1">IFERROR(__xludf.DUMMYFUNCTION("""COMPUTED_VALUE"""),"Desmond Damico Lassman")</f>
        <v>Desmond Damico Lassman</v>
      </c>
      <c r="C890" s="109">
        <f ca="1">IFERROR(__xludf.DUMMYFUNCTION("""COMPUTED_VALUE"""),14)</f>
        <v>14</v>
      </c>
      <c r="D890" s="109" t="str">
        <f ca="1">IFERROR(__xludf.DUMMYFUNCTION("""COMPUTED_VALUE"""),"B")</f>
        <v>B</v>
      </c>
      <c r="E890" s="110" t="str">
        <f ca="1">IFERROR(__xludf.DUMMYFUNCTION("""COMPUTED_VALUE"""),"I")</f>
        <v>I</v>
      </c>
      <c r="F890" s="110" t="str">
        <f ca="1">IFERROR(__xludf.DUMMYFUNCTION("""COMPUTED_VALUE"""),"S")</f>
        <v>S</v>
      </c>
      <c r="G890" s="110">
        <f ca="1">IFERROR(__xludf.DUMMYFUNCTION("""COMPUTED_VALUE"""),6)</f>
        <v>6</v>
      </c>
      <c r="H890" s="112" t="str">
        <f ca="1"/>
        <v/>
      </c>
      <c r="I890" s="81" t="str">
        <f ca="1"/>
        <v/>
      </c>
    </row>
    <row r="891" spans="1:9" ht="13.2">
      <c r="A891" s="109" t="str">
        <f ca="1">IFERROR(__xludf.DUMMYFUNCTION("""COMPUTED_VALUE"""),"HP")</f>
        <v>HP</v>
      </c>
      <c r="B891" s="108" t="str">
        <f ca="1">IFERROR(__xludf.DUMMYFUNCTION("""COMPUTED_VALUE"""),"Mac Coulby")</f>
        <v>Mac Coulby</v>
      </c>
      <c r="C891" s="109">
        <f ca="1">IFERROR(__xludf.DUMMYFUNCTION("""COMPUTED_VALUE"""),14)</f>
        <v>14</v>
      </c>
      <c r="D891" s="109" t="str">
        <f ca="1">IFERROR(__xludf.DUMMYFUNCTION("""COMPUTED_VALUE"""),"B")</f>
        <v>B</v>
      </c>
      <c r="E891" s="110" t="str">
        <f ca="1">IFERROR(__xludf.DUMMYFUNCTION("""COMPUTED_VALUE"""),"I")</f>
        <v>I</v>
      </c>
      <c r="F891" s="110" t="str">
        <f ca="1">IFERROR(__xludf.DUMMYFUNCTION("""COMPUTED_VALUE"""),"S")</f>
        <v>S</v>
      </c>
      <c r="G891" s="110">
        <f ca="1">IFERROR(__xludf.DUMMYFUNCTION("""COMPUTED_VALUE"""),6)</f>
        <v>6</v>
      </c>
      <c r="H891" s="112" t="str">
        <f ca="1"/>
        <v/>
      </c>
      <c r="I891" s="112" t="str">
        <f ca="1"/>
        <v/>
      </c>
    </row>
    <row r="892" spans="1:9" ht="13.2">
      <c r="A892" s="109" t="str">
        <f ca="1">IFERROR(__xludf.DUMMYFUNCTION("""COMPUTED_VALUE"""),"HP")</f>
        <v>HP</v>
      </c>
      <c r="B892" s="108" t="str">
        <f ca="1">IFERROR(__xludf.DUMMYFUNCTION("""COMPUTED_VALUE"""),"Ginny Coulby")</f>
        <v>Ginny Coulby</v>
      </c>
      <c r="C892" s="109">
        <f ca="1">IFERROR(__xludf.DUMMYFUNCTION("""COMPUTED_VALUE"""),14)</f>
        <v>14</v>
      </c>
      <c r="D892" s="109" t="str">
        <f ca="1">IFERROR(__xludf.DUMMYFUNCTION("""COMPUTED_VALUE"""),"G")</f>
        <v>G</v>
      </c>
      <c r="E892" s="110" t="str">
        <f ca="1">IFERROR(__xludf.DUMMYFUNCTION("""COMPUTED_VALUE"""),"I")</f>
        <v>I</v>
      </c>
      <c r="F892" s="110" t="str">
        <f ca="1">IFERROR(__xludf.DUMMYFUNCTION("""COMPUTED_VALUE"""),"S")</f>
        <v>S</v>
      </c>
      <c r="G892" s="110">
        <f ca="1">IFERROR(__xludf.DUMMYFUNCTION("""COMPUTED_VALUE"""),6)</f>
        <v>6</v>
      </c>
      <c r="H892" s="112" t="str">
        <f ca="1"/>
        <v/>
      </c>
      <c r="I892" s="112" t="str">
        <f ca="1"/>
        <v/>
      </c>
    </row>
    <row r="893" spans="1:9" ht="13.2">
      <c r="A893" s="109" t="str">
        <f ca="1">IFERROR(__xludf.DUMMYFUNCTION("""COMPUTED_VALUE"""),"HP")</f>
        <v>HP</v>
      </c>
      <c r="B893" s="108" t="str">
        <f ca="1">IFERROR(__xludf.DUMMYFUNCTION("""COMPUTED_VALUE"""),"Josephine Damico Lassman")</f>
        <v>Josephine Damico Lassman</v>
      </c>
      <c r="C893" s="109">
        <f ca="1">IFERROR(__xludf.DUMMYFUNCTION("""COMPUTED_VALUE"""),14)</f>
        <v>14</v>
      </c>
      <c r="D893" s="109" t="str">
        <f ca="1">IFERROR(__xludf.DUMMYFUNCTION("""COMPUTED_VALUE"""),"G")</f>
        <v>G</v>
      </c>
      <c r="E893" s="110" t="str">
        <f ca="1">IFERROR(__xludf.DUMMYFUNCTION("""COMPUTED_VALUE"""),"I")</f>
        <v>I</v>
      </c>
      <c r="F893" s="110" t="str">
        <f ca="1">IFERROR(__xludf.DUMMYFUNCTION("""COMPUTED_VALUE"""),"S")</f>
        <v>S</v>
      </c>
      <c r="G893" s="110">
        <f ca="1">IFERROR(__xludf.DUMMYFUNCTION("""COMPUTED_VALUE"""),6)</f>
        <v>6</v>
      </c>
      <c r="H893" s="112" t="str">
        <f ca="1"/>
        <v/>
      </c>
      <c r="I893" s="112" t="str">
        <f ca="1"/>
        <v/>
      </c>
    </row>
    <row r="894" spans="1:9" ht="13.2">
      <c r="A894" s="109" t="str">
        <f ca="1">IFERROR(__xludf.DUMMYFUNCTION("""COMPUTED_VALUE"""),"HP")</f>
        <v>HP</v>
      </c>
      <c r="B894" s="108" t="str">
        <f ca="1">IFERROR(__xludf.DUMMYFUNCTION("""COMPUTED_VALUE"""),"Karsten Tregaskis Gordon")</f>
        <v>Karsten Tregaskis Gordon</v>
      </c>
      <c r="C894" s="109">
        <f ca="1">IFERROR(__xludf.DUMMYFUNCTION("""COMPUTED_VALUE"""),11)</f>
        <v>11</v>
      </c>
      <c r="D894" s="109" t="str">
        <f ca="1">IFERROR(__xludf.DUMMYFUNCTION("""COMPUTED_VALUE"""),"B")</f>
        <v>B</v>
      </c>
      <c r="E894" s="110" t="str">
        <f ca="1">IFERROR(__xludf.DUMMYFUNCTION("""COMPUTED_VALUE"""),"J")</f>
        <v>J</v>
      </c>
      <c r="F894" s="110" t="str">
        <f ca="1">IFERROR(__xludf.DUMMYFUNCTION("""COMPUTED_VALUE"""),"I")</f>
        <v>I</v>
      </c>
      <c r="G894" s="110">
        <f ca="1">IFERROR(__xludf.DUMMYFUNCTION("""COMPUTED_VALUE"""),6)</f>
        <v>6</v>
      </c>
      <c r="H894" s="112" t="str">
        <f ca="1"/>
        <v/>
      </c>
      <c r="I894" s="112" t="str">
        <f ca="1"/>
        <v/>
      </c>
    </row>
    <row r="895" spans="1:9" ht="13.2">
      <c r="A895" s="109" t="str">
        <f ca="1">IFERROR(__xludf.DUMMYFUNCTION("""COMPUTED_VALUE"""),"HP")</f>
        <v>HP</v>
      </c>
      <c r="B895" s="108" t="str">
        <f ca="1">IFERROR(__xludf.DUMMYFUNCTION("""COMPUTED_VALUE"""),"Nate Anderson")</f>
        <v>Nate Anderson</v>
      </c>
      <c r="C895" s="109">
        <f ca="1">IFERROR(__xludf.DUMMYFUNCTION("""COMPUTED_VALUE"""),12)</f>
        <v>12</v>
      </c>
      <c r="D895" s="109" t="str">
        <f ca="1">IFERROR(__xludf.DUMMYFUNCTION("""COMPUTED_VALUE"""),"B")</f>
        <v>B</v>
      </c>
      <c r="E895" s="110" t="str">
        <f ca="1">IFERROR(__xludf.DUMMYFUNCTION("""COMPUTED_VALUE"""),"J")</f>
        <v>J</v>
      </c>
      <c r="F895" s="110" t="str">
        <f ca="1">IFERROR(__xludf.DUMMYFUNCTION("""COMPUTED_VALUE"""),"I")</f>
        <v>I</v>
      </c>
      <c r="G895" s="110">
        <f ca="1">IFERROR(__xludf.DUMMYFUNCTION("""COMPUTED_VALUE"""),6)</f>
        <v>6</v>
      </c>
      <c r="H895" s="112" t="str">
        <f ca="1"/>
        <v/>
      </c>
      <c r="I895" s="112" t="str">
        <f ca="1"/>
        <v/>
      </c>
    </row>
    <row r="896" spans="1:9" ht="13.2">
      <c r="A896" s="109" t="str">
        <f ca="1">IFERROR(__xludf.DUMMYFUNCTION("""COMPUTED_VALUE"""),"HP")</f>
        <v>HP</v>
      </c>
      <c r="B896" s="108" t="str">
        <f ca="1">IFERROR(__xludf.DUMMYFUNCTION("""COMPUTED_VALUE"""),"Tobias Damico Lassman")</f>
        <v>Tobias Damico Lassman</v>
      </c>
      <c r="C896" s="109">
        <f ca="1">IFERROR(__xludf.DUMMYFUNCTION("""COMPUTED_VALUE"""),12)</f>
        <v>12</v>
      </c>
      <c r="D896" s="109" t="str">
        <f ca="1">IFERROR(__xludf.DUMMYFUNCTION("""COMPUTED_VALUE"""),"B")</f>
        <v>B</v>
      </c>
      <c r="E896" s="110" t="str">
        <f ca="1">IFERROR(__xludf.DUMMYFUNCTION("""COMPUTED_VALUE"""),"J")</f>
        <v>J</v>
      </c>
      <c r="F896" s="110" t="str">
        <f ca="1">IFERROR(__xludf.DUMMYFUNCTION("""COMPUTED_VALUE"""),"I")</f>
        <v>I</v>
      </c>
      <c r="G896" s="110">
        <f ca="1">IFERROR(__xludf.DUMMYFUNCTION("""COMPUTED_VALUE"""),6)</f>
        <v>6</v>
      </c>
      <c r="H896" s="112" t="str">
        <f ca="1"/>
        <v/>
      </c>
      <c r="I896" s="81" t="str">
        <f ca="1"/>
        <v/>
      </c>
    </row>
    <row r="897" spans="1:9" ht="13.2">
      <c r="A897" s="109" t="str">
        <f ca="1">IFERROR(__xludf.DUMMYFUNCTION("""COMPUTED_VALUE"""),"HP")</f>
        <v>HP</v>
      </c>
      <c r="B897" s="108" t="str">
        <f ca="1">IFERROR(__xludf.DUMMYFUNCTION("""COMPUTED_VALUE"""),"Launa Goodbar")</f>
        <v>Launa Goodbar</v>
      </c>
      <c r="C897" s="109">
        <f ca="1">IFERROR(__xludf.DUMMYFUNCTION("""COMPUTED_VALUE"""),12)</f>
        <v>12</v>
      </c>
      <c r="D897" s="109" t="str">
        <f ca="1">IFERROR(__xludf.DUMMYFUNCTION("""COMPUTED_VALUE"""),"G")</f>
        <v>G</v>
      </c>
      <c r="E897" s="110" t="str">
        <f ca="1">IFERROR(__xludf.DUMMYFUNCTION("""COMPUTED_VALUE"""),"J")</f>
        <v>J</v>
      </c>
      <c r="F897" s="110" t="str">
        <f ca="1">IFERROR(__xludf.DUMMYFUNCTION("""COMPUTED_VALUE"""),"I")</f>
        <v>I</v>
      </c>
      <c r="G897" s="110">
        <f ca="1">IFERROR(__xludf.DUMMYFUNCTION("""COMPUTED_VALUE"""),6)</f>
        <v>6</v>
      </c>
      <c r="H897" s="112" t="str">
        <f ca="1"/>
        <v/>
      </c>
      <c r="I897" s="112" t="str">
        <f ca="1"/>
        <v/>
      </c>
    </row>
    <row r="898" spans="1:9" ht="13.2">
      <c r="A898" s="109" t="str">
        <f ca="1">IFERROR(__xludf.DUMMYFUNCTION("""COMPUTED_VALUE"""),"HP")</f>
        <v>HP</v>
      </c>
      <c r="B898" s="108" t="str">
        <f ca="1">IFERROR(__xludf.DUMMYFUNCTION("""COMPUTED_VALUE"""),"Lily Coulby")</f>
        <v>Lily Coulby</v>
      </c>
      <c r="C898" s="109">
        <f ca="1">IFERROR(__xludf.DUMMYFUNCTION("""COMPUTED_VALUE"""),12)</f>
        <v>12</v>
      </c>
      <c r="D898" s="109" t="str">
        <f ca="1">IFERROR(__xludf.DUMMYFUNCTION("""COMPUTED_VALUE"""),"G")</f>
        <v>G</v>
      </c>
      <c r="E898" s="110" t="str">
        <f ca="1">IFERROR(__xludf.DUMMYFUNCTION("""COMPUTED_VALUE"""),"J")</f>
        <v>J</v>
      </c>
      <c r="F898" s="110" t="str">
        <f ca="1">IFERROR(__xludf.DUMMYFUNCTION("""COMPUTED_VALUE"""),"I")</f>
        <v>I</v>
      </c>
      <c r="G898" s="110">
        <f ca="1">IFERROR(__xludf.DUMMYFUNCTION("""COMPUTED_VALUE"""),6)</f>
        <v>6</v>
      </c>
      <c r="H898" s="112" t="str">
        <f ca="1"/>
        <v/>
      </c>
      <c r="I898" s="112" t="str">
        <f ca="1"/>
        <v/>
      </c>
    </row>
    <row r="899" spans="1:9" ht="13.2">
      <c r="A899" s="109" t="str">
        <f ca="1">IFERROR(__xludf.DUMMYFUNCTION("""COMPUTED_VALUE"""),"HP")</f>
        <v>HP</v>
      </c>
      <c r="B899" s="108" t="str">
        <f ca="1">IFERROR(__xludf.DUMMYFUNCTION("""COMPUTED_VALUE"""),"Lina Elbekri")</f>
        <v>Lina Elbekri</v>
      </c>
      <c r="C899" s="109">
        <f ca="1">IFERROR(__xludf.DUMMYFUNCTION("""COMPUTED_VALUE"""),11)</f>
        <v>11</v>
      </c>
      <c r="D899" s="109" t="str">
        <f ca="1">IFERROR(__xludf.DUMMYFUNCTION("""COMPUTED_VALUE"""),"G")</f>
        <v>G</v>
      </c>
      <c r="E899" s="110" t="str">
        <f ca="1">IFERROR(__xludf.DUMMYFUNCTION("""COMPUTED_VALUE"""),"J")</f>
        <v>J</v>
      </c>
      <c r="F899" s="110" t="str">
        <f ca="1">IFERROR(__xludf.DUMMYFUNCTION("""COMPUTED_VALUE"""),"I")</f>
        <v>I</v>
      </c>
      <c r="G899" s="110">
        <f ca="1">IFERROR(__xludf.DUMMYFUNCTION("""COMPUTED_VALUE"""),6)</f>
        <v>6</v>
      </c>
      <c r="H899" s="112" t="str">
        <f ca="1"/>
        <v/>
      </c>
      <c r="I899" s="112" t="str">
        <f ca="1"/>
        <v/>
      </c>
    </row>
    <row r="900" spans="1:9" ht="13.2">
      <c r="A900" s="109" t="str">
        <f ca="1">IFERROR(__xludf.DUMMYFUNCTION("""COMPUTED_VALUE"""),"HP")</f>
        <v>HP</v>
      </c>
      <c r="B900" s="108" t="str">
        <f ca="1">IFERROR(__xludf.DUMMYFUNCTION("""COMPUTED_VALUE"""),"Mabel Margolis")</f>
        <v>Mabel Margolis</v>
      </c>
      <c r="C900" s="109">
        <f ca="1">IFERROR(__xludf.DUMMYFUNCTION("""COMPUTED_VALUE"""),12)</f>
        <v>12</v>
      </c>
      <c r="D900" s="109" t="str">
        <f ca="1">IFERROR(__xludf.DUMMYFUNCTION("""COMPUTED_VALUE"""),"G")</f>
        <v>G</v>
      </c>
      <c r="E900" s="110" t="str">
        <f ca="1">IFERROR(__xludf.DUMMYFUNCTION("""COMPUTED_VALUE"""),"J")</f>
        <v>J</v>
      </c>
      <c r="F900" s="110" t="str">
        <f ca="1">IFERROR(__xludf.DUMMYFUNCTION("""COMPUTED_VALUE"""),"I")</f>
        <v>I</v>
      </c>
      <c r="G900" s="110">
        <f ca="1">IFERROR(__xludf.DUMMYFUNCTION("""COMPUTED_VALUE"""),6)</f>
        <v>6</v>
      </c>
      <c r="H900" s="112" t="str">
        <f ca="1"/>
        <v>59.75</v>
      </c>
      <c r="I900" s="81">
        <f ca="1"/>
        <v>59.75</v>
      </c>
    </row>
    <row r="901" spans="1:9" ht="13.2">
      <c r="A901" s="109" t="str">
        <f ca="1">IFERROR(__xludf.DUMMYFUNCTION("""COMPUTED_VALUE"""),"HP")</f>
        <v>HP</v>
      </c>
      <c r="B901" s="108" t="str">
        <f ca="1">IFERROR(__xludf.DUMMYFUNCTION("""COMPUTED_VALUE"""),"Piper Guy")</f>
        <v>Piper Guy</v>
      </c>
      <c r="C901" s="113">
        <f ca="1">IFERROR(__xludf.DUMMYFUNCTION("""COMPUTED_VALUE"""),11)</f>
        <v>11</v>
      </c>
      <c r="D901" s="109" t="str">
        <f ca="1">IFERROR(__xludf.DUMMYFUNCTION("""COMPUTED_VALUE"""),"G")</f>
        <v>G</v>
      </c>
      <c r="E901" s="110" t="str">
        <f ca="1">IFERROR(__xludf.DUMMYFUNCTION("""COMPUTED_VALUE"""),"J")</f>
        <v>J</v>
      </c>
      <c r="F901" s="110" t="str">
        <f ca="1">IFERROR(__xludf.DUMMYFUNCTION("""COMPUTED_VALUE"""),"I")</f>
        <v>I</v>
      </c>
      <c r="G901" s="110">
        <f ca="1">IFERROR(__xludf.DUMMYFUNCTION("""COMPUTED_VALUE"""),6)</f>
        <v>6</v>
      </c>
      <c r="H901" s="112" t="str">
        <f ca="1"/>
        <v/>
      </c>
      <c r="I901" s="112" t="str">
        <f ca="1"/>
        <v/>
      </c>
    </row>
    <row r="902" spans="1:9" ht="13.2">
      <c r="A902" s="109" t="str">
        <f ca="1">IFERROR(__xludf.DUMMYFUNCTION("""COMPUTED_VALUE"""),"HP")</f>
        <v>HP</v>
      </c>
      <c r="B902" s="108" t="str">
        <f ca="1">IFERROR(__xludf.DUMMYFUNCTION("""COMPUTED_VALUE"""),"Brett Townsend")</f>
        <v>Brett Townsend</v>
      </c>
      <c r="C902" s="109">
        <f ca="1">IFERROR(__xludf.DUMMYFUNCTION("""COMPUTED_VALUE"""),15)</f>
        <v>15</v>
      </c>
      <c r="D902" s="109" t="str">
        <f ca="1">IFERROR(__xludf.DUMMYFUNCTION("""COMPUTED_VALUE"""),"B")</f>
        <v>B</v>
      </c>
      <c r="E902" s="110" t="str">
        <f ca="1">IFERROR(__xludf.DUMMYFUNCTION("""COMPUTED_VALUE"""),"S")</f>
        <v>S</v>
      </c>
      <c r="F902" s="110" t="str">
        <f ca="1">IFERROR(__xludf.DUMMYFUNCTION("""COMPUTED_VALUE"""),"S")</f>
        <v>S</v>
      </c>
      <c r="G902" s="110">
        <f ca="1">IFERROR(__xludf.DUMMYFUNCTION("""COMPUTED_VALUE"""),6)</f>
        <v>6</v>
      </c>
      <c r="H902" s="112" t="str">
        <f ca="1"/>
        <v/>
      </c>
      <c r="I902" s="81" t="str">
        <f ca="1"/>
        <v/>
      </c>
    </row>
    <row r="903" spans="1:9" ht="13.2">
      <c r="A903" s="109" t="str">
        <f ca="1">IFERROR(__xludf.DUMMYFUNCTION("""COMPUTED_VALUE"""),"HP")</f>
        <v>HP</v>
      </c>
      <c r="B903" s="108" t="str">
        <f ca="1">IFERROR(__xludf.DUMMYFUNCTION("""COMPUTED_VALUE"""),"Caden Guy")</f>
        <v>Caden Guy</v>
      </c>
      <c r="C903" s="109">
        <f ca="1">IFERROR(__xludf.DUMMYFUNCTION("""COMPUTED_VALUE"""),15)</f>
        <v>15</v>
      </c>
      <c r="D903" s="109" t="str">
        <f ca="1">IFERROR(__xludf.DUMMYFUNCTION("""COMPUTED_VALUE"""),"B")</f>
        <v>B</v>
      </c>
      <c r="E903" s="110" t="str">
        <f ca="1">IFERROR(__xludf.DUMMYFUNCTION("""COMPUTED_VALUE"""),"S")</f>
        <v>S</v>
      </c>
      <c r="F903" s="110" t="str">
        <f ca="1">IFERROR(__xludf.DUMMYFUNCTION("""COMPUTED_VALUE"""),"S")</f>
        <v>S</v>
      </c>
      <c r="G903" s="110">
        <f ca="1">IFERROR(__xludf.DUMMYFUNCTION("""COMPUTED_VALUE"""),6)</f>
        <v>6</v>
      </c>
      <c r="H903" s="112" t="str">
        <f ca="1"/>
        <v/>
      </c>
      <c r="I903" s="81" t="str">
        <f ca="1"/>
        <v/>
      </c>
    </row>
    <row r="904" spans="1:9" ht="13.2">
      <c r="A904" s="109" t="str">
        <f ca="1">IFERROR(__xludf.DUMMYFUNCTION("""COMPUTED_VALUE"""),"HP")</f>
        <v>HP</v>
      </c>
      <c r="B904" s="108" t="str">
        <f ca="1">IFERROR(__xludf.DUMMYFUNCTION("""COMPUTED_VALUE"""),"Jackson Bertman")</f>
        <v>Jackson Bertman</v>
      </c>
      <c r="C904" s="109">
        <f ca="1">IFERROR(__xludf.DUMMYFUNCTION("""COMPUTED_VALUE"""),16)</f>
        <v>16</v>
      </c>
      <c r="D904" s="109" t="str">
        <f ca="1">IFERROR(__xludf.DUMMYFUNCTION("""COMPUTED_VALUE"""),"B")</f>
        <v>B</v>
      </c>
      <c r="E904" s="110" t="str">
        <f ca="1">IFERROR(__xludf.DUMMYFUNCTION("""COMPUTED_VALUE"""),"S")</f>
        <v>S</v>
      </c>
      <c r="F904" s="110" t="str">
        <f ca="1">IFERROR(__xludf.DUMMYFUNCTION("""COMPUTED_VALUE"""),"S")</f>
        <v>S</v>
      </c>
      <c r="G904" s="110">
        <f ca="1">IFERROR(__xludf.DUMMYFUNCTION("""COMPUTED_VALUE"""),6)</f>
        <v>6</v>
      </c>
      <c r="H904" s="112" t="str">
        <f ca="1"/>
        <v/>
      </c>
      <c r="I904" s="112" t="str">
        <f ca="1"/>
        <v/>
      </c>
    </row>
    <row r="905" spans="1:9" ht="13.2">
      <c r="A905" s="109" t="str">
        <f ca="1">IFERROR(__xludf.DUMMYFUNCTION("""COMPUTED_VALUE"""),"HP")</f>
        <v>HP</v>
      </c>
      <c r="B905" s="108" t="str">
        <f ca="1">IFERROR(__xludf.DUMMYFUNCTION("""COMPUTED_VALUE"""),"Porter Bertman")</f>
        <v>Porter Bertman</v>
      </c>
      <c r="C905" s="109">
        <f ca="1">IFERROR(__xludf.DUMMYFUNCTION("""COMPUTED_VALUE"""),15)</f>
        <v>15</v>
      </c>
      <c r="D905" s="109" t="str">
        <f ca="1">IFERROR(__xludf.DUMMYFUNCTION("""COMPUTED_VALUE"""),"B")</f>
        <v>B</v>
      </c>
      <c r="E905" s="110" t="str">
        <f ca="1">IFERROR(__xludf.DUMMYFUNCTION("""COMPUTED_VALUE"""),"S")</f>
        <v>S</v>
      </c>
      <c r="F905" s="110" t="str">
        <f ca="1">IFERROR(__xludf.DUMMYFUNCTION("""COMPUTED_VALUE"""),"S")</f>
        <v>S</v>
      </c>
      <c r="G905" s="110">
        <f ca="1">IFERROR(__xludf.DUMMYFUNCTION("""COMPUTED_VALUE"""),6)</f>
        <v>6</v>
      </c>
      <c r="H905" s="112" t="str">
        <f ca="1"/>
        <v>92</v>
      </c>
      <c r="I905" s="112">
        <f ca="1"/>
        <v>92</v>
      </c>
    </row>
    <row r="906" spans="1:9" ht="13.2">
      <c r="A906" s="109" t="str">
        <f ca="1">IFERROR(__xludf.DUMMYFUNCTION("""COMPUTED_VALUE"""),"HP")</f>
        <v>HP</v>
      </c>
      <c r="B906" s="108" t="str">
        <f ca="1">IFERROR(__xludf.DUMMYFUNCTION("""COMPUTED_VALUE"""),"Steven McCormick")</f>
        <v>Steven McCormick</v>
      </c>
      <c r="C906" s="109">
        <f ca="1">IFERROR(__xludf.DUMMYFUNCTION("""COMPUTED_VALUE"""),15)</f>
        <v>15</v>
      </c>
      <c r="D906" s="109" t="str">
        <f ca="1">IFERROR(__xludf.DUMMYFUNCTION("""COMPUTED_VALUE"""),"B")</f>
        <v>B</v>
      </c>
      <c r="E906" s="110" t="str">
        <f ca="1">IFERROR(__xludf.DUMMYFUNCTION("""COMPUTED_VALUE"""),"S")</f>
        <v>S</v>
      </c>
      <c r="F906" s="110" t="str">
        <f ca="1">IFERROR(__xludf.DUMMYFUNCTION("""COMPUTED_VALUE"""),"S")</f>
        <v>S</v>
      </c>
      <c r="G906" s="110">
        <f ca="1">IFERROR(__xludf.DUMMYFUNCTION("""COMPUTED_VALUE"""),6)</f>
        <v>6</v>
      </c>
      <c r="H906" s="112" t="str">
        <f ca="1"/>
        <v>78.8</v>
      </c>
      <c r="I906" s="112">
        <f ca="1"/>
        <v>78.8</v>
      </c>
    </row>
    <row r="907" spans="1:9" ht="13.2">
      <c r="A907" s="109" t="str">
        <f ca="1">IFERROR(__xludf.DUMMYFUNCTION("""COMPUTED_VALUE"""),"HP")</f>
        <v>HP</v>
      </c>
      <c r="B907" s="108" t="str">
        <f ca="1">IFERROR(__xludf.DUMMYFUNCTION("""COMPUTED_VALUE"""),"Emily Townsend")</f>
        <v>Emily Townsend</v>
      </c>
      <c r="C907" s="109">
        <f ca="1">IFERROR(__xludf.DUMMYFUNCTION("""COMPUTED_VALUE"""),17)</f>
        <v>17</v>
      </c>
      <c r="D907" s="109" t="str">
        <f ca="1">IFERROR(__xludf.DUMMYFUNCTION("""COMPUTED_VALUE"""),"G")</f>
        <v>G</v>
      </c>
      <c r="E907" s="110" t="str">
        <f ca="1">IFERROR(__xludf.DUMMYFUNCTION("""COMPUTED_VALUE"""),"S")</f>
        <v>S</v>
      </c>
      <c r="F907" s="110" t="str">
        <f ca="1">IFERROR(__xludf.DUMMYFUNCTION("""COMPUTED_VALUE"""),"S")</f>
        <v>S</v>
      </c>
      <c r="G907" s="110">
        <f ca="1">IFERROR(__xludf.DUMMYFUNCTION("""COMPUTED_VALUE"""),6)</f>
        <v>6</v>
      </c>
      <c r="H907" s="112" t="str">
        <f ca="1"/>
        <v/>
      </c>
      <c r="I907" s="112" t="str">
        <f ca="1"/>
        <v/>
      </c>
    </row>
    <row r="908" spans="1:9" ht="13.2">
      <c r="A908" s="109" t="str">
        <f ca="1">IFERROR(__xludf.DUMMYFUNCTION("""COMPUTED_VALUE"""),"HP")</f>
        <v>HP</v>
      </c>
      <c r="B908" s="108" t="str">
        <f ca="1">IFERROR(__xludf.DUMMYFUNCTION("""COMPUTED_VALUE"""),"Esme Damico Lassman")</f>
        <v>Esme Damico Lassman</v>
      </c>
      <c r="C908" s="109">
        <f ca="1">IFERROR(__xludf.DUMMYFUNCTION("""COMPUTED_VALUE"""),16)</f>
        <v>16</v>
      </c>
      <c r="D908" s="109" t="str">
        <f ca="1">IFERROR(__xludf.DUMMYFUNCTION("""COMPUTED_VALUE"""),"G")</f>
        <v>G</v>
      </c>
      <c r="E908" s="110" t="str">
        <f ca="1">IFERROR(__xludf.DUMMYFUNCTION("""COMPUTED_VALUE"""),"S")</f>
        <v>S</v>
      </c>
      <c r="F908" s="110" t="str">
        <f ca="1">IFERROR(__xludf.DUMMYFUNCTION("""COMPUTED_VALUE"""),"S")</f>
        <v>S</v>
      </c>
      <c r="G908" s="110">
        <f ca="1">IFERROR(__xludf.DUMMYFUNCTION("""COMPUTED_VALUE"""),6)</f>
        <v>6</v>
      </c>
      <c r="H908" s="112" t="str">
        <f ca="1"/>
        <v/>
      </c>
      <c r="I908" s="112" t="str">
        <f ca="1"/>
        <v/>
      </c>
    </row>
    <row r="909" spans="1:9" ht="13.2">
      <c r="A909" s="109" t="str">
        <f ca="1">IFERROR(__xludf.DUMMYFUNCTION("""COMPUTED_VALUE"""),"HS")</f>
        <v>HS</v>
      </c>
      <c r="B909" s="108" t="str">
        <f ca="1">IFERROR(__xludf.DUMMYFUNCTION("""COMPUTED_VALUE"""),"Azadi Castellano")</f>
        <v>Azadi Castellano</v>
      </c>
      <c r="C909" s="109">
        <f ca="1">IFERROR(__xludf.DUMMYFUNCTION("""COMPUTED_VALUE"""),9)</f>
        <v>9</v>
      </c>
      <c r="D909" s="109" t="str">
        <f ca="1">IFERROR(__xludf.DUMMYFUNCTION("""COMPUTED_VALUE"""),"B")</f>
        <v>B</v>
      </c>
      <c r="E909" s="110" t="str">
        <f ca="1">IFERROR(__xludf.DUMMYFUNCTION("""COMPUTED_VALUE"""),"F")</f>
        <v>F</v>
      </c>
      <c r="F909" s="110" t="str">
        <f ca="1">IFERROR(__xludf.DUMMYFUNCTION("""COMPUTED_VALUE"""),"J")</f>
        <v>J</v>
      </c>
      <c r="G909" s="110">
        <f ca="1">IFERROR(__xludf.DUMMYFUNCTION("""COMPUTED_VALUE"""),4)</f>
        <v>4</v>
      </c>
      <c r="H909" s="112" t="str">
        <f ca="1"/>
        <v/>
      </c>
      <c r="I909" s="81" t="str">
        <f ca="1"/>
        <v/>
      </c>
    </row>
    <row r="910" spans="1:9" ht="13.2">
      <c r="A910" s="109" t="str">
        <f ca="1">IFERROR(__xludf.DUMMYFUNCTION("""COMPUTED_VALUE"""),"HS")</f>
        <v>HS</v>
      </c>
      <c r="B910" s="108" t="str">
        <f ca="1">IFERROR(__xludf.DUMMYFUNCTION("""COMPUTED_VALUE"""),"Barrett Kinzler")</f>
        <v>Barrett Kinzler</v>
      </c>
      <c r="C910" s="109">
        <f ca="1">IFERROR(__xludf.DUMMYFUNCTION("""COMPUTED_VALUE"""),9)</f>
        <v>9</v>
      </c>
      <c r="D910" s="109" t="str">
        <f ca="1">IFERROR(__xludf.DUMMYFUNCTION("""COMPUTED_VALUE"""),"B")</f>
        <v>B</v>
      </c>
      <c r="E910" s="110" t="str">
        <f ca="1">IFERROR(__xludf.DUMMYFUNCTION("""COMPUTED_VALUE"""),"F")</f>
        <v>F</v>
      </c>
      <c r="F910" s="110" t="str">
        <f ca="1">IFERROR(__xludf.DUMMYFUNCTION("""COMPUTED_VALUE"""),"J")</f>
        <v>J</v>
      </c>
      <c r="G910" s="110">
        <f ca="1">IFERROR(__xludf.DUMMYFUNCTION("""COMPUTED_VALUE"""),4)</f>
        <v>4</v>
      </c>
      <c r="H910" s="112" t="str">
        <f ca="1"/>
        <v/>
      </c>
      <c r="I910" s="112" t="str">
        <f ca="1"/>
        <v/>
      </c>
    </row>
    <row r="911" spans="1:9" ht="13.2">
      <c r="A911" s="109" t="str">
        <f ca="1">IFERROR(__xludf.DUMMYFUNCTION("""COMPUTED_VALUE"""),"HS")</f>
        <v>HS</v>
      </c>
      <c r="B911" s="108" t="str">
        <f ca="1">IFERROR(__xludf.DUMMYFUNCTION("""COMPUTED_VALUE"""),"Faustino Fredes")</f>
        <v>Faustino Fredes</v>
      </c>
      <c r="C911" s="109">
        <f ca="1">IFERROR(__xludf.DUMMYFUNCTION("""COMPUTED_VALUE"""),9)</f>
        <v>9</v>
      </c>
      <c r="D911" s="109" t="str">
        <f ca="1">IFERROR(__xludf.DUMMYFUNCTION("""COMPUTED_VALUE"""),"B")</f>
        <v>B</v>
      </c>
      <c r="E911" s="110" t="str">
        <f ca="1">IFERROR(__xludf.DUMMYFUNCTION("""COMPUTED_VALUE"""),"F")</f>
        <v>F</v>
      </c>
      <c r="F911" s="110" t="str">
        <f ca="1">IFERROR(__xludf.DUMMYFUNCTION("""COMPUTED_VALUE"""),"J")</f>
        <v>J</v>
      </c>
      <c r="G911" s="110">
        <f ca="1">IFERROR(__xludf.DUMMYFUNCTION("""COMPUTED_VALUE"""),4)</f>
        <v>4</v>
      </c>
      <c r="H911" s="112" t="str">
        <f ca="1"/>
        <v/>
      </c>
      <c r="I911" s="81" t="str">
        <f ca="1"/>
        <v/>
      </c>
    </row>
    <row r="912" spans="1:9" ht="13.2">
      <c r="A912" s="109" t="str">
        <f ca="1">IFERROR(__xludf.DUMMYFUNCTION("""COMPUTED_VALUE"""),"HS")</f>
        <v>HS</v>
      </c>
      <c r="B912" s="108" t="str">
        <f ca="1">IFERROR(__xludf.DUMMYFUNCTION("""COMPUTED_VALUE"""),"Franklin Fiske")</f>
        <v>Franklin Fiske</v>
      </c>
      <c r="C912" s="109">
        <f ca="1">IFERROR(__xludf.DUMMYFUNCTION("""COMPUTED_VALUE"""),9)</f>
        <v>9</v>
      </c>
      <c r="D912" s="109" t="str">
        <f ca="1">IFERROR(__xludf.DUMMYFUNCTION("""COMPUTED_VALUE"""),"B")</f>
        <v>B</v>
      </c>
      <c r="E912" s="110" t="str">
        <f ca="1">IFERROR(__xludf.DUMMYFUNCTION("""COMPUTED_VALUE"""),"F")</f>
        <v>F</v>
      </c>
      <c r="F912" s="110" t="str">
        <f ca="1">IFERROR(__xludf.DUMMYFUNCTION("""COMPUTED_VALUE"""),"J")</f>
        <v>J</v>
      </c>
      <c r="G912" s="110">
        <f ca="1">IFERROR(__xludf.DUMMYFUNCTION("""COMPUTED_VALUE"""),4)</f>
        <v>4</v>
      </c>
      <c r="H912" s="112" t="str">
        <f ca="1"/>
        <v/>
      </c>
      <c r="I912" s="112" t="str">
        <f ca="1"/>
        <v/>
      </c>
    </row>
    <row r="913" spans="1:9" ht="13.2">
      <c r="A913" s="109" t="str">
        <f ca="1">IFERROR(__xludf.DUMMYFUNCTION("""COMPUTED_VALUE"""),"HS")</f>
        <v>HS</v>
      </c>
      <c r="B913" s="108" t="str">
        <f ca="1">IFERROR(__xludf.DUMMYFUNCTION("""COMPUTED_VALUE"""),"Henry Janicke")</f>
        <v>Henry Janicke</v>
      </c>
      <c r="C913" s="109">
        <f ca="1">IFERROR(__xludf.DUMMYFUNCTION("""COMPUTED_VALUE"""),9)</f>
        <v>9</v>
      </c>
      <c r="D913" s="109" t="str">
        <f ca="1">IFERROR(__xludf.DUMMYFUNCTION("""COMPUTED_VALUE"""),"B")</f>
        <v>B</v>
      </c>
      <c r="E913" s="110" t="str">
        <f ca="1">IFERROR(__xludf.DUMMYFUNCTION("""COMPUTED_VALUE"""),"F")</f>
        <v>F</v>
      </c>
      <c r="F913" s="110" t="str">
        <f ca="1">IFERROR(__xludf.DUMMYFUNCTION("""COMPUTED_VALUE"""),"J")</f>
        <v>J</v>
      </c>
      <c r="G913" s="110">
        <f ca="1">IFERROR(__xludf.DUMMYFUNCTION("""COMPUTED_VALUE"""),4)</f>
        <v>4</v>
      </c>
      <c r="H913" s="112" t="str">
        <f ca="1"/>
        <v>19.25</v>
      </c>
      <c r="I913" s="112">
        <f ca="1"/>
        <v>19.25</v>
      </c>
    </row>
    <row r="914" spans="1:9" ht="13.2">
      <c r="A914" s="109" t="str">
        <f ca="1">IFERROR(__xludf.DUMMYFUNCTION("""COMPUTED_VALUE"""),"HS")</f>
        <v>HS</v>
      </c>
      <c r="B914" s="108" t="str">
        <f ca="1">IFERROR(__xludf.DUMMYFUNCTION("""COMPUTED_VALUE"""),"John Berik")</f>
        <v>John Berik</v>
      </c>
      <c r="C914" s="109">
        <f ca="1">IFERROR(__xludf.DUMMYFUNCTION("""COMPUTED_VALUE"""),7)</f>
        <v>7</v>
      </c>
      <c r="D914" s="109" t="str">
        <f ca="1">IFERROR(__xludf.DUMMYFUNCTION("""COMPUTED_VALUE"""),"B")</f>
        <v>B</v>
      </c>
      <c r="E914" s="110" t="str">
        <f ca="1">IFERROR(__xludf.DUMMYFUNCTION("""COMPUTED_VALUE"""),"F")</f>
        <v>F</v>
      </c>
      <c r="F914" s="110" t="str">
        <f ca="1">IFERROR(__xludf.DUMMYFUNCTION("""COMPUTED_VALUE"""),"J")</f>
        <v>J</v>
      </c>
      <c r="G914" s="110">
        <f ca="1">IFERROR(__xludf.DUMMYFUNCTION("""COMPUTED_VALUE"""),4)</f>
        <v>4</v>
      </c>
      <c r="H914" s="112" t="str">
        <f ca="1"/>
        <v/>
      </c>
      <c r="I914" s="112" t="str">
        <f ca="1"/>
        <v/>
      </c>
    </row>
    <row r="915" spans="1:9" ht="13.2">
      <c r="A915" s="109" t="str">
        <f ca="1">IFERROR(__xludf.DUMMYFUNCTION("""COMPUTED_VALUE"""),"HS")</f>
        <v>HS</v>
      </c>
      <c r="B915" s="108" t="str">
        <f ca="1">IFERROR(__xludf.DUMMYFUNCTION("""COMPUTED_VALUE"""),"John Paul Kissinger")</f>
        <v>John Paul Kissinger</v>
      </c>
      <c r="C915" s="109">
        <f ca="1">IFERROR(__xludf.DUMMYFUNCTION("""COMPUTED_VALUE"""),9)</f>
        <v>9</v>
      </c>
      <c r="D915" s="109" t="str">
        <f ca="1">IFERROR(__xludf.DUMMYFUNCTION("""COMPUTED_VALUE"""),"B")</f>
        <v>B</v>
      </c>
      <c r="E915" s="110" t="str">
        <f ca="1">IFERROR(__xludf.DUMMYFUNCTION("""COMPUTED_VALUE"""),"F")</f>
        <v>F</v>
      </c>
      <c r="F915" s="110" t="str">
        <f ca="1">IFERROR(__xludf.DUMMYFUNCTION("""COMPUTED_VALUE"""),"J")</f>
        <v>J</v>
      </c>
      <c r="G915" s="110">
        <f ca="1">IFERROR(__xludf.DUMMYFUNCTION("""COMPUTED_VALUE"""),4)</f>
        <v>4</v>
      </c>
      <c r="H915" s="112" t="str">
        <f ca="1"/>
        <v/>
      </c>
      <c r="I915" s="81" t="str">
        <f ca="1"/>
        <v/>
      </c>
    </row>
    <row r="916" spans="1:9" ht="13.2">
      <c r="A916" s="109" t="str">
        <f ca="1">IFERROR(__xludf.DUMMYFUNCTION("""COMPUTED_VALUE"""),"HS")</f>
        <v>HS</v>
      </c>
      <c r="B916" s="108" t="str">
        <f ca="1">IFERROR(__xludf.DUMMYFUNCTION("""COMPUTED_VALUE"""),"Martin Shiu")</f>
        <v>Martin Shiu</v>
      </c>
      <c r="C916" s="109">
        <f ca="1">IFERROR(__xludf.DUMMYFUNCTION("""COMPUTED_VALUE"""),8)</f>
        <v>8</v>
      </c>
      <c r="D916" s="109" t="str">
        <f ca="1">IFERROR(__xludf.DUMMYFUNCTION("""COMPUTED_VALUE"""),"B")</f>
        <v>B</v>
      </c>
      <c r="E916" s="110" t="str">
        <f ca="1">IFERROR(__xludf.DUMMYFUNCTION("""COMPUTED_VALUE"""),"F")</f>
        <v>F</v>
      </c>
      <c r="F916" s="110" t="str">
        <f ca="1">IFERROR(__xludf.DUMMYFUNCTION("""COMPUTED_VALUE"""),"J")</f>
        <v>J</v>
      </c>
      <c r="G916" s="110">
        <f ca="1">IFERROR(__xludf.DUMMYFUNCTION("""COMPUTED_VALUE"""),4)</f>
        <v>4</v>
      </c>
      <c r="H916" s="112" t="str">
        <f ca="1"/>
        <v/>
      </c>
      <c r="I916" s="81" t="str">
        <f ca="1"/>
        <v/>
      </c>
    </row>
    <row r="917" spans="1:9" ht="13.2">
      <c r="A917" s="109" t="str">
        <f ca="1">IFERROR(__xludf.DUMMYFUNCTION("""COMPUTED_VALUE"""),"HS")</f>
        <v>HS</v>
      </c>
      <c r="B917" s="108" t="str">
        <f ca="1">IFERROR(__xludf.DUMMYFUNCTION("""COMPUTED_VALUE"""),"Vier Kilburg")</f>
        <v>Vier Kilburg</v>
      </c>
      <c r="C917" s="109">
        <f ca="1">IFERROR(__xludf.DUMMYFUNCTION("""COMPUTED_VALUE"""),10)</f>
        <v>10</v>
      </c>
      <c r="D917" s="109" t="str">
        <f ca="1">IFERROR(__xludf.DUMMYFUNCTION("""COMPUTED_VALUE"""),"B")</f>
        <v>B</v>
      </c>
      <c r="E917" s="110" t="str">
        <f ca="1">IFERROR(__xludf.DUMMYFUNCTION("""COMPUTED_VALUE"""),"F")</f>
        <v>F</v>
      </c>
      <c r="F917" s="110" t="str">
        <f ca="1">IFERROR(__xludf.DUMMYFUNCTION("""COMPUTED_VALUE"""),"J")</f>
        <v>J</v>
      </c>
      <c r="G917" s="110">
        <f ca="1">IFERROR(__xludf.DUMMYFUNCTION("""COMPUTED_VALUE"""),4)</f>
        <v>4</v>
      </c>
      <c r="H917" s="112" t="str">
        <f ca="1"/>
        <v/>
      </c>
      <c r="I917" s="112" t="str">
        <f ca="1"/>
        <v/>
      </c>
    </row>
    <row r="918" spans="1:9" ht="13.2">
      <c r="A918" s="109" t="str">
        <f ca="1">IFERROR(__xludf.DUMMYFUNCTION("""COMPUTED_VALUE"""),"HS")</f>
        <v>HS</v>
      </c>
      <c r="B918" s="108" t="str">
        <f ca="1">IFERROR(__xludf.DUMMYFUNCTION("""COMPUTED_VALUE"""),"Adelheid Campbell")</f>
        <v>Adelheid Campbell</v>
      </c>
      <c r="C918" s="109">
        <f ca="1">IFERROR(__xludf.DUMMYFUNCTION("""COMPUTED_VALUE"""),9)</f>
        <v>9</v>
      </c>
      <c r="D918" s="109" t="str">
        <f ca="1">IFERROR(__xludf.DUMMYFUNCTION("""COMPUTED_VALUE"""),"G")</f>
        <v>G</v>
      </c>
      <c r="E918" s="110" t="str">
        <f ca="1">IFERROR(__xludf.DUMMYFUNCTION("""COMPUTED_VALUE"""),"F")</f>
        <v>F</v>
      </c>
      <c r="F918" s="110" t="str">
        <f ca="1">IFERROR(__xludf.DUMMYFUNCTION("""COMPUTED_VALUE"""),"J")</f>
        <v>J</v>
      </c>
      <c r="G918" s="110">
        <f ca="1">IFERROR(__xludf.DUMMYFUNCTION("""COMPUTED_VALUE"""),4)</f>
        <v>4</v>
      </c>
      <c r="H918" s="112" t="str">
        <f ca="1"/>
        <v/>
      </c>
      <c r="I918" s="81" t="str">
        <f ca="1"/>
        <v/>
      </c>
    </row>
    <row r="919" spans="1:9" ht="13.2">
      <c r="A919" s="109" t="str">
        <f ca="1">IFERROR(__xludf.DUMMYFUNCTION("""COMPUTED_VALUE"""),"HS")</f>
        <v>HS</v>
      </c>
      <c r="B919" s="108" t="str">
        <f ca="1">IFERROR(__xludf.DUMMYFUNCTION("""COMPUTED_VALUE"""),"Anna Noonan")</f>
        <v>Anna Noonan</v>
      </c>
      <c r="C919" s="109">
        <f ca="1">IFERROR(__xludf.DUMMYFUNCTION("""COMPUTED_VALUE"""),9)</f>
        <v>9</v>
      </c>
      <c r="D919" s="109" t="str">
        <f ca="1">IFERROR(__xludf.DUMMYFUNCTION("""COMPUTED_VALUE"""),"G")</f>
        <v>G</v>
      </c>
      <c r="E919" s="110" t="str">
        <f ca="1">IFERROR(__xludf.DUMMYFUNCTION("""COMPUTED_VALUE"""),"F")</f>
        <v>F</v>
      </c>
      <c r="F919" s="110" t="str">
        <f ca="1">IFERROR(__xludf.DUMMYFUNCTION("""COMPUTED_VALUE"""),"J")</f>
        <v>J</v>
      </c>
      <c r="G919" s="110">
        <f ca="1">IFERROR(__xludf.DUMMYFUNCTION("""COMPUTED_VALUE"""),4)</f>
        <v>4</v>
      </c>
      <c r="H919" s="112" t="str">
        <f ca="1"/>
        <v/>
      </c>
      <c r="I919" s="112" t="str">
        <f ca="1"/>
        <v/>
      </c>
    </row>
    <row r="920" spans="1:9" ht="13.2">
      <c r="A920" s="109" t="str">
        <f ca="1">IFERROR(__xludf.DUMMYFUNCTION("""COMPUTED_VALUE"""),"HS")</f>
        <v>HS</v>
      </c>
      <c r="B920" s="108" t="str">
        <f ca="1">IFERROR(__xludf.DUMMYFUNCTION("""COMPUTED_VALUE"""),"Aspen Rose Abruzzese")</f>
        <v>Aspen Rose Abruzzese</v>
      </c>
      <c r="C920" s="109">
        <f ca="1">IFERROR(__xludf.DUMMYFUNCTION("""COMPUTED_VALUE"""),9)</f>
        <v>9</v>
      </c>
      <c r="D920" s="109" t="str">
        <f ca="1">IFERROR(__xludf.DUMMYFUNCTION("""COMPUTED_VALUE"""),"G")</f>
        <v>G</v>
      </c>
      <c r="E920" s="110" t="str">
        <f ca="1">IFERROR(__xludf.DUMMYFUNCTION("""COMPUTED_VALUE"""),"F")</f>
        <v>F</v>
      </c>
      <c r="F920" s="110" t="str">
        <f ca="1">IFERROR(__xludf.DUMMYFUNCTION("""COMPUTED_VALUE"""),"J")</f>
        <v>J</v>
      </c>
      <c r="G920" s="110">
        <f ca="1">IFERROR(__xludf.DUMMYFUNCTION("""COMPUTED_VALUE"""),4)</f>
        <v>4</v>
      </c>
      <c r="H920" s="112" t="str">
        <f ca="1"/>
        <v>46.5</v>
      </c>
      <c r="I920" s="112">
        <f ca="1"/>
        <v>46.5</v>
      </c>
    </row>
    <row r="921" spans="1:9" ht="13.2">
      <c r="A921" s="109" t="str">
        <f ca="1">IFERROR(__xludf.DUMMYFUNCTION("""COMPUTED_VALUE"""),"HS")</f>
        <v>HS</v>
      </c>
      <c r="B921" s="108" t="str">
        <f ca="1">IFERROR(__xludf.DUMMYFUNCTION("""COMPUTED_VALUE"""),"Audrey Kumar")</f>
        <v>Audrey Kumar</v>
      </c>
      <c r="C921" s="109">
        <f ca="1">IFERROR(__xludf.DUMMYFUNCTION("""COMPUTED_VALUE"""),6)</f>
        <v>6</v>
      </c>
      <c r="D921" s="109" t="str">
        <f ca="1">IFERROR(__xludf.DUMMYFUNCTION("""COMPUTED_VALUE"""),"G")</f>
        <v>G</v>
      </c>
      <c r="E921" s="110" t="str">
        <f ca="1">IFERROR(__xludf.DUMMYFUNCTION("""COMPUTED_VALUE"""),"F")</f>
        <v>F</v>
      </c>
      <c r="F921" s="110" t="str">
        <f ca="1">IFERROR(__xludf.DUMMYFUNCTION("""COMPUTED_VALUE"""),"J")</f>
        <v>J</v>
      </c>
      <c r="G921" s="110">
        <f ca="1">IFERROR(__xludf.DUMMYFUNCTION("""COMPUTED_VALUE"""),4)</f>
        <v>4</v>
      </c>
      <c r="H921" s="112" t="str">
        <f ca="1"/>
        <v/>
      </c>
      <c r="I921" s="112" t="str">
        <f ca="1"/>
        <v/>
      </c>
    </row>
    <row r="922" spans="1:9" ht="13.2">
      <c r="A922" s="109" t="str">
        <f ca="1">IFERROR(__xludf.DUMMYFUNCTION("""COMPUTED_VALUE"""),"HS")</f>
        <v>HS</v>
      </c>
      <c r="B922" s="108" t="str">
        <f ca="1">IFERROR(__xludf.DUMMYFUNCTION("""COMPUTED_VALUE"""),"Charlotte Segreti")</f>
        <v>Charlotte Segreti</v>
      </c>
      <c r="C922" s="109">
        <f ca="1">IFERROR(__xludf.DUMMYFUNCTION("""COMPUTED_VALUE"""),8)</f>
        <v>8</v>
      </c>
      <c r="D922" s="109" t="str">
        <f ca="1">IFERROR(__xludf.DUMMYFUNCTION("""COMPUTED_VALUE"""),"G")</f>
        <v>G</v>
      </c>
      <c r="E922" s="110" t="str">
        <f ca="1">IFERROR(__xludf.DUMMYFUNCTION("""COMPUTED_VALUE"""),"F")</f>
        <v>F</v>
      </c>
      <c r="F922" s="110" t="str">
        <f ca="1">IFERROR(__xludf.DUMMYFUNCTION("""COMPUTED_VALUE"""),"J")</f>
        <v>J</v>
      </c>
      <c r="G922" s="110">
        <f ca="1">IFERROR(__xludf.DUMMYFUNCTION("""COMPUTED_VALUE"""),4)</f>
        <v>4</v>
      </c>
      <c r="H922" s="112" t="str">
        <f ca="1"/>
        <v/>
      </c>
      <c r="I922" s="112" t="str">
        <f ca="1"/>
        <v/>
      </c>
    </row>
    <row r="923" spans="1:9" ht="13.2">
      <c r="A923" s="109" t="str">
        <f ca="1">IFERROR(__xludf.DUMMYFUNCTION("""COMPUTED_VALUE"""),"HS")</f>
        <v>HS</v>
      </c>
      <c r="B923" s="108" t="str">
        <f ca="1">IFERROR(__xludf.DUMMYFUNCTION("""COMPUTED_VALUE"""),"Darby Henman")</f>
        <v>Darby Henman</v>
      </c>
      <c r="C923" s="109">
        <f ca="1">IFERROR(__xludf.DUMMYFUNCTION("""COMPUTED_VALUE"""),9)</f>
        <v>9</v>
      </c>
      <c r="D923" s="109" t="str">
        <f ca="1">IFERROR(__xludf.DUMMYFUNCTION("""COMPUTED_VALUE"""),"G")</f>
        <v>G</v>
      </c>
      <c r="E923" s="110" t="str">
        <f ca="1">IFERROR(__xludf.DUMMYFUNCTION("""COMPUTED_VALUE"""),"F")</f>
        <v>F</v>
      </c>
      <c r="F923" s="110" t="str">
        <f ca="1">IFERROR(__xludf.DUMMYFUNCTION("""COMPUTED_VALUE"""),"J")</f>
        <v>J</v>
      </c>
      <c r="G923" s="110">
        <f ca="1">IFERROR(__xludf.DUMMYFUNCTION("""COMPUTED_VALUE"""),4)</f>
        <v>4</v>
      </c>
      <c r="H923" s="112" t="str">
        <f ca="1"/>
        <v/>
      </c>
      <c r="I923" s="81" t="str">
        <f ca="1"/>
        <v/>
      </c>
    </row>
    <row r="924" spans="1:9" ht="13.2">
      <c r="A924" s="109" t="str">
        <f ca="1">IFERROR(__xludf.DUMMYFUNCTION("""COMPUTED_VALUE"""),"HS")</f>
        <v>HS</v>
      </c>
      <c r="B924" s="108" t="str">
        <f ca="1">IFERROR(__xludf.DUMMYFUNCTION("""COMPUTED_VALUE"""),"Elsa Fitzharris")</f>
        <v>Elsa Fitzharris</v>
      </c>
      <c r="C924" s="109">
        <f ca="1">IFERROR(__xludf.DUMMYFUNCTION("""COMPUTED_VALUE"""),10)</f>
        <v>10</v>
      </c>
      <c r="D924" s="109" t="str">
        <f ca="1">IFERROR(__xludf.DUMMYFUNCTION("""COMPUTED_VALUE"""),"G")</f>
        <v>G</v>
      </c>
      <c r="E924" s="110" t="str">
        <f ca="1">IFERROR(__xludf.DUMMYFUNCTION("""COMPUTED_VALUE"""),"F")</f>
        <v>F</v>
      </c>
      <c r="F924" s="110" t="str">
        <f ca="1">IFERROR(__xludf.DUMMYFUNCTION("""COMPUTED_VALUE"""),"J")</f>
        <v>J</v>
      </c>
      <c r="G924" s="110">
        <f ca="1">IFERROR(__xludf.DUMMYFUNCTION("""COMPUTED_VALUE"""),4)</f>
        <v>4</v>
      </c>
      <c r="H924" s="112" t="str">
        <f ca="1"/>
        <v/>
      </c>
      <c r="I924" s="81" t="str">
        <f ca="1"/>
        <v/>
      </c>
    </row>
    <row r="925" spans="1:9" ht="13.2">
      <c r="A925" s="109" t="str">
        <f ca="1">IFERROR(__xludf.DUMMYFUNCTION("""COMPUTED_VALUE"""),"HS")</f>
        <v>HS</v>
      </c>
      <c r="B925" s="108" t="str">
        <f ca="1">IFERROR(__xludf.DUMMYFUNCTION("""COMPUTED_VALUE"""),"Emilia Vayra")</f>
        <v>Emilia Vayra</v>
      </c>
      <c r="C925" s="109">
        <f ca="1">IFERROR(__xludf.DUMMYFUNCTION("""COMPUTED_VALUE"""),9)</f>
        <v>9</v>
      </c>
      <c r="D925" s="109" t="str">
        <f ca="1">IFERROR(__xludf.DUMMYFUNCTION("""COMPUTED_VALUE"""),"G")</f>
        <v>G</v>
      </c>
      <c r="E925" s="110" t="str">
        <f ca="1">IFERROR(__xludf.DUMMYFUNCTION("""COMPUTED_VALUE"""),"F")</f>
        <v>F</v>
      </c>
      <c r="F925" s="110" t="str">
        <f ca="1">IFERROR(__xludf.DUMMYFUNCTION("""COMPUTED_VALUE"""),"J")</f>
        <v>J</v>
      </c>
      <c r="G925" s="110">
        <f ca="1">IFERROR(__xludf.DUMMYFUNCTION("""COMPUTED_VALUE"""),4)</f>
        <v>4</v>
      </c>
      <c r="H925" s="112" t="str">
        <f ca="1"/>
        <v/>
      </c>
      <c r="I925" s="81" t="str">
        <f ca="1"/>
        <v/>
      </c>
    </row>
    <row r="926" spans="1:9" ht="13.2">
      <c r="A926" s="109" t="str">
        <f ca="1">IFERROR(__xludf.DUMMYFUNCTION("""COMPUTED_VALUE"""),"HS")</f>
        <v>HS</v>
      </c>
      <c r="B926" s="108" t="str">
        <f ca="1">IFERROR(__xludf.DUMMYFUNCTION("""COMPUTED_VALUE"""),"Julia Paukovits")</f>
        <v>Julia Paukovits</v>
      </c>
      <c r="C926" s="109">
        <f ca="1">IFERROR(__xludf.DUMMYFUNCTION("""COMPUTED_VALUE"""),9)</f>
        <v>9</v>
      </c>
      <c r="D926" s="109" t="str">
        <f ca="1">IFERROR(__xludf.DUMMYFUNCTION("""COMPUTED_VALUE"""),"G")</f>
        <v>G</v>
      </c>
      <c r="E926" s="110" t="str">
        <f ca="1">IFERROR(__xludf.DUMMYFUNCTION("""COMPUTED_VALUE"""),"F")</f>
        <v>F</v>
      </c>
      <c r="F926" s="110" t="str">
        <f ca="1">IFERROR(__xludf.DUMMYFUNCTION("""COMPUTED_VALUE"""),"J")</f>
        <v>J</v>
      </c>
      <c r="G926" s="110">
        <f ca="1">IFERROR(__xludf.DUMMYFUNCTION("""COMPUTED_VALUE"""),4)</f>
        <v>4</v>
      </c>
      <c r="H926" s="112" t="str">
        <f ca="1"/>
        <v/>
      </c>
      <c r="I926" s="112" t="str">
        <f ca="1"/>
        <v/>
      </c>
    </row>
    <row r="927" spans="1:9" ht="13.2">
      <c r="A927" s="109" t="str">
        <f ca="1">IFERROR(__xludf.DUMMYFUNCTION("""COMPUTED_VALUE"""),"HS")</f>
        <v>HS</v>
      </c>
      <c r="B927" s="108" t="str">
        <f ca="1">IFERROR(__xludf.DUMMYFUNCTION("""COMPUTED_VALUE"""),"Kara Carpenter")</f>
        <v>Kara Carpenter</v>
      </c>
      <c r="C927" s="109">
        <f ca="1">IFERROR(__xludf.DUMMYFUNCTION("""COMPUTED_VALUE"""),9)</f>
        <v>9</v>
      </c>
      <c r="D927" s="109" t="str">
        <f ca="1">IFERROR(__xludf.DUMMYFUNCTION("""COMPUTED_VALUE"""),"G")</f>
        <v>G</v>
      </c>
      <c r="E927" s="110" t="str">
        <f ca="1">IFERROR(__xludf.DUMMYFUNCTION("""COMPUTED_VALUE"""),"F")</f>
        <v>F</v>
      </c>
      <c r="F927" s="110" t="str">
        <f ca="1">IFERROR(__xludf.DUMMYFUNCTION("""COMPUTED_VALUE"""),"J")</f>
        <v>J</v>
      </c>
      <c r="G927" s="110">
        <f ca="1">IFERROR(__xludf.DUMMYFUNCTION("""COMPUTED_VALUE"""),4)</f>
        <v>4</v>
      </c>
      <c r="H927" s="112" t="str">
        <f ca="1"/>
        <v>40</v>
      </c>
      <c r="I927" s="112">
        <f ca="1"/>
        <v>40</v>
      </c>
    </row>
    <row r="928" spans="1:9" ht="13.2">
      <c r="A928" s="109" t="str">
        <f ca="1">IFERROR(__xludf.DUMMYFUNCTION("""COMPUTED_VALUE"""),"HS")</f>
        <v>HS</v>
      </c>
      <c r="B928" s="108" t="str">
        <f ca="1">IFERROR(__xludf.DUMMYFUNCTION("""COMPUTED_VALUE"""),"Leah Thoman")</f>
        <v>Leah Thoman</v>
      </c>
      <c r="C928" s="109">
        <f ca="1">IFERROR(__xludf.DUMMYFUNCTION("""COMPUTED_VALUE"""),9)</f>
        <v>9</v>
      </c>
      <c r="D928" s="109" t="str">
        <f ca="1">IFERROR(__xludf.DUMMYFUNCTION("""COMPUTED_VALUE"""),"G")</f>
        <v>G</v>
      </c>
      <c r="E928" s="110" t="str">
        <f ca="1">IFERROR(__xludf.DUMMYFUNCTION("""COMPUTED_VALUE"""),"F")</f>
        <v>F</v>
      </c>
      <c r="F928" s="110" t="str">
        <f ca="1">IFERROR(__xludf.DUMMYFUNCTION("""COMPUTED_VALUE"""),"J")</f>
        <v>J</v>
      </c>
      <c r="G928" s="110">
        <f ca="1">IFERROR(__xludf.DUMMYFUNCTION("""COMPUTED_VALUE"""),4)</f>
        <v>4</v>
      </c>
      <c r="H928" s="112" t="str">
        <f ca="1"/>
        <v/>
      </c>
      <c r="I928" s="112" t="str">
        <f ca="1"/>
        <v/>
      </c>
    </row>
    <row r="929" spans="1:9" ht="13.2">
      <c r="A929" s="109" t="str">
        <f ca="1">IFERROR(__xludf.DUMMYFUNCTION("""COMPUTED_VALUE"""),"HS")</f>
        <v>HS</v>
      </c>
      <c r="B929" s="108" t="str">
        <f ca="1">IFERROR(__xludf.DUMMYFUNCTION("""COMPUTED_VALUE"""),"Lily Kissinger")</f>
        <v>Lily Kissinger</v>
      </c>
      <c r="C929" s="109">
        <f ca="1">IFERROR(__xludf.DUMMYFUNCTION("""COMPUTED_VALUE"""),8)</f>
        <v>8</v>
      </c>
      <c r="D929" s="109" t="str">
        <f ca="1">IFERROR(__xludf.DUMMYFUNCTION("""COMPUTED_VALUE"""),"G")</f>
        <v>G</v>
      </c>
      <c r="E929" s="110" t="str">
        <f ca="1">IFERROR(__xludf.DUMMYFUNCTION("""COMPUTED_VALUE"""),"F")</f>
        <v>F</v>
      </c>
      <c r="F929" s="110" t="str">
        <f ca="1">IFERROR(__xludf.DUMMYFUNCTION("""COMPUTED_VALUE"""),"J")</f>
        <v>J</v>
      </c>
      <c r="G929" s="110">
        <f ca="1">IFERROR(__xludf.DUMMYFUNCTION("""COMPUTED_VALUE"""),4)</f>
        <v>4</v>
      </c>
      <c r="H929" s="112" t="str">
        <f ca="1"/>
        <v/>
      </c>
      <c r="I929" s="81" t="str">
        <f ca="1"/>
        <v/>
      </c>
    </row>
    <row r="930" spans="1:9" ht="13.2">
      <c r="A930" s="109" t="str">
        <f ca="1">IFERROR(__xludf.DUMMYFUNCTION("""COMPUTED_VALUE"""),"HS")</f>
        <v>HS</v>
      </c>
      <c r="B930" s="108" t="str">
        <f ca="1">IFERROR(__xludf.DUMMYFUNCTION("""COMPUTED_VALUE"""),"Olivia Berik")</f>
        <v>Olivia Berik</v>
      </c>
      <c r="C930" s="109">
        <f ca="1">IFERROR(__xludf.DUMMYFUNCTION("""COMPUTED_VALUE"""),10)</f>
        <v>10</v>
      </c>
      <c r="D930" s="109" t="str">
        <f ca="1">IFERROR(__xludf.DUMMYFUNCTION("""COMPUTED_VALUE"""),"G")</f>
        <v>G</v>
      </c>
      <c r="E930" s="110" t="str">
        <f ca="1">IFERROR(__xludf.DUMMYFUNCTION("""COMPUTED_VALUE"""),"F")</f>
        <v>F</v>
      </c>
      <c r="F930" s="110" t="str">
        <f ca="1">IFERROR(__xludf.DUMMYFUNCTION("""COMPUTED_VALUE"""),"J")</f>
        <v>J</v>
      </c>
      <c r="G930" s="110">
        <f ca="1">IFERROR(__xludf.DUMMYFUNCTION("""COMPUTED_VALUE"""),4)</f>
        <v>4</v>
      </c>
      <c r="H930" s="112" t="str">
        <f ca="1"/>
        <v/>
      </c>
      <c r="I930" s="81" t="str">
        <f ca="1"/>
        <v/>
      </c>
    </row>
    <row r="931" spans="1:9" ht="13.2">
      <c r="A931" s="109" t="str">
        <f ca="1">IFERROR(__xludf.DUMMYFUNCTION("""COMPUTED_VALUE"""),"HS")</f>
        <v>HS</v>
      </c>
      <c r="B931" s="108" t="str">
        <f ca="1">IFERROR(__xludf.DUMMYFUNCTION("""COMPUTED_VALUE"""),"Vivienne Vaughan")</f>
        <v>Vivienne Vaughan</v>
      </c>
      <c r="C931" s="109">
        <f ca="1">IFERROR(__xludf.DUMMYFUNCTION("""COMPUTED_VALUE"""),7)</f>
        <v>7</v>
      </c>
      <c r="D931" s="109" t="str">
        <f ca="1">IFERROR(__xludf.DUMMYFUNCTION("""COMPUTED_VALUE"""),"G")</f>
        <v>G</v>
      </c>
      <c r="E931" s="110" t="str">
        <f ca="1">IFERROR(__xludf.DUMMYFUNCTION("""COMPUTED_VALUE"""),"F")</f>
        <v>F</v>
      </c>
      <c r="F931" s="110" t="str">
        <f ca="1">IFERROR(__xludf.DUMMYFUNCTION("""COMPUTED_VALUE"""),"J")</f>
        <v>J</v>
      </c>
      <c r="G931" s="110">
        <f ca="1">IFERROR(__xludf.DUMMYFUNCTION("""COMPUTED_VALUE"""),4)</f>
        <v>4</v>
      </c>
      <c r="H931" s="112" t="str">
        <f ca="1"/>
        <v/>
      </c>
      <c r="I931" s="81" t="str">
        <f ca="1"/>
        <v/>
      </c>
    </row>
    <row r="932" spans="1:9" ht="13.2">
      <c r="A932" s="109" t="str">
        <f ca="1">IFERROR(__xludf.DUMMYFUNCTION("""COMPUTED_VALUE"""),"HS")</f>
        <v>HS</v>
      </c>
      <c r="B932" s="108" t="str">
        <f ca="1">IFERROR(__xludf.DUMMYFUNCTION("""COMPUTED_VALUE"""),"Olie Fitzharris")</f>
        <v>Olie Fitzharris</v>
      </c>
      <c r="C932" s="109">
        <f ca="1">IFERROR(__xludf.DUMMYFUNCTION("""COMPUTED_VALUE"""),13)</f>
        <v>13</v>
      </c>
      <c r="D932" s="109" t="str">
        <f ca="1">IFERROR(__xludf.DUMMYFUNCTION("""COMPUTED_VALUE"""),"B")</f>
        <v>B</v>
      </c>
      <c r="E932" s="110" t="str">
        <f ca="1">IFERROR(__xludf.DUMMYFUNCTION("""COMPUTED_VALUE"""),"I")</f>
        <v>I</v>
      </c>
      <c r="F932" s="110" t="str">
        <f ca="1">IFERROR(__xludf.DUMMYFUNCTION("""COMPUTED_VALUE"""),"S")</f>
        <v>S</v>
      </c>
      <c r="G932" s="110">
        <f ca="1">IFERROR(__xludf.DUMMYFUNCTION("""COMPUTED_VALUE"""),4)</f>
        <v>4</v>
      </c>
      <c r="H932" s="112" t="str">
        <f ca="1"/>
        <v/>
      </c>
      <c r="I932" s="81" t="str">
        <f ca="1"/>
        <v/>
      </c>
    </row>
    <row r="933" spans="1:9" ht="13.2">
      <c r="A933" s="109" t="str">
        <f ca="1">IFERROR(__xludf.DUMMYFUNCTION("""COMPUTED_VALUE"""),"HS")</f>
        <v>HS</v>
      </c>
      <c r="B933" s="108" t="str">
        <f ca="1">IFERROR(__xludf.DUMMYFUNCTION("""COMPUTED_VALUE"""),"Elena Marques-Davila")</f>
        <v>Elena Marques-Davila</v>
      </c>
      <c r="C933" s="109">
        <f ca="1">IFERROR(__xludf.DUMMYFUNCTION("""COMPUTED_VALUE"""),14)</f>
        <v>14</v>
      </c>
      <c r="D933" s="109" t="str">
        <f ca="1">IFERROR(__xludf.DUMMYFUNCTION("""COMPUTED_VALUE"""),"G")</f>
        <v>G</v>
      </c>
      <c r="E933" s="110" t="str">
        <f ca="1">IFERROR(__xludf.DUMMYFUNCTION("""COMPUTED_VALUE"""),"I")</f>
        <v>I</v>
      </c>
      <c r="F933" s="110" t="str">
        <f ca="1">IFERROR(__xludf.DUMMYFUNCTION("""COMPUTED_VALUE"""),"S")</f>
        <v>S</v>
      </c>
      <c r="G933" s="110">
        <f ca="1">IFERROR(__xludf.DUMMYFUNCTION("""COMPUTED_VALUE"""),4)</f>
        <v>4</v>
      </c>
      <c r="H933" s="112" t="str">
        <f ca="1"/>
        <v/>
      </c>
      <c r="I933" s="81" t="str">
        <f ca="1"/>
        <v/>
      </c>
    </row>
    <row r="934" spans="1:9" ht="13.2">
      <c r="A934" s="109" t="str">
        <f ca="1">IFERROR(__xludf.DUMMYFUNCTION("""COMPUTED_VALUE"""),"HS")</f>
        <v>HS</v>
      </c>
      <c r="B934" s="108" t="str">
        <f ca="1">IFERROR(__xludf.DUMMYFUNCTION("""COMPUTED_VALUE"""),"Grace Berik")</f>
        <v>Grace Berik</v>
      </c>
      <c r="C934" s="109">
        <f ca="1">IFERROR(__xludf.DUMMYFUNCTION("""COMPUTED_VALUE"""),13)</f>
        <v>13</v>
      </c>
      <c r="D934" s="109" t="str">
        <f ca="1">IFERROR(__xludf.DUMMYFUNCTION("""COMPUTED_VALUE"""),"G")</f>
        <v>G</v>
      </c>
      <c r="E934" s="110" t="str">
        <f ca="1">IFERROR(__xludf.DUMMYFUNCTION("""COMPUTED_VALUE"""),"I")</f>
        <v>I</v>
      </c>
      <c r="F934" s="110" t="str">
        <f ca="1">IFERROR(__xludf.DUMMYFUNCTION("""COMPUTED_VALUE"""),"S")</f>
        <v>S</v>
      </c>
      <c r="G934" s="110">
        <f ca="1">IFERROR(__xludf.DUMMYFUNCTION("""COMPUTED_VALUE"""),4)</f>
        <v>4</v>
      </c>
      <c r="H934" s="112" t="str">
        <f ca="1"/>
        <v/>
      </c>
      <c r="I934" s="81" t="str">
        <f ca="1"/>
        <v/>
      </c>
    </row>
    <row r="935" spans="1:9" ht="13.2">
      <c r="A935" s="109" t="str">
        <f ca="1">IFERROR(__xludf.DUMMYFUNCTION("""COMPUTED_VALUE"""),"HS")</f>
        <v>HS</v>
      </c>
      <c r="B935" s="108" t="str">
        <f ca="1">IFERROR(__xludf.DUMMYFUNCTION("""COMPUTED_VALUE"""),"Katharine Taylor")</f>
        <v>Katharine Taylor</v>
      </c>
      <c r="C935" s="109">
        <f ca="1">IFERROR(__xludf.DUMMYFUNCTION("""COMPUTED_VALUE"""),13)</f>
        <v>13</v>
      </c>
      <c r="D935" s="109" t="str">
        <f ca="1">IFERROR(__xludf.DUMMYFUNCTION("""COMPUTED_VALUE"""),"G")</f>
        <v>G</v>
      </c>
      <c r="E935" s="110" t="str">
        <f ca="1">IFERROR(__xludf.DUMMYFUNCTION("""COMPUTED_VALUE"""),"I")</f>
        <v>I</v>
      </c>
      <c r="F935" s="110" t="str">
        <f ca="1">IFERROR(__xludf.DUMMYFUNCTION("""COMPUTED_VALUE"""),"S")</f>
        <v>S</v>
      </c>
      <c r="G935" s="110">
        <f ca="1">IFERROR(__xludf.DUMMYFUNCTION("""COMPUTED_VALUE"""),4)</f>
        <v>4</v>
      </c>
      <c r="H935" s="112" t="str">
        <f ca="1"/>
        <v/>
      </c>
      <c r="I935" s="81" t="str">
        <f ca="1"/>
        <v/>
      </c>
    </row>
    <row r="936" spans="1:9" ht="13.2">
      <c r="A936" s="109" t="str">
        <f ca="1">IFERROR(__xludf.DUMMYFUNCTION("""COMPUTED_VALUE"""),"HS")</f>
        <v>HS</v>
      </c>
      <c r="B936" s="108" t="str">
        <f ca="1">IFERROR(__xludf.DUMMYFUNCTION("""COMPUTED_VALUE"""),"Laura Marques-Davila")</f>
        <v>Laura Marques-Davila</v>
      </c>
      <c r="C936" s="109">
        <f ca="1">IFERROR(__xludf.DUMMYFUNCTION("""COMPUTED_VALUE"""),13)</f>
        <v>13</v>
      </c>
      <c r="D936" s="109" t="str">
        <f ca="1">IFERROR(__xludf.DUMMYFUNCTION("""COMPUTED_VALUE"""),"G")</f>
        <v>G</v>
      </c>
      <c r="E936" s="110" t="str">
        <f ca="1">IFERROR(__xludf.DUMMYFUNCTION("""COMPUTED_VALUE"""),"I")</f>
        <v>I</v>
      </c>
      <c r="F936" s="110" t="str">
        <f ca="1">IFERROR(__xludf.DUMMYFUNCTION("""COMPUTED_VALUE"""),"S")</f>
        <v>S</v>
      </c>
      <c r="G936" s="110">
        <f ca="1">IFERROR(__xludf.DUMMYFUNCTION("""COMPUTED_VALUE"""),4)</f>
        <v>4</v>
      </c>
      <c r="H936" s="112" t="str">
        <f ca="1"/>
        <v/>
      </c>
      <c r="I936" s="112" t="str">
        <f ca="1"/>
        <v/>
      </c>
    </row>
    <row r="937" spans="1:9" ht="13.2">
      <c r="A937" s="109" t="str">
        <f ca="1">IFERROR(__xludf.DUMMYFUNCTION("""COMPUTED_VALUE"""),"HS")</f>
        <v>HS</v>
      </c>
      <c r="B937" s="108" t="str">
        <f ca="1">IFERROR(__xludf.DUMMYFUNCTION("""COMPUTED_VALUE"""),"Norah Kissinger")</f>
        <v>Norah Kissinger</v>
      </c>
      <c r="C937" s="109">
        <f ca="1">IFERROR(__xludf.DUMMYFUNCTION("""COMPUTED_VALUE"""),14)</f>
        <v>14</v>
      </c>
      <c r="D937" s="109" t="str">
        <f ca="1">IFERROR(__xludf.DUMMYFUNCTION("""COMPUTED_VALUE"""),"G")</f>
        <v>G</v>
      </c>
      <c r="E937" s="110" t="str">
        <f ca="1">IFERROR(__xludf.DUMMYFUNCTION("""COMPUTED_VALUE"""),"I")</f>
        <v>I</v>
      </c>
      <c r="F937" s="110" t="str">
        <f ca="1">IFERROR(__xludf.DUMMYFUNCTION("""COMPUTED_VALUE"""),"S")</f>
        <v>S</v>
      </c>
      <c r="G937" s="110">
        <f ca="1">IFERROR(__xludf.DUMMYFUNCTION("""COMPUTED_VALUE"""),4)</f>
        <v>4</v>
      </c>
      <c r="H937" s="112" t="str">
        <f ca="1"/>
        <v/>
      </c>
      <c r="I937" s="81" t="str">
        <f ca="1"/>
        <v/>
      </c>
    </row>
    <row r="938" spans="1:9" ht="13.2">
      <c r="A938" s="109" t="str">
        <f ca="1">IFERROR(__xludf.DUMMYFUNCTION("""COMPUTED_VALUE"""),"HS")</f>
        <v>HS</v>
      </c>
      <c r="B938" s="108" t="str">
        <f ca="1">IFERROR(__xludf.DUMMYFUNCTION("""COMPUTED_VALUE"""),"Adrith Kamat")</f>
        <v>Adrith Kamat</v>
      </c>
      <c r="C938" s="109">
        <f ca="1">IFERROR(__xludf.DUMMYFUNCTION("""COMPUTED_VALUE"""),11)</f>
        <v>11</v>
      </c>
      <c r="D938" s="109" t="str">
        <f ca="1">IFERROR(__xludf.DUMMYFUNCTION("""COMPUTED_VALUE"""),"B")</f>
        <v>B</v>
      </c>
      <c r="E938" s="110" t="str">
        <f ca="1">IFERROR(__xludf.DUMMYFUNCTION("""COMPUTED_VALUE"""),"J")</f>
        <v>J</v>
      </c>
      <c r="F938" s="110" t="str">
        <f ca="1">IFERROR(__xludf.DUMMYFUNCTION("""COMPUTED_VALUE"""),"I")</f>
        <v>I</v>
      </c>
      <c r="G938" s="110">
        <f ca="1">IFERROR(__xludf.DUMMYFUNCTION("""COMPUTED_VALUE"""),4)</f>
        <v>4</v>
      </c>
      <c r="H938" s="112" t="str">
        <f ca="1"/>
        <v/>
      </c>
      <c r="I938" s="81" t="str">
        <f ca="1"/>
        <v/>
      </c>
    </row>
    <row r="939" spans="1:9" ht="13.2">
      <c r="A939" s="109" t="str">
        <f ca="1">IFERROR(__xludf.DUMMYFUNCTION("""COMPUTED_VALUE"""),"HS")</f>
        <v>HS</v>
      </c>
      <c r="B939" s="108" t="str">
        <f ca="1">IFERROR(__xludf.DUMMYFUNCTION("""COMPUTED_VALUE"""),"Axel Fitzharris")</f>
        <v>Axel Fitzharris</v>
      </c>
      <c r="C939" s="109">
        <f ca="1">IFERROR(__xludf.DUMMYFUNCTION("""COMPUTED_VALUE"""),12)</f>
        <v>12</v>
      </c>
      <c r="D939" s="109" t="str">
        <f ca="1">IFERROR(__xludf.DUMMYFUNCTION("""COMPUTED_VALUE"""),"B")</f>
        <v>B</v>
      </c>
      <c r="E939" s="110" t="str">
        <f ca="1">IFERROR(__xludf.DUMMYFUNCTION("""COMPUTED_VALUE"""),"J")</f>
        <v>J</v>
      </c>
      <c r="F939" s="110" t="str">
        <f ca="1">IFERROR(__xludf.DUMMYFUNCTION("""COMPUTED_VALUE"""),"I")</f>
        <v>I</v>
      </c>
      <c r="G939" s="110">
        <f ca="1">IFERROR(__xludf.DUMMYFUNCTION("""COMPUTED_VALUE"""),4)</f>
        <v>4</v>
      </c>
      <c r="H939" s="112" t="str">
        <f ca="1"/>
        <v/>
      </c>
      <c r="I939" s="81" t="str">
        <f ca="1"/>
        <v/>
      </c>
    </row>
    <row r="940" spans="1:9" ht="13.2">
      <c r="A940" s="109" t="str">
        <f ca="1">IFERROR(__xludf.DUMMYFUNCTION("""COMPUTED_VALUE"""),"HS")</f>
        <v>HS</v>
      </c>
      <c r="B940" s="108" t="str">
        <f ca="1">IFERROR(__xludf.DUMMYFUNCTION("""COMPUTED_VALUE"""),"Jay Gillen")</f>
        <v>Jay Gillen</v>
      </c>
      <c r="C940" s="109">
        <f ca="1">IFERROR(__xludf.DUMMYFUNCTION("""COMPUTED_VALUE"""),11)</f>
        <v>11</v>
      </c>
      <c r="D940" s="109" t="str">
        <f ca="1">IFERROR(__xludf.DUMMYFUNCTION("""COMPUTED_VALUE"""),"B")</f>
        <v>B</v>
      </c>
      <c r="E940" s="110" t="str">
        <f ca="1">IFERROR(__xludf.DUMMYFUNCTION("""COMPUTED_VALUE"""),"J")</f>
        <v>J</v>
      </c>
      <c r="F940" s="110" t="str">
        <f ca="1">IFERROR(__xludf.DUMMYFUNCTION("""COMPUTED_VALUE"""),"I")</f>
        <v>I</v>
      </c>
      <c r="G940" s="110">
        <f ca="1">IFERROR(__xludf.DUMMYFUNCTION("""COMPUTED_VALUE"""),4)</f>
        <v>4</v>
      </c>
      <c r="H940" s="112" t="str">
        <f ca="1"/>
        <v/>
      </c>
      <c r="I940" s="81" t="str">
        <f ca="1"/>
        <v/>
      </c>
    </row>
    <row r="941" spans="1:9" ht="13.2">
      <c r="A941" s="109" t="str">
        <f ca="1">IFERROR(__xludf.DUMMYFUNCTION("""COMPUTED_VALUE"""),"HS")</f>
        <v>HS</v>
      </c>
      <c r="B941" s="108" t="str">
        <f ca="1">IFERROR(__xludf.DUMMYFUNCTION("""COMPUTED_VALUE"""),"Walter Shiu")</f>
        <v>Walter Shiu</v>
      </c>
      <c r="C941" s="109">
        <f ca="1">IFERROR(__xludf.DUMMYFUNCTION("""COMPUTED_VALUE"""),11)</f>
        <v>11</v>
      </c>
      <c r="D941" s="109" t="str">
        <f ca="1">IFERROR(__xludf.DUMMYFUNCTION("""COMPUTED_VALUE"""),"B")</f>
        <v>B</v>
      </c>
      <c r="E941" s="110" t="str">
        <f ca="1">IFERROR(__xludf.DUMMYFUNCTION("""COMPUTED_VALUE"""),"J")</f>
        <v>J</v>
      </c>
      <c r="F941" s="110" t="str">
        <f ca="1">IFERROR(__xludf.DUMMYFUNCTION("""COMPUTED_VALUE"""),"I")</f>
        <v>I</v>
      </c>
      <c r="G941" s="110">
        <f ca="1">IFERROR(__xludf.DUMMYFUNCTION("""COMPUTED_VALUE"""),4)</f>
        <v>4</v>
      </c>
      <c r="H941" s="112" t="str">
        <f ca="1"/>
        <v>46.5</v>
      </c>
      <c r="I941" s="81">
        <f ca="1"/>
        <v>46.5</v>
      </c>
    </row>
    <row r="942" spans="1:9" ht="13.2">
      <c r="A942" s="109" t="str">
        <f ca="1">IFERROR(__xludf.DUMMYFUNCTION("""COMPUTED_VALUE"""),"HS")</f>
        <v>HS</v>
      </c>
      <c r="B942" s="108" t="str">
        <f ca="1">IFERROR(__xludf.DUMMYFUNCTION("""COMPUTED_VALUE"""),"Abigail Taylor")</f>
        <v>Abigail Taylor</v>
      </c>
      <c r="C942" s="109">
        <f ca="1">IFERROR(__xludf.DUMMYFUNCTION("""COMPUTED_VALUE"""),11)</f>
        <v>11</v>
      </c>
      <c r="D942" s="109" t="str">
        <f ca="1">IFERROR(__xludf.DUMMYFUNCTION("""COMPUTED_VALUE"""),"G")</f>
        <v>G</v>
      </c>
      <c r="E942" s="110" t="str">
        <f ca="1">IFERROR(__xludf.DUMMYFUNCTION("""COMPUTED_VALUE"""),"J")</f>
        <v>J</v>
      </c>
      <c r="F942" s="110" t="str">
        <f ca="1">IFERROR(__xludf.DUMMYFUNCTION("""COMPUTED_VALUE"""),"I")</f>
        <v>I</v>
      </c>
      <c r="G942" s="110">
        <f ca="1">IFERROR(__xludf.DUMMYFUNCTION("""COMPUTED_VALUE"""),4)</f>
        <v>4</v>
      </c>
      <c r="H942" s="112" t="str">
        <f ca="1"/>
        <v/>
      </c>
      <c r="I942" s="81" t="str">
        <f ca="1"/>
        <v/>
      </c>
    </row>
    <row r="943" spans="1:9" ht="13.2">
      <c r="A943" s="109" t="str">
        <f ca="1">IFERROR(__xludf.DUMMYFUNCTION("""COMPUTED_VALUE"""),"HS")</f>
        <v>HS</v>
      </c>
      <c r="B943" s="108" t="str">
        <f ca="1">IFERROR(__xludf.DUMMYFUNCTION("""COMPUTED_VALUE"""),"Charlotte Berik")</f>
        <v>Charlotte Berik</v>
      </c>
      <c r="C943" s="109">
        <f ca="1">IFERROR(__xludf.DUMMYFUNCTION("""COMPUTED_VALUE"""),12)</f>
        <v>12</v>
      </c>
      <c r="D943" s="109" t="str">
        <f ca="1">IFERROR(__xludf.DUMMYFUNCTION("""COMPUTED_VALUE"""),"G")</f>
        <v>G</v>
      </c>
      <c r="E943" s="110" t="str">
        <f ca="1">IFERROR(__xludf.DUMMYFUNCTION("""COMPUTED_VALUE"""),"J")</f>
        <v>J</v>
      </c>
      <c r="F943" s="110" t="str">
        <f ca="1">IFERROR(__xludf.DUMMYFUNCTION("""COMPUTED_VALUE"""),"I")</f>
        <v>I</v>
      </c>
      <c r="G943" s="110">
        <f ca="1">IFERROR(__xludf.DUMMYFUNCTION("""COMPUTED_VALUE"""),4)</f>
        <v>4</v>
      </c>
      <c r="H943" s="112" t="str">
        <f ca="1"/>
        <v/>
      </c>
      <c r="I943" s="81" t="str">
        <f ca="1"/>
        <v/>
      </c>
    </row>
    <row r="944" spans="1:9" ht="13.2">
      <c r="A944" s="109" t="str">
        <f ca="1">IFERROR(__xludf.DUMMYFUNCTION("""COMPUTED_VALUE"""),"HS")</f>
        <v>HS</v>
      </c>
      <c r="B944" s="108" t="str">
        <f ca="1">IFERROR(__xludf.DUMMYFUNCTION("""COMPUTED_VALUE"""),"Claire O’Sullivan")</f>
        <v>Claire O’Sullivan</v>
      </c>
      <c r="C944" s="109">
        <f ca="1">IFERROR(__xludf.DUMMYFUNCTION("""COMPUTED_VALUE"""),11)</f>
        <v>11</v>
      </c>
      <c r="D944" s="109" t="str">
        <f ca="1">IFERROR(__xludf.DUMMYFUNCTION("""COMPUTED_VALUE"""),"G")</f>
        <v>G</v>
      </c>
      <c r="E944" s="110" t="str">
        <f ca="1">IFERROR(__xludf.DUMMYFUNCTION("""COMPUTED_VALUE"""),"J")</f>
        <v>J</v>
      </c>
      <c r="F944" s="110" t="str">
        <f ca="1">IFERROR(__xludf.DUMMYFUNCTION("""COMPUTED_VALUE"""),"I")</f>
        <v>I</v>
      </c>
      <c r="G944" s="110">
        <f ca="1">IFERROR(__xludf.DUMMYFUNCTION("""COMPUTED_VALUE"""),4)</f>
        <v>4</v>
      </c>
      <c r="H944" s="112" t="str">
        <f ca="1"/>
        <v/>
      </c>
      <c r="I944" s="112" t="str">
        <f ca="1"/>
        <v/>
      </c>
    </row>
    <row r="945" spans="1:9" ht="13.2">
      <c r="A945" s="109" t="str">
        <f ca="1">IFERROR(__xludf.DUMMYFUNCTION("""COMPUTED_VALUE"""),"HS")</f>
        <v>HS</v>
      </c>
      <c r="B945" s="108" t="str">
        <f ca="1">IFERROR(__xludf.DUMMYFUNCTION("""COMPUTED_VALUE"""),"Grace Noonan")</f>
        <v>Grace Noonan</v>
      </c>
      <c r="C945" s="109">
        <f ca="1">IFERROR(__xludf.DUMMYFUNCTION("""COMPUTED_VALUE"""),11)</f>
        <v>11</v>
      </c>
      <c r="D945" s="109" t="str">
        <f ca="1">IFERROR(__xludf.DUMMYFUNCTION("""COMPUTED_VALUE"""),"G")</f>
        <v>G</v>
      </c>
      <c r="E945" s="110" t="str">
        <f ca="1">IFERROR(__xludf.DUMMYFUNCTION("""COMPUTED_VALUE"""),"J")</f>
        <v>J</v>
      </c>
      <c r="F945" s="110" t="str">
        <f ca="1">IFERROR(__xludf.DUMMYFUNCTION("""COMPUTED_VALUE"""),"I")</f>
        <v>I</v>
      </c>
      <c r="G945" s="110">
        <f ca="1">IFERROR(__xludf.DUMMYFUNCTION("""COMPUTED_VALUE"""),4)</f>
        <v>4</v>
      </c>
      <c r="H945" s="112" t="str">
        <f ca="1"/>
        <v/>
      </c>
      <c r="I945" s="81" t="str">
        <f ca="1"/>
        <v/>
      </c>
    </row>
    <row r="946" spans="1:9" ht="13.2">
      <c r="A946" s="109" t="str">
        <f ca="1">IFERROR(__xludf.DUMMYFUNCTION("""COMPUTED_VALUE"""),"HS")</f>
        <v>HS</v>
      </c>
      <c r="B946" s="108" t="str">
        <f ca="1">IFERROR(__xludf.DUMMYFUNCTION("""COMPUTED_VALUE"""),"Heloise Campbell")</f>
        <v>Heloise Campbell</v>
      </c>
      <c r="C946" s="109">
        <f ca="1">IFERROR(__xludf.DUMMYFUNCTION("""COMPUTED_VALUE"""),11)</f>
        <v>11</v>
      </c>
      <c r="D946" s="109" t="str">
        <f ca="1">IFERROR(__xludf.DUMMYFUNCTION("""COMPUTED_VALUE"""),"G")</f>
        <v>G</v>
      </c>
      <c r="E946" s="110" t="str">
        <f ca="1">IFERROR(__xludf.DUMMYFUNCTION("""COMPUTED_VALUE"""),"J")</f>
        <v>J</v>
      </c>
      <c r="F946" s="110" t="str">
        <f ca="1">IFERROR(__xludf.DUMMYFUNCTION("""COMPUTED_VALUE"""),"I")</f>
        <v>I</v>
      </c>
      <c r="G946" s="110">
        <f ca="1">IFERROR(__xludf.DUMMYFUNCTION("""COMPUTED_VALUE"""),4)</f>
        <v>4</v>
      </c>
      <c r="H946" s="112" t="str">
        <f ca="1"/>
        <v/>
      </c>
      <c r="I946" s="112" t="str">
        <f ca="1"/>
        <v/>
      </c>
    </row>
    <row r="947" spans="1:9" ht="13.2">
      <c r="A947" s="109" t="str">
        <f ca="1">IFERROR(__xludf.DUMMYFUNCTION("""COMPUTED_VALUE"""),"HS")</f>
        <v>HS</v>
      </c>
      <c r="B947" s="108" t="str">
        <f ca="1">IFERROR(__xludf.DUMMYFUNCTION("""COMPUTED_VALUE"""),"Isabel Karam")</f>
        <v>Isabel Karam</v>
      </c>
      <c r="C947" s="109">
        <f ca="1">IFERROR(__xludf.DUMMYFUNCTION("""COMPUTED_VALUE"""),12)</f>
        <v>12</v>
      </c>
      <c r="D947" s="109" t="str">
        <f ca="1">IFERROR(__xludf.DUMMYFUNCTION("""COMPUTED_VALUE"""),"G")</f>
        <v>G</v>
      </c>
      <c r="E947" s="110" t="str">
        <f ca="1">IFERROR(__xludf.DUMMYFUNCTION("""COMPUTED_VALUE"""),"J")</f>
        <v>J</v>
      </c>
      <c r="F947" s="110" t="str">
        <f ca="1">IFERROR(__xludf.DUMMYFUNCTION("""COMPUTED_VALUE"""),"I")</f>
        <v>I</v>
      </c>
      <c r="G947" s="110">
        <f ca="1">IFERROR(__xludf.DUMMYFUNCTION("""COMPUTED_VALUE"""),4)</f>
        <v>4</v>
      </c>
      <c r="H947" s="112" t="str">
        <f ca="1"/>
        <v>80.5</v>
      </c>
      <c r="I947" s="81">
        <f ca="1"/>
        <v>80.5</v>
      </c>
    </row>
    <row r="948" spans="1:9" ht="13.2">
      <c r="A948" s="109" t="str">
        <f ca="1">IFERROR(__xludf.DUMMYFUNCTION("""COMPUTED_VALUE"""),"HS")</f>
        <v>HS</v>
      </c>
      <c r="B948" s="108" t="str">
        <f ca="1">IFERROR(__xludf.DUMMYFUNCTION("""COMPUTED_VALUE"""),"Lauren Kleinberg")</f>
        <v>Lauren Kleinberg</v>
      </c>
      <c r="C948" s="109">
        <f ca="1">IFERROR(__xludf.DUMMYFUNCTION("""COMPUTED_VALUE"""),12)</f>
        <v>12</v>
      </c>
      <c r="D948" s="109" t="str">
        <f ca="1">IFERROR(__xludf.DUMMYFUNCTION("""COMPUTED_VALUE"""),"G")</f>
        <v>G</v>
      </c>
      <c r="E948" s="110" t="str">
        <f ca="1">IFERROR(__xludf.DUMMYFUNCTION("""COMPUTED_VALUE"""),"J")</f>
        <v>J</v>
      </c>
      <c r="F948" s="110" t="str">
        <f ca="1">IFERROR(__xludf.DUMMYFUNCTION("""COMPUTED_VALUE"""),"I")</f>
        <v>I</v>
      </c>
      <c r="G948" s="110">
        <f ca="1">IFERROR(__xludf.DUMMYFUNCTION("""COMPUTED_VALUE"""),4)</f>
        <v>4</v>
      </c>
      <c r="H948" s="112" t="str">
        <f ca="1"/>
        <v/>
      </c>
      <c r="I948" s="81" t="str">
        <f ca="1"/>
        <v/>
      </c>
    </row>
    <row r="949" spans="1:9" ht="13.2">
      <c r="A949" s="109" t="str">
        <f ca="1">IFERROR(__xludf.DUMMYFUNCTION("""COMPUTED_VALUE"""),"HS")</f>
        <v>HS</v>
      </c>
      <c r="B949" s="108" t="str">
        <f ca="1">IFERROR(__xludf.DUMMYFUNCTION("""COMPUTED_VALUE"""),"Madeline Roche")</f>
        <v>Madeline Roche</v>
      </c>
      <c r="C949" s="109">
        <f ca="1">IFERROR(__xludf.DUMMYFUNCTION("""COMPUTED_VALUE"""),11)</f>
        <v>11</v>
      </c>
      <c r="D949" s="109" t="str">
        <f ca="1">IFERROR(__xludf.DUMMYFUNCTION("""COMPUTED_VALUE"""),"G")</f>
        <v>G</v>
      </c>
      <c r="E949" s="110" t="str">
        <f ca="1">IFERROR(__xludf.DUMMYFUNCTION("""COMPUTED_VALUE"""),"J")</f>
        <v>J</v>
      </c>
      <c r="F949" s="110" t="str">
        <f ca="1">IFERROR(__xludf.DUMMYFUNCTION("""COMPUTED_VALUE"""),"I")</f>
        <v>I</v>
      </c>
      <c r="G949" s="110">
        <f ca="1">IFERROR(__xludf.DUMMYFUNCTION("""COMPUTED_VALUE"""),4)</f>
        <v>4</v>
      </c>
      <c r="H949" s="112" t="str">
        <f ca="1"/>
        <v/>
      </c>
      <c r="I949" s="81" t="str">
        <f ca="1"/>
        <v/>
      </c>
    </row>
    <row r="950" spans="1:9" ht="13.2">
      <c r="A950" s="109" t="str">
        <f ca="1">IFERROR(__xludf.DUMMYFUNCTION("""COMPUTED_VALUE"""),"HS")</f>
        <v>HS</v>
      </c>
      <c r="B950" s="108" t="str">
        <f ca="1">IFERROR(__xludf.DUMMYFUNCTION("""COMPUTED_VALUE"""),"Margaret-May Segreti")</f>
        <v>Margaret-May Segreti</v>
      </c>
      <c r="C950" s="109">
        <f ca="1">IFERROR(__xludf.DUMMYFUNCTION("""COMPUTED_VALUE"""),11)</f>
        <v>11</v>
      </c>
      <c r="D950" s="109" t="str">
        <f ca="1">IFERROR(__xludf.DUMMYFUNCTION("""COMPUTED_VALUE"""),"G")</f>
        <v>G</v>
      </c>
      <c r="E950" s="110" t="str">
        <f ca="1">IFERROR(__xludf.DUMMYFUNCTION("""COMPUTED_VALUE"""),"J")</f>
        <v>J</v>
      </c>
      <c r="F950" s="110" t="str">
        <f ca="1">IFERROR(__xludf.DUMMYFUNCTION("""COMPUTED_VALUE"""),"I")</f>
        <v>I</v>
      </c>
      <c r="G950" s="110">
        <f ca="1">IFERROR(__xludf.DUMMYFUNCTION("""COMPUTED_VALUE"""),4)</f>
        <v>4</v>
      </c>
      <c r="H950" s="112" t="str">
        <f ca="1"/>
        <v/>
      </c>
      <c r="I950" s="81" t="str">
        <f ca="1"/>
        <v/>
      </c>
    </row>
    <row r="951" spans="1:9" ht="13.2">
      <c r="A951" s="109" t="str">
        <f ca="1">IFERROR(__xludf.DUMMYFUNCTION("""COMPUTED_VALUE"""),"HS")</f>
        <v>HS</v>
      </c>
      <c r="B951" s="108" t="str">
        <f ca="1">IFERROR(__xludf.DUMMYFUNCTION("""COMPUTED_VALUE"""),"Jeremy Simon")</f>
        <v>Jeremy Simon</v>
      </c>
      <c r="C951" s="109">
        <f ca="1">IFERROR(__xludf.DUMMYFUNCTION("""COMPUTED_VALUE"""),16)</f>
        <v>16</v>
      </c>
      <c r="D951" s="109" t="str">
        <f ca="1">IFERROR(__xludf.DUMMYFUNCTION("""COMPUTED_VALUE"""),"B")</f>
        <v>B</v>
      </c>
      <c r="E951" s="110" t="str">
        <f ca="1">IFERROR(__xludf.DUMMYFUNCTION("""COMPUTED_VALUE"""),"S")</f>
        <v>S</v>
      </c>
      <c r="F951" s="110" t="str">
        <f ca="1">IFERROR(__xludf.DUMMYFUNCTION("""COMPUTED_VALUE"""),"S")</f>
        <v>S</v>
      </c>
      <c r="G951" s="110">
        <f ca="1">IFERROR(__xludf.DUMMYFUNCTION("""COMPUTED_VALUE"""),4)</f>
        <v>4</v>
      </c>
      <c r="H951" s="112" t="str">
        <f ca="1"/>
        <v/>
      </c>
      <c r="I951" s="81" t="str">
        <f ca="1"/>
        <v/>
      </c>
    </row>
    <row r="952" spans="1:9" ht="13.2">
      <c r="A952" s="109" t="str">
        <f ca="1">IFERROR(__xludf.DUMMYFUNCTION("""COMPUTED_VALUE"""),"HS")</f>
        <v>HS</v>
      </c>
      <c r="B952" s="108" t="str">
        <f ca="1">IFERROR(__xludf.DUMMYFUNCTION("""COMPUTED_VALUE"""),"Tanner Moore")</f>
        <v>Tanner Moore</v>
      </c>
      <c r="C952" s="109">
        <f ca="1">IFERROR(__xludf.DUMMYFUNCTION("""COMPUTED_VALUE"""),17)</f>
        <v>17</v>
      </c>
      <c r="D952" s="109" t="str">
        <f ca="1">IFERROR(__xludf.DUMMYFUNCTION("""COMPUTED_VALUE"""),"B")</f>
        <v>B</v>
      </c>
      <c r="E952" s="110" t="str">
        <f ca="1">IFERROR(__xludf.DUMMYFUNCTION("""COMPUTED_VALUE"""),"S")</f>
        <v>S</v>
      </c>
      <c r="F952" s="110" t="str">
        <f ca="1">IFERROR(__xludf.DUMMYFUNCTION("""COMPUTED_VALUE"""),"S")</f>
        <v>S</v>
      </c>
      <c r="G952" s="110">
        <f ca="1">IFERROR(__xludf.DUMMYFUNCTION("""COMPUTED_VALUE"""),4)</f>
        <v>4</v>
      </c>
      <c r="H952" s="112" t="str">
        <f ca="1"/>
        <v/>
      </c>
      <c r="I952" s="81" t="str">
        <f ca="1"/>
        <v/>
      </c>
    </row>
    <row r="953" spans="1:9" ht="13.2">
      <c r="A953" s="109" t="str">
        <f ca="1">IFERROR(__xludf.DUMMYFUNCTION("""COMPUTED_VALUE"""),"HS")</f>
        <v>HS</v>
      </c>
      <c r="B953" s="108" t="str">
        <f ca="1">IFERROR(__xludf.DUMMYFUNCTION("""COMPUTED_VALUE"""),"Zachary Abruzzese")</f>
        <v>Zachary Abruzzese</v>
      </c>
      <c r="C953" s="109">
        <f ca="1">IFERROR(__xludf.DUMMYFUNCTION("""COMPUTED_VALUE"""),15)</f>
        <v>15</v>
      </c>
      <c r="D953" s="109" t="str">
        <f ca="1">IFERROR(__xludf.DUMMYFUNCTION("""COMPUTED_VALUE"""),"B")</f>
        <v>B</v>
      </c>
      <c r="E953" s="110" t="str">
        <f ca="1">IFERROR(__xludf.DUMMYFUNCTION("""COMPUTED_VALUE"""),"S")</f>
        <v>S</v>
      </c>
      <c r="F953" s="110" t="str">
        <f ca="1">IFERROR(__xludf.DUMMYFUNCTION("""COMPUTED_VALUE"""),"S")</f>
        <v>S</v>
      </c>
      <c r="G953" s="110">
        <f ca="1">IFERROR(__xludf.DUMMYFUNCTION("""COMPUTED_VALUE"""),4)</f>
        <v>4</v>
      </c>
      <c r="H953" s="112" t="str">
        <f ca="1"/>
        <v>50.8</v>
      </c>
      <c r="I953" s="112">
        <f ca="1"/>
        <v>50.8</v>
      </c>
    </row>
    <row r="954" spans="1:9" ht="13.2">
      <c r="A954" s="109" t="str">
        <f ca="1">IFERROR(__xludf.DUMMYFUNCTION("""COMPUTED_VALUE"""),"HS")</f>
        <v>HS</v>
      </c>
      <c r="B954" s="108" t="str">
        <f ca="1">IFERROR(__xludf.DUMMYFUNCTION("""COMPUTED_VALUE"""),"Erin Wills")</f>
        <v>Erin Wills</v>
      </c>
      <c r="C954" s="109">
        <f ca="1">IFERROR(__xludf.DUMMYFUNCTION("""COMPUTED_VALUE"""),15)</f>
        <v>15</v>
      </c>
      <c r="D954" s="109" t="str">
        <f ca="1">IFERROR(__xludf.DUMMYFUNCTION("""COMPUTED_VALUE"""),"G")</f>
        <v>G</v>
      </c>
      <c r="E954" s="110" t="str">
        <f ca="1">IFERROR(__xludf.DUMMYFUNCTION("""COMPUTED_VALUE"""),"S")</f>
        <v>S</v>
      </c>
      <c r="F954" s="110" t="str">
        <f ca="1">IFERROR(__xludf.DUMMYFUNCTION("""COMPUTED_VALUE"""),"S")</f>
        <v>S</v>
      </c>
      <c r="G954" s="110">
        <f ca="1">IFERROR(__xludf.DUMMYFUNCTION("""COMPUTED_VALUE"""),4)</f>
        <v>4</v>
      </c>
      <c r="H954" s="112" t="str">
        <f ca="1"/>
        <v/>
      </c>
      <c r="I954" s="112" t="str">
        <f ca="1"/>
        <v/>
      </c>
    </row>
    <row r="955" spans="1:9" ht="13.2">
      <c r="A955" s="109" t="str">
        <f ca="1">IFERROR(__xludf.DUMMYFUNCTION("""COMPUTED_VALUE"""),"HS")</f>
        <v>HS</v>
      </c>
      <c r="B955" s="108" t="str">
        <f ca="1">IFERROR(__xludf.DUMMYFUNCTION("""COMPUTED_VALUE"""),"Karenna Keane")</f>
        <v>Karenna Keane</v>
      </c>
      <c r="C955" s="109">
        <f ca="1">IFERROR(__xludf.DUMMYFUNCTION("""COMPUTED_VALUE"""),16)</f>
        <v>16</v>
      </c>
      <c r="D955" s="109" t="str">
        <f ca="1">IFERROR(__xludf.DUMMYFUNCTION("""COMPUTED_VALUE"""),"G")</f>
        <v>G</v>
      </c>
      <c r="E955" s="110" t="str">
        <f ca="1">IFERROR(__xludf.DUMMYFUNCTION("""COMPUTED_VALUE"""),"S")</f>
        <v>S</v>
      </c>
      <c r="F955" s="110" t="str">
        <f ca="1">IFERROR(__xludf.DUMMYFUNCTION("""COMPUTED_VALUE"""),"S")</f>
        <v>S</v>
      </c>
      <c r="G955" s="110">
        <f ca="1">IFERROR(__xludf.DUMMYFUNCTION("""COMPUTED_VALUE"""),4)</f>
        <v>4</v>
      </c>
      <c r="H955" s="112" t="str">
        <f ca="1"/>
        <v/>
      </c>
      <c r="I955" s="81" t="str">
        <f ca="1"/>
        <v/>
      </c>
    </row>
    <row r="956" spans="1:9" ht="13.2">
      <c r="A956" s="109" t="str">
        <f ca="1">IFERROR(__xludf.DUMMYFUNCTION("""COMPUTED_VALUE"""),"HS")</f>
        <v>HS</v>
      </c>
      <c r="B956" s="108" t="str">
        <f ca="1">IFERROR(__xludf.DUMMYFUNCTION("""COMPUTED_VALUE"""),"Meghan Kissinger")</f>
        <v>Meghan Kissinger</v>
      </c>
      <c r="C956" s="109">
        <f ca="1">IFERROR(__xludf.DUMMYFUNCTION("""COMPUTED_VALUE"""),16)</f>
        <v>16</v>
      </c>
      <c r="D956" s="109" t="str">
        <f ca="1">IFERROR(__xludf.DUMMYFUNCTION("""COMPUTED_VALUE"""),"G")</f>
        <v>G</v>
      </c>
      <c r="E956" s="110" t="str">
        <f ca="1">IFERROR(__xludf.DUMMYFUNCTION("""COMPUTED_VALUE"""),"S")</f>
        <v>S</v>
      </c>
      <c r="F956" s="110" t="str">
        <f ca="1">IFERROR(__xludf.DUMMYFUNCTION("""COMPUTED_VALUE"""),"S")</f>
        <v>S</v>
      </c>
      <c r="G956" s="110">
        <f ca="1">IFERROR(__xludf.DUMMYFUNCTION("""COMPUTED_VALUE"""),4)</f>
        <v>4</v>
      </c>
      <c r="H956" s="112" t="str">
        <f ca="1"/>
        <v/>
      </c>
      <c r="I956" s="112" t="str">
        <f ca="1"/>
        <v/>
      </c>
    </row>
    <row r="957" spans="1:9" ht="13.2">
      <c r="A957" s="109" t="str">
        <f ca="1">IFERROR(__xludf.DUMMYFUNCTION("""COMPUTED_VALUE"""),"HSC")</f>
        <v>HSC</v>
      </c>
      <c r="B957" s="108" t="str">
        <f ca="1">IFERROR(__xludf.DUMMYFUNCTION("""COMPUTED_VALUE"""),"Alan Schwartz")</f>
        <v>Alan Schwartz</v>
      </c>
      <c r="C957" s="109">
        <f ca="1">IFERROR(__xludf.DUMMYFUNCTION("""COMPUTED_VALUE"""),7)</f>
        <v>7</v>
      </c>
      <c r="D957" s="109" t="str">
        <f ca="1">IFERROR(__xludf.DUMMYFUNCTION("""COMPUTED_VALUE"""),"B")</f>
        <v>B</v>
      </c>
      <c r="E957" s="110" t="str">
        <f ca="1">IFERROR(__xludf.DUMMYFUNCTION("""COMPUTED_VALUE"""),"F")</f>
        <v>F</v>
      </c>
      <c r="F957" s="110" t="str">
        <f ca="1">IFERROR(__xludf.DUMMYFUNCTION("""COMPUTED_VALUE"""),"J")</f>
        <v>J</v>
      </c>
      <c r="G957" s="110">
        <f ca="1">IFERROR(__xludf.DUMMYFUNCTION("""COMPUTED_VALUE"""),7)</f>
        <v>7</v>
      </c>
      <c r="H957" s="112" t="str">
        <f ca="1"/>
        <v/>
      </c>
      <c r="I957" s="81" t="str">
        <f ca="1"/>
        <v/>
      </c>
    </row>
    <row r="958" spans="1:9" ht="13.2">
      <c r="A958" s="109" t="str">
        <f ca="1">IFERROR(__xludf.DUMMYFUNCTION("""COMPUTED_VALUE"""),"HSC")</f>
        <v>HSC</v>
      </c>
      <c r="B958" s="108" t="str">
        <f ca="1">IFERROR(__xludf.DUMMYFUNCTION("""COMPUTED_VALUE"""),"Alejandro Payan")</f>
        <v>Alejandro Payan</v>
      </c>
      <c r="C958" s="109">
        <f ca="1">IFERROR(__xludf.DUMMYFUNCTION("""COMPUTED_VALUE"""),8)</f>
        <v>8</v>
      </c>
      <c r="D958" s="109" t="str">
        <f ca="1">IFERROR(__xludf.DUMMYFUNCTION("""COMPUTED_VALUE"""),"B")</f>
        <v>B</v>
      </c>
      <c r="E958" s="110" t="str">
        <f ca="1">IFERROR(__xludf.DUMMYFUNCTION("""COMPUTED_VALUE"""),"F")</f>
        <v>F</v>
      </c>
      <c r="F958" s="110" t="str">
        <f ca="1">IFERROR(__xludf.DUMMYFUNCTION("""COMPUTED_VALUE"""),"J")</f>
        <v>J</v>
      </c>
      <c r="G958" s="110">
        <f ca="1">IFERROR(__xludf.DUMMYFUNCTION("""COMPUTED_VALUE"""),7)</f>
        <v>7</v>
      </c>
      <c r="H958" s="112" t="str">
        <f ca="1"/>
        <v/>
      </c>
      <c r="I958" s="112" t="str">
        <f ca="1"/>
        <v/>
      </c>
    </row>
    <row r="959" spans="1:9" ht="13.2">
      <c r="A959" s="109" t="str">
        <f ca="1">IFERROR(__xludf.DUMMYFUNCTION("""COMPUTED_VALUE"""),"HSC")</f>
        <v>HSC</v>
      </c>
      <c r="B959" s="108" t="str">
        <f ca="1">IFERROR(__xludf.DUMMYFUNCTION("""COMPUTED_VALUE"""),"Arjun Sandhu")</f>
        <v>Arjun Sandhu</v>
      </c>
      <c r="C959" s="109">
        <f ca="1">IFERROR(__xludf.DUMMYFUNCTION("""COMPUTED_VALUE"""),9)</f>
        <v>9</v>
      </c>
      <c r="D959" s="109" t="str">
        <f ca="1">IFERROR(__xludf.DUMMYFUNCTION("""COMPUTED_VALUE"""),"B")</f>
        <v>B</v>
      </c>
      <c r="E959" s="110" t="str">
        <f ca="1">IFERROR(__xludf.DUMMYFUNCTION("""COMPUTED_VALUE"""),"F")</f>
        <v>F</v>
      </c>
      <c r="F959" s="110" t="str">
        <f ca="1">IFERROR(__xludf.DUMMYFUNCTION("""COMPUTED_VALUE"""),"J")</f>
        <v>J</v>
      </c>
      <c r="G959" s="110">
        <f ca="1">IFERROR(__xludf.DUMMYFUNCTION("""COMPUTED_VALUE"""),7)</f>
        <v>7</v>
      </c>
      <c r="H959" s="112" t="str">
        <f ca="1"/>
        <v/>
      </c>
      <c r="I959" s="112" t="str">
        <f ca="1"/>
        <v/>
      </c>
    </row>
    <row r="960" spans="1:9" ht="13.2">
      <c r="A960" s="109" t="str">
        <f ca="1">IFERROR(__xludf.DUMMYFUNCTION("""COMPUTED_VALUE"""),"HSC")</f>
        <v>HSC</v>
      </c>
      <c r="B960" s="108" t="str">
        <f ca="1">IFERROR(__xludf.DUMMYFUNCTION("""COMPUTED_VALUE"""),"Armon Saadat")</f>
        <v>Armon Saadat</v>
      </c>
      <c r="C960" s="109">
        <f ca="1">IFERROR(__xludf.DUMMYFUNCTION("""COMPUTED_VALUE"""),9)</f>
        <v>9</v>
      </c>
      <c r="D960" s="109" t="str">
        <f ca="1">IFERROR(__xludf.DUMMYFUNCTION("""COMPUTED_VALUE"""),"B")</f>
        <v>B</v>
      </c>
      <c r="E960" s="110" t="str">
        <f ca="1">IFERROR(__xludf.DUMMYFUNCTION("""COMPUTED_VALUE"""),"F")</f>
        <v>F</v>
      </c>
      <c r="F960" s="110" t="str">
        <f ca="1">IFERROR(__xludf.DUMMYFUNCTION("""COMPUTED_VALUE"""),"J")</f>
        <v>J</v>
      </c>
      <c r="G960" s="110">
        <f ca="1">IFERROR(__xludf.DUMMYFUNCTION("""COMPUTED_VALUE"""),7)</f>
        <v>7</v>
      </c>
      <c r="H960" s="112" t="str">
        <f ca="1"/>
        <v>27.9</v>
      </c>
      <c r="I960" s="112">
        <f ca="1"/>
        <v>27.9</v>
      </c>
    </row>
    <row r="961" spans="1:9" ht="13.2">
      <c r="A961" s="109" t="str">
        <f ca="1">IFERROR(__xludf.DUMMYFUNCTION("""COMPUTED_VALUE"""),"HSC")</f>
        <v>HSC</v>
      </c>
      <c r="B961" s="108" t="str">
        <f ca="1">IFERROR(__xludf.DUMMYFUNCTION("""COMPUTED_VALUE"""),"Ben Peebles")</f>
        <v>Ben Peebles</v>
      </c>
      <c r="C961" s="109">
        <f ca="1">IFERROR(__xludf.DUMMYFUNCTION("""COMPUTED_VALUE"""),7)</f>
        <v>7</v>
      </c>
      <c r="D961" s="109" t="str">
        <f ca="1">IFERROR(__xludf.DUMMYFUNCTION("""COMPUTED_VALUE"""),"B")</f>
        <v>B</v>
      </c>
      <c r="E961" s="110" t="str">
        <f ca="1">IFERROR(__xludf.DUMMYFUNCTION("""COMPUTED_VALUE"""),"F")</f>
        <v>F</v>
      </c>
      <c r="F961" s="110" t="str">
        <f ca="1">IFERROR(__xludf.DUMMYFUNCTION("""COMPUTED_VALUE"""),"J")</f>
        <v>J</v>
      </c>
      <c r="G961" s="110">
        <f ca="1">IFERROR(__xludf.DUMMYFUNCTION("""COMPUTED_VALUE"""),7)</f>
        <v>7</v>
      </c>
      <c r="H961" s="112" t="str">
        <f ca="1"/>
        <v>22.9</v>
      </c>
      <c r="I961" s="112">
        <f ca="1"/>
        <v>22.9</v>
      </c>
    </row>
    <row r="962" spans="1:9" ht="13.2">
      <c r="A962" s="109" t="str">
        <f ca="1">IFERROR(__xludf.DUMMYFUNCTION("""COMPUTED_VALUE"""),"HSC")</f>
        <v>HSC</v>
      </c>
      <c r="B962" s="108" t="str">
        <f ca="1">IFERROR(__xludf.DUMMYFUNCTION("""COMPUTED_VALUE"""),"Ben Phillips")</f>
        <v>Ben Phillips</v>
      </c>
      <c r="C962" s="109">
        <f ca="1">IFERROR(__xludf.DUMMYFUNCTION("""COMPUTED_VALUE"""),9)</f>
        <v>9</v>
      </c>
      <c r="D962" s="109" t="str">
        <f ca="1">IFERROR(__xludf.DUMMYFUNCTION("""COMPUTED_VALUE"""),"B")</f>
        <v>B</v>
      </c>
      <c r="E962" s="110" t="str">
        <f ca="1">IFERROR(__xludf.DUMMYFUNCTION("""COMPUTED_VALUE"""),"F")</f>
        <v>F</v>
      </c>
      <c r="F962" s="110" t="str">
        <f ca="1">IFERROR(__xludf.DUMMYFUNCTION("""COMPUTED_VALUE"""),"J")</f>
        <v>J</v>
      </c>
      <c r="G962" s="110">
        <f ca="1">IFERROR(__xludf.DUMMYFUNCTION("""COMPUTED_VALUE"""),7)</f>
        <v>7</v>
      </c>
      <c r="H962" s="112" t="str">
        <f ca="1"/>
        <v/>
      </c>
      <c r="I962" s="81" t="str">
        <f ca="1"/>
        <v/>
      </c>
    </row>
    <row r="963" spans="1:9" ht="13.2">
      <c r="A963" s="109" t="str">
        <f ca="1">IFERROR(__xludf.DUMMYFUNCTION("""COMPUTED_VALUE"""),"HSC")</f>
        <v>HSC</v>
      </c>
      <c r="B963" s="108" t="str">
        <f ca="1">IFERROR(__xludf.DUMMYFUNCTION("""COMPUTED_VALUE"""),"Connor Phillips")</f>
        <v>Connor Phillips</v>
      </c>
      <c r="C963" s="109">
        <f ca="1">IFERROR(__xludf.DUMMYFUNCTION("""COMPUTED_VALUE"""),7)</f>
        <v>7</v>
      </c>
      <c r="D963" s="109" t="str">
        <f ca="1">IFERROR(__xludf.DUMMYFUNCTION("""COMPUTED_VALUE"""),"B")</f>
        <v>B</v>
      </c>
      <c r="E963" s="110" t="str">
        <f ca="1">IFERROR(__xludf.DUMMYFUNCTION("""COMPUTED_VALUE"""),"F")</f>
        <v>F</v>
      </c>
      <c r="F963" s="110" t="str">
        <f ca="1">IFERROR(__xludf.DUMMYFUNCTION("""COMPUTED_VALUE"""),"J")</f>
        <v>J</v>
      </c>
      <c r="G963" s="110">
        <f ca="1">IFERROR(__xludf.DUMMYFUNCTION("""COMPUTED_VALUE"""),7)</f>
        <v>7</v>
      </c>
      <c r="H963" s="112" t="str">
        <f ca="1"/>
        <v/>
      </c>
      <c r="I963" s="112" t="str">
        <f ca="1"/>
        <v/>
      </c>
    </row>
    <row r="964" spans="1:9" ht="13.2">
      <c r="A964" s="109" t="str">
        <f ca="1">IFERROR(__xludf.DUMMYFUNCTION("""COMPUTED_VALUE"""),"HSC")</f>
        <v>HSC</v>
      </c>
      <c r="B964" s="108" t="str">
        <f ca="1">IFERROR(__xludf.DUMMYFUNCTION("""COMPUTED_VALUE"""),"David Schwartz")</f>
        <v>David Schwartz</v>
      </c>
      <c r="C964" s="109">
        <f ca="1">IFERROR(__xludf.DUMMYFUNCTION("""COMPUTED_VALUE"""),7)</f>
        <v>7</v>
      </c>
      <c r="D964" s="109" t="str">
        <f ca="1">IFERROR(__xludf.DUMMYFUNCTION("""COMPUTED_VALUE"""),"B")</f>
        <v>B</v>
      </c>
      <c r="E964" s="110" t="str">
        <f ca="1">IFERROR(__xludf.DUMMYFUNCTION("""COMPUTED_VALUE"""),"F")</f>
        <v>F</v>
      </c>
      <c r="F964" s="110" t="str">
        <f ca="1">IFERROR(__xludf.DUMMYFUNCTION("""COMPUTED_VALUE"""),"J")</f>
        <v>J</v>
      </c>
      <c r="G964" s="110">
        <f ca="1">IFERROR(__xludf.DUMMYFUNCTION("""COMPUTED_VALUE"""),7)</f>
        <v>7</v>
      </c>
      <c r="H964" s="112" t="str">
        <f ca="1"/>
        <v/>
      </c>
      <c r="I964" s="81" t="str">
        <f ca="1"/>
        <v/>
      </c>
    </row>
    <row r="965" spans="1:9" ht="13.2">
      <c r="A965" s="109" t="str">
        <f ca="1">IFERROR(__xludf.DUMMYFUNCTION("""COMPUTED_VALUE"""),"HSC")</f>
        <v>HSC</v>
      </c>
      <c r="B965" s="108" t="str">
        <f ca="1">IFERROR(__xludf.DUMMYFUNCTION("""COMPUTED_VALUE"""),"Declan Ghazal")</f>
        <v>Declan Ghazal</v>
      </c>
      <c r="C965" s="109">
        <f ca="1">IFERROR(__xludf.DUMMYFUNCTION("""COMPUTED_VALUE"""),8)</f>
        <v>8</v>
      </c>
      <c r="D965" s="109" t="str">
        <f ca="1">IFERROR(__xludf.DUMMYFUNCTION("""COMPUTED_VALUE"""),"B")</f>
        <v>B</v>
      </c>
      <c r="E965" s="110" t="str">
        <f ca="1">IFERROR(__xludf.DUMMYFUNCTION("""COMPUTED_VALUE"""),"F")</f>
        <v>F</v>
      </c>
      <c r="F965" s="110" t="str">
        <f ca="1">IFERROR(__xludf.DUMMYFUNCTION("""COMPUTED_VALUE"""),"J")</f>
        <v>J</v>
      </c>
      <c r="G965" s="110">
        <f ca="1">IFERROR(__xludf.DUMMYFUNCTION("""COMPUTED_VALUE"""),7)</f>
        <v>7</v>
      </c>
      <c r="H965" s="112" t="str">
        <f ca="1"/>
        <v>15.75</v>
      </c>
      <c r="I965" s="112">
        <f ca="1"/>
        <v>15.75</v>
      </c>
    </row>
    <row r="966" spans="1:9" ht="13.2">
      <c r="A966" s="109" t="str">
        <f ca="1">IFERROR(__xludf.DUMMYFUNCTION("""COMPUTED_VALUE"""),"HSC")</f>
        <v>HSC</v>
      </c>
      <c r="B966" s="108" t="str">
        <f ca="1">IFERROR(__xludf.DUMMYFUNCTION("""COMPUTED_VALUE"""),"Denis Huric")</f>
        <v>Denis Huric</v>
      </c>
      <c r="C966" s="109">
        <f ca="1">IFERROR(__xludf.DUMMYFUNCTION("""COMPUTED_VALUE"""),9)</f>
        <v>9</v>
      </c>
      <c r="D966" s="109" t="str">
        <f ca="1">IFERROR(__xludf.DUMMYFUNCTION("""COMPUTED_VALUE"""),"B")</f>
        <v>B</v>
      </c>
      <c r="E966" s="110" t="str">
        <f ca="1">IFERROR(__xludf.DUMMYFUNCTION("""COMPUTED_VALUE"""),"F")</f>
        <v>F</v>
      </c>
      <c r="F966" s="110" t="str">
        <f ca="1">IFERROR(__xludf.DUMMYFUNCTION("""COMPUTED_VALUE"""),"J")</f>
        <v>J</v>
      </c>
      <c r="G966" s="110">
        <f ca="1">IFERROR(__xludf.DUMMYFUNCTION("""COMPUTED_VALUE"""),7)</f>
        <v>7</v>
      </c>
      <c r="H966" s="112" t="str">
        <f ca="1"/>
        <v/>
      </c>
      <c r="I966" s="112" t="str">
        <f ca="1"/>
        <v/>
      </c>
    </row>
    <row r="967" spans="1:9" ht="13.2">
      <c r="A967" s="109" t="str">
        <f ca="1">IFERROR(__xludf.DUMMYFUNCTION("""COMPUTED_VALUE"""),"HSC")</f>
        <v>HSC</v>
      </c>
      <c r="B967" s="108" t="str">
        <f ca="1">IFERROR(__xludf.DUMMYFUNCTION("""COMPUTED_VALUE"""),"Hudson Pierre")</f>
        <v>Hudson Pierre</v>
      </c>
      <c r="C967" s="109">
        <f ca="1">IFERROR(__xludf.DUMMYFUNCTION("""COMPUTED_VALUE"""),9)</f>
        <v>9</v>
      </c>
      <c r="D967" s="109" t="str">
        <f ca="1">IFERROR(__xludf.DUMMYFUNCTION("""COMPUTED_VALUE"""),"B")</f>
        <v>B</v>
      </c>
      <c r="E967" s="110" t="str">
        <f ca="1">IFERROR(__xludf.DUMMYFUNCTION("""COMPUTED_VALUE"""),"F")</f>
        <v>F</v>
      </c>
      <c r="F967" s="110" t="str">
        <f ca="1">IFERROR(__xludf.DUMMYFUNCTION("""COMPUTED_VALUE"""),"J")</f>
        <v>J</v>
      </c>
      <c r="G967" s="110">
        <f ca="1">IFERROR(__xludf.DUMMYFUNCTION("""COMPUTED_VALUE"""),7)</f>
        <v>7</v>
      </c>
      <c r="H967" s="112" t="str">
        <f ca="1"/>
        <v>28</v>
      </c>
      <c r="I967" s="112">
        <f ca="1"/>
        <v>28</v>
      </c>
    </row>
    <row r="968" spans="1:9" ht="13.2">
      <c r="A968" s="109" t="str">
        <f ca="1">IFERROR(__xludf.DUMMYFUNCTION("""COMPUTED_VALUE"""),"HSC")</f>
        <v>HSC</v>
      </c>
      <c r="B968" s="108" t="str">
        <f ca="1">IFERROR(__xludf.DUMMYFUNCTION("""COMPUTED_VALUE"""),"Jacob Ross")</f>
        <v>Jacob Ross</v>
      </c>
      <c r="C968" s="109">
        <f ca="1">IFERROR(__xludf.DUMMYFUNCTION("""COMPUTED_VALUE"""),10)</f>
        <v>10</v>
      </c>
      <c r="D968" s="109" t="str">
        <f ca="1">IFERROR(__xludf.DUMMYFUNCTION("""COMPUTED_VALUE"""),"B")</f>
        <v>B</v>
      </c>
      <c r="E968" s="110" t="str">
        <f ca="1">IFERROR(__xludf.DUMMYFUNCTION("""COMPUTED_VALUE"""),"F")</f>
        <v>F</v>
      </c>
      <c r="F968" s="110" t="str">
        <f ca="1">IFERROR(__xludf.DUMMYFUNCTION("""COMPUTED_VALUE"""),"J")</f>
        <v>J</v>
      </c>
      <c r="G968" s="110">
        <f ca="1">IFERROR(__xludf.DUMMYFUNCTION("""COMPUTED_VALUE"""),7)</f>
        <v>7</v>
      </c>
      <c r="H968" s="112" t="str">
        <f ca="1"/>
        <v/>
      </c>
      <c r="I968" s="112" t="str">
        <f ca="1"/>
        <v/>
      </c>
    </row>
    <row r="969" spans="1:9" ht="13.2">
      <c r="A969" s="109" t="str">
        <f ca="1">IFERROR(__xludf.DUMMYFUNCTION("""COMPUTED_VALUE"""),"HSC")</f>
        <v>HSC</v>
      </c>
      <c r="B969" s="108" t="str">
        <f ca="1">IFERROR(__xludf.DUMMYFUNCTION("""COMPUTED_VALUE"""),"James Shernit")</f>
        <v>James Shernit</v>
      </c>
      <c r="C969" s="109">
        <f ca="1">IFERROR(__xludf.DUMMYFUNCTION("""COMPUTED_VALUE"""),8)</f>
        <v>8</v>
      </c>
      <c r="D969" s="109" t="str">
        <f ca="1">IFERROR(__xludf.DUMMYFUNCTION("""COMPUTED_VALUE"""),"B")</f>
        <v>B</v>
      </c>
      <c r="E969" s="110" t="str">
        <f ca="1">IFERROR(__xludf.DUMMYFUNCTION("""COMPUTED_VALUE"""),"F")</f>
        <v>F</v>
      </c>
      <c r="F969" s="110" t="str">
        <f ca="1">IFERROR(__xludf.DUMMYFUNCTION("""COMPUTED_VALUE"""),"J")</f>
        <v>J</v>
      </c>
      <c r="G969" s="110">
        <f ca="1">IFERROR(__xludf.DUMMYFUNCTION("""COMPUTED_VALUE"""),7)</f>
        <v>7</v>
      </c>
      <c r="H969" s="112" t="str">
        <f ca="1"/>
        <v>23.9</v>
      </c>
      <c r="I969" s="112">
        <f ca="1"/>
        <v>23.9</v>
      </c>
    </row>
    <row r="970" spans="1:9" ht="13.2">
      <c r="A970" s="109" t="str">
        <f ca="1">IFERROR(__xludf.DUMMYFUNCTION("""COMPUTED_VALUE"""),"HSC")</f>
        <v>HSC</v>
      </c>
      <c r="B970" s="108" t="str">
        <f ca="1">IFERROR(__xludf.DUMMYFUNCTION("""COMPUTED_VALUE"""),"Kirin Sandhu")</f>
        <v>Kirin Sandhu</v>
      </c>
      <c r="C970" s="109">
        <f ca="1">IFERROR(__xludf.DUMMYFUNCTION("""COMPUTED_VALUE"""),10)</f>
        <v>10</v>
      </c>
      <c r="D970" s="109" t="str">
        <f ca="1">IFERROR(__xludf.DUMMYFUNCTION("""COMPUTED_VALUE"""),"B")</f>
        <v>B</v>
      </c>
      <c r="E970" s="110" t="str">
        <f ca="1">IFERROR(__xludf.DUMMYFUNCTION("""COMPUTED_VALUE"""),"F")</f>
        <v>F</v>
      </c>
      <c r="F970" s="110" t="str">
        <f ca="1">IFERROR(__xludf.DUMMYFUNCTION("""COMPUTED_VALUE"""),"J")</f>
        <v>J</v>
      </c>
      <c r="G970" s="110">
        <f ca="1">IFERROR(__xludf.DUMMYFUNCTION("""COMPUTED_VALUE"""),7)</f>
        <v>7</v>
      </c>
      <c r="H970" s="112" t="str">
        <f ca="1"/>
        <v/>
      </c>
      <c r="I970" s="81" t="str">
        <f ca="1"/>
        <v/>
      </c>
    </row>
    <row r="971" spans="1:9" ht="13.2">
      <c r="A971" s="109" t="str">
        <f ca="1">IFERROR(__xludf.DUMMYFUNCTION("""COMPUTED_VALUE"""),"HSC")</f>
        <v>HSC</v>
      </c>
      <c r="B971" s="108" t="str">
        <f ca="1">IFERROR(__xludf.DUMMYFUNCTION("""COMPUTED_VALUE"""),"Liam Gentry")</f>
        <v>Liam Gentry</v>
      </c>
      <c r="C971" s="109">
        <f ca="1">IFERROR(__xludf.DUMMYFUNCTION("""COMPUTED_VALUE"""),9)</f>
        <v>9</v>
      </c>
      <c r="D971" s="109" t="str">
        <f ca="1">IFERROR(__xludf.DUMMYFUNCTION("""COMPUTED_VALUE"""),"B")</f>
        <v>B</v>
      </c>
      <c r="E971" s="110" t="str">
        <f ca="1">IFERROR(__xludf.DUMMYFUNCTION("""COMPUTED_VALUE"""),"F")</f>
        <v>F</v>
      </c>
      <c r="F971" s="110" t="str">
        <f ca="1">IFERROR(__xludf.DUMMYFUNCTION("""COMPUTED_VALUE"""),"J")</f>
        <v>J</v>
      </c>
      <c r="G971" s="110">
        <f ca="1">IFERROR(__xludf.DUMMYFUNCTION("""COMPUTED_VALUE"""),7)</f>
        <v>7</v>
      </c>
      <c r="H971" s="112" t="str">
        <f ca="1"/>
        <v/>
      </c>
      <c r="I971" s="81" t="str">
        <f ca="1"/>
        <v/>
      </c>
    </row>
    <row r="972" spans="1:9" ht="13.2">
      <c r="A972" s="109" t="str">
        <f ca="1">IFERROR(__xludf.DUMMYFUNCTION("""COMPUTED_VALUE"""),"HSC")</f>
        <v>HSC</v>
      </c>
      <c r="B972" s="108" t="str">
        <f ca="1">IFERROR(__xludf.DUMMYFUNCTION("""COMPUTED_VALUE"""),"Peter Bricker")</f>
        <v>Peter Bricker</v>
      </c>
      <c r="C972" s="109">
        <f ca="1">IFERROR(__xludf.DUMMYFUNCTION("""COMPUTED_VALUE"""),6)</f>
        <v>6</v>
      </c>
      <c r="D972" s="109" t="str">
        <f ca="1">IFERROR(__xludf.DUMMYFUNCTION("""COMPUTED_VALUE"""),"B")</f>
        <v>B</v>
      </c>
      <c r="E972" s="110" t="str">
        <f ca="1">IFERROR(__xludf.DUMMYFUNCTION("""COMPUTED_VALUE"""),"F")</f>
        <v>F</v>
      </c>
      <c r="F972" s="110" t="str">
        <f ca="1">IFERROR(__xludf.DUMMYFUNCTION("""COMPUTED_VALUE"""),"J")</f>
        <v>J</v>
      </c>
      <c r="G972" s="110">
        <f ca="1">IFERROR(__xludf.DUMMYFUNCTION("""COMPUTED_VALUE"""),7)</f>
        <v>7</v>
      </c>
      <c r="H972" s="112" t="str">
        <f ca="1"/>
        <v>16.75</v>
      </c>
      <c r="I972" s="112">
        <f ca="1"/>
        <v>16.75</v>
      </c>
    </row>
    <row r="973" spans="1:9" ht="13.2">
      <c r="A973" s="109" t="str">
        <f ca="1">IFERROR(__xludf.DUMMYFUNCTION("""COMPUTED_VALUE"""),"HSC")</f>
        <v>HSC</v>
      </c>
      <c r="B973" s="108" t="str">
        <f ca="1">IFERROR(__xludf.DUMMYFUNCTION("""COMPUTED_VALUE"""),"Sam Hernandez")</f>
        <v>Sam Hernandez</v>
      </c>
      <c r="C973" s="109">
        <f ca="1">IFERROR(__xludf.DUMMYFUNCTION("""COMPUTED_VALUE"""),9)</f>
        <v>9</v>
      </c>
      <c r="D973" s="109" t="str">
        <f ca="1">IFERROR(__xludf.DUMMYFUNCTION("""COMPUTED_VALUE"""),"B")</f>
        <v>B</v>
      </c>
      <c r="E973" s="110" t="str">
        <f ca="1">IFERROR(__xludf.DUMMYFUNCTION("""COMPUTED_VALUE"""),"F")</f>
        <v>F</v>
      </c>
      <c r="F973" s="110" t="str">
        <f ca="1">IFERROR(__xludf.DUMMYFUNCTION("""COMPUTED_VALUE"""),"J")</f>
        <v>J</v>
      </c>
      <c r="G973" s="110">
        <f ca="1">IFERROR(__xludf.DUMMYFUNCTION("""COMPUTED_VALUE"""),7)</f>
        <v>7</v>
      </c>
      <c r="H973" s="112" t="str">
        <f ca="1"/>
        <v>18.25</v>
      </c>
      <c r="I973" s="112">
        <f ca="1"/>
        <v>18.25</v>
      </c>
    </row>
    <row r="974" spans="1:9" ht="13.2">
      <c r="A974" s="109" t="str">
        <f ca="1">IFERROR(__xludf.DUMMYFUNCTION("""COMPUTED_VALUE"""),"HSC")</f>
        <v>HSC</v>
      </c>
      <c r="B974" s="108" t="str">
        <f ca="1">IFERROR(__xludf.DUMMYFUNCTION("""COMPUTED_VALUE"""),"Samuel Bricker")</f>
        <v>Samuel Bricker</v>
      </c>
      <c r="C974" s="109">
        <f ca="1">IFERROR(__xludf.DUMMYFUNCTION("""COMPUTED_VALUE"""),9)</f>
        <v>9</v>
      </c>
      <c r="D974" s="109" t="str">
        <f ca="1">IFERROR(__xludf.DUMMYFUNCTION("""COMPUTED_VALUE"""),"B")</f>
        <v>B</v>
      </c>
      <c r="E974" s="110" t="str">
        <f ca="1">IFERROR(__xludf.DUMMYFUNCTION("""COMPUTED_VALUE"""),"F")</f>
        <v>F</v>
      </c>
      <c r="F974" s="110" t="str">
        <f ca="1">IFERROR(__xludf.DUMMYFUNCTION("""COMPUTED_VALUE"""),"J")</f>
        <v>J</v>
      </c>
      <c r="G974" s="110">
        <f ca="1">IFERROR(__xludf.DUMMYFUNCTION("""COMPUTED_VALUE"""),7)</f>
        <v>7</v>
      </c>
      <c r="H974" s="112" t="str">
        <f ca="1"/>
        <v/>
      </c>
      <c r="I974" s="81" t="str">
        <f ca="1"/>
        <v/>
      </c>
    </row>
    <row r="975" spans="1:9" ht="13.2">
      <c r="A975" s="109" t="str">
        <f ca="1">IFERROR(__xludf.DUMMYFUNCTION("""COMPUTED_VALUE"""),"HSC")</f>
        <v>HSC</v>
      </c>
      <c r="B975" s="108" t="str">
        <f ca="1">IFERROR(__xludf.DUMMYFUNCTION("""COMPUTED_VALUE"""),"William Pickard")</f>
        <v>William Pickard</v>
      </c>
      <c r="C975" s="109">
        <f ca="1">IFERROR(__xludf.DUMMYFUNCTION("""COMPUTED_VALUE"""),8)</f>
        <v>8</v>
      </c>
      <c r="D975" s="109" t="str">
        <f ca="1">IFERROR(__xludf.DUMMYFUNCTION("""COMPUTED_VALUE"""),"B")</f>
        <v>B</v>
      </c>
      <c r="E975" s="110" t="str">
        <f ca="1">IFERROR(__xludf.DUMMYFUNCTION("""COMPUTED_VALUE"""),"F")</f>
        <v>F</v>
      </c>
      <c r="F975" s="110" t="str">
        <f ca="1">IFERROR(__xludf.DUMMYFUNCTION("""COMPUTED_VALUE"""),"J")</f>
        <v>J</v>
      </c>
      <c r="G975" s="110">
        <f ca="1">IFERROR(__xludf.DUMMYFUNCTION("""COMPUTED_VALUE"""),7)</f>
        <v>7</v>
      </c>
      <c r="H975" s="112" t="str">
        <f ca="1"/>
        <v/>
      </c>
      <c r="I975" s="112" t="str">
        <f ca="1"/>
        <v/>
      </c>
    </row>
    <row r="976" spans="1:9" ht="13.2">
      <c r="A976" s="109" t="str">
        <f ca="1">IFERROR(__xludf.DUMMYFUNCTION("""COMPUTED_VALUE"""),"HSC")</f>
        <v>HSC</v>
      </c>
      <c r="B976" s="108" t="str">
        <f ca="1">IFERROR(__xludf.DUMMYFUNCTION("""COMPUTED_VALUE"""),"William Shernit")</f>
        <v>William Shernit</v>
      </c>
      <c r="C976" s="109">
        <f ca="1">IFERROR(__xludf.DUMMYFUNCTION("""COMPUTED_VALUE"""),8)</f>
        <v>8</v>
      </c>
      <c r="D976" s="109" t="str">
        <f ca="1">IFERROR(__xludf.DUMMYFUNCTION("""COMPUTED_VALUE"""),"B")</f>
        <v>B</v>
      </c>
      <c r="E976" s="110" t="str">
        <f ca="1">IFERROR(__xludf.DUMMYFUNCTION("""COMPUTED_VALUE"""),"F")</f>
        <v>F</v>
      </c>
      <c r="F976" s="110" t="str">
        <f ca="1">IFERROR(__xludf.DUMMYFUNCTION("""COMPUTED_VALUE"""),"J")</f>
        <v>J</v>
      </c>
      <c r="G976" s="110">
        <f ca="1">IFERROR(__xludf.DUMMYFUNCTION("""COMPUTED_VALUE"""),7)</f>
        <v>7</v>
      </c>
      <c r="H976" s="112" t="str">
        <f ca="1"/>
        <v>17.9</v>
      </c>
      <c r="I976" s="112">
        <f ca="1"/>
        <v>17.899999999999999</v>
      </c>
    </row>
    <row r="977" spans="1:9" ht="13.2">
      <c r="A977" s="109" t="str">
        <f ca="1">IFERROR(__xludf.DUMMYFUNCTION("""COMPUTED_VALUE"""),"HSC")</f>
        <v>HSC</v>
      </c>
      <c r="B977" s="108" t="str">
        <f ca="1">IFERROR(__xludf.DUMMYFUNCTION("""COMPUTED_VALUE"""),"Abby Desai")</f>
        <v>Abby Desai</v>
      </c>
      <c r="C977" s="109">
        <f ca="1">IFERROR(__xludf.DUMMYFUNCTION("""COMPUTED_VALUE"""),8)</f>
        <v>8</v>
      </c>
      <c r="D977" s="109" t="str">
        <f ca="1">IFERROR(__xludf.DUMMYFUNCTION("""COMPUTED_VALUE"""),"G")</f>
        <v>G</v>
      </c>
      <c r="E977" s="110" t="str">
        <f ca="1">IFERROR(__xludf.DUMMYFUNCTION("""COMPUTED_VALUE"""),"F")</f>
        <v>F</v>
      </c>
      <c r="F977" s="110" t="str">
        <f ca="1">IFERROR(__xludf.DUMMYFUNCTION("""COMPUTED_VALUE"""),"J")</f>
        <v>J</v>
      </c>
      <c r="G977" s="110">
        <f ca="1">IFERROR(__xludf.DUMMYFUNCTION("""COMPUTED_VALUE"""),7)</f>
        <v>7</v>
      </c>
      <c r="H977" s="112" t="str">
        <f ca="1"/>
        <v>17</v>
      </c>
      <c r="I977" s="112">
        <f ca="1"/>
        <v>17</v>
      </c>
    </row>
    <row r="978" spans="1:9" ht="13.2">
      <c r="A978" s="109" t="str">
        <f ca="1">IFERROR(__xludf.DUMMYFUNCTION("""COMPUTED_VALUE"""),"HSC")</f>
        <v>HSC</v>
      </c>
      <c r="B978" s="108" t="str">
        <f ca="1">IFERROR(__xludf.DUMMYFUNCTION("""COMPUTED_VALUE"""),"Abby Pickard")</f>
        <v>Abby Pickard</v>
      </c>
      <c r="C978" s="109">
        <f ca="1">IFERROR(__xludf.DUMMYFUNCTION("""COMPUTED_VALUE"""),10)</f>
        <v>10</v>
      </c>
      <c r="D978" s="109" t="str">
        <f ca="1">IFERROR(__xludf.DUMMYFUNCTION("""COMPUTED_VALUE"""),"G")</f>
        <v>G</v>
      </c>
      <c r="E978" s="110" t="str">
        <f ca="1">IFERROR(__xludf.DUMMYFUNCTION("""COMPUTED_VALUE"""),"F")</f>
        <v>F</v>
      </c>
      <c r="F978" s="110" t="str">
        <f ca="1">IFERROR(__xludf.DUMMYFUNCTION("""COMPUTED_VALUE"""),"J")</f>
        <v>J</v>
      </c>
      <c r="G978" s="110">
        <f ca="1">IFERROR(__xludf.DUMMYFUNCTION("""COMPUTED_VALUE"""),7)</f>
        <v>7</v>
      </c>
      <c r="H978" s="112" t="str">
        <f ca="1"/>
        <v/>
      </c>
      <c r="I978" s="81" t="str">
        <f ca="1"/>
        <v/>
      </c>
    </row>
    <row r="979" spans="1:9" ht="13.2">
      <c r="A979" s="109" t="str">
        <f ca="1">IFERROR(__xludf.DUMMYFUNCTION("""COMPUTED_VALUE"""),"HSC")</f>
        <v>HSC</v>
      </c>
      <c r="B979" s="108" t="str">
        <f ca="1">IFERROR(__xludf.DUMMYFUNCTION("""COMPUTED_VALUE"""),"Aleska McCarthy")</f>
        <v>Aleska McCarthy</v>
      </c>
      <c r="C979" s="109">
        <f ca="1">IFERROR(__xludf.DUMMYFUNCTION("""COMPUTED_VALUE"""),9)</f>
        <v>9</v>
      </c>
      <c r="D979" s="109" t="str">
        <f ca="1">IFERROR(__xludf.DUMMYFUNCTION("""COMPUTED_VALUE"""),"G")</f>
        <v>G</v>
      </c>
      <c r="E979" s="110" t="str">
        <f ca="1">IFERROR(__xludf.DUMMYFUNCTION("""COMPUTED_VALUE"""),"F")</f>
        <v>F</v>
      </c>
      <c r="F979" s="110" t="str">
        <f ca="1">IFERROR(__xludf.DUMMYFUNCTION("""COMPUTED_VALUE"""),"J")</f>
        <v>J</v>
      </c>
      <c r="G979" s="110">
        <f ca="1">IFERROR(__xludf.DUMMYFUNCTION("""COMPUTED_VALUE"""),7)</f>
        <v>7</v>
      </c>
      <c r="H979" s="112" t="str">
        <f ca="1"/>
        <v>31.25</v>
      </c>
      <c r="I979" s="81">
        <f ca="1"/>
        <v>31.25</v>
      </c>
    </row>
    <row r="980" spans="1:9" ht="13.2">
      <c r="A980" s="109" t="str">
        <f ca="1">IFERROR(__xludf.DUMMYFUNCTION("""COMPUTED_VALUE"""),"HSC")</f>
        <v>HSC</v>
      </c>
      <c r="B980" s="108" t="str">
        <f ca="1">IFERROR(__xludf.DUMMYFUNCTION("""COMPUTED_VALUE"""),"Alison Bricker")</f>
        <v>Alison Bricker</v>
      </c>
      <c r="C980" s="109">
        <f ca="1">IFERROR(__xludf.DUMMYFUNCTION("""COMPUTED_VALUE"""),6)</f>
        <v>6</v>
      </c>
      <c r="D980" s="109" t="str">
        <f ca="1">IFERROR(__xludf.DUMMYFUNCTION("""COMPUTED_VALUE"""),"G")</f>
        <v>G</v>
      </c>
      <c r="E980" s="110" t="str">
        <f ca="1">IFERROR(__xludf.DUMMYFUNCTION("""COMPUTED_VALUE"""),"F")</f>
        <v>F</v>
      </c>
      <c r="F980" s="110" t="str">
        <f ca="1">IFERROR(__xludf.DUMMYFUNCTION("""COMPUTED_VALUE"""),"J")</f>
        <v>J</v>
      </c>
      <c r="G980" s="110">
        <f ca="1">IFERROR(__xludf.DUMMYFUNCTION("""COMPUTED_VALUE"""),7)</f>
        <v>7</v>
      </c>
      <c r="H980" s="112" t="str">
        <f ca="1"/>
        <v>11</v>
      </c>
      <c r="I980" s="112">
        <f ca="1"/>
        <v>11</v>
      </c>
    </row>
    <row r="981" spans="1:9" ht="13.2">
      <c r="A981" s="109" t="str">
        <f ca="1">IFERROR(__xludf.DUMMYFUNCTION("""COMPUTED_VALUE"""),"HSC")</f>
        <v>HSC</v>
      </c>
      <c r="B981" s="108" t="str">
        <f ca="1">IFERROR(__xludf.DUMMYFUNCTION("""COMPUTED_VALUE"""),"Amelia Gentry")</f>
        <v>Amelia Gentry</v>
      </c>
      <c r="C981" s="109">
        <f ca="1">IFERROR(__xludf.DUMMYFUNCTION("""COMPUTED_VALUE"""),7)</f>
        <v>7</v>
      </c>
      <c r="D981" s="109" t="str">
        <f ca="1">IFERROR(__xludf.DUMMYFUNCTION("""COMPUTED_VALUE"""),"G")</f>
        <v>G</v>
      </c>
      <c r="E981" s="110" t="str">
        <f ca="1">IFERROR(__xludf.DUMMYFUNCTION("""COMPUTED_VALUE"""),"F")</f>
        <v>F</v>
      </c>
      <c r="F981" s="110" t="str">
        <f ca="1">IFERROR(__xludf.DUMMYFUNCTION("""COMPUTED_VALUE"""),"J")</f>
        <v>J</v>
      </c>
      <c r="G981" s="110">
        <f ca="1">IFERROR(__xludf.DUMMYFUNCTION("""COMPUTED_VALUE"""),7)</f>
        <v>7</v>
      </c>
      <c r="H981" s="112" t="str">
        <f ca="1"/>
        <v>20.5</v>
      </c>
      <c r="I981" s="81">
        <f ca="1"/>
        <v>20.5</v>
      </c>
    </row>
    <row r="982" spans="1:9" ht="13.2">
      <c r="A982" s="109" t="str">
        <f ca="1">IFERROR(__xludf.DUMMYFUNCTION("""COMPUTED_VALUE"""),"HSC")</f>
        <v>HSC</v>
      </c>
      <c r="B982" s="108" t="str">
        <f ca="1">IFERROR(__xludf.DUMMYFUNCTION("""COMPUTED_VALUE"""),"Artemisia Hashemi")</f>
        <v>Artemisia Hashemi</v>
      </c>
      <c r="C982" s="109">
        <f ca="1">IFERROR(__xludf.DUMMYFUNCTION("""COMPUTED_VALUE"""),8)</f>
        <v>8</v>
      </c>
      <c r="D982" s="109" t="str">
        <f ca="1">IFERROR(__xludf.DUMMYFUNCTION("""COMPUTED_VALUE"""),"G")</f>
        <v>G</v>
      </c>
      <c r="E982" s="110" t="str">
        <f ca="1">IFERROR(__xludf.DUMMYFUNCTION("""COMPUTED_VALUE"""),"F")</f>
        <v>F</v>
      </c>
      <c r="F982" s="110" t="str">
        <f ca="1">IFERROR(__xludf.DUMMYFUNCTION("""COMPUTED_VALUE"""),"J")</f>
        <v>J</v>
      </c>
      <c r="G982" s="110">
        <f ca="1">IFERROR(__xludf.DUMMYFUNCTION("""COMPUTED_VALUE"""),7)</f>
        <v>7</v>
      </c>
      <c r="H982" s="112" t="str">
        <f ca="1"/>
        <v>13.75</v>
      </c>
      <c r="I982" s="112">
        <f ca="1"/>
        <v>13.75</v>
      </c>
    </row>
    <row r="983" spans="1:9" ht="13.2">
      <c r="A983" s="109" t="str">
        <f ca="1">IFERROR(__xludf.DUMMYFUNCTION("""COMPUTED_VALUE"""),"HSC")</f>
        <v>HSC</v>
      </c>
      <c r="B983" s="108" t="str">
        <f ca="1">IFERROR(__xludf.DUMMYFUNCTION("""COMPUTED_VALUE"""),"Audrey Fass")</f>
        <v>Audrey Fass</v>
      </c>
      <c r="C983" s="109">
        <f ca="1">IFERROR(__xludf.DUMMYFUNCTION("""COMPUTED_VALUE"""),10)</f>
        <v>10</v>
      </c>
      <c r="D983" s="109" t="str">
        <f ca="1">IFERROR(__xludf.DUMMYFUNCTION("""COMPUTED_VALUE"""),"G")</f>
        <v>G</v>
      </c>
      <c r="E983" s="110" t="str">
        <f ca="1">IFERROR(__xludf.DUMMYFUNCTION("""COMPUTED_VALUE"""),"F")</f>
        <v>F</v>
      </c>
      <c r="F983" s="110" t="str">
        <f ca="1">IFERROR(__xludf.DUMMYFUNCTION("""COMPUTED_VALUE"""),"J")</f>
        <v>J</v>
      </c>
      <c r="G983" s="110">
        <f ca="1">IFERROR(__xludf.DUMMYFUNCTION("""COMPUTED_VALUE"""),7)</f>
        <v>7</v>
      </c>
      <c r="H983" s="112" t="str">
        <f ca="1"/>
        <v/>
      </c>
      <c r="I983" s="112" t="str">
        <f ca="1"/>
        <v/>
      </c>
    </row>
    <row r="984" spans="1:9" ht="13.2">
      <c r="A984" s="109" t="str">
        <f ca="1">IFERROR(__xludf.DUMMYFUNCTION("""COMPUTED_VALUE"""),"HSC")</f>
        <v>HSC</v>
      </c>
      <c r="B984" s="108" t="str">
        <f ca="1">IFERROR(__xludf.DUMMYFUNCTION("""COMPUTED_VALUE"""),"Ava Payan")</f>
        <v>Ava Payan</v>
      </c>
      <c r="C984" s="109">
        <f ca="1">IFERROR(__xludf.DUMMYFUNCTION("""COMPUTED_VALUE"""),7)</f>
        <v>7</v>
      </c>
      <c r="D984" s="109" t="str">
        <f ca="1">IFERROR(__xludf.DUMMYFUNCTION("""COMPUTED_VALUE"""),"G")</f>
        <v>G</v>
      </c>
      <c r="E984" s="110" t="str">
        <f ca="1">IFERROR(__xludf.DUMMYFUNCTION("""COMPUTED_VALUE"""),"F")</f>
        <v>F</v>
      </c>
      <c r="F984" s="110" t="str">
        <f ca="1">IFERROR(__xludf.DUMMYFUNCTION("""COMPUTED_VALUE"""),"J")</f>
        <v>J</v>
      </c>
      <c r="G984" s="110">
        <f ca="1">IFERROR(__xludf.DUMMYFUNCTION("""COMPUTED_VALUE"""),7)</f>
        <v>7</v>
      </c>
      <c r="H984" s="112" t="str">
        <f ca="1"/>
        <v/>
      </c>
      <c r="I984" s="112" t="str">
        <f ca="1"/>
        <v/>
      </c>
    </row>
    <row r="985" spans="1:9" ht="13.2">
      <c r="A985" s="109" t="str">
        <f ca="1">IFERROR(__xludf.DUMMYFUNCTION("""COMPUTED_VALUE"""),"HSC")</f>
        <v>HSC</v>
      </c>
      <c r="B985" s="108" t="str">
        <f ca="1">IFERROR(__xludf.DUMMYFUNCTION("""COMPUTED_VALUE"""),"Campbell Kurpiel")</f>
        <v>Campbell Kurpiel</v>
      </c>
      <c r="C985" s="109">
        <f ca="1">IFERROR(__xludf.DUMMYFUNCTION("""COMPUTED_VALUE"""),10)</f>
        <v>10</v>
      </c>
      <c r="D985" s="109" t="str">
        <f ca="1">IFERROR(__xludf.DUMMYFUNCTION("""COMPUTED_VALUE"""),"G")</f>
        <v>G</v>
      </c>
      <c r="E985" s="110" t="str">
        <f ca="1">IFERROR(__xludf.DUMMYFUNCTION("""COMPUTED_VALUE"""),"F")</f>
        <v>F</v>
      </c>
      <c r="F985" s="110" t="str">
        <f ca="1">IFERROR(__xludf.DUMMYFUNCTION("""COMPUTED_VALUE"""),"J")</f>
        <v>J</v>
      </c>
      <c r="G985" s="110">
        <f ca="1">IFERROR(__xludf.DUMMYFUNCTION("""COMPUTED_VALUE"""),7)</f>
        <v>7</v>
      </c>
      <c r="H985" s="112" t="str">
        <f ca="1"/>
        <v/>
      </c>
      <c r="I985" s="112" t="str">
        <f ca="1"/>
        <v/>
      </c>
    </row>
    <row r="986" spans="1:9" ht="13.2">
      <c r="A986" s="109" t="str">
        <f ca="1">IFERROR(__xludf.DUMMYFUNCTION("""COMPUTED_VALUE"""),"HSC")</f>
        <v>HSC</v>
      </c>
      <c r="B986" s="108" t="str">
        <f ca="1">IFERROR(__xludf.DUMMYFUNCTION("""COMPUTED_VALUE"""),"Elizabeth Peebles")</f>
        <v>Elizabeth Peebles</v>
      </c>
      <c r="C986" s="109">
        <f ca="1">IFERROR(__xludf.DUMMYFUNCTION("""COMPUTED_VALUE"""),9)</f>
        <v>9</v>
      </c>
      <c r="D986" s="109" t="str">
        <f ca="1">IFERROR(__xludf.DUMMYFUNCTION("""COMPUTED_VALUE"""),"G")</f>
        <v>G</v>
      </c>
      <c r="E986" s="110" t="str">
        <f ca="1">IFERROR(__xludf.DUMMYFUNCTION("""COMPUTED_VALUE"""),"F")</f>
        <v>F</v>
      </c>
      <c r="F986" s="110" t="str">
        <f ca="1">IFERROR(__xludf.DUMMYFUNCTION("""COMPUTED_VALUE"""),"J")</f>
        <v>J</v>
      </c>
      <c r="G986" s="110">
        <f ca="1">IFERROR(__xludf.DUMMYFUNCTION("""COMPUTED_VALUE"""),7)</f>
        <v>7</v>
      </c>
      <c r="H986" s="112" t="str">
        <f ca="1"/>
        <v/>
      </c>
      <c r="I986" s="112" t="str">
        <f ca="1"/>
        <v/>
      </c>
    </row>
    <row r="987" spans="1:9" ht="13.2">
      <c r="A987" s="109" t="str">
        <f ca="1">IFERROR(__xludf.DUMMYFUNCTION("""COMPUTED_VALUE"""),"HSC")</f>
        <v>HSC</v>
      </c>
      <c r="B987" s="108" t="str">
        <f ca="1">IFERROR(__xludf.DUMMYFUNCTION("""COMPUTED_VALUE"""),"Georgia Steele")</f>
        <v>Georgia Steele</v>
      </c>
      <c r="C987" s="109">
        <f ca="1">IFERROR(__xludf.DUMMYFUNCTION("""COMPUTED_VALUE"""),10)</f>
        <v>10</v>
      </c>
      <c r="D987" s="109" t="str">
        <f ca="1">IFERROR(__xludf.DUMMYFUNCTION("""COMPUTED_VALUE"""),"G")</f>
        <v>G</v>
      </c>
      <c r="E987" s="110" t="str">
        <f ca="1">IFERROR(__xludf.DUMMYFUNCTION("""COMPUTED_VALUE"""),"F")</f>
        <v>F</v>
      </c>
      <c r="F987" s="110" t="str">
        <f ca="1">IFERROR(__xludf.DUMMYFUNCTION("""COMPUTED_VALUE"""),"J")</f>
        <v>J</v>
      </c>
      <c r="G987" s="110">
        <f ca="1">IFERROR(__xludf.DUMMYFUNCTION("""COMPUTED_VALUE"""),7)</f>
        <v>7</v>
      </c>
      <c r="H987" s="112" t="str">
        <f ca="1"/>
        <v/>
      </c>
      <c r="I987" s="112" t="str">
        <f ca="1"/>
        <v/>
      </c>
    </row>
    <row r="988" spans="1:9" ht="13.2">
      <c r="A988" s="109" t="str">
        <f ca="1">IFERROR(__xludf.DUMMYFUNCTION("""COMPUTED_VALUE"""),"HSC")</f>
        <v>HSC</v>
      </c>
      <c r="B988" s="108" t="str">
        <f ca="1">IFERROR(__xludf.DUMMYFUNCTION("""COMPUTED_VALUE"""),"Grace Wegner")</f>
        <v>Grace Wegner</v>
      </c>
      <c r="C988" s="109">
        <f ca="1">IFERROR(__xludf.DUMMYFUNCTION("""COMPUTED_VALUE"""),7)</f>
        <v>7</v>
      </c>
      <c r="D988" s="109" t="str">
        <f ca="1">IFERROR(__xludf.DUMMYFUNCTION("""COMPUTED_VALUE"""),"G")</f>
        <v>G</v>
      </c>
      <c r="E988" s="110" t="str">
        <f ca="1">IFERROR(__xludf.DUMMYFUNCTION("""COMPUTED_VALUE"""),"F")</f>
        <v>F</v>
      </c>
      <c r="F988" s="110" t="str">
        <f ca="1">IFERROR(__xludf.DUMMYFUNCTION("""COMPUTED_VALUE"""),"J")</f>
        <v>J</v>
      </c>
      <c r="G988" s="110">
        <f ca="1">IFERROR(__xludf.DUMMYFUNCTION("""COMPUTED_VALUE"""),7)</f>
        <v>7</v>
      </c>
      <c r="H988" s="112" t="str">
        <f ca="1"/>
        <v>30.65</v>
      </c>
      <c r="I988" s="81">
        <f ca="1"/>
        <v>30.65</v>
      </c>
    </row>
    <row r="989" spans="1:9" ht="13.2">
      <c r="A989" s="109" t="str">
        <f ca="1">IFERROR(__xludf.DUMMYFUNCTION("""COMPUTED_VALUE"""),"HSC")</f>
        <v>HSC</v>
      </c>
      <c r="B989" s="108" t="str">
        <f ca="1">IFERROR(__xludf.DUMMYFUNCTION("""COMPUTED_VALUE"""),"Julia Hernandez")</f>
        <v>Julia Hernandez</v>
      </c>
      <c r="C989" s="109">
        <f ca="1">IFERROR(__xludf.DUMMYFUNCTION("""COMPUTED_VALUE"""),6)</f>
        <v>6</v>
      </c>
      <c r="D989" s="109" t="str">
        <f ca="1">IFERROR(__xludf.DUMMYFUNCTION("""COMPUTED_VALUE"""),"G")</f>
        <v>G</v>
      </c>
      <c r="E989" s="110" t="str">
        <f ca="1">IFERROR(__xludf.DUMMYFUNCTION("""COMPUTED_VALUE"""),"F")</f>
        <v>F</v>
      </c>
      <c r="F989" s="110" t="str">
        <f ca="1">IFERROR(__xludf.DUMMYFUNCTION("""COMPUTED_VALUE"""),"J")</f>
        <v>J</v>
      </c>
      <c r="G989" s="110">
        <f ca="1">IFERROR(__xludf.DUMMYFUNCTION("""COMPUTED_VALUE"""),7)</f>
        <v>7</v>
      </c>
      <c r="H989" s="112" t="str">
        <f ca="1"/>
        <v>15.5</v>
      </c>
      <c r="I989" s="81">
        <f ca="1"/>
        <v>15.5</v>
      </c>
    </row>
    <row r="990" spans="1:9" ht="13.2">
      <c r="A990" s="109" t="str">
        <f ca="1">IFERROR(__xludf.DUMMYFUNCTION("""COMPUTED_VALUE"""),"HSC")</f>
        <v>HSC</v>
      </c>
      <c r="B990" s="108" t="str">
        <f ca="1">IFERROR(__xludf.DUMMYFUNCTION("""COMPUTED_VALUE"""),"Kate Gentry")</f>
        <v>Kate Gentry</v>
      </c>
      <c r="C990" s="109">
        <f ca="1">IFERROR(__xludf.DUMMYFUNCTION("""COMPUTED_VALUE"""),9)</f>
        <v>9</v>
      </c>
      <c r="D990" s="109" t="str">
        <f ca="1">IFERROR(__xludf.DUMMYFUNCTION("""COMPUTED_VALUE"""),"G")</f>
        <v>G</v>
      </c>
      <c r="E990" s="110" t="str">
        <f ca="1">IFERROR(__xludf.DUMMYFUNCTION("""COMPUTED_VALUE"""),"F")</f>
        <v>F</v>
      </c>
      <c r="F990" s="110" t="str">
        <f ca="1">IFERROR(__xludf.DUMMYFUNCTION("""COMPUTED_VALUE"""),"J")</f>
        <v>J</v>
      </c>
      <c r="G990" s="110">
        <f ca="1">IFERROR(__xludf.DUMMYFUNCTION("""COMPUTED_VALUE"""),7)</f>
        <v>7</v>
      </c>
      <c r="H990" s="112" t="str">
        <f ca="1"/>
        <v/>
      </c>
      <c r="I990" s="81" t="str">
        <f ca="1"/>
        <v/>
      </c>
    </row>
    <row r="991" spans="1:9" ht="13.2">
      <c r="A991" s="109" t="str">
        <f ca="1">IFERROR(__xludf.DUMMYFUNCTION("""COMPUTED_VALUE"""),"HSC")</f>
        <v>HSC</v>
      </c>
      <c r="B991" s="108" t="str">
        <f ca="1">IFERROR(__xludf.DUMMYFUNCTION("""COMPUTED_VALUE"""),"Leah Schwartz")</f>
        <v>Leah Schwartz</v>
      </c>
      <c r="C991" s="109">
        <f ca="1">IFERROR(__xludf.DUMMYFUNCTION("""COMPUTED_VALUE"""),5)</f>
        <v>5</v>
      </c>
      <c r="D991" s="109" t="str">
        <f ca="1">IFERROR(__xludf.DUMMYFUNCTION("""COMPUTED_VALUE"""),"G")</f>
        <v>G</v>
      </c>
      <c r="E991" s="110" t="str">
        <f ca="1">IFERROR(__xludf.DUMMYFUNCTION("""COMPUTED_VALUE"""),"F")</f>
        <v>F</v>
      </c>
      <c r="F991" s="110" t="str">
        <f ca="1">IFERROR(__xludf.DUMMYFUNCTION("""COMPUTED_VALUE"""),"J")</f>
        <v>J</v>
      </c>
      <c r="G991" s="110">
        <f ca="1">IFERROR(__xludf.DUMMYFUNCTION("""COMPUTED_VALUE"""),7)</f>
        <v>7</v>
      </c>
      <c r="H991" s="112" t="str">
        <f ca="1"/>
        <v/>
      </c>
      <c r="I991" s="81" t="str">
        <f ca="1"/>
        <v/>
      </c>
    </row>
    <row r="992" spans="1:9" ht="13.2">
      <c r="A992" s="109" t="str">
        <f ca="1">IFERROR(__xludf.DUMMYFUNCTION("""COMPUTED_VALUE"""),"HSC")</f>
        <v>HSC</v>
      </c>
      <c r="B992" s="108" t="str">
        <f ca="1">IFERROR(__xludf.DUMMYFUNCTION("""COMPUTED_VALUE"""),"Mandi Wang")</f>
        <v>Mandi Wang</v>
      </c>
      <c r="C992" s="109">
        <f ca="1">IFERROR(__xludf.DUMMYFUNCTION("""COMPUTED_VALUE"""),8)</f>
        <v>8</v>
      </c>
      <c r="D992" s="109" t="str">
        <f ca="1">IFERROR(__xludf.DUMMYFUNCTION("""COMPUTED_VALUE"""),"G")</f>
        <v>G</v>
      </c>
      <c r="E992" s="110" t="str">
        <f ca="1">IFERROR(__xludf.DUMMYFUNCTION("""COMPUTED_VALUE"""),"F")</f>
        <v>F</v>
      </c>
      <c r="F992" s="110" t="str">
        <f ca="1">IFERROR(__xludf.DUMMYFUNCTION("""COMPUTED_VALUE"""),"J")</f>
        <v>J</v>
      </c>
      <c r="G992" s="110">
        <f ca="1">IFERROR(__xludf.DUMMYFUNCTION("""COMPUTED_VALUE"""),7)</f>
        <v>7</v>
      </c>
      <c r="H992" s="112" t="str">
        <f ca="1"/>
        <v>17.25</v>
      </c>
      <c r="I992" s="112">
        <f ca="1"/>
        <v>17.25</v>
      </c>
    </row>
    <row r="993" spans="1:9" ht="13.2">
      <c r="A993" s="109" t="str">
        <f ca="1">IFERROR(__xludf.DUMMYFUNCTION("""COMPUTED_VALUE"""),"HSC")</f>
        <v>HSC</v>
      </c>
      <c r="B993" s="108" t="str">
        <f ca="1">IFERROR(__xludf.DUMMYFUNCTION("""COMPUTED_VALUE"""),"Noelle Rosser")</f>
        <v>Noelle Rosser</v>
      </c>
      <c r="C993" s="109">
        <f ca="1">IFERROR(__xludf.DUMMYFUNCTION("""COMPUTED_VALUE"""),8)</f>
        <v>8</v>
      </c>
      <c r="D993" s="109" t="str">
        <f ca="1">IFERROR(__xludf.DUMMYFUNCTION("""COMPUTED_VALUE"""),"G")</f>
        <v>G</v>
      </c>
      <c r="E993" s="110" t="str">
        <f ca="1">IFERROR(__xludf.DUMMYFUNCTION("""COMPUTED_VALUE"""),"F")</f>
        <v>F</v>
      </c>
      <c r="F993" s="110" t="str">
        <f ca="1">IFERROR(__xludf.DUMMYFUNCTION("""COMPUTED_VALUE"""),"J")</f>
        <v>J</v>
      </c>
      <c r="G993" s="110">
        <f ca="1">IFERROR(__xludf.DUMMYFUNCTION("""COMPUTED_VALUE"""),7)</f>
        <v>7</v>
      </c>
      <c r="H993" s="112" t="str">
        <f ca="1"/>
        <v/>
      </c>
      <c r="I993" s="81" t="str">
        <f ca="1"/>
        <v/>
      </c>
    </row>
    <row r="994" spans="1:9" ht="13.2">
      <c r="A994" s="109" t="str">
        <f ca="1">IFERROR(__xludf.DUMMYFUNCTION("""COMPUTED_VALUE"""),"HSC")</f>
        <v>HSC</v>
      </c>
      <c r="B994" s="108" t="str">
        <f ca="1">IFERROR(__xludf.DUMMYFUNCTION("""COMPUTED_VALUE"""),"Olivia Gentry")</f>
        <v>Olivia Gentry</v>
      </c>
      <c r="C994" s="109">
        <f ca="1">IFERROR(__xludf.DUMMYFUNCTION("""COMPUTED_VALUE"""),7)</f>
        <v>7</v>
      </c>
      <c r="D994" s="109" t="str">
        <f ca="1">IFERROR(__xludf.DUMMYFUNCTION("""COMPUTED_VALUE"""),"G")</f>
        <v>G</v>
      </c>
      <c r="E994" s="110" t="str">
        <f ca="1">IFERROR(__xludf.DUMMYFUNCTION("""COMPUTED_VALUE"""),"F")</f>
        <v>F</v>
      </c>
      <c r="F994" s="110" t="str">
        <f ca="1">IFERROR(__xludf.DUMMYFUNCTION("""COMPUTED_VALUE"""),"J")</f>
        <v>J</v>
      </c>
      <c r="G994" s="110">
        <f ca="1">IFERROR(__xludf.DUMMYFUNCTION("""COMPUTED_VALUE"""),7)</f>
        <v>7</v>
      </c>
      <c r="H994" s="112" t="str">
        <f ca="1"/>
        <v>10.5</v>
      </c>
      <c r="I994" s="81">
        <f ca="1"/>
        <v>10.5</v>
      </c>
    </row>
    <row r="995" spans="1:9" ht="13.2">
      <c r="A995" s="109" t="str">
        <f ca="1">IFERROR(__xludf.DUMMYFUNCTION("""COMPUTED_VALUE"""),"HSC")</f>
        <v>HSC</v>
      </c>
      <c r="B995" s="108" t="str">
        <f ca="1">IFERROR(__xludf.DUMMYFUNCTION("""COMPUTED_VALUE"""),"Saachi Chandrasekar")</f>
        <v>Saachi Chandrasekar</v>
      </c>
      <c r="C995" s="109">
        <f ca="1">IFERROR(__xludf.DUMMYFUNCTION("""COMPUTED_VALUE"""),10)</f>
        <v>10</v>
      </c>
      <c r="D995" s="109" t="str">
        <f ca="1">IFERROR(__xludf.DUMMYFUNCTION("""COMPUTED_VALUE"""),"G")</f>
        <v>G</v>
      </c>
      <c r="E995" s="110" t="str">
        <f ca="1">IFERROR(__xludf.DUMMYFUNCTION("""COMPUTED_VALUE"""),"F")</f>
        <v>F</v>
      </c>
      <c r="F995" s="110" t="str">
        <f ca="1">IFERROR(__xludf.DUMMYFUNCTION("""COMPUTED_VALUE"""),"J")</f>
        <v>J</v>
      </c>
      <c r="G995" s="110">
        <f ca="1">IFERROR(__xludf.DUMMYFUNCTION("""COMPUTED_VALUE"""),7)</f>
        <v>7</v>
      </c>
      <c r="H995" s="112" t="str">
        <f ca="1"/>
        <v/>
      </c>
      <c r="I995" s="81" t="str">
        <f ca="1"/>
        <v/>
      </c>
    </row>
    <row r="996" spans="1:9" ht="13.2">
      <c r="A996" s="109" t="str">
        <f ca="1">IFERROR(__xludf.DUMMYFUNCTION("""COMPUTED_VALUE"""),"HSC")</f>
        <v>HSC</v>
      </c>
      <c r="B996" s="108" t="str">
        <f ca="1">IFERROR(__xludf.DUMMYFUNCTION("""COMPUTED_VALUE"""),"Siena Nguyen")</f>
        <v>Siena Nguyen</v>
      </c>
      <c r="C996" s="109">
        <f ca="1">IFERROR(__xludf.DUMMYFUNCTION("""COMPUTED_VALUE"""),9)</f>
        <v>9</v>
      </c>
      <c r="D996" s="109" t="str">
        <f ca="1">IFERROR(__xludf.DUMMYFUNCTION("""COMPUTED_VALUE"""),"G")</f>
        <v>G</v>
      </c>
      <c r="E996" s="110" t="str">
        <f ca="1">IFERROR(__xludf.DUMMYFUNCTION("""COMPUTED_VALUE"""),"F")</f>
        <v>F</v>
      </c>
      <c r="F996" s="110" t="str">
        <f ca="1">IFERROR(__xludf.DUMMYFUNCTION("""COMPUTED_VALUE"""),"J")</f>
        <v>J</v>
      </c>
      <c r="G996" s="110">
        <f ca="1">IFERROR(__xludf.DUMMYFUNCTION("""COMPUTED_VALUE"""),7)</f>
        <v>7</v>
      </c>
      <c r="H996" s="112" t="str">
        <f ca="1"/>
        <v>38.5</v>
      </c>
      <c r="I996" s="81">
        <f ca="1"/>
        <v>38.5</v>
      </c>
    </row>
    <row r="997" spans="1:9" ht="13.2">
      <c r="A997" s="109" t="str">
        <f ca="1">IFERROR(__xludf.DUMMYFUNCTION("""COMPUTED_VALUE"""),"HSC")</f>
        <v>HSC</v>
      </c>
      <c r="B997" s="108" t="str">
        <f ca="1">IFERROR(__xludf.DUMMYFUNCTION("""COMPUTED_VALUE"""),"Soraya Hashemi")</f>
        <v>Soraya Hashemi</v>
      </c>
      <c r="C997" s="109">
        <f ca="1">IFERROR(__xludf.DUMMYFUNCTION("""COMPUTED_VALUE"""),6)</f>
        <v>6</v>
      </c>
      <c r="D997" s="109" t="str">
        <f ca="1">IFERROR(__xludf.DUMMYFUNCTION("""COMPUTED_VALUE"""),"G")</f>
        <v>G</v>
      </c>
      <c r="E997" s="110" t="str">
        <f ca="1">IFERROR(__xludf.DUMMYFUNCTION("""COMPUTED_VALUE"""),"F")</f>
        <v>F</v>
      </c>
      <c r="F997" s="110" t="str">
        <f ca="1">IFERROR(__xludf.DUMMYFUNCTION("""COMPUTED_VALUE"""),"J")</f>
        <v>J</v>
      </c>
      <c r="G997" s="110">
        <f ca="1">IFERROR(__xludf.DUMMYFUNCTION("""COMPUTED_VALUE"""),7)</f>
        <v>7</v>
      </c>
      <c r="H997" s="112" t="str">
        <f ca="1"/>
        <v/>
      </c>
      <c r="I997" s="112" t="str">
        <f ca="1"/>
        <v/>
      </c>
    </row>
    <row r="998" spans="1:9" ht="13.2">
      <c r="A998" s="109" t="str">
        <f ca="1">IFERROR(__xludf.DUMMYFUNCTION("""COMPUTED_VALUE"""),"HSC")</f>
        <v>HSC</v>
      </c>
      <c r="B998" s="108" t="str">
        <f ca="1">IFERROR(__xludf.DUMMYFUNCTION("""COMPUTED_VALUE"""),"Thais Valkenburg")</f>
        <v>Thais Valkenburg</v>
      </c>
      <c r="C998" s="109">
        <f ca="1">IFERROR(__xludf.DUMMYFUNCTION("""COMPUTED_VALUE"""),5)</f>
        <v>5</v>
      </c>
      <c r="D998" s="109" t="str">
        <f ca="1">IFERROR(__xludf.DUMMYFUNCTION("""COMPUTED_VALUE"""),"G")</f>
        <v>G</v>
      </c>
      <c r="E998" s="110" t="str">
        <f ca="1">IFERROR(__xludf.DUMMYFUNCTION("""COMPUTED_VALUE"""),"F")</f>
        <v>F</v>
      </c>
      <c r="F998" s="110" t="str">
        <f ca="1">IFERROR(__xludf.DUMMYFUNCTION("""COMPUTED_VALUE"""),"J")</f>
        <v>J</v>
      </c>
      <c r="G998" s="110">
        <f ca="1">IFERROR(__xludf.DUMMYFUNCTION("""COMPUTED_VALUE"""),7)</f>
        <v>7</v>
      </c>
      <c r="H998" s="112" t="str">
        <f ca="1"/>
        <v/>
      </c>
      <c r="I998" s="112" t="str">
        <f ca="1"/>
        <v/>
      </c>
    </row>
    <row r="999" spans="1:9" ht="13.2">
      <c r="A999" s="109" t="str">
        <f ca="1">IFERROR(__xludf.DUMMYFUNCTION("""COMPUTED_VALUE"""),"HSC")</f>
        <v>HSC</v>
      </c>
      <c r="B999" s="108" t="str">
        <f ca="1">IFERROR(__xludf.DUMMYFUNCTION("""COMPUTED_VALUE"""),"Victoria Moscoso")</f>
        <v>Victoria Moscoso</v>
      </c>
      <c r="C999" s="109">
        <f ca="1">IFERROR(__xludf.DUMMYFUNCTION("""COMPUTED_VALUE"""),8)</f>
        <v>8</v>
      </c>
      <c r="D999" s="109" t="str">
        <f ca="1">IFERROR(__xludf.DUMMYFUNCTION("""COMPUTED_VALUE"""),"G")</f>
        <v>G</v>
      </c>
      <c r="E999" s="110" t="str">
        <f ca="1">IFERROR(__xludf.DUMMYFUNCTION("""COMPUTED_VALUE"""),"F")</f>
        <v>F</v>
      </c>
      <c r="F999" s="110" t="str">
        <f ca="1">IFERROR(__xludf.DUMMYFUNCTION("""COMPUTED_VALUE"""),"J")</f>
        <v>J</v>
      </c>
      <c r="G999" s="110">
        <f ca="1">IFERROR(__xludf.DUMMYFUNCTION("""COMPUTED_VALUE"""),7)</f>
        <v>7</v>
      </c>
      <c r="H999" s="112" t="str">
        <f ca="1"/>
        <v>19.4</v>
      </c>
      <c r="I999" s="112">
        <f ca="1"/>
        <v>19.399999999999999</v>
      </c>
    </row>
    <row r="1000" spans="1:9" ht="13.2">
      <c r="A1000" s="109" t="str">
        <f ca="1">IFERROR(__xludf.DUMMYFUNCTION("""COMPUTED_VALUE"""),"HSC")</f>
        <v>HSC</v>
      </c>
      <c r="B1000" s="108" t="str">
        <f ca="1">IFERROR(__xludf.DUMMYFUNCTION("""COMPUTED_VALUE"""),"Cooper Short")</f>
        <v>Cooper Short</v>
      </c>
      <c r="C1000" s="109">
        <f ca="1">IFERROR(__xludf.DUMMYFUNCTION("""COMPUTED_VALUE"""),13)</f>
        <v>13</v>
      </c>
      <c r="D1000" s="109" t="str">
        <f ca="1">IFERROR(__xludf.DUMMYFUNCTION("""COMPUTED_VALUE"""),"B")</f>
        <v>B</v>
      </c>
      <c r="E1000" s="110" t="str">
        <f ca="1">IFERROR(__xludf.DUMMYFUNCTION("""COMPUTED_VALUE"""),"I")</f>
        <v>I</v>
      </c>
      <c r="F1000" s="110" t="str">
        <f ca="1">IFERROR(__xludf.DUMMYFUNCTION("""COMPUTED_VALUE"""),"S")</f>
        <v>S</v>
      </c>
      <c r="G1000" s="110">
        <f ca="1">IFERROR(__xludf.DUMMYFUNCTION("""COMPUTED_VALUE"""),7)</f>
        <v>7</v>
      </c>
      <c r="H1000" s="112" t="str">
        <f ca="1"/>
        <v/>
      </c>
      <c r="I1000" s="81" t="str">
        <f ca="1"/>
        <v/>
      </c>
    </row>
    <row r="1001" spans="1:9" ht="13.2">
      <c r="A1001" s="109" t="str">
        <f ca="1">IFERROR(__xludf.DUMMYFUNCTION("""COMPUTED_VALUE"""),"HSC")</f>
        <v>HSC</v>
      </c>
      <c r="B1001" s="108" t="str">
        <f ca="1">IFERROR(__xludf.DUMMYFUNCTION("""COMPUTED_VALUE"""),"Jackson Joseph")</f>
        <v>Jackson Joseph</v>
      </c>
      <c r="C1001" s="109">
        <f ca="1">IFERROR(__xludf.DUMMYFUNCTION("""COMPUTED_VALUE"""),13)</f>
        <v>13</v>
      </c>
      <c r="D1001" s="109" t="str">
        <f ca="1">IFERROR(__xludf.DUMMYFUNCTION("""COMPUTED_VALUE"""),"B")</f>
        <v>B</v>
      </c>
      <c r="E1001" s="110" t="str">
        <f ca="1">IFERROR(__xludf.DUMMYFUNCTION("""COMPUTED_VALUE"""),"I")</f>
        <v>I</v>
      </c>
      <c r="F1001" s="110" t="str">
        <f ca="1">IFERROR(__xludf.DUMMYFUNCTION("""COMPUTED_VALUE"""),"S")</f>
        <v>S</v>
      </c>
      <c r="G1001" s="110">
        <f ca="1">IFERROR(__xludf.DUMMYFUNCTION("""COMPUTED_VALUE"""),7)</f>
        <v>7</v>
      </c>
      <c r="H1001" s="112" t="str">
        <f ca="1"/>
        <v/>
      </c>
      <c r="I1001" s="112" t="str">
        <f ca="1"/>
        <v/>
      </c>
    </row>
    <row r="1002" spans="1:9" ht="13.2">
      <c r="A1002" s="109" t="str">
        <f ca="1">IFERROR(__xludf.DUMMYFUNCTION("""COMPUTED_VALUE"""),"HSC")</f>
        <v>HSC</v>
      </c>
      <c r="B1002" s="108" t="str">
        <f ca="1">IFERROR(__xludf.DUMMYFUNCTION("""COMPUTED_VALUE"""),"Savas Emanuel")</f>
        <v>Savas Emanuel</v>
      </c>
      <c r="C1002" s="109">
        <f ca="1">IFERROR(__xludf.DUMMYFUNCTION("""COMPUTED_VALUE"""),14)</f>
        <v>14</v>
      </c>
      <c r="D1002" s="109" t="str">
        <f ca="1">IFERROR(__xludf.DUMMYFUNCTION("""COMPUTED_VALUE"""),"B")</f>
        <v>B</v>
      </c>
      <c r="E1002" s="110" t="str">
        <f ca="1">IFERROR(__xludf.DUMMYFUNCTION("""COMPUTED_VALUE"""),"I")</f>
        <v>I</v>
      </c>
      <c r="F1002" s="110" t="str">
        <f ca="1">IFERROR(__xludf.DUMMYFUNCTION("""COMPUTED_VALUE"""),"S")</f>
        <v>S</v>
      </c>
      <c r="G1002" s="110">
        <f ca="1">IFERROR(__xludf.DUMMYFUNCTION("""COMPUTED_VALUE"""),7)</f>
        <v>7</v>
      </c>
      <c r="H1002" s="112" t="str">
        <f ca="1"/>
        <v/>
      </c>
      <c r="I1002" s="81" t="str">
        <f ca="1"/>
        <v/>
      </c>
    </row>
    <row r="1003" spans="1:9" ht="13.2">
      <c r="A1003" s="109" t="str">
        <f ca="1">IFERROR(__xludf.DUMMYFUNCTION("""COMPUTED_VALUE"""),"HSC")</f>
        <v>HSC</v>
      </c>
      <c r="B1003" s="108" t="str">
        <f ca="1">IFERROR(__xludf.DUMMYFUNCTION("""COMPUTED_VALUE"""),"Ayaan Ramnani")</f>
        <v>Ayaan Ramnani</v>
      </c>
      <c r="C1003" s="109">
        <f ca="1">IFERROR(__xludf.DUMMYFUNCTION("""COMPUTED_VALUE"""),11)</f>
        <v>11</v>
      </c>
      <c r="D1003" s="109" t="str">
        <f ca="1">IFERROR(__xludf.DUMMYFUNCTION("""COMPUTED_VALUE"""),"B")</f>
        <v>B</v>
      </c>
      <c r="E1003" s="110" t="str">
        <f ca="1">IFERROR(__xludf.DUMMYFUNCTION("""COMPUTED_VALUE"""),"J")</f>
        <v>J</v>
      </c>
      <c r="F1003" s="110" t="str">
        <f ca="1">IFERROR(__xludf.DUMMYFUNCTION("""COMPUTED_VALUE"""),"I")</f>
        <v>I</v>
      </c>
      <c r="G1003" s="110">
        <f ca="1">IFERROR(__xludf.DUMMYFUNCTION("""COMPUTED_VALUE"""),7)</f>
        <v>7</v>
      </c>
      <c r="H1003" s="112" t="str">
        <f ca="1"/>
        <v/>
      </c>
      <c r="I1003" s="112" t="str">
        <f ca="1"/>
        <v/>
      </c>
    </row>
    <row r="1004" spans="1:9" ht="13.2">
      <c r="A1004" s="109" t="str">
        <f ca="1">IFERROR(__xludf.DUMMYFUNCTION("""COMPUTED_VALUE"""),"HSC")</f>
        <v>HSC</v>
      </c>
      <c r="B1004" s="108" t="str">
        <f ca="1">IFERROR(__xludf.DUMMYFUNCTION("""COMPUTED_VALUE"""),"Bennett Steele")</f>
        <v>Bennett Steele</v>
      </c>
      <c r="C1004" s="109">
        <f ca="1">IFERROR(__xludf.DUMMYFUNCTION("""COMPUTED_VALUE"""),11)</f>
        <v>11</v>
      </c>
      <c r="D1004" s="109" t="str">
        <f ca="1">IFERROR(__xludf.DUMMYFUNCTION("""COMPUTED_VALUE"""),"B")</f>
        <v>B</v>
      </c>
      <c r="E1004" s="110" t="str">
        <f ca="1">IFERROR(__xludf.DUMMYFUNCTION("""COMPUTED_VALUE"""),"J")</f>
        <v>J</v>
      </c>
      <c r="F1004" s="110" t="str">
        <f ca="1">IFERROR(__xludf.DUMMYFUNCTION("""COMPUTED_VALUE"""),"I")</f>
        <v>I</v>
      </c>
      <c r="G1004" s="110">
        <f ca="1">IFERROR(__xludf.DUMMYFUNCTION("""COMPUTED_VALUE"""),7)</f>
        <v>7</v>
      </c>
      <c r="H1004" s="112" t="str">
        <f ca="1"/>
        <v/>
      </c>
      <c r="I1004" s="81" t="str">
        <f ca="1"/>
        <v/>
      </c>
    </row>
    <row r="1005" spans="1:9" ht="13.2">
      <c r="A1005" s="109" t="str">
        <f ca="1">IFERROR(__xludf.DUMMYFUNCTION("""COMPUTED_VALUE"""),"HSC")</f>
        <v>HSC</v>
      </c>
      <c r="B1005" s="108" t="str">
        <f ca="1">IFERROR(__xludf.DUMMYFUNCTION("""COMPUTED_VALUE"""),"Darius Bajoghli")</f>
        <v>Darius Bajoghli</v>
      </c>
      <c r="C1005" s="109">
        <f ca="1">IFERROR(__xludf.DUMMYFUNCTION("""COMPUTED_VALUE"""),12)</f>
        <v>12</v>
      </c>
      <c r="D1005" s="109" t="str">
        <f ca="1">IFERROR(__xludf.DUMMYFUNCTION("""COMPUTED_VALUE"""),"B")</f>
        <v>B</v>
      </c>
      <c r="E1005" s="110" t="str">
        <f ca="1">IFERROR(__xludf.DUMMYFUNCTION("""COMPUTED_VALUE"""),"J")</f>
        <v>J</v>
      </c>
      <c r="F1005" s="110" t="str">
        <f ca="1">IFERROR(__xludf.DUMMYFUNCTION("""COMPUTED_VALUE"""),"I")</f>
        <v>I</v>
      </c>
      <c r="G1005" s="110">
        <f ca="1">IFERROR(__xludf.DUMMYFUNCTION("""COMPUTED_VALUE"""),7)</f>
        <v>7</v>
      </c>
      <c r="H1005" s="112" t="str">
        <f ca="1"/>
        <v/>
      </c>
      <c r="I1005" s="81" t="str">
        <f ca="1"/>
        <v/>
      </c>
    </row>
    <row r="1006" spans="1:9" ht="13.2">
      <c r="A1006" s="109" t="str">
        <f ca="1">IFERROR(__xludf.DUMMYFUNCTION("""COMPUTED_VALUE"""),"HSC")</f>
        <v>HSC</v>
      </c>
      <c r="B1006" s="108" t="str">
        <f ca="1">IFERROR(__xludf.DUMMYFUNCTION("""COMPUTED_VALUE"""),"Grant Fass")</f>
        <v>Grant Fass</v>
      </c>
      <c r="C1006" s="109">
        <f ca="1">IFERROR(__xludf.DUMMYFUNCTION("""COMPUTED_VALUE"""),11)</f>
        <v>11</v>
      </c>
      <c r="D1006" s="109" t="str">
        <f ca="1">IFERROR(__xludf.DUMMYFUNCTION("""COMPUTED_VALUE"""),"B")</f>
        <v>B</v>
      </c>
      <c r="E1006" s="110" t="str">
        <f ca="1">IFERROR(__xludf.DUMMYFUNCTION("""COMPUTED_VALUE"""),"J")</f>
        <v>J</v>
      </c>
      <c r="F1006" s="110" t="str">
        <f ca="1">IFERROR(__xludf.DUMMYFUNCTION("""COMPUTED_VALUE"""),"I")</f>
        <v>I</v>
      </c>
      <c r="G1006" s="110">
        <f ca="1">IFERROR(__xludf.DUMMYFUNCTION("""COMPUTED_VALUE"""),7)</f>
        <v>7</v>
      </c>
      <c r="H1006" s="112" t="str">
        <f ca="1"/>
        <v/>
      </c>
      <c r="I1006" s="81" t="str">
        <f ca="1"/>
        <v/>
      </c>
    </row>
    <row r="1007" spans="1:9" ht="13.2">
      <c r="A1007" s="109" t="str">
        <f ca="1">IFERROR(__xludf.DUMMYFUNCTION("""COMPUTED_VALUE"""),"HSC")</f>
        <v>HSC</v>
      </c>
      <c r="B1007" s="108" t="str">
        <f ca="1">IFERROR(__xludf.DUMMYFUNCTION("""COMPUTED_VALUE"""),"Samuel Frankel")</f>
        <v>Samuel Frankel</v>
      </c>
      <c r="C1007" s="109">
        <f ca="1">IFERROR(__xludf.DUMMYFUNCTION("""COMPUTED_VALUE"""),11)</f>
        <v>11</v>
      </c>
      <c r="D1007" s="109" t="str">
        <f ca="1">IFERROR(__xludf.DUMMYFUNCTION("""COMPUTED_VALUE"""),"B")</f>
        <v>B</v>
      </c>
      <c r="E1007" s="110" t="str">
        <f ca="1">IFERROR(__xludf.DUMMYFUNCTION("""COMPUTED_VALUE"""),"J")</f>
        <v>J</v>
      </c>
      <c r="F1007" s="110" t="str">
        <f ca="1">IFERROR(__xludf.DUMMYFUNCTION("""COMPUTED_VALUE"""),"I")</f>
        <v>I</v>
      </c>
      <c r="G1007" s="110">
        <f ca="1">IFERROR(__xludf.DUMMYFUNCTION("""COMPUTED_VALUE"""),7)</f>
        <v>7</v>
      </c>
      <c r="H1007" s="112" t="str">
        <f ca="1"/>
        <v/>
      </c>
      <c r="I1007" s="112" t="str">
        <f ca="1"/>
        <v/>
      </c>
    </row>
    <row r="1008" spans="1:9" ht="13.2">
      <c r="A1008" s="109" t="str">
        <f ca="1">IFERROR(__xludf.DUMMYFUNCTION("""COMPUTED_VALUE"""),"HSC")</f>
        <v>HSC</v>
      </c>
      <c r="B1008" s="108" t="str">
        <f ca="1">IFERROR(__xludf.DUMMYFUNCTION("""COMPUTED_VALUE"""),"Charlotte Frankel")</f>
        <v>Charlotte Frankel</v>
      </c>
      <c r="C1008" s="109">
        <f ca="1">IFERROR(__xludf.DUMMYFUNCTION("""COMPUTED_VALUE"""),11)</f>
        <v>11</v>
      </c>
      <c r="D1008" s="109" t="str">
        <f ca="1">IFERROR(__xludf.DUMMYFUNCTION("""COMPUTED_VALUE"""),"G")</f>
        <v>G</v>
      </c>
      <c r="E1008" s="110" t="str">
        <f ca="1">IFERROR(__xludf.DUMMYFUNCTION("""COMPUTED_VALUE"""),"J")</f>
        <v>J</v>
      </c>
      <c r="F1008" s="110" t="str">
        <f ca="1">IFERROR(__xludf.DUMMYFUNCTION("""COMPUTED_VALUE"""),"I")</f>
        <v>I</v>
      </c>
      <c r="G1008" s="110">
        <f ca="1">IFERROR(__xludf.DUMMYFUNCTION("""COMPUTED_VALUE"""),7)</f>
        <v>7</v>
      </c>
      <c r="H1008" s="112" t="str">
        <f ca="1"/>
        <v/>
      </c>
      <c r="I1008" s="81" t="str">
        <f ca="1"/>
        <v/>
      </c>
    </row>
    <row r="1009" spans="1:9" ht="13.2">
      <c r="A1009" s="109" t="str">
        <f ca="1">IFERROR(__xludf.DUMMYFUNCTION("""COMPUTED_VALUE"""),"HSC")</f>
        <v>HSC</v>
      </c>
      <c r="B1009" s="108" t="str">
        <f ca="1">IFERROR(__xludf.DUMMYFUNCTION("""COMPUTED_VALUE"""),"Leyla Ozden")</f>
        <v>Leyla Ozden</v>
      </c>
      <c r="C1009" s="109">
        <f ca="1">IFERROR(__xludf.DUMMYFUNCTION("""COMPUTED_VALUE"""),11)</f>
        <v>11</v>
      </c>
      <c r="D1009" s="109" t="str">
        <f ca="1">IFERROR(__xludf.DUMMYFUNCTION("""COMPUTED_VALUE"""),"G")</f>
        <v>G</v>
      </c>
      <c r="E1009" s="110" t="str">
        <f ca="1">IFERROR(__xludf.DUMMYFUNCTION("""COMPUTED_VALUE"""),"J")</f>
        <v>J</v>
      </c>
      <c r="F1009" s="110" t="str">
        <f ca="1">IFERROR(__xludf.DUMMYFUNCTION("""COMPUTED_VALUE"""),"I")</f>
        <v>I</v>
      </c>
      <c r="G1009" s="110">
        <f ca="1">IFERROR(__xludf.DUMMYFUNCTION("""COMPUTED_VALUE"""),7)</f>
        <v>7</v>
      </c>
      <c r="H1009" s="112" t="str">
        <f ca="1"/>
        <v/>
      </c>
      <c r="I1009" s="81" t="str">
        <f ca="1"/>
        <v/>
      </c>
    </row>
    <row r="1010" spans="1:9" ht="13.2">
      <c r="A1010" s="109" t="str">
        <f ca="1">IFERROR(__xludf.DUMMYFUNCTION("""COMPUTED_VALUE"""),"HSC")</f>
        <v>HSC</v>
      </c>
      <c r="B1010" s="108" t="str">
        <f ca="1">IFERROR(__xludf.DUMMYFUNCTION("""COMPUTED_VALUE"""),"Tatum Kurpiel")</f>
        <v>Tatum Kurpiel</v>
      </c>
      <c r="C1010" s="109">
        <f ca="1">IFERROR(__xludf.DUMMYFUNCTION("""COMPUTED_VALUE"""),11)</f>
        <v>11</v>
      </c>
      <c r="D1010" s="109" t="str">
        <f ca="1">IFERROR(__xludf.DUMMYFUNCTION("""COMPUTED_VALUE"""),"G")</f>
        <v>G</v>
      </c>
      <c r="E1010" s="110" t="str">
        <f ca="1">IFERROR(__xludf.DUMMYFUNCTION("""COMPUTED_VALUE"""),"J")</f>
        <v>J</v>
      </c>
      <c r="F1010" s="110" t="str">
        <f ca="1">IFERROR(__xludf.DUMMYFUNCTION("""COMPUTED_VALUE"""),"I")</f>
        <v>I</v>
      </c>
      <c r="G1010" s="110">
        <f ca="1">IFERROR(__xludf.DUMMYFUNCTION("""COMPUTED_VALUE"""),7)</f>
        <v>7</v>
      </c>
      <c r="H1010" s="112" t="str">
        <f ca="1"/>
        <v/>
      </c>
      <c r="I1010" s="112" t="str">
        <f ca="1"/>
        <v/>
      </c>
    </row>
    <row r="1011" spans="1:9" ht="13.2">
      <c r="A1011" s="109" t="str">
        <f ca="1">IFERROR(__xludf.DUMMYFUNCTION("""COMPUTED_VALUE"""),"HSC")</f>
        <v>HSC</v>
      </c>
      <c r="B1011" s="108" t="str">
        <f ca="1">IFERROR(__xludf.DUMMYFUNCTION("""COMPUTED_VALUE"""),"Vela Pascual")</f>
        <v>Vela Pascual</v>
      </c>
      <c r="C1011" s="109">
        <f ca="1">IFERROR(__xludf.DUMMYFUNCTION("""COMPUTED_VALUE"""),12)</f>
        <v>12</v>
      </c>
      <c r="D1011" s="109" t="str">
        <f ca="1">IFERROR(__xludf.DUMMYFUNCTION("""COMPUTED_VALUE"""),"G")</f>
        <v>G</v>
      </c>
      <c r="E1011" s="110" t="str">
        <f ca="1">IFERROR(__xludf.DUMMYFUNCTION("""COMPUTED_VALUE"""),"J")</f>
        <v>J</v>
      </c>
      <c r="F1011" s="110" t="str">
        <f ca="1">IFERROR(__xludf.DUMMYFUNCTION("""COMPUTED_VALUE"""),"I")</f>
        <v>I</v>
      </c>
      <c r="G1011" s="110">
        <f ca="1">IFERROR(__xludf.DUMMYFUNCTION("""COMPUTED_VALUE"""),7)</f>
        <v>7</v>
      </c>
      <c r="H1011" s="112" t="str">
        <f ca="1"/>
        <v/>
      </c>
      <c r="I1011" s="112" t="str">
        <f ca="1"/>
        <v/>
      </c>
    </row>
    <row r="1012" spans="1:9" ht="13.2">
      <c r="A1012" s="109" t="str">
        <f ca="1">IFERROR(__xludf.DUMMYFUNCTION("""COMPUTED_VALUE"""),"HSC")</f>
        <v>HSC</v>
      </c>
      <c r="B1012" s="108" t="str">
        <f ca="1">IFERROR(__xludf.DUMMYFUNCTION("""COMPUTED_VALUE"""),"Anthony Maull")</f>
        <v>Anthony Maull</v>
      </c>
      <c r="C1012" s="109">
        <f ca="1">IFERROR(__xludf.DUMMYFUNCTION("""COMPUTED_VALUE"""),15)</f>
        <v>15</v>
      </c>
      <c r="D1012" s="109" t="str">
        <f ca="1">IFERROR(__xludf.DUMMYFUNCTION("""COMPUTED_VALUE"""),"B")</f>
        <v>B</v>
      </c>
      <c r="E1012" s="110" t="str">
        <f ca="1">IFERROR(__xludf.DUMMYFUNCTION("""COMPUTED_VALUE"""),"S")</f>
        <v>S</v>
      </c>
      <c r="F1012" s="110" t="str">
        <f ca="1">IFERROR(__xludf.DUMMYFUNCTION("""COMPUTED_VALUE"""),"S")</f>
        <v>S</v>
      </c>
      <c r="G1012" s="110">
        <f ca="1">IFERROR(__xludf.DUMMYFUNCTION("""COMPUTED_VALUE"""),7)</f>
        <v>7</v>
      </c>
      <c r="H1012" s="112" t="str">
        <f ca="1"/>
        <v/>
      </c>
      <c r="I1012" s="81" t="str">
        <f ca="1"/>
        <v/>
      </c>
    </row>
    <row r="1013" spans="1:9" ht="13.2">
      <c r="A1013" s="109" t="str">
        <f ca="1">IFERROR(__xludf.DUMMYFUNCTION("""COMPUTED_VALUE"""),"HSC")</f>
        <v>HSC</v>
      </c>
      <c r="B1013" s="108" t="str">
        <f ca="1">IFERROR(__xludf.DUMMYFUNCTION("""COMPUTED_VALUE"""),"Luke Terry")</f>
        <v>Luke Terry</v>
      </c>
      <c r="C1013" s="109">
        <f ca="1">IFERROR(__xludf.DUMMYFUNCTION("""COMPUTED_VALUE"""),16)</f>
        <v>16</v>
      </c>
      <c r="D1013" s="109" t="str">
        <f ca="1">IFERROR(__xludf.DUMMYFUNCTION("""COMPUTED_VALUE"""),"B")</f>
        <v>B</v>
      </c>
      <c r="E1013" s="110" t="str">
        <f ca="1">IFERROR(__xludf.DUMMYFUNCTION("""COMPUTED_VALUE"""),"S")</f>
        <v>S</v>
      </c>
      <c r="F1013" s="110" t="str">
        <f ca="1">IFERROR(__xludf.DUMMYFUNCTION("""COMPUTED_VALUE"""),"S")</f>
        <v>S</v>
      </c>
      <c r="G1013" s="110">
        <f ca="1">IFERROR(__xludf.DUMMYFUNCTION("""COMPUTED_VALUE"""),7)</f>
        <v>7</v>
      </c>
      <c r="H1013" s="112" t="str">
        <f ca="1"/>
        <v/>
      </c>
      <c r="I1013" s="81" t="str">
        <f ca="1"/>
        <v/>
      </c>
    </row>
    <row r="1014" spans="1:9" ht="13.2">
      <c r="A1014" s="109" t="str">
        <f ca="1">IFERROR(__xludf.DUMMYFUNCTION("""COMPUTED_VALUE"""),"HSC")</f>
        <v>HSC</v>
      </c>
      <c r="B1014" s="108" t="str">
        <f ca="1">IFERROR(__xludf.DUMMYFUNCTION("""COMPUTED_VALUE"""),"Melinda Hauda")</f>
        <v>Melinda Hauda</v>
      </c>
      <c r="C1014" s="109">
        <f ca="1">IFERROR(__xludf.DUMMYFUNCTION("""COMPUTED_VALUE"""),16)</f>
        <v>16</v>
      </c>
      <c r="D1014" s="109" t="str">
        <f ca="1">IFERROR(__xludf.DUMMYFUNCTION("""COMPUTED_VALUE"""),"G")</f>
        <v>G</v>
      </c>
      <c r="E1014" s="110" t="str">
        <f ca="1">IFERROR(__xludf.DUMMYFUNCTION("""COMPUTED_VALUE"""),"S")</f>
        <v>S</v>
      </c>
      <c r="F1014" s="110" t="str">
        <f ca="1">IFERROR(__xludf.DUMMYFUNCTION("""COMPUTED_VALUE"""),"S")</f>
        <v>S</v>
      </c>
      <c r="G1014" s="110">
        <f ca="1">IFERROR(__xludf.DUMMYFUNCTION("""COMPUTED_VALUE"""),7)</f>
        <v>7</v>
      </c>
      <c r="H1014" s="112" t="str">
        <f ca="1"/>
        <v/>
      </c>
      <c r="I1014" s="112" t="str">
        <f ca="1"/>
        <v/>
      </c>
    </row>
    <row r="1015" spans="1:9" ht="13.2">
      <c r="A1015" s="109" t="str">
        <f ca="1">IFERROR(__xludf.DUMMYFUNCTION("""COMPUTED_VALUE"""),"HV")</f>
        <v>HV</v>
      </c>
      <c r="B1015" s="108" t="str">
        <f ca="1">IFERROR(__xludf.DUMMYFUNCTION("""COMPUTED_VALUE"""),"Adam Ogrodny")</f>
        <v>Adam Ogrodny</v>
      </c>
      <c r="C1015" s="109">
        <f ca="1">IFERROR(__xludf.DUMMYFUNCTION("""COMPUTED_VALUE"""),8)</f>
        <v>8</v>
      </c>
      <c r="D1015" s="109" t="str">
        <f ca="1">IFERROR(__xludf.DUMMYFUNCTION("""COMPUTED_VALUE"""),"B")</f>
        <v>B</v>
      </c>
      <c r="E1015" s="110" t="str">
        <f ca="1">IFERROR(__xludf.DUMMYFUNCTION("""COMPUTED_VALUE"""),"F")</f>
        <v>F</v>
      </c>
      <c r="F1015" s="110" t="str">
        <f ca="1">IFERROR(__xludf.DUMMYFUNCTION("""COMPUTED_VALUE"""),"J")</f>
        <v>J</v>
      </c>
      <c r="G1015" s="110">
        <f ca="1">IFERROR(__xludf.DUMMYFUNCTION("""COMPUTED_VALUE"""),3)</f>
        <v>3</v>
      </c>
      <c r="H1015" s="112" t="str">
        <f ca="1"/>
        <v/>
      </c>
      <c r="I1015" s="81" t="str">
        <f ca="1"/>
        <v/>
      </c>
    </row>
    <row r="1016" spans="1:9" ht="13.2">
      <c r="A1016" s="109" t="str">
        <f ca="1">IFERROR(__xludf.DUMMYFUNCTION("""COMPUTED_VALUE"""),"HV")</f>
        <v>HV</v>
      </c>
      <c r="B1016" s="108" t="str">
        <f ca="1">IFERROR(__xludf.DUMMYFUNCTION("""COMPUTED_VALUE"""),"Amir Owens")</f>
        <v>Amir Owens</v>
      </c>
      <c r="C1016" s="109">
        <f ca="1">IFERROR(__xludf.DUMMYFUNCTION("""COMPUTED_VALUE"""),8)</f>
        <v>8</v>
      </c>
      <c r="D1016" s="109" t="str">
        <f ca="1">IFERROR(__xludf.DUMMYFUNCTION("""COMPUTED_VALUE"""),"B")</f>
        <v>B</v>
      </c>
      <c r="E1016" s="110" t="str">
        <f ca="1">IFERROR(__xludf.DUMMYFUNCTION("""COMPUTED_VALUE"""),"F")</f>
        <v>F</v>
      </c>
      <c r="F1016" s="110" t="str">
        <f ca="1">IFERROR(__xludf.DUMMYFUNCTION("""COMPUTED_VALUE"""),"J")</f>
        <v>J</v>
      </c>
      <c r="G1016" s="110">
        <f ca="1">IFERROR(__xludf.DUMMYFUNCTION("""COMPUTED_VALUE"""),3)</f>
        <v>3</v>
      </c>
      <c r="H1016" s="112" t="str">
        <f ca="1"/>
        <v/>
      </c>
      <c r="I1016" s="81" t="str">
        <f ca="1"/>
        <v/>
      </c>
    </row>
    <row r="1017" spans="1:9" ht="13.2">
      <c r="A1017" s="109" t="str">
        <f ca="1">IFERROR(__xludf.DUMMYFUNCTION("""COMPUTED_VALUE"""),"HV")</f>
        <v>HV</v>
      </c>
      <c r="B1017" s="108" t="str">
        <f ca="1">IFERROR(__xludf.DUMMYFUNCTION("""COMPUTED_VALUE"""),"Brennan McGill")</f>
        <v>Brennan McGill</v>
      </c>
      <c r="C1017" s="109">
        <f ca="1">IFERROR(__xludf.DUMMYFUNCTION("""COMPUTED_VALUE"""),7)</f>
        <v>7</v>
      </c>
      <c r="D1017" s="109" t="str">
        <f ca="1">IFERROR(__xludf.DUMMYFUNCTION("""COMPUTED_VALUE"""),"B")</f>
        <v>B</v>
      </c>
      <c r="E1017" s="110" t="str">
        <f ca="1">IFERROR(__xludf.DUMMYFUNCTION("""COMPUTED_VALUE"""),"F")</f>
        <v>F</v>
      </c>
      <c r="F1017" s="110" t="str">
        <f ca="1">IFERROR(__xludf.DUMMYFUNCTION("""COMPUTED_VALUE"""),"J")</f>
        <v>J</v>
      </c>
      <c r="G1017" s="110">
        <f ca="1">IFERROR(__xludf.DUMMYFUNCTION("""COMPUTED_VALUE"""),3)</f>
        <v>3</v>
      </c>
      <c r="H1017" s="112" t="str">
        <f ca="1"/>
        <v/>
      </c>
      <c r="I1017" s="112" t="str">
        <f ca="1"/>
        <v/>
      </c>
    </row>
    <row r="1018" spans="1:9" ht="13.2">
      <c r="A1018" s="109" t="str">
        <f ca="1">IFERROR(__xludf.DUMMYFUNCTION("""COMPUTED_VALUE"""),"HV")</f>
        <v>HV</v>
      </c>
      <c r="B1018" s="108" t="str">
        <f ca="1">IFERROR(__xludf.DUMMYFUNCTION("""COMPUTED_VALUE"""),"Colson Gardiner")</f>
        <v>Colson Gardiner</v>
      </c>
      <c r="C1018" s="109">
        <f ca="1">IFERROR(__xludf.DUMMYFUNCTION("""COMPUTED_VALUE"""),10)</f>
        <v>10</v>
      </c>
      <c r="D1018" s="109" t="str">
        <f ca="1">IFERROR(__xludf.DUMMYFUNCTION("""COMPUTED_VALUE"""),"B")</f>
        <v>B</v>
      </c>
      <c r="E1018" s="110" t="str">
        <f ca="1">IFERROR(__xludf.DUMMYFUNCTION("""COMPUTED_VALUE"""),"F")</f>
        <v>F</v>
      </c>
      <c r="F1018" s="110" t="str">
        <f ca="1">IFERROR(__xludf.DUMMYFUNCTION("""COMPUTED_VALUE"""),"J")</f>
        <v>J</v>
      </c>
      <c r="G1018" s="110">
        <f ca="1">IFERROR(__xludf.DUMMYFUNCTION("""COMPUTED_VALUE"""),3)</f>
        <v>3</v>
      </c>
      <c r="H1018" s="112" t="str">
        <f ca="1"/>
        <v/>
      </c>
      <c r="I1018" s="112" t="str">
        <f ca="1"/>
        <v/>
      </c>
    </row>
    <row r="1019" spans="1:9" ht="13.2">
      <c r="A1019" s="109" t="str">
        <f ca="1">IFERROR(__xludf.DUMMYFUNCTION("""COMPUTED_VALUE"""),"HV")</f>
        <v>HV</v>
      </c>
      <c r="B1019" s="108" t="str">
        <f ca="1">IFERROR(__xludf.DUMMYFUNCTION("""COMPUTED_VALUE"""),"Derek Baltas")</f>
        <v>Derek Baltas</v>
      </c>
      <c r="C1019" s="109">
        <f ca="1">IFERROR(__xludf.DUMMYFUNCTION("""COMPUTED_VALUE"""),10)</f>
        <v>10</v>
      </c>
      <c r="D1019" s="109" t="str">
        <f ca="1">IFERROR(__xludf.DUMMYFUNCTION("""COMPUTED_VALUE"""),"B")</f>
        <v>B</v>
      </c>
      <c r="E1019" s="110" t="str">
        <f ca="1">IFERROR(__xludf.DUMMYFUNCTION("""COMPUTED_VALUE"""),"F")</f>
        <v>F</v>
      </c>
      <c r="F1019" s="110" t="str">
        <f ca="1">IFERROR(__xludf.DUMMYFUNCTION("""COMPUTED_VALUE"""),"J")</f>
        <v>J</v>
      </c>
      <c r="G1019" s="110">
        <f ca="1">IFERROR(__xludf.DUMMYFUNCTION("""COMPUTED_VALUE"""),3)</f>
        <v>3</v>
      </c>
      <c r="H1019" s="112" t="str">
        <f ca="1"/>
        <v/>
      </c>
      <c r="I1019" s="81" t="str">
        <f ca="1"/>
        <v/>
      </c>
    </row>
    <row r="1020" spans="1:9" ht="13.2">
      <c r="A1020" s="109" t="str">
        <f ca="1">IFERROR(__xludf.DUMMYFUNCTION("""COMPUTED_VALUE"""),"HV")</f>
        <v>HV</v>
      </c>
      <c r="B1020" s="108" t="str">
        <f ca="1">IFERROR(__xludf.DUMMYFUNCTION("""COMPUTED_VALUE"""),"Jacob Faustman")</f>
        <v>Jacob Faustman</v>
      </c>
      <c r="C1020" s="109">
        <f ca="1">IFERROR(__xludf.DUMMYFUNCTION("""COMPUTED_VALUE"""),9)</f>
        <v>9</v>
      </c>
      <c r="D1020" s="109" t="str">
        <f ca="1">IFERROR(__xludf.DUMMYFUNCTION("""COMPUTED_VALUE"""),"B")</f>
        <v>B</v>
      </c>
      <c r="E1020" s="110" t="str">
        <f ca="1">IFERROR(__xludf.DUMMYFUNCTION("""COMPUTED_VALUE"""),"F")</f>
        <v>F</v>
      </c>
      <c r="F1020" s="110" t="str">
        <f ca="1">IFERROR(__xludf.DUMMYFUNCTION("""COMPUTED_VALUE"""),"J")</f>
        <v>J</v>
      </c>
      <c r="G1020" s="110">
        <f ca="1">IFERROR(__xludf.DUMMYFUNCTION("""COMPUTED_VALUE"""),3)</f>
        <v>3</v>
      </c>
      <c r="H1020" s="112" t="str">
        <f ca="1"/>
        <v>37</v>
      </c>
      <c r="I1020" s="112">
        <f ca="1"/>
        <v>37</v>
      </c>
    </row>
    <row r="1021" spans="1:9" ht="13.2">
      <c r="A1021" s="109" t="str">
        <f ca="1">IFERROR(__xludf.DUMMYFUNCTION("""COMPUTED_VALUE"""),"HV")</f>
        <v>HV</v>
      </c>
      <c r="B1021" s="108" t="str">
        <f ca="1">IFERROR(__xludf.DUMMYFUNCTION("""COMPUTED_VALUE"""),"John Mulcahy")</f>
        <v>John Mulcahy</v>
      </c>
      <c r="C1021" s="109">
        <f ca="1">IFERROR(__xludf.DUMMYFUNCTION("""COMPUTED_VALUE"""),8)</f>
        <v>8</v>
      </c>
      <c r="D1021" s="109" t="str">
        <f ca="1">IFERROR(__xludf.DUMMYFUNCTION("""COMPUTED_VALUE"""),"B")</f>
        <v>B</v>
      </c>
      <c r="E1021" s="110" t="str">
        <f ca="1">IFERROR(__xludf.DUMMYFUNCTION("""COMPUTED_VALUE"""),"F")</f>
        <v>F</v>
      </c>
      <c r="F1021" s="110" t="str">
        <f ca="1">IFERROR(__xludf.DUMMYFUNCTION("""COMPUTED_VALUE"""),"J")</f>
        <v>J</v>
      </c>
      <c r="G1021" s="110">
        <f ca="1">IFERROR(__xludf.DUMMYFUNCTION("""COMPUTED_VALUE"""),3)</f>
        <v>3</v>
      </c>
      <c r="H1021" s="112" t="str">
        <f ca="1"/>
        <v/>
      </c>
      <c r="I1021" s="81" t="str">
        <f ca="1"/>
        <v/>
      </c>
    </row>
    <row r="1022" spans="1:9" ht="13.2">
      <c r="A1022" s="109" t="str">
        <f ca="1">IFERROR(__xludf.DUMMYFUNCTION("""COMPUTED_VALUE"""),"HV")</f>
        <v>HV</v>
      </c>
      <c r="B1022" s="108" t="str">
        <f ca="1">IFERROR(__xludf.DUMMYFUNCTION("""COMPUTED_VALUE"""),"Ryan Ingraham")</f>
        <v>Ryan Ingraham</v>
      </c>
      <c r="C1022" s="109">
        <f ca="1">IFERROR(__xludf.DUMMYFUNCTION("""COMPUTED_VALUE"""),8)</f>
        <v>8</v>
      </c>
      <c r="D1022" s="109" t="str">
        <f ca="1">IFERROR(__xludf.DUMMYFUNCTION("""COMPUTED_VALUE"""),"B")</f>
        <v>B</v>
      </c>
      <c r="E1022" s="110" t="str">
        <f ca="1">IFERROR(__xludf.DUMMYFUNCTION("""COMPUTED_VALUE"""),"F")</f>
        <v>F</v>
      </c>
      <c r="F1022" s="110" t="str">
        <f ca="1">IFERROR(__xludf.DUMMYFUNCTION("""COMPUTED_VALUE"""),"J")</f>
        <v>J</v>
      </c>
      <c r="G1022" s="110">
        <f ca="1">IFERROR(__xludf.DUMMYFUNCTION("""COMPUTED_VALUE"""),3)</f>
        <v>3</v>
      </c>
      <c r="H1022" s="112" t="str">
        <f ca="1"/>
        <v/>
      </c>
      <c r="I1022" s="81" t="str">
        <f ca="1"/>
        <v/>
      </c>
    </row>
    <row r="1023" spans="1:9" ht="13.2">
      <c r="A1023" s="109" t="str">
        <f ca="1">IFERROR(__xludf.DUMMYFUNCTION("""COMPUTED_VALUE"""),"HV")</f>
        <v>HV</v>
      </c>
      <c r="B1023" s="108" t="str">
        <f ca="1">IFERROR(__xludf.DUMMYFUNCTION("""COMPUTED_VALUE"""),"Tanner Bennett")</f>
        <v>Tanner Bennett</v>
      </c>
      <c r="C1023" s="109">
        <f ca="1">IFERROR(__xludf.DUMMYFUNCTION("""COMPUTED_VALUE"""),8)</f>
        <v>8</v>
      </c>
      <c r="D1023" s="109" t="str">
        <f ca="1">IFERROR(__xludf.DUMMYFUNCTION("""COMPUTED_VALUE"""),"B")</f>
        <v>B</v>
      </c>
      <c r="E1023" s="110" t="str">
        <f ca="1">IFERROR(__xludf.DUMMYFUNCTION("""COMPUTED_VALUE"""),"F")</f>
        <v>F</v>
      </c>
      <c r="F1023" s="110" t="str">
        <f ca="1">IFERROR(__xludf.DUMMYFUNCTION("""COMPUTED_VALUE"""),"J")</f>
        <v>J</v>
      </c>
      <c r="G1023" s="110">
        <f ca="1">IFERROR(__xludf.DUMMYFUNCTION("""COMPUTED_VALUE"""),3)</f>
        <v>3</v>
      </c>
      <c r="H1023" s="112" t="str">
        <f ca="1"/>
        <v/>
      </c>
      <c r="I1023" s="81" t="str">
        <f ca="1"/>
        <v/>
      </c>
    </row>
    <row r="1024" spans="1:9" ht="13.2">
      <c r="A1024" s="109" t="str">
        <f ca="1">IFERROR(__xludf.DUMMYFUNCTION("""COMPUTED_VALUE"""),"HV")</f>
        <v>HV</v>
      </c>
      <c r="B1024" s="108" t="str">
        <f ca="1">IFERROR(__xludf.DUMMYFUNCTION("""COMPUTED_VALUE"""),"Addison Bennett")</f>
        <v>Addison Bennett</v>
      </c>
      <c r="C1024" s="109">
        <f ca="1">IFERROR(__xludf.DUMMYFUNCTION("""COMPUTED_VALUE"""),10)</f>
        <v>10</v>
      </c>
      <c r="D1024" s="109" t="str">
        <f ca="1">IFERROR(__xludf.DUMMYFUNCTION("""COMPUTED_VALUE"""),"G")</f>
        <v>G</v>
      </c>
      <c r="E1024" s="110" t="str">
        <f ca="1">IFERROR(__xludf.DUMMYFUNCTION("""COMPUTED_VALUE"""),"F")</f>
        <v>F</v>
      </c>
      <c r="F1024" s="110" t="str">
        <f ca="1">IFERROR(__xludf.DUMMYFUNCTION("""COMPUTED_VALUE"""),"J")</f>
        <v>J</v>
      </c>
      <c r="G1024" s="110">
        <f ca="1">IFERROR(__xludf.DUMMYFUNCTION("""COMPUTED_VALUE"""),3)</f>
        <v>3</v>
      </c>
      <c r="H1024" s="112" t="str">
        <f ca="1"/>
        <v>31.9</v>
      </c>
      <c r="I1024" s="81">
        <f ca="1"/>
        <v>31.9</v>
      </c>
    </row>
    <row r="1025" spans="1:9" ht="13.2">
      <c r="A1025" s="109" t="str">
        <f ca="1">IFERROR(__xludf.DUMMYFUNCTION("""COMPUTED_VALUE"""),"HV")</f>
        <v>HV</v>
      </c>
      <c r="B1025" s="108" t="str">
        <f ca="1">IFERROR(__xludf.DUMMYFUNCTION("""COMPUTED_VALUE"""),"Eloise Ayers")</f>
        <v>Eloise Ayers</v>
      </c>
      <c r="C1025" s="109">
        <f ca="1">IFERROR(__xludf.DUMMYFUNCTION("""COMPUTED_VALUE"""),10)</f>
        <v>10</v>
      </c>
      <c r="D1025" s="109" t="str">
        <f ca="1">IFERROR(__xludf.DUMMYFUNCTION("""COMPUTED_VALUE"""),"G")</f>
        <v>G</v>
      </c>
      <c r="E1025" s="110" t="str">
        <f ca="1">IFERROR(__xludf.DUMMYFUNCTION("""COMPUTED_VALUE"""),"F")</f>
        <v>F</v>
      </c>
      <c r="F1025" s="110" t="str">
        <f ca="1">IFERROR(__xludf.DUMMYFUNCTION("""COMPUTED_VALUE"""),"J")</f>
        <v>J</v>
      </c>
      <c r="G1025" s="110">
        <f ca="1">IFERROR(__xludf.DUMMYFUNCTION("""COMPUTED_VALUE"""),3)</f>
        <v>3</v>
      </c>
      <c r="H1025" s="112" t="str">
        <f ca="1"/>
        <v/>
      </c>
      <c r="I1025" s="112" t="str">
        <f ca="1"/>
        <v/>
      </c>
    </row>
    <row r="1026" spans="1:9" ht="13.2">
      <c r="A1026" s="109" t="str">
        <f ca="1">IFERROR(__xludf.DUMMYFUNCTION("""COMPUTED_VALUE"""),"HV")</f>
        <v>HV</v>
      </c>
      <c r="B1026" s="108" t="str">
        <f ca="1">IFERROR(__xludf.DUMMYFUNCTION("""COMPUTED_VALUE"""),"Emily Dunn")</f>
        <v>Emily Dunn</v>
      </c>
      <c r="C1026" s="109">
        <f ca="1">IFERROR(__xludf.DUMMYFUNCTION("""COMPUTED_VALUE"""),7)</f>
        <v>7</v>
      </c>
      <c r="D1026" s="109" t="str">
        <f ca="1">IFERROR(__xludf.DUMMYFUNCTION("""COMPUTED_VALUE"""),"G")</f>
        <v>G</v>
      </c>
      <c r="E1026" s="110" t="str">
        <f ca="1">IFERROR(__xludf.DUMMYFUNCTION("""COMPUTED_VALUE"""),"F")</f>
        <v>F</v>
      </c>
      <c r="F1026" s="110" t="str">
        <f ca="1">IFERROR(__xludf.DUMMYFUNCTION("""COMPUTED_VALUE"""),"J")</f>
        <v>J</v>
      </c>
      <c r="G1026" s="110">
        <f ca="1">IFERROR(__xludf.DUMMYFUNCTION("""COMPUTED_VALUE"""),3)</f>
        <v>3</v>
      </c>
      <c r="H1026" s="112" t="str">
        <f ca="1"/>
        <v/>
      </c>
      <c r="I1026" s="81" t="str">
        <f ca="1"/>
        <v/>
      </c>
    </row>
    <row r="1027" spans="1:9" ht="13.2">
      <c r="A1027" s="109" t="str">
        <f ca="1">IFERROR(__xludf.DUMMYFUNCTION("""COMPUTED_VALUE"""),"HV")</f>
        <v>HV</v>
      </c>
      <c r="B1027" s="108" t="str">
        <f ca="1">IFERROR(__xludf.DUMMYFUNCTION("""COMPUTED_VALUE"""),"Erin Gardiner")</f>
        <v>Erin Gardiner</v>
      </c>
      <c r="C1027" s="109">
        <f ca="1">IFERROR(__xludf.DUMMYFUNCTION("""COMPUTED_VALUE"""),10)</f>
        <v>10</v>
      </c>
      <c r="D1027" s="109" t="str">
        <f ca="1">IFERROR(__xludf.DUMMYFUNCTION("""COMPUTED_VALUE"""),"G")</f>
        <v>G</v>
      </c>
      <c r="E1027" s="110" t="str">
        <f ca="1">IFERROR(__xludf.DUMMYFUNCTION("""COMPUTED_VALUE"""),"F")</f>
        <v>F</v>
      </c>
      <c r="F1027" s="110" t="str">
        <f ca="1">IFERROR(__xludf.DUMMYFUNCTION("""COMPUTED_VALUE"""),"J")</f>
        <v>J</v>
      </c>
      <c r="G1027" s="110">
        <f ca="1">IFERROR(__xludf.DUMMYFUNCTION("""COMPUTED_VALUE"""),3)</f>
        <v>3</v>
      </c>
      <c r="H1027" s="112" t="str">
        <f ca="1"/>
        <v/>
      </c>
      <c r="I1027" s="81" t="str">
        <f ca="1"/>
        <v/>
      </c>
    </row>
    <row r="1028" spans="1:9" ht="13.2">
      <c r="A1028" s="109" t="str">
        <f ca="1">IFERROR(__xludf.DUMMYFUNCTION("""COMPUTED_VALUE"""),"HV")</f>
        <v>HV</v>
      </c>
      <c r="B1028" s="108" t="str">
        <f ca="1">IFERROR(__xludf.DUMMYFUNCTION("""COMPUTED_VALUE"""),"Lyla Jacobs")</f>
        <v>Lyla Jacobs</v>
      </c>
      <c r="C1028" s="109">
        <f ca="1">IFERROR(__xludf.DUMMYFUNCTION("""COMPUTED_VALUE"""),10)</f>
        <v>10</v>
      </c>
      <c r="D1028" s="109" t="str">
        <f ca="1">IFERROR(__xludf.DUMMYFUNCTION("""COMPUTED_VALUE"""),"G")</f>
        <v>G</v>
      </c>
      <c r="E1028" s="110" t="str">
        <f ca="1">IFERROR(__xludf.DUMMYFUNCTION("""COMPUTED_VALUE"""),"F")</f>
        <v>F</v>
      </c>
      <c r="F1028" s="110" t="str">
        <f ca="1">IFERROR(__xludf.DUMMYFUNCTION("""COMPUTED_VALUE"""),"J")</f>
        <v>J</v>
      </c>
      <c r="G1028" s="110">
        <f ca="1">IFERROR(__xludf.DUMMYFUNCTION("""COMPUTED_VALUE"""),3)</f>
        <v>3</v>
      </c>
      <c r="H1028" s="112" t="str">
        <f ca="1"/>
        <v>21.3</v>
      </c>
      <c r="I1028" s="81">
        <f ca="1"/>
        <v>21.3</v>
      </c>
    </row>
    <row r="1029" spans="1:9" ht="13.2">
      <c r="A1029" s="109" t="str">
        <f ca="1">IFERROR(__xludf.DUMMYFUNCTION("""COMPUTED_VALUE"""),"HV")</f>
        <v>HV</v>
      </c>
      <c r="B1029" s="108" t="str">
        <f ca="1">IFERROR(__xludf.DUMMYFUNCTION("""COMPUTED_VALUE"""),"Payton Bennett")</f>
        <v>Payton Bennett</v>
      </c>
      <c r="C1029" s="109">
        <f ca="1">IFERROR(__xludf.DUMMYFUNCTION("""COMPUTED_VALUE"""),6)</f>
        <v>6</v>
      </c>
      <c r="D1029" s="109" t="str">
        <f ca="1">IFERROR(__xludf.DUMMYFUNCTION("""COMPUTED_VALUE"""),"G")</f>
        <v>G</v>
      </c>
      <c r="E1029" s="110" t="str">
        <f ca="1">IFERROR(__xludf.DUMMYFUNCTION("""COMPUTED_VALUE"""),"F")</f>
        <v>F</v>
      </c>
      <c r="F1029" s="110" t="str">
        <f ca="1">IFERROR(__xludf.DUMMYFUNCTION("""COMPUTED_VALUE"""),"J")</f>
        <v>J</v>
      </c>
      <c r="G1029" s="110">
        <f ca="1">IFERROR(__xludf.DUMMYFUNCTION("""COMPUTED_VALUE"""),3)</f>
        <v>3</v>
      </c>
      <c r="H1029" s="112" t="str">
        <f ca="1"/>
        <v>37.5</v>
      </c>
      <c r="I1029" s="81">
        <f ca="1"/>
        <v>37.5</v>
      </c>
    </row>
    <row r="1030" spans="1:9" ht="13.2">
      <c r="A1030" s="109" t="str">
        <f ca="1">IFERROR(__xludf.DUMMYFUNCTION("""COMPUTED_VALUE"""),"HV")</f>
        <v>HV</v>
      </c>
      <c r="B1030" s="108" t="str">
        <f ca="1">IFERROR(__xludf.DUMMYFUNCTION("""COMPUTED_VALUE"""),"Zara Ingraham")</f>
        <v>Zara Ingraham</v>
      </c>
      <c r="C1030" s="109">
        <f ca="1">IFERROR(__xludf.DUMMYFUNCTION("""COMPUTED_VALUE"""),7)</f>
        <v>7</v>
      </c>
      <c r="D1030" s="109" t="str">
        <f ca="1">IFERROR(__xludf.DUMMYFUNCTION("""COMPUTED_VALUE"""),"G")</f>
        <v>G</v>
      </c>
      <c r="E1030" s="110" t="str">
        <f ca="1">IFERROR(__xludf.DUMMYFUNCTION("""COMPUTED_VALUE"""),"F")</f>
        <v>F</v>
      </c>
      <c r="F1030" s="110" t="str">
        <f ca="1">IFERROR(__xludf.DUMMYFUNCTION("""COMPUTED_VALUE"""),"J")</f>
        <v>J</v>
      </c>
      <c r="G1030" s="110">
        <f ca="1">IFERROR(__xludf.DUMMYFUNCTION("""COMPUTED_VALUE"""),3)</f>
        <v>3</v>
      </c>
      <c r="H1030" s="112" t="str">
        <f ca="1"/>
        <v/>
      </c>
      <c r="I1030" s="81" t="str">
        <f ca="1"/>
        <v/>
      </c>
    </row>
    <row r="1031" spans="1:9" ht="13.2">
      <c r="A1031" s="109" t="str">
        <f ca="1">IFERROR(__xludf.DUMMYFUNCTION("""COMPUTED_VALUE"""),"HV")</f>
        <v>HV</v>
      </c>
      <c r="B1031" s="108" t="str">
        <f ca="1">IFERROR(__xludf.DUMMYFUNCTION("""COMPUTED_VALUE"""),"Benjamin Brackett")</f>
        <v>Benjamin Brackett</v>
      </c>
      <c r="C1031" s="109">
        <f ca="1">IFERROR(__xludf.DUMMYFUNCTION("""COMPUTED_VALUE"""),13)</f>
        <v>13</v>
      </c>
      <c r="D1031" s="109" t="str">
        <f ca="1">IFERROR(__xludf.DUMMYFUNCTION("""COMPUTED_VALUE"""),"B")</f>
        <v>B</v>
      </c>
      <c r="E1031" s="110" t="str">
        <f ca="1">IFERROR(__xludf.DUMMYFUNCTION("""COMPUTED_VALUE"""),"I")</f>
        <v>I</v>
      </c>
      <c r="F1031" s="110" t="str">
        <f ca="1">IFERROR(__xludf.DUMMYFUNCTION("""COMPUTED_VALUE"""),"S")</f>
        <v>S</v>
      </c>
      <c r="G1031" s="110">
        <f ca="1">IFERROR(__xludf.DUMMYFUNCTION("""COMPUTED_VALUE"""),3)</f>
        <v>3</v>
      </c>
      <c r="H1031" s="112" t="str">
        <f ca="1"/>
        <v>20.05</v>
      </c>
      <c r="I1031" s="81">
        <f ca="1"/>
        <v>20.05</v>
      </c>
    </row>
    <row r="1032" spans="1:9" ht="13.2">
      <c r="A1032" s="109" t="str">
        <f ca="1">IFERROR(__xludf.DUMMYFUNCTION("""COMPUTED_VALUE"""),"HV")</f>
        <v>HV</v>
      </c>
      <c r="B1032" s="108" t="str">
        <f ca="1">IFERROR(__xludf.DUMMYFUNCTION("""COMPUTED_VALUE"""),"Cooper Bouton")</f>
        <v>Cooper Bouton</v>
      </c>
      <c r="C1032" s="109">
        <f ca="1">IFERROR(__xludf.DUMMYFUNCTION("""COMPUTED_VALUE"""),14)</f>
        <v>14</v>
      </c>
      <c r="D1032" s="109" t="str">
        <f ca="1">IFERROR(__xludf.DUMMYFUNCTION("""COMPUTED_VALUE"""),"B")</f>
        <v>B</v>
      </c>
      <c r="E1032" s="110" t="str">
        <f ca="1">IFERROR(__xludf.DUMMYFUNCTION("""COMPUTED_VALUE"""),"I")</f>
        <v>I</v>
      </c>
      <c r="F1032" s="110" t="str">
        <f ca="1">IFERROR(__xludf.DUMMYFUNCTION("""COMPUTED_VALUE"""),"S")</f>
        <v>S</v>
      </c>
      <c r="G1032" s="110">
        <f ca="1">IFERROR(__xludf.DUMMYFUNCTION("""COMPUTED_VALUE"""),3)</f>
        <v>3</v>
      </c>
      <c r="H1032" s="112" t="str">
        <f ca="1"/>
        <v/>
      </c>
      <c r="I1032" s="81" t="str">
        <f ca="1"/>
        <v/>
      </c>
    </row>
    <row r="1033" spans="1:9" ht="13.2">
      <c r="A1033" s="109" t="str">
        <f ca="1">IFERROR(__xludf.DUMMYFUNCTION("""COMPUTED_VALUE"""),"HV")</f>
        <v>HV</v>
      </c>
      <c r="B1033" s="108" t="str">
        <f ca="1">IFERROR(__xludf.DUMMYFUNCTION("""COMPUTED_VALUE"""),"Jack Pritchard")</f>
        <v>Jack Pritchard</v>
      </c>
      <c r="C1033" s="109">
        <f ca="1">IFERROR(__xludf.DUMMYFUNCTION("""COMPUTED_VALUE"""),13)</f>
        <v>13</v>
      </c>
      <c r="D1033" s="109" t="str">
        <f ca="1">IFERROR(__xludf.DUMMYFUNCTION("""COMPUTED_VALUE"""),"B")</f>
        <v>B</v>
      </c>
      <c r="E1033" s="110" t="str">
        <f ca="1">IFERROR(__xludf.DUMMYFUNCTION("""COMPUTED_VALUE"""),"I")</f>
        <v>I</v>
      </c>
      <c r="F1033" s="110" t="str">
        <f ca="1">IFERROR(__xludf.DUMMYFUNCTION("""COMPUTED_VALUE"""),"S")</f>
        <v>S</v>
      </c>
      <c r="G1033" s="110">
        <f ca="1">IFERROR(__xludf.DUMMYFUNCTION("""COMPUTED_VALUE"""),3)</f>
        <v>3</v>
      </c>
      <c r="H1033" s="112" t="str">
        <f ca="1"/>
        <v/>
      </c>
      <c r="I1033" s="81" t="str">
        <f ca="1"/>
        <v/>
      </c>
    </row>
    <row r="1034" spans="1:9" ht="13.2">
      <c r="A1034" s="109" t="str">
        <f ca="1">IFERROR(__xludf.DUMMYFUNCTION("""COMPUTED_VALUE"""),"HV")</f>
        <v>HV</v>
      </c>
      <c r="B1034" s="108" t="str">
        <f ca="1">IFERROR(__xludf.DUMMYFUNCTION("""COMPUTED_VALUE"""),"Ward Gardiner")</f>
        <v>Ward Gardiner</v>
      </c>
      <c r="C1034" s="109">
        <f ca="1">IFERROR(__xludf.DUMMYFUNCTION("""COMPUTED_VALUE"""),13)</f>
        <v>13</v>
      </c>
      <c r="D1034" s="109" t="str">
        <f ca="1">IFERROR(__xludf.DUMMYFUNCTION("""COMPUTED_VALUE"""),"B")</f>
        <v>B</v>
      </c>
      <c r="E1034" s="110" t="str">
        <f ca="1">IFERROR(__xludf.DUMMYFUNCTION("""COMPUTED_VALUE"""),"I")</f>
        <v>I</v>
      </c>
      <c r="F1034" s="110" t="str">
        <f ca="1">IFERROR(__xludf.DUMMYFUNCTION("""COMPUTED_VALUE"""),"S")</f>
        <v>S</v>
      </c>
      <c r="G1034" s="110">
        <f ca="1">IFERROR(__xludf.DUMMYFUNCTION("""COMPUTED_VALUE"""),3)</f>
        <v>3</v>
      </c>
      <c r="H1034" s="112" t="str">
        <f ca="1"/>
        <v/>
      </c>
      <c r="I1034" s="112" t="str">
        <f ca="1"/>
        <v/>
      </c>
    </row>
    <row r="1035" spans="1:9" ht="13.2">
      <c r="A1035" s="109" t="str">
        <f ca="1">IFERROR(__xludf.DUMMYFUNCTION("""COMPUTED_VALUE"""),"HV")</f>
        <v>HV</v>
      </c>
      <c r="B1035" s="108" t="str">
        <f ca="1">IFERROR(__xludf.DUMMYFUNCTION("""COMPUTED_VALUE"""),"Alexandra Charecky")</f>
        <v>Alexandra Charecky</v>
      </c>
      <c r="C1035" s="109">
        <f ca="1">IFERROR(__xludf.DUMMYFUNCTION("""COMPUTED_VALUE"""),14)</f>
        <v>14</v>
      </c>
      <c r="D1035" s="109" t="str">
        <f ca="1">IFERROR(__xludf.DUMMYFUNCTION("""COMPUTED_VALUE"""),"G")</f>
        <v>G</v>
      </c>
      <c r="E1035" s="110" t="str">
        <f ca="1">IFERROR(__xludf.DUMMYFUNCTION("""COMPUTED_VALUE"""),"I")</f>
        <v>I</v>
      </c>
      <c r="F1035" s="110" t="str">
        <f ca="1">IFERROR(__xludf.DUMMYFUNCTION("""COMPUTED_VALUE"""),"S")</f>
        <v>S</v>
      </c>
      <c r="G1035" s="110">
        <f ca="1">IFERROR(__xludf.DUMMYFUNCTION("""COMPUTED_VALUE"""),3)</f>
        <v>3</v>
      </c>
      <c r="H1035" s="112" t="str">
        <f ca="1"/>
        <v/>
      </c>
      <c r="I1035" s="112" t="str">
        <f ca="1"/>
        <v/>
      </c>
    </row>
    <row r="1036" spans="1:9" ht="13.2">
      <c r="A1036" s="109" t="str">
        <f ca="1">IFERROR(__xludf.DUMMYFUNCTION("""COMPUTED_VALUE"""),"HV")</f>
        <v>HV</v>
      </c>
      <c r="B1036" s="108" t="str">
        <f ca="1">IFERROR(__xludf.DUMMYFUNCTION("""COMPUTED_VALUE"""),"Corinne Dunsmoor")</f>
        <v>Corinne Dunsmoor</v>
      </c>
      <c r="C1036" s="109">
        <f ca="1">IFERROR(__xludf.DUMMYFUNCTION("""COMPUTED_VALUE"""),14)</f>
        <v>14</v>
      </c>
      <c r="D1036" s="109" t="str">
        <f ca="1">IFERROR(__xludf.DUMMYFUNCTION("""COMPUTED_VALUE"""),"G")</f>
        <v>G</v>
      </c>
      <c r="E1036" s="110" t="str">
        <f ca="1">IFERROR(__xludf.DUMMYFUNCTION("""COMPUTED_VALUE"""),"I")</f>
        <v>I</v>
      </c>
      <c r="F1036" s="110" t="str">
        <f ca="1">IFERROR(__xludf.DUMMYFUNCTION("""COMPUTED_VALUE"""),"S")</f>
        <v>S</v>
      </c>
      <c r="G1036" s="110">
        <f ca="1">IFERROR(__xludf.DUMMYFUNCTION("""COMPUTED_VALUE"""),3)</f>
        <v>3</v>
      </c>
      <c r="H1036" s="112" t="str">
        <f ca="1"/>
        <v>47.65</v>
      </c>
      <c r="I1036" s="81">
        <f ca="1"/>
        <v>47.65</v>
      </c>
    </row>
    <row r="1037" spans="1:9" ht="13.2">
      <c r="A1037" s="109" t="str">
        <f ca="1">IFERROR(__xludf.DUMMYFUNCTION("""COMPUTED_VALUE"""),"HV")</f>
        <v>HV</v>
      </c>
      <c r="B1037" s="108" t="str">
        <f ca="1">IFERROR(__xludf.DUMMYFUNCTION("""COMPUTED_VALUE"""),"Ivy Smith")</f>
        <v>Ivy Smith</v>
      </c>
      <c r="C1037" s="109">
        <f ca="1">IFERROR(__xludf.DUMMYFUNCTION("""COMPUTED_VALUE"""),14)</f>
        <v>14</v>
      </c>
      <c r="D1037" s="109" t="str">
        <f ca="1">IFERROR(__xludf.DUMMYFUNCTION("""COMPUTED_VALUE"""),"G")</f>
        <v>G</v>
      </c>
      <c r="E1037" s="110" t="str">
        <f ca="1">IFERROR(__xludf.DUMMYFUNCTION("""COMPUTED_VALUE"""),"I")</f>
        <v>I</v>
      </c>
      <c r="F1037" s="110" t="str">
        <f ca="1">IFERROR(__xludf.DUMMYFUNCTION("""COMPUTED_VALUE"""),"S")</f>
        <v>S</v>
      </c>
      <c r="G1037" s="110">
        <f ca="1">IFERROR(__xludf.DUMMYFUNCTION("""COMPUTED_VALUE"""),3)</f>
        <v>3</v>
      </c>
      <c r="H1037" s="112" t="str">
        <f ca="1"/>
        <v/>
      </c>
      <c r="I1037" s="81" t="str">
        <f ca="1"/>
        <v/>
      </c>
    </row>
    <row r="1038" spans="1:9" ht="13.2">
      <c r="A1038" s="109" t="str">
        <f ca="1">IFERROR(__xludf.DUMMYFUNCTION("""COMPUTED_VALUE"""),"HV")</f>
        <v>HV</v>
      </c>
      <c r="B1038" s="108" t="str">
        <f ca="1">IFERROR(__xludf.DUMMYFUNCTION("""COMPUTED_VALUE"""),"Lily Dunsmoor")</f>
        <v>Lily Dunsmoor</v>
      </c>
      <c r="C1038" s="109">
        <f ca="1">IFERROR(__xludf.DUMMYFUNCTION("""COMPUTED_VALUE"""),14)</f>
        <v>14</v>
      </c>
      <c r="D1038" s="109" t="str">
        <f ca="1">IFERROR(__xludf.DUMMYFUNCTION("""COMPUTED_VALUE"""),"G")</f>
        <v>G</v>
      </c>
      <c r="E1038" s="110" t="str">
        <f ca="1">IFERROR(__xludf.DUMMYFUNCTION("""COMPUTED_VALUE"""),"I")</f>
        <v>I</v>
      </c>
      <c r="F1038" s="110" t="str">
        <f ca="1">IFERROR(__xludf.DUMMYFUNCTION("""COMPUTED_VALUE"""),"S")</f>
        <v>S</v>
      </c>
      <c r="G1038" s="110">
        <f ca="1">IFERROR(__xludf.DUMMYFUNCTION("""COMPUTED_VALUE"""),3)</f>
        <v>3</v>
      </c>
      <c r="H1038" s="112" t="str">
        <f ca="1"/>
        <v>43.75</v>
      </c>
      <c r="I1038" s="81">
        <f ca="1"/>
        <v>43.75</v>
      </c>
    </row>
    <row r="1039" spans="1:9" ht="13.2">
      <c r="A1039" s="109" t="str">
        <f ca="1">IFERROR(__xludf.DUMMYFUNCTION("""COMPUTED_VALUE"""),"HV")</f>
        <v>HV</v>
      </c>
      <c r="B1039" s="108" t="str">
        <f ca="1">IFERROR(__xludf.DUMMYFUNCTION("""COMPUTED_VALUE"""),"Valerie christopher")</f>
        <v>Valerie christopher</v>
      </c>
      <c r="C1039" s="109">
        <f ca="1">IFERROR(__xludf.DUMMYFUNCTION("""COMPUTED_VALUE"""),13)</f>
        <v>13</v>
      </c>
      <c r="D1039" s="109" t="str">
        <f ca="1">IFERROR(__xludf.DUMMYFUNCTION("""COMPUTED_VALUE"""),"G")</f>
        <v>G</v>
      </c>
      <c r="E1039" s="110" t="str">
        <f ca="1">IFERROR(__xludf.DUMMYFUNCTION("""COMPUTED_VALUE"""),"I")</f>
        <v>I</v>
      </c>
      <c r="F1039" s="110" t="str">
        <f ca="1">IFERROR(__xludf.DUMMYFUNCTION("""COMPUTED_VALUE"""),"S")</f>
        <v>S</v>
      </c>
      <c r="G1039" s="110">
        <f ca="1">IFERROR(__xludf.DUMMYFUNCTION("""COMPUTED_VALUE"""),3)</f>
        <v>3</v>
      </c>
      <c r="H1039" s="112" t="str">
        <f ca="1"/>
        <v/>
      </c>
      <c r="I1039" s="81" t="str">
        <f ca="1"/>
        <v/>
      </c>
    </row>
    <row r="1040" spans="1:9" ht="13.2">
      <c r="A1040" s="109" t="str">
        <f ca="1">IFERROR(__xludf.DUMMYFUNCTION("""COMPUTED_VALUE"""),"HV")</f>
        <v>HV</v>
      </c>
      <c r="B1040" s="108" t="str">
        <f ca="1">IFERROR(__xludf.DUMMYFUNCTION("""COMPUTED_VALUE"""),"Virginia Grubbs")</f>
        <v>Virginia Grubbs</v>
      </c>
      <c r="C1040" s="109">
        <f ca="1">IFERROR(__xludf.DUMMYFUNCTION("""COMPUTED_VALUE"""),13)</f>
        <v>13</v>
      </c>
      <c r="D1040" s="109" t="str">
        <f ca="1">IFERROR(__xludf.DUMMYFUNCTION("""COMPUTED_VALUE"""),"G")</f>
        <v>G</v>
      </c>
      <c r="E1040" s="110" t="str">
        <f ca="1">IFERROR(__xludf.DUMMYFUNCTION("""COMPUTED_VALUE"""),"I")</f>
        <v>I</v>
      </c>
      <c r="F1040" s="110" t="str">
        <f ca="1">IFERROR(__xludf.DUMMYFUNCTION("""COMPUTED_VALUE"""),"S")</f>
        <v>S</v>
      </c>
      <c r="G1040" s="110">
        <f ca="1">IFERROR(__xludf.DUMMYFUNCTION("""COMPUTED_VALUE"""),3)</f>
        <v>3</v>
      </c>
      <c r="H1040" s="112" t="str">
        <f ca="1"/>
        <v/>
      </c>
      <c r="I1040" s="81" t="str">
        <f ca="1"/>
        <v/>
      </c>
    </row>
    <row r="1041" spans="1:9" ht="13.2">
      <c r="A1041" s="109" t="str">
        <f ca="1">IFERROR(__xludf.DUMMYFUNCTION("""COMPUTED_VALUE"""),"HV")</f>
        <v>HV</v>
      </c>
      <c r="B1041" s="108" t="str">
        <f ca="1">IFERROR(__xludf.DUMMYFUNCTION("""COMPUTED_VALUE"""),"Andrew Maurer")</f>
        <v>Andrew Maurer</v>
      </c>
      <c r="C1041" s="109">
        <f ca="1">IFERROR(__xludf.DUMMYFUNCTION("""COMPUTED_VALUE"""),12)</f>
        <v>12</v>
      </c>
      <c r="D1041" s="109" t="str">
        <f ca="1">IFERROR(__xludf.DUMMYFUNCTION("""COMPUTED_VALUE"""),"B")</f>
        <v>B</v>
      </c>
      <c r="E1041" s="110" t="str">
        <f ca="1">IFERROR(__xludf.DUMMYFUNCTION("""COMPUTED_VALUE"""),"J")</f>
        <v>J</v>
      </c>
      <c r="F1041" s="110" t="str">
        <f ca="1">IFERROR(__xludf.DUMMYFUNCTION("""COMPUTED_VALUE"""),"I")</f>
        <v>I</v>
      </c>
      <c r="G1041" s="110">
        <f ca="1">IFERROR(__xludf.DUMMYFUNCTION("""COMPUTED_VALUE"""),3)</f>
        <v>3</v>
      </c>
      <c r="H1041" s="112" t="str">
        <f ca="1"/>
        <v/>
      </c>
      <c r="I1041" s="81" t="str">
        <f ca="1"/>
        <v/>
      </c>
    </row>
    <row r="1042" spans="1:9" ht="13.2">
      <c r="A1042" s="109" t="str">
        <f ca="1">IFERROR(__xludf.DUMMYFUNCTION("""COMPUTED_VALUE"""),"HV")</f>
        <v>HV</v>
      </c>
      <c r="B1042" s="108" t="str">
        <f ca="1">IFERROR(__xludf.DUMMYFUNCTION("""COMPUTED_VALUE"""),"Issa Owens")</f>
        <v>Issa Owens</v>
      </c>
      <c r="C1042" s="109">
        <f ca="1">IFERROR(__xludf.DUMMYFUNCTION("""COMPUTED_VALUE"""),11)</f>
        <v>11</v>
      </c>
      <c r="D1042" s="109" t="str">
        <f ca="1">IFERROR(__xludf.DUMMYFUNCTION("""COMPUTED_VALUE"""),"B")</f>
        <v>B</v>
      </c>
      <c r="E1042" s="110" t="str">
        <f ca="1">IFERROR(__xludf.DUMMYFUNCTION("""COMPUTED_VALUE"""),"J")</f>
        <v>J</v>
      </c>
      <c r="F1042" s="110" t="str">
        <f ca="1">IFERROR(__xludf.DUMMYFUNCTION("""COMPUTED_VALUE"""),"I")</f>
        <v>I</v>
      </c>
      <c r="G1042" s="110">
        <f ca="1">IFERROR(__xludf.DUMMYFUNCTION("""COMPUTED_VALUE"""),3)</f>
        <v>3</v>
      </c>
      <c r="H1042" s="112" t="str">
        <f ca="1"/>
        <v>68.65</v>
      </c>
      <c r="I1042" s="112">
        <f ca="1"/>
        <v>68.650000000000006</v>
      </c>
    </row>
    <row r="1043" spans="1:9" ht="13.2">
      <c r="A1043" s="109" t="str">
        <f ca="1">IFERROR(__xludf.DUMMYFUNCTION("""COMPUTED_VALUE"""),"HV")</f>
        <v>HV</v>
      </c>
      <c r="B1043" s="108" t="str">
        <f ca="1">IFERROR(__xludf.DUMMYFUNCTION("""COMPUTED_VALUE"""),"Joseph Ogrodny")</f>
        <v>Joseph Ogrodny</v>
      </c>
      <c r="C1043" s="109">
        <f ca="1">IFERROR(__xludf.DUMMYFUNCTION("""COMPUTED_VALUE"""),11)</f>
        <v>11</v>
      </c>
      <c r="D1043" s="109" t="str">
        <f ca="1">IFERROR(__xludf.DUMMYFUNCTION("""COMPUTED_VALUE"""),"B")</f>
        <v>B</v>
      </c>
      <c r="E1043" s="110" t="str">
        <f ca="1">IFERROR(__xludf.DUMMYFUNCTION("""COMPUTED_VALUE"""),"J")</f>
        <v>J</v>
      </c>
      <c r="F1043" s="110" t="str">
        <f ca="1">IFERROR(__xludf.DUMMYFUNCTION("""COMPUTED_VALUE"""),"I")</f>
        <v>I</v>
      </c>
      <c r="G1043" s="110">
        <f ca="1">IFERROR(__xludf.DUMMYFUNCTION("""COMPUTED_VALUE"""),3)</f>
        <v>3</v>
      </c>
      <c r="H1043" s="112" t="str">
        <f ca="1"/>
        <v/>
      </c>
      <c r="I1043" s="81" t="str">
        <f ca="1"/>
        <v/>
      </c>
    </row>
    <row r="1044" spans="1:9" ht="13.2">
      <c r="A1044" s="109" t="str">
        <f ca="1">IFERROR(__xludf.DUMMYFUNCTION("""COMPUTED_VALUE"""),"HV")</f>
        <v>HV</v>
      </c>
      <c r="B1044" s="108" t="str">
        <f ca="1">IFERROR(__xludf.DUMMYFUNCTION("""COMPUTED_VALUE"""),"Josph Hall")</f>
        <v>Josph Hall</v>
      </c>
      <c r="C1044" s="109">
        <f ca="1">IFERROR(__xludf.DUMMYFUNCTION("""COMPUTED_VALUE"""),11)</f>
        <v>11</v>
      </c>
      <c r="D1044" s="109" t="str">
        <f ca="1">IFERROR(__xludf.DUMMYFUNCTION("""COMPUTED_VALUE"""),"B")</f>
        <v>B</v>
      </c>
      <c r="E1044" s="110" t="str">
        <f ca="1">IFERROR(__xludf.DUMMYFUNCTION("""COMPUTED_VALUE"""),"J")</f>
        <v>J</v>
      </c>
      <c r="F1044" s="110" t="str">
        <f ca="1">IFERROR(__xludf.DUMMYFUNCTION("""COMPUTED_VALUE"""),"I")</f>
        <v>I</v>
      </c>
      <c r="G1044" s="110">
        <f ca="1">IFERROR(__xludf.DUMMYFUNCTION("""COMPUTED_VALUE"""),3)</f>
        <v>3</v>
      </c>
      <c r="H1044" s="112" t="str">
        <f ca="1"/>
        <v/>
      </c>
      <c r="I1044" s="112" t="str">
        <f ca="1"/>
        <v/>
      </c>
    </row>
    <row r="1045" spans="1:9" ht="13.2">
      <c r="A1045" s="109" t="str">
        <f ca="1">IFERROR(__xludf.DUMMYFUNCTION("""COMPUTED_VALUE"""),"HV")</f>
        <v>HV</v>
      </c>
      <c r="B1045" s="108" t="str">
        <f ca="1">IFERROR(__xludf.DUMMYFUNCTION("""COMPUTED_VALUE"""),"Kaleb Wisner")</f>
        <v>Kaleb Wisner</v>
      </c>
      <c r="C1045" s="109">
        <f ca="1">IFERROR(__xludf.DUMMYFUNCTION("""COMPUTED_VALUE"""),11)</f>
        <v>11</v>
      </c>
      <c r="D1045" s="109" t="str">
        <f ca="1">IFERROR(__xludf.DUMMYFUNCTION("""COMPUTED_VALUE"""),"B")</f>
        <v>B</v>
      </c>
      <c r="E1045" s="110" t="str">
        <f ca="1">IFERROR(__xludf.DUMMYFUNCTION("""COMPUTED_VALUE"""),"J")</f>
        <v>J</v>
      </c>
      <c r="F1045" s="110" t="str">
        <f ca="1">IFERROR(__xludf.DUMMYFUNCTION("""COMPUTED_VALUE"""),"I")</f>
        <v>I</v>
      </c>
      <c r="G1045" s="110">
        <f ca="1">IFERROR(__xludf.DUMMYFUNCTION("""COMPUTED_VALUE"""),3)</f>
        <v>3</v>
      </c>
      <c r="H1045" s="112" t="str">
        <f ca="1"/>
        <v>67.6</v>
      </c>
      <c r="I1045" s="81">
        <f ca="1"/>
        <v>67.599999999999994</v>
      </c>
    </row>
    <row r="1046" spans="1:9" ht="13.2">
      <c r="A1046" s="109" t="str">
        <f ca="1">IFERROR(__xludf.DUMMYFUNCTION("""COMPUTED_VALUE"""),"HV")</f>
        <v>HV</v>
      </c>
      <c r="B1046" s="108" t="str">
        <f ca="1">IFERROR(__xludf.DUMMYFUNCTION("""COMPUTED_VALUE"""),"Sheen Lee")</f>
        <v>Sheen Lee</v>
      </c>
      <c r="C1046" s="109">
        <f ca="1">IFERROR(__xludf.DUMMYFUNCTION("""COMPUTED_VALUE"""),12)</f>
        <v>12</v>
      </c>
      <c r="D1046" s="109" t="str">
        <f ca="1">IFERROR(__xludf.DUMMYFUNCTION("""COMPUTED_VALUE"""),"B")</f>
        <v>B</v>
      </c>
      <c r="E1046" s="110" t="str">
        <f ca="1">IFERROR(__xludf.DUMMYFUNCTION("""COMPUTED_VALUE"""),"J")</f>
        <v>J</v>
      </c>
      <c r="F1046" s="110" t="str">
        <f ca="1">IFERROR(__xludf.DUMMYFUNCTION("""COMPUTED_VALUE"""),"I")</f>
        <v>I</v>
      </c>
      <c r="G1046" s="110">
        <f ca="1">IFERROR(__xludf.DUMMYFUNCTION("""COMPUTED_VALUE"""),3)</f>
        <v>3</v>
      </c>
      <c r="H1046" s="112" t="str">
        <f ca="1"/>
        <v/>
      </c>
      <c r="I1046" s="112" t="str">
        <f ca="1"/>
        <v/>
      </c>
    </row>
    <row r="1047" spans="1:9" ht="13.2">
      <c r="A1047" s="109" t="str">
        <f ca="1">IFERROR(__xludf.DUMMYFUNCTION("""COMPUTED_VALUE"""),"HV")</f>
        <v>HV</v>
      </c>
      <c r="B1047" s="108" t="str">
        <f ca="1">IFERROR(__xludf.DUMMYFUNCTION("""COMPUTED_VALUE"""),"Cassandra Hawthorne")</f>
        <v>Cassandra Hawthorne</v>
      </c>
      <c r="C1047" s="109">
        <f ca="1">IFERROR(__xludf.DUMMYFUNCTION("""COMPUTED_VALUE"""),12)</f>
        <v>12</v>
      </c>
      <c r="D1047" s="109" t="str">
        <f ca="1">IFERROR(__xludf.DUMMYFUNCTION("""COMPUTED_VALUE"""),"G")</f>
        <v>G</v>
      </c>
      <c r="E1047" s="110" t="str">
        <f ca="1">IFERROR(__xludf.DUMMYFUNCTION("""COMPUTED_VALUE"""),"J")</f>
        <v>J</v>
      </c>
      <c r="F1047" s="110" t="str">
        <f ca="1">IFERROR(__xludf.DUMMYFUNCTION("""COMPUTED_VALUE"""),"I")</f>
        <v>I</v>
      </c>
      <c r="G1047" s="110">
        <f ca="1">IFERROR(__xludf.DUMMYFUNCTION("""COMPUTED_VALUE"""),3)</f>
        <v>3</v>
      </c>
      <c r="H1047" s="112" t="str">
        <f ca="1"/>
        <v/>
      </c>
      <c r="I1047" s="112" t="str">
        <f ca="1"/>
        <v/>
      </c>
    </row>
    <row r="1048" spans="1:9" ht="13.2">
      <c r="A1048" s="109" t="str">
        <f ca="1">IFERROR(__xludf.DUMMYFUNCTION("""COMPUTED_VALUE"""),"HV")</f>
        <v>HV</v>
      </c>
      <c r="B1048" s="108" t="str">
        <f ca="1">IFERROR(__xludf.DUMMYFUNCTION("""COMPUTED_VALUE"""),"Isadora Gebert")</f>
        <v>Isadora Gebert</v>
      </c>
      <c r="C1048" s="109">
        <f ca="1">IFERROR(__xludf.DUMMYFUNCTION("""COMPUTED_VALUE"""),11)</f>
        <v>11</v>
      </c>
      <c r="D1048" s="109" t="str">
        <f ca="1">IFERROR(__xludf.DUMMYFUNCTION("""COMPUTED_VALUE"""),"G")</f>
        <v>G</v>
      </c>
      <c r="E1048" s="110" t="str">
        <f ca="1">IFERROR(__xludf.DUMMYFUNCTION("""COMPUTED_VALUE"""),"J")</f>
        <v>J</v>
      </c>
      <c r="F1048" s="110" t="str">
        <f ca="1">IFERROR(__xludf.DUMMYFUNCTION("""COMPUTED_VALUE"""),"I")</f>
        <v>I</v>
      </c>
      <c r="G1048" s="110">
        <f ca="1">IFERROR(__xludf.DUMMYFUNCTION("""COMPUTED_VALUE"""),3)</f>
        <v>3</v>
      </c>
      <c r="H1048" s="112" t="str">
        <f ca="1"/>
        <v/>
      </c>
      <c r="I1048" s="112" t="str">
        <f ca="1"/>
        <v/>
      </c>
    </row>
    <row r="1049" spans="1:9" ht="13.2">
      <c r="A1049" s="109" t="str">
        <f ca="1">IFERROR(__xludf.DUMMYFUNCTION("""COMPUTED_VALUE"""),"HV")</f>
        <v>HV</v>
      </c>
      <c r="B1049" s="108" t="str">
        <f ca="1">IFERROR(__xludf.DUMMYFUNCTION("""COMPUTED_VALUE"""),"Olivia Root")</f>
        <v>Olivia Root</v>
      </c>
      <c r="C1049" s="109">
        <f ca="1">IFERROR(__xludf.DUMMYFUNCTION("""COMPUTED_VALUE"""),12)</f>
        <v>12</v>
      </c>
      <c r="D1049" s="109" t="str">
        <f ca="1">IFERROR(__xludf.DUMMYFUNCTION("""COMPUTED_VALUE"""),"G")</f>
        <v>G</v>
      </c>
      <c r="E1049" s="110" t="str">
        <f ca="1">IFERROR(__xludf.DUMMYFUNCTION("""COMPUTED_VALUE"""),"J")</f>
        <v>J</v>
      </c>
      <c r="F1049" s="110" t="str">
        <f ca="1">IFERROR(__xludf.DUMMYFUNCTION("""COMPUTED_VALUE"""),"I")</f>
        <v>I</v>
      </c>
      <c r="G1049" s="110">
        <f ca="1">IFERROR(__xludf.DUMMYFUNCTION("""COMPUTED_VALUE"""),3)</f>
        <v>3</v>
      </c>
      <c r="H1049" s="112" t="str">
        <f ca="1"/>
        <v>52.45</v>
      </c>
      <c r="I1049" s="81">
        <f ca="1"/>
        <v>52.45</v>
      </c>
    </row>
    <row r="1050" spans="1:9" ht="13.2">
      <c r="A1050" s="109" t="str">
        <f ca="1">IFERROR(__xludf.DUMMYFUNCTION("""COMPUTED_VALUE"""),"HV")</f>
        <v>HV</v>
      </c>
      <c r="B1050" s="108" t="str">
        <f ca="1">IFERROR(__xludf.DUMMYFUNCTION("""COMPUTED_VALUE"""),"Finnian Gelbach")</f>
        <v>Finnian Gelbach</v>
      </c>
      <c r="C1050" s="109">
        <f ca="1">IFERROR(__xludf.DUMMYFUNCTION("""COMPUTED_VALUE"""),16)</f>
        <v>16</v>
      </c>
      <c r="D1050" s="109" t="str">
        <f ca="1">IFERROR(__xludf.DUMMYFUNCTION("""COMPUTED_VALUE"""),"B")</f>
        <v>B</v>
      </c>
      <c r="E1050" s="110" t="str">
        <f ca="1">IFERROR(__xludf.DUMMYFUNCTION("""COMPUTED_VALUE"""),"S")</f>
        <v>S</v>
      </c>
      <c r="F1050" s="110" t="str">
        <f ca="1">IFERROR(__xludf.DUMMYFUNCTION("""COMPUTED_VALUE"""),"S")</f>
        <v>S</v>
      </c>
      <c r="G1050" s="110">
        <f ca="1">IFERROR(__xludf.DUMMYFUNCTION("""COMPUTED_VALUE"""),3)</f>
        <v>3</v>
      </c>
      <c r="H1050" s="112" t="str">
        <f ca="1"/>
        <v/>
      </c>
      <c r="I1050" s="81" t="str">
        <f ca="1"/>
        <v/>
      </c>
    </row>
    <row r="1051" spans="1:9" ht="13.2">
      <c r="A1051" s="109" t="str">
        <f ca="1">IFERROR(__xludf.DUMMYFUNCTION("""COMPUTED_VALUE"""),"HV")</f>
        <v>HV</v>
      </c>
      <c r="B1051" s="108" t="str">
        <f ca="1">IFERROR(__xludf.DUMMYFUNCTION("""COMPUTED_VALUE"""),"Ainsley Buckner")</f>
        <v>Ainsley Buckner</v>
      </c>
      <c r="C1051" s="109">
        <f ca="1">IFERROR(__xludf.DUMMYFUNCTION("""COMPUTED_VALUE"""),19)</f>
        <v>19</v>
      </c>
      <c r="D1051" s="109" t="str">
        <f ca="1">IFERROR(__xludf.DUMMYFUNCTION("""COMPUTED_VALUE"""),"G")</f>
        <v>G</v>
      </c>
      <c r="E1051" s="110" t="str">
        <f ca="1">IFERROR(__xludf.DUMMYFUNCTION("""COMPUTED_VALUE"""),"S")</f>
        <v>S</v>
      </c>
      <c r="F1051" s="110" t="str">
        <f ca="1">IFERROR(__xludf.DUMMYFUNCTION("""COMPUTED_VALUE"""),"S")</f>
        <v>S</v>
      </c>
      <c r="G1051" s="110">
        <f ca="1">IFERROR(__xludf.DUMMYFUNCTION("""COMPUTED_VALUE"""),3)</f>
        <v>3</v>
      </c>
      <c r="H1051" s="112" t="str">
        <f ca="1"/>
        <v/>
      </c>
      <c r="I1051" s="81" t="str">
        <f ca="1"/>
        <v/>
      </c>
    </row>
    <row r="1052" spans="1:9" ht="13.2">
      <c r="A1052" s="109" t="str">
        <f ca="1">IFERROR(__xludf.DUMMYFUNCTION("""COMPUTED_VALUE"""),"HV")</f>
        <v>HV</v>
      </c>
      <c r="B1052" s="108" t="str">
        <f ca="1">IFERROR(__xludf.DUMMYFUNCTION("""COMPUTED_VALUE"""),"Madeline Orchard")</f>
        <v>Madeline Orchard</v>
      </c>
      <c r="C1052" s="109">
        <f ca="1">IFERROR(__xludf.DUMMYFUNCTION("""COMPUTED_VALUE"""),16)</f>
        <v>16</v>
      </c>
      <c r="D1052" s="109" t="str">
        <f ca="1">IFERROR(__xludf.DUMMYFUNCTION("""COMPUTED_VALUE"""),"G")</f>
        <v>G</v>
      </c>
      <c r="E1052" s="110" t="str">
        <f ca="1">IFERROR(__xludf.DUMMYFUNCTION("""COMPUTED_VALUE"""),"S")</f>
        <v>S</v>
      </c>
      <c r="F1052" s="110" t="str">
        <f ca="1">IFERROR(__xludf.DUMMYFUNCTION("""COMPUTED_VALUE"""),"S")</f>
        <v>S</v>
      </c>
      <c r="G1052" s="110">
        <f ca="1">IFERROR(__xludf.DUMMYFUNCTION("""COMPUTED_VALUE"""),3)</f>
        <v>3</v>
      </c>
      <c r="H1052" s="112" t="str">
        <f ca="1"/>
        <v/>
      </c>
      <c r="I1052" s="81" t="str">
        <f ca="1"/>
        <v/>
      </c>
    </row>
    <row r="1053" spans="1:9" ht="13.2">
      <c r="A1053" s="109" t="str">
        <f ca="1">IFERROR(__xludf.DUMMYFUNCTION("""COMPUTED_VALUE"""),"HV")</f>
        <v>HV</v>
      </c>
      <c r="B1053" s="108" t="str">
        <f ca="1">IFERROR(__xludf.DUMMYFUNCTION("""COMPUTED_VALUE"""),"Nora Blasch")</f>
        <v>Nora Blasch</v>
      </c>
      <c r="C1053" s="109">
        <f ca="1">IFERROR(__xludf.DUMMYFUNCTION("""COMPUTED_VALUE"""),16)</f>
        <v>16</v>
      </c>
      <c r="D1053" s="109" t="str">
        <f ca="1">IFERROR(__xludf.DUMMYFUNCTION("""COMPUTED_VALUE"""),"G")</f>
        <v>G</v>
      </c>
      <c r="E1053" s="110" t="str">
        <f ca="1">IFERROR(__xludf.DUMMYFUNCTION("""COMPUTED_VALUE"""),"S")</f>
        <v>S</v>
      </c>
      <c r="F1053" s="110" t="str">
        <f ca="1">IFERROR(__xludf.DUMMYFUNCTION("""COMPUTED_VALUE"""),"S")</f>
        <v>S</v>
      </c>
      <c r="G1053" s="110">
        <f ca="1">IFERROR(__xludf.DUMMYFUNCTION("""COMPUTED_VALUE"""),3)</f>
        <v>3</v>
      </c>
      <c r="H1053" s="112" t="str">
        <f ca="1"/>
        <v/>
      </c>
      <c r="I1053" s="112" t="str">
        <f ca="1"/>
        <v/>
      </c>
    </row>
    <row r="1054" spans="1:9" ht="13.2">
      <c r="A1054" s="109" t="str">
        <f ca="1">IFERROR(__xludf.DUMMYFUNCTION("""COMPUTED_VALUE"""),"IC")</f>
        <v>IC</v>
      </c>
      <c r="B1054" s="108" t="str">
        <f ca="1">IFERROR(__xludf.DUMMYFUNCTION("""COMPUTED_VALUE"""),"Emmett Kropf")</f>
        <v>Emmett Kropf</v>
      </c>
      <c r="C1054" s="109">
        <f ca="1">IFERROR(__xludf.DUMMYFUNCTION("""COMPUTED_VALUE"""),9)</f>
        <v>9</v>
      </c>
      <c r="D1054" s="109" t="str">
        <f ca="1">IFERROR(__xludf.DUMMYFUNCTION("""COMPUTED_VALUE"""),"B")</f>
        <v>B</v>
      </c>
      <c r="E1054" s="110" t="str">
        <f ca="1">IFERROR(__xludf.DUMMYFUNCTION("""COMPUTED_VALUE"""),"F")</f>
        <v>F</v>
      </c>
      <c r="F1054" s="110" t="str">
        <f ca="1">IFERROR(__xludf.DUMMYFUNCTION("""COMPUTED_VALUE"""),"J")</f>
        <v>J</v>
      </c>
      <c r="G1054" s="110">
        <f ca="1">IFERROR(__xludf.DUMMYFUNCTION("""COMPUTED_VALUE"""),8)</f>
        <v>8</v>
      </c>
      <c r="H1054" s="112" t="str">
        <f ca="1"/>
        <v/>
      </c>
      <c r="I1054" s="81" t="str">
        <f ca="1"/>
        <v/>
      </c>
    </row>
    <row r="1055" spans="1:9" ht="13.2">
      <c r="A1055" s="109" t="str">
        <f ca="1">IFERROR(__xludf.DUMMYFUNCTION("""COMPUTED_VALUE"""),"IC")</f>
        <v>IC</v>
      </c>
      <c r="B1055" s="108" t="str">
        <f ca="1">IFERROR(__xludf.DUMMYFUNCTION("""COMPUTED_VALUE"""),"Henry Kropf")</f>
        <v>Henry Kropf</v>
      </c>
      <c r="C1055" s="109">
        <f ca="1">IFERROR(__xludf.DUMMYFUNCTION("""COMPUTED_VALUE"""),7)</f>
        <v>7</v>
      </c>
      <c r="D1055" s="109" t="str">
        <f ca="1">IFERROR(__xludf.DUMMYFUNCTION("""COMPUTED_VALUE"""),"B")</f>
        <v>B</v>
      </c>
      <c r="E1055" s="110" t="str">
        <f ca="1">IFERROR(__xludf.DUMMYFUNCTION("""COMPUTED_VALUE"""),"F")</f>
        <v>F</v>
      </c>
      <c r="F1055" s="110" t="str">
        <f ca="1">IFERROR(__xludf.DUMMYFUNCTION("""COMPUTED_VALUE"""),"J")</f>
        <v>J</v>
      </c>
      <c r="G1055" s="110">
        <f ca="1">IFERROR(__xludf.DUMMYFUNCTION("""COMPUTED_VALUE"""),8)</f>
        <v>8</v>
      </c>
      <c r="H1055" s="112" t="str">
        <f ca="1"/>
        <v/>
      </c>
      <c r="I1055" s="112" t="str">
        <f ca="1"/>
        <v/>
      </c>
    </row>
    <row r="1056" spans="1:9" ht="13.2">
      <c r="A1056" s="109" t="str">
        <f ca="1">IFERROR(__xludf.DUMMYFUNCTION("""COMPUTED_VALUE"""),"IC")</f>
        <v>IC</v>
      </c>
      <c r="B1056" s="108" t="str">
        <f ca="1">IFERROR(__xludf.DUMMYFUNCTION("""COMPUTED_VALUE"""),"Luke Kropf")</f>
        <v>Luke Kropf</v>
      </c>
      <c r="C1056" s="109">
        <f ca="1">IFERROR(__xludf.DUMMYFUNCTION("""COMPUTED_VALUE"""),10)</f>
        <v>10</v>
      </c>
      <c r="D1056" s="109" t="str">
        <f ca="1">IFERROR(__xludf.DUMMYFUNCTION("""COMPUTED_VALUE"""),"B")</f>
        <v>B</v>
      </c>
      <c r="E1056" s="110" t="str">
        <f ca="1">IFERROR(__xludf.DUMMYFUNCTION("""COMPUTED_VALUE"""),"F")</f>
        <v>F</v>
      </c>
      <c r="F1056" s="110" t="str">
        <f ca="1">IFERROR(__xludf.DUMMYFUNCTION("""COMPUTED_VALUE"""),"J")</f>
        <v>J</v>
      </c>
      <c r="G1056" s="110">
        <f ca="1">IFERROR(__xludf.DUMMYFUNCTION("""COMPUTED_VALUE"""),8)</f>
        <v>8</v>
      </c>
      <c r="H1056" s="112" t="str">
        <f ca="1"/>
        <v/>
      </c>
      <c r="I1056" s="112" t="str">
        <f ca="1"/>
        <v/>
      </c>
    </row>
    <row r="1057" spans="1:9" ht="13.2">
      <c r="A1057" s="109" t="str">
        <f ca="1">IFERROR(__xludf.DUMMYFUNCTION("""COMPUTED_VALUE"""),"IC")</f>
        <v>IC</v>
      </c>
      <c r="B1057" s="108" t="str">
        <f ca="1">IFERROR(__xludf.DUMMYFUNCTION("""COMPUTED_VALUE"""),"Adeline Mininger")</f>
        <v>Adeline Mininger</v>
      </c>
      <c r="C1057" s="109">
        <f ca="1">IFERROR(__xludf.DUMMYFUNCTION("""COMPUTED_VALUE"""),9)</f>
        <v>9</v>
      </c>
      <c r="D1057" s="109" t="str">
        <f ca="1">IFERROR(__xludf.DUMMYFUNCTION("""COMPUTED_VALUE"""),"G")</f>
        <v>G</v>
      </c>
      <c r="E1057" s="110" t="str">
        <f ca="1">IFERROR(__xludf.DUMMYFUNCTION("""COMPUTED_VALUE"""),"F")</f>
        <v>F</v>
      </c>
      <c r="F1057" s="110" t="str">
        <f ca="1">IFERROR(__xludf.DUMMYFUNCTION("""COMPUTED_VALUE"""),"J")</f>
        <v>J</v>
      </c>
      <c r="G1057" s="110">
        <f ca="1">IFERROR(__xludf.DUMMYFUNCTION("""COMPUTED_VALUE"""),8)</f>
        <v>8</v>
      </c>
      <c r="H1057" s="112" t="str">
        <f ca="1"/>
        <v/>
      </c>
      <c r="I1057" s="81" t="str">
        <f ca="1"/>
        <v/>
      </c>
    </row>
    <row r="1058" spans="1:9" ht="13.2">
      <c r="A1058" s="109" t="str">
        <f ca="1">IFERROR(__xludf.DUMMYFUNCTION("""COMPUTED_VALUE"""),"IC")</f>
        <v>IC</v>
      </c>
      <c r="B1058" s="108" t="str">
        <f ca="1">IFERROR(__xludf.DUMMYFUNCTION("""COMPUTED_VALUE"""),"Adriana Erb")</f>
        <v>Adriana Erb</v>
      </c>
      <c r="C1058" s="109">
        <f ca="1">IFERROR(__xludf.DUMMYFUNCTION("""COMPUTED_VALUE"""),8)</f>
        <v>8</v>
      </c>
      <c r="D1058" s="109" t="str">
        <f ca="1">IFERROR(__xludf.DUMMYFUNCTION("""COMPUTED_VALUE"""),"G")</f>
        <v>G</v>
      </c>
      <c r="E1058" s="110" t="str">
        <f ca="1">IFERROR(__xludf.DUMMYFUNCTION("""COMPUTED_VALUE"""),"F")</f>
        <v>F</v>
      </c>
      <c r="F1058" s="110" t="str">
        <f ca="1">IFERROR(__xludf.DUMMYFUNCTION("""COMPUTED_VALUE"""),"J")</f>
        <v>J</v>
      </c>
      <c r="G1058" s="110">
        <f ca="1">IFERROR(__xludf.DUMMYFUNCTION("""COMPUTED_VALUE"""),8)</f>
        <v>8</v>
      </c>
      <c r="H1058" s="112" t="str">
        <f ca="1"/>
        <v/>
      </c>
      <c r="I1058" s="112" t="str">
        <f ca="1"/>
        <v/>
      </c>
    </row>
    <row r="1059" spans="1:9" ht="13.2">
      <c r="A1059" s="109" t="str">
        <f ca="1">IFERROR(__xludf.DUMMYFUNCTION("""COMPUTED_VALUE"""),"IC")</f>
        <v>IC</v>
      </c>
      <c r="B1059" s="108" t="str">
        <f ca="1">IFERROR(__xludf.DUMMYFUNCTION("""COMPUTED_VALUE"""),"Amaya Erb")</f>
        <v>Amaya Erb</v>
      </c>
      <c r="C1059" s="109">
        <f ca="1">IFERROR(__xludf.DUMMYFUNCTION("""COMPUTED_VALUE"""),10)</f>
        <v>10</v>
      </c>
      <c r="D1059" s="109" t="str">
        <f ca="1">IFERROR(__xludf.DUMMYFUNCTION("""COMPUTED_VALUE"""),"G")</f>
        <v>G</v>
      </c>
      <c r="E1059" s="110" t="str">
        <f ca="1">IFERROR(__xludf.DUMMYFUNCTION("""COMPUTED_VALUE"""),"F")</f>
        <v>F</v>
      </c>
      <c r="F1059" s="110" t="str">
        <f ca="1">IFERROR(__xludf.DUMMYFUNCTION("""COMPUTED_VALUE"""),"J")</f>
        <v>J</v>
      </c>
      <c r="G1059" s="110">
        <f ca="1">IFERROR(__xludf.DUMMYFUNCTION("""COMPUTED_VALUE"""),8)</f>
        <v>8</v>
      </c>
      <c r="H1059" s="112" t="str">
        <f ca="1"/>
        <v/>
      </c>
      <c r="I1059" s="81" t="str">
        <f ca="1"/>
        <v/>
      </c>
    </row>
    <row r="1060" spans="1:9" ht="13.2">
      <c r="A1060" s="109" t="str">
        <f ca="1">IFERROR(__xludf.DUMMYFUNCTION("""COMPUTED_VALUE"""),"IC")</f>
        <v>IC</v>
      </c>
      <c r="B1060" s="108" t="str">
        <f ca="1">IFERROR(__xludf.DUMMYFUNCTION("""COMPUTED_VALUE"""),"Katie Nolan")</f>
        <v>Katie Nolan</v>
      </c>
      <c r="C1060" s="109">
        <f ca="1">IFERROR(__xludf.DUMMYFUNCTION("""COMPUTED_VALUE"""),9)</f>
        <v>9</v>
      </c>
      <c r="D1060" s="109" t="str">
        <f ca="1">IFERROR(__xludf.DUMMYFUNCTION("""COMPUTED_VALUE"""),"G")</f>
        <v>G</v>
      </c>
      <c r="E1060" s="110" t="str">
        <f ca="1">IFERROR(__xludf.DUMMYFUNCTION("""COMPUTED_VALUE"""),"F")</f>
        <v>F</v>
      </c>
      <c r="F1060" s="110" t="str">
        <f ca="1">IFERROR(__xludf.DUMMYFUNCTION("""COMPUTED_VALUE"""),"J")</f>
        <v>J</v>
      </c>
      <c r="G1060" s="110">
        <f ca="1">IFERROR(__xludf.DUMMYFUNCTION("""COMPUTED_VALUE"""),8)</f>
        <v>8</v>
      </c>
      <c r="H1060" s="112" t="str">
        <f ca="1"/>
        <v/>
      </c>
      <c r="I1060" s="112" t="str">
        <f ca="1"/>
        <v/>
      </c>
    </row>
    <row r="1061" spans="1:9" ht="13.2">
      <c r="A1061" s="109" t="str">
        <f ca="1">IFERROR(__xludf.DUMMYFUNCTION("""COMPUTED_VALUE"""),"IC")</f>
        <v>IC</v>
      </c>
      <c r="B1061" s="108" t="str">
        <f ca="1">IFERROR(__xludf.DUMMYFUNCTION("""COMPUTED_VALUE"""),"Quincy Cluff")</f>
        <v>Quincy Cluff</v>
      </c>
      <c r="C1061" s="109">
        <f ca="1">IFERROR(__xludf.DUMMYFUNCTION("""COMPUTED_VALUE"""),6)</f>
        <v>6</v>
      </c>
      <c r="D1061" s="109" t="str">
        <f ca="1">IFERROR(__xludf.DUMMYFUNCTION("""COMPUTED_VALUE"""),"G")</f>
        <v>G</v>
      </c>
      <c r="E1061" s="110" t="str">
        <f ca="1">IFERROR(__xludf.DUMMYFUNCTION("""COMPUTED_VALUE"""),"F")</f>
        <v>F</v>
      </c>
      <c r="F1061" s="110" t="str">
        <f ca="1">IFERROR(__xludf.DUMMYFUNCTION("""COMPUTED_VALUE"""),"J")</f>
        <v>J</v>
      </c>
      <c r="G1061" s="110">
        <f ca="1">IFERROR(__xludf.DUMMYFUNCTION("""COMPUTED_VALUE"""),8)</f>
        <v>8</v>
      </c>
      <c r="H1061" s="112" t="str">
        <f ca="1"/>
        <v/>
      </c>
      <c r="I1061" s="112" t="str">
        <f ca="1"/>
        <v/>
      </c>
    </row>
    <row r="1062" spans="1:9" ht="13.2">
      <c r="A1062" s="109" t="str">
        <f ca="1">IFERROR(__xludf.DUMMYFUNCTION("""COMPUTED_VALUE"""),"IC")</f>
        <v>IC</v>
      </c>
      <c r="B1062" s="108" t="str">
        <f ca="1">IFERROR(__xludf.DUMMYFUNCTION("""COMPUTED_VALUE"""),"Rosalie Thornton")</f>
        <v>Rosalie Thornton</v>
      </c>
      <c r="C1062" s="109">
        <f ca="1">IFERROR(__xludf.DUMMYFUNCTION("""COMPUTED_VALUE"""),8)</f>
        <v>8</v>
      </c>
      <c r="D1062" s="109" t="str">
        <f ca="1">IFERROR(__xludf.DUMMYFUNCTION("""COMPUTED_VALUE"""),"G")</f>
        <v>G</v>
      </c>
      <c r="E1062" s="110" t="str">
        <f ca="1">IFERROR(__xludf.DUMMYFUNCTION("""COMPUTED_VALUE"""),"F")</f>
        <v>F</v>
      </c>
      <c r="F1062" s="110" t="str">
        <f ca="1">IFERROR(__xludf.DUMMYFUNCTION("""COMPUTED_VALUE"""),"J")</f>
        <v>J</v>
      </c>
      <c r="G1062" s="110">
        <f ca="1">IFERROR(__xludf.DUMMYFUNCTION("""COMPUTED_VALUE"""),8)</f>
        <v>8</v>
      </c>
      <c r="H1062" s="112" t="str">
        <f ca="1"/>
        <v/>
      </c>
      <c r="I1062" s="112" t="str">
        <f ca="1"/>
        <v/>
      </c>
    </row>
    <row r="1063" spans="1:9" ht="13.2">
      <c r="A1063" s="109" t="str">
        <f ca="1">IFERROR(__xludf.DUMMYFUNCTION("""COMPUTED_VALUE"""),"IC")</f>
        <v>IC</v>
      </c>
      <c r="B1063" s="108" t="str">
        <f ca="1">IFERROR(__xludf.DUMMYFUNCTION("""COMPUTED_VALUE"""),"Grant Thornton")</f>
        <v>Grant Thornton</v>
      </c>
      <c r="C1063" s="109">
        <f ca="1">IFERROR(__xludf.DUMMYFUNCTION("""COMPUTED_VALUE"""),14)</f>
        <v>14</v>
      </c>
      <c r="D1063" s="109" t="str">
        <f ca="1">IFERROR(__xludf.DUMMYFUNCTION("""COMPUTED_VALUE"""),"B")</f>
        <v>B</v>
      </c>
      <c r="E1063" s="110" t="str">
        <f ca="1">IFERROR(__xludf.DUMMYFUNCTION("""COMPUTED_VALUE"""),"I")</f>
        <v>I</v>
      </c>
      <c r="F1063" s="110" t="str">
        <f ca="1">IFERROR(__xludf.DUMMYFUNCTION("""COMPUTED_VALUE"""),"S")</f>
        <v>S</v>
      </c>
      <c r="G1063" s="110">
        <f ca="1">IFERROR(__xludf.DUMMYFUNCTION("""COMPUTED_VALUE"""),8)</f>
        <v>8</v>
      </c>
      <c r="H1063" s="112" t="str">
        <f ca="1"/>
        <v/>
      </c>
      <c r="I1063" s="112" t="str">
        <f ca="1"/>
        <v/>
      </c>
    </row>
    <row r="1064" spans="1:9" ht="13.2">
      <c r="A1064" s="109" t="str">
        <f ca="1">IFERROR(__xludf.DUMMYFUNCTION("""COMPUTED_VALUE"""),"IC")</f>
        <v>IC</v>
      </c>
      <c r="B1064" s="108" t="str">
        <f ca="1">IFERROR(__xludf.DUMMYFUNCTION("""COMPUTED_VALUE"""),"Sam Nolan")</f>
        <v>Sam Nolan</v>
      </c>
      <c r="C1064" s="109">
        <f ca="1">IFERROR(__xludf.DUMMYFUNCTION("""COMPUTED_VALUE"""),14)</f>
        <v>14</v>
      </c>
      <c r="D1064" s="109" t="str">
        <f ca="1">IFERROR(__xludf.DUMMYFUNCTION("""COMPUTED_VALUE"""),"B")</f>
        <v>B</v>
      </c>
      <c r="E1064" s="110" t="str">
        <f ca="1">IFERROR(__xludf.DUMMYFUNCTION("""COMPUTED_VALUE"""),"I")</f>
        <v>I</v>
      </c>
      <c r="F1064" s="110" t="str">
        <f ca="1">IFERROR(__xludf.DUMMYFUNCTION("""COMPUTED_VALUE"""),"S")</f>
        <v>S</v>
      </c>
      <c r="G1064" s="110">
        <f ca="1">IFERROR(__xludf.DUMMYFUNCTION("""COMPUTED_VALUE"""),8)</f>
        <v>8</v>
      </c>
      <c r="H1064" s="112" t="str">
        <f ca="1"/>
        <v/>
      </c>
      <c r="I1064" s="81" t="str">
        <f ca="1"/>
        <v/>
      </c>
    </row>
    <row r="1065" spans="1:9" ht="13.2">
      <c r="A1065" s="109" t="str">
        <f ca="1">IFERROR(__xludf.DUMMYFUNCTION("""COMPUTED_VALUE"""),"IC")</f>
        <v>IC</v>
      </c>
      <c r="B1065" s="108" t="str">
        <f ca="1">IFERROR(__xludf.DUMMYFUNCTION("""COMPUTED_VALUE"""),"Emily Bush")</f>
        <v>Emily Bush</v>
      </c>
      <c r="C1065" s="109">
        <f ca="1">IFERROR(__xludf.DUMMYFUNCTION("""COMPUTED_VALUE"""),14)</f>
        <v>14</v>
      </c>
      <c r="D1065" s="109" t="str">
        <f ca="1">IFERROR(__xludf.DUMMYFUNCTION("""COMPUTED_VALUE"""),"G")</f>
        <v>G</v>
      </c>
      <c r="E1065" s="110" t="str">
        <f ca="1">IFERROR(__xludf.DUMMYFUNCTION("""COMPUTED_VALUE"""),"I")</f>
        <v>I</v>
      </c>
      <c r="F1065" s="110" t="str">
        <f ca="1">IFERROR(__xludf.DUMMYFUNCTION("""COMPUTED_VALUE"""),"S")</f>
        <v>S</v>
      </c>
      <c r="G1065" s="110">
        <f ca="1">IFERROR(__xludf.DUMMYFUNCTION("""COMPUTED_VALUE"""),8)</f>
        <v>8</v>
      </c>
      <c r="H1065" s="112" t="str">
        <f ca="1"/>
        <v/>
      </c>
      <c r="I1065" s="81" t="str">
        <f ca="1"/>
        <v/>
      </c>
    </row>
    <row r="1066" spans="1:9" ht="13.2">
      <c r="A1066" s="109" t="str">
        <f ca="1">IFERROR(__xludf.DUMMYFUNCTION("""COMPUTED_VALUE"""),"IC")</f>
        <v>IC</v>
      </c>
      <c r="B1066" s="108" t="str">
        <f ca="1">IFERROR(__xludf.DUMMYFUNCTION("""COMPUTED_VALUE"""),"Everett Thornton")</f>
        <v>Everett Thornton</v>
      </c>
      <c r="C1066" s="109">
        <f ca="1">IFERROR(__xludf.DUMMYFUNCTION("""COMPUTED_VALUE"""),12)</f>
        <v>12</v>
      </c>
      <c r="D1066" s="109" t="str">
        <f ca="1">IFERROR(__xludf.DUMMYFUNCTION("""COMPUTED_VALUE"""),"B")</f>
        <v>B</v>
      </c>
      <c r="E1066" s="110" t="str">
        <f ca="1">IFERROR(__xludf.DUMMYFUNCTION("""COMPUTED_VALUE"""),"J")</f>
        <v>J</v>
      </c>
      <c r="F1066" s="110" t="str">
        <f ca="1">IFERROR(__xludf.DUMMYFUNCTION("""COMPUTED_VALUE"""),"I")</f>
        <v>I</v>
      </c>
      <c r="G1066" s="110">
        <f ca="1">IFERROR(__xludf.DUMMYFUNCTION("""COMPUTED_VALUE"""),8)</f>
        <v>8</v>
      </c>
      <c r="H1066" s="112" t="str">
        <f ca="1"/>
        <v/>
      </c>
      <c r="I1066" s="112" t="str">
        <f ca="1"/>
        <v/>
      </c>
    </row>
    <row r="1067" spans="1:9" ht="13.2">
      <c r="A1067" s="109" t="str">
        <f ca="1">IFERROR(__xludf.DUMMYFUNCTION("""COMPUTED_VALUE"""),"IC")</f>
        <v>IC</v>
      </c>
      <c r="B1067" s="108" t="str">
        <f ca="1">IFERROR(__xludf.DUMMYFUNCTION("""COMPUTED_VALUE"""),"Madeline Fay")</f>
        <v>Madeline Fay</v>
      </c>
      <c r="C1067" s="109">
        <f ca="1">IFERROR(__xludf.DUMMYFUNCTION("""COMPUTED_VALUE"""),12)</f>
        <v>12</v>
      </c>
      <c r="D1067" s="109" t="str">
        <f ca="1">IFERROR(__xludf.DUMMYFUNCTION("""COMPUTED_VALUE"""),"G")</f>
        <v>G</v>
      </c>
      <c r="E1067" s="110" t="str">
        <f ca="1">IFERROR(__xludf.DUMMYFUNCTION("""COMPUTED_VALUE"""),"J")</f>
        <v>J</v>
      </c>
      <c r="F1067" s="110" t="str">
        <f ca="1">IFERROR(__xludf.DUMMYFUNCTION("""COMPUTED_VALUE"""),"I")</f>
        <v>I</v>
      </c>
      <c r="G1067" s="110">
        <f ca="1">IFERROR(__xludf.DUMMYFUNCTION("""COMPUTED_VALUE"""),8)</f>
        <v>8</v>
      </c>
      <c r="H1067" s="112" t="str">
        <f ca="1"/>
        <v/>
      </c>
      <c r="I1067" s="81" t="str">
        <f ca="1"/>
        <v/>
      </c>
    </row>
    <row r="1068" spans="1:9" ht="13.2">
      <c r="A1068" s="109" t="str">
        <f ca="1">IFERROR(__xludf.DUMMYFUNCTION("""COMPUTED_VALUE"""),"IC")</f>
        <v>IC</v>
      </c>
      <c r="B1068" s="108" t="str">
        <f ca="1">IFERROR(__xludf.DUMMYFUNCTION("""COMPUTED_VALUE"""),"Maura Fay")</f>
        <v>Maura Fay</v>
      </c>
      <c r="C1068" s="109">
        <f ca="1">IFERROR(__xludf.DUMMYFUNCTION("""COMPUTED_VALUE"""),15)</f>
        <v>15</v>
      </c>
      <c r="D1068" s="109" t="str">
        <f ca="1">IFERROR(__xludf.DUMMYFUNCTION("""COMPUTED_VALUE"""),"G")</f>
        <v>G</v>
      </c>
      <c r="E1068" s="110" t="str">
        <f ca="1">IFERROR(__xludf.DUMMYFUNCTION("""COMPUTED_VALUE"""),"S")</f>
        <v>S</v>
      </c>
      <c r="F1068" s="110" t="str">
        <f ca="1">IFERROR(__xludf.DUMMYFUNCTION("""COMPUTED_VALUE"""),"S")</f>
        <v>S</v>
      </c>
      <c r="G1068" s="110">
        <f ca="1">IFERROR(__xludf.DUMMYFUNCTION("""COMPUTED_VALUE"""),8)</f>
        <v>8</v>
      </c>
      <c r="H1068" s="112" t="str">
        <f ca="1"/>
        <v/>
      </c>
      <c r="I1068" s="112" t="str">
        <f ca="1"/>
        <v/>
      </c>
    </row>
    <row r="1069" spans="1:9" ht="13.2">
      <c r="A1069" s="109" t="str">
        <f ca="1">IFERROR(__xludf.DUMMYFUNCTION("""COMPUTED_VALUE"""),"IC")</f>
        <v>IC</v>
      </c>
      <c r="B1069" s="108" t="str">
        <f ca="1">IFERROR(__xludf.DUMMYFUNCTION("""COMPUTED_VALUE"""),"Nina Gillette")</f>
        <v>Nina Gillette</v>
      </c>
      <c r="C1069" s="109">
        <f ca="1">IFERROR(__xludf.DUMMYFUNCTION("""COMPUTED_VALUE"""),15)</f>
        <v>15</v>
      </c>
      <c r="D1069" s="109" t="str">
        <f ca="1">IFERROR(__xludf.DUMMYFUNCTION("""COMPUTED_VALUE"""),"G")</f>
        <v>G</v>
      </c>
      <c r="E1069" s="110" t="str">
        <f ca="1">IFERROR(__xludf.DUMMYFUNCTION("""COMPUTED_VALUE"""),"S")</f>
        <v>S</v>
      </c>
      <c r="F1069" s="110" t="str">
        <f ca="1">IFERROR(__xludf.DUMMYFUNCTION("""COMPUTED_VALUE"""),"S")</f>
        <v>S</v>
      </c>
      <c r="G1069" s="110">
        <f ca="1">IFERROR(__xludf.DUMMYFUNCTION("""COMPUTED_VALUE"""),8)</f>
        <v>8</v>
      </c>
      <c r="H1069" s="112" t="str">
        <f ca="1"/>
        <v/>
      </c>
      <c r="I1069" s="112" t="str">
        <f ca="1"/>
        <v/>
      </c>
    </row>
    <row r="1070" spans="1:9" ht="13.2">
      <c r="A1070" s="109" t="str">
        <f ca="1">IFERROR(__xludf.DUMMYFUNCTION("""COMPUTED_VALUE"""),"KG")</f>
        <v>KG</v>
      </c>
      <c r="B1070" s="108" t="str">
        <f ca="1">IFERROR(__xludf.DUMMYFUNCTION("""COMPUTED_VALUE"""),"Alejandro Pereira")</f>
        <v>Alejandro Pereira</v>
      </c>
      <c r="C1070" s="109">
        <f ca="1">IFERROR(__xludf.DUMMYFUNCTION("""COMPUTED_VALUE"""),7)</f>
        <v>7</v>
      </c>
      <c r="D1070" s="109" t="str">
        <f ca="1">IFERROR(__xludf.DUMMYFUNCTION("""COMPUTED_VALUE"""),"B")</f>
        <v>B</v>
      </c>
      <c r="E1070" s="110" t="str">
        <f ca="1">IFERROR(__xludf.DUMMYFUNCTION("""COMPUTED_VALUE"""),"F")</f>
        <v>F</v>
      </c>
      <c r="F1070" s="110" t="str">
        <f ca="1">IFERROR(__xludf.DUMMYFUNCTION("""COMPUTED_VALUE"""),"J")</f>
        <v>J</v>
      </c>
      <c r="G1070" s="110">
        <f ca="1">IFERROR(__xludf.DUMMYFUNCTION("""COMPUTED_VALUE"""),2)</f>
        <v>2</v>
      </c>
      <c r="H1070" s="112" t="str">
        <f ca="1"/>
        <v/>
      </c>
      <c r="I1070" s="112" t="str">
        <f ca="1"/>
        <v/>
      </c>
    </row>
    <row r="1071" spans="1:9" ht="13.2">
      <c r="A1071" s="109" t="str">
        <f ca="1">IFERROR(__xludf.DUMMYFUNCTION("""COMPUTED_VALUE"""),"KG")</f>
        <v>KG</v>
      </c>
      <c r="B1071" s="108" t="str">
        <f ca="1">IFERROR(__xludf.DUMMYFUNCTION("""COMPUTED_VALUE"""),"Alexander Wu")</f>
        <v>Alexander Wu</v>
      </c>
      <c r="C1071" s="109">
        <f ca="1">IFERROR(__xludf.DUMMYFUNCTION("""COMPUTED_VALUE"""),8)</f>
        <v>8</v>
      </c>
      <c r="D1071" s="109" t="str">
        <f ca="1">IFERROR(__xludf.DUMMYFUNCTION("""COMPUTED_VALUE"""),"B")</f>
        <v>B</v>
      </c>
      <c r="E1071" s="110" t="str">
        <f ca="1">IFERROR(__xludf.DUMMYFUNCTION("""COMPUTED_VALUE"""),"F")</f>
        <v>F</v>
      </c>
      <c r="F1071" s="110" t="str">
        <f ca="1">IFERROR(__xludf.DUMMYFUNCTION("""COMPUTED_VALUE"""),"J")</f>
        <v>J</v>
      </c>
      <c r="G1071" s="110">
        <f ca="1">IFERROR(__xludf.DUMMYFUNCTION("""COMPUTED_VALUE"""),2)</f>
        <v>2</v>
      </c>
      <c r="H1071" s="112" t="str">
        <f ca="1"/>
        <v/>
      </c>
      <c r="I1071" s="81" t="str">
        <f ca="1"/>
        <v/>
      </c>
    </row>
    <row r="1072" spans="1:9" ht="13.2">
      <c r="A1072" s="109" t="str">
        <f ca="1">IFERROR(__xludf.DUMMYFUNCTION("""COMPUTED_VALUE"""),"KG")</f>
        <v>KG</v>
      </c>
      <c r="B1072" s="108" t="str">
        <f ca="1">IFERROR(__xludf.DUMMYFUNCTION("""COMPUTED_VALUE"""),"Declan Nguyen")</f>
        <v>Declan Nguyen</v>
      </c>
      <c r="C1072" s="109">
        <f ca="1">IFERROR(__xludf.DUMMYFUNCTION("""COMPUTED_VALUE"""),9)</f>
        <v>9</v>
      </c>
      <c r="D1072" s="109" t="str">
        <f ca="1">IFERROR(__xludf.DUMMYFUNCTION("""COMPUTED_VALUE"""),"B")</f>
        <v>B</v>
      </c>
      <c r="E1072" s="110" t="str">
        <f ca="1">IFERROR(__xludf.DUMMYFUNCTION("""COMPUTED_VALUE"""),"F")</f>
        <v>F</v>
      </c>
      <c r="F1072" s="110" t="str">
        <f ca="1">IFERROR(__xludf.DUMMYFUNCTION("""COMPUTED_VALUE"""),"J")</f>
        <v>J</v>
      </c>
      <c r="G1072" s="110">
        <f ca="1">IFERROR(__xludf.DUMMYFUNCTION("""COMPUTED_VALUE"""),2)</f>
        <v>2</v>
      </c>
      <c r="H1072" s="112" t="str">
        <f ca="1"/>
        <v/>
      </c>
      <c r="I1072" s="112" t="str">
        <f ca="1"/>
        <v/>
      </c>
    </row>
    <row r="1073" spans="1:9" ht="13.2">
      <c r="A1073" s="109" t="str">
        <f ca="1">IFERROR(__xludf.DUMMYFUNCTION("""COMPUTED_VALUE"""),"KG")</f>
        <v>KG</v>
      </c>
      <c r="B1073" s="108" t="str">
        <f ca="1">IFERROR(__xludf.DUMMYFUNCTION("""COMPUTED_VALUE"""),"Gavan Nasr")</f>
        <v>Gavan Nasr</v>
      </c>
      <c r="C1073" s="109">
        <f ca="1">IFERROR(__xludf.DUMMYFUNCTION("""COMPUTED_VALUE"""),10)</f>
        <v>10</v>
      </c>
      <c r="D1073" s="109" t="str">
        <f ca="1">IFERROR(__xludf.DUMMYFUNCTION("""COMPUTED_VALUE"""),"B")</f>
        <v>B</v>
      </c>
      <c r="E1073" s="110" t="str">
        <f ca="1">IFERROR(__xludf.DUMMYFUNCTION("""COMPUTED_VALUE"""),"F")</f>
        <v>F</v>
      </c>
      <c r="F1073" s="110" t="str">
        <f ca="1">IFERROR(__xludf.DUMMYFUNCTION("""COMPUTED_VALUE"""),"J")</f>
        <v>J</v>
      </c>
      <c r="G1073" s="110">
        <f ca="1">IFERROR(__xludf.DUMMYFUNCTION("""COMPUTED_VALUE"""),2)</f>
        <v>2</v>
      </c>
      <c r="H1073" s="112" t="str">
        <f ca="1"/>
        <v/>
      </c>
      <c r="I1073" s="81" t="str">
        <f ca="1"/>
        <v/>
      </c>
    </row>
    <row r="1074" spans="1:9" ht="13.2">
      <c r="A1074" s="109" t="str">
        <f ca="1">IFERROR(__xludf.DUMMYFUNCTION("""COMPUTED_VALUE"""),"KG")</f>
        <v>KG</v>
      </c>
      <c r="B1074" s="108" t="str">
        <f ca="1">IFERROR(__xludf.DUMMYFUNCTION("""COMPUTED_VALUE"""),"Henry Gregory")</f>
        <v>Henry Gregory</v>
      </c>
      <c r="C1074" s="109">
        <f ca="1">IFERROR(__xludf.DUMMYFUNCTION("""COMPUTED_VALUE"""),7)</f>
        <v>7</v>
      </c>
      <c r="D1074" s="109" t="str">
        <f ca="1">IFERROR(__xludf.DUMMYFUNCTION("""COMPUTED_VALUE"""),"B")</f>
        <v>B</v>
      </c>
      <c r="E1074" s="110" t="str">
        <f ca="1">IFERROR(__xludf.DUMMYFUNCTION("""COMPUTED_VALUE"""),"F")</f>
        <v>F</v>
      </c>
      <c r="F1074" s="110" t="str">
        <f ca="1">IFERROR(__xludf.DUMMYFUNCTION("""COMPUTED_VALUE"""),"J")</f>
        <v>J</v>
      </c>
      <c r="G1074" s="110">
        <f ca="1">IFERROR(__xludf.DUMMYFUNCTION("""COMPUTED_VALUE"""),2)</f>
        <v>2</v>
      </c>
      <c r="H1074" s="112" t="str">
        <f ca="1"/>
        <v/>
      </c>
      <c r="I1074" s="112" t="str">
        <f ca="1"/>
        <v/>
      </c>
    </row>
    <row r="1075" spans="1:9" ht="13.2">
      <c r="A1075" s="109" t="str">
        <f ca="1">IFERROR(__xludf.DUMMYFUNCTION("""COMPUTED_VALUE"""),"KG")</f>
        <v>KG</v>
      </c>
      <c r="B1075" s="108" t="str">
        <f ca="1">IFERROR(__xludf.DUMMYFUNCTION("""COMPUTED_VALUE"""),"James Wittman")</f>
        <v>James Wittman</v>
      </c>
      <c r="C1075" s="109">
        <f ca="1">IFERROR(__xludf.DUMMYFUNCTION("""COMPUTED_VALUE"""),5)</f>
        <v>5</v>
      </c>
      <c r="D1075" s="109" t="str">
        <f ca="1">IFERROR(__xludf.DUMMYFUNCTION("""COMPUTED_VALUE"""),"B")</f>
        <v>B</v>
      </c>
      <c r="E1075" s="110" t="str">
        <f ca="1">IFERROR(__xludf.DUMMYFUNCTION("""COMPUTED_VALUE"""),"F")</f>
        <v>F</v>
      </c>
      <c r="F1075" s="110" t="str">
        <f ca="1">IFERROR(__xludf.DUMMYFUNCTION("""COMPUTED_VALUE"""),"J")</f>
        <v>J</v>
      </c>
      <c r="G1075" s="110">
        <f ca="1">IFERROR(__xludf.DUMMYFUNCTION("""COMPUTED_VALUE"""),2)</f>
        <v>2</v>
      </c>
      <c r="H1075" s="112" t="str">
        <f ca="1"/>
        <v>4.75</v>
      </c>
      <c r="I1075" s="81">
        <f ca="1"/>
        <v>4.75</v>
      </c>
    </row>
    <row r="1076" spans="1:9" ht="13.2">
      <c r="A1076" s="109" t="str">
        <f ca="1">IFERROR(__xludf.DUMMYFUNCTION("""COMPUTED_VALUE"""),"KG")</f>
        <v>KG</v>
      </c>
      <c r="B1076" s="108" t="str">
        <f ca="1">IFERROR(__xludf.DUMMYFUNCTION("""COMPUTED_VALUE"""),"Kieran Salerno")</f>
        <v>Kieran Salerno</v>
      </c>
      <c r="C1076" s="109">
        <f ca="1">IFERROR(__xludf.DUMMYFUNCTION("""COMPUTED_VALUE"""),8)</f>
        <v>8</v>
      </c>
      <c r="D1076" s="109" t="str">
        <f ca="1">IFERROR(__xludf.DUMMYFUNCTION("""COMPUTED_VALUE"""),"B")</f>
        <v>B</v>
      </c>
      <c r="E1076" s="110" t="str">
        <f ca="1">IFERROR(__xludf.DUMMYFUNCTION("""COMPUTED_VALUE"""),"F")</f>
        <v>F</v>
      </c>
      <c r="F1076" s="110" t="str">
        <f ca="1">IFERROR(__xludf.DUMMYFUNCTION("""COMPUTED_VALUE"""),"J")</f>
        <v>J</v>
      </c>
      <c r="G1076" s="110">
        <f ca="1">IFERROR(__xludf.DUMMYFUNCTION("""COMPUTED_VALUE"""),2)</f>
        <v>2</v>
      </c>
      <c r="H1076" s="112" t="str">
        <f ca="1"/>
        <v/>
      </c>
      <c r="I1076" s="81" t="str">
        <f ca="1"/>
        <v/>
      </c>
    </row>
    <row r="1077" spans="1:9" ht="13.2">
      <c r="A1077" s="109" t="str">
        <f ca="1">IFERROR(__xludf.DUMMYFUNCTION("""COMPUTED_VALUE"""),"KG")</f>
        <v>KG</v>
      </c>
      <c r="B1077" s="108" t="str">
        <f ca="1">IFERROR(__xludf.DUMMYFUNCTION("""COMPUTED_VALUE"""),"Leandro Cantua")</f>
        <v>Leandro Cantua</v>
      </c>
      <c r="C1077" s="109">
        <f ca="1">IFERROR(__xludf.DUMMYFUNCTION("""COMPUTED_VALUE"""),9)</f>
        <v>9</v>
      </c>
      <c r="D1077" s="109" t="str">
        <f ca="1">IFERROR(__xludf.DUMMYFUNCTION("""COMPUTED_VALUE"""),"B")</f>
        <v>B</v>
      </c>
      <c r="E1077" s="110" t="str">
        <f ca="1">IFERROR(__xludf.DUMMYFUNCTION("""COMPUTED_VALUE"""),"F")</f>
        <v>F</v>
      </c>
      <c r="F1077" s="110" t="str">
        <f ca="1">IFERROR(__xludf.DUMMYFUNCTION("""COMPUTED_VALUE"""),"J")</f>
        <v>J</v>
      </c>
      <c r="G1077" s="110">
        <f ca="1">IFERROR(__xludf.DUMMYFUNCTION("""COMPUTED_VALUE"""),2)</f>
        <v>2</v>
      </c>
      <c r="H1077" s="112" t="str">
        <f ca="1"/>
        <v/>
      </c>
      <c r="I1077" s="112" t="str">
        <f ca="1"/>
        <v/>
      </c>
    </row>
    <row r="1078" spans="1:9" ht="13.2">
      <c r="A1078" s="109" t="str">
        <f ca="1">IFERROR(__xludf.DUMMYFUNCTION("""COMPUTED_VALUE"""),"KG")</f>
        <v>KG</v>
      </c>
      <c r="B1078" s="108" t="str">
        <f ca="1">IFERROR(__xludf.DUMMYFUNCTION("""COMPUTED_VALUE"""),"Lorenzo Moreno")</f>
        <v>Lorenzo Moreno</v>
      </c>
      <c r="C1078" s="109">
        <f ca="1">IFERROR(__xludf.DUMMYFUNCTION("""COMPUTED_VALUE"""),6)</f>
        <v>6</v>
      </c>
      <c r="D1078" s="109" t="str">
        <f ca="1">IFERROR(__xludf.DUMMYFUNCTION("""COMPUTED_VALUE"""),"B")</f>
        <v>B</v>
      </c>
      <c r="E1078" s="110" t="str">
        <f ca="1">IFERROR(__xludf.DUMMYFUNCTION("""COMPUTED_VALUE"""),"F")</f>
        <v>F</v>
      </c>
      <c r="F1078" s="110" t="str">
        <f ca="1">IFERROR(__xludf.DUMMYFUNCTION("""COMPUTED_VALUE"""),"J")</f>
        <v>J</v>
      </c>
      <c r="G1078" s="110">
        <f ca="1">IFERROR(__xludf.DUMMYFUNCTION("""COMPUTED_VALUE"""),2)</f>
        <v>2</v>
      </c>
      <c r="H1078" s="112" t="str">
        <f ca="1"/>
        <v/>
      </c>
      <c r="I1078" s="112" t="str">
        <f ca="1"/>
        <v/>
      </c>
    </row>
    <row r="1079" spans="1:9" ht="13.2">
      <c r="A1079" s="109" t="str">
        <f ca="1">IFERROR(__xludf.DUMMYFUNCTION("""COMPUTED_VALUE"""),"KG")</f>
        <v>KG</v>
      </c>
      <c r="B1079" s="108" t="str">
        <f ca="1">IFERROR(__xludf.DUMMYFUNCTION("""COMPUTED_VALUE"""),"Lucas Moreno")</f>
        <v>Lucas Moreno</v>
      </c>
      <c r="C1079" s="109">
        <f ca="1">IFERROR(__xludf.DUMMYFUNCTION("""COMPUTED_VALUE"""),9)</f>
        <v>9</v>
      </c>
      <c r="D1079" s="109" t="str">
        <f ca="1">IFERROR(__xludf.DUMMYFUNCTION("""COMPUTED_VALUE"""),"B")</f>
        <v>B</v>
      </c>
      <c r="E1079" s="110" t="str">
        <f ca="1">IFERROR(__xludf.DUMMYFUNCTION("""COMPUTED_VALUE"""),"F")</f>
        <v>F</v>
      </c>
      <c r="F1079" s="110" t="str">
        <f ca="1">IFERROR(__xludf.DUMMYFUNCTION("""COMPUTED_VALUE"""),"J")</f>
        <v>J</v>
      </c>
      <c r="G1079" s="110">
        <f ca="1">IFERROR(__xludf.DUMMYFUNCTION("""COMPUTED_VALUE"""),2)</f>
        <v>2</v>
      </c>
      <c r="H1079" s="112" t="str">
        <f ca="1"/>
        <v>42.7</v>
      </c>
      <c r="I1079" s="81">
        <f ca="1"/>
        <v>42.7</v>
      </c>
    </row>
    <row r="1080" spans="1:9" ht="13.2">
      <c r="A1080" s="109" t="str">
        <f ca="1">IFERROR(__xludf.DUMMYFUNCTION("""COMPUTED_VALUE"""),"KG")</f>
        <v>KG</v>
      </c>
      <c r="B1080" s="108" t="str">
        <f ca="1">IFERROR(__xludf.DUMMYFUNCTION("""COMPUTED_VALUE"""),"Nicholas Scannapieco")</f>
        <v>Nicholas Scannapieco</v>
      </c>
      <c r="C1080" s="109">
        <f ca="1">IFERROR(__xludf.DUMMYFUNCTION("""COMPUTED_VALUE"""),9)</f>
        <v>9</v>
      </c>
      <c r="D1080" s="109" t="str">
        <f ca="1">IFERROR(__xludf.DUMMYFUNCTION("""COMPUTED_VALUE"""),"B")</f>
        <v>B</v>
      </c>
      <c r="E1080" s="110" t="str">
        <f ca="1">IFERROR(__xludf.DUMMYFUNCTION("""COMPUTED_VALUE"""),"F")</f>
        <v>F</v>
      </c>
      <c r="F1080" s="110" t="str">
        <f ca="1">IFERROR(__xludf.DUMMYFUNCTION("""COMPUTED_VALUE"""),"J")</f>
        <v>J</v>
      </c>
      <c r="G1080" s="110">
        <f ca="1">IFERROR(__xludf.DUMMYFUNCTION("""COMPUTED_VALUE"""),2)</f>
        <v>2</v>
      </c>
      <c r="H1080" s="112" t="str">
        <f ca="1"/>
        <v/>
      </c>
      <c r="I1080" s="81" t="str">
        <f ca="1"/>
        <v/>
      </c>
    </row>
    <row r="1081" spans="1:9" ht="13.2">
      <c r="A1081" s="109" t="str">
        <f ca="1">IFERROR(__xludf.DUMMYFUNCTION("""COMPUTED_VALUE"""),"KG")</f>
        <v>KG</v>
      </c>
      <c r="B1081" s="108" t="str">
        <f ca="1">IFERROR(__xludf.DUMMYFUNCTION("""COMPUTED_VALUE"""),"Reagan Diaz")</f>
        <v>Reagan Diaz</v>
      </c>
      <c r="C1081" s="109">
        <f ca="1">IFERROR(__xludf.DUMMYFUNCTION("""COMPUTED_VALUE"""),10)</f>
        <v>10</v>
      </c>
      <c r="D1081" s="109" t="str">
        <f ca="1">IFERROR(__xludf.DUMMYFUNCTION("""COMPUTED_VALUE"""),"B")</f>
        <v>B</v>
      </c>
      <c r="E1081" s="110" t="str">
        <f ca="1">IFERROR(__xludf.DUMMYFUNCTION("""COMPUTED_VALUE"""),"F")</f>
        <v>F</v>
      </c>
      <c r="F1081" s="110" t="str">
        <f ca="1">IFERROR(__xludf.DUMMYFUNCTION("""COMPUTED_VALUE"""),"J")</f>
        <v>J</v>
      </c>
      <c r="G1081" s="110">
        <f ca="1">IFERROR(__xludf.DUMMYFUNCTION("""COMPUTED_VALUE"""),2)</f>
        <v>2</v>
      </c>
      <c r="H1081" s="112" t="str">
        <f ca="1"/>
        <v/>
      </c>
      <c r="I1081" s="112" t="str">
        <f ca="1"/>
        <v/>
      </c>
    </row>
    <row r="1082" spans="1:9" ht="13.2">
      <c r="A1082" s="109" t="str">
        <f ca="1">IFERROR(__xludf.DUMMYFUNCTION("""COMPUTED_VALUE"""),"KG")</f>
        <v>KG</v>
      </c>
      <c r="B1082" s="108" t="str">
        <f ca="1">IFERROR(__xludf.DUMMYFUNCTION("""COMPUTED_VALUE"""),"Turner Nguyen")</f>
        <v>Turner Nguyen</v>
      </c>
      <c r="C1082" s="109">
        <f ca="1">IFERROR(__xludf.DUMMYFUNCTION("""COMPUTED_VALUE"""),7)</f>
        <v>7</v>
      </c>
      <c r="D1082" s="109" t="str">
        <f ca="1">IFERROR(__xludf.DUMMYFUNCTION("""COMPUTED_VALUE"""),"B")</f>
        <v>B</v>
      </c>
      <c r="E1082" s="110" t="str">
        <f ca="1">IFERROR(__xludf.DUMMYFUNCTION("""COMPUTED_VALUE"""),"F")</f>
        <v>F</v>
      </c>
      <c r="F1082" s="110" t="str">
        <f ca="1">IFERROR(__xludf.DUMMYFUNCTION("""COMPUTED_VALUE"""),"J")</f>
        <v>J</v>
      </c>
      <c r="G1082" s="110">
        <f ca="1">IFERROR(__xludf.DUMMYFUNCTION("""COMPUTED_VALUE"""),2)</f>
        <v>2</v>
      </c>
      <c r="H1082" s="112" t="str">
        <f ca="1"/>
        <v/>
      </c>
      <c r="I1082" s="81" t="str">
        <f ca="1"/>
        <v/>
      </c>
    </row>
    <row r="1083" spans="1:9" ht="13.2">
      <c r="A1083" s="109" t="str">
        <f ca="1">IFERROR(__xludf.DUMMYFUNCTION("""COMPUTED_VALUE"""),"KG")</f>
        <v>KG</v>
      </c>
      <c r="B1083" s="108" t="str">
        <f ca="1">IFERROR(__xludf.DUMMYFUNCTION("""COMPUTED_VALUE"""),"William Gregory")</f>
        <v>William Gregory</v>
      </c>
      <c r="C1083" s="109">
        <f ca="1">IFERROR(__xludf.DUMMYFUNCTION("""COMPUTED_VALUE"""),6)</f>
        <v>6</v>
      </c>
      <c r="D1083" s="109" t="str">
        <f ca="1">IFERROR(__xludf.DUMMYFUNCTION("""COMPUTED_VALUE"""),"B")</f>
        <v>B</v>
      </c>
      <c r="E1083" s="110" t="str">
        <f ca="1">IFERROR(__xludf.DUMMYFUNCTION("""COMPUTED_VALUE"""),"F")</f>
        <v>F</v>
      </c>
      <c r="F1083" s="110" t="str">
        <f ca="1">IFERROR(__xludf.DUMMYFUNCTION("""COMPUTED_VALUE"""),"J")</f>
        <v>J</v>
      </c>
      <c r="G1083" s="110">
        <f ca="1">IFERROR(__xludf.DUMMYFUNCTION("""COMPUTED_VALUE"""),2)</f>
        <v>2</v>
      </c>
      <c r="H1083" s="112" t="str">
        <f ca="1"/>
        <v/>
      </c>
      <c r="I1083" s="81" t="str">
        <f ca="1"/>
        <v/>
      </c>
    </row>
    <row r="1084" spans="1:9" ht="13.2">
      <c r="A1084" s="109" t="str">
        <f ca="1">IFERROR(__xludf.DUMMYFUNCTION("""COMPUTED_VALUE"""),"KG")</f>
        <v>KG</v>
      </c>
      <c r="B1084" s="108" t="str">
        <f ca="1">IFERROR(__xludf.DUMMYFUNCTION("""COMPUTED_VALUE"""),"Amelia Cafer")</f>
        <v>Amelia Cafer</v>
      </c>
      <c r="C1084" s="109">
        <f ca="1">IFERROR(__xludf.DUMMYFUNCTION("""COMPUTED_VALUE"""),9)</f>
        <v>9</v>
      </c>
      <c r="D1084" s="109" t="str">
        <f ca="1">IFERROR(__xludf.DUMMYFUNCTION("""COMPUTED_VALUE"""),"G")</f>
        <v>G</v>
      </c>
      <c r="E1084" s="110" t="str">
        <f ca="1">IFERROR(__xludf.DUMMYFUNCTION("""COMPUTED_VALUE"""),"F")</f>
        <v>F</v>
      </c>
      <c r="F1084" s="110" t="str">
        <f ca="1">IFERROR(__xludf.DUMMYFUNCTION("""COMPUTED_VALUE"""),"J")</f>
        <v>J</v>
      </c>
      <c r="G1084" s="110">
        <f ca="1">IFERROR(__xludf.DUMMYFUNCTION("""COMPUTED_VALUE"""),2)</f>
        <v>2</v>
      </c>
      <c r="H1084" s="112" t="str">
        <f ca="1"/>
        <v/>
      </c>
      <c r="I1084" s="112" t="str">
        <f ca="1"/>
        <v/>
      </c>
    </row>
    <row r="1085" spans="1:9" ht="13.2">
      <c r="A1085" s="109" t="str">
        <f ca="1">IFERROR(__xludf.DUMMYFUNCTION("""COMPUTED_VALUE"""),"KG")</f>
        <v>KG</v>
      </c>
      <c r="B1085" s="108" t="str">
        <f ca="1">IFERROR(__xludf.DUMMYFUNCTION("""COMPUTED_VALUE"""),"Caroline Van Order")</f>
        <v>Caroline Van Order</v>
      </c>
      <c r="C1085" s="109">
        <f ca="1">IFERROR(__xludf.DUMMYFUNCTION("""COMPUTED_VALUE"""),8)</f>
        <v>8</v>
      </c>
      <c r="D1085" s="109" t="str">
        <f ca="1">IFERROR(__xludf.DUMMYFUNCTION("""COMPUTED_VALUE"""),"G")</f>
        <v>G</v>
      </c>
      <c r="E1085" s="110" t="str">
        <f ca="1">IFERROR(__xludf.DUMMYFUNCTION("""COMPUTED_VALUE"""),"F")</f>
        <v>F</v>
      </c>
      <c r="F1085" s="110" t="str">
        <f ca="1">IFERROR(__xludf.DUMMYFUNCTION("""COMPUTED_VALUE"""),"J")</f>
        <v>J</v>
      </c>
      <c r="G1085" s="110">
        <f ca="1">IFERROR(__xludf.DUMMYFUNCTION("""COMPUTED_VALUE"""),2)</f>
        <v>2</v>
      </c>
      <c r="H1085" s="112" t="str">
        <f ca="1"/>
        <v>59.25</v>
      </c>
      <c r="I1085" s="81">
        <f ca="1"/>
        <v>59.25</v>
      </c>
    </row>
    <row r="1086" spans="1:9" ht="13.2">
      <c r="A1086" s="109" t="str">
        <f ca="1">IFERROR(__xludf.DUMMYFUNCTION("""COMPUTED_VALUE"""),"KG")</f>
        <v>KG</v>
      </c>
      <c r="B1086" s="108" t="str">
        <f ca="1">IFERROR(__xludf.DUMMYFUNCTION("""COMPUTED_VALUE"""),"Elizabeth Gulotta")</f>
        <v>Elizabeth Gulotta</v>
      </c>
      <c r="C1086" s="109">
        <f ca="1">IFERROR(__xludf.DUMMYFUNCTION("""COMPUTED_VALUE"""),8)</f>
        <v>8</v>
      </c>
      <c r="D1086" s="109" t="str">
        <f ca="1">IFERROR(__xludf.DUMMYFUNCTION("""COMPUTED_VALUE"""),"G")</f>
        <v>G</v>
      </c>
      <c r="E1086" s="110" t="str">
        <f ca="1">IFERROR(__xludf.DUMMYFUNCTION("""COMPUTED_VALUE"""),"F")</f>
        <v>F</v>
      </c>
      <c r="F1086" s="110" t="str">
        <f ca="1">IFERROR(__xludf.DUMMYFUNCTION("""COMPUTED_VALUE"""),"J")</f>
        <v>J</v>
      </c>
      <c r="G1086" s="110">
        <f ca="1">IFERROR(__xludf.DUMMYFUNCTION("""COMPUTED_VALUE"""),2)</f>
        <v>2</v>
      </c>
      <c r="H1086" s="112" t="str">
        <f ca="1"/>
        <v/>
      </c>
      <c r="I1086" s="81" t="str">
        <f ca="1"/>
        <v/>
      </c>
    </row>
    <row r="1087" spans="1:9" ht="13.2">
      <c r="A1087" s="109" t="str">
        <f ca="1">IFERROR(__xludf.DUMMYFUNCTION("""COMPUTED_VALUE"""),"KG")</f>
        <v>KG</v>
      </c>
      <c r="B1087" s="108" t="str">
        <f ca="1">IFERROR(__xludf.DUMMYFUNCTION("""COMPUTED_VALUE"""),"Hadley Nguyen")</f>
        <v>Hadley Nguyen</v>
      </c>
      <c r="C1087" s="109">
        <f ca="1">IFERROR(__xludf.DUMMYFUNCTION("""COMPUTED_VALUE"""),5)</f>
        <v>5</v>
      </c>
      <c r="D1087" s="109" t="str">
        <f ca="1">IFERROR(__xludf.DUMMYFUNCTION("""COMPUTED_VALUE"""),"G")</f>
        <v>G</v>
      </c>
      <c r="E1087" s="110" t="str">
        <f ca="1">IFERROR(__xludf.DUMMYFUNCTION("""COMPUTED_VALUE"""),"F")</f>
        <v>F</v>
      </c>
      <c r="F1087" s="110" t="str">
        <f ca="1">IFERROR(__xludf.DUMMYFUNCTION("""COMPUTED_VALUE"""),"J")</f>
        <v>J</v>
      </c>
      <c r="G1087" s="110">
        <f ca="1">IFERROR(__xludf.DUMMYFUNCTION("""COMPUTED_VALUE"""),2)</f>
        <v>2</v>
      </c>
      <c r="H1087" s="112" t="str">
        <f ca="1"/>
        <v/>
      </c>
      <c r="I1087" s="112" t="str">
        <f ca="1"/>
        <v/>
      </c>
    </row>
    <row r="1088" spans="1:9" ht="13.2">
      <c r="A1088" s="109" t="str">
        <f ca="1">IFERROR(__xludf.DUMMYFUNCTION("""COMPUTED_VALUE"""),"KG")</f>
        <v>KG</v>
      </c>
      <c r="B1088" s="108" t="str">
        <f ca="1">IFERROR(__xludf.DUMMYFUNCTION("""COMPUTED_VALUE"""),"Holly Denniston")</f>
        <v>Holly Denniston</v>
      </c>
      <c r="C1088" s="109">
        <f ca="1">IFERROR(__xludf.DUMMYFUNCTION("""COMPUTED_VALUE"""),7)</f>
        <v>7</v>
      </c>
      <c r="D1088" s="109" t="str">
        <f ca="1">IFERROR(__xludf.DUMMYFUNCTION("""COMPUTED_VALUE"""),"G")</f>
        <v>G</v>
      </c>
      <c r="E1088" s="110" t="str">
        <f ca="1">IFERROR(__xludf.DUMMYFUNCTION("""COMPUTED_VALUE"""),"F")</f>
        <v>F</v>
      </c>
      <c r="F1088" s="110" t="str">
        <f ca="1">IFERROR(__xludf.DUMMYFUNCTION("""COMPUTED_VALUE"""),"J")</f>
        <v>J</v>
      </c>
      <c r="G1088" s="110">
        <f ca="1">IFERROR(__xludf.DUMMYFUNCTION("""COMPUTED_VALUE"""),2)</f>
        <v>2</v>
      </c>
      <c r="H1088" s="112" t="str">
        <f ca="1"/>
        <v>22.8</v>
      </c>
      <c r="I1088" s="112">
        <f ca="1"/>
        <v>22.8</v>
      </c>
    </row>
    <row r="1089" spans="1:9" ht="13.2">
      <c r="A1089" s="109" t="str">
        <f ca="1">IFERROR(__xludf.DUMMYFUNCTION("""COMPUTED_VALUE"""),"KG")</f>
        <v>KG</v>
      </c>
      <c r="B1089" s="108" t="str">
        <f ca="1">IFERROR(__xludf.DUMMYFUNCTION("""COMPUTED_VALUE"""),"Julia Denniston")</f>
        <v>Julia Denniston</v>
      </c>
      <c r="C1089" s="109">
        <f ca="1">IFERROR(__xludf.DUMMYFUNCTION("""COMPUTED_VALUE"""),8)</f>
        <v>8</v>
      </c>
      <c r="D1089" s="109" t="str">
        <f ca="1">IFERROR(__xludf.DUMMYFUNCTION("""COMPUTED_VALUE"""),"G")</f>
        <v>G</v>
      </c>
      <c r="E1089" s="110" t="str">
        <f ca="1">IFERROR(__xludf.DUMMYFUNCTION("""COMPUTED_VALUE"""),"F")</f>
        <v>F</v>
      </c>
      <c r="F1089" s="110" t="str">
        <f ca="1">IFERROR(__xludf.DUMMYFUNCTION("""COMPUTED_VALUE"""),"J")</f>
        <v>J</v>
      </c>
      <c r="G1089" s="110">
        <f ca="1">IFERROR(__xludf.DUMMYFUNCTION("""COMPUTED_VALUE"""),2)</f>
        <v>2</v>
      </c>
      <c r="H1089" s="112" t="str">
        <f ca="1"/>
        <v>45.95</v>
      </c>
      <c r="I1089" s="112">
        <f ca="1"/>
        <v>45.95</v>
      </c>
    </row>
    <row r="1090" spans="1:9" ht="13.2">
      <c r="A1090" s="109" t="str">
        <f ca="1">IFERROR(__xludf.DUMMYFUNCTION("""COMPUTED_VALUE"""),"KG")</f>
        <v>KG</v>
      </c>
      <c r="B1090" s="108" t="str">
        <f ca="1">IFERROR(__xludf.DUMMYFUNCTION("""COMPUTED_VALUE"""),"Kenly Badlam")</f>
        <v>Kenly Badlam</v>
      </c>
      <c r="C1090" s="109">
        <f ca="1">IFERROR(__xludf.DUMMYFUNCTION("""COMPUTED_VALUE"""),7)</f>
        <v>7</v>
      </c>
      <c r="D1090" s="109" t="str">
        <f ca="1">IFERROR(__xludf.DUMMYFUNCTION("""COMPUTED_VALUE"""),"G")</f>
        <v>G</v>
      </c>
      <c r="E1090" s="110" t="str">
        <f ca="1">IFERROR(__xludf.DUMMYFUNCTION("""COMPUTED_VALUE"""),"F")</f>
        <v>F</v>
      </c>
      <c r="F1090" s="110" t="str">
        <f ca="1">IFERROR(__xludf.DUMMYFUNCTION("""COMPUTED_VALUE"""),"J")</f>
        <v>J</v>
      </c>
      <c r="G1090" s="110">
        <f ca="1">IFERROR(__xludf.DUMMYFUNCTION("""COMPUTED_VALUE"""),2)</f>
        <v>2</v>
      </c>
      <c r="H1090" s="112" t="str">
        <f ca="1"/>
        <v/>
      </c>
      <c r="I1090" s="81" t="str">
        <f ca="1"/>
        <v/>
      </c>
    </row>
    <row r="1091" spans="1:9" ht="13.2">
      <c r="A1091" s="109" t="str">
        <f ca="1">IFERROR(__xludf.DUMMYFUNCTION("""COMPUTED_VALUE"""),"KG")</f>
        <v>KG</v>
      </c>
      <c r="B1091" s="108" t="str">
        <f ca="1">IFERROR(__xludf.DUMMYFUNCTION("""COMPUTED_VALUE"""),"Kira Bhasin")</f>
        <v>Kira Bhasin</v>
      </c>
      <c r="C1091" s="109">
        <f ca="1">IFERROR(__xludf.DUMMYFUNCTION("""COMPUTED_VALUE"""),8)</f>
        <v>8</v>
      </c>
      <c r="D1091" s="109" t="str">
        <f ca="1">IFERROR(__xludf.DUMMYFUNCTION("""COMPUTED_VALUE"""),"G")</f>
        <v>G</v>
      </c>
      <c r="E1091" s="110" t="str">
        <f ca="1">IFERROR(__xludf.DUMMYFUNCTION("""COMPUTED_VALUE"""),"F")</f>
        <v>F</v>
      </c>
      <c r="F1091" s="110" t="str">
        <f ca="1">IFERROR(__xludf.DUMMYFUNCTION("""COMPUTED_VALUE"""),"J")</f>
        <v>J</v>
      </c>
      <c r="G1091" s="110">
        <f ca="1">IFERROR(__xludf.DUMMYFUNCTION("""COMPUTED_VALUE"""),2)</f>
        <v>2</v>
      </c>
      <c r="H1091" s="112" t="str">
        <f ca="1"/>
        <v/>
      </c>
      <c r="I1091" s="81" t="str">
        <f ca="1"/>
        <v/>
      </c>
    </row>
    <row r="1092" spans="1:9" ht="13.2">
      <c r="A1092" s="109" t="str">
        <f ca="1">IFERROR(__xludf.DUMMYFUNCTION("""COMPUTED_VALUE"""),"KG")</f>
        <v>KG</v>
      </c>
      <c r="B1092" s="108" t="str">
        <f ca="1">IFERROR(__xludf.DUMMYFUNCTION("""COMPUTED_VALUE"""),"Morgan Gelfond")</f>
        <v>Morgan Gelfond</v>
      </c>
      <c r="C1092" s="109">
        <f ca="1">IFERROR(__xludf.DUMMYFUNCTION("""COMPUTED_VALUE"""),6)</f>
        <v>6</v>
      </c>
      <c r="D1092" s="109" t="str">
        <f ca="1">IFERROR(__xludf.DUMMYFUNCTION("""COMPUTED_VALUE"""),"G")</f>
        <v>G</v>
      </c>
      <c r="E1092" s="110" t="str">
        <f ca="1">IFERROR(__xludf.DUMMYFUNCTION("""COMPUTED_VALUE"""),"F")</f>
        <v>F</v>
      </c>
      <c r="F1092" s="110" t="str">
        <f ca="1">IFERROR(__xludf.DUMMYFUNCTION("""COMPUTED_VALUE"""),"J")</f>
        <v>J</v>
      </c>
      <c r="G1092" s="110">
        <f ca="1">IFERROR(__xludf.DUMMYFUNCTION("""COMPUTED_VALUE"""),2)</f>
        <v>2</v>
      </c>
      <c r="H1092" s="112" t="str">
        <f ca="1"/>
        <v/>
      </c>
      <c r="I1092" s="81" t="str">
        <f ca="1"/>
        <v/>
      </c>
    </row>
    <row r="1093" spans="1:9" ht="13.2">
      <c r="A1093" s="109" t="str">
        <f ca="1">IFERROR(__xludf.DUMMYFUNCTION("""COMPUTED_VALUE"""),"KG")</f>
        <v>KG</v>
      </c>
      <c r="B1093" s="108" t="str">
        <f ca="1">IFERROR(__xludf.DUMMYFUNCTION("""COMPUTED_VALUE"""),"Norah Wittman")</f>
        <v>Norah Wittman</v>
      </c>
      <c r="C1093" s="109">
        <f ca="1">IFERROR(__xludf.DUMMYFUNCTION("""COMPUTED_VALUE"""),7)</f>
        <v>7</v>
      </c>
      <c r="D1093" s="109" t="str">
        <f ca="1">IFERROR(__xludf.DUMMYFUNCTION("""COMPUTED_VALUE"""),"G")</f>
        <v>G</v>
      </c>
      <c r="E1093" s="110" t="str">
        <f ca="1">IFERROR(__xludf.DUMMYFUNCTION("""COMPUTED_VALUE"""),"F")</f>
        <v>F</v>
      </c>
      <c r="F1093" s="110" t="str">
        <f ca="1">IFERROR(__xludf.DUMMYFUNCTION("""COMPUTED_VALUE"""),"J")</f>
        <v>J</v>
      </c>
      <c r="G1093" s="110">
        <f ca="1">IFERROR(__xludf.DUMMYFUNCTION("""COMPUTED_VALUE"""),2)</f>
        <v>2</v>
      </c>
      <c r="H1093" s="112" t="str">
        <f ca="1"/>
        <v>37.6</v>
      </c>
      <c r="I1093" s="81">
        <f ca="1"/>
        <v>37.6</v>
      </c>
    </row>
    <row r="1094" spans="1:9" ht="13.2">
      <c r="A1094" s="109" t="str">
        <f ca="1">IFERROR(__xludf.DUMMYFUNCTION("""COMPUTED_VALUE"""),"KG")</f>
        <v>KG</v>
      </c>
      <c r="B1094" s="108" t="str">
        <f ca="1">IFERROR(__xludf.DUMMYFUNCTION("""COMPUTED_VALUE"""),"Sloane Nguyen")</f>
        <v>Sloane Nguyen</v>
      </c>
      <c r="C1094" s="109">
        <f ca="1">IFERROR(__xludf.DUMMYFUNCTION("""COMPUTED_VALUE"""),7)</f>
        <v>7</v>
      </c>
      <c r="D1094" s="109" t="str">
        <f ca="1">IFERROR(__xludf.DUMMYFUNCTION("""COMPUTED_VALUE"""),"G")</f>
        <v>G</v>
      </c>
      <c r="E1094" s="110" t="str">
        <f ca="1">IFERROR(__xludf.DUMMYFUNCTION("""COMPUTED_VALUE"""),"F")</f>
        <v>F</v>
      </c>
      <c r="F1094" s="110" t="str">
        <f ca="1">IFERROR(__xludf.DUMMYFUNCTION("""COMPUTED_VALUE"""),"J")</f>
        <v>J</v>
      </c>
      <c r="G1094" s="110">
        <f ca="1">IFERROR(__xludf.DUMMYFUNCTION("""COMPUTED_VALUE"""),2)</f>
        <v>2</v>
      </c>
      <c r="H1094" s="112" t="str">
        <f ca="1"/>
        <v/>
      </c>
      <c r="I1094" s="112" t="str">
        <f ca="1"/>
        <v/>
      </c>
    </row>
    <row r="1095" spans="1:9" ht="13.2">
      <c r="A1095" s="109" t="str">
        <f ca="1">IFERROR(__xludf.DUMMYFUNCTION("""COMPUTED_VALUE"""),"KG")</f>
        <v>KG</v>
      </c>
      <c r="B1095" s="108" t="str">
        <f ca="1">IFERROR(__xludf.DUMMYFUNCTION("""COMPUTED_VALUE"""),"Adam Nasr")</f>
        <v>Adam Nasr</v>
      </c>
      <c r="C1095" s="109">
        <f ca="1">IFERROR(__xludf.DUMMYFUNCTION("""COMPUTED_VALUE"""),13)</f>
        <v>13</v>
      </c>
      <c r="D1095" s="109" t="str">
        <f ca="1">IFERROR(__xludf.DUMMYFUNCTION("""COMPUTED_VALUE"""),"B")</f>
        <v>B</v>
      </c>
      <c r="E1095" s="110" t="str">
        <f ca="1">IFERROR(__xludf.DUMMYFUNCTION("""COMPUTED_VALUE"""),"I")</f>
        <v>I</v>
      </c>
      <c r="F1095" s="110" t="str">
        <f ca="1">IFERROR(__xludf.DUMMYFUNCTION("""COMPUTED_VALUE"""),"S")</f>
        <v>S</v>
      </c>
      <c r="G1095" s="110">
        <f ca="1">IFERROR(__xludf.DUMMYFUNCTION("""COMPUTED_VALUE"""),2)</f>
        <v>2</v>
      </c>
      <c r="H1095" s="112" t="str">
        <f ca="1"/>
        <v/>
      </c>
      <c r="I1095" s="81" t="str">
        <f ca="1"/>
        <v/>
      </c>
    </row>
    <row r="1096" spans="1:9" ht="13.2">
      <c r="A1096" s="109" t="str">
        <f ca="1">IFERROR(__xludf.DUMMYFUNCTION("""COMPUTED_VALUE"""),"KG")</f>
        <v>KG</v>
      </c>
      <c r="B1096" s="108" t="str">
        <f ca="1">IFERROR(__xludf.DUMMYFUNCTION("""COMPUTED_VALUE"""),"Adan Maradiaga")</f>
        <v>Adan Maradiaga</v>
      </c>
      <c r="C1096" s="109">
        <f ca="1">IFERROR(__xludf.DUMMYFUNCTION("""COMPUTED_VALUE"""),13)</f>
        <v>13</v>
      </c>
      <c r="D1096" s="109" t="str">
        <f ca="1">IFERROR(__xludf.DUMMYFUNCTION("""COMPUTED_VALUE"""),"B")</f>
        <v>B</v>
      </c>
      <c r="E1096" s="110" t="str">
        <f ca="1">IFERROR(__xludf.DUMMYFUNCTION("""COMPUTED_VALUE"""),"I")</f>
        <v>I</v>
      </c>
      <c r="F1096" s="110" t="str">
        <f ca="1">IFERROR(__xludf.DUMMYFUNCTION("""COMPUTED_VALUE"""),"S")</f>
        <v>S</v>
      </c>
      <c r="G1096" s="110">
        <f ca="1">IFERROR(__xludf.DUMMYFUNCTION("""COMPUTED_VALUE"""),2)</f>
        <v>2</v>
      </c>
      <c r="H1096" s="112" t="str">
        <f ca="1"/>
        <v/>
      </c>
      <c r="I1096" s="112" t="str">
        <f ca="1"/>
        <v/>
      </c>
    </row>
    <row r="1097" spans="1:9" ht="13.2">
      <c r="A1097" s="109" t="str">
        <f ca="1">IFERROR(__xludf.DUMMYFUNCTION("""COMPUTED_VALUE"""),"KG")</f>
        <v>KG</v>
      </c>
      <c r="B1097" s="108" t="str">
        <f ca="1">IFERROR(__xludf.DUMMYFUNCTION("""COMPUTED_VALUE"""),"Grady Smith")</f>
        <v>Grady Smith</v>
      </c>
      <c r="C1097" s="109">
        <f ca="1">IFERROR(__xludf.DUMMYFUNCTION("""COMPUTED_VALUE"""),14)</f>
        <v>14</v>
      </c>
      <c r="D1097" s="109" t="str">
        <f ca="1">IFERROR(__xludf.DUMMYFUNCTION("""COMPUTED_VALUE"""),"B")</f>
        <v>B</v>
      </c>
      <c r="E1097" s="110" t="str">
        <f ca="1">IFERROR(__xludf.DUMMYFUNCTION("""COMPUTED_VALUE"""),"I")</f>
        <v>I</v>
      </c>
      <c r="F1097" s="110" t="str">
        <f ca="1">IFERROR(__xludf.DUMMYFUNCTION("""COMPUTED_VALUE"""),"S")</f>
        <v>S</v>
      </c>
      <c r="G1097" s="110">
        <f ca="1">IFERROR(__xludf.DUMMYFUNCTION("""COMPUTED_VALUE"""),2)</f>
        <v>2</v>
      </c>
      <c r="H1097" s="112" t="str">
        <f ca="1"/>
        <v/>
      </c>
      <c r="I1097" s="81" t="str">
        <f ca="1"/>
        <v/>
      </c>
    </row>
    <row r="1098" spans="1:9" ht="13.2">
      <c r="A1098" s="109" t="str">
        <f ca="1">IFERROR(__xludf.DUMMYFUNCTION("""COMPUTED_VALUE"""),"KG")</f>
        <v>KG</v>
      </c>
      <c r="B1098" s="108" t="str">
        <f ca="1">IFERROR(__xludf.DUMMYFUNCTION("""COMPUTED_VALUE"""),"Harrison Weinstock")</f>
        <v>Harrison Weinstock</v>
      </c>
      <c r="C1098" s="109">
        <f ca="1">IFERROR(__xludf.DUMMYFUNCTION("""COMPUTED_VALUE"""),14)</f>
        <v>14</v>
      </c>
      <c r="D1098" s="109" t="str">
        <f ca="1">IFERROR(__xludf.DUMMYFUNCTION("""COMPUTED_VALUE"""),"B")</f>
        <v>B</v>
      </c>
      <c r="E1098" s="110" t="str">
        <f ca="1">IFERROR(__xludf.DUMMYFUNCTION("""COMPUTED_VALUE"""),"I")</f>
        <v>I</v>
      </c>
      <c r="F1098" s="110" t="str">
        <f ca="1">IFERROR(__xludf.DUMMYFUNCTION("""COMPUTED_VALUE"""),"S")</f>
        <v>S</v>
      </c>
      <c r="G1098" s="110">
        <f ca="1">IFERROR(__xludf.DUMMYFUNCTION("""COMPUTED_VALUE"""),2)</f>
        <v>2</v>
      </c>
      <c r="H1098" s="112" t="str">
        <f ca="1"/>
        <v/>
      </c>
      <c r="I1098" s="81" t="str">
        <f ca="1"/>
        <v/>
      </c>
    </row>
    <row r="1099" spans="1:9" ht="13.2">
      <c r="A1099" s="109" t="str">
        <f ca="1">IFERROR(__xludf.DUMMYFUNCTION("""COMPUTED_VALUE"""),"KG")</f>
        <v>KG</v>
      </c>
      <c r="B1099" s="108" t="str">
        <f ca="1">IFERROR(__xludf.DUMMYFUNCTION("""COMPUTED_VALUE"""),"Sean Memon")</f>
        <v>Sean Memon</v>
      </c>
      <c r="C1099" s="109">
        <f ca="1">IFERROR(__xludf.DUMMYFUNCTION("""COMPUTED_VALUE"""),14)</f>
        <v>14</v>
      </c>
      <c r="D1099" s="109" t="str">
        <f ca="1">IFERROR(__xludf.DUMMYFUNCTION("""COMPUTED_VALUE"""),"B")</f>
        <v>B</v>
      </c>
      <c r="E1099" s="110" t="str">
        <f ca="1">IFERROR(__xludf.DUMMYFUNCTION("""COMPUTED_VALUE"""),"I")</f>
        <v>I</v>
      </c>
      <c r="F1099" s="110" t="str">
        <f ca="1">IFERROR(__xludf.DUMMYFUNCTION("""COMPUTED_VALUE"""),"S")</f>
        <v>S</v>
      </c>
      <c r="G1099" s="110">
        <f ca="1">IFERROR(__xludf.DUMMYFUNCTION("""COMPUTED_VALUE"""),2)</f>
        <v>2</v>
      </c>
      <c r="H1099" s="112" t="str">
        <f ca="1"/>
        <v/>
      </c>
      <c r="I1099" s="81" t="str">
        <f ca="1"/>
        <v/>
      </c>
    </row>
    <row r="1100" spans="1:9" ht="13.2">
      <c r="A1100" s="109" t="str">
        <f ca="1">IFERROR(__xludf.DUMMYFUNCTION("""COMPUTED_VALUE"""),"KG")</f>
        <v>KG</v>
      </c>
      <c r="B1100" s="108" t="str">
        <f ca="1">IFERROR(__xludf.DUMMYFUNCTION("""COMPUTED_VALUE"""),"Zach Maradiaga")</f>
        <v>Zach Maradiaga</v>
      </c>
      <c r="C1100" s="109">
        <f ca="1">IFERROR(__xludf.DUMMYFUNCTION("""COMPUTED_VALUE"""),13)</f>
        <v>13</v>
      </c>
      <c r="D1100" s="109" t="str">
        <f ca="1">IFERROR(__xludf.DUMMYFUNCTION("""COMPUTED_VALUE"""),"B")</f>
        <v>B</v>
      </c>
      <c r="E1100" s="110" t="str">
        <f ca="1">IFERROR(__xludf.DUMMYFUNCTION("""COMPUTED_VALUE"""),"I")</f>
        <v>I</v>
      </c>
      <c r="F1100" s="110" t="str">
        <f ca="1">IFERROR(__xludf.DUMMYFUNCTION("""COMPUTED_VALUE"""),"S")</f>
        <v>S</v>
      </c>
      <c r="G1100" s="110">
        <f ca="1">IFERROR(__xludf.DUMMYFUNCTION("""COMPUTED_VALUE"""),2)</f>
        <v>2</v>
      </c>
      <c r="H1100" s="112" t="str">
        <f ca="1"/>
        <v/>
      </c>
      <c r="I1100" s="81" t="str">
        <f ca="1"/>
        <v/>
      </c>
    </row>
    <row r="1101" spans="1:9" ht="13.2">
      <c r="A1101" s="109" t="str">
        <f ca="1">IFERROR(__xludf.DUMMYFUNCTION("""COMPUTED_VALUE"""),"KG")</f>
        <v>KG</v>
      </c>
      <c r="B1101" s="108" t="str">
        <f ca="1">IFERROR(__xludf.DUMMYFUNCTION("""COMPUTED_VALUE"""),"Francesca Pereira")</f>
        <v>Francesca Pereira</v>
      </c>
      <c r="C1101" s="109">
        <f ca="1">IFERROR(__xludf.DUMMYFUNCTION("""COMPUTED_VALUE"""),13)</f>
        <v>13</v>
      </c>
      <c r="D1101" s="109" t="str">
        <f ca="1">IFERROR(__xludf.DUMMYFUNCTION("""COMPUTED_VALUE"""),"G")</f>
        <v>G</v>
      </c>
      <c r="E1101" s="110" t="str">
        <f ca="1">IFERROR(__xludf.DUMMYFUNCTION("""COMPUTED_VALUE"""),"I")</f>
        <v>I</v>
      </c>
      <c r="F1101" s="110" t="str">
        <f ca="1">IFERROR(__xludf.DUMMYFUNCTION("""COMPUTED_VALUE"""),"S")</f>
        <v>S</v>
      </c>
      <c r="G1101" s="110">
        <f ca="1">IFERROR(__xludf.DUMMYFUNCTION("""COMPUTED_VALUE"""),2)</f>
        <v>2</v>
      </c>
      <c r="H1101" s="112" t="str">
        <f ca="1"/>
        <v/>
      </c>
      <c r="I1101" s="81" t="str">
        <f ca="1"/>
        <v/>
      </c>
    </row>
    <row r="1102" spans="1:9" ht="13.2">
      <c r="A1102" s="109" t="str">
        <f ca="1">IFERROR(__xludf.DUMMYFUNCTION("""COMPUTED_VALUE"""),"KG")</f>
        <v>KG</v>
      </c>
      <c r="B1102" s="108" t="str">
        <f ca="1">IFERROR(__xludf.DUMMYFUNCTION("""COMPUTED_VALUE"""),"Kate Li")</f>
        <v>Kate Li</v>
      </c>
      <c r="C1102" s="109">
        <f ca="1">IFERROR(__xludf.DUMMYFUNCTION("""COMPUTED_VALUE"""),14)</f>
        <v>14</v>
      </c>
      <c r="D1102" s="109" t="str">
        <f ca="1">IFERROR(__xludf.DUMMYFUNCTION("""COMPUTED_VALUE"""),"G")</f>
        <v>G</v>
      </c>
      <c r="E1102" s="110" t="str">
        <f ca="1">IFERROR(__xludf.DUMMYFUNCTION("""COMPUTED_VALUE"""),"I")</f>
        <v>I</v>
      </c>
      <c r="F1102" s="110" t="str">
        <f ca="1">IFERROR(__xludf.DUMMYFUNCTION("""COMPUTED_VALUE"""),"S")</f>
        <v>S</v>
      </c>
      <c r="G1102" s="110">
        <f ca="1">IFERROR(__xludf.DUMMYFUNCTION("""COMPUTED_VALUE"""),2)</f>
        <v>2</v>
      </c>
      <c r="H1102" s="112" t="str">
        <f ca="1"/>
        <v/>
      </c>
      <c r="I1102" s="81" t="str">
        <f ca="1"/>
        <v/>
      </c>
    </row>
    <row r="1103" spans="1:9" ht="13.2">
      <c r="A1103" s="109" t="str">
        <f ca="1">IFERROR(__xludf.DUMMYFUNCTION("""COMPUTED_VALUE"""),"KG")</f>
        <v>KG</v>
      </c>
      <c r="B1103" s="108" t="str">
        <f ca="1">IFERROR(__xludf.DUMMYFUNCTION("""COMPUTED_VALUE"""),"Lauren Abba")</f>
        <v>Lauren Abba</v>
      </c>
      <c r="C1103" s="109">
        <f ca="1">IFERROR(__xludf.DUMMYFUNCTION("""COMPUTED_VALUE"""),13)</f>
        <v>13</v>
      </c>
      <c r="D1103" s="109" t="str">
        <f ca="1">IFERROR(__xludf.DUMMYFUNCTION("""COMPUTED_VALUE"""),"G")</f>
        <v>G</v>
      </c>
      <c r="E1103" s="110" t="str">
        <f ca="1">IFERROR(__xludf.DUMMYFUNCTION("""COMPUTED_VALUE"""),"I")</f>
        <v>I</v>
      </c>
      <c r="F1103" s="110" t="str">
        <f ca="1">IFERROR(__xludf.DUMMYFUNCTION("""COMPUTED_VALUE"""),"S")</f>
        <v>S</v>
      </c>
      <c r="G1103" s="110">
        <f ca="1">IFERROR(__xludf.DUMMYFUNCTION("""COMPUTED_VALUE"""),2)</f>
        <v>2</v>
      </c>
      <c r="H1103" s="112" t="str">
        <f ca="1"/>
        <v/>
      </c>
      <c r="I1103" s="81" t="str">
        <f ca="1"/>
        <v/>
      </c>
    </row>
    <row r="1104" spans="1:9" ht="13.2">
      <c r="A1104" s="109" t="str">
        <f ca="1">IFERROR(__xludf.DUMMYFUNCTION("""COMPUTED_VALUE"""),"KG")</f>
        <v>KG</v>
      </c>
      <c r="B1104" s="108" t="str">
        <f ca="1">IFERROR(__xludf.DUMMYFUNCTION("""COMPUTED_VALUE"""),"Liyat Amman")</f>
        <v>Liyat Amman</v>
      </c>
      <c r="C1104" s="109">
        <f ca="1">IFERROR(__xludf.DUMMYFUNCTION("""COMPUTED_VALUE"""),13)</f>
        <v>13</v>
      </c>
      <c r="D1104" s="109" t="str">
        <f ca="1">IFERROR(__xludf.DUMMYFUNCTION("""COMPUTED_VALUE"""),"G")</f>
        <v>G</v>
      </c>
      <c r="E1104" s="110" t="str">
        <f ca="1">IFERROR(__xludf.DUMMYFUNCTION("""COMPUTED_VALUE"""),"I")</f>
        <v>I</v>
      </c>
      <c r="F1104" s="110" t="str">
        <f ca="1">IFERROR(__xludf.DUMMYFUNCTION("""COMPUTED_VALUE"""),"S")</f>
        <v>S</v>
      </c>
      <c r="G1104" s="110">
        <f ca="1">IFERROR(__xludf.DUMMYFUNCTION("""COMPUTED_VALUE"""),2)</f>
        <v>2</v>
      </c>
      <c r="H1104" s="112" t="str">
        <f ca="1"/>
        <v/>
      </c>
      <c r="I1104" s="81" t="str">
        <f ca="1"/>
        <v/>
      </c>
    </row>
    <row r="1105" spans="1:9" ht="13.2">
      <c r="A1105" s="109" t="str">
        <f ca="1">IFERROR(__xludf.DUMMYFUNCTION("""COMPUTED_VALUE"""),"KG")</f>
        <v>KG</v>
      </c>
      <c r="B1105" s="108" t="str">
        <f ca="1">IFERROR(__xludf.DUMMYFUNCTION("""COMPUTED_VALUE"""),"Meredith Lawler")</f>
        <v>Meredith Lawler</v>
      </c>
      <c r="C1105" s="109">
        <f ca="1">IFERROR(__xludf.DUMMYFUNCTION("""COMPUTED_VALUE"""),14)</f>
        <v>14</v>
      </c>
      <c r="D1105" s="109" t="str">
        <f ca="1">IFERROR(__xludf.DUMMYFUNCTION("""COMPUTED_VALUE"""),"G")</f>
        <v>G</v>
      </c>
      <c r="E1105" s="110" t="str">
        <f ca="1">IFERROR(__xludf.DUMMYFUNCTION("""COMPUTED_VALUE"""),"I")</f>
        <v>I</v>
      </c>
      <c r="F1105" s="110" t="str">
        <f ca="1">IFERROR(__xludf.DUMMYFUNCTION("""COMPUTED_VALUE"""),"S")</f>
        <v>S</v>
      </c>
      <c r="G1105" s="110">
        <f ca="1">IFERROR(__xludf.DUMMYFUNCTION("""COMPUTED_VALUE"""),2)</f>
        <v>2</v>
      </c>
      <c r="H1105" s="112" t="str">
        <f ca="1"/>
        <v>79.3</v>
      </c>
      <c r="I1105" s="81">
        <f ca="1"/>
        <v>79.3</v>
      </c>
    </row>
    <row r="1106" spans="1:9" ht="13.2">
      <c r="A1106" s="109" t="str">
        <f ca="1">IFERROR(__xludf.DUMMYFUNCTION("""COMPUTED_VALUE"""),"KG")</f>
        <v>KG</v>
      </c>
      <c r="B1106" s="108" t="str">
        <f ca="1">IFERROR(__xludf.DUMMYFUNCTION("""COMPUTED_VALUE"""),"Sofia Cantua")</f>
        <v>Sofia Cantua</v>
      </c>
      <c r="C1106" s="109">
        <f ca="1">IFERROR(__xludf.DUMMYFUNCTION("""COMPUTED_VALUE"""),13)</f>
        <v>13</v>
      </c>
      <c r="D1106" s="109" t="str">
        <f ca="1">IFERROR(__xludf.DUMMYFUNCTION("""COMPUTED_VALUE"""),"G")</f>
        <v>G</v>
      </c>
      <c r="E1106" s="110" t="str">
        <f ca="1">IFERROR(__xludf.DUMMYFUNCTION("""COMPUTED_VALUE"""),"I")</f>
        <v>I</v>
      </c>
      <c r="F1106" s="110" t="str">
        <f ca="1">IFERROR(__xludf.DUMMYFUNCTION("""COMPUTED_VALUE"""),"S")</f>
        <v>S</v>
      </c>
      <c r="G1106" s="110">
        <f ca="1">IFERROR(__xludf.DUMMYFUNCTION("""COMPUTED_VALUE"""),2)</f>
        <v>2</v>
      </c>
      <c r="H1106" s="112" t="str">
        <f ca="1"/>
        <v/>
      </c>
      <c r="I1106" s="81" t="str">
        <f ca="1"/>
        <v/>
      </c>
    </row>
    <row r="1107" spans="1:9" ht="13.2">
      <c r="A1107" s="109" t="str">
        <f ca="1">IFERROR(__xludf.DUMMYFUNCTION("""COMPUTED_VALUE"""),"KG")</f>
        <v>KG</v>
      </c>
      <c r="B1107" s="108" t="str">
        <f ca="1">IFERROR(__xludf.DUMMYFUNCTION("""COMPUTED_VALUE"""),"Sophie Fredericks")</f>
        <v>Sophie Fredericks</v>
      </c>
      <c r="C1107" s="109">
        <f ca="1">IFERROR(__xludf.DUMMYFUNCTION("""COMPUTED_VALUE"""),13)</f>
        <v>13</v>
      </c>
      <c r="D1107" s="109" t="str">
        <f ca="1">IFERROR(__xludf.DUMMYFUNCTION("""COMPUTED_VALUE"""),"G")</f>
        <v>G</v>
      </c>
      <c r="E1107" s="110" t="str">
        <f ca="1">IFERROR(__xludf.DUMMYFUNCTION("""COMPUTED_VALUE"""),"I")</f>
        <v>I</v>
      </c>
      <c r="F1107" s="110" t="str">
        <f ca="1">IFERROR(__xludf.DUMMYFUNCTION("""COMPUTED_VALUE"""),"S")</f>
        <v>S</v>
      </c>
      <c r="G1107" s="110">
        <f ca="1">IFERROR(__xludf.DUMMYFUNCTION("""COMPUTED_VALUE"""),2)</f>
        <v>2</v>
      </c>
      <c r="H1107" s="112" t="str">
        <f ca="1"/>
        <v/>
      </c>
      <c r="I1107" s="81" t="str">
        <f ca="1"/>
        <v/>
      </c>
    </row>
    <row r="1108" spans="1:9" ht="13.2">
      <c r="A1108" s="109" t="str">
        <f ca="1">IFERROR(__xludf.DUMMYFUNCTION("""COMPUTED_VALUE"""),"KG")</f>
        <v>KG</v>
      </c>
      <c r="B1108" s="108" t="str">
        <f ca="1">IFERROR(__xludf.DUMMYFUNCTION("""COMPUTED_VALUE"""),"Alejandro Trave")</f>
        <v>Alejandro Trave</v>
      </c>
      <c r="C1108" s="109">
        <f ca="1">IFERROR(__xludf.DUMMYFUNCTION("""COMPUTED_VALUE"""),12)</f>
        <v>12</v>
      </c>
      <c r="D1108" s="109" t="str">
        <f ca="1">IFERROR(__xludf.DUMMYFUNCTION("""COMPUTED_VALUE"""),"B")</f>
        <v>B</v>
      </c>
      <c r="E1108" s="110" t="str">
        <f ca="1">IFERROR(__xludf.DUMMYFUNCTION("""COMPUTED_VALUE"""),"J")</f>
        <v>J</v>
      </c>
      <c r="F1108" s="110" t="str">
        <f ca="1">IFERROR(__xludf.DUMMYFUNCTION("""COMPUTED_VALUE"""),"I")</f>
        <v>I</v>
      </c>
      <c r="G1108" s="110">
        <f ca="1">IFERROR(__xludf.DUMMYFUNCTION("""COMPUTED_VALUE"""),2)</f>
        <v>2</v>
      </c>
      <c r="H1108" s="112" t="str">
        <f ca="1"/>
        <v/>
      </c>
      <c r="I1108" s="81" t="str">
        <f ca="1"/>
        <v/>
      </c>
    </row>
    <row r="1109" spans="1:9" ht="13.2">
      <c r="A1109" s="109" t="str">
        <f ca="1">IFERROR(__xludf.DUMMYFUNCTION("""COMPUTED_VALUE"""),"KG")</f>
        <v>KG</v>
      </c>
      <c r="B1109" s="108" t="str">
        <f ca="1">IFERROR(__xludf.DUMMYFUNCTION("""COMPUTED_VALUE"""),"Andy Wu")</f>
        <v>Andy Wu</v>
      </c>
      <c r="C1109" s="109">
        <f ca="1">IFERROR(__xludf.DUMMYFUNCTION("""COMPUTED_VALUE"""),11)</f>
        <v>11</v>
      </c>
      <c r="D1109" s="109" t="str">
        <f ca="1">IFERROR(__xludf.DUMMYFUNCTION("""COMPUTED_VALUE"""),"B")</f>
        <v>B</v>
      </c>
      <c r="E1109" s="110" t="str">
        <f ca="1">IFERROR(__xludf.DUMMYFUNCTION("""COMPUTED_VALUE"""),"J")</f>
        <v>J</v>
      </c>
      <c r="F1109" s="110" t="str">
        <f ca="1">IFERROR(__xludf.DUMMYFUNCTION("""COMPUTED_VALUE"""),"I")</f>
        <v>I</v>
      </c>
      <c r="G1109" s="110">
        <f ca="1">IFERROR(__xludf.DUMMYFUNCTION("""COMPUTED_VALUE"""),2)</f>
        <v>2</v>
      </c>
      <c r="H1109" s="112" t="str">
        <f ca="1"/>
        <v>65.1</v>
      </c>
      <c r="I1109" s="81">
        <f ca="1"/>
        <v>65.099999999999994</v>
      </c>
    </row>
    <row r="1110" spans="1:9" ht="13.2">
      <c r="A1110" s="109" t="str">
        <f ca="1">IFERROR(__xludf.DUMMYFUNCTION("""COMPUTED_VALUE"""),"KG")</f>
        <v>KG</v>
      </c>
      <c r="B1110" s="108" t="str">
        <f ca="1">IFERROR(__xludf.DUMMYFUNCTION("""COMPUTED_VALUE"""),"Charles Sundius")</f>
        <v>Charles Sundius</v>
      </c>
      <c r="C1110" s="109">
        <f ca="1">IFERROR(__xludf.DUMMYFUNCTION("""COMPUTED_VALUE"""),12)</f>
        <v>12</v>
      </c>
      <c r="D1110" s="109" t="str">
        <f ca="1">IFERROR(__xludf.DUMMYFUNCTION("""COMPUTED_VALUE"""),"B")</f>
        <v>B</v>
      </c>
      <c r="E1110" s="110" t="str">
        <f ca="1">IFERROR(__xludf.DUMMYFUNCTION("""COMPUTED_VALUE"""),"J")</f>
        <v>J</v>
      </c>
      <c r="F1110" s="110" t="str">
        <f ca="1">IFERROR(__xludf.DUMMYFUNCTION("""COMPUTED_VALUE"""),"I")</f>
        <v>I</v>
      </c>
      <c r="G1110" s="110">
        <f ca="1">IFERROR(__xludf.DUMMYFUNCTION("""COMPUTED_VALUE"""),2)</f>
        <v>2</v>
      </c>
      <c r="H1110" s="112" t="str">
        <f ca="1"/>
        <v/>
      </c>
      <c r="I1110" s="81" t="str">
        <f ca="1"/>
        <v/>
      </c>
    </row>
    <row r="1111" spans="1:9" ht="13.2">
      <c r="A1111" s="109" t="str">
        <f ca="1">IFERROR(__xludf.DUMMYFUNCTION("""COMPUTED_VALUE"""),"KG")</f>
        <v>KG</v>
      </c>
      <c r="B1111" s="108" t="str">
        <f ca="1">IFERROR(__xludf.DUMMYFUNCTION("""COMPUTED_VALUE"""),"Henry Phoel")</f>
        <v>Henry Phoel</v>
      </c>
      <c r="C1111" s="109">
        <f ca="1">IFERROR(__xludf.DUMMYFUNCTION("""COMPUTED_VALUE"""),11)</f>
        <v>11</v>
      </c>
      <c r="D1111" s="109" t="str">
        <f ca="1">IFERROR(__xludf.DUMMYFUNCTION("""COMPUTED_VALUE"""),"B")</f>
        <v>B</v>
      </c>
      <c r="E1111" s="110" t="str">
        <f ca="1">IFERROR(__xludf.DUMMYFUNCTION("""COMPUTED_VALUE"""),"J")</f>
        <v>J</v>
      </c>
      <c r="F1111" s="110" t="str">
        <f ca="1">IFERROR(__xludf.DUMMYFUNCTION("""COMPUTED_VALUE"""),"I")</f>
        <v>I</v>
      </c>
      <c r="G1111" s="110">
        <f ca="1">IFERROR(__xludf.DUMMYFUNCTION("""COMPUTED_VALUE"""),2)</f>
        <v>2</v>
      </c>
      <c r="H1111" s="112" t="str">
        <f ca="1"/>
        <v/>
      </c>
      <c r="I1111" s="81" t="str">
        <f ca="1"/>
        <v/>
      </c>
    </row>
    <row r="1112" spans="1:9" ht="13.2">
      <c r="A1112" s="109" t="str">
        <f ca="1">IFERROR(__xludf.DUMMYFUNCTION("""COMPUTED_VALUE"""),"KG")</f>
        <v>KG</v>
      </c>
      <c r="B1112" s="108" t="str">
        <f ca="1">IFERROR(__xludf.DUMMYFUNCTION("""COMPUTED_VALUE"""),"Landon Manwaring")</f>
        <v>Landon Manwaring</v>
      </c>
      <c r="C1112" s="109">
        <f ca="1">IFERROR(__xludf.DUMMYFUNCTION("""COMPUTED_VALUE"""),12)</f>
        <v>12</v>
      </c>
      <c r="D1112" s="109" t="str">
        <f ca="1">IFERROR(__xludf.DUMMYFUNCTION("""COMPUTED_VALUE"""),"B")</f>
        <v>B</v>
      </c>
      <c r="E1112" s="110" t="str">
        <f ca="1">IFERROR(__xludf.DUMMYFUNCTION("""COMPUTED_VALUE"""),"J")</f>
        <v>J</v>
      </c>
      <c r="F1112" s="110" t="str">
        <f ca="1">IFERROR(__xludf.DUMMYFUNCTION("""COMPUTED_VALUE"""),"I")</f>
        <v>I</v>
      </c>
      <c r="G1112" s="110">
        <f ca="1">IFERROR(__xludf.DUMMYFUNCTION("""COMPUTED_VALUE"""),2)</f>
        <v>2</v>
      </c>
      <c r="H1112" s="112" t="str">
        <f ca="1"/>
        <v/>
      </c>
      <c r="I1112" s="112" t="str">
        <f ca="1"/>
        <v/>
      </c>
    </row>
    <row r="1113" spans="1:9" ht="13.2">
      <c r="A1113" s="109" t="str">
        <f ca="1">IFERROR(__xludf.DUMMYFUNCTION("""COMPUTED_VALUE"""),"KG")</f>
        <v>KG</v>
      </c>
      <c r="B1113" s="108" t="str">
        <f ca="1">IFERROR(__xludf.DUMMYFUNCTION("""COMPUTED_VALUE"""),"Tomas Meza")</f>
        <v>Tomas Meza</v>
      </c>
      <c r="C1113" s="109">
        <f ca="1">IFERROR(__xludf.DUMMYFUNCTION("""COMPUTED_VALUE"""),12)</f>
        <v>12</v>
      </c>
      <c r="D1113" s="109" t="str">
        <f ca="1">IFERROR(__xludf.DUMMYFUNCTION("""COMPUTED_VALUE"""),"B")</f>
        <v>B</v>
      </c>
      <c r="E1113" s="110" t="str">
        <f ca="1">IFERROR(__xludf.DUMMYFUNCTION("""COMPUTED_VALUE"""),"J")</f>
        <v>J</v>
      </c>
      <c r="F1113" s="110" t="str">
        <f ca="1">IFERROR(__xludf.DUMMYFUNCTION("""COMPUTED_VALUE"""),"I")</f>
        <v>I</v>
      </c>
      <c r="G1113" s="110">
        <f ca="1">IFERROR(__xludf.DUMMYFUNCTION("""COMPUTED_VALUE"""),2)</f>
        <v>2</v>
      </c>
      <c r="H1113" s="112" t="str">
        <f ca="1"/>
        <v/>
      </c>
      <c r="I1113" s="112" t="str">
        <f ca="1"/>
        <v/>
      </c>
    </row>
    <row r="1114" spans="1:9" ht="13.2">
      <c r="A1114" s="109" t="str">
        <f ca="1">IFERROR(__xludf.DUMMYFUNCTION("""COMPUTED_VALUE"""),"KG")</f>
        <v>KG</v>
      </c>
      <c r="B1114" s="108" t="str">
        <f ca="1">IFERROR(__xludf.DUMMYFUNCTION("""COMPUTED_VALUE"""),"Alejandro Trave ")</f>
        <v>Alejandro Trave </v>
      </c>
      <c r="C1114" s="109">
        <f ca="1">IFERROR(__xludf.DUMMYFUNCTION("""COMPUTED_VALUE"""),12)</f>
        <v>12</v>
      </c>
      <c r="D1114" s="109" t="str">
        <f ca="1">IFERROR(__xludf.DUMMYFUNCTION("""COMPUTED_VALUE"""),"G")</f>
        <v>G</v>
      </c>
      <c r="E1114" s="110" t="str">
        <f ca="1">IFERROR(__xludf.DUMMYFUNCTION("""COMPUTED_VALUE"""),"J")</f>
        <v>J</v>
      </c>
      <c r="F1114" s="110" t="str">
        <f ca="1">IFERROR(__xludf.DUMMYFUNCTION("""COMPUTED_VALUE"""),"I")</f>
        <v>I</v>
      </c>
      <c r="G1114" s="110">
        <f ca="1">IFERROR(__xludf.DUMMYFUNCTION("""COMPUTED_VALUE"""),2)</f>
        <v>2</v>
      </c>
      <c r="H1114" s="112" t="str">
        <f ca="1"/>
        <v/>
      </c>
      <c r="I1114" s="81" t="str">
        <f ca="1"/>
        <v/>
      </c>
    </row>
    <row r="1115" spans="1:9" ht="13.2">
      <c r="A1115" s="109" t="str">
        <f ca="1">IFERROR(__xludf.DUMMYFUNCTION("""COMPUTED_VALUE"""),"KG")</f>
        <v>KG</v>
      </c>
      <c r="B1115" s="108" t="str">
        <f ca="1">IFERROR(__xludf.DUMMYFUNCTION("""COMPUTED_VALUE"""),"Emerson Salerno")</f>
        <v>Emerson Salerno</v>
      </c>
      <c r="C1115" s="109">
        <f ca="1">IFERROR(__xludf.DUMMYFUNCTION("""COMPUTED_VALUE"""),11)</f>
        <v>11</v>
      </c>
      <c r="D1115" s="109" t="str">
        <f ca="1">IFERROR(__xludf.DUMMYFUNCTION("""COMPUTED_VALUE"""),"G")</f>
        <v>G</v>
      </c>
      <c r="E1115" s="110" t="str">
        <f ca="1">IFERROR(__xludf.DUMMYFUNCTION("""COMPUTED_VALUE"""),"J")</f>
        <v>J</v>
      </c>
      <c r="F1115" s="110" t="str">
        <f ca="1">IFERROR(__xludf.DUMMYFUNCTION("""COMPUTED_VALUE"""),"I")</f>
        <v>I</v>
      </c>
      <c r="G1115" s="110">
        <f ca="1">IFERROR(__xludf.DUMMYFUNCTION("""COMPUTED_VALUE"""),2)</f>
        <v>2</v>
      </c>
      <c r="H1115" s="112" t="str">
        <f ca="1"/>
        <v/>
      </c>
      <c r="I1115" s="81" t="str">
        <f ca="1"/>
        <v/>
      </c>
    </row>
    <row r="1116" spans="1:9" ht="13.2">
      <c r="A1116" s="109" t="str">
        <f ca="1">IFERROR(__xludf.DUMMYFUNCTION("""COMPUTED_VALUE"""),"KG")</f>
        <v>KG</v>
      </c>
      <c r="B1116" s="108" t="str">
        <f ca="1">IFERROR(__xludf.DUMMYFUNCTION("""COMPUTED_VALUE"""),"Isabel Pereira")</f>
        <v>Isabel Pereira</v>
      </c>
      <c r="C1116" s="109">
        <f ca="1">IFERROR(__xludf.DUMMYFUNCTION("""COMPUTED_VALUE"""),11)</f>
        <v>11</v>
      </c>
      <c r="D1116" s="109" t="str">
        <f ca="1">IFERROR(__xludf.DUMMYFUNCTION("""COMPUTED_VALUE"""),"G")</f>
        <v>G</v>
      </c>
      <c r="E1116" s="110" t="str">
        <f ca="1">IFERROR(__xludf.DUMMYFUNCTION("""COMPUTED_VALUE"""),"J")</f>
        <v>J</v>
      </c>
      <c r="F1116" s="110" t="str">
        <f ca="1">IFERROR(__xludf.DUMMYFUNCTION("""COMPUTED_VALUE"""),"I")</f>
        <v>I</v>
      </c>
      <c r="G1116" s="110">
        <f ca="1">IFERROR(__xludf.DUMMYFUNCTION("""COMPUTED_VALUE"""),2)</f>
        <v>2</v>
      </c>
      <c r="H1116" s="112" t="str">
        <f ca="1"/>
        <v/>
      </c>
      <c r="I1116" s="81" t="str">
        <f ca="1"/>
        <v/>
      </c>
    </row>
    <row r="1117" spans="1:9" ht="13.2">
      <c r="A1117" s="109" t="str">
        <f ca="1">IFERROR(__xludf.DUMMYFUNCTION("""COMPUTED_VALUE"""),"KG")</f>
        <v>KG</v>
      </c>
      <c r="B1117" s="108" t="str">
        <f ca="1">IFERROR(__xludf.DUMMYFUNCTION("""COMPUTED_VALUE"""),"Isabel Pereira ")</f>
        <v>Isabel Pereira </v>
      </c>
      <c r="C1117" s="109">
        <f ca="1">IFERROR(__xludf.DUMMYFUNCTION("""COMPUTED_VALUE"""),11)</f>
        <v>11</v>
      </c>
      <c r="D1117" s="109" t="str">
        <f ca="1">IFERROR(__xludf.DUMMYFUNCTION("""COMPUTED_VALUE"""),"G")</f>
        <v>G</v>
      </c>
      <c r="E1117" s="110" t="str">
        <f ca="1">IFERROR(__xludf.DUMMYFUNCTION("""COMPUTED_VALUE"""),"J")</f>
        <v>J</v>
      </c>
      <c r="F1117" s="110" t="str">
        <f ca="1">IFERROR(__xludf.DUMMYFUNCTION("""COMPUTED_VALUE"""),"I")</f>
        <v>I</v>
      </c>
      <c r="G1117" s="110">
        <f ca="1">IFERROR(__xludf.DUMMYFUNCTION("""COMPUTED_VALUE"""),2)</f>
        <v>2</v>
      </c>
      <c r="H1117" s="112" t="str">
        <f ca="1"/>
        <v/>
      </c>
      <c r="I1117" s="81" t="str">
        <f ca="1"/>
        <v/>
      </c>
    </row>
    <row r="1118" spans="1:9" ht="13.2">
      <c r="A1118" s="109" t="str">
        <f ca="1">IFERROR(__xludf.DUMMYFUNCTION("""COMPUTED_VALUE"""),"KG")</f>
        <v>KG</v>
      </c>
      <c r="B1118" s="108" t="str">
        <f ca="1">IFERROR(__xludf.DUMMYFUNCTION("""COMPUTED_VALUE"""),"Isabella Hampton")</f>
        <v>Isabella Hampton</v>
      </c>
      <c r="C1118" s="109">
        <f ca="1">IFERROR(__xludf.DUMMYFUNCTION("""COMPUTED_VALUE"""),11)</f>
        <v>11</v>
      </c>
      <c r="D1118" s="109" t="str">
        <f ca="1">IFERROR(__xludf.DUMMYFUNCTION("""COMPUTED_VALUE"""),"G")</f>
        <v>G</v>
      </c>
      <c r="E1118" s="110" t="str">
        <f ca="1">IFERROR(__xludf.DUMMYFUNCTION("""COMPUTED_VALUE"""),"J")</f>
        <v>J</v>
      </c>
      <c r="F1118" s="110" t="str">
        <f ca="1">IFERROR(__xludf.DUMMYFUNCTION("""COMPUTED_VALUE"""),"I")</f>
        <v>I</v>
      </c>
      <c r="G1118" s="110">
        <f ca="1">IFERROR(__xludf.DUMMYFUNCTION("""COMPUTED_VALUE"""),2)</f>
        <v>2</v>
      </c>
      <c r="H1118" s="112" t="str">
        <f ca="1"/>
        <v/>
      </c>
      <c r="I1118" s="81" t="str">
        <f ca="1"/>
        <v/>
      </c>
    </row>
    <row r="1119" spans="1:9" ht="13.2">
      <c r="A1119" s="109" t="str">
        <f ca="1">IFERROR(__xludf.DUMMYFUNCTION("""COMPUTED_VALUE"""),"KG")</f>
        <v>KG</v>
      </c>
      <c r="B1119" s="108" t="str">
        <f ca="1">IFERROR(__xludf.DUMMYFUNCTION("""COMPUTED_VALUE"""),"Jovianne Smith")</f>
        <v>Jovianne Smith</v>
      </c>
      <c r="C1119" s="109">
        <f ca="1">IFERROR(__xludf.DUMMYFUNCTION("""COMPUTED_VALUE"""),12)</f>
        <v>12</v>
      </c>
      <c r="D1119" s="109" t="str">
        <f ca="1">IFERROR(__xludf.DUMMYFUNCTION("""COMPUTED_VALUE"""),"G")</f>
        <v>G</v>
      </c>
      <c r="E1119" s="110" t="str">
        <f ca="1">IFERROR(__xludf.DUMMYFUNCTION("""COMPUTED_VALUE"""),"J")</f>
        <v>J</v>
      </c>
      <c r="F1119" s="110" t="str">
        <f ca="1">IFERROR(__xludf.DUMMYFUNCTION("""COMPUTED_VALUE"""),"I")</f>
        <v>I</v>
      </c>
      <c r="G1119" s="110">
        <f ca="1">IFERROR(__xludf.DUMMYFUNCTION("""COMPUTED_VALUE"""),2)</f>
        <v>2</v>
      </c>
      <c r="H1119" s="112" t="str">
        <f ca="1"/>
        <v/>
      </c>
      <c r="I1119" s="81" t="str">
        <f ca="1"/>
        <v/>
      </c>
    </row>
    <row r="1120" spans="1:9" ht="13.2">
      <c r="A1120" s="109" t="str">
        <f ca="1">IFERROR(__xludf.DUMMYFUNCTION("""COMPUTED_VALUE"""),"KG")</f>
        <v>KG</v>
      </c>
      <c r="B1120" s="108" t="str">
        <f ca="1">IFERROR(__xludf.DUMMYFUNCTION("""COMPUTED_VALUE"""),"Katie Gorsline")</f>
        <v>Katie Gorsline</v>
      </c>
      <c r="C1120" s="109">
        <f ca="1">IFERROR(__xludf.DUMMYFUNCTION("""COMPUTED_VALUE"""),11)</f>
        <v>11</v>
      </c>
      <c r="D1120" s="109" t="str">
        <f ca="1">IFERROR(__xludf.DUMMYFUNCTION("""COMPUTED_VALUE"""),"G")</f>
        <v>G</v>
      </c>
      <c r="E1120" s="110" t="str">
        <f ca="1">IFERROR(__xludf.DUMMYFUNCTION("""COMPUTED_VALUE"""),"J")</f>
        <v>J</v>
      </c>
      <c r="F1120" s="110" t="str">
        <f ca="1">IFERROR(__xludf.DUMMYFUNCTION("""COMPUTED_VALUE"""),"I")</f>
        <v>I</v>
      </c>
      <c r="G1120" s="110">
        <f ca="1">IFERROR(__xludf.DUMMYFUNCTION("""COMPUTED_VALUE"""),2)</f>
        <v>2</v>
      </c>
      <c r="H1120" s="112" t="str">
        <f ca="1"/>
        <v/>
      </c>
      <c r="I1120" s="81" t="str">
        <f ca="1"/>
        <v/>
      </c>
    </row>
    <row r="1121" spans="1:9" ht="13.2">
      <c r="A1121" s="109" t="str">
        <f ca="1">IFERROR(__xludf.DUMMYFUNCTION("""COMPUTED_VALUE"""),"KG")</f>
        <v>KG</v>
      </c>
      <c r="B1121" s="108" t="str">
        <f ca="1">IFERROR(__xludf.DUMMYFUNCTION("""COMPUTED_VALUE"""),"Martina Cantua")</f>
        <v>Martina Cantua</v>
      </c>
      <c r="C1121" s="109">
        <f ca="1">IFERROR(__xludf.DUMMYFUNCTION("""COMPUTED_VALUE"""),11)</f>
        <v>11</v>
      </c>
      <c r="D1121" s="109" t="str">
        <f ca="1">IFERROR(__xludf.DUMMYFUNCTION("""COMPUTED_VALUE"""),"G")</f>
        <v>G</v>
      </c>
      <c r="E1121" s="110" t="str">
        <f ca="1">IFERROR(__xludf.DUMMYFUNCTION("""COMPUTED_VALUE"""),"J")</f>
        <v>J</v>
      </c>
      <c r="F1121" s="110" t="str">
        <f ca="1">IFERROR(__xludf.DUMMYFUNCTION("""COMPUTED_VALUE"""),"I")</f>
        <v>I</v>
      </c>
      <c r="G1121" s="110">
        <f ca="1">IFERROR(__xludf.DUMMYFUNCTION("""COMPUTED_VALUE"""),2)</f>
        <v>2</v>
      </c>
      <c r="H1121" s="112" t="str">
        <f ca="1"/>
        <v/>
      </c>
      <c r="I1121" s="81" t="str">
        <f ca="1"/>
        <v/>
      </c>
    </row>
    <row r="1122" spans="1:9" ht="13.2">
      <c r="A1122" s="109" t="str">
        <f ca="1">IFERROR(__xludf.DUMMYFUNCTION("""COMPUTED_VALUE"""),"KG")</f>
        <v>KG</v>
      </c>
      <c r="B1122" s="108" t="str">
        <f ca="1">IFERROR(__xludf.DUMMYFUNCTION("""COMPUTED_VALUE"""),"Riley Diaz")</f>
        <v>Riley Diaz</v>
      </c>
      <c r="C1122" s="109">
        <f ca="1">IFERROR(__xludf.DUMMYFUNCTION("""COMPUTED_VALUE"""),12)</f>
        <v>12</v>
      </c>
      <c r="D1122" s="109" t="str">
        <f ca="1">IFERROR(__xludf.DUMMYFUNCTION("""COMPUTED_VALUE"""),"G")</f>
        <v>G</v>
      </c>
      <c r="E1122" s="110" t="str">
        <f ca="1">IFERROR(__xludf.DUMMYFUNCTION("""COMPUTED_VALUE"""),"J")</f>
        <v>J</v>
      </c>
      <c r="F1122" s="110" t="str">
        <f ca="1">IFERROR(__xludf.DUMMYFUNCTION("""COMPUTED_VALUE"""),"I")</f>
        <v>I</v>
      </c>
      <c r="G1122" s="110">
        <f ca="1">IFERROR(__xludf.DUMMYFUNCTION("""COMPUTED_VALUE"""),2)</f>
        <v>2</v>
      </c>
      <c r="H1122" s="112" t="str">
        <f ca="1"/>
        <v/>
      </c>
      <c r="I1122" s="81" t="str">
        <f ca="1"/>
        <v/>
      </c>
    </row>
    <row r="1123" spans="1:9" ht="13.2">
      <c r="A1123" s="109" t="str">
        <f ca="1">IFERROR(__xludf.DUMMYFUNCTION("""COMPUTED_VALUE"""),"KG")</f>
        <v>KG</v>
      </c>
      <c r="B1123" s="108" t="str">
        <f ca="1">IFERROR(__xludf.DUMMYFUNCTION("""COMPUTED_VALUE"""),"Ziya Bhasin")</f>
        <v>Ziya Bhasin</v>
      </c>
      <c r="C1123" s="109">
        <f ca="1">IFERROR(__xludf.DUMMYFUNCTION("""COMPUTED_VALUE"""),12)</f>
        <v>12</v>
      </c>
      <c r="D1123" s="109" t="str">
        <f ca="1">IFERROR(__xludf.DUMMYFUNCTION("""COMPUTED_VALUE"""),"G")</f>
        <v>G</v>
      </c>
      <c r="E1123" s="110" t="str">
        <f ca="1">IFERROR(__xludf.DUMMYFUNCTION("""COMPUTED_VALUE"""),"J")</f>
        <v>J</v>
      </c>
      <c r="F1123" s="110" t="str">
        <f ca="1">IFERROR(__xludf.DUMMYFUNCTION("""COMPUTED_VALUE"""),"I")</f>
        <v>I</v>
      </c>
      <c r="G1123" s="110">
        <f ca="1">IFERROR(__xludf.DUMMYFUNCTION("""COMPUTED_VALUE"""),2)</f>
        <v>2</v>
      </c>
      <c r="H1123" s="112" t="str">
        <f ca="1"/>
        <v/>
      </c>
      <c r="I1123" s="81" t="str">
        <f ca="1"/>
        <v/>
      </c>
    </row>
    <row r="1124" spans="1:9" ht="13.2">
      <c r="A1124" s="109" t="str">
        <f ca="1">IFERROR(__xludf.DUMMYFUNCTION("""COMPUTED_VALUE"""),"KG")</f>
        <v>KG</v>
      </c>
      <c r="B1124" s="108" t="str">
        <f ca="1">IFERROR(__xludf.DUMMYFUNCTION("""COMPUTED_VALUE"""),"Evan Brown")</f>
        <v>Evan Brown</v>
      </c>
      <c r="C1124" s="109">
        <f ca="1">IFERROR(__xludf.DUMMYFUNCTION("""COMPUTED_VALUE"""),17)</f>
        <v>17</v>
      </c>
      <c r="D1124" s="109" t="str">
        <f ca="1">IFERROR(__xludf.DUMMYFUNCTION("""COMPUTED_VALUE"""),"B")</f>
        <v>B</v>
      </c>
      <c r="E1124" s="110" t="str">
        <f ca="1">IFERROR(__xludf.DUMMYFUNCTION("""COMPUTED_VALUE"""),"S")</f>
        <v>S</v>
      </c>
      <c r="F1124" s="110" t="str">
        <f ca="1">IFERROR(__xludf.DUMMYFUNCTION("""COMPUTED_VALUE"""),"S")</f>
        <v>S</v>
      </c>
      <c r="G1124" s="110">
        <f ca="1">IFERROR(__xludf.DUMMYFUNCTION("""COMPUTED_VALUE"""),2)</f>
        <v>2</v>
      </c>
      <c r="H1124" s="112" t="str">
        <f ca="1"/>
        <v/>
      </c>
      <c r="I1124" s="81" t="str">
        <f ca="1"/>
        <v/>
      </c>
    </row>
    <row r="1125" spans="1:9" ht="13.2">
      <c r="A1125" s="109" t="str">
        <f ca="1">IFERROR(__xludf.DUMMYFUNCTION("""COMPUTED_VALUE"""),"KG")</f>
        <v>KG</v>
      </c>
      <c r="B1125" s="108" t="str">
        <f ca="1">IFERROR(__xludf.DUMMYFUNCTION("""COMPUTED_VALUE"""),"Jad Brubaker")</f>
        <v>Jad Brubaker</v>
      </c>
      <c r="C1125" s="109">
        <f ca="1">IFERROR(__xludf.DUMMYFUNCTION("""COMPUTED_VALUE"""),15)</f>
        <v>15</v>
      </c>
      <c r="D1125" s="109" t="str">
        <f ca="1">IFERROR(__xludf.DUMMYFUNCTION("""COMPUTED_VALUE"""),"B")</f>
        <v>B</v>
      </c>
      <c r="E1125" s="110" t="str">
        <f ca="1">IFERROR(__xludf.DUMMYFUNCTION("""COMPUTED_VALUE"""),"S")</f>
        <v>S</v>
      </c>
      <c r="F1125" s="110" t="str">
        <f ca="1">IFERROR(__xludf.DUMMYFUNCTION("""COMPUTED_VALUE"""),"S")</f>
        <v>S</v>
      </c>
      <c r="G1125" s="110">
        <f ca="1">IFERROR(__xludf.DUMMYFUNCTION("""COMPUTED_VALUE"""),2)</f>
        <v>2</v>
      </c>
      <c r="H1125" s="112" t="str">
        <f ca="1"/>
        <v/>
      </c>
      <c r="I1125" s="81" t="str">
        <f ca="1"/>
        <v/>
      </c>
    </row>
    <row r="1126" spans="1:9" ht="13.2">
      <c r="A1126" s="109" t="str">
        <f ca="1">IFERROR(__xludf.DUMMYFUNCTION("""COMPUTED_VALUE"""),"KG")</f>
        <v>KG</v>
      </c>
      <c r="B1126" s="108" t="str">
        <f ca="1">IFERROR(__xludf.DUMMYFUNCTION("""COMPUTED_VALUE"""),"Kylian Genetti")</f>
        <v>Kylian Genetti</v>
      </c>
      <c r="C1126" s="109">
        <f ca="1">IFERROR(__xludf.DUMMYFUNCTION("""COMPUTED_VALUE"""),17)</f>
        <v>17</v>
      </c>
      <c r="D1126" s="109" t="str">
        <f ca="1">IFERROR(__xludf.DUMMYFUNCTION("""COMPUTED_VALUE"""),"B")</f>
        <v>B</v>
      </c>
      <c r="E1126" s="110" t="str">
        <f ca="1">IFERROR(__xludf.DUMMYFUNCTION("""COMPUTED_VALUE"""),"S")</f>
        <v>S</v>
      </c>
      <c r="F1126" s="110" t="str">
        <f ca="1">IFERROR(__xludf.DUMMYFUNCTION("""COMPUTED_VALUE"""),"S")</f>
        <v>S</v>
      </c>
      <c r="G1126" s="110">
        <f ca="1">IFERROR(__xludf.DUMMYFUNCTION("""COMPUTED_VALUE"""),2)</f>
        <v>2</v>
      </c>
      <c r="H1126" s="112" t="str">
        <f ca="1"/>
        <v/>
      </c>
      <c r="I1126" s="81" t="str">
        <f ca="1"/>
        <v/>
      </c>
    </row>
    <row r="1127" spans="1:9" ht="13.2">
      <c r="A1127" s="109" t="str">
        <f ca="1">IFERROR(__xludf.DUMMYFUNCTION("""COMPUTED_VALUE"""),"KG")</f>
        <v>KG</v>
      </c>
      <c r="B1127" s="108" t="str">
        <f ca="1">IFERROR(__xludf.DUMMYFUNCTION("""COMPUTED_VALUE"""),"Cadi Xie")</f>
        <v>Cadi Xie</v>
      </c>
      <c r="C1127" s="109">
        <f ca="1">IFERROR(__xludf.DUMMYFUNCTION("""COMPUTED_VALUE"""),17)</f>
        <v>17</v>
      </c>
      <c r="D1127" s="109" t="str">
        <f ca="1">IFERROR(__xludf.DUMMYFUNCTION("""COMPUTED_VALUE"""),"G")</f>
        <v>G</v>
      </c>
      <c r="E1127" s="110" t="str">
        <f ca="1">IFERROR(__xludf.DUMMYFUNCTION("""COMPUTED_VALUE"""),"S")</f>
        <v>S</v>
      </c>
      <c r="F1127" s="110" t="str">
        <f ca="1">IFERROR(__xludf.DUMMYFUNCTION("""COMPUTED_VALUE"""),"S")</f>
        <v>S</v>
      </c>
      <c r="G1127" s="110">
        <f ca="1">IFERROR(__xludf.DUMMYFUNCTION("""COMPUTED_VALUE"""),2)</f>
        <v>2</v>
      </c>
      <c r="H1127" s="112" t="str">
        <f ca="1"/>
        <v/>
      </c>
      <c r="I1127" s="112" t="str">
        <f ca="1"/>
        <v/>
      </c>
    </row>
    <row r="1128" spans="1:9" ht="13.2">
      <c r="A1128" s="109" t="str">
        <f ca="1">IFERROR(__xludf.DUMMYFUNCTION("""COMPUTED_VALUE"""),"KG")</f>
        <v>KG</v>
      </c>
      <c r="B1128" s="108" t="str">
        <f ca="1">IFERROR(__xludf.DUMMYFUNCTION("""COMPUTED_VALUE"""),"Ingrid Olsen")</f>
        <v>Ingrid Olsen</v>
      </c>
      <c r="C1128" s="109">
        <f ca="1">IFERROR(__xludf.DUMMYFUNCTION("""COMPUTED_VALUE"""),15)</f>
        <v>15</v>
      </c>
      <c r="D1128" s="109" t="str">
        <f ca="1">IFERROR(__xludf.DUMMYFUNCTION("""COMPUTED_VALUE"""),"G")</f>
        <v>G</v>
      </c>
      <c r="E1128" s="110" t="str">
        <f ca="1">IFERROR(__xludf.DUMMYFUNCTION("""COMPUTED_VALUE"""),"S")</f>
        <v>S</v>
      </c>
      <c r="F1128" s="110" t="str">
        <f ca="1">IFERROR(__xludf.DUMMYFUNCTION("""COMPUTED_VALUE"""),"S")</f>
        <v>S</v>
      </c>
      <c r="G1128" s="110">
        <f ca="1">IFERROR(__xludf.DUMMYFUNCTION("""COMPUTED_VALUE"""),2)</f>
        <v>2</v>
      </c>
      <c r="H1128" s="112" t="str">
        <f ca="1"/>
        <v/>
      </c>
      <c r="I1128" s="81" t="str">
        <f ca="1"/>
        <v/>
      </c>
    </row>
    <row r="1129" spans="1:9" ht="13.2">
      <c r="A1129" s="109" t="str">
        <f ca="1">IFERROR(__xludf.DUMMYFUNCTION("""COMPUTED_VALUE"""),"KG")</f>
        <v>KG</v>
      </c>
      <c r="B1129" s="108" t="str">
        <f ca="1">IFERROR(__xludf.DUMMYFUNCTION("""COMPUTED_VALUE"""),"Irene Sundius")</f>
        <v>Irene Sundius</v>
      </c>
      <c r="C1129" s="109">
        <f ca="1">IFERROR(__xludf.DUMMYFUNCTION("""COMPUTED_VALUE"""),16)</f>
        <v>16</v>
      </c>
      <c r="D1129" s="109" t="str">
        <f ca="1">IFERROR(__xludf.DUMMYFUNCTION("""COMPUTED_VALUE"""),"G")</f>
        <v>G</v>
      </c>
      <c r="E1129" s="110" t="str">
        <f ca="1">IFERROR(__xludf.DUMMYFUNCTION("""COMPUTED_VALUE"""),"S")</f>
        <v>S</v>
      </c>
      <c r="F1129" s="110" t="str">
        <f ca="1">IFERROR(__xludf.DUMMYFUNCTION("""COMPUTED_VALUE"""),"S")</f>
        <v>S</v>
      </c>
      <c r="G1129" s="110">
        <f ca="1">IFERROR(__xludf.DUMMYFUNCTION("""COMPUTED_VALUE"""),2)</f>
        <v>2</v>
      </c>
      <c r="H1129" s="112" t="str">
        <f ca="1"/>
        <v/>
      </c>
      <c r="I1129" s="81" t="str">
        <f ca="1"/>
        <v/>
      </c>
    </row>
    <row r="1130" spans="1:9" ht="13.2">
      <c r="A1130" s="109" t="str">
        <f ca="1">IFERROR(__xludf.DUMMYFUNCTION("""COMPUTED_VALUE"""),"KG")</f>
        <v>KG</v>
      </c>
      <c r="B1130" s="108" t="str">
        <f ca="1">IFERROR(__xludf.DUMMYFUNCTION("""COMPUTED_VALUE"""),"Jocelyn Brooks")</f>
        <v>Jocelyn Brooks</v>
      </c>
      <c r="C1130" s="109">
        <f ca="1">IFERROR(__xludf.DUMMYFUNCTION("""COMPUTED_VALUE"""),15)</f>
        <v>15</v>
      </c>
      <c r="D1130" s="109" t="str">
        <f ca="1">IFERROR(__xludf.DUMMYFUNCTION("""COMPUTED_VALUE"""),"G")</f>
        <v>G</v>
      </c>
      <c r="E1130" s="110" t="str">
        <f ca="1">IFERROR(__xludf.DUMMYFUNCTION("""COMPUTED_VALUE"""),"S")</f>
        <v>S</v>
      </c>
      <c r="F1130" s="110" t="str">
        <f ca="1">IFERROR(__xludf.DUMMYFUNCTION("""COMPUTED_VALUE"""),"S")</f>
        <v>S</v>
      </c>
      <c r="G1130" s="110">
        <f ca="1">IFERROR(__xludf.DUMMYFUNCTION("""COMPUTED_VALUE"""),2)</f>
        <v>2</v>
      </c>
      <c r="H1130" s="112" t="str">
        <f ca="1"/>
        <v/>
      </c>
      <c r="I1130" s="81" t="str">
        <f ca="1"/>
        <v/>
      </c>
    </row>
    <row r="1131" spans="1:9" ht="13.2">
      <c r="A1131" s="109" t="str">
        <f ca="1">IFERROR(__xludf.DUMMYFUNCTION("""COMPUTED_VALUE"""),"KG")</f>
        <v>KG</v>
      </c>
      <c r="B1131" s="108" t="str">
        <f ca="1">IFERROR(__xludf.DUMMYFUNCTION("""COMPUTED_VALUE"""),"Madeleine Hersh")</f>
        <v>Madeleine Hersh</v>
      </c>
      <c r="C1131" s="109">
        <f ca="1">IFERROR(__xludf.DUMMYFUNCTION("""COMPUTED_VALUE"""),17)</f>
        <v>17</v>
      </c>
      <c r="D1131" s="109" t="str">
        <f ca="1">IFERROR(__xludf.DUMMYFUNCTION("""COMPUTED_VALUE"""),"G")</f>
        <v>G</v>
      </c>
      <c r="E1131" s="110" t="str">
        <f ca="1">IFERROR(__xludf.DUMMYFUNCTION("""COMPUTED_VALUE"""),"S")</f>
        <v>S</v>
      </c>
      <c r="F1131" s="110" t="str">
        <f ca="1">IFERROR(__xludf.DUMMYFUNCTION("""COMPUTED_VALUE"""),"S")</f>
        <v>S</v>
      </c>
      <c r="G1131" s="110">
        <f ca="1">IFERROR(__xludf.DUMMYFUNCTION("""COMPUTED_VALUE"""),2)</f>
        <v>2</v>
      </c>
      <c r="H1131" s="112" t="str">
        <f ca="1"/>
        <v/>
      </c>
      <c r="I1131" s="112" t="str">
        <f ca="1"/>
        <v/>
      </c>
    </row>
    <row r="1132" spans="1:9" ht="13.2">
      <c r="A1132" s="109" t="str">
        <f ca="1">IFERROR(__xludf.DUMMYFUNCTION("""COMPUTED_VALUE"""),"KG")</f>
        <v>KG</v>
      </c>
      <c r="B1132" s="108" t="str">
        <f ca="1">IFERROR(__xludf.DUMMYFUNCTION("""COMPUTED_VALUE"""),"Rachel Tielking")</f>
        <v>Rachel Tielking</v>
      </c>
      <c r="C1132" s="109">
        <f ca="1">IFERROR(__xludf.DUMMYFUNCTION("""COMPUTED_VALUE"""),16)</f>
        <v>16</v>
      </c>
      <c r="D1132" s="109" t="str">
        <f ca="1">IFERROR(__xludf.DUMMYFUNCTION("""COMPUTED_VALUE"""),"G")</f>
        <v>G</v>
      </c>
      <c r="E1132" s="110" t="str">
        <f ca="1">IFERROR(__xludf.DUMMYFUNCTION("""COMPUTED_VALUE"""),"S")</f>
        <v>S</v>
      </c>
      <c r="F1132" s="110" t="str">
        <f ca="1">IFERROR(__xludf.DUMMYFUNCTION("""COMPUTED_VALUE"""),"S")</f>
        <v>S</v>
      </c>
      <c r="G1132" s="110">
        <f ca="1">IFERROR(__xludf.DUMMYFUNCTION("""COMPUTED_VALUE"""),2)</f>
        <v>2</v>
      </c>
      <c r="H1132" s="112" t="str">
        <f ca="1"/>
        <v/>
      </c>
      <c r="I1132" s="81" t="str">
        <f ca="1"/>
        <v/>
      </c>
    </row>
    <row r="1133" spans="1:9" ht="13.2">
      <c r="A1133" s="109" t="str">
        <f ca="1">IFERROR(__xludf.DUMMYFUNCTION("""COMPUTED_VALUE"""),"KG")</f>
        <v>KG</v>
      </c>
      <c r="B1133" s="108" t="str">
        <f ca="1">IFERROR(__xludf.DUMMYFUNCTION("""COMPUTED_VALUE"""),"Sarah Wood")</f>
        <v>Sarah Wood</v>
      </c>
      <c r="C1133" s="109">
        <f ca="1">IFERROR(__xludf.DUMMYFUNCTION("""COMPUTED_VALUE"""),18)</f>
        <v>18</v>
      </c>
      <c r="D1133" s="109" t="str">
        <f ca="1">IFERROR(__xludf.DUMMYFUNCTION("""COMPUTED_VALUE"""),"G")</f>
        <v>G</v>
      </c>
      <c r="E1133" s="110" t="str">
        <f ca="1">IFERROR(__xludf.DUMMYFUNCTION("""COMPUTED_VALUE"""),"S")</f>
        <v>S</v>
      </c>
      <c r="F1133" s="110" t="str">
        <f ca="1">IFERROR(__xludf.DUMMYFUNCTION("""COMPUTED_VALUE"""),"S")</f>
        <v>S</v>
      </c>
      <c r="G1133" s="110">
        <f ca="1">IFERROR(__xludf.DUMMYFUNCTION("""COMPUTED_VALUE"""),2)</f>
        <v>2</v>
      </c>
      <c r="H1133" s="112" t="str">
        <f ca="1"/>
        <v/>
      </c>
      <c r="I1133" s="112" t="str">
        <f ca="1"/>
        <v/>
      </c>
    </row>
    <row r="1134" spans="1:9" ht="13.2">
      <c r="A1134" s="109" t="str">
        <f ca="1">IFERROR(__xludf.DUMMYFUNCTION("""COMPUTED_VALUE"""),"KG")</f>
        <v>KG</v>
      </c>
      <c r="B1134" s="108" t="str">
        <f ca="1">IFERROR(__xludf.DUMMYFUNCTION("""COMPUTED_VALUE"""),"Sherry Yu")</f>
        <v>Sherry Yu</v>
      </c>
      <c r="C1134" s="109">
        <f ca="1">IFERROR(__xludf.DUMMYFUNCTION("""COMPUTED_VALUE"""),15)</f>
        <v>15</v>
      </c>
      <c r="D1134" s="109" t="str">
        <f ca="1">IFERROR(__xludf.DUMMYFUNCTION("""COMPUTED_VALUE"""),"G")</f>
        <v>G</v>
      </c>
      <c r="E1134" s="110" t="str">
        <f ca="1">IFERROR(__xludf.DUMMYFUNCTION("""COMPUTED_VALUE"""),"S")</f>
        <v>S</v>
      </c>
      <c r="F1134" s="110" t="str">
        <f ca="1">IFERROR(__xludf.DUMMYFUNCTION("""COMPUTED_VALUE"""),"S")</f>
        <v>S</v>
      </c>
      <c r="G1134" s="110">
        <f ca="1">IFERROR(__xludf.DUMMYFUNCTION("""COMPUTED_VALUE"""),2)</f>
        <v>2</v>
      </c>
      <c r="H1134" s="112" t="str">
        <f ca="1"/>
        <v/>
      </c>
      <c r="I1134" s="81" t="str">
        <f ca="1"/>
        <v/>
      </c>
    </row>
    <row r="1135" spans="1:9" ht="13.2">
      <c r="A1135" s="109" t="str">
        <f ca="1">IFERROR(__xludf.DUMMYFUNCTION("""COMPUTED_VALUE"""),"LG")</f>
        <v>LG</v>
      </c>
      <c r="B1135" s="108" t="str">
        <f ca="1">IFERROR(__xludf.DUMMYFUNCTION("""COMPUTED_VALUE"""),"Benjamin Bolin")</f>
        <v>Benjamin Bolin</v>
      </c>
      <c r="C1135" s="109">
        <f ca="1">IFERROR(__xludf.DUMMYFUNCTION("""COMPUTED_VALUE"""),10)</f>
        <v>10</v>
      </c>
      <c r="D1135" s="109" t="str">
        <f ca="1">IFERROR(__xludf.DUMMYFUNCTION("""COMPUTED_VALUE"""),"B")</f>
        <v>B</v>
      </c>
      <c r="E1135" s="110" t="str">
        <f ca="1">IFERROR(__xludf.DUMMYFUNCTION("""COMPUTED_VALUE"""),"F")</f>
        <v>F</v>
      </c>
      <c r="F1135" s="110" t="str">
        <f ca="1">IFERROR(__xludf.DUMMYFUNCTION("""COMPUTED_VALUE"""),"J")</f>
        <v>J</v>
      </c>
      <c r="G1135" s="110">
        <f ca="1">IFERROR(__xludf.DUMMYFUNCTION("""COMPUTED_VALUE"""),3)</f>
        <v>3</v>
      </c>
      <c r="H1135" s="112" t="str">
        <f ca="1"/>
        <v/>
      </c>
      <c r="I1135" s="81" t="str">
        <f ca="1"/>
        <v/>
      </c>
    </row>
    <row r="1136" spans="1:9" ht="13.2">
      <c r="A1136" s="109" t="str">
        <f ca="1">IFERROR(__xludf.DUMMYFUNCTION("""COMPUTED_VALUE"""),"LG")</f>
        <v>LG</v>
      </c>
      <c r="B1136" s="108" t="str">
        <f ca="1">IFERROR(__xludf.DUMMYFUNCTION("""COMPUTED_VALUE"""),"Chance Hegenbart")</f>
        <v>Chance Hegenbart</v>
      </c>
      <c r="C1136" s="109">
        <f ca="1">IFERROR(__xludf.DUMMYFUNCTION("""COMPUTED_VALUE"""),9)</f>
        <v>9</v>
      </c>
      <c r="D1136" s="109" t="str">
        <f ca="1">IFERROR(__xludf.DUMMYFUNCTION("""COMPUTED_VALUE"""),"B")</f>
        <v>B</v>
      </c>
      <c r="E1136" s="110" t="str">
        <f ca="1">IFERROR(__xludf.DUMMYFUNCTION("""COMPUTED_VALUE"""),"F")</f>
        <v>F</v>
      </c>
      <c r="F1136" s="110" t="str">
        <f ca="1">IFERROR(__xludf.DUMMYFUNCTION("""COMPUTED_VALUE"""),"J")</f>
        <v>J</v>
      </c>
      <c r="G1136" s="110">
        <f ca="1">IFERROR(__xludf.DUMMYFUNCTION("""COMPUTED_VALUE"""),3)</f>
        <v>3</v>
      </c>
      <c r="H1136" s="112" t="str">
        <f ca="1"/>
        <v/>
      </c>
      <c r="I1136" s="81" t="str">
        <f ca="1"/>
        <v/>
      </c>
    </row>
    <row r="1137" spans="1:9" ht="13.2">
      <c r="A1137" s="109" t="str">
        <f ca="1">IFERROR(__xludf.DUMMYFUNCTION("""COMPUTED_VALUE"""),"LG")</f>
        <v>LG</v>
      </c>
      <c r="B1137" s="108" t="str">
        <f ca="1">IFERROR(__xludf.DUMMYFUNCTION("""COMPUTED_VALUE"""),"Eli Bolin")</f>
        <v>Eli Bolin</v>
      </c>
      <c r="C1137" s="109">
        <f ca="1">IFERROR(__xludf.DUMMYFUNCTION("""COMPUTED_VALUE"""),7)</f>
        <v>7</v>
      </c>
      <c r="D1137" s="109" t="str">
        <f ca="1">IFERROR(__xludf.DUMMYFUNCTION("""COMPUTED_VALUE"""),"B")</f>
        <v>B</v>
      </c>
      <c r="E1137" s="110" t="str">
        <f ca="1">IFERROR(__xludf.DUMMYFUNCTION("""COMPUTED_VALUE"""),"F")</f>
        <v>F</v>
      </c>
      <c r="F1137" s="110" t="str">
        <f ca="1">IFERROR(__xludf.DUMMYFUNCTION("""COMPUTED_VALUE"""),"J")</f>
        <v>J</v>
      </c>
      <c r="G1137" s="110">
        <f ca="1">IFERROR(__xludf.DUMMYFUNCTION("""COMPUTED_VALUE"""),3)</f>
        <v>3</v>
      </c>
      <c r="H1137" s="112" t="str">
        <f ca="1"/>
        <v/>
      </c>
      <c r="I1137" s="81" t="str">
        <f ca="1"/>
        <v/>
      </c>
    </row>
    <row r="1138" spans="1:9" ht="13.2">
      <c r="A1138" s="109" t="str">
        <f ca="1">IFERROR(__xludf.DUMMYFUNCTION("""COMPUTED_VALUE"""),"LG")</f>
        <v>LG</v>
      </c>
      <c r="B1138" s="108" t="str">
        <f ca="1">IFERROR(__xludf.DUMMYFUNCTION("""COMPUTED_VALUE"""),"Ethan Page")</f>
        <v>Ethan Page</v>
      </c>
      <c r="C1138" s="109">
        <f ca="1">IFERROR(__xludf.DUMMYFUNCTION("""COMPUTED_VALUE"""),8)</f>
        <v>8</v>
      </c>
      <c r="D1138" s="109" t="str">
        <f ca="1">IFERROR(__xludf.DUMMYFUNCTION("""COMPUTED_VALUE"""),"B")</f>
        <v>B</v>
      </c>
      <c r="E1138" s="110" t="str">
        <f ca="1">IFERROR(__xludf.DUMMYFUNCTION("""COMPUTED_VALUE"""),"F")</f>
        <v>F</v>
      </c>
      <c r="F1138" s="110" t="str">
        <f ca="1">IFERROR(__xludf.DUMMYFUNCTION("""COMPUTED_VALUE"""),"J")</f>
        <v>J</v>
      </c>
      <c r="G1138" s="110">
        <f ca="1">IFERROR(__xludf.DUMMYFUNCTION("""COMPUTED_VALUE"""),3)</f>
        <v>3</v>
      </c>
      <c r="H1138" s="112" t="str">
        <f ca="1"/>
        <v/>
      </c>
      <c r="I1138" s="81" t="str">
        <f ca="1"/>
        <v/>
      </c>
    </row>
    <row r="1139" spans="1:9" ht="13.2">
      <c r="A1139" s="109" t="str">
        <f ca="1">IFERROR(__xludf.DUMMYFUNCTION("""COMPUTED_VALUE"""),"LG")</f>
        <v>LG</v>
      </c>
      <c r="B1139" s="108" t="str">
        <f ca="1">IFERROR(__xludf.DUMMYFUNCTION("""COMPUTED_VALUE"""),"Jackson Beach")</f>
        <v>Jackson Beach</v>
      </c>
      <c r="C1139" s="109">
        <f ca="1">IFERROR(__xludf.DUMMYFUNCTION("""COMPUTED_VALUE"""),9)</f>
        <v>9</v>
      </c>
      <c r="D1139" s="109" t="str">
        <f ca="1">IFERROR(__xludf.DUMMYFUNCTION("""COMPUTED_VALUE"""),"B")</f>
        <v>B</v>
      </c>
      <c r="E1139" s="110" t="str">
        <f ca="1">IFERROR(__xludf.DUMMYFUNCTION("""COMPUTED_VALUE"""),"F")</f>
        <v>F</v>
      </c>
      <c r="F1139" s="110" t="str">
        <f ca="1">IFERROR(__xludf.DUMMYFUNCTION("""COMPUTED_VALUE"""),"J")</f>
        <v>J</v>
      </c>
      <c r="G1139" s="110">
        <f ca="1">IFERROR(__xludf.DUMMYFUNCTION("""COMPUTED_VALUE"""),3)</f>
        <v>3</v>
      </c>
      <c r="H1139" s="112" t="str">
        <f ca="1"/>
        <v/>
      </c>
      <c r="I1139" s="81" t="str">
        <f ca="1"/>
        <v/>
      </c>
    </row>
    <row r="1140" spans="1:9" ht="13.2">
      <c r="A1140" s="109" t="str">
        <f ca="1">IFERROR(__xludf.DUMMYFUNCTION("""COMPUTED_VALUE"""),"LG")</f>
        <v>LG</v>
      </c>
      <c r="B1140" s="108" t="str">
        <f ca="1">IFERROR(__xludf.DUMMYFUNCTION("""COMPUTED_VALUE"""),"John Egge")</f>
        <v>John Egge</v>
      </c>
      <c r="C1140" s="109">
        <f ca="1">IFERROR(__xludf.DUMMYFUNCTION("""COMPUTED_VALUE"""),9)</f>
        <v>9</v>
      </c>
      <c r="D1140" s="109" t="str">
        <f ca="1">IFERROR(__xludf.DUMMYFUNCTION("""COMPUTED_VALUE"""),"B")</f>
        <v>B</v>
      </c>
      <c r="E1140" s="110" t="str">
        <f ca="1">IFERROR(__xludf.DUMMYFUNCTION("""COMPUTED_VALUE"""),"F")</f>
        <v>F</v>
      </c>
      <c r="F1140" s="110" t="str">
        <f ca="1">IFERROR(__xludf.DUMMYFUNCTION("""COMPUTED_VALUE"""),"J")</f>
        <v>J</v>
      </c>
      <c r="G1140" s="110">
        <f ca="1">IFERROR(__xludf.DUMMYFUNCTION("""COMPUTED_VALUE"""),3)</f>
        <v>3</v>
      </c>
      <c r="H1140" s="112" t="str">
        <f ca="1"/>
        <v/>
      </c>
      <c r="I1140" s="81" t="str">
        <f ca="1"/>
        <v/>
      </c>
    </row>
    <row r="1141" spans="1:9" ht="13.2">
      <c r="A1141" s="109" t="str">
        <f ca="1">IFERROR(__xludf.DUMMYFUNCTION("""COMPUTED_VALUE"""),"LG")</f>
        <v>LG</v>
      </c>
      <c r="B1141" s="108" t="str">
        <f ca="1">IFERROR(__xludf.DUMMYFUNCTION("""COMPUTED_VALUE"""),"Keaton Allard")</f>
        <v>Keaton Allard</v>
      </c>
      <c r="C1141" s="109">
        <f ca="1">IFERROR(__xludf.DUMMYFUNCTION("""COMPUTED_VALUE"""),8)</f>
        <v>8</v>
      </c>
      <c r="D1141" s="109" t="str">
        <f ca="1">IFERROR(__xludf.DUMMYFUNCTION("""COMPUTED_VALUE"""),"B")</f>
        <v>B</v>
      </c>
      <c r="E1141" s="110" t="str">
        <f ca="1">IFERROR(__xludf.DUMMYFUNCTION("""COMPUTED_VALUE"""),"F")</f>
        <v>F</v>
      </c>
      <c r="F1141" s="110" t="str">
        <f ca="1">IFERROR(__xludf.DUMMYFUNCTION("""COMPUTED_VALUE"""),"J")</f>
        <v>J</v>
      </c>
      <c r="G1141" s="110">
        <f ca="1">IFERROR(__xludf.DUMMYFUNCTION("""COMPUTED_VALUE"""),3)</f>
        <v>3</v>
      </c>
      <c r="H1141" s="112" t="str">
        <f ca="1"/>
        <v/>
      </c>
      <c r="I1141" s="81" t="str">
        <f ca="1"/>
        <v/>
      </c>
    </row>
    <row r="1142" spans="1:9" ht="13.2">
      <c r="A1142" s="109" t="str">
        <f ca="1">IFERROR(__xludf.DUMMYFUNCTION("""COMPUTED_VALUE"""),"LG")</f>
        <v>LG</v>
      </c>
      <c r="B1142" s="108" t="str">
        <f ca="1">IFERROR(__xludf.DUMMYFUNCTION("""COMPUTED_VALUE"""),"Miller Stevenson")</f>
        <v>Miller Stevenson</v>
      </c>
      <c r="C1142" s="109">
        <f ca="1">IFERROR(__xludf.DUMMYFUNCTION("""COMPUTED_VALUE"""),10)</f>
        <v>10</v>
      </c>
      <c r="D1142" s="109" t="str">
        <f ca="1">IFERROR(__xludf.DUMMYFUNCTION("""COMPUTED_VALUE"""),"B")</f>
        <v>B</v>
      </c>
      <c r="E1142" s="110" t="str">
        <f ca="1">IFERROR(__xludf.DUMMYFUNCTION("""COMPUTED_VALUE"""),"F")</f>
        <v>F</v>
      </c>
      <c r="F1142" s="110" t="str">
        <f ca="1">IFERROR(__xludf.DUMMYFUNCTION("""COMPUTED_VALUE"""),"J")</f>
        <v>J</v>
      </c>
      <c r="G1142" s="110">
        <f ca="1">IFERROR(__xludf.DUMMYFUNCTION("""COMPUTED_VALUE"""),3)</f>
        <v>3</v>
      </c>
      <c r="H1142" s="112" t="str">
        <f ca="1"/>
        <v/>
      </c>
      <c r="I1142" s="81" t="str">
        <f ca="1"/>
        <v/>
      </c>
    </row>
    <row r="1143" spans="1:9" ht="13.2">
      <c r="A1143" s="109" t="str">
        <f ca="1">IFERROR(__xludf.DUMMYFUNCTION("""COMPUTED_VALUE"""),"LG")</f>
        <v>LG</v>
      </c>
      <c r="B1143" s="108" t="str">
        <f ca="1">IFERROR(__xludf.DUMMYFUNCTION("""COMPUTED_VALUE"""),"Oliver Conole")</f>
        <v>Oliver Conole</v>
      </c>
      <c r="C1143" s="109">
        <f ca="1">IFERROR(__xludf.DUMMYFUNCTION("""COMPUTED_VALUE"""),7)</f>
        <v>7</v>
      </c>
      <c r="D1143" s="109" t="str">
        <f ca="1">IFERROR(__xludf.DUMMYFUNCTION("""COMPUTED_VALUE"""),"B")</f>
        <v>B</v>
      </c>
      <c r="E1143" s="110" t="str">
        <f ca="1">IFERROR(__xludf.DUMMYFUNCTION("""COMPUTED_VALUE"""),"F")</f>
        <v>F</v>
      </c>
      <c r="F1143" s="110" t="str">
        <f ca="1">IFERROR(__xludf.DUMMYFUNCTION("""COMPUTED_VALUE"""),"J")</f>
        <v>J</v>
      </c>
      <c r="G1143" s="110">
        <f ca="1">IFERROR(__xludf.DUMMYFUNCTION("""COMPUTED_VALUE"""),3)</f>
        <v>3</v>
      </c>
      <c r="H1143" s="112" t="str">
        <f ca="1"/>
        <v/>
      </c>
      <c r="I1143" s="81" t="str">
        <f ca="1"/>
        <v/>
      </c>
    </row>
    <row r="1144" spans="1:9" ht="13.2">
      <c r="A1144" s="109" t="str">
        <f ca="1">IFERROR(__xludf.DUMMYFUNCTION("""COMPUTED_VALUE"""),"LG")</f>
        <v>LG</v>
      </c>
      <c r="B1144" s="108" t="str">
        <f ca="1">IFERROR(__xludf.DUMMYFUNCTION("""COMPUTED_VALUE"""),"Patrick Verasin")</f>
        <v>Patrick Verasin</v>
      </c>
      <c r="C1144" s="109">
        <f ca="1">IFERROR(__xludf.DUMMYFUNCTION("""COMPUTED_VALUE"""),10)</f>
        <v>10</v>
      </c>
      <c r="D1144" s="109" t="str">
        <f ca="1">IFERROR(__xludf.DUMMYFUNCTION("""COMPUTED_VALUE"""),"B")</f>
        <v>B</v>
      </c>
      <c r="E1144" s="110" t="str">
        <f ca="1">IFERROR(__xludf.DUMMYFUNCTION("""COMPUTED_VALUE"""),"F")</f>
        <v>F</v>
      </c>
      <c r="F1144" s="110" t="str">
        <f ca="1">IFERROR(__xludf.DUMMYFUNCTION("""COMPUTED_VALUE"""),"J")</f>
        <v>J</v>
      </c>
      <c r="G1144" s="110">
        <f ca="1">IFERROR(__xludf.DUMMYFUNCTION("""COMPUTED_VALUE"""),3)</f>
        <v>3</v>
      </c>
      <c r="H1144" s="112" t="str">
        <f ca="1"/>
        <v/>
      </c>
      <c r="I1144" s="81" t="str">
        <f ca="1"/>
        <v/>
      </c>
    </row>
    <row r="1145" spans="1:9" ht="13.2">
      <c r="A1145" s="109" t="str">
        <f ca="1">IFERROR(__xludf.DUMMYFUNCTION("""COMPUTED_VALUE"""),"LG")</f>
        <v>LG</v>
      </c>
      <c r="B1145" s="108" t="str">
        <f ca="1">IFERROR(__xludf.DUMMYFUNCTION("""COMPUTED_VALUE"""),"Reid Yeh")</f>
        <v>Reid Yeh</v>
      </c>
      <c r="C1145" s="109">
        <f ca="1">IFERROR(__xludf.DUMMYFUNCTION("""COMPUTED_VALUE"""),9)</f>
        <v>9</v>
      </c>
      <c r="D1145" s="109" t="str">
        <f ca="1">IFERROR(__xludf.DUMMYFUNCTION("""COMPUTED_VALUE"""),"B")</f>
        <v>B</v>
      </c>
      <c r="E1145" s="110" t="str">
        <f ca="1">IFERROR(__xludf.DUMMYFUNCTION("""COMPUTED_VALUE"""),"F")</f>
        <v>F</v>
      </c>
      <c r="F1145" s="110" t="str">
        <f ca="1">IFERROR(__xludf.DUMMYFUNCTION("""COMPUTED_VALUE"""),"J")</f>
        <v>J</v>
      </c>
      <c r="G1145" s="110">
        <f ca="1">IFERROR(__xludf.DUMMYFUNCTION("""COMPUTED_VALUE"""),3)</f>
        <v>3</v>
      </c>
      <c r="H1145" s="112" t="str">
        <f ca="1"/>
        <v/>
      </c>
      <c r="I1145" s="81" t="str">
        <f ca="1"/>
        <v/>
      </c>
    </row>
    <row r="1146" spans="1:9" ht="13.2">
      <c r="A1146" s="109" t="str">
        <f ca="1">IFERROR(__xludf.DUMMYFUNCTION("""COMPUTED_VALUE"""),"LG")</f>
        <v>LG</v>
      </c>
      <c r="B1146" s="108" t="str">
        <f ca="1">IFERROR(__xludf.DUMMYFUNCTION("""COMPUTED_VALUE"""),"Ronan Gallagher")</f>
        <v>Ronan Gallagher</v>
      </c>
      <c r="C1146" s="109">
        <f ca="1">IFERROR(__xludf.DUMMYFUNCTION("""COMPUTED_VALUE"""),7)</f>
        <v>7</v>
      </c>
      <c r="D1146" s="109" t="str">
        <f ca="1">IFERROR(__xludf.DUMMYFUNCTION("""COMPUTED_VALUE"""),"B")</f>
        <v>B</v>
      </c>
      <c r="E1146" s="110" t="str">
        <f ca="1">IFERROR(__xludf.DUMMYFUNCTION("""COMPUTED_VALUE"""),"F")</f>
        <v>F</v>
      </c>
      <c r="F1146" s="110" t="str">
        <f ca="1">IFERROR(__xludf.DUMMYFUNCTION("""COMPUTED_VALUE"""),"J")</f>
        <v>J</v>
      </c>
      <c r="G1146" s="110">
        <f ca="1">IFERROR(__xludf.DUMMYFUNCTION("""COMPUTED_VALUE"""),3)</f>
        <v>3</v>
      </c>
      <c r="H1146" s="112" t="str">
        <f ca="1"/>
        <v/>
      </c>
      <c r="I1146" s="81" t="str">
        <f ca="1"/>
        <v/>
      </c>
    </row>
    <row r="1147" spans="1:9" ht="13.2">
      <c r="A1147" s="109" t="str">
        <f ca="1">IFERROR(__xludf.DUMMYFUNCTION("""COMPUTED_VALUE"""),"LG")</f>
        <v>LG</v>
      </c>
      <c r="B1147" s="108" t="str">
        <f ca="1">IFERROR(__xludf.DUMMYFUNCTION("""COMPUTED_VALUE"""),"Teddy Klousia")</f>
        <v>Teddy Klousia</v>
      </c>
      <c r="C1147" s="109">
        <f ca="1">IFERROR(__xludf.DUMMYFUNCTION("""COMPUTED_VALUE"""),10)</f>
        <v>10</v>
      </c>
      <c r="D1147" s="109" t="str">
        <f ca="1">IFERROR(__xludf.DUMMYFUNCTION("""COMPUTED_VALUE"""),"B")</f>
        <v>B</v>
      </c>
      <c r="E1147" s="110" t="str">
        <f ca="1">IFERROR(__xludf.DUMMYFUNCTION("""COMPUTED_VALUE"""),"F")</f>
        <v>F</v>
      </c>
      <c r="F1147" s="110" t="str">
        <f ca="1">IFERROR(__xludf.DUMMYFUNCTION("""COMPUTED_VALUE"""),"J")</f>
        <v>J</v>
      </c>
      <c r="G1147" s="110">
        <f ca="1">IFERROR(__xludf.DUMMYFUNCTION("""COMPUTED_VALUE"""),3)</f>
        <v>3</v>
      </c>
      <c r="H1147" s="112" t="str">
        <f ca="1"/>
        <v/>
      </c>
      <c r="I1147" s="81" t="str">
        <f ca="1"/>
        <v/>
      </c>
    </row>
    <row r="1148" spans="1:9" ht="13.2">
      <c r="A1148" s="109" t="str">
        <f ca="1">IFERROR(__xludf.DUMMYFUNCTION("""COMPUTED_VALUE"""),"LG")</f>
        <v>LG</v>
      </c>
      <c r="B1148" s="108" t="str">
        <f ca="1">IFERROR(__xludf.DUMMYFUNCTION("""COMPUTED_VALUE"""),"Truett Harmer")</f>
        <v>Truett Harmer</v>
      </c>
      <c r="C1148" s="109">
        <f ca="1">IFERROR(__xludf.DUMMYFUNCTION("""COMPUTED_VALUE"""),7)</f>
        <v>7</v>
      </c>
      <c r="D1148" s="109" t="str">
        <f ca="1">IFERROR(__xludf.DUMMYFUNCTION("""COMPUTED_VALUE"""),"B")</f>
        <v>B</v>
      </c>
      <c r="E1148" s="110" t="str">
        <f ca="1">IFERROR(__xludf.DUMMYFUNCTION("""COMPUTED_VALUE"""),"F")</f>
        <v>F</v>
      </c>
      <c r="F1148" s="110" t="str">
        <f ca="1">IFERROR(__xludf.DUMMYFUNCTION("""COMPUTED_VALUE"""),"J")</f>
        <v>J</v>
      </c>
      <c r="G1148" s="110">
        <f ca="1">IFERROR(__xludf.DUMMYFUNCTION("""COMPUTED_VALUE"""),3)</f>
        <v>3</v>
      </c>
      <c r="H1148" s="112" t="str">
        <f ca="1"/>
        <v/>
      </c>
      <c r="I1148" s="81" t="str">
        <f ca="1"/>
        <v/>
      </c>
    </row>
    <row r="1149" spans="1:9" ht="13.2">
      <c r="A1149" s="109" t="str">
        <f ca="1">IFERROR(__xludf.DUMMYFUNCTION("""COMPUTED_VALUE"""),"LG")</f>
        <v>LG</v>
      </c>
      <c r="B1149" s="108" t="str">
        <f ca="1">IFERROR(__xludf.DUMMYFUNCTION("""COMPUTED_VALUE"""),"Wesley Klousia")</f>
        <v>Wesley Klousia</v>
      </c>
      <c r="C1149" s="109">
        <f ca="1">IFERROR(__xludf.DUMMYFUNCTION("""COMPUTED_VALUE"""),5)</f>
        <v>5</v>
      </c>
      <c r="D1149" s="109" t="str">
        <f ca="1">IFERROR(__xludf.DUMMYFUNCTION("""COMPUTED_VALUE"""),"B")</f>
        <v>B</v>
      </c>
      <c r="E1149" s="110" t="str">
        <f ca="1">IFERROR(__xludf.DUMMYFUNCTION("""COMPUTED_VALUE"""),"F")</f>
        <v>F</v>
      </c>
      <c r="F1149" s="110" t="str">
        <f ca="1">IFERROR(__xludf.DUMMYFUNCTION("""COMPUTED_VALUE"""),"J")</f>
        <v>J</v>
      </c>
      <c r="G1149" s="110">
        <f ca="1">IFERROR(__xludf.DUMMYFUNCTION("""COMPUTED_VALUE"""),3)</f>
        <v>3</v>
      </c>
      <c r="H1149" s="112" t="str">
        <f ca="1"/>
        <v/>
      </c>
      <c r="I1149" s="81" t="str">
        <f ca="1"/>
        <v/>
      </c>
    </row>
    <row r="1150" spans="1:9" ht="13.2">
      <c r="A1150" s="109" t="str">
        <f ca="1">IFERROR(__xludf.DUMMYFUNCTION("""COMPUTED_VALUE"""),"LG")</f>
        <v>LG</v>
      </c>
      <c r="B1150" s="108" t="str">
        <f ca="1">IFERROR(__xludf.DUMMYFUNCTION("""COMPUTED_VALUE"""),"William Bucher")</f>
        <v>William Bucher</v>
      </c>
      <c r="C1150" s="109">
        <f ca="1">IFERROR(__xludf.DUMMYFUNCTION("""COMPUTED_VALUE"""),8)</f>
        <v>8</v>
      </c>
      <c r="D1150" s="109" t="str">
        <f ca="1">IFERROR(__xludf.DUMMYFUNCTION("""COMPUTED_VALUE"""),"B")</f>
        <v>B</v>
      </c>
      <c r="E1150" s="110" t="str">
        <f ca="1">IFERROR(__xludf.DUMMYFUNCTION("""COMPUTED_VALUE"""),"F")</f>
        <v>F</v>
      </c>
      <c r="F1150" s="110" t="str">
        <f ca="1">IFERROR(__xludf.DUMMYFUNCTION("""COMPUTED_VALUE"""),"J")</f>
        <v>J</v>
      </c>
      <c r="G1150" s="110">
        <f ca="1">IFERROR(__xludf.DUMMYFUNCTION("""COMPUTED_VALUE"""),3)</f>
        <v>3</v>
      </c>
      <c r="H1150" s="112" t="str">
        <f ca="1"/>
        <v/>
      </c>
      <c r="I1150" s="81" t="str">
        <f ca="1"/>
        <v/>
      </c>
    </row>
    <row r="1151" spans="1:9" ht="13.2">
      <c r="A1151" s="109" t="str">
        <f ca="1">IFERROR(__xludf.DUMMYFUNCTION("""COMPUTED_VALUE"""),"LG")</f>
        <v>LG</v>
      </c>
      <c r="B1151" s="108" t="str">
        <f ca="1">IFERROR(__xludf.DUMMYFUNCTION("""COMPUTED_VALUE"""),"William Davis")</f>
        <v>William Davis</v>
      </c>
      <c r="C1151" s="109">
        <f ca="1">IFERROR(__xludf.DUMMYFUNCTION("""COMPUTED_VALUE"""),10)</f>
        <v>10</v>
      </c>
      <c r="D1151" s="109" t="str">
        <f ca="1">IFERROR(__xludf.DUMMYFUNCTION("""COMPUTED_VALUE"""),"B")</f>
        <v>B</v>
      </c>
      <c r="E1151" s="110" t="str">
        <f ca="1">IFERROR(__xludf.DUMMYFUNCTION("""COMPUTED_VALUE"""),"F")</f>
        <v>F</v>
      </c>
      <c r="F1151" s="110" t="str">
        <f ca="1">IFERROR(__xludf.DUMMYFUNCTION("""COMPUTED_VALUE"""),"J")</f>
        <v>J</v>
      </c>
      <c r="G1151" s="110">
        <f ca="1">IFERROR(__xludf.DUMMYFUNCTION("""COMPUTED_VALUE"""),3)</f>
        <v>3</v>
      </c>
      <c r="H1151" s="112" t="str">
        <f ca="1"/>
        <v/>
      </c>
      <c r="I1151" s="81" t="str">
        <f ca="1"/>
        <v/>
      </c>
    </row>
    <row r="1152" spans="1:9" ht="13.2">
      <c r="A1152" s="109" t="str">
        <f ca="1">IFERROR(__xludf.DUMMYFUNCTION("""COMPUTED_VALUE"""),"LG")</f>
        <v>LG</v>
      </c>
      <c r="B1152" s="108" t="str">
        <f ca="1">IFERROR(__xludf.DUMMYFUNCTION("""COMPUTED_VALUE"""),"Annabelle Tuss")</f>
        <v>Annabelle Tuss</v>
      </c>
      <c r="C1152" s="109">
        <f ca="1">IFERROR(__xludf.DUMMYFUNCTION("""COMPUTED_VALUE"""),4)</f>
        <v>4</v>
      </c>
      <c r="D1152" s="109" t="str">
        <f ca="1">IFERROR(__xludf.DUMMYFUNCTION("""COMPUTED_VALUE"""),"G")</f>
        <v>G</v>
      </c>
      <c r="E1152" s="110" t="str">
        <f ca="1">IFERROR(__xludf.DUMMYFUNCTION("""COMPUTED_VALUE"""),"F")</f>
        <v>F</v>
      </c>
      <c r="F1152" s="110" t="str">
        <f ca="1">IFERROR(__xludf.DUMMYFUNCTION("""COMPUTED_VALUE"""),"J")</f>
        <v>J</v>
      </c>
      <c r="G1152" s="110">
        <f ca="1">IFERROR(__xludf.DUMMYFUNCTION("""COMPUTED_VALUE"""),3)</f>
        <v>3</v>
      </c>
      <c r="H1152" s="112" t="str">
        <f ca="1"/>
        <v/>
      </c>
      <c r="I1152" s="81" t="str">
        <f ca="1"/>
        <v/>
      </c>
    </row>
    <row r="1153" spans="1:9" ht="13.2">
      <c r="A1153" s="109" t="str">
        <f ca="1">IFERROR(__xludf.DUMMYFUNCTION("""COMPUTED_VALUE"""),"LG")</f>
        <v>LG</v>
      </c>
      <c r="B1153" s="108" t="str">
        <f ca="1">IFERROR(__xludf.DUMMYFUNCTION("""COMPUTED_VALUE"""),"Arden Allard")</f>
        <v>Arden Allard</v>
      </c>
      <c r="C1153" s="109">
        <f ca="1">IFERROR(__xludf.DUMMYFUNCTION("""COMPUTED_VALUE"""),5)</f>
        <v>5</v>
      </c>
      <c r="D1153" s="109" t="str">
        <f ca="1">IFERROR(__xludf.DUMMYFUNCTION("""COMPUTED_VALUE"""),"G")</f>
        <v>G</v>
      </c>
      <c r="E1153" s="110" t="str">
        <f ca="1">IFERROR(__xludf.DUMMYFUNCTION("""COMPUTED_VALUE"""),"F")</f>
        <v>F</v>
      </c>
      <c r="F1153" s="110" t="str">
        <f ca="1">IFERROR(__xludf.DUMMYFUNCTION("""COMPUTED_VALUE"""),"J")</f>
        <v>J</v>
      </c>
      <c r="G1153" s="110">
        <f ca="1">IFERROR(__xludf.DUMMYFUNCTION("""COMPUTED_VALUE"""),3)</f>
        <v>3</v>
      </c>
      <c r="H1153" s="112" t="str">
        <f ca="1"/>
        <v/>
      </c>
      <c r="I1153" s="112" t="str">
        <f ca="1"/>
        <v/>
      </c>
    </row>
    <row r="1154" spans="1:9" ht="13.2">
      <c r="A1154" s="109" t="str">
        <f ca="1">IFERROR(__xludf.DUMMYFUNCTION("""COMPUTED_VALUE"""),"LG")</f>
        <v>LG</v>
      </c>
      <c r="B1154" s="108" t="str">
        <f ca="1">IFERROR(__xludf.DUMMYFUNCTION("""COMPUTED_VALUE"""),"Cahill Stevenson")</f>
        <v>Cahill Stevenson</v>
      </c>
      <c r="C1154" s="109">
        <f ca="1">IFERROR(__xludf.DUMMYFUNCTION("""COMPUTED_VALUE"""),7)</f>
        <v>7</v>
      </c>
      <c r="D1154" s="109" t="str">
        <f ca="1">IFERROR(__xludf.DUMMYFUNCTION("""COMPUTED_VALUE"""),"G")</f>
        <v>G</v>
      </c>
      <c r="E1154" s="110" t="str">
        <f ca="1">IFERROR(__xludf.DUMMYFUNCTION("""COMPUTED_VALUE"""),"F")</f>
        <v>F</v>
      </c>
      <c r="F1154" s="110" t="str">
        <f ca="1">IFERROR(__xludf.DUMMYFUNCTION("""COMPUTED_VALUE"""),"J")</f>
        <v>J</v>
      </c>
      <c r="G1154" s="110">
        <f ca="1">IFERROR(__xludf.DUMMYFUNCTION("""COMPUTED_VALUE"""),3)</f>
        <v>3</v>
      </c>
      <c r="H1154" s="112" t="str">
        <f ca="1"/>
        <v/>
      </c>
      <c r="I1154" s="81" t="str">
        <f ca="1"/>
        <v/>
      </c>
    </row>
    <row r="1155" spans="1:9" ht="13.2">
      <c r="A1155" s="109" t="str">
        <f ca="1">IFERROR(__xludf.DUMMYFUNCTION("""COMPUTED_VALUE"""),"LG")</f>
        <v>LG</v>
      </c>
      <c r="B1155" s="108" t="str">
        <f ca="1">IFERROR(__xludf.DUMMYFUNCTION("""COMPUTED_VALUE"""),"Caroline French")</f>
        <v>Caroline French</v>
      </c>
      <c r="C1155" s="109">
        <f ca="1">IFERROR(__xludf.DUMMYFUNCTION("""COMPUTED_VALUE"""),9)</f>
        <v>9</v>
      </c>
      <c r="D1155" s="109" t="str">
        <f ca="1">IFERROR(__xludf.DUMMYFUNCTION("""COMPUTED_VALUE"""),"G")</f>
        <v>G</v>
      </c>
      <c r="E1155" s="110" t="str">
        <f ca="1">IFERROR(__xludf.DUMMYFUNCTION("""COMPUTED_VALUE"""),"F")</f>
        <v>F</v>
      </c>
      <c r="F1155" s="110" t="str">
        <f ca="1">IFERROR(__xludf.DUMMYFUNCTION("""COMPUTED_VALUE"""),"J")</f>
        <v>J</v>
      </c>
      <c r="G1155" s="110">
        <f ca="1">IFERROR(__xludf.DUMMYFUNCTION("""COMPUTED_VALUE"""),3)</f>
        <v>3</v>
      </c>
      <c r="H1155" s="112" t="str">
        <f ca="1"/>
        <v/>
      </c>
      <c r="I1155" s="81" t="str">
        <f ca="1"/>
        <v/>
      </c>
    </row>
    <row r="1156" spans="1:9" ht="13.2">
      <c r="A1156" s="109" t="str">
        <f ca="1">IFERROR(__xludf.DUMMYFUNCTION("""COMPUTED_VALUE"""),"LG")</f>
        <v>LG</v>
      </c>
      <c r="B1156" s="108" t="str">
        <f ca="1">IFERROR(__xludf.DUMMYFUNCTION("""COMPUTED_VALUE"""),"Charlotte Vakerics")</f>
        <v>Charlotte Vakerics</v>
      </c>
      <c r="C1156" s="109">
        <f ca="1">IFERROR(__xludf.DUMMYFUNCTION("""COMPUTED_VALUE"""),8)</f>
        <v>8</v>
      </c>
      <c r="D1156" s="109" t="str">
        <f ca="1">IFERROR(__xludf.DUMMYFUNCTION("""COMPUTED_VALUE"""),"G")</f>
        <v>G</v>
      </c>
      <c r="E1156" s="110" t="str">
        <f ca="1">IFERROR(__xludf.DUMMYFUNCTION("""COMPUTED_VALUE"""),"F")</f>
        <v>F</v>
      </c>
      <c r="F1156" s="110" t="str">
        <f ca="1">IFERROR(__xludf.DUMMYFUNCTION("""COMPUTED_VALUE"""),"J")</f>
        <v>J</v>
      </c>
      <c r="G1156" s="110">
        <f ca="1">IFERROR(__xludf.DUMMYFUNCTION("""COMPUTED_VALUE"""),3)</f>
        <v>3</v>
      </c>
      <c r="H1156" s="112" t="str">
        <f ca="1"/>
        <v/>
      </c>
      <c r="I1156" s="112" t="str">
        <f ca="1"/>
        <v/>
      </c>
    </row>
    <row r="1157" spans="1:9" ht="13.2">
      <c r="A1157" s="109" t="str">
        <f ca="1">IFERROR(__xludf.DUMMYFUNCTION("""COMPUTED_VALUE"""),"LG")</f>
        <v>LG</v>
      </c>
      <c r="B1157" s="108" t="str">
        <f ca="1">IFERROR(__xludf.DUMMYFUNCTION("""COMPUTED_VALUE"""),"Claire Gallagher")</f>
        <v>Claire Gallagher</v>
      </c>
      <c r="C1157" s="109">
        <f ca="1">IFERROR(__xludf.DUMMYFUNCTION("""COMPUTED_VALUE"""),8)</f>
        <v>8</v>
      </c>
      <c r="D1157" s="109" t="str">
        <f ca="1">IFERROR(__xludf.DUMMYFUNCTION("""COMPUTED_VALUE"""),"G")</f>
        <v>G</v>
      </c>
      <c r="E1157" s="110" t="str">
        <f ca="1">IFERROR(__xludf.DUMMYFUNCTION("""COMPUTED_VALUE"""),"F")</f>
        <v>F</v>
      </c>
      <c r="F1157" s="110" t="str">
        <f ca="1">IFERROR(__xludf.DUMMYFUNCTION("""COMPUTED_VALUE"""),"J")</f>
        <v>J</v>
      </c>
      <c r="G1157" s="110">
        <f ca="1">IFERROR(__xludf.DUMMYFUNCTION("""COMPUTED_VALUE"""),3)</f>
        <v>3</v>
      </c>
      <c r="H1157" s="112" t="str">
        <f ca="1"/>
        <v/>
      </c>
      <c r="I1157" s="81" t="str">
        <f ca="1"/>
        <v/>
      </c>
    </row>
    <row r="1158" spans="1:9" ht="13.2">
      <c r="A1158" s="109" t="str">
        <f ca="1">IFERROR(__xludf.DUMMYFUNCTION("""COMPUTED_VALUE"""),"LG")</f>
        <v>LG</v>
      </c>
      <c r="B1158" s="108" t="str">
        <f ca="1">IFERROR(__xludf.DUMMYFUNCTION("""COMPUTED_VALUE"""),"Cora Brock")</f>
        <v>Cora Brock</v>
      </c>
      <c r="C1158" s="109">
        <f ca="1">IFERROR(__xludf.DUMMYFUNCTION("""COMPUTED_VALUE"""),10)</f>
        <v>10</v>
      </c>
      <c r="D1158" s="109" t="str">
        <f ca="1">IFERROR(__xludf.DUMMYFUNCTION("""COMPUTED_VALUE"""),"G")</f>
        <v>G</v>
      </c>
      <c r="E1158" s="110" t="str">
        <f ca="1">IFERROR(__xludf.DUMMYFUNCTION("""COMPUTED_VALUE"""),"F")</f>
        <v>F</v>
      </c>
      <c r="F1158" s="110" t="str">
        <f ca="1">IFERROR(__xludf.DUMMYFUNCTION("""COMPUTED_VALUE"""),"J")</f>
        <v>J</v>
      </c>
      <c r="G1158" s="110">
        <f ca="1">IFERROR(__xludf.DUMMYFUNCTION("""COMPUTED_VALUE"""),3)</f>
        <v>3</v>
      </c>
      <c r="H1158" s="112" t="str">
        <f ca="1"/>
        <v/>
      </c>
      <c r="I1158" s="112" t="str">
        <f ca="1"/>
        <v/>
      </c>
    </row>
    <row r="1159" spans="1:9" ht="13.2">
      <c r="A1159" s="109" t="str">
        <f ca="1">IFERROR(__xludf.DUMMYFUNCTION("""COMPUTED_VALUE"""),"LG")</f>
        <v>LG</v>
      </c>
      <c r="B1159" s="108" t="str">
        <f ca="1">IFERROR(__xludf.DUMMYFUNCTION("""COMPUTED_VALUE"""),"Evelyn Banko")</f>
        <v>Evelyn Banko</v>
      </c>
      <c r="C1159" s="109">
        <f ca="1">IFERROR(__xludf.DUMMYFUNCTION("""COMPUTED_VALUE"""),8)</f>
        <v>8</v>
      </c>
      <c r="D1159" s="109" t="str">
        <f ca="1">IFERROR(__xludf.DUMMYFUNCTION("""COMPUTED_VALUE"""),"G")</f>
        <v>G</v>
      </c>
      <c r="E1159" s="110" t="str">
        <f ca="1">IFERROR(__xludf.DUMMYFUNCTION("""COMPUTED_VALUE"""),"F")</f>
        <v>F</v>
      </c>
      <c r="F1159" s="110" t="str">
        <f ca="1">IFERROR(__xludf.DUMMYFUNCTION("""COMPUTED_VALUE"""),"J")</f>
        <v>J</v>
      </c>
      <c r="G1159" s="110">
        <f ca="1">IFERROR(__xludf.DUMMYFUNCTION("""COMPUTED_VALUE"""),3)</f>
        <v>3</v>
      </c>
      <c r="H1159" s="112" t="str">
        <f ca="1"/>
        <v/>
      </c>
      <c r="I1159" s="112" t="str">
        <f ca="1"/>
        <v/>
      </c>
    </row>
    <row r="1160" spans="1:9" ht="13.2">
      <c r="A1160" s="109" t="str">
        <f ca="1">IFERROR(__xludf.DUMMYFUNCTION("""COMPUTED_VALUE"""),"LG")</f>
        <v>LG</v>
      </c>
      <c r="B1160" s="108" t="str">
        <f ca="1">IFERROR(__xludf.DUMMYFUNCTION("""COMPUTED_VALUE"""),"Evie Harmer")</f>
        <v>Evie Harmer</v>
      </c>
      <c r="C1160" s="109">
        <f ca="1">IFERROR(__xludf.DUMMYFUNCTION("""COMPUTED_VALUE"""),9)</f>
        <v>9</v>
      </c>
      <c r="D1160" s="109" t="str">
        <f ca="1">IFERROR(__xludf.DUMMYFUNCTION("""COMPUTED_VALUE"""),"G")</f>
        <v>G</v>
      </c>
      <c r="E1160" s="110" t="str">
        <f ca="1">IFERROR(__xludf.DUMMYFUNCTION("""COMPUTED_VALUE"""),"F")</f>
        <v>F</v>
      </c>
      <c r="F1160" s="110" t="str">
        <f ca="1">IFERROR(__xludf.DUMMYFUNCTION("""COMPUTED_VALUE"""),"J")</f>
        <v>J</v>
      </c>
      <c r="G1160" s="110">
        <f ca="1">IFERROR(__xludf.DUMMYFUNCTION("""COMPUTED_VALUE"""),3)</f>
        <v>3</v>
      </c>
      <c r="H1160" s="112" t="str">
        <f ca="1"/>
        <v/>
      </c>
      <c r="I1160" s="81" t="str">
        <f ca="1"/>
        <v/>
      </c>
    </row>
    <row r="1161" spans="1:9" ht="13.2">
      <c r="A1161" s="109" t="str">
        <f ca="1">IFERROR(__xludf.DUMMYFUNCTION("""COMPUTED_VALUE"""),"LG")</f>
        <v>LG</v>
      </c>
      <c r="B1161" s="108" t="str">
        <f ca="1">IFERROR(__xludf.DUMMYFUNCTION("""COMPUTED_VALUE"""),"Flor Aldana")</f>
        <v>Flor Aldana</v>
      </c>
      <c r="C1161" s="109">
        <f ca="1">IFERROR(__xludf.DUMMYFUNCTION("""COMPUTED_VALUE"""),7)</f>
        <v>7</v>
      </c>
      <c r="D1161" s="109" t="str">
        <f ca="1">IFERROR(__xludf.DUMMYFUNCTION("""COMPUTED_VALUE"""),"G")</f>
        <v>G</v>
      </c>
      <c r="E1161" s="110" t="str">
        <f ca="1">IFERROR(__xludf.DUMMYFUNCTION("""COMPUTED_VALUE"""),"F")</f>
        <v>F</v>
      </c>
      <c r="F1161" s="110" t="str">
        <f ca="1">IFERROR(__xludf.DUMMYFUNCTION("""COMPUTED_VALUE"""),"J")</f>
        <v>J</v>
      </c>
      <c r="G1161" s="110">
        <f ca="1">IFERROR(__xludf.DUMMYFUNCTION("""COMPUTED_VALUE"""),3)</f>
        <v>3</v>
      </c>
      <c r="H1161" s="112" t="str">
        <f ca="1"/>
        <v/>
      </c>
      <c r="I1161" s="81" t="str">
        <f ca="1"/>
        <v/>
      </c>
    </row>
    <row r="1162" spans="1:9" ht="13.2">
      <c r="A1162" s="109" t="str">
        <f ca="1">IFERROR(__xludf.DUMMYFUNCTION("""COMPUTED_VALUE"""),"LG")</f>
        <v>LG</v>
      </c>
      <c r="B1162" s="108" t="str">
        <f ca="1">IFERROR(__xludf.DUMMYFUNCTION("""COMPUTED_VALUE"""),"Grace Swihart")</f>
        <v>Grace Swihart</v>
      </c>
      <c r="C1162" s="109">
        <f ca="1">IFERROR(__xludf.DUMMYFUNCTION("""COMPUTED_VALUE"""),7)</f>
        <v>7</v>
      </c>
      <c r="D1162" s="109" t="str">
        <f ca="1">IFERROR(__xludf.DUMMYFUNCTION("""COMPUTED_VALUE"""),"G")</f>
        <v>G</v>
      </c>
      <c r="E1162" s="110" t="str">
        <f ca="1">IFERROR(__xludf.DUMMYFUNCTION("""COMPUTED_VALUE"""),"F")</f>
        <v>F</v>
      </c>
      <c r="F1162" s="110" t="str">
        <f ca="1">IFERROR(__xludf.DUMMYFUNCTION("""COMPUTED_VALUE"""),"J")</f>
        <v>J</v>
      </c>
      <c r="G1162" s="110">
        <f ca="1">IFERROR(__xludf.DUMMYFUNCTION("""COMPUTED_VALUE"""),3)</f>
        <v>3</v>
      </c>
      <c r="H1162" s="112" t="str">
        <f ca="1"/>
        <v/>
      </c>
      <c r="I1162" s="81" t="str">
        <f ca="1"/>
        <v/>
      </c>
    </row>
    <row r="1163" spans="1:9" ht="13.2">
      <c r="A1163" s="109" t="str">
        <f ca="1">IFERROR(__xludf.DUMMYFUNCTION("""COMPUTED_VALUE"""),"LG")</f>
        <v>LG</v>
      </c>
      <c r="B1163" s="108" t="str">
        <f ca="1">IFERROR(__xludf.DUMMYFUNCTION("""COMPUTED_VALUE"""),"Graham Nicholson")</f>
        <v>Graham Nicholson</v>
      </c>
      <c r="C1163" s="109">
        <f ca="1">IFERROR(__xludf.DUMMYFUNCTION("""COMPUTED_VALUE"""),8)</f>
        <v>8</v>
      </c>
      <c r="D1163" s="109" t="str">
        <f ca="1">IFERROR(__xludf.DUMMYFUNCTION("""COMPUTED_VALUE"""),"G")</f>
        <v>G</v>
      </c>
      <c r="E1163" s="110" t="str">
        <f ca="1">IFERROR(__xludf.DUMMYFUNCTION("""COMPUTED_VALUE"""),"F")</f>
        <v>F</v>
      </c>
      <c r="F1163" s="110" t="str">
        <f ca="1">IFERROR(__xludf.DUMMYFUNCTION("""COMPUTED_VALUE"""),"J")</f>
        <v>J</v>
      </c>
      <c r="G1163" s="110">
        <f ca="1">IFERROR(__xludf.DUMMYFUNCTION("""COMPUTED_VALUE"""),3)</f>
        <v>3</v>
      </c>
      <c r="H1163" s="112" t="str">
        <f ca="1"/>
        <v/>
      </c>
      <c r="I1163" s="112" t="str">
        <f ca="1"/>
        <v/>
      </c>
    </row>
    <row r="1164" spans="1:9" ht="13.2">
      <c r="A1164" s="109" t="str">
        <f ca="1">IFERROR(__xludf.DUMMYFUNCTION("""COMPUTED_VALUE"""),"LG")</f>
        <v>LG</v>
      </c>
      <c r="B1164" s="108" t="str">
        <f ca="1">IFERROR(__xludf.DUMMYFUNCTION("""COMPUTED_VALUE"""),"Hazel Lauver")</f>
        <v>Hazel Lauver</v>
      </c>
      <c r="C1164" s="109">
        <f ca="1">IFERROR(__xludf.DUMMYFUNCTION("""COMPUTED_VALUE"""),6)</f>
        <v>6</v>
      </c>
      <c r="D1164" s="109" t="str">
        <f ca="1">IFERROR(__xludf.DUMMYFUNCTION("""COMPUTED_VALUE"""),"G")</f>
        <v>G</v>
      </c>
      <c r="E1164" s="110" t="str">
        <f ca="1">IFERROR(__xludf.DUMMYFUNCTION("""COMPUTED_VALUE"""),"F")</f>
        <v>F</v>
      </c>
      <c r="F1164" s="110" t="str">
        <f ca="1">IFERROR(__xludf.DUMMYFUNCTION("""COMPUTED_VALUE"""),"J")</f>
        <v>J</v>
      </c>
      <c r="G1164" s="110">
        <f ca="1">IFERROR(__xludf.DUMMYFUNCTION("""COMPUTED_VALUE"""),3)</f>
        <v>3</v>
      </c>
      <c r="H1164" s="112" t="str">
        <f ca="1"/>
        <v/>
      </c>
      <c r="I1164" s="81" t="str">
        <f ca="1"/>
        <v/>
      </c>
    </row>
    <row r="1165" spans="1:9" ht="13.2">
      <c r="A1165" s="109" t="str">
        <f ca="1">IFERROR(__xludf.DUMMYFUNCTION("""COMPUTED_VALUE"""),"LG")</f>
        <v>LG</v>
      </c>
      <c r="B1165" s="108" t="str">
        <f ca="1">IFERROR(__xludf.DUMMYFUNCTION("""COMPUTED_VALUE"""),"June Tuss")</f>
        <v>June Tuss</v>
      </c>
      <c r="C1165" s="109">
        <f ca="1">IFERROR(__xludf.DUMMYFUNCTION("""COMPUTED_VALUE"""),7)</f>
        <v>7</v>
      </c>
      <c r="D1165" s="109" t="str">
        <f ca="1">IFERROR(__xludf.DUMMYFUNCTION("""COMPUTED_VALUE"""),"G")</f>
        <v>G</v>
      </c>
      <c r="E1165" s="110" t="str">
        <f ca="1">IFERROR(__xludf.DUMMYFUNCTION("""COMPUTED_VALUE"""),"F")</f>
        <v>F</v>
      </c>
      <c r="F1165" s="110" t="str">
        <f ca="1">IFERROR(__xludf.DUMMYFUNCTION("""COMPUTED_VALUE"""),"J")</f>
        <v>J</v>
      </c>
      <c r="G1165" s="110">
        <f ca="1">IFERROR(__xludf.DUMMYFUNCTION("""COMPUTED_VALUE"""),3)</f>
        <v>3</v>
      </c>
      <c r="H1165" s="112" t="str">
        <f ca="1"/>
        <v/>
      </c>
      <c r="I1165" s="112" t="str">
        <f ca="1"/>
        <v/>
      </c>
    </row>
    <row r="1166" spans="1:9" ht="13.2">
      <c r="A1166" s="109" t="str">
        <f ca="1">IFERROR(__xludf.DUMMYFUNCTION("""COMPUTED_VALUE"""),"LG")</f>
        <v>LG</v>
      </c>
      <c r="B1166" s="108" t="str">
        <f ca="1">IFERROR(__xludf.DUMMYFUNCTION("""COMPUTED_VALUE"""),"Lila Scully")</f>
        <v>Lila Scully</v>
      </c>
      <c r="C1166" s="109">
        <f ca="1">IFERROR(__xludf.DUMMYFUNCTION("""COMPUTED_VALUE"""),8)</f>
        <v>8</v>
      </c>
      <c r="D1166" s="109" t="str">
        <f ca="1">IFERROR(__xludf.DUMMYFUNCTION("""COMPUTED_VALUE"""),"G")</f>
        <v>G</v>
      </c>
      <c r="E1166" s="110" t="str">
        <f ca="1">IFERROR(__xludf.DUMMYFUNCTION("""COMPUTED_VALUE"""),"F")</f>
        <v>F</v>
      </c>
      <c r="F1166" s="110" t="str">
        <f ca="1">IFERROR(__xludf.DUMMYFUNCTION("""COMPUTED_VALUE"""),"J")</f>
        <v>J</v>
      </c>
      <c r="G1166" s="110">
        <f ca="1">IFERROR(__xludf.DUMMYFUNCTION("""COMPUTED_VALUE"""),3)</f>
        <v>3</v>
      </c>
      <c r="H1166" s="112" t="str">
        <f ca="1"/>
        <v/>
      </c>
      <c r="I1166" s="81" t="str">
        <f ca="1"/>
        <v/>
      </c>
    </row>
    <row r="1167" spans="1:9" ht="13.2">
      <c r="A1167" s="109" t="str">
        <f ca="1">IFERROR(__xludf.DUMMYFUNCTION("""COMPUTED_VALUE"""),"LG")</f>
        <v>LG</v>
      </c>
      <c r="B1167" s="108" t="str">
        <f ca="1">IFERROR(__xludf.DUMMYFUNCTION("""COMPUTED_VALUE"""),"Maddie Hebert")</f>
        <v>Maddie Hebert</v>
      </c>
      <c r="C1167" s="109">
        <f ca="1">IFERROR(__xludf.DUMMYFUNCTION("""COMPUTED_VALUE"""),10)</f>
        <v>10</v>
      </c>
      <c r="D1167" s="109" t="str">
        <f ca="1">IFERROR(__xludf.DUMMYFUNCTION("""COMPUTED_VALUE"""),"G")</f>
        <v>G</v>
      </c>
      <c r="E1167" s="110" t="str">
        <f ca="1">IFERROR(__xludf.DUMMYFUNCTION("""COMPUTED_VALUE"""),"F")</f>
        <v>F</v>
      </c>
      <c r="F1167" s="110" t="str">
        <f ca="1">IFERROR(__xludf.DUMMYFUNCTION("""COMPUTED_VALUE"""),"J")</f>
        <v>J</v>
      </c>
      <c r="G1167" s="110">
        <f ca="1">IFERROR(__xludf.DUMMYFUNCTION("""COMPUTED_VALUE"""),3)</f>
        <v>3</v>
      </c>
      <c r="H1167" s="112" t="str">
        <f ca="1"/>
        <v/>
      </c>
      <c r="I1167" s="112" t="str">
        <f ca="1"/>
        <v/>
      </c>
    </row>
    <row r="1168" spans="1:9" ht="13.2">
      <c r="A1168" s="109" t="str">
        <f ca="1">IFERROR(__xludf.DUMMYFUNCTION("""COMPUTED_VALUE"""),"LG")</f>
        <v>LG</v>
      </c>
      <c r="B1168" s="108" t="str">
        <f ca="1">IFERROR(__xludf.DUMMYFUNCTION("""COMPUTED_VALUE"""),"Maggie Scully")</f>
        <v>Maggie Scully</v>
      </c>
      <c r="C1168" s="109">
        <f ca="1">IFERROR(__xludf.DUMMYFUNCTION("""COMPUTED_VALUE"""),6)</f>
        <v>6</v>
      </c>
      <c r="D1168" s="109" t="str">
        <f ca="1">IFERROR(__xludf.DUMMYFUNCTION("""COMPUTED_VALUE"""),"G")</f>
        <v>G</v>
      </c>
      <c r="E1168" s="110" t="str">
        <f ca="1">IFERROR(__xludf.DUMMYFUNCTION("""COMPUTED_VALUE"""),"F")</f>
        <v>F</v>
      </c>
      <c r="F1168" s="110" t="str">
        <f ca="1">IFERROR(__xludf.DUMMYFUNCTION("""COMPUTED_VALUE"""),"J")</f>
        <v>J</v>
      </c>
      <c r="G1168" s="110">
        <f ca="1">IFERROR(__xludf.DUMMYFUNCTION("""COMPUTED_VALUE"""),3)</f>
        <v>3</v>
      </c>
      <c r="H1168" s="112" t="str">
        <f ca="1"/>
        <v/>
      </c>
      <c r="I1168" s="112" t="str">
        <f ca="1"/>
        <v/>
      </c>
    </row>
    <row r="1169" spans="1:9" ht="13.2">
      <c r="A1169" s="109" t="str">
        <f ca="1">IFERROR(__xludf.DUMMYFUNCTION("""COMPUTED_VALUE"""),"LG")</f>
        <v>LG</v>
      </c>
      <c r="B1169" s="108" t="str">
        <f ca="1">IFERROR(__xludf.DUMMYFUNCTION("""COMPUTED_VALUE"""),"Malin Klousia")</f>
        <v>Malin Klousia</v>
      </c>
      <c r="C1169" s="109">
        <f ca="1">IFERROR(__xludf.DUMMYFUNCTION("""COMPUTED_VALUE"""),10)</f>
        <v>10</v>
      </c>
      <c r="D1169" s="109" t="str">
        <f ca="1">IFERROR(__xludf.DUMMYFUNCTION("""COMPUTED_VALUE"""),"G")</f>
        <v>G</v>
      </c>
      <c r="E1169" s="110" t="str">
        <f ca="1">IFERROR(__xludf.DUMMYFUNCTION("""COMPUTED_VALUE"""),"F")</f>
        <v>F</v>
      </c>
      <c r="F1169" s="110" t="str">
        <f ca="1">IFERROR(__xludf.DUMMYFUNCTION("""COMPUTED_VALUE"""),"J")</f>
        <v>J</v>
      </c>
      <c r="G1169" s="110">
        <f ca="1">IFERROR(__xludf.DUMMYFUNCTION("""COMPUTED_VALUE"""),3)</f>
        <v>3</v>
      </c>
      <c r="H1169" s="112" t="str">
        <f ca="1"/>
        <v/>
      </c>
      <c r="I1169" s="112" t="str">
        <f ca="1"/>
        <v/>
      </c>
    </row>
    <row r="1170" spans="1:9" ht="13.2">
      <c r="A1170" s="109" t="str">
        <f ca="1">IFERROR(__xludf.DUMMYFUNCTION("""COMPUTED_VALUE"""),"LG")</f>
        <v>LG</v>
      </c>
      <c r="B1170" s="108" t="str">
        <f ca="1">IFERROR(__xludf.DUMMYFUNCTION("""COMPUTED_VALUE"""),"Mary Brooks Simoneaux")</f>
        <v>Mary Brooks Simoneaux</v>
      </c>
      <c r="C1170" s="109">
        <f ca="1">IFERROR(__xludf.DUMMYFUNCTION("""COMPUTED_VALUE"""),7)</f>
        <v>7</v>
      </c>
      <c r="D1170" s="109" t="str">
        <f ca="1">IFERROR(__xludf.DUMMYFUNCTION("""COMPUTED_VALUE"""),"G")</f>
        <v>G</v>
      </c>
      <c r="E1170" s="110" t="str">
        <f ca="1">IFERROR(__xludf.DUMMYFUNCTION("""COMPUTED_VALUE"""),"F")</f>
        <v>F</v>
      </c>
      <c r="F1170" s="110" t="str">
        <f ca="1">IFERROR(__xludf.DUMMYFUNCTION("""COMPUTED_VALUE"""),"J")</f>
        <v>J</v>
      </c>
      <c r="G1170" s="110">
        <f ca="1">IFERROR(__xludf.DUMMYFUNCTION("""COMPUTED_VALUE"""),3)</f>
        <v>3</v>
      </c>
      <c r="H1170" s="112" t="str">
        <f ca="1"/>
        <v/>
      </c>
      <c r="I1170" s="81" t="str">
        <f ca="1"/>
        <v/>
      </c>
    </row>
    <row r="1171" spans="1:9" ht="13.2">
      <c r="A1171" s="109" t="str">
        <f ca="1">IFERROR(__xludf.DUMMYFUNCTION("""COMPUTED_VALUE"""),"LG")</f>
        <v>LG</v>
      </c>
      <c r="B1171" s="108" t="str">
        <f ca="1">IFERROR(__xludf.DUMMYFUNCTION("""COMPUTED_VALUE"""),"Mckayla Danner")</f>
        <v>Mckayla Danner</v>
      </c>
      <c r="C1171" s="109">
        <f ca="1">IFERROR(__xludf.DUMMYFUNCTION("""COMPUTED_VALUE"""),8)</f>
        <v>8</v>
      </c>
      <c r="D1171" s="109" t="str">
        <f ca="1">IFERROR(__xludf.DUMMYFUNCTION("""COMPUTED_VALUE"""),"G")</f>
        <v>G</v>
      </c>
      <c r="E1171" s="110" t="str">
        <f ca="1">IFERROR(__xludf.DUMMYFUNCTION("""COMPUTED_VALUE"""),"F")</f>
        <v>F</v>
      </c>
      <c r="F1171" s="110" t="str">
        <f ca="1">IFERROR(__xludf.DUMMYFUNCTION("""COMPUTED_VALUE"""),"J")</f>
        <v>J</v>
      </c>
      <c r="G1171" s="110">
        <f ca="1">IFERROR(__xludf.DUMMYFUNCTION("""COMPUTED_VALUE"""),3)</f>
        <v>3</v>
      </c>
      <c r="H1171" s="112" t="str">
        <f ca="1"/>
        <v/>
      </c>
      <c r="I1171" s="81" t="str">
        <f ca="1"/>
        <v/>
      </c>
    </row>
    <row r="1172" spans="1:9" ht="13.2">
      <c r="A1172" s="109" t="str">
        <f ca="1">IFERROR(__xludf.DUMMYFUNCTION("""COMPUTED_VALUE"""),"LG")</f>
        <v>LG</v>
      </c>
      <c r="B1172" s="108" t="str">
        <f ca="1">IFERROR(__xludf.DUMMYFUNCTION("""COMPUTED_VALUE"""),"McKinley Cervenak")</f>
        <v>McKinley Cervenak</v>
      </c>
      <c r="C1172" s="109">
        <f ca="1">IFERROR(__xludf.DUMMYFUNCTION("""COMPUTED_VALUE"""),6)</f>
        <v>6</v>
      </c>
      <c r="D1172" s="109" t="str">
        <f ca="1">IFERROR(__xludf.DUMMYFUNCTION("""COMPUTED_VALUE"""),"G")</f>
        <v>G</v>
      </c>
      <c r="E1172" s="110" t="str">
        <f ca="1">IFERROR(__xludf.DUMMYFUNCTION("""COMPUTED_VALUE"""),"F")</f>
        <v>F</v>
      </c>
      <c r="F1172" s="110" t="str">
        <f ca="1">IFERROR(__xludf.DUMMYFUNCTION("""COMPUTED_VALUE"""),"J")</f>
        <v>J</v>
      </c>
      <c r="G1172" s="110">
        <f ca="1">IFERROR(__xludf.DUMMYFUNCTION("""COMPUTED_VALUE"""),3)</f>
        <v>3</v>
      </c>
      <c r="H1172" s="112" t="str">
        <f ca="1"/>
        <v/>
      </c>
      <c r="I1172" s="112" t="str">
        <f ca="1"/>
        <v/>
      </c>
    </row>
    <row r="1173" spans="1:9" ht="13.2">
      <c r="A1173" s="109" t="str">
        <f ca="1">IFERROR(__xludf.DUMMYFUNCTION("""COMPUTED_VALUE"""),"LG")</f>
        <v>LG</v>
      </c>
      <c r="B1173" s="108" t="str">
        <f ca="1">IFERROR(__xludf.DUMMYFUNCTION("""COMPUTED_VALUE"""),"Olivia Wendell")</f>
        <v>Olivia Wendell</v>
      </c>
      <c r="C1173" s="109">
        <f ca="1">IFERROR(__xludf.DUMMYFUNCTION("""COMPUTED_VALUE"""),10)</f>
        <v>10</v>
      </c>
      <c r="D1173" s="109" t="str">
        <f ca="1">IFERROR(__xludf.DUMMYFUNCTION("""COMPUTED_VALUE"""),"G")</f>
        <v>G</v>
      </c>
      <c r="E1173" s="110" t="str">
        <f ca="1">IFERROR(__xludf.DUMMYFUNCTION("""COMPUTED_VALUE"""),"F")</f>
        <v>F</v>
      </c>
      <c r="F1173" s="110" t="str">
        <f ca="1">IFERROR(__xludf.DUMMYFUNCTION("""COMPUTED_VALUE"""),"J")</f>
        <v>J</v>
      </c>
      <c r="G1173" s="110">
        <f ca="1">IFERROR(__xludf.DUMMYFUNCTION("""COMPUTED_VALUE"""),3)</f>
        <v>3</v>
      </c>
      <c r="H1173" s="112" t="str">
        <f ca="1"/>
        <v/>
      </c>
      <c r="I1173" s="81" t="str">
        <f ca="1"/>
        <v/>
      </c>
    </row>
    <row r="1174" spans="1:9" ht="13.2">
      <c r="A1174" s="109" t="str">
        <f ca="1">IFERROR(__xludf.DUMMYFUNCTION("""COMPUTED_VALUE"""),"LG")</f>
        <v>LG</v>
      </c>
      <c r="B1174" s="108" t="str">
        <f ca="1">IFERROR(__xludf.DUMMYFUNCTION("""COMPUTED_VALUE"""),"Reese Fisher")</f>
        <v>Reese Fisher</v>
      </c>
      <c r="C1174" s="109">
        <f ca="1">IFERROR(__xludf.DUMMYFUNCTION("""COMPUTED_VALUE"""),7)</f>
        <v>7</v>
      </c>
      <c r="D1174" s="109" t="str">
        <f ca="1">IFERROR(__xludf.DUMMYFUNCTION("""COMPUTED_VALUE"""),"G")</f>
        <v>G</v>
      </c>
      <c r="E1174" s="110" t="str">
        <f ca="1">IFERROR(__xludf.DUMMYFUNCTION("""COMPUTED_VALUE"""),"F")</f>
        <v>F</v>
      </c>
      <c r="F1174" s="110" t="str">
        <f ca="1">IFERROR(__xludf.DUMMYFUNCTION("""COMPUTED_VALUE"""),"J")</f>
        <v>J</v>
      </c>
      <c r="G1174" s="110">
        <f ca="1">IFERROR(__xludf.DUMMYFUNCTION("""COMPUTED_VALUE"""),3)</f>
        <v>3</v>
      </c>
      <c r="H1174" s="112" t="str">
        <f ca="1"/>
        <v/>
      </c>
      <c r="I1174" s="112" t="str">
        <f ca="1"/>
        <v/>
      </c>
    </row>
    <row r="1175" spans="1:9" ht="13.2">
      <c r="A1175" s="109" t="str">
        <f ca="1">IFERROR(__xludf.DUMMYFUNCTION("""COMPUTED_VALUE"""),"LG")</f>
        <v>LG</v>
      </c>
      <c r="B1175" s="108" t="str">
        <f ca="1">IFERROR(__xludf.DUMMYFUNCTION("""COMPUTED_VALUE"""),"Ruby Conole")</f>
        <v>Ruby Conole</v>
      </c>
      <c r="C1175" s="109">
        <f ca="1">IFERROR(__xludf.DUMMYFUNCTION("""COMPUTED_VALUE"""),4)</f>
        <v>4</v>
      </c>
      <c r="D1175" s="109" t="str">
        <f ca="1">IFERROR(__xludf.DUMMYFUNCTION("""COMPUTED_VALUE"""),"G")</f>
        <v>G</v>
      </c>
      <c r="E1175" s="110" t="str">
        <f ca="1">IFERROR(__xludf.DUMMYFUNCTION("""COMPUTED_VALUE"""),"F")</f>
        <v>F</v>
      </c>
      <c r="F1175" s="110" t="str">
        <f ca="1">IFERROR(__xludf.DUMMYFUNCTION("""COMPUTED_VALUE"""),"J")</f>
        <v>J</v>
      </c>
      <c r="G1175" s="110">
        <f ca="1">IFERROR(__xludf.DUMMYFUNCTION("""COMPUTED_VALUE"""),3)</f>
        <v>3</v>
      </c>
      <c r="H1175" s="112" t="str">
        <f ca="1"/>
        <v/>
      </c>
      <c r="I1175" s="112" t="str">
        <f ca="1"/>
        <v/>
      </c>
    </row>
    <row r="1176" spans="1:9" ht="13.2">
      <c r="A1176" s="109" t="str">
        <f ca="1">IFERROR(__xludf.DUMMYFUNCTION("""COMPUTED_VALUE"""),"LG")</f>
        <v>LG</v>
      </c>
      <c r="B1176" s="108" t="str">
        <f ca="1">IFERROR(__xludf.DUMMYFUNCTION("""COMPUTED_VALUE"""),"Sarah Banko")</f>
        <v>Sarah Banko</v>
      </c>
      <c r="C1176" s="109">
        <f ca="1">IFERROR(__xludf.DUMMYFUNCTION("""COMPUTED_VALUE"""),10)</f>
        <v>10</v>
      </c>
      <c r="D1176" s="109" t="str">
        <f ca="1">IFERROR(__xludf.DUMMYFUNCTION("""COMPUTED_VALUE"""),"G")</f>
        <v>G</v>
      </c>
      <c r="E1176" s="110" t="str">
        <f ca="1">IFERROR(__xludf.DUMMYFUNCTION("""COMPUTED_VALUE"""),"F")</f>
        <v>F</v>
      </c>
      <c r="F1176" s="110" t="str">
        <f ca="1">IFERROR(__xludf.DUMMYFUNCTION("""COMPUTED_VALUE"""),"J")</f>
        <v>J</v>
      </c>
      <c r="G1176" s="110">
        <f ca="1">IFERROR(__xludf.DUMMYFUNCTION("""COMPUTED_VALUE"""),3)</f>
        <v>3</v>
      </c>
      <c r="H1176" s="112" t="str">
        <f ca="1"/>
        <v/>
      </c>
      <c r="I1176" s="81" t="str">
        <f ca="1"/>
        <v/>
      </c>
    </row>
    <row r="1177" spans="1:9" ht="13.2">
      <c r="A1177" s="109" t="str">
        <f ca="1">IFERROR(__xludf.DUMMYFUNCTION("""COMPUTED_VALUE"""),"LG")</f>
        <v>LG</v>
      </c>
      <c r="B1177" s="108" t="str">
        <f ca="1">IFERROR(__xludf.DUMMYFUNCTION("""COMPUTED_VALUE"""),"Sloane Gallagher")</f>
        <v>Sloane Gallagher</v>
      </c>
      <c r="C1177" s="109">
        <f ca="1">IFERROR(__xludf.DUMMYFUNCTION("""COMPUTED_VALUE"""),5)</f>
        <v>5</v>
      </c>
      <c r="D1177" s="109" t="str">
        <f ca="1">IFERROR(__xludf.DUMMYFUNCTION("""COMPUTED_VALUE"""),"G")</f>
        <v>G</v>
      </c>
      <c r="E1177" s="110" t="str">
        <f ca="1">IFERROR(__xludf.DUMMYFUNCTION("""COMPUTED_VALUE"""),"F")</f>
        <v>F</v>
      </c>
      <c r="F1177" s="110" t="str">
        <f ca="1">IFERROR(__xludf.DUMMYFUNCTION("""COMPUTED_VALUE"""),"J")</f>
        <v>J</v>
      </c>
      <c r="G1177" s="110">
        <f ca="1">IFERROR(__xludf.DUMMYFUNCTION("""COMPUTED_VALUE"""),3)</f>
        <v>3</v>
      </c>
      <c r="H1177" s="112" t="str">
        <f ca="1"/>
        <v/>
      </c>
      <c r="I1177" s="81" t="str">
        <f ca="1"/>
        <v/>
      </c>
    </row>
    <row r="1178" spans="1:9" ht="13.2">
      <c r="A1178" s="109" t="str">
        <f ca="1">IFERROR(__xludf.DUMMYFUNCTION("""COMPUTED_VALUE"""),"LG")</f>
        <v>LG</v>
      </c>
      <c r="B1178" s="108" t="str">
        <f ca="1">IFERROR(__xludf.DUMMYFUNCTION("""COMPUTED_VALUE"""),"Thea Conole")</f>
        <v>Thea Conole</v>
      </c>
      <c r="C1178" s="109">
        <f ca="1">IFERROR(__xludf.DUMMYFUNCTION("""COMPUTED_VALUE"""),9)</f>
        <v>9</v>
      </c>
      <c r="D1178" s="109" t="str">
        <f ca="1">IFERROR(__xludf.DUMMYFUNCTION("""COMPUTED_VALUE"""),"G")</f>
        <v>G</v>
      </c>
      <c r="E1178" s="110" t="str">
        <f ca="1">IFERROR(__xludf.DUMMYFUNCTION("""COMPUTED_VALUE"""),"F")</f>
        <v>F</v>
      </c>
      <c r="F1178" s="110" t="str">
        <f ca="1">IFERROR(__xludf.DUMMYFUNCTION("""COMPUTED_VALUE"""),"J")</f>
        <v>J</v>
      </c>
      <c r="G1178" s="110">
        <f ca="1">IFERROR(__xludf.DUMMYFUNCTION("""COMPUTED_VALUE"""),3)</f>
        <v>3</v>
      </c>
      <c r="H1178" s="112" t="str">
        <f ca="1"/>
        <v/>
      </c>
      <c r="I1178" s="112" t="str">
        <f ca="1"/>
        <v/>
      </c>
    </row>
    <row r="1179" spans="1:9" ht="13.2">
      <c r="A1179" s="109" t="str">
        <f ca="1">IFERROR(__xludf.DUMMYFUNCTION("""COMPUTED_VALUE"""),"LG")</f>
        <v>LG</v>
      </c>
      <c r="B1179" s="108" t="str">
        <f ca="1">IFERROR(__xludf.DUMMYFUNCTION("""COMPUTED_VALUE"""),"Wren McCann")</f>
        <v>Wren McCann</v>
      </c>
      <c r="C1179" s="109">
        <f ca="1">IFERROR(__xludf.DUMMYFUNCTION("""COMPUTED_VALUE"""),8)</f>
        <v>8</v>
      </c>
      <c r="D1179" s="109" t="str">
        <f ca="1">IFERROR(__xludf.DUMMYFUNCTION("""COMPUTED_VALUE"""),"G")</f>
        <v>G</v>
      </c>
      <c r="E1179" s="110" t="str">
        <f ca="1">IFERROR(__xludf.DUMMYFUNCTION("""COMPUTED_VALUE"""),"F")</f>
        <v>F</v>
      </c>
      <c r="F1179" s="110" t="str">
        <f ca="1">IFERROR(__xludf.DUMMYFUNCTION("""COMPUTED_VALUE"""),"J")</f>
        <v>J</v>
      </c>
      <c r="G1179" s="110">
        <f ca="1">IFERROR(__xludf.DUMMYFUNCTION("""COMPUTED_VALUE"""),3)</f>
        <v>3</v>
      </c>
      <c r="H1179" s="112" t="str">
        <f ca="1"/>
        <v/>
      </c>
      <c r="I1179" s="81" t="str">
        <f ca="1"/>
        <v/>
      </c>
    </row>
    <row r="1180" spans="1:9" ht="13.2">
      <c r="A1180" s="109" t="str">
        <f ca="1">IFERROR(__xludf.DUMMYFUNCTION("""COMPUTED_VALUE"""),"LG")</f>
        <v>LG</v>
      </c>
      <c r="B1180" s="108" t="str">
        <f ca="1">IFERROR(__xludf.DUMMYFUNCTION("""COMPUTED_VALUE"""),"Alex Way")</f>
        <v>Alex Way</v>
      </c>
      <c r="C1180" s="109">
        <f ca="1">IFERROR(__xludf.DUMMYFUNCTION("""COMPUTED_VALUE"""),14)</f>
        <v>14</v>
      </c>
      <c r="D1180" s="109" t="str">
        <f ca="1">IFERROR(__xludf.DUMMYFUNCTION("""COMPUTED_VALUE"""),"B")</f>
        <v>B</v>
      </c>
      <c r="E1180" s="110" t="str">
        <f ca="1">IFERROR(__xludf.DUMMYFUNCTION("""COMPUTED_VALUE"""),"I")</f>
        <v>I</v>
      </c>
      <c r="F1180" s="110" t="str">
        <f ca="1">IFERROR(__xludf.DUMMYFUNCTION("""COMPUTED_VALUE"""),"S")</f>
        <v>S</v>
      </c>
      <c r="G1180" s="110">
        <f ca="1">IFERROR(__xludf.DUMMYFUNCTION("""COMPUTED_VALUE"""),3)</f>
        <v>3</v>
      </c>
      <c r="H1180" s="112" t="str">
        <f ca="1"/>
        <v/>
      </c>
      <c r="I1180" s="81" t="str">
        <f ca="1"/>
        <v/>
      </c>
    </row>
    <row r="1181" spans="1:9" ht="13.2">
      <c r="A1181" s="109" t="str">
        <f ca="1">IFERROR(__xludf.DUMMYFUNCTION("""COMPUTED_VALUE"""),"LG")</f>
        <v>LG</v>
      </c>
      <c r="B1181" s="108" t="str">
        <f ca="1">IFERROR(__xludf.DUMMYFUNCTION("""COMPUTED_VALUE"""),"Hudson Mar")</f>
        <v>Hudson Mar</v>
      </c>
      <c r="C1181" s="109">
        <f ca="1">IFERROR(__xludf.DUMMYFUNCTION("""COMPUTED_VALUE"""),14)</f>
        <v>14</v>
      </c>
      <c r="D1181" s="109" t="str">
        <f ca="1">IFERROR(__xludf.DUMMYFUNCTION("""COMPUTED_VALUE"""),"B")</f>
        <v>B</v>
      </c>
      <c r="E1181" s="110" t="str">
        <f ca="1">IFERROR(__xludf.DUMMYFUNCTION("""COMPUTED_VALUE"""),"I")</f>
        <v>I</v>
      </c>
      <c r="F1181" s="110" t="str">
        <f ca="1">IFERROR(__xludf.DUMMYFUNCTION("""COMPUTED_VALUE"""),"S")</f>
        <v>S</v>
      </c>
      <c r="G1181" s="110">
        <f ca="1">IFERROR(__xludf.DUMMYFUNCTION("""COMPUTED_VALUE"""),3)</f>
        <v>3</v>
      </c>
      <c r="H1181" s="112" t="str">
        <f ca="1"/>
        <v/>
      </c>
      <c r="I1181" s="81" t="str">
        <f ca="1"/>
        <v/>
      </c>
    </row>
    <row r="1182" spans="1:9" ht="13.2">
      <c r="A1182" s="109" t="str">
        <f ca="1">IFERROR(__xludf.DUMMYFUNCTION("""COMPUTED_VALUE"""),"LG")</f>
        <v>LG</v>
      </c>
      <c r="B1182" s="108" t="str">
        <f ca="1">IFERROR(__xludf.DUMMYFUNCTION("""COMPUTED_VALUE"""),"Avalon Allard")</f>
        <v>Avalon Allard</v>
      </c>
      <c r="C1182" s="109">
        <f ca="1">IFERROR(__xludf.DUMMYFUNCTION("""COMPUTED_VALUE"""),13)</f>
        <v>13</v>
      </c>
      <c r="D1182" s="109" t="str">
        <f ca="1">IFERROR(__xludf.DUMMYFUNCTION("""COMPUTED_VALUE"""),"G")</f>
        <v>G</v>
      </c>
      <c r="E1182" s="110" t="str">
        <f ca="1">IFERROR(__xludf.DUMMYFUNCTION("""COMPUTED_VALUE"""),"I")</f>
        <v>I</v>
      </c>
      <c r="F1182" s="110" t="str">
        <f ca="1">IFERROR(__xludf.DUMMYFUNCTION("""COMPUTED_VALUE"""),"S")</f>
        <v>S</v>
      </c>
      <c r="G1182" s="110">
        <f ca="1">IFERROR(__xludf.DUMMYFUNCTION("""COMPUTED_VALUE"""),3)</f>
        <v>3</v>
      </c>
      <c r="H1182" s="112" t="str">
        <f ca="1"/>
        <v/>
      </c>
      <c r="I1182" s="112" t="str">
        <f ca="1"/>
        <v/>
      </c>
    </row>
    <row r="1183" spans="1:9" ht="13.2">
      <c r="A1183" s="109" t="str">
        <f ca="1">IFERROR(__xludf.DUMMYFUNCTION("""COMPUTED_VALUE"""),"LG")</f>
        <v>LG</v>
      </c>
      <c r="B1183" s="108" t="str">
        <f ca="1">IFERROR(__xludf.DUMMYFUNCTION("""COMPUTED_VALUE"""),"Hayley Eastman")</f>
        <v>Hayley Eastman</v>
      </c>
      <c r="C1183" s="109">
        <f ca="1">IFERROR(__xludf.DUMMYFUNCTION("""COMPUTED_VALUE"""),13)</f>
        <v>13</v>
      </c>
      <c r="D1183" s="109" t="str">
        <f ca="1">IFERROR(__xludf.DUMMYFUNCTION("""COMPUTED_VALUE"""),"G")</f>
        <v>G</v>
      </c>
      <c r="E1183" s="110" t="str">
        <f ca="1">IFERROR(__xludf.DUMMYFUNCTION("""COMPUTED_VALUE"""),"I")</f>
        <v>I</v>
      </c>
      <c r="F1183" s="110" t="str">
        <f ca="1">IFERROR(__xludf.DUMMYFUNCTION("""COMPUTED_VALUE"""),"S")</f>
        <v>S</v>
      </c>
      <c r="G1183" s="110">
        <f ca="1">IFERROR(__xludf.DUMMYFUNCTION("""COMPUTED_VALUE"""),3)</f>
        <v>3</v>
      </c>
      <c r="H1183" s="112" t="str">
        <f ca="1"/>
        <v/>
      </c>
      <c r="I1183" s="112" t="str">
        <f ca="1"/>
        <v/>
      </c>
    </row>
    <row r="1184" spans="1:9" ht="13.2">
      <c r="A1184" s="109" t="str">
        <f ca="1">IFERROR(__xludf.DUMMYFUNCTION("""COMPUTED_VALUE"""),"LG")</f>
        <v>LG</v>
      </c>
      <c r="B1184" s="108" t="str">
        <f ca="1">IFERROR(__xludf.DUMMYFUNCTION("""COMPUTED_VALUE"""),"Jane Afsah-Mohallatee")</f>
        <v>Jane Afsah-Mohallatee</v>
      </c>
      <c r="C1184" s="109">
        <f ca="1">IFERROR(__xludf.DUMMYFUNCTION("""COMPUTED_VALUE"""),14)</f>
        <v>14</v>
      </c>
      <c r="D1184" s="109" t="str">
        <f ca="1">IFERROR(__xludf.DUMMYFUNCTION("""COMPUTED_VALUE"""),"G")</f>
        <v>G</v>
      </c>
      <c r="E1184" s="110" t="str">
        <f ca="1">IFERROR(__xludf.DUMMYFUNCTION("""COMPUTED_VALUE"""),"I")</f>
        <v>I</v>
      </c>
      <c r="F1184" s="110" t="str">
        <f ca="1">IFERROR(__xludf.DUMMYFUNCTION("""COMPUTED_VALUE"""),"S")</f>
        <v>S</v>
      </c>
      <c r="G1184" s="110">
        <f ca="1">IFERROR(__xludf.DUMMYFUNCTION("""COMPUTED_VALUE"""),3)</f>
        <v>3</v>
      </c>
      <c r="H1184" s="112" t="str">
        <f ca="1"/>
        <v/>
      </c>
      <c r="I1184" s="81" t="str">
        <f ca="1"/>
        <v/>
      </c>
    </row>
    <row r="1185" spans="1:9" ht="13.2">
      <c r="A1185" s="109" t="str">
        <f ca="1">IFERROR(__xludf.DUMMYFUNCTION("""COMPUTED_VALUE"""),"LG")</f>
        <v>LG</v>
      </c>
      <c r="B1185" s="108" t="str">
        <f ca="1">IFERROR(__xludf.DUMMYFUNCTION("""COMPUTED_VALUE"""),"Reagan Cervenak")</f>
        <v>Reagan Cervenak</v>
      </c>
      <c r="C1185" s="109">
        <f ca="1">IFERROR(__xludf.DUMMYFUNCTION("""COMPUTED_VALUE"""),13)</f>
        <v>13</v>
      </c>
      <c r="D1185" s="109" t="str">
        <f ca="1">IFERROR(__xludf.DUMMYFUNCTION("""COMPUTED_VALUE"""),"G")</f>
        <v>G</v>
      </c>
      <c r="E1185" s="110" t="str">
        <f ca="1">IFERROR(__xludf.DUMMYFUNCTION("""COMPUTED_VALUE"""),"I")</f>
        <v>I</v>
      </c>
      <c r="F1185" s="110" t="str">
        <f ca="1">IFERROR(__xludf.DUMMYFUNCTION("""COMPUTED_VALUE"""),"S")</f>
        <v>S</v>
      </c>
      <c r="G1185" s="110">
        <f ca="1">IFERROR(__xludf.DUMMYFUNCTION("""COMPUTED_VALUE"""),3)</f>
        <v>3</v>
      </c>
      <c r="H1185" s="112" t="str">
        <f ca="1"/>
        <v/>
      </c>
      <c r="I1185" s="81" t="str">
        <f ca="1"/>
        <v/>
      </c>
    </row>
    <row r="1186" spans="1:9" ht="13.2">
      <c r="A1186" s="109" t="str">
        <f ca="1">IFERROR(__xludf.DUMMYFUNCTION("""COMPUTED_VALUE"""),"LG")</f>
        <v>LG</v>
      </c>
      <c r="B1186" s="108" t="str">
        <f ca="1">IFERROR(__xludf.DUMMYFUNCTION("""COMPUTED_VALUE"""),"Andrew Bucher")</f>
        <v>Andrew Bucher</v>
      </c>
      <c r="C1186" s="109">
        <f ca="1">IFERROR(__xludf.DUMMYFUNCTION("""COMPUTED_VALUE"""),11)</f>
        <v>11</v>
      </c>
      <c r="D1186" s="109" t="str">
        <f ca="1">IFERROR(__xludf.DUMMYFUNCTION("""COMPUTED_VALUE"""),"B")</f>
        <v>B</v>
      </c>
      <c r="E1186" s="110" t="str">
        <f ca="1">IFERROR(__xludf.DUMMYFUNCTION("""COMPUTED_VALUE"""),"J")</f>
        <v>J</v>
      </c>
      <c r="F1186" s="110" t="str">
        <f ca="1">IFERROR(__xludf.DUMMYFUNCTION("""COMPUTED_VALUE"""),"I")</f>
        <v>I</v>
      </c>
      <c r="G1186" s="110">
        <f ca="1">IFERROR(__xludf.DUMMYFUNCTION("""COMPUTED_VALUE"""),3)</f>
        <v>3</v>
      </c>
      <c r="H1186" s="112" t="str">
        <f ca="1"/>
        <v/>
      </c>
      <c r="I1186" s="112" t="str">
        <f ca="1"/>
        <v/>
      </c>
    </row>
    <row r="1187" spans="1:9" ht="13.2">
      <c r="A1187" s="109" t="str">
        <f ca="1">IFERROR(__xludf.DUMMYFUNCTION("""COMPUTED_VALUE"""),"LG")</f>
        <v>LG</v>
      </c>
      <c r="B1187" s="108" t="str">
        <f ca="1">IFERROR(__xludf.DUMMYFUNCTION("""COMPUTED_VALUE"""),"Edan Thomton")</f>
        <v>Edan Thomton</v>
      </c>
      <c r="C1187" s="109">
        <f ca="1">IFERROR(__xludf.DUMMYFUNCTION("""COMPUTED_VALUE"""),12)</f>
        <v>12</v>
      </c>
      <c r="D1187" s="109" t="str">
        <f ca="1">IFERROR(__xludf.DUMMYFUNCTION("""COMPUTED_VALUE"""),"B")</f>
        <v>B</v>
      </c>
      <c r="E1187" s="110" t="str">
        <f ca="1">IFERROR(__xludf.DUMMYFUNCTION("""COMPUTED_VALUE"""),"J")</f>
        <v>J</v>
      </c>
      <c r="F1187" s="110" t="str">
        <f ca="1">IFERROR(__xludf.DUMMYFUNCTION("""COMPUTED_VALUE"""),"I")</f>
        <v>I</v>
      </c>
      <c r="G1187" s="110">
        <f ca="1">IFERROR(__xludf.DUMMYFUNCTION("""COMPUTED_VALUE"""),3)</f>
        <v>3</v>
      </c>
      <c r="H1187" s="112" t="str">
        <f ca="1"/>
        <v/>
      </c>
      <c r="I1187" s="112" t="str">
        <f ca="1"/>
        <v/>
      </c>
    </row>
    <row r="1188" spans="1:9" ht="13.2">
      <c r="A1188" s="109" t="str">
        <f ca="1">IFERROR(__xludf.DUMMYFUNCTION("""COMPUTED_VALUE"""),"LG")</f>
        <v>LG</v>
      </c>
      <c r="B1188" s="108" t="str">
        <f ca="1">IFERROR(__xludf.DUMMYFUNCTION("""COMPUTED_VALUE"""),"Finn Yeh")</f>
        <v>Finn Yeh</v>
      </c>
      <c r="C1188" s="109">
        <f ca="1">IFERROR(__xludf.DUMMYFUNCTION("""COMPUTED_VALUE"""),11)</f>
        <v>11</v>
      </c>
      <c r="D1188" s="109" t="str">
        <f ca="1">IFERROR(__xludf.DUMMYFUNCTION("""COMPUTED_VALUE"""),"B")</f>
        <v>B</v>
      </c>
      <c r="E1188" s="110" t="str">
        <f ca="1">IFERROR(__xludf.DUMMYFUNCTION("""COMPUTED_VALUE"""),"J")</f>
        <v>J</v>
      </c>
      <c r="F1188" s="110" t="str">
        <f ca="1">IFERROR(__xludf.DUMMYFUNCTION("""COMPUTED_VALUE"""),"I")</f>
        <v>I</v>
      </c>
      <c r="G1188" s="110">
        <f ca="1">IFERROR(__xludf.DUMMYFUNCTION("""COMPUTED_VALUE"""),3)</f>
        <v>3</v>
      </c>
      <c r="H1188" s="112" t="str">
        <f ca="1"/>
        <v/>
      </c>
      <c r="I1188" s="112" t="str">
        <f ca="1"/>
        <v/>
      </c>
    </row>
    <row r="1189" spans="1:9" ht="13.2">
      <c r="A1189" s="109" t="str">
        <f ca="1">IFERROR(__xludf.DUMMYFUNCTION("""COMPUTED_VALUE"""),"LG")</f>
        <v>LG</v>
      </c>
      <c r="B1189" s="108" t="str">
        <f ca="1">IFERROR(__xludf.DUMMYFUNCTION("""COMPUTED_VALUE"""),"Gavin Hegenbart")</f>
        <v>Gavin Hegenbart</v>
      </c>
      <c r="C1189" s="109">
        <f ca="1">IFERROR(__xludf.DUMMYFUNCTION("""COMPUTED_VALUE"""),11)</f>
        <v>11</v>
      </c>
      <c r="D1189" s="109" t="str">
        <f ca="1">IFERROR(__xludf.DUMMYFUNCTION("""COMPUTED_VALUE"""),"B")</f>
        <v>B</v>
      </c>
      <c r="E1189" s="110" t="str">
        <f ca="1">IFERROR(__xludf.DUMMYFUNCTION("""COMPUTED_VALUE"""),"J")</f>
        <v>J</v>
      </c>
      <c r="F1189" s="110" t="str">
        <f ca="1">IFERROR(__xludf.DUMMYFUNCTION("""COMPUTED_VALUE"""),"I")</f>
        <v>I</v>
      </c>
      <c r="G1189" s="110">
        <f ca="1">IFERROR(__xludf.DUMMYFUNCTION("""COMPUTED_VALUE"""),3)</f>
        <v>3</v>
      </c>
      <c r="H1189" s="112" t="str">
        <f ca="1"/>
        <v/>
      </c>
      <c r="I1189" s="81" t="str">
        <f ca="1"/>
        <v/>
      </c>
    </row>
    <row r="1190" spans="1:9" ht="13.2">
      <c r="A1190" s="109" t="str">
        <f ca="1">IFERROR(__xludf.DUMMYFUNCTION("""COMPUTED_VALUE"""),"LG")</f>
        <v>LG</v>
      </c>
      <c r="B1190" s="108" t="str">
        <f ca="1">IFERROR(__xludf.DUMMYFUNCTION("""COMPUTED_VALUE"""),"Isaac Weiss")</f>
        <v>Isaac Weiss</v>
      </c>
      <c r="C1190" s="109">
        <f ca="1">IFERROR(__xludf.DUMMYFUNCTION("""COMPUTED_VALUE"""),11)</f>
        <v>11</v>
      </c>
      <c r="D1190" s="109" t="str">
        <f ca="1">IFERROR(__xludf.DUMMYFUNCTION("""COMPUTED_VALUE"""),"B")</f>
        <v>B</v>
      </c>
      <c r="E1190" s="110" t="str">
        <f ca="1">IFERROR(__xludf.DUMMYFUNCTION("""COMPUTED_VALUE"""),"J")</f>
        <v>J</v>
      </c>
      <c r="F1190" s="110" t="str">
        <f ca="1">IFERROR(__xludf.DUMMYFUNCTION("""COMPUTED_VALUE"""),"I")</f>
        <v>I</v>
      </c>
      <c r="G1190" s="110">
        <f ca="1">IFERROR(__xludf.DUMMYFUNCTION("""COMPUTED_VALUE"""),3)</f>
        <v>3</v>
      </c>
      <c r="H1190" s="112" t="str">
        <f ca="1"/>
        <v/>
      </c>
      <c r="I1190" s="81" t="str">
        <f ca="1"/>
        <v/>
      </c>
    </row>
    <row r="1191" spans="1:9" ht="13.2">
      <c r="A1191" s="109" t="str">
        <f ca="1">IFERROR(__xludf.DUMMYFUNCTION("""COMPUTED_VALUE"""),"LG")</f>
        <v>LG</v>
      </c>
      <c r="B1191" s="108" t="str">
        <f ca="1">IFERROR(__xludf.DUMMYFUNCTION("""COMPUTED_VALUE"""),"Kenton Scheifele")</f>
        <v>Kenton Scheifele</v>
      </c>
      <c r="C1191" s="109">
        <f ca="1">IFERROR(__xludf.DUMMYFUNCTION("""COMPUTED_VALUE"""),11)</f>
        <v>11</v>
      </c>
      <c r="D1191" s="109" t="str">
        <f ca="1">IFERROR(__xludf.DUMMYFUNCTION("""COMPUTED_VALUE"""),"B")</f>
        <v>B</v>
      </c>
      <c r="E1191" s="110" t="str">
        <f ca="1">IFERROR(__xludf.DUMMYFUNCTION("""COMPUTED_VALUE"""),"J")</f>
        <v>J</v>
      </c>
      <c r="F1191" s="110" t="str">
        <f ca="1">IFERROR(__xludf.DUMMYFUNCTION("""COMPUTED_VALUE"""),"I")</f>
        <v>I</v>
      </c>
      <c r="G1191" s="110">
        <f ca="1">IFERROR(__xludf.DUMMYFUNCTION("""COMPUTED_VALUE"""),3)</f>
        <v>3</v>
      </c>
      <c r="H1191" s="112" t="str">
        <f ca="1"/>
        <v/>
      </c>
      <c r="I1191" s="112" t="str">
        <f ca="1"/>
        <v/>
      </c>
    </row>
    <row r="1192" spans="1:9" ht="13.2">
      <c r="A1192" s="109" t="str">
        <f ca="1">IFERROR(__xludf.DUMMYFUNCTION("""COMPUTED_VALUE"""),"LG")</f>
        <v>LG</v>
      </c>
      <c r="B1192" s="108" t="str">
        <f ca="1">IFERROR(__xludf.DUMMYFUNCTION("""COMPUTED_VALUE"""),"Patrick Scully")</f>
        <v>Patrick Scully</v>
      </c>
      <c r="C1192" s="109">
        <f ca="1">IFERROR(__xludf.DUMMYFUNCTION("""COMPUTED_VALUE"""),11)</f>
        <v>11</v>
      </c>
      <c r="D1192" s="109" t="str">
        <f ca="1">IFERROR(__xludf.DUMMYFUNCTION("""COMPUTED_VALUE"""),"B")</f>
        <v>B</v>
      </c>
      <c r="E1192" s="110" t="str">
        <f ca="1">IFERROR(__xludf.DUMMYFUNCTION("""COMPUTED_VALUE"""),"J")</f>
        <v>J</v>
      </c>
      <c r="F1192" s="110" t="str">
        <f ca="1">IFERROR(__xludf.DUMMYFUNCTION("""COMPUTED_VALUE"""),"I")</f>
        <v>I</v>
      </c>
      <c r="G1192" s="110">
        <f ca="1">IFERROR(__xludf.DUMMYFUNCTION("""COMPUTED_VALUE"""),3)</f>
        <v>3</v>
      </c>
      <c r="H1192" s="112" t="str">
        <f ca="1"/>
        <v/>
      </c>
      <c r="I1192" s="112" t="str">
        <f ca="1"/>
        <v/>
      </c>
    </row>
    <row r="1193" spans="1:9" ht="13.2">
      <c r="A1193" s="109" t="str">
        <f ca="1">IFERROR(__xludf.DUMMYFUNCTION("""COMPUTED_VALUE"""),"LG")</f>
        <v>LG</v>
      </c>
      <c r="B1193" s="108" t="str">
        <f ca="1">IFERROR(__xludf.DUMMYFUNCTION("""COMPUTED_VALUE"""),"Audrey Pounds")</f>
        <v>Audrey Pounds</v>
      </c>
      <c r="C1193" s="109">
        <f ca="1">IFERROR(__xludf.DUMMYFUNCTION("""COMPUTED_VALUE"""),12)</f>
        <v>12</v>
      </c>
      <c r="D1193" s="109" t="str">
        <f ca="1">IFERROR(__xludf.DUMMYFUNCTION("""COMPUTED_VALUE"""),"G")</f>
        <v>G</v>
      </c>
      <c r="E1193" s="110" t="str">
        <f ca="1">IFERROR(__xludf.DUMMYFUNCTION("""COMPUTED_VALUE"""),"J")</f>
        <v>J</v>
      </c>
      <c r="F1193" s="110" t="str">
        <f ca="1">IFERROR(__xludf.DUMMYFUNCTION("""COMPUTED_VALUE"""),"I")</f>
        <v>I</v>
      </c>
      <c r="G1193" s="110">
        <f ca="1">IFERROR(__xludf.DUMMYFUNCTION("""COMPUTED_VALUE"""),3)</f>
        <v>3</v>
      </c>
      <c r="H1193" s="112" t="str">
        <f ca="1"/>
        <v/>
      </c>
      <c r="I1193" s="112" t="str">
        <f ca="1"/>
        <v/>
      </c>
    </row>
    <row r="1194" spans="1:9" ht="13.2">
      <c r="A1194" s="109" t="str">
        <f ca="1">IFERROR(__xludf.DUMMYFUNCTION("""COMPUTED_VALUE"""),"LG")</f>
        <v>LG</v>
      </c>
      <c r="B1194" s="108" t="str">
        <f ca="1">IFERROR(__xludf.DUMMYFUNCTION("""COMPUTED_VALUE"""),"Chloe Zullo")</f>
        <v>Chloe Zullo</v>
      </c>
      <c r="C1194" s="109">
        <f ca="1">IFERROR(__xludf.DUMMYFUNCTION("""COMPUTED_VALUE"""),12)</f>
        <v>12</v>
      </c>
      <c r="D1194" s="109" t="str">
        <f ca="1">IFERROR(__xludf.DUMMYFUNCTION("""COMPUTED_VALUE"""),"G")</f>
        <v>G</v>
      </c>
      <c r="E1194" s="110" t="str">
        <f ca="1">IFERROR(__xludf.DUMMYFUNCTION("""COMPUTED_VALUE"""),"J")</f>
        <v>J</v>
      </c>
      <c r="F1194" s="110" t="str">
        <f ca="1">IFERROR(__xludf.DUMMYFUNCTION("""COMPUTED_VALUE"""),"I")</f>
        <v>I</v>
      </c>
      <c r="G1194" s="110">
        <f ca="1">IFERROR(__xludf.DUMMYFUNCTION("""COMPUTED_VALUE"""),3)</f>
        <v>3</v>
      </c>
      <c r="H1194" s="112" t="str">
        <f ca="1"/>
        <v/>
      </c>
      <c r="I1194" s="112" t="str">
        <f ca="1"/>
        <v/>
      </c>
    </row>
    <row r="1195" spans="1:9" ht="13.2">
      <c r="A1195" s="109" t="str">
        <f ca="1">IFERROR(__xludf.DUMMYFUNCTION("""COMPUTED_VALUE"""),"LG")</f>
        <v>LG</v>
      </c>
      <c r="B1195" s="108" t="str">
        <f ca="1">IFERROR(__xludf.DUMMYFUNCTION("""COMPUTED_VALUE"""),"Ella Wallinger")</f>
        <v>Ella Wallinger</v>
      </c>
      <c r="C1195" s="109">
        <f ca="1">IFERROR(__xludf.DUMMYFUNCTION("""COMPUTED_VALUE"""),12)</f>
        <v>12</v>
      </c>
      <c r="D1195" s="109" t="str">
        <f ca="1">IFERROR(__xludf.DUMMYFUNCTION("""COMPUTED_VALUE"""),"G")</f>
        <v>G</v>
      </c>
      <c r="E1195" s="110" t="str">
        <f ca="1">IFERROR(__xludf.DUMMYFUNCTION("""COMPUTED_VALUE"""),"J")</f>
        <v>J</v>
      </c>
      <c r="F1195" s="110" t="str">
        <f ca="1">IFERROR(__xludf.DUMMYFUNCTION("""COMPUTED_VALUE"""),"I")</f>
        <v>I</v>
      </c>
      <c r="G1195" s="110">
        <f ca="1">IFERROR(__xludf.DUMMYFUNCTION("""COMPUTED_VALUE"""),3)</f>
        <v>3</v>
      </c>
      <c r="H1195" s="112" t="str">
        <f ca="1"/>
        <v/>
      </c>
      <c r="I1195" s="112" t="str">
        <f ca="1"/>
        <v/>
      </c>
    </row>
    <row r="1196" spans="1:9" ht="13.2">
      <c r="A1196" s="109" t="str">
        <f ca="1">IFERROR(__xludf.DUMMYFUNCTION("""COMPUTED_VALUE"""),"LG")</f>
        <v>LG</v>
      </c>
      <c r="B1196" s="108" t="str">
        <f ca="1">IFERROR(__xludf.DUMMYFUNCTION("""COMPUTED_VALUE"""),"Emmy Borg")</f>
        <v>Emmy Borg</v>
      </c>
      <c r="C1196" s="109">
        <f ca="1">IFERROR(__xludf.DUMMYFUNCTION("""COMPUTED_VALUE"""),11)</f>
        <v>11</v>
      </c>
      <c r="D1196" s="109" t="str">
        <f ca="1">IFERROR(__xludf.DUMMYFUNCTION("""COMPUTED_VALUE"""),"G")</f>
        <v>G</v>
      </c>
      <c r="E1196" s="110" t="str">
        <f ca="1">IFERROR(__xludf.DUMMYFUNCTION("""COMPUTED_VALUE"""),"J")</f>
        <v>J</v>
      </c>
      <c r="F1196" s="110" t="str">
        <f ca="1">IFERROR(__xludf.DUMMYFUNCTION("""COMPUTED_VALUE"""),"I")</f>
        <v>I</v>
      </c>
      <c r="G1196" s="110">
        <f ca="1">IFERROR(__xludf.DUMMYFUNCTION("""COMPUTED_VALUE"""),3)</f>
        <v>3</v>
      </c>
      <c r="H1196" s="112" t="str">
        <f ca="1"/>
        <v/>
      </c>
      <c r="I1196" s="112" t="str">
        <f ca="1"/>
        <v/>
      </c>
    </row>
    <row r="1197" spans="1:9" ht="13.2">
      <c r="A1197" s="109" t="str">
        <f ca="1">IFERROR(__xludf.DUMMYFUNCTION("""COMPUTED_VALUE"""),"LG")</f>
        <v>LG</v>
      </c>
      <c r="B1197" s="108" t="str">
        <f ca="1">IFERROR(__xludf.DUMMYFUNCTION("""COMPUTED_VALUE"""),"Gwen Fry")</f>
        <v>Gwen Fry</v>
      </c>
      <c r="C1197" s="109">
        <f ca="1">IFERROR(__xludf.DUMMYFUNCTION("""COMPUTED_VALUE"""),12)</f>
        <v>12</v>
      </c>
      <c r="D1197" s="109" t="str">
        <f ca="1">IFERROR(__xludf.DUMMYFUNCTION("""COMPUTED_VALUE"""),"G")</f>
        <v>G</v>
      </c>
      <c r="E1197" s="110" t="str">
        <f ca="1">IFERROR(__xludf.DUMMYFUNCTION("""COMPUTED_VALUE"""),"J")</f>
        <v>J</v>
      </c>
      <c r="F1197" s="110" t="str">
        <f ca="1">IFERROR(__xludf.DUMMYFUNCTION("""COMPUTED_VALUE"""),"I")</f>
        <v>I</v>
      </c>
      <c r="G1197" s="110">
        <f ca="1">IFERROR(__xludf.DUMMYFUNCTION("""COMPUTED_VALUE"""),3)</f>
        <v>3</v>
      </c>
      <c r="H1197" s="112" t="str">
        <f ca="1"/>
        <v/>
      </c>
      <c r="I1197" s="81" t="str">
        <f ca="1"/>
        <v/>
      </c>
    </row>
    <row r="1198" spans="1:9" ht="13.2">
      <c r="A1198" s="109" t="str">
        <f ca="1">IFERROR(__xludf.DUMMYFUNCTION("""COMPUTED_VALUE"""),"LG")</f>
        <v>LG</v>
      </c>
      <c r="B1198" s="108" t="str">
        <f ca="1">IFERROR(__xludf.DUMMYFUNCTION("""COMPUTED_VALUE"""),"Hadley Harmer")</f>
        <v>Hadley Harmer</v>
      </c>
      <c r="C1198" s="109">
        <f ca="1">IFERROR(__xludf.DUMMYFUNCTION("""COMPUTED_VALUE"""),12)</f>
        <v>12</v>
      </c>
      <c r="D1198" s="109" t="str">
        <f ca="1">IFERROR(__xludf.DUMMYFUNCTION("""COMPUTED_VALUE"""),"G")</f>
        <v>G</v>
      </c>
      <c r="E1198" s="110" t="str">
        <f ca="1">IFERROR(__xludf.DUMMYFUNCTION("""COMPUTED_VALUE"""),"J")</f>
        <v>J</v>
      </c>
      <c r="F1198" s="110" t="str">
        <f ca="1">IFERROR(__xludf.DUMMYFUNCTION("""COMPUTED_VALUE"""),"I")</f>
        <v>I</v>
      </c>
      <c r="G1198" s="110">
        <f ca="1">IFERROR(__xludf.DUMMYFUNCTION("""COMPUTED_VALUE"""),3)</f>
        <v>3</v>
      </c>
      <c r="H1198" s="112" t="str">
        <f ca="1"/>
        <v/>
      </c>
      <c r="I1198" s="81" t="str">
        <f ca="1"/>
        <v/>
      </c>
    </row>
    <row r="1199" spans="1:9" ht="13.2">
      <c r="A1199" s="109" t="str">
        <f ca="1">IFERROR(__xludf.DUMMYFUNCTION("""COMPUTED_VALUE"""),"LG")</f>
        <v>LG</v>
      </c>
      <c r="B1199" s="108" t="str">
        <f ca="1">IFERROR(__xludf.DUMMYFUNCTION("""COMPUTED_VALUE"""),"Hannah Harmer")</f>
        <v>Hannah Harmer</v>
      </c>
      <c r="C1199" s="109">
        <f ca="1">IFERROR(__xludf.DUMMYFUNCTION("""COMPUTED_VALUE"""),11)</f>
        <v>11</v>
      </c>
      <c r="D1199" s="109" t="str">
        <f ca="1">IFERROR(__xludf.DUMMYFUNCTION("""COMPUTED_VALUE"""),"G")</f>
        <v>G</v>
      </c>
      <c r="E1199" s="110" t="str">
        <f ca="1">IFERROR(__xludf.DUMMYFUNCTION("""COMPUTED_VALUE"""),"J")</f>
        <v>J</v>
      </c>
      <c r="F1199" s="110" t="str">
        <f ca="1">IFERROR(__xludf.DUMMYFUNCTION("""COMPUTED_VALUE"""),"I")</f>
        <v>I</v>
      </c>
      <c r="G1199" s="110">
        <f ca="1">IFERROR(__xludf.DUMMYFUNCTION("""COMPUTED_VALUE"""),3)</f>
        <v>3</v>
      </c>
      <c r="H1199" s="112" t="str">
        <f ca="1"/>
        <v/>
      </c>
      <c r="I1199" s="81" t="str">
        <f ca="1"/>
        <v/>
      </c>
    </row>
    <row r="1200" spans="1:9" ht="13.2">
      <c r="A1200" s="109" t="str">
        <f ca="1">IFERROR(__xludf.DUMMYFUNCTION("""COMPUTED_VALUE"""),"LG")</f>
        <v>LG</v>
      </c>
      <c r="B1200" s="108" t="str">
        <f ca="1">IFERROR(__xludf.DUMMYFUNCTION("""COMPUTED_VALUE"""),"Katherine Egge")</f>
        <v>Katherine Egge</v>
      </c>
      <c r="C1200" s="109">
        <f ca="1">IFERROR(__xludf.DUMMYFUNCTION("""COMPUTED_VALUE"""),12)</f>
        <v>12</v>
      </c>
      <c r="D1200" s="109" t="str">
        <f ca="1">IFERROR(__xludf.DUMMYFUNCTION("""COMPUTED_VALUE"""),"G")</f>
        <v>G</v>
      </c>
      <c r="E1200" s="110" t="str">
        <f ca="1">IFERROR(__xludf.DUMMYFUNCTION("""COMPUTED_VALUE"""),"J")</f>
        <v>J</v>
      </c>
      <c r="F1200" s="110" t="str">
        <f ca="1">IFERROR(__xludf.DUMMYFUNCTION("""COMPUTED_VALUE"""),"I")</f>
        <v>I</v>
      </c>
      <c r="G1200" s="110">
        <f ca="1">IFERROR(__xludf.DUMMYFUNCTION("""COMPUTED_VALUE"""),3)</f>
        <v>3</v>
      </c>
      <c r="H1200" s="112" t="str">
        <f ca="1"/>
        <v/>
      </c>
      <c r="I1200" s="81" t="str">
        <f ca="1"/>
        <v/>
      </c>
    </row>
    <row r="1201" spans="1:9" ht="13.2">
      <c r="A1201" s="109" t="str">
        <f ca="1">IFERROR(__xludf.DUMMYFUNCTION("""COMPUTED_VALUE"""),"LG")</f>
        <v>LG</v>
      </c>
      <c r="B1201" s="108" t="str">
        <f ca="1">IFERROR(__xludf.DUMMYFUNCTION("""COMPUTED_VALUE"""),"Lauren Banko")</f>
        <v>Lauren Banko</v>
      </c>
      <c r="C1201" s="109">
        <f ca="1">IFERROR(__xludf.DUMMYFUNCTION("""COMPUTED_VALUE"""),12)</f>
        <v>12</v>
      </c>
      <c r="D1201" s="109" t="str">
        <f ca="1">IFERROR(__xludf.DUMMYFUNCTION("""COMPUTED_VALUE"""),"G")</f>
        <v>G</v>
      </c>
      <c r="E1201" s="110" t="str">
        <f ca="1">IFERROR(__xludf.DUMMYFUNCTION("""COMPUTED_VALUE"""),"J")</f>
        <v>J</v>
      </c>
      <c r="F1201" s="110" t="str">
        <f ca="1">IFERROR(__xludf.DUMMYFUNCTION("""COMPUTED_VALUE"""),"I")</f>
        <v>I</v>
      </c>
      <c r="G1201" s="110">
        <f ca="1">IFERROR(__xludf.DUMMYFUNCTION("""COMPUTED_VALUE"""),3)</f>
        <v>3</v>
      </c>
      <c r="H1201" s="112" t="str">
        <f ca="1"/>
        <v/>
      </c>
      <c r="I1201" s="112" t="str">
        <f ca="1"/>
        <v/>
      </c>
    </row>
    <row r="1202" spans="1:9" ht="13.2">
      <c r="A1202" s="109" t="str">
        <f ca="1">IFERROR(__xludf.DUMMYFUNCTION("""COMPUTED_VALUE"""),"LG")</f>
        <v>LG</v>
      </c>
      <c r="B1202" s="108" t="str">
        <f ca="1">IFERROR(__xludf.DUMMYFUNCTION("""COMPUTED_VALUE"""),"Louise Meade")</f>
        <v>Louise Meade</v>
      </c>
      <c r="C1202" s="109">
        <f ca="1">IFERROR(__xludf.DUMMYFUNCTION("""COMPUTED_VALUE"""),12)</f>
        <v>12</v>
      </c>
      <c r="D1202" s="109" t="str">
        <f ca="1">IFERROR(__xludf.DUMMYFUNCTION("""COMPUTED_VALUE"""),"G")</f>
        <v>G</v>
      </c>
      <c r="E1202" s="110" t="str">
        <f ca="1">IFERROR(__xludf.DUMMYFUNCTION("""COMPUTED_VALUE"""),"J")</f>
        <v>J</v>
      </c>
      <c r="F1202" s="110" t="str">
        <f ca="1">IFERROR(__xludf.DUMMYFUNCTION("""COMPUTED_VALUE"""),"I")</f>
        <v>I</v>
      </c>
      <c r="G1202" s="110">
        <f ca="1">IFERROR(__xludf.DUMMYFUNCTION("""COMPUTED_VALUE"""),3)</f>
        <v>3</v>
      </c>
      <c r="H1202" s="112" t="str">
        <f ca="1"/>
        <v/>
      </c>
      <c r="I1202" s="81" t="str">
        <f ca="1"/>
        <v/>
      </c>
    </row>
    <row r="1203" spans="1:9" ht="13.2">
      <c r="A1203" s="109" t="str">
        <f ca="1">IFERROR(__xludf.DUMMYFUNCTION("""COMPUTED_VALUE"""),"LG")</f>
        <v>LG</v>
      </c>
      <c r="B1203" s="108" t="str">
        <f ca="1">IFERROR(__xludf.DUMMYFUNCTION("""COMPUTED_VALUE"""),"Macy Brock")</f>
        <v>Macy Brock</v>
      </c>
      <c r="C1203" s="109">
        <f ca="1">IFERROR(__xludf.DUMMYFUNCTION("""COMPUTED_VALUE"""),12)</f>
        <v>12</v>
      </c>
      <c r="D1203" s="109" t="str">
        <f ca="1">IFERROR(__xludf.DUMMYFUNCTION("""COMPUTED_VALUE"""),"G")</f>
        <v>G</v>
      </c>
      <c r="E1203" s="110" t="str">
        <f ca="1">IFERROR(__xludf.DUMMYFUNCTION("""COMPUTED_VALUE"""),"J")</f>
        <v>J</v>
      </c>
      <c r="F1203" s="110" t="str">
        <f ca="1">IFERROR(__xludf.DUMMYFUNCTION("""COMPUTED_VALUE"""),"I")</f>
        <v>I</v>
      </c>
      <c r="G1203" s="110">
        <f ca="1">IFERROR(__xludf.DUMMYFUNCTION("""COMPUTED_VALUE"""),3)</f>
        <v>3</v>
      </c>
      <c r="H1203" s="112" t="str">
        <f ca="1"/>
        <v/>
      </c>
      <c r="I1203" s="81" t="str">
        <f ca="1"/>
        <v/>
      </c>
    </row>
    <row r="1204" spans="1:9" ht="13.2">
      <c r="A1204" s="109" t="str">
        <f ca="1">IFERROR(__xludf.DUMMYFUNCTION("""COMPUTED_VALUE"""),"LG")</f>
        <v>LG</v>
      </c>
      <c r="B1204" s="108" t="str">
        <f ca="1">IFERROR(__xludf.DUMMYFUNCTION("""COMPUTED_VALUE"""),"Maddie Henry")</f>
        <v>Maddie Henry</v>
      </c>
      <c r="C1204" s="109">
        <f ca="1">IFERROR(__xludf.DUMMYFUNCTION("""COMPUTED_VALUE"""),12)</f>
        <v>12</v>
      </c>
      <c r="D1204" s="109" t="str">
        <f ca="1">IFERROR(__xludf.DUMMYFUNCTION("""COMPUTED_VALUE"""),"G")</f>
        <v>G</v>
      </c>
      <c r="E1204" s="110" t="str">
        <f ca="1">IFERROR(__xludf.DUMMYFUNCTION("""COMPUTED_VALUE"""),"J")</f>
        <v>J</v>
      </c>
      <c r="F1204" s="110" t="str">
        <f ca="1">IFERROR(__xludf.DUMMYFUNCTION("""COMPUTED_VALUE"""),"I")</f>
        <v>I</v>
      </c>
      <c r="G1204" s="110">
        <f ca="1">IFERROR(__xludf.DUMMYFUNCTION("""COMPUTED_VALUE"""),3)</f>
        <v>3</v>
      </c>
      <c r="H1204" s="112" t="str">
        <f ca="1"/>
        <v/>
      </c>
      <c r="I1204" s="112" t="str">
        <f ca="1"/>
        <v/>
      </c>
    </row>
    <row r="1205" spans="1:9" ht="13.2">
      <c r="A1205" s="109" t="str">
        <f ca="1">IFERROR(__xludf.DUMMYFUNCTION("""COMPUTED_VALUE"""),"LG")</f>
        <v>LG</v>
      </c>
      <c r="B1205" s="108" t="str">
        <f ca="1">IFERROR(__xludf.DUMMYFUNCTION("""COMPUTED_VALUE"""),"Madison Allard")</f>
        <v>Madison Allard</v>
      </c>
      <c r="C1205" s="109">
        <f ca="1">IFERROR(__xludf.DUMMYFUNCTION("""COMPUTED_VALUE"""),11)</f>
        <v>11</v>
      </c>
      <c r="D1205" s="109" t="str">
        <f ca="1">IFERROR(__xludf.DUMMYFUNCTION("""COMPUTED_VALUE"""),"G")</f>
        <v>G</v>
      </c>
      <c r="E1205" s="110" t="str">
        <f ca="1">IFERROR(__xludf.DUMMYFUNCTION("""COMPUTED_VALUE"""),"J")</f>
        <v>J</v>
      </c>
      <c r="F1205" s="110" t="str">
        <f ca="1">IFERROR(__xludf.DUMMYFUNCTION("""COMPUTED_VALUE"""),"I")</f>
        <v>I</v>
      </c>
      <c r="G1205" s="110">
        <f ca="1">IFERROR(__xludf.DUMMYFUNCTION("""COMPUTED_VALUE"""),3)</f>
        <v>3</v>
      </c>
      <c r="H1205" s="112" t="str">
        <f ca="1"/>
        <v/>
      </c>
      <c r="I1205" s="81" t="str">
        <f ca="1"/>
        <v/>
      </c>
    </row>
    <row r="1206" spans="1:9" ht="13.2">
      <c r="A1206" s="109" t="str">
        <f ca="1">IFERROR(__xludf.DUMMYFUNCTION("""COMPUTED_VALUE"""),"LG")</f>
        <v>LG</v>
      </c>
      <c r="B1206" s="108" t="str">
        <f ca="1">IFERROR(__xludf.DUMMYFUNCTION("""COMPUTED_VALUE"""),"Maura Hughes")</f>
        <v>Maura Hughes</v>
      </c>
      <c r="C1206" s="109">
        <f ca="1">IFERROR(__xludf.DUMMYFUNCTION("""COMPUTED_VALUE"""),12)</f>
        <v>12</v>
      </c>
      <c r="D1206" s="109" t="str">
        <f ca="1">IFERROR(__xludf.DUMMYFUNCTION("""COMPUTED_VALUE"""),"G")</f>
        <v>G</v>
      </c>
      <c r="E1206" s="110" t="str">
        <f ca="1">IFERROR(__xludf.DUMMYFUNCTION("""COMPUTED_VALUE"""),"J")</f>
        <v>J</v>
      </c>
      <c r="F1206" s="110" t="str">
        <f ca="1">IFERROR(__xludf.DUMMYFUNCTION("""COMPUTED_VALUE"""),"I")</f>
        <v>I</v>
      </c>
      <c r="G1206" s="110">
        <f ca="1">IFERROR(__xludf.DUMMYFUNCTION("""COMPUTED_VALUE"""),3)</f>
        <v>3</v>
      </c>
      <c r="H1206" s="112" t="str">
        <f ca="1"/>
        <v/>
      </c>
      <c r="I1206" s="112" t="str">
        <f ca="1"/>
        <v/>
      </c>
    </row>
    <row r="1207" spans="1:9" ht="13.2">
      <c r="A1207" s="109" t="str">
        <f ca="1">IFERROR(__xludf.DUMMYFUNCTION("""COMPUTED_VALUE"""),"LG")</f>
        <v>LG</v>
      </c>
      <c r="B1207" s="108" t="str">
        <f ca="1">IFERROR(__xludf.DUMMYFUNCTION("""COMPUTED_VALUE"""),"Olivia Wanchick")</f>
        <v>Olivia Wanchick</v>
      </c>
      <c r="C1207" s="109">
        <f ca="1">IFERROR(__xludf.DUMMYFUNCTION("""COMPUTED_VALUE"""),12)</f>
        <v>12</v>
      </c>
      <c r="D1207" s="109" t="str">
        <f ca="1">IFERROR(__xludf.DUMMYFUNCTION("""COMPUTED_VALUE"""),"G")</f>
        <v>G</v>
      </c>
      <c r="E1207" s="110" t="str">
        <f ca="1">IFERROR(__xludf.DUMMYFUNCTION("""COMPUTED_VALUE"""),"J")</f>
        <v>J</v>
      </c>
      <c r="F1207" s="110" t="str">
        <f ca="1">IFERROR(__xludf.DUMMYFUNCTION("""COMPUTED_VALUE"""),"I")</f>
        <v>I</v>
      </c>
      <c r="G1207" s="110">
        <f ca="1">IFERROR(__xludf.DUMMYFUNCTION("""COMPUTED_VALUE"""),3)</f>
        <v>3</v>
      </c>
      <c r="H1207" s="112" t="str">
        <f ca="1"/>
        <v/>
      </c>
      <c r="I1207" s="112" t="str">
        <f ca="1"/>
        <v/>
      </c>
    </row>
    <row r="1208" spans="1:9" ht="13.2">
      <c r="A1208" s="109" t="str">
        <f ca="1">IFERROR(__xludf.DUMMYFUNCTION("""COMPUTED_VALUE"""),"LG")</f>
        <v>LG</v>
      </c>
      <c r="B1208" s="108" t="str">
        <f ca="1">IFERROR(__xludf.DUMMYFUNCTION("""COMPUTED_VALUE"""),"Riley Fisher")</f>
        <v>Riley Fisher</v>
      </c>
      <c r="C1208" s="109">
        <f ca="1">IFERROR(__xludf.DUMMYFUNCTION("""COMPUTED_VALUE"""),12)</f>
        <v>12</v>
      </c>
      <c r="D1208" s="109" t="str">
        <f ca="1">IFERROR(__xludf.DUMMYFUNCTION("""COMPUTED_VALUE"""),"G")</f>
        <v>G</v>
      </c>
      <c r="E1208" s="110" t="str">
        <f ca="1">IFERROR(__xludf.DUMMYFUNCTION("""COMPUTED_VALUE"""),"J")</f>
        <v>J</v>
      </c>
      <c r="F1208" s="110" t="str">
        <f ca="1">IFERROR(__xludf.DUMMYFUNCTION("""COMPUTED_VALUE"""),"I")</f>
        <v>I</v>
      </c>
      <c r="G1208" s="110">
        <f ca="1">IFERROR(__xludf.DUMMYFUNCTION("""COMPUTED_VALUE"""),3)</f>
        <v>3</v>
      </c>
      <c r="H1208" s="112" t="str">
        <f ca="1"/>
        <v/>
      </c>
      <c r="I1208" s="81" t="str">
        <f ca="1"/>
        <v/>
      </c>
    </row>
    <row r="1209" spans="1:9" ht="13.2">
      <c r="A1209" s="109" t="str">
        <f ca="1">IFERROR(__xludf.DUMMYFUNCTION("""COMPUTED_VALUE"""),"LG")</f>
        <v>LG</v>
      </c>
      <c r="B1209" s="108" t="str">
        <f ca="1">IFERROR(__xludf.DUMMYFUNCTION("""COMPUTED_VALUE"""),"Zoe Mar")</f>
        <v>Zoe Mar</v>
      </c>
      <c r="C1209" s="109">
        <f ca="1">IFERROR(__xludf.DUMMYFUNCTION("""COMPUTED_VALUE"""),11)</f>
        <v>11</v>
      </c>
      <c r="D1209" s="109" t="str">
        <f ca="1">IFERROR(__xludf.DUMMYFUNCTION("""COMPUTED_VALUE"""),"G")</f>
        <v>G</v>
      </c>
      <c r="E1209" s="110" t="str">
        <f ca="1">IFERROR(__xludf.DUMMYFUNCTION("""COMPUTED_VALUE"""),"J")</f>
        <v>J</v>
      </c>
      <c r="F1209" s="110" t="str">
        <f ca="1">IFERROR(__xludf.DUMMYFUNCTION("""COMPUTED_VALUE"""),"I")</f>
        <v>I</v>
      </c>
      <c r="G1209" s="110">
        <f ca="1">IFERROR(__xludf.DUMMYFUNCTION("""COMPUTED_VALUE"""),3)</f>
        <v>3</v>
      </c>
      <c r="H1209" s="112" t="str">
        <f ca="1"/>
        <v/>
      </c>
      <c r="I1209" s="81" t="str">
        <f ca="1"/>
        <v/>
      </c>
    </row>
    <row r="1210" spans="1:9" ht="13.2">
      <c r="A1210" s="109" t="str">
        <f ca="1">IFERROR(__xludf.DUMMYFUNCTION("""COMPUTED_VALUE"""),"LG")</f>
        <v>LG</v>
      </c>
      <c r="B1210" s="108" t="str">
        <f ca="1">IFERROR(__xludf.DUMMYFUNCTION("""COMPUTED_VALUE"""),"Calvin Mar")</f>
        <v>Calvin Mar</v>
      </c>
      <c r="C1210" s="109">
        <f ca="1">IFERROR(__xludf.DUMMYFUNCTION("""COMPUTED_VALUE"""),17)</f>
        <v>17</v>
      </c>
      <c r="D1210" s="109" t="str">
        <f ca="1">IFERROR(__xludf.DUMMYFUNCTION("""COMPUTED_VALUE"""),"B")</f>
        <v>B</v>
      </c>
      <c r="E1210" s="110" t="str">
        <f ca="1">IFERROR(__xludf.DUMMYFUNCTION("""COMPUTED_VALUE"""),"S")</f>
        <v>S</v>
      </c>
      <c r="F1210" s="110" t="str">
        <f ca="1">IFERROR(__xludf.DUMMYFUNCTION("""COMPUTED_VALUE"""),"S")</f>
        <v>S</v>
      </c>
      <c r="G1210" s="110">
        <f ca="1">IFERROR(__xludf.DUMMYFUNCTION("""COMPUTED_VALUE"""),3)</f>
        <v>3</v>
      </c>
      <c r="H1210" s="112" t="str">
        <f ca="1"/>
        <v/>
      </c>
      <c r="I1210" s="81" t="str">
        <f ca="1"/>
        <v/>
      </c>
    </row>
    <row r="1211" spans="1:9" ht="13.2">
      <c r="A1211" s="109" t="str">
        <f ca="1">IFERROR(__xludf.DUMMYFUNCTION("""COMPUTED_VALUE"""),"LG")</f>
        <v>LG</v>
      </c>
      <c r="B1211" s="108" t="str">
        <f ca="1">IFERROR(__xludf.DUMMYFUNCTION("""COMPUTED_VALUE"""),"Ian Fry")</f>
        <v>Ian Fry</v>
      </c>
      <c r="C1211" s="109">
        <f ca="1">IFERROR(__xludf.DUMMYFUNCTION("""COMPUTED_VALUE"""),18)</f>
        <v>18</v>
      </c>
      <c r="D1211" s="109" t="str">
        <f ca="1">IFERROR(__xludf.DUMMYFUNCTION("""COMPUTED_VALUE"""),"B")</f>
        <v>B</v>
      </c>
      <c r="E1211" s="110" t="str">
        <f ca="1">IFERROR(__xludf.DUMMYFUNCTION("""COMPUTED_VALUE"""),"S")</f>
        <v>S</v>
      </c>
      <c r="F1211" s="110" t="str">
        <f ca="1">IFERROR(__xludf.DUMMYFUNCTION("""COMPUTED_VALUE"""),"S")</f>
        <v>S</v>
      </c>
      <c r="G1211" s="110">
        <f ca="1">IFERROR(__xludf.DUMMYFUNCTION("""COMPUTED_VALUE"""),3)</f>
        <v>3</v>
      </c>
      <c r="H1211" s="112" t="str">
        <f ca="1"/>
        <v/>
      </c>
      <c r="I1211" s="81" t="str">
        <f ca="1"/>
        <v/>
      </c>
    </row>
    <row r="1212" spans="1:9" ht="13.2">
      <c r="A1212" s="109" t="str">
        <f ca="1">IFERROR(__xludf.DUMMYFUNCTION("""COMPUTED_VALUE"""),"LG")</f>
        <v>LG</v>
      </c>
      <c r="B1212" s="108" t="str">
        <f ca="1">IFERROR(__xludf.DUMMYFUNCTION("""COMPUTED_VALUE"""),"Elizabeth Weidman")</f>
        <v>Elizabeth Weidman</v>
      </c>
      <c r="C1212" s="109">
        <f ca="1">IFERROR(__xludf.DUMMYFUNCTION("""COMPUTED_VALUE"""),16)</f>
        <v>16</v>
      </c>
      <c r="D1212" s="109" t="str">
        <f ca="1">IFERROR(__xludf.DUMMYFUNCTION("""COMPUTED_VALUE"""),"G")</f>
        <v>G</v>
      </c>
      <c r="E1212" s="110" t="str">
        <f ca="1">IFERROR(__xludf.DUMMYFUNCTION("""COMPUTED_VALUE"""),"S")</f>
        <v>S</v>
      </c>
      <c r="F1212" s="110" t="str">
        <f ca="1">IFERROR(__xludf.DUMMYFUNCTION("""COMPUTED_VALUE"""),"S")</f>
        <v>S</v>
      </c>
      <c r="G1212" s="110">
        <f ca="1">IFERROR(__xludf.DUMMYFUNCTION("""COMPUTED_VALUE"""),3)</f>
        <v>3</v>
      </c>
      <c r="H1212" s="112" t="str">
        <f ca="1"/>
        <v/>
      </c>
      <c r="I1212" s="81" t="str">
        <f ca="1"/>
        <v/>
      </c>
    </row>
    <row r="1213" spans="1:9" ht="13.2">
      <c r="A1213" s="109" t="str">
        <f ca="1">IFERROR(__xludf.DUMMYFUNCTION("""COMPUTED_VALUE"""),"LG")</f>
        <v>LG</v>
      </c>
      <c r="B1213" s="108" t="str">
        <f ca="1">IFERROR(__xludf.DUMMYFUNCTION("""COMPUTED_VALUE"""),"Ellie Moonis")</f>
        <v>Ellie Moonis</v>
      </c>
      <c r="C1213" s="109">
        <f ca="1">IFERROR(__xludf.DUMMYFUNCTION("""COMPUTED_VALUE"""),17)</f>
        <v>17</v>
      </c>
      <c r="D1213" s="109" t="str">
        <f ca="1">IFERROR(__xludf.DUMMYFUNCTION("""COMPUTED_VALUE"""),"G")</f>
        <v>G</v>
      </c>
      <c r="E1213" s="110" t="str">
        <f ca="1">IFERROR(__xludf.DUMMYFUNCTION("""COMPUTED_VALUE"""),"S")</f>
        <v>S</v>
      </c>
      <c r="F1213" s="110" t="str">
        <f ca="1">IFERROR(__xludf.DUMMYFUNCTION("""COMPUTED_VALUE"""),"S")</f>
        <v>S</v>
      </c>
      <c r="G1213" s="110">
        <f ca="1">IFERROR(__xludf.DUMMYFUNCTION("""COMPUTED_VALUE"""),3)</f>
        <v>3</v>
      </c>
      <c r="H1213" s="112" t="str">
        <f ca="1"/>
        <v/>
      </c>
      <c r="I1213" s="81" t="str">
        <f ca="1"/>
        <v/>
      </c>
    </row>
    <row r="1214" spans="1:9" ht="13.2">
      <c r="A1214" s="109" t="str">
        <f ca="1">IFERROR(__xludf.DUMMYFUNCTION("""COMPUTED_VALUE"""),"LG")</f>
        <v>LG</v>
      </c>
      <c r="B1214" s="108" t="str">
        <f ca="1">IFERROR(__xludf.DUMMYFUNCTION("""COMPUTED_VALUE"""),"Jordan Eastman")</f>
        <v>Jordan Eastman</v>
      </c>
      <c r="C1214" s="109">
        <f ca="1">IFERROR(__xludf.DUMMYFUNCTION("""COMPUTED_VALUE"""),17)</f>
        <v>17</v>
      </c>
      <c r="D1214" s="109" t="str">
        <f ca="1">IFERROR(__xludf.DUMMYFUNCTION("""COMPUTED_VALUE"""),"G")</f>
        <v>G</v>
      </c>
      <c r="E1214" s="110" t="str">
        <f ca="1">IFERROR(__xludf.DUMMYFUNCTION("""COMPUTED_VALUE"""),"S")</f>
        <v>S</v>
      </c>
      <c r="F1214" s="110" t="str">
        <f ca="1">IFERROR(__xludf.DUMMYFUNCTION("""COMPUTED_VALUE"""),"S")</f>
        <v>S</v>
      </c>
      <c r="G1214" s="110">
        <f ca="1">IFERROR(__xludf.DUMMYFUNCTION("""COMPUTED_VALUE"""),3)</f>
        <v>3</v>
      </c>
      <c r="H1214" s="112" t="str">
        <f ca="1"/>
        <v/>
      </c>
      <c r="I1214" s="81" t="str">
        <f ca="1"/>
        <v/>
      </c>
    </row>
    <row r="1215" spans="1:9" ht="13.2">
      <c r="A1215" s="109" t="str">
        <f ca="1">IFERROR(__xludf.DUMMYFUNCTION("""COMPUTED_VALUE"""),"LG")</f>
        <v>LG</v>
      </c>
      <c r="B1215" s="108" t="str">
        <f ca="1">IFERROR(__xludf.DUMMYFUNCTION("""COMPUTED_VALUE"""),"Madison Cervenak")</f>
        <v>Madison Cervenak</v>
      </c>
      <c r="C1215" s="109">
        <f ca="1">IFERROR(__xludf.DUMMYFUNCTION("""COMPUTED_VALUE"""),15)</f>
        <v>15</v>
      </c>
      <c r="D1215" s="109" t="str">
        <f ca="1">IFERROR(__xludf.DUMMYFUNCTION("""COMPUTED_VALUE"""),"G")</f>
        <v>G</v>
      </c>
      <c r="E1215" s="110" t="str">
        <f ca="1">IFERROR(__xludf.DUMMYFUNCTION("""COMPUTED_VALUE"""),"S")</f>
        <v>S</v>
      </c>
      <c r="F1215" s="110" t="str">
        <f ca="1">IFERROR(__xludf.DUMMYFUNCTION("""COMPUTED_VALUE"""),"S")</f>
        <v>S</v>
      </c>
      <c r="G1215" s="110">
        <f ca="1">IFERROR(__xludf.DUMMYFUNCTION("""COMPUTED_VALUE"""),3)</f>
        <v>3</v>
      </c>
      <c r="H1215" s="112" t="str">
        <f ca="1"/>
        <v/>
      </c>
      <c r="I1215" s="81" t="str">
        <f ca="1"/>
        <v/>
      </c>
    </row>
    <row r="1216" spans="1:9" ht="13.2">
      <c r="A1216" s="109" t="str">
        <f ca="1">IFERROR(__xludf.DUMMYFUNCTION("""COMPUTED_VALUE"""),"LG")</f>
        <v>LG</v>
      </c>
      <c r="B1216" s="108" t="str">
        <f ca="1">IFERROR(__xludf.DUMMYFUNCTION("""COMPUTED_VALUE"""),"Maggie DiScipio")</f>
        <v>Maggie DiScipio</v>
      </c>
      <c r="C1216" s="109">
        <f ca="1">IFERROR(__xludf.DUMMYFUNCTION("""COMPUTED_VALUE"""),17)</f>
        <v>17</v>
      </c>
      <c r="D1216" s="109" t="str">
        <f ca="1">IFERROR(__xludf.DUMMYFUNCTION("""COMPUTED_VALUE"""),"G")</f>
        <v>G</v>
      </c>
      <c r="E1216" s="110" t="str">
        <f ca="1">IFERROR(__xludf.DUMMYFUNCTION("""COMPUTED_VALUE"""),"S")</f>
        <v>S</v>
      </c>
      <c r="F1216" s="110" t="str">
        <f ca="1">IFERROR(__xludf.DUMMYFUNCTION("""COMPUTED_VALUE"""),"S")</f>
        <v>S</v>
      </c>
      <c r="G1216" s="110">
        <f ca="1">IFERROR(__xludf.DUMMYFUNCTION("""COMPUTED_VALUE"""),3)</f>
        <v>3</v>
      </c>
      <c r="H1216" s="112" t="str">
        <f ca="1"/>
        <v/>
      </c>
      <c r="I1216" s="81" t="str">
        <f ca="1"/>
        <v/>
      </c>
    </row>
    <row r="1217" spans="1:9" ht="13.2">
      <c r="A1217" s="109" t="str">
        <f ca="1">IFERROR(__xludf.DUMMYFUNCTION("""COMPUTED_VALUE"""),"LG")</f>
        <v>LG</v>
      </c>
      <c r="B1217" s="108" t="str">
        <f ca="1">IFERROR(__xludf.DUMMYFUNCTION("""COMPUTED_VALUE"""),"Maggie Moonis")</f>
        <v>Maggie Moonis</v>
      </c>
      <c r="C1217" s="109">
        <f ca="1">IFERROR(__xludf.DUMMYFUNCTION("""COMPUTED_VALUE"""),17)</f>
        <v>17</v>
      </c>
      <c r="D1217" s="109" t="str">
        <f ca="1">IFERROR(__xludf.DUMMYFUNCTION("""COMPUTED_VALUE"""),"G")</f>
        <v>G</v>
      </c>
      <c r="E1217" s="110" t="str">
        <f ca="1">IFERROR(__xludf.DUMMYFUNCTION("""COMPUTED_VALUE"""),"S")</f>
        <v>S</v>
      </c>
      <c r="F1217" s="110" t="str">
        <f ca="1">IFERROR(__xludf.DUMMYFUNCTION("""COMPUTED_VALUE"""),"S")</f>
        <v>S</v>
      </c>
      <c r="G1217" s="110">
        <f ca="1">IFERROR(__xludf.DUMMYFUNCTION("""COMPUTED_VALUE"""),3)</f>
        <v>3</v>
      </c>
      <c r="H1217" s="112" t="str">
        <f ca="1"/>
        <v/>
      </c>
      <c r="I1217" s="81" t="str">
        <f ca="1"/>
        <v/>
      </c>
    </row>
    <row r="1218" spans="1:9" ht="13.2">
      <c r="A1218" s="109" t="str">
        <f ca="1">IFERROR(__xludf.DUMMYFUNCTION("""COMPUTED_VALUE"""),"LG")</f>
        <v>LG</v>
      </c>
      <c r="B1218" s="108" t="str">
        <f ca="1">IFERROR(__xludf.DUMMYFUNCTION("""COMPUTED_VALUE"""),"Sylvie Lister")</f>
        <v>Sylvie Lister</v>
      </c>
      <c r="C1218" s="109">
        <f ca="1">IFERROR(__xludf.DUMMYFUNCTION("""COMPUTED_VALUE"""),17)</f>
        <v>17</v>
      </c>
      <c r="D1218" s="109" t="str">
        <f ca="1">IFERROR(__xludf.DUMMYFUNCTION("""COMPUTED_VALUE"""),"G")</f>
        <v>G</v>
      </c>
      <c r="E1218" s="110" t="str">
        <f ca="1">IFERROR(__xludf.DUMMYFUNCTION("""COMPUTED_VALUE"""),"S")</f>
        <v>S</v>
      </c>
      <c r="F1218" s="110" t="str">
        <f ca="1">IFERROR(__xludf.DUMMYFUNCTION("""COMPUTED_VALUE"""),"S")</f>
        <v>S</v>
      </c>
      <c r="G1218" s="110">
        <f ca="1">IFERROR(__xludf.DUMMYFUNCTION("""COMPUTED_VALUE"""),3)</f>
        <v>3</v>
      </c>
      <c r="H1218" s="112" t="str">
        <f ca="1"/>
        <v/>
      </c>
      <c r="I1218" s="112" t="str">
        <f ca="1"/>
        <v/>
      </c>
    </row>
    <row r="1219" spans="1:9" ht="13.2">
      <c r="A1219" s="109" t="str">
        <f ca="1">IFERROR(__xludf.DUMMYFUNCTION("""COMPUTED_VALUE"""),"LV")</f>
        <v>LV</v>
      </c>
      <c r="B1219" s="108" t="str">
        <f ca="1">IFERROR(__xludf.DUMMYFUNCTION("""COMPUTED_VALUE"""),"Arik Stone")</f>
        <v>Arik Stone</v>
      </c>
      <c r="C1219" s="109">
        <f ca="1">IFERROR(__xludf.DUMMYFUNCTION("""COMPUTED_VALUE"""),9)</f>
        <v>9</v>
      </c>
      <c r="D1219" s="109" t="str">
        <f ca="1">IFERROR(__xludf.DUMMYFUNCTION("""COMPUTED_VALUE"""),"B")</f>
        <v>B</v>
      </c>
      <c r="E1219" s="110" t="str">
        <f ca="1">IFERROR(__xludf.DUMMYFUNCTION("""COMPUTED_VALUE"""),"F")</f>
        <v>F</v>
      </c>
      <c r="F1219" s="110" t="str">
        <f ca="1">IFERROR(__xludf.DUMMYFUNCTION("""COMPUTED_VALUE"""),"J")</f>
        <v>J</v>
      </c>
      <c r="G1219" s="110">
        <f ca="1">IFERROR(__xludf.DUMMYFUNCTION("""COMPUTED_VALUE"""),5)</f>
        <v>5</v>
      </c>
      <c r="H1219" s="112" t="str">
        <f ca="1"/>
        <v/>
      </c>
      <c r="I1219" s="81" t="str">
        <f ca="1"/>
        <v/>
      </c>
    </row>
    <row r="1220" spans="1:9" ht="13.2">
      <c r="A1220" s="109" t="str">
        <f ca="1">IFERROR(__xludf.DUMMYFUNCTION("""COMPUTED_VALUE"""),"LV")</f>
        <v>LV</v>
      </c>
      <c r="B1220" s="108" t="str">
        <f ca="1">IFERROR(__xludf.DUMMYFUNCTION("""COMPUTED_VALUE"""),"Gunner Larson")</f>
        <v>Gunner Larson</v>
      </c>
      <c r="C1220" s="109">
        <f ca="1">IFERROR(__xludf.DUMMYFUNCTION("""COMPUTED_VALUE"""),10)</f>
        <v>10</v>
      </c>
      <c r="D1220" s="109" t="str">
        <f ca="1">IFERROR(__xludf.DUMMYFUNCTION("""COMPUTED_VALUE"""),"B")</f>
        <v>B</v>
      </c>
      <c r="E1220" s="110" t="str">
        <f ca="1">IFERROR(__xludf.DUMMYFUNCTION("""COMPUTED_VALUE"""),"F")</f>
        <v>F</v>
      </c>
      <c r="F1220" s="110" t="str">
        <f ca="1">IFERROR(__xludf.DUMMYFUNCTION("""COMPUTED_VALUE"""),"J")</f>
        <v>J</v>
      </c>
      <c r="G1220" s="110">
        <f ca="1">IFERROR(__xludf.DUMMYFUNCTION("""COMPUTED_VALUE"""),5)</f>
        <v>5</v>
      </c>
      <c r="H1220" s="112" t="str">
        <f ca="1"/>
        <v/>
      </c>
      <c r="I1220" s="81" t="str">
        <f ca="1"/>
        <v/>
      </c>
    </row>
    <row r="1221" spans="1:9" ht="13.2">
      <c r="A1221" s="109" t="str">
        <f ca="1">IFERROR(__xludf.DUMMYFUNCTION("""COMPUTED_VALUE"""),"LV")</f>
        <v>LV</v>
      </c>
      <c r="B1221" s="108" t="str">
        <f ca="1">IFERROR(__xludf.DUMMYFUNCTION("""COMPUTED_VALUE"""),"Logan Gernatt")</f>
        <v>Logan Gernatt</v>
      </c>
      <c r="C1221" s="109">
        <f ca="1">IFERROR(__xludf.DUMMYFUNCTION("""COMPUTED_VALUE"""),8)</f>
        <v>8</v>
      </c>
      <c r="D1221" s="109" t="str">
        <f ca="1">IFERROR(__xludf.DUMMYFUNCTION("""COMPUTED_VALUE"""),"B")</f>
        <v>B</v>
      </c>
      <c r="E1221" s="110" t="str">
        <f ca="1">IFERROR(__xludf.DUMMYFUNCTION("""COMPUTED_VALUE"""),"F")</f>
        <v>F</v>
      </c>
      <c r="F1221" s="110" t="str">
        <f ca="1">IFERROR(__xludf.DUMMYFUNCTION("""COMPUTED_VALUE"""),"J")</f>
        <v>J</v>
      </c>
      <c r="G1221" s="110">
        <f ca="1">IFERROR(__xludf.DUMMYFUNCTION("""COMPUTED_VALUE"""),5)</f>
        <v>5</v>
      </c>
      <c r="H1221" s="112" t="str">
        <f ca="1"/>
        <v/>
      </c>
      <c r="I1221" s="81" t="str">
        <f ca="1"/>
        <v/>
      </c>
    </row>
    <row r="1222" spans="1:9" ht="13.2">
      <c r="A1222" s="109" t="str">
        <f ca="1">IFERROR(__xludf.DUMMYFUNCTION("""COMPUTED_VALUE"""),"LV")</f>
        <v>LV</v>
      </c>
      <c r="B1222" s="108" t="str">
        <f ca="1">IFERROR(__xludf.DUMMYFUNCTION("""COMPUTED_VALUE"""),"Pax Whritenour")</f>
        <v>Pax Whritenour</v>
      </c>
      <c r="C1222" s="109">
        <f ca="1">IFERROR(__xludf.DUMMYFUNCTION("""COMPUTED_VALUE"""),9)</f>
        <v>9</v>
      </c>
      <c r="D1222" s="109" t="str">
        <f ca="1">IFERROR(__xludf.DUMMYFUNCTION("""COMPUTED_VALUE"""),"B")</f>
        <v>B</v>
      </c>
      <c r="E1222" s="110" t="str">
        <f ca="1">IFERROR(__xludf.DUMMYFUNCTION("""COMPUTED_VALUE"""),"F")</f>
        <v>F</v>
      </c>
      <c r="F1222" s="110" t="str">
        <f ca="1">IFERROR(__xludf.DUMMYFUNCTION("""COMPUTED_VALUE"""),"J")</f>
        <v>J</v>
      </c>
      <c r="G1222" s="110">
        <f ca="1">IFERROR(__xludf.DUMMYFUNCTION("""COMPUTED_VALUE"""),5)</f>
        <v>5</v>
      </c>
      <c r="H1222" s="112" t="str">
        <f ca="1"/>
        <v/>
      </c>
      <c r="I1222" s="81" t="str">
        <f ca="1"/>
        <v/>
      </c>
    </row>
    <row r="1223" spans="1:9" ht="13.2">
      <c r="A1223" s="109" t="str">
        <f ca="1">IFERROR(__xludf.DUMMYFUNCTION("""COMPUTED_VALUE"""),"LV")</f>
        <v>LV</v>
      </c>
      <c r="B1223" s="108" t="str">
        <f ca="1">IFERROR(__xludf.DUMMYFUNCTION("""COMPUTED_VALUE"""),"Thomas Gardner")</f>
        <v>Thomas Gardner</v>
      </c>
      <c r="C1223" s="109">
        <f ca="1">IFERROR(__xludf.DUMMYFUNCTION("""COMPUTED_VALUE"""),10)</f>
        <v>10</v>
      </c>
      <c r="D1223" s="109" t="str">
        <f ca="1">IFERROR(__xludf.DUMMYFUNCTION("""COMPUTED_VALUE"""),"B")</f>
        <v>B</v>
      </c>
      <c r="E1223" s="110" t="str">
        <f ca="1">IFERROR(__xludf.DUMMYFUNCTION("""COMPUTED_VALUE"""),"F")</f>
        <v>F</v>
      </c>
      <c r="F1223" s="110" t="str">
        <f ca="1">IFERROR(__xludf.DUMMYFUNCTION("""COMPUTED_VALUE"""),"J")</f>
        <v>J</v>
      </c>
      <c r="G1223" s="110">
        <f ca="1">IFERROR(__xludf.DUMMYFUNCTION("""COMPUTED_VALUE"""),5)</f>
        <v>5</v>
      </c>
      <c r="H1223" s="112" t="str">
        <f ca="1"/>
        <v/>
      </c>
      <c r="I1223" s="81" t="str">
        <f ca="1"/>
        <v/>
      </c>
    </row>
    <row r="1224" spans="1:9" ht="13.2">
      <c r="A1224" s="109" t="str">
        <f ca="1">IFERROR(__xludf.DUMMYFUNCTION("""COMPUTED_VALUE"""),"LV")</f>
        <v>LV</v>
      </c>
      <c r="B1224" s="108" t="str">
        <f ca="1">IFERROR(__xludf.DUMMYFUNCTION("""COMPUTED_VALUE"""),"Zachary Holden")</f>
        <v>Zachary Holden</v>
      </c>
      <c r="C1224" s="109">
        <f ca="1">IFERROR(__xludf.DUMMYFUNCTION("""COMPUTED_VALUE"""),10)</f>
        <v>10</v>
      </c>
      <c r="D1224" s="109" t="str">
        <f ca="1">IFERROR(__xludf.DUMMYFUNCTION("""COMPUTED_VALUE"""),"B")</f>
        <v>B</v>
      </c>
      <c r="E1224" s="110" t="str">
        <f ca="1">IFERROR(__xludf.DUMMYFUNCTION("""COMPUTED_VALUE"""),"F")</f>
        <v>F</v>
      </c>
      <c r="F1224" s="110" t="str">
        <f ca="1">IFERROR(__xludf.DUMMYFUNCTION("""COMPUTED_VALUE"""),"J")</f>
        <v>J</v>
      </c>
      <c r="G1224" s="110">
        <f ca="1">IFERROR(__xludf.DUMMYFUNCTION("""COMPUTED_VALUE"""),5)</f>
        <v>5</v>
      </c>
      <c r="H1224" s="112" t="str">
        <f ca="1"/>
        <v/>
      </c>
      <c r="I1224" s="112" t="str">
        <f ca="1"/>
        <v/>
      </c>
    </row>
    <row r="1225" spans="1:9" ht="13.2">
      <c r="A1225" s="109" t="str">
        <f ca="1">IFERROR(__xludf.DUMMYFUNCTION("""COMPUTED_VALUE"""),"LV")</f>
        <v>LV</v>
      </c>
      <c r="B1225" s="108" t="str">
        <f ca="1">IFERROR(__xludf.DUMMYFUNCTION("""COMPUTED_VALUE"""),"Addy Whritenour")</f>
        <v>Addy Whritenour</v>
      </c>
      <c r="C1225" s="109">
        <f ca="1">IFERROR(__xludf.DUMMYFUNCTION("""COMPUTED_VALUE"""),8)</f>
        <v>8</v>
      </c>
      <c r="D1225" s="109" t="str">
        <f ca="1">IFERROR(__xludf.DUMMYFUNCTION("""COMPUTED_VALUE"""),"G")</f>
        <v>G</v>
      </c>
      <c r="E1225" s="110" t="str">
        <f ca="1">IFERROR(__xludf.DUMMYFUNCTION("""COMPUTED_VALUE"""),"F")</f>
        <v>F</v>
      </c>
      <c r="F1225" s="110" t="str">
        <f ca="1">IFERROR(__xludf.DUMMYFUNCTION("""COMPUTED_VALUE"""),"J")</f>
        <v>J</v>
      </c>
      <c r="G1225" s="110">
        <f ca="1">IFERROR(__xludf.DUMMYFUNCTION("""COMPUTED_VALUE"""),5)</f>
        <v>5</v>
      </c>
      <c r="H1225" s="112" t="str">
        <f ca="1"/>
        <v/>
      </c>
      <c r="I1225" s="112" t="str">
        <f ca="1"/>
        <v/>
      </c>
    </row>
    <row r="1226" spans="1:9" ht="13.2">
      <c r="A1226" s="109" t="str">
        <f ca="1">IFERROR(__xludf.DUMMYFUNCTION("""COMPUTED_VALUE"""),"LV")</f>
        <v>LV</v>
      </c>
      <c r="B1226" s="108" t="str">
        <f ca="1">IFERROR(__xludf.DUMMYFUNCTION("""COMPUTED_VALUE"""),"Claire Andresen")</f>
        <v>Claire Andresen</v>
      </c>
      <c r="C1226" s="109">
        <f ca="1">IFERROR(__xludf.DUMMYFUNCTION("""COMPUTED_VALUE"""),10)</f>
        <v>10</v>
      </c>
      <c r="D1226" s="109" t="str">
        <f ca="1">IFERROR(__xludf.DUMMYFUNCTION("""COMPUTED_VALUE"""),"G")</f>
        <v>G</v>
      </c>
      <c r="E1226" s="110" t="str">
        <f ca="1">IFERROR(__xludf.DUMMYFUNCTION("""COMPUTED_VALUE"""),"F")</f>
        <v>F</v>
      </c>
      <c r="F1226" s="110" t="str">
        <f ca="1">IFERROR(__xludf.DUMMYFUNCTION("""COMPUTED_VALUE"""),"J")</f>
        <v>J</v>
      </c>
      <c r="G1226" s="110">
        <f ca="1">IFERROR(__xludf.DUMMYFUNCTION("""COMPUTED_VALUE"""),5)</f>
        <v>5</v>
      </c>
      <c r="H1226" s="112" t="str">
        <f ca="1"/>
        <v/>
      </c>
      <c r="I1226" s="112" t="str">
        <f ca="1"/>
        <v/>
      </c>
    </row>
    <row r="1227" spans="1:9" ht="13.2">
      <c r="A1227" s="109" t="str">
        <f ca="1">IFERROR(__xludf.DUMMYFUNCTION("""COMPUTED_VALUE"""),"LV")</f>
        <v>LV</v>
      </c>
      <c r="B1227" s="108" t="str">
        <f ca="1">IFERROR(__xludf.DUMMYFUNCTION("""COMPUTED_VALUE"""),"Claire Webster")</f>
        <v>Claire Webster</v>
      </c>
      <c r="C1227" s="109">
        <f ca="1">IFERROR(__xludf.DUMMYFUNCTION("""COMPUTED_VALUE"""),8)</f>
        <v>8</v>
      </c>
      <c r="D1227" s="109" t="str">
        <f ca="1">IFERROR(__xludf.DUMMYFUNCTION("""COMPUTED_VALUE"""),"G")</f>
        <v>G</v>
      </c>
      <c r="E1227" s="110" t="str">
        <f ca="1">IFERROR(__xludf.DUMMYFUNCTION("""COMPUTED_VALUE"""),"F")</f>
        <v>F</v>
      </c>
      <c r="F1227" s="110" t="str">
        <f ca="1">IFERROR(__xludf.DUMMYFUNCTION("""COMPUTED_VALUE"""),"J")</f>
        <v>J</v>
      </c>
      <c r="G1227" s="110">
        <f ca="1">IFERROR(__xludf.DUMMYFUNCTION("""COMPUTED_VALUE"""),5)</f>
        <v>5</v>
      </c>
      <c r="H1227" s="112" t="str">
        <f ca="1"/>
        <v/>
      </c>
      <c r="I1227" s="81" t="str">
        <f ca="1"/>
        <v/>
      </c>
    </row>
    <row r="1228" spans="1:9" ht="13.2">
      <c r="A1228" s="109" t="str">
        <f ca="1">IFERROR(__xludf.DUMMYFUNCTION("""COMPUTED_VALUE"""),"LV")</f>
        <v>LV</v>
      </c>
      <c r="B1228" s="108" t="str">
        <f ca="1">IFERROR(__xludf.DUMMYFUNCTION("""COMPUTED_VALUE"""),"Deena Epstein")</f>
        <v>Deena Epstein</v>
      </c>
      <c r="C1228" s="109">
        <f ca="1">IFERROR(__xludf.DUMMYFUNCTION("""COMPUTED_VALUE"""),9)</f>
        <v>9</v>
      </c>
      <c r="D1228" s="109" t="str">
        <f ca="1">IFERROR(__xludf.DUMMYFUNCTION("""COMPUTED_VALUE"""),"G")</f>
        <v>G</v>
      </c>
      <c r="E1228" s="110" t="str">
        <f ca="1">IFERROR(__xludf.DUMMYFUNCTION("""COMPUTED_VALUE"""),"F")</f>
        <v>F</v>
      </c>
      <c r="F1228" s="110" t="str">
        <f ca="1">IFERROR(__xludf.DUMMYFUNCTION("""COMPUTED_VALUE"""),"J")</f>
        <v>J</v>
      </c>
      <c r="G1228" s="110">
        <f ca="1">IFERROR(__xludf.DUMMYFUNCTION("""COMPUTED_VALUE"""),5)</f>
        <v>5</v>
      </c>
      <c r="H1228" s="112" t="str">
        <f ca="1"/>
        <v/>
      </c>
      <c r="I1228" s="112" t="str">
        <f ca="1"/>
        <v/>
      </c>
    </row>
    <row r="1229" spans="1:9" ht="13.2">
      <c r="A1229" s="109" t="str">
        <f ca="1">IFERROR(__xludf.DUMMYFUNCTION("""COMPUTED_VALUE"""),"LV")</f>
        <v>LV</v>
      </c>
      <c r="B1229" s="108" t="str">
        <f ca="1">IFERROR(__xludf.DUMMYFUNCTION("""COMPUTED_VALUE"""),"Geraldine Epstein")</f>
        <v>Geraldine Epstein</v>
      </c>
      <c r="C1229" s="109">
        <f ca="1">IFERROR(__xludf.DUMMYFUNCTION("""COMPUTED_VALUE"""),9)</f>
        <v>9</v>
      </c>
      <c r="D1229" s="109" t="str">
        <f ca="1">IFERROR(__xludf.DUMMYFUNCTION("""COMPUTED_VALUE"""),"G")</f>
        <v>G</v>
      </c>
      <c r="E1229" s="110" t="str">
        <f ca="1">IFERROR(__xludf.DUMMYFUNCTION("""COMPUTED_VALUE"""),"F")</f>
        <v>F</v>
      </c>
      <c r="F1229" s="110" t="str">
        <f ca="1">IFERROR(__xludf.DUMMYFUNCTION("""COMPUTED_VALUE"""),"J")</f>
        <v>J</v>
      </c>
      <c r="G1229" s="110">
        <f ca="1">IFERROR(__xludf.DUMMYFUNCTION("""COMPUTED_VALUE"""),5)</f>
        <v>5</v>
      </c>
      <c r="H1229" s="112" t="str">
        <f ca="1"/>
        <v/>
      </c>
      <c r="I1229" s="81" t="str">
        <f ca="1"/>
        <v/>
      </c>
    </row>
    <row r="1230" spans="1:9" ht="13.2">
      <c r="A1230" s="109" t="str">
        <f ca="1">IFERROR(__xludf.DUMMYFUNCTION("""COMPUTED_VALUE"""),"LV")</f>
        <v>LV</v>
      </c>
      <c r="B1230" s="108" t="str">
        <f ca="1">IFERROR(__xludf.DUMMYFUNCTION("""COMPUTED_VALUE"""),"Hannah Carroll")</f>
        <v>Hannah Carroll</v>
      </c>
      <c r="C1230" s="109">
        <f ca="1">IFERROR(__xludf.DUMMYFUNCTION("""COMPUTED_VALUE"""),8)</f>
        <v>8</v>
      </c>
      <c r="D1230" s="109" t="str">
        <f ca="1">IFERROR(__xludf.DUMMYFUNCTION("""COMPUTED_VALUE"""),"G")</f>
        <v>G</v>
      </c>
      <c r="E1230" s="110" t="str">
        <f ca="1">IFERROR(__xludf.DUMMYFUNCTION("""COMPUTED_VALUE"""),"F")</f>
        <v>F</v>
      </c>
      <c r="F1230" s="110" t="str">
        <f ca="1">IFERROR(__xludf.DUMMYFUNCTION("""COMPUTED_VALUE"""),"J")</f>
        <v>J</v>
      </c>
      <c r="G1230" s="110">
        <f ca="1">IFERROR(__xludf.DUMMYFUNCTION("""COMPUTED_VALUE"""),5)</f>
        <v>5</v>
      </c>
      <c r="H1230" s="112" t="str">
        <f ca="1"/>
        <v/>
      </c>
      <c r="I1230" s="81" t="str">
        <f ca="1"/>
        <v/>
      </c>
    </row>
    <row r="1231" spans="1:9" ht="13.2">
      <c r="A1231" s="109" t="str">
        <f ca="1">IFERROR(__xludf.DUMMYFUNCTION("""COMPUTED_VALUE"""),"LV")</f>
        <v>LV</v>
      </c>
      <c r="B1231" s="108" t="str">
        <f ca="1">IFERROR(__xludf.DUMMYFUNCTION("""COMPUTED_VALUE"""),"Isabelle Koenig")</f>
        <v>Isabelle Koenig</v>
      </c>
      <c r="C1231" s="109">
        <f ca="1">IFERROR(__xludf.DUMMYFUNCTION("""COMPUTED_VALUE"""),10)</f>
        <v>10</v>
      </c>
      <c r="D1231" s="109" t="str">
        <f ca="1">IFERROR(__xludf.DUMMYFUNCTION("""COMPUTED_VALUE"""),"G")</f>
        <v>G</v>
      </c>
      <c r="E1231" s="110" t="str">
        <f ca="1">IFERROR(__xludf.DUMMYFUNCTION("""COMPUTED_VALUE"""),"F")</f>
        <v>F</v>
      </c>
      <c r="F1231" s="110" t="str">
        <f ca="1">IFERROR(__xludf.DUMMYFUNCTION("""COMPUTED_VALUE"""),"J")</f>
        <v>J</v>
      </c>
      <c r="G1231" s="110">
        <f ca="1">IFERROR(__xludf.DUMMYFUNCTION("""COMPUTED_VALUE"""),5)</f>
        <v>5</v>
      </c>
      <c r="H1231" s="112" t="str">
        <f ca="1"/>
        <v/>
      </c>
      <c r="I1231" s="81" t="str">
        <f ca="1"/>
        <v/>
      </c>
    </row>
    <row r="1232" spans="1:9" ht="13.2">
      <c r="A1232" s="109" t="str">
        <f ca="1">IFERROR(__xludf.DUMMYFUNCTION("""COMPUTED_VALUE"""),"LV")</f>
        <v>LV</v>
      </c>
      <c r="B1232" s="108" t="str">
        <f ca="1">IFERROR(__xludf.DUMMYFUNCTION("""COMPUTED_VALUE"""),"Karoline Slone")</f>
        <v>Karoline Slone</v>
      </c>
      <c r="C1232" s="109">
        <f ca="1">IFERROR(__xludf.DUMMYFUNCTION("""COMPUTED_VALUE"""),7)</f>
        <v>7</v>
      </c>
      <c r="D1232" s="109" t="str">
        <f ca="1">IFERROR(__xludf.DUMMYFUNCTION("""COMPUTED_VALUE"""),"G")</f>
        <v>G</v>
      </c>
      <c r="E1232" s="110" t="str">
        <f ca="1">IFERROR(__xludf.DUMMYFUNCTION("""COMPUTED_VALUE"""),"F")</f>
        <v>F</v>
      </c>
      <c r="F1232" s="110" t="str">
        <f ca="1">IFERROR(__xludf.DUMMYFUNCTION("""COMPUTED_VALUE"""),"J")</f>
        <v>J</v>
      </c>
      <c r="G1232" s="110">
        <f ca="1">IFERROR(__xludf.DUMMYFUNCTION("""COMPUTED_VALUE"""),5)</f>
        <v>5</v>
      </c>
      <c r="H1232" s="112" t="str">
        <f ca="1"/>
        <v/>
      </c>
      <c r="I1232" s="81" t="str">
        <f ca="1"/>
        <v/>
      </c>
    </row>
    <row r="1233" spans="1:9" ht="13.2">
      <c r="A1233" s="109" t="str">
        <f ca="1">IFERROR(__xludf.DUMMYFUNCTION("""COMPUTED_VALUE"""),"LV")</f>
        <v>LV</v>
      </c>
      <c r="B1233" s="108" t="str">
        <f ca="1">IFERROR(__xludf.DUMMYFUNCTION("""COMPUTED_VALUE"""),"Lacey Slone")</f>
        <v>Lacey Slone</v>
      </c>
      <c r="C1233" s="109">
        <f ca="1">IFERROR(__xludf.DUMMYFUNCTION("""COMPUTED_VALUE"""),9)</f>
        <v>9</v>
      </c>
      <c r="D1233" s="109" t="str">
        <f ca="1">IFERROR(__xludf.DUMMYFUNCTION("""COMPUTED_VALUE"""),"G")</f>
        <v>G</v>
      </c>
      <c r="E1233" s="110" t="str">
        <f ca="1">IFERROR(__xludf.DUMMYFUNCTION("""COMPUTED_VALUE"""),"F")</f>
        <v>F</v>
      </c>
      <c r="F1233" s="110" t="str">
        <f ca="1">IFERROR(__xludf.DUMMYFUNCTION("""COMPUTED_VALUE"""),"J")</f>
        <v>J</v>
      </c>
      <c r="G1233" s="110">
        <f ca="1">IFERROR(__xludf.DUMMYFUNCTION("""COMPUTED_VALUE"""),5)</f>
        <v>5</v>
      </c>
      <c r="H1233" s="112" t="str">
        <f ca="1"/>
        <v/>
      </c>
      <c r="I1233" s="81" t="str">
        <f ca="1"/>
        <v/>
      </c>
    </row>
    <row r="1234" spans="1:9" ht="13.2">
      <c r="A1234" s="109" t="str">
        <f ca="1">IFERROR(__xludf.DUMMYFUNCTION("""COMPUTED_VALUE"""),"LV")</f>
        <v>LV</v>
      </c>
      <c r="B1234" s="108" t="str">
        <f ca="1">IFERROR(__xludf.DUMMYFUNCTION("""COMPUTED_VALUE"""),"Mimei Minato")</f>
        <v>Mimei Minato</v>
      </c>
      <c r="C1234" s="109">
        <f ca="1">IFERROR(__xludf.DUMMYFUNCTION("""COMPUTED_VALUE"""),9)</f>
        <v>9</v>
      </c>
      <c r="D1234" s="109" t="str">
        <f ca="1">IFERROR(__xludf.DUMMYFUNCTION("""COMPUTED_VALUE"""),"G")</f>
        <v>G</v>
      </c>
      <c r="E1234" s="110" t="str">
        <f ca="1">IFERROR(__xludf.DUMMYFUNCTION("""COMPUTED_VALUE"""),"F")</f>
        <v>F</v>
      </c>
      <c r="F1234" s="110" t="str">
        <f ca="1">IFERROR(__xludf.DUMMYFUNCTION("""COMPUTED_VALUE"""),"J")</f>
        <v>J</v>
      </c>
      <c r="G1234" s="110">
        <f ca="1">IFERROR(__xludf.DUMMYFUNCTION("""COMPUTED_VALUE"""),5)</f>
        <v>5</v>
      </c>
      <c r="H1234" s="112" t="str">
        <f ca="1"/>
        <v/>
      </c>
      <c r="I1234" s="112" t="str">
        <f ca="1"/>
        <v/>
      </c>
    </row>
    <row r="1235" spans="1:9" ht="13.2">
      <c r="A1235" s="109" t="str">
        <f ca="1">IFERROR(__xludf.DUMMYFUNCTION("""COMPUTED_VALUE"""),"LV")</f>
        <v>LV</v>
      </c>
      <c r="B1235" s="108" t="str">
        <f ca="1">IFERROR(__xludf.DUMMYFUNCTION("""COMPUTED_VALUE"""),"Norah Flintoft")</f>
        <v>Norah Flintoft</v>
      </c>
      <c r="C1235" s="109">
        <f ca="1">IFERROR(__xludf.DUMMYFUNCTION("""COMPUTED_VALUE"""),10)</f>
        <v>10</v>
      </c>
      <c r="D1235" s="109" t="str">
        <f ca="1">IFERROR(__xludf.DUMMYFUNCTION("""COMPUTED_VALUE"""),"G")</f>
        <v>G</v>
      </c>
      <c r="E1235" s="110" t="str">
        <f ca="1">IFERROR(__xludf.DUMMYFUNCTION("""COMPUTED_VALUE"""),"F")</f>
        <v>F</v>
      </c>
      <c r="F1235" s="110" t="str">
        <f ca="1">IFERROR(__xludf.DUMMYFUNCTION("""COMPUTED_VALUE"""),"J")</f>
        <v>J</v>
      </c>
      <c r="G1235" s="110">
        <f ca="1">IFERROR(__xludf.DUMMYFUNCTION("""COMPUTED_VALUE"""),5)</f>
        <v>5</v>
      </c>
      <c r="H1235" s="112" t="str">
        <f ca="1"/>
        <v/>
      </c>
      <c r="I1235" s="112" t="str">
        <f ca="1"/>
        <v/>
      </c>
    </row>
    <row r="1236" spans="1:9" ht="13.2">
      <c r="A1236" s="109" t="str">
        <f ca="1">IFERROR(__xludf.DUMMYFUNCTION("""COMPUTED_VALUE"""),"LV")</f>
        <v>LV</v>
      </c>
      <c r="B1236" s="108" t="str">
        <f ca="1">IFERROR(__xludf.DUMMYFUNCTION("""COMPUTED_VALUE"""),"Reese Andresen")</f>
        <v>Reese Andresen</v>
      </c>
      <c r="C1236" s="109">
        <f ca="1">IFERROR(__xludf.DUMMYFUNCTION("""COMPUTED_VALUE"""),8)</f>
        <v>8</v>
      </c>
      <c r="D1236" s="109" t="str">
        <f ca="1">IFERROR(__xludf.DUMMYFUNCTION("""COMPUTED_VALUE"""),"G")</f>
        <v>G</v>
      </c>
      <c r="E1236" s="110" t="str">
        <f ca="1">IFERROR(__xludf.DUMMYFUNCTION("""COMPUTED_VALUE"""),"F")</f>
        <v>F</v>
      </c>
      <c r="F1236" s="110" t="str">
        <f ca="1">IFERROR(__xludf.DUMMYFUNCTION("""COMPUTED_VALUE"""),"J")</f>
        <v>J</v>
      </c>
      <c r="G1236" s="110">
        <f ca="1">IFERROR(__xludf.DUMMYFUNCTION("""COMPUTED_VALUE"""),5)</f>
        <v>5</v>
      </c>
      <c r="H1236" s="112" t="str">
        <f ca="1"/>
        <v/>
      </c>
      <c r="I1236" s="81" t="str">
        <f ca="1"/>
        <v/>
      </c>
    </row>
    <row r="1237" spans="1:9" ht="13.2">
      <c r="A1237" s="109" t="str">
        <f ca="1">IFERROR(__xludf.DUMMYFUNCTION("""COMPUTED_VALUE"""),"LV")</f>
        <v>LV</v>
      </c>
      <c r="B1237" s="108" t="str">
        <f ca="1">IFERROR(__xludf.DUMMYFUNCTION("""COMPUTED_VALUE"""),"Jacob Komnenous")</f>
        <v>Jacob Komnenous</v>
      </c>
      <c r="C1237" s="109">
        <f ca="1">IFERROR(__xludf.DUMMYFUNCTION("""COMPUTED_VALUE"""),14)</f>
        <v>14</v>
      </c>
      <c r="D1237" s="109" t="str">
        <f ca="1">IFERROR(__xludf.DUMMYFUNCTION("""COMPUTED_VALUE"""),"B")</f>
        <v>B</v>
      </c>
      <c r="E1237" s="110" t="str">
        <f ca="1">IFERROR(__xludf.DUMMYFUNCTION("""COMPUTED_VALUE"""),"I")</f>
        <v>I</v>
      </c>
      <c r="F1237" s="110" t="str">
        <f ca="1">IFERROR(__xludf.DUMMYFUNCTION("""COMPUTED_VALUE"""),"S")</f>
        <v>S</v>
      </c>
      <c r="G1237" s="110">
        <f ca="1">IFERROR(__xludf.DUMMYFUNCTION("""COMPUTED_VALUE"""),5)</f>
        <v>5</v>
      </c>
      <c r="H1237" s="112" t="str">
        <f ca="1"/>
        <v/>
      </c>
      <c r="I1237" s="81" t="str">
        <f ca="1"/>
        <v/>
      </c>
    </row>
    <row r="1238" spans="1:9" ht="13.2">
      <c r="A1238" s="109" t="str">
        <f ca="1">IFERROR(__xludf.DUMMYFUNCTION("""COMPUTED_VALUE"""),"LV")</f>
        <v>LV</v>
      </c>
      <c r="B1238" s="108" t="str">
        <f ca="1">IFERROR(__xludf.DUMMYFUNCTION("""COMPUTED_VALUE"""),"Shawn Hubbard")</f>
        <v>Shawn Hubbard</v>
      </c>
      <c r="C1238" s="109">
        <f ca="1">IFERROR(__xludf.DUMMYFUNCTION("""COMPUTED_VALUE"""),14)</f>
        <v>14</v>
      </c>
      <c r="D1238" s="109" t="str">
        <f ca="1">IFERROR(__xludf.DUMMYFUNCTION("""COMPUTED_VALUE"""),"B")</f>
        <v>B</v>
      </c>
      <c r="E1238" s="110" t="str">
        <f ca="1">IFERROR(__xludf.DUMMYFUNCTION("""COMPUTED_VALUE"""),"I")</f>
        <v>I</v>
      </c>
      <c r="F1238" s="110" t="str">
        <f ca="1">IFERROR(__xludf.DUMMYFUNCTION("""COMPUTED_VALUE"""),"S")</f>
        <v>S</v>
      </c>
      <c r="G1238" s="110">
        <f ca="1">IFERROR(__xludf.DUMMYFUNCTION("""COMPUTED_VALUE"""),5)</f>
        <v>5</v>
      </c>
      <c r="H1238" s="112" t="str">
        <f ca="1"/>
        <v/>
      </c>
      <c r="I1238" s="112" t="str">
        <f ca="1"/>
        <v/>
      </c>
    </row>
    <row r="1239" spans="1:9" ht="13.2">
      <c r="A1239" s="109" t="str">
        <f ca="1">IFERROR(__xludf.DUMMYFUNCTION("""COMPUTED_VALUE"""),"LV")</f>
        <v>LV</v>
      </c>
      <c r="B1239" s="108" t="str">
        <f ca="1">IFERROR(__xludf.DUMMYFUNCTION("""COMPUTED_VALUE"""),"Silas Platt")</f>
        <v>Silas Platt</v>
      </c>
      <c r="C1239" s="109">
        <f ca="1">IFERROR(__xludf.DUMMYFUNCTION("""COMPUTED_VALUE"""),13)</f>
        <v>13</v>
      </c>
      <c r="D1239" s="109" t="str">
        <f ca="1">IFERROR(__xludf.DUMMYFUNCTION("""COMPUTED_VALUE"""),"B")</f>
        <v>B</v>
      </c>
      <c r="E1239" s="110" t="str">
        <f ca="1">IFERROR(__xludf.DUMMYFUNCTION("""COMPUTED_VALUE"""),"I")</f>
        <v>I</v>
      </c>
      <c r="F1239" s="110" t="str">
        <f ca="1">IFERROR(__xludf.DUMMYFUNCTION("""COMPUTED_VALUE"""),"S")</f>
        <v>S</v>
      </c>
      <c r="G1239" s="110">
        <f ca="1">IFERROR(__xludf.DUMMYFUNCTION("""COMPUTED_VALUE"""),5)</f>
        <v>5</v>
      </c>
      <c r="H1239" s="112" t="str">
        <f ca="1"/>
        <v/>
      </c>
      <c r="I1239" s="81" t="str">
        <f ca="1"/>
        <v/>
      </c>
    </row>
    <row r="1240" spans="1:9" ht="13.2">
      <c r="A1240" s="109" t="str">
        <f ca="1">IFERROR(__xludf.DUMMYFUNCTION("""COMPUTED_VALUE"""),"LV")</f>
        <v>LV</v>
      </c>
      <c r="B1240" s="108" t="str">
        <f ca="1">IFERROR(__xludf.DUMMYFUNCTION("""COMPUTED_VALUE"""),"Abigail Meehan")</f>
        <v>Abigail Meehan</v>
      </c>
      <c r="C1240" s="109">
        <f ca="1">IFERROR(__xludf.DUMMYFUNCTION("""COMPUTED_VALUE"""),14)</f>
        <v>14</v>
      </c>
      <c r="D1240" s="109" t="str">
        <f ca="1">IFERROR(__xludf.DUMMYFUNCTION("""COMPUTED_VALUE"""),"G")</f>
        <v>G</v>
      </c>
      <c r="E1240" s="110" t="str">
        <f ca="1">IFERROR(__xludf.DUMMYFUNCTION("""COMPUTED_VALUE"""),"I")</f>
        <v>I</v>
      </c>
      <c r="F1240" s="110" t="str">
        <f ca="1">IFERROR(__xludf.DUMMYFUNCTION("""COMPUTED_VALUE"""),"S")</f>
        <v>S</v>
      </c>
      <c r="G1240" s="110">
        <f ca="1">IFERROR(__xludf.DUMMYFUNCTION("""COMPUTED_VALUE"""),5)</f>
        <v>5</v>
      </c>
      <c r="H1240" s="112" t="str">
        <f ca="1"/>
        <v/>
      </c>
      <c r="I1240" s="81" t="str">
        <f ca="1"/>
        <v/>
      </c>
    </row>
    <row r="1241" spans="1:9" ht="13.2">
      <c r="A1241" s="109" t="str">
        <f ca="1">IFERROR(__xludf.DUMMYFUNCTION("""COMPUTED_VALUE"""),"LV")</f>
        <v>LV</v>
      </c>
      <c r="B1241" s="108" t="str">
        <f ca="1">IFERROR(__xludf.DUMMYFUNCTION("""COMPUTED_VALUE"""),"Antonella Palazzo")</f>
        <v>Antonella Palazzo</v>
      </c>
      <c r="C1241" s="109">
        <f ca="1">IFERROR(__xludf.DUMMYFUNCTION("""COMPUTED_VALUE"""),13)</f>
        <v>13</v>
      </c>
      <c r="D1241" s="109" t="str">
        <f ca="1">IFERROR(__xludf.DUMMYFUNCTION("""COMPUTED_VALUE"""),"G")</f>
        <v>G</v>
      </c>
      <c r="E1241" s="110" t="str">
        <f ca="1">IFERROR(__xludf.DUMMYFUNCTION("""COMPUTED_VALUE"""),"I")</f>
        <v>I</v>
      </c>
      <c r="F1241" s="110" t="str">
        <f ca="1">IFERROR(__xludf.DUMMYFUNCTION("""COMPUTED_VALUE"""),"S")</f>
        <v>S</v>
      </c>
      <c r="G1241" s="110">
        <f ca="1">IFERROR(__xludf.DUMMYFUNCTION("""COMPUTED_VALUE"""),5)</f>
        <v>5</v>
      </c>
      <c r="H1241" s="112" t="str">
        <f ca="1"/>
        <v/>
      </c>
      <c r="I1241" s="81" t="str">
        <f ca="1"/>
        <v/>
      </c>
    </row>
    <row r="1242" spans="1:9" ht="13.2">
      <c r="A1242" s="109" t="str">
        <f ca="1">IFERROR(__xludf.DUMMYFUNCTION("""COMPUTED_VALUE"""),"LV")</f>
        <v>LV</v>
      </c>
      <c r="B1242" s="108" t="str">
        <f ca="1">IFERROR(__xludf.DUMMYFUNCTION("""COMPUTED_VALUE"""),"Catherine Fleck")</f>
        <v>Catherine Fleck</v>
      </c>
      <c r="C1242" s="109">
        <f ca="1">IFERROR(__xludf.DUMMYFUNCTION("""COMPUTED_VALUE"""),13)</f>
        <v>13</v>
      </c>
      <c r="D1242" s="109" t="str">
        <f ca="1">IFERROR(__xludf.DUMMYFUNCTION("""COMPUTED_VALUE"""),"G")</f>
        <v>G</v>
      </c>
      <c r="E1242" s="110" t="str">
        <f ca="1">IFERROR(__xludf.DUMMYFUNCTION("""COMPUTED_VALUE"""),"I")</f>
        <v>I</v>
      </c>
      <c r="F1242" s="110" t="str">
        <f ca="1">IFERROR(__xludf.DUMMYFUNCTION("""COMPUTED_VALUE"""),"S")</f>
        <v>S</v>
      </c>
      <c r="G1242" s="110">
        <f ca="1">IFERROR(__xludf.DUMMYFUNCTION("""COMPUTED_VALUE"""),5)</f>
        <v>5</v>
      </c>
      <c r="H1242" s="112" t="str">
        <f ca="1"/>
        <v/>
      </c>
      <c r="I1242" s="81" t="str">
        <f ca="1"/>
        <v/>
      </c>
    </row>
    <row r="1243" spans="1:9" ht="13.2">
      <c r="A1243" s="109" t="str">
        <f ca="1">IFERROR(__xludf.DUMMYFUNCTION("""COMPUTED_VALUE"""),"LV")</f>
        <v>LV</v>
      </c>
      <c r="B1243" s="108" t="str">
        <f ca="1">IFERROR(__xludf.DUMMYFUNCTION("""COMPUTED_VALUE"""),"Leyna Flintoft")</f>
        <v>Leyna Flintoft</v>
      </c>
      <c r="C1243" s="109">
        <f ca="1">IFERROR(__xludf.DUMMYFUNCTION("""COMPUTED_VALUE"""),13)</f>
        <v>13</v>
      </c>
      <c r="D1243" s="109" t="str">
        <f ca="1">IFERROR(__xludf.DUMMYFUNCTION("""COMPUTED_VALUE"""),"G")</f>
        <v>G</v>
      </c>
      <c r="E1243" s="110" t="str">
        <f ca="1">IFERROR(__xludf.DUMMYFUNCTION("""COMPUTED_VALUE"""),"I")</f>
        <v>I</v>
      </c>
      <c r="F1243" s="110" t="str">
        <f ca="1">IFERROR(__xludf.DUMMYFUNCTION("""COMPUTED_VALUE"""),"S")</f>
        <v>S</v>
      </c>
      <c r="G1243" s="110">
        <f ca="1">IFERROR(__xludf.DUMMYFUNCTION("""COMPUTED_VALUE"""),5)</f>
        <v>5</v>
      </c>
      <c r="H1243" s="112" t="str">
        <f ca="1"/>
        <v/>
      </c>
      <c r="I1243" s="81" t="str">
        <f ca="1"/>
        <v/>
      </c>
    </row>
    <row r="1244" spans="1:9" ht="13.2">
      <c r="A1244" s="109" t="str">
        <f ca="1">IFERROR(__xludf.DUMMYFUNCTION("""COMPUTED_VALUE"""),"LV")</f>
        <v>LV</v>
      </c>
      <c r="B1244" s="108" t="str">
        <f ca="1">IFERROR(__xludf.DUMMYFUNCTION("""COMPUTED_VALUE"""),"Lora Berkeley (LB) Macaranas")</f>
        <v>Lora Berkeley (LB) Macaranas</v>
      </c>
      <c r="C1244" s="109">
        <f ca="1">IFERROR(__xludf.DUMMYFUNCTION("""COMPUTED_VALUE"""),14)</f>
        <v>14</v>
      </c>
      <c r="D1244" s="109" t="str">
        <f ca="1">IFERROR(__xludf.DUMMYFUNCTION("""COMPUTED_VALUE"""),"G")</f>
        <v>G</v>
      </c>
      <c r="E1244" s="110" t="str">
        <f ca="1">IFERROR(__xludf.DUMMYFUNCTION("""COMPUTED_VALUE"""),"I")</f>
        <v>I</v>
      </c>
      <c r="F1244" s="110" t="str">
        <f ca="1">IFERROR(__xludf.DUMMYFUNCTION("""COMPUTED_VALUE"""),"S")</f>
        <v>S</v>
      </c>
      <c r="G1244" s="110">
        <f ca="1">IFERROR(__xludf.DUMMYFUNCTION("""COMPUTED_VALUE"""),5)</f>
        <v>5</v>
      </c>
      <c r="H1244" s="112" t="str">
        <f ca="1"/>
        <v/>
      </c>
      <c r="I1244" s="81" t="str">
        <f ca="1"/>
        <v/>
      </c>
    </row>
    <row r="1245" spans="1:9" ht="13.2">
      <c r="A1245" s="109" t="str">
        <f ca="1">IFERROR(__xludf.DUMMYFUNCTION("""COMPUTED_VALUE"""),"LV")</f>
        <v>LV</v>
      </c>
      <c r="B1245" s="108" t="str">
        <f ca="1">IFERROR(__xludf.DUMMYFUNCTION("""COMPUTED_VALUE"""),"Ethan Hubbard")</f>
        <v>Ethan Hubbard</v>
      </c>
      <c r="C1245" s="109">
        <f ca="1">IFERROR(__xludf.DUMMYFUNCTION("""COMPUTED_VALUE"""),11)</f>
        <v>11</v>
      </c>
      <c r="D1245" s="109" t="str">
        <f ca="1">IFERROR(__xludf.DUMMYFUNCTION("""COMPUTED_VALUE"""),"B")</f>
        <v>B</v>
      </c>
      <c r="E1245" s="110" t="str">
        <f ca="1">IFERROR(__xludf.DUMMYFUNCTION("""COMPUTED_VALUE"""),"J")</f>
        <v>J</v>
      </c>
      <c r="F1245" s="110" t="str">
        <f ca="1">IFERROR(__xludf.DUMMYFUNCTION("""COMPUTED_VALUE"""),"I")</f>
        <v>I</v>
      </c>
      <c r="G1245" s="110">
        <f ca="1">IFERROR(__xludf.DUMMYFUNCTION("""COMPUTED_VALUE"""),5)</f>
        <v>5</v>
      </c>
      <c r="H1245" s="112" t="str">
        <f ca="1"/>
        <v/>
      </c>
      <c r="I1245" s="81" t="str">
        <f ca="1"/>
        <v/>
      </c>
    </row>
    <row r="1246" spans="1:9" ht="13.2">
      <c r="A1246" s="109" t="str">
        <f ca="1">IFERROR(__xludf.DUMMYFUNCTION("""COMPUTED_VALUE"""),"LV")</f>
        <v>LV</v>
      </c>
      <c r="B1246" s="108" t="str">
        <f ca="1">IFERROR(__xludf.DUMMYFUNCTION("""COMPUTED_VALUE"""),"Ryan Mitchell")</f>
        <v>Ryan Mitchell</v>
      </c>
      <c r="C1246" s="109">
        <f ca="1">IFERROR(__xludf.DUMMYFUNCTION("""COMPUTED_VALUE"""),15)</f>
        <v>15</v>
      </c>
      <c r="D1246" s="109" t="str">
        <f ca="1">IFERROR(__xludf.DUMMYFUNCTION("""COMPUTED_VALUE"""),"B")</f>
        <v>B</v>
      </c>
      <c r="E1246" s="110" t="str">
        <f ca="1">IFERROR(__xludf.DUMMYFUNCTION("""COMPUTED_VALUE"""),"S")</f>
        <v>S</v>
      </c>
      <c r="F1246" s="110" t="str">
        <f ca="1">IFERROR(__xludf.DUMMYFUNCTION("""COMPUTED_VALUE"""),"S")</f>
        <v>S</v>
      </c>
      <c r="G1246" s="110">
        <f ca="1">IFERROR(__xludf.DUMMYFUNCTION("""COMPUTED_VALUE"""),5)</f>
        <v>5</v>
      </c>
      <c r="H1246" s="112" t="str">
        <f ca="1"/>
        <v/>
      </c>
      <c r="I1246" s="81" t="str">
        <f ca="1"/>
        <v/>
      </c>
    </row>
    <row r="1247" spans="1:9" ht="13.2">
      <c r="A1247" s="109" t="str">
        <f ca="1">IFERROR(__xludf.DUMMYFUNCTION("""COMPUTED_VALUE"""),"LV")</f>
        <v>LV</v>
      </c>
      <c r="B1247" s="108" t="str">
        <f ca="1">IFERROR(__xludf.DUMMYFUNCTION("""COMPUTED_VALUE"""),"William Fleck")</f>
        <v>William Fleck</v>
      </c>
      <c r="C1247" s="109">
        <f ca="1">IFERROR(__xludf.DUMMYFUNCTION("""COMPUTED_VALUE"""),16)</f>
        <v>16</v>
      </c>
      <c r="D1247" s="109" t="str">
        <f ca="1">IFERROR(__xludf.DUMMYFUNCTION("""COMPUTED_VALUE"""),"B")</f>
        <v>B</v>
      </c>
      <c r="E1247" s="110" t="str">
        <f ca="1">IFERROR(__xludf.DUMMYFUNCTION("""COMPUTED_VALUE"""),"S")</f>
        <v>S</v>
      </c>
      <c r="F1247" s="110" t="str">
        <f ca="1">IFERROR(__xludf.DUMMYFUNCTION("""COMPUTED_VALUE"""),"S")</f>
        <v>S</v>
      </c>
      <c r="G1247" s="110">
        <f ca="1">IFERROR(__xludf.DUMMYFUNCTION("""COMPUTED_VALUE"""),5)</f>
        <v>5</v>
      </c>
      <c r="H1247" s="112" t="str">
        <f ca="1"/>
        <v/>
      </c>
      <c r="I1247" s="81" t="str">
        <f ca="1"/>
        <v/>
      </c>
    </row>
    <row r="1248" spans="1:9" ht="13.2">
      <c r="A1248" s="109" t="str">
        <f ca="1">IFERROR(__xludf.DUMMYFUNCTION("""COMPUTED_VALUE"""),"LV")</f>
        <v>LV</v>
      </c>
      <c r="B1248" s="108" t="str">
        <f ca="1">IFERROR(__xludf.DUMMYFUNCTION("""COMPUTED_VALUE"""),"Campbell McCracken")</f>
        <v>Campbell McCracken</v>
      </c>
      <c r="C1248" s="109">
        <f ca="1">IFERROR(__xludf.DUMMYFUNCTION("""COMPUTED_VALUE"""),15)</f>
        <v>15</v>
      </c>
      <c r="D1248" s="109" t="str">
        <f ca="1">IFERROR(__xludf.DUMMYFUNCTION("""COMPUTED_VALUE"""),"G")</f>
        <v>G</v>
      </c>
      <c r="E1248" s="110" t="str">
        <f ca="1">IFERROR(__xludf.DUMMYFUNCTION("""COMPUTED_VALUE"""),"S")</f>
        <v>S</v>
      </c>
      <c r="F1248" s="110" t="str">
        <f ca="1">IFERROR(__xludf.DUMMYFUNCTION("""COMPUTED_VALUE"""),"S")</f>
        <v>S</v>
      </c>
      <c r="G1248" s="110">
        <f ca="1">IFERROR(__xludf.DUMMYFUNCTION("""COMPUTED_VALUE"""),5)</f>
        <v>5</v>
      </c>
      <c r="H1248" s="112" t="str">
        <f ca="1"/>
        <v/>
      </c>
      <c r="I1248" s="81" t="str">
        <f ca="1"/>
        <v/>
      </c>
    </row>
    <row r="1249" spans="1:9" ht="13.2">
      <c r="A1249" s="109" t="str">
        <f ca="1">IFERROR(__xludf.DUMMYFUNCTION("""COMPUTED_VALUE"""),"LV")</f>
        <v>LV</v>
      </c>
      <c r="B1249" s="108" t="str">
        <f ca="1">IFERROR(__xludf.DUMMYFUNCTION("""COMPUTED_VALUE"""),"Nicole Bondanella")</f>
        <v>Nicole Bondanella</v>
      </c>
      <c r="C1249" s="109">
        <f ca="1">IFERROR(__xludf.DUMMYFUNCTION("""COMPUTED_VALUE"""),16)</f>
        <v>16</v>
      </c>
      <c r="D1249" s="109" t="str">
        <f ca="1">IFERROR(__xludf.DUMMYFUNCTION("""COMPUTED_VALUE"""),"G")</f>
        <v>G</v>
      </c>
      <c r="E1249" s="110" t="str">
        <f ca="1">IFERROR(__xludf.DUMMYFUNCTION("""COMPUTED_VALUE"""),"S")</f>
        <v>S</v>
      </c>
      <c r="F1249" s="110" t="str">
        <f ca="1">IFERROR(__xludf.DUMMYFUNCTION("""COMPUTED_VALUE"""),"S")</f>
        <v>S</v>
      </c>
      <c r="G1249" s="110">
        <f ca="1">IFERROR(__xludf.DUMMYFUNCTION("""COMPUTED_VALUE"""),5)</f>
        <v>5</v>
      </c>
      <c r="H1249" s="112" t="str">
        <f ca="1"/>
        <v/>
      </c>
      <c r="I1249" s="81" t="str">
        <f ca="1"/>
        <v/>
      </c>
    </row>
    <row r="1250" spans="1:9" ht="13.2">
      <c r="A1250" s="109" t="str">
        <f ca="1">IFERROR(__xludf.DUMMYFUNCTION("""COMPUTED_VALUE"""),"LV")</f>
        <v>LV</v>
      </c>
      <c r="B1250" s="108" t="str">
        <f ca="1">IFERROR(__xludf.DUMMYFUNCTION("""COMPUTED_VALUE"""),"Zoe Dolfis")</f>
        <v>Zoe Dolfis</v>
      </c>
      <c r="C1250" s="109">
        <f ca="1">IFERROR(__xludf.DUMMYFUNCTION("""COMPUTED_VALUE"""),16)</f>
        <v>16</v>
      </c>
      <c r="D1250" s="109" t="str">
        <f ca="1">IFERROR(__xludf.DUMMYFUNCTION("""COMPUTED_VALUE"""),"G")</f>
        <v>G</v>
      </c>
      <c r="E1250" s="110" t="str">
        <f ca="1">IFERROR(__xludf.DUMMYFUNCTION("""COMPUTED_VALUE"""),"S")</f>
        <v>S</v>
      </c>
      <c r="F1250" s="110" t="str">
        <f ca="1">IFERROR(__xludf.DUMMYFUNCTION("""COMPUTED_VALUE"""),"S")</f>
        <v>S</v>
      </c>
      <c r="G1250" s="110">
        <f ca="1">IFERROR(__xludf.DUMMYFUNCTION("""COMPUTED_VALUE"""),5)</f>
        <v>5</v>
      </c>
      <c r="H1250" s="112" t="str">
        <f ca="1"/>
        <v/>
      </c>
      <c r="I1250" s="112" t="str">
        <f ca="1"/>
        <v/>
      </c>
    </row>
    <row r="1251" spans="1:9" ht="13.2">
      <c r="A1251" s="109" t="str">
        <f ca="1">IFERROR(__xludf.DUMMYFUNCTION("""COMPUTED_VALUE"""),"M")</f>
        <v>M</v>
      </c>
      <c r="B1251" s="108" t="str">
        <f ca="1">IFERROR(__xludf.DUMMYFUNCTION("""COMPUTED_VALUE"""),"Gavin Taylor")</f>
        <v>Gavin Taylor</v>
      </c>
      <c r="C1251" s="109">
        <f ca="1">IFERROR(__xludf.DUMMYFUNCTION("""COMPUTED_VALUE"""),9)</f>
        <v>9</v>
      </c>
      <c r="D1251" s="109" t="str">
        <f ca="1">IFERROR(__xludf.DUMMYFUNCTION("""COMPUTED_VALUE"""),"B")</f>
        <v>B</v>
      </c>
      <c r="E1251" s="110" t="str">
        <f ca="1">IFERROR(__xludf.DUMMYFUNCTION("""COMPUTED_VALUE"""),"F")</f>
        <v>F</v>
      </c>
      <c r="F1251" s="110" t="str">
        <f ca="1">IFERROR(__xludf.DUMMYFUNCTION("""COMPUTED_VALUE"""),"J")</f>
        <v>J</v>
      </c>
      <c r="G1251" s="110">
        <f ca="1">IFERROR(__xludf.DUMMYFUNCTION("""COMPUTED_VALUE"""),7)</f>
        <v>7</v>
      </c>
      <c r="H1251" s="112" t="str">
        <f ca="1"/>
        <v/>
      </c>
      <c r="I1251" s="81" t="str">
        <f ca="1"/>
        <v/>
      </c>
    </row>
    <row r="1252" spans="1:9" ht="13.2">
      <c r="A1252" s="109" t="str">
        <f ca="1">IFERROR(__xludf.DUMMYFUNCTION("""COMPUTED_VALUE"""),"M")</f>
        <v>M</v>
      </c>
      <c r="B1252" s="108" t="str">
        <f ca="1">IFERROR(__xludf.DUMMYFUNCTION("""COMPUTED_VALUE"""),"Grant Evonuk")</f>
        <v>Grant Evonuk</v>
      </c>
      <c r="C1252" s="109">
        <f ca="1">IFERROR(__xludf.DUMMYFUNCTION("""COMPUTED_VALUE"""),9)</f>
        <v>9</v>
      </c>
      <c r="D1252" s="109" t="str">
        <f ca="1">IFERROR(__xludf.DUMMYFUNCTION("""COMPUTED_VALUE"""),"B")</f>
        <v>B</v>
      </c>
      <c r="E1252" s="110" t="str">
        <f ca="1">IFERROR(__xludf.DUMMYFUNCTION("""COMPUTED_VALUE"""),"F")</f>
        <v>F</v>
      </c>
      <c r="F1252" s="110" t="str">
        <f ca="1">IFERROR(__xludf.DUMMYFUNCTION("""COMPUTED_VALUE"""),"J")</f>
        <v>J</v>
      </c>
      <c r="G1252" s="110">
        <f ca="1">IFERROR(__xludf.DUMMYFUNCTION("""COMPUTED_VALUE"""),7)</f>
        <v>7</v>
      </c>
      <c r="H1252" s="112" t="str">
        <f ca="1"/>
        <v/>
      </c>
      <c r="I1252" s="81" t="str">
        <f ca="1"/>
        <v/>
      </c>
    </row>
    <row r="1253" spans="1:9" ht="13.2">
      <c r="A1253" s="109" t="str">
        <f ca="1">IFERROR(__xludf.DUMMYFUNCTION("""COMPUTED_VALUE"""),"M")</f>
        <v>M</v>
      </c>
      <c r="B1253" s="108" t="str">
        <f ca="1">IFERROR(__xludf.DUMMYFUNCTION("""COMPUTED_VALUE"""),"Jayden Taylor")</f>
        <v>Jayden Taylor</v>
      </c>
      <c r="C1253" s="109">
        <f ca="1">IFERROR(__xludf.DUMMYFUNCTION("""COMPUTED_VALUE"""),8)</f>
        <v>8</v>
      </c>
      <c r="D1253" s="109" t="str">
        <f ca="1">IFERROR(__xludf.DUMMYFUNCTION("""COMPUTED_VALUE"""),"B")</f>
        <v>B</v>
      </c>
      <c r="E1253" s="110" t="str">
        <f ca="1">IFERROR(__xludf.DUMMYFUNCTION("""COMPUTED_VALUE"""),"F")</f>
        <v>F</v>
      </c>
      <c r="F1253" s="110" t="str">
        <f ca="1">IFERROR(__xludf.DUMMYFUNCTION("""COMPUTED_VALUE"""),"J")</f>
        <v>J</v>
      </c>
      <c r="G1253" s="110">
        <f ca="1">IFERROR(__xludf.DUMMYFUNCTION("""COMPUTED_VALUE"""),7)</f>
        <v>7</v>
      </c>
      <c r="H1253" s="112" t="str">
        <f ca="1"/>
        <v/>
      </c>
      <c r="I1253" s="112" t="str">
        <f ca="1"/>
        <v/>
      </c>
    </row>
    <row r="1254" spans="1:9" ht="13.2">
      <c r="A1254" s="109" t="str">
        <f ca="1">IFERROR(__xludf.DUMMYFUNCTION("""COMPUTED_VALUE"""),"M")</f>
        <v>M</v>
      </c>
      <c r="B1254" s="108" t="str">
        <f ca="1">IFERROR(__xludf.DUMMYFUNCTION("""COMPUTED_VALUE"""),"Liam Redington")</f>
        <v>Liam Redington</v>
      </c>
      <c r="C1254" s="109">
        <f ca="1">IFERROR(__xludf.DUMMYFUNCTION("""COMPUTED_VALUE"""),6)</f>
        <v>6</v>
      </c>
      <c r="D1254" s="109" t="str">
        <f ca="1">IFERROR(__xludf.DUMMYFUNCTION("""COMPUTED_VALUE"""),"B")</f>
        <v>B</v>
      </c>
      <c r="E1254" s="110" t="str">
        <f ca="1">IFERROR(__xludf.DUMMYFUNCTION("""COMPUTED_VALUE"""),"F")</f>
        <v>F</v>
      </c>
      <c r="F1254" s="110" t="str">
        <f ca="1">IFERROR(__xludf.DUMMYFUNCTION("""COMPUTED_VALUE"""),"J")</f>
        <v>J</v>
      </c>
      <c r="G1254" s="110">
        <f ca="1">IFERROR(__xludf.DUMMYFUNCTION("""COMPUTED_VALUE"""),7)</f>
        <v>7</v>
      </c>
      <c r="H1254" s="112" t="str">
        <f ca="1"/>
        <v>33.9</v>
      </c>
      <c r="I1254" s="81">
        <f ca="1"/>
        <v>33.9</v>
      </c>
    </row>
    <row r="1255" spans="1:9" ht="13.2">
      <c r="A1255" s="109" t="str">
        <f ca="1">IFERROR(__xludf.DUMMYFUNCTION("""COMPUTED_VALUE"""),"M")</f>
        <v>M</v>
      </c>
      <c r="B1255" s="108" t="str">
        <f ca="1">IFERROR(__xludf.DUMMYFUNCTION("""COMPUTED_VALUE"""),"Max Molina Weir")</f>
        <v>Max Molina Weir</v>
      </c>
      <c r="C1255" s="109">
        <f ca="1">IFERROR(__xludf.DUMMYFUNCTION("""COMPUTED_VALUE"""),9)</f>
        <v>9</v>
      </c>
      <c r="D1255" s="109" t="str">
        <f ca="1">IFERROR(__xludf.DUMMYFUNCTION("""COMPUTED_VALUE"""),"B")</f>
        <v>B</v>
      </c>
      <c r="E1255" s="110" t="str">
        <f ca="1">IFERROR(__xludf.DUMMYFUNCTION("""COMPUTED_VALUE"""),"F")</f>
        <v>F</v>
      </c>
      <c r="F1255" s="110" t="str">
        <f ca="1">IFERROR(__xludf.DUMMYFUNCTION("""COMPUTED_VALUE"""),"J")</f>
        <v>J</v>
      </c>
      <c r="G1255" s="110">
        <f ca="1">IFERROR(__xludf.DUMMYFUNCTION("""COMPUTED_VALUE"""),7)</f>
        <v>7</v>
      </c>
      <c r="H1255" s="112" t="str">
        <f ca="1"/>
        <v>40.7</v>
      </c>
      <c r="I1255" s="81">
        <f ca="1"/>
        <v>40.700000000000003</v>
      </c>
    </row>
    <row r="1256" spans="1:9" ht="13.2">
      <c r="A1256" s="109" t="str">
        <f ca="1">IFERROR(__xludf.DUMMYFUNCTION("""COMPUTED_VALUE"""),"M")</f>
        <v>M</v>
      </c>
      <c r="B1256" s="108" t="str">
        <f ca="1">IFERROR(__xludf.DUMMYFUNCTION("""COMPUTED_VALUE"""),"Merrick Nicoll")</f>
        <v>Merrick Nicoll</v>
      </c>
      <c r="C1256" s="109">
        <f ca="1">IFERROR(__xludf.DUMMYFUNCTION("""COMPUTED_VALUE"""),9)</f>
        <v>9</v>
      </c>
      <c r="D1256" s="109" t="str">
        <f ca="1">IFERROR(__xludf.DUMMYFUNCTION("""COMPUTED_VALUE"""),"B")</f>
        <v>B</v>
      </c>
      <c r="E1256" s="110" t="str">
        <f ca="1">IFERROR(__xludf.DUMMYFUNCTION("""COMPUTED_VALUE"""),"F")</f>
        <v>F</v>
      </c>
      <c r="F1256" s="110" t="str">
        <f ca="1">IFERROR(__xludf.DUMMYFUNCTION("""COMPUTED_VALUE"""),"J")</f>
        <v>J</v>
      </c>
      <c r="G1256" s="110">
        <f ca="1">IFERROR(__xludf.DUMMYFUNCTION("""COMPUTED_VALUE"""),7)</f>
        <v>7</v>
      </c>
      <c r="H1256" s="112" t="str">
        <f ca="1"/>
        <v>21.8</v>
      </c>
      <c r="I1256" s="112">
        <f ca="1"/>
        <v>21.8</v>
      </c>
    </row>
    <row r="1257" spans="1:9" ht="13.2">
      <c r="A1257" s="109" t="str">
        <f ca="1">IFERROR(__xludf.DUMMYFUNCTION("""COMPUTED_VALUE"""),"M")</f>
        <v>M</v>
      </c>
      <c r="B1257" s="108" t="str">
        <f ca="1">IFERROR(__xludf.DUMMYFUNCTION("""COMPUTED_VALUE"""),"Nicolas Hill")</f>
        <v>Nicolas Hill</v>
      </c>
      <c r="C1257" s="109">
        <f ca="1">IFERROR(__xludf.DUMMYFUNCTION("""COMPUTED_VALUE"""),9)</f>
        <v>9</v>
      </c>
      <c r="D1257" s="109" t="str">
        <f ca="1">IFERROR(__xludf.DUMMYFUNCTION("""COMPUTED_VALUE"""),"B")</f>
        <v>B</v>
      </c>
      <c r="E1257" s="110" t="str">
        <f ca="1">IFERROR(__xludf.DUMMYFUNCTION("""COMPUTED_VALUE"""),"F")</f>
        <v>F</v>
      </c>
      <c r="F1257" s="110" t="str">
        <f ca="1">IFERROR(__xludf.DUMMYFUNCTION("""COMPUTED_VALUE"""),"J")</f>
        <v>J</v>
      </c>
      <c r="G1257" s="110">
        <f ca="1">IFERROR(__xludf.DUMMYFUNCTION("""COMPUTED_VALUE"""),7)</f>
        <v>7</v>
      </c>
      <c r="H1257" s="112" t="str">
        <f ca="1"/>
        <v>36.8</v>
      </c>
      <c r="I1257" s="112">
        <f ca="1"/>
        <v>36.799999999999997</v>
      </c>
    </row>
    <row r="1258" spans="1:9" ht="13.2">
      <c r="A1258" s="109" t="str">
        <f ca="1">IFERROR(__xludf.DUMMYFUNCTION("""COMPUTED_VALUE"""),"M")</f>
        <v>M</v>
      </c>
      <c r="B1258" s="108" t="str">
        <f ca="1">IFERROR(__xludf.DUMMYFUNCTION("""COMPUTED_VALUE"""),"Owen Molina Weir")</f>
        <v>Owen Molina Weir</v>
      </c>
      <c r="C1258" s="109">
        <f ca="1">IFERROR(__xludf.DUMMYFUNCTION("""COMPUTED_VALUE"""),9)</f>
        <v>9</v>
      </c>
      <c r="D1258" s="109" t="str">
        <f ca="1">IFERROR(__xludf.DUMMYFUNCTION("""COMPUTED_VALUE"""),"B")</f>
        <v>B</v>
      </c>
      <c r="E1258" s="110" t="str">
        <f ca="1">IFERROR(__xludf.DUMMYFUNCTION("""COMPUTED_VALUE"""),"F")</f>
        <v>F</v>
      </c>
      <c r="F1258" s="110" t="str">
        <f ca="1">IFERROR(__xludf.DUMMYFUNCTION("""COMPUTED_VALUE"""),"J")</f>
        <v>J</v>
      </c>
      <c r="G1258" s="110">
        <f ca="1">IFERROR(__xludf.DUMMYFUNCTION("""COMPUTED_VALUE"""),7)</f>
        <v>7</v>
      </c>
      <c r="H1258" s="112" t="str">
        <f ca="1"/>
        <v>42.7</v>
      </c>
      <c r="I1258" s="81">
        <f ca="1"/>
        <v>42.7</v>
      </c>
    </row>
    <row r="1259" spans="1:9" ht="13.2">
      <c r="A1259" s="109" t="str">
        <f ca="1">IFERROR(__xludf.DUMMYFUNCTION("""COMPUTED_VALUE"""),"M")</f>
        <v>M</v>
      </c>
      <c r="B1259" s="108" t="str">
        <f ca="1">IFERROR(__xludf.DUMMYFUNCTION("""COMPUTED_VALUE"""),"Adele Pino")</f>
        <v>Adele Pino</v>
      </c>
      <c r="C1259" s="109">
        <f ca="1">IFERROR(__xludf.DUMMYFUNCTION("""COMPUTED_VALUE"""),7)</f>
        <v>7</v>
      </c>
      <c r="D1259" s="109" t="str">
        <f ca="1">IFERROR(__xludf.DUMMYFUNCTION("""COMPUTED_VALUE"""),"G")</f>
        <v>G</v>
      </c>
      <c r="E1259" s="110" t="str">
        <f ca="1">IFERROR(__xludf.DUMMYFUNCTION("""COMPUTED_VALUE"""),"F")</f>
        <v>F</v>
      </c>
      <c r="F1259" s="110" t="str">
        <f ca="1">IFERROR(__xludf.DUMMYFUNCTION("""COMPUTED_VALUE"""),"J")</f>
        <v>J</v>
      </c>
      <c r="G1259" s="110">
        <f ca="1">IFERROR(__xludf.DUMMYFUNCTION("""COMPUTED_VALUE"""),7)</f>
        <v>7</v>
      </c>
      <c r="H1259" s="112" t="str">
        <f ca="1"/>
        <v>33.8</v>
      </c>
      <c r="I1259" s="81">
        <f ca="1"/>
        <v>33.799999999999997</v>
      </c>
    </row>
    <row r="1260" spans="1:9" ht="13.2">
      <c r="A1260" s="109" t="str">
        <f ca="1">IFERROR(__xludf.DUMMYFUNCTION("""COMPUTED_VALUE"""),"M")</f>
        <v>M</v>
      </c>
      <c r="B1260" s="108" t="str">
        <f ca="1">IFERROR(__xludf.DUMMYFUNCTION("""COMPUTED_VALUE"""),"Alaina Pisco")</f>
        <v>Alaina Pisco</v>
      </c>
      <c r="C1260" s="109">
        <f ca="1">IFERROR(__xludf.DUMMYFUNCTION("""COMPUTED_VALUE"""),7)</f>
        <v>7</v>
      </c>
      <c r="D1260" s="109" t="str">
        <f ca="1">IFERROR(__xludf.DUMMYFUNCTION("""COMPUTED_VALUE"""),"G")</f>
        <v>G</v>
      </c>
      <c r="E1260" s="110" t="str">
        <f ca="1">IFERROR(__xludf.DUMMYFUNCTION("""COMPUTED_VALUE"""),"F")</f>
        <v>F</v>
      </c>
      <c r="F1260" s="110" t="str">
        <f ca="1">IFERROR(__xludf.DUMMYFUNCTION("""COMPUTED_VALUE"""),"J")</f>
        <v>J</v>
      </c>
      <c r="G1260" s="110">
        <f ca="1">IFERROR(__xludf.DUMMYFUNCTION("""COMPUTED_VALUE"""),7)</f>
        <v>7</v>
      </c>
      <c r="H1260" s="112" t="str">
        <f ca="1"/>
        <v>33.5</v>
      </c>
      <c r="I1260" s="81">
        <f ca="1"/>
        <v>33.5</v>
      </c>
    </row>
    <row r="1261" spans="1:9" ht="13.2">
      <c r="A1261" s="109" t="str">
        <f ca="1">IFERROR(__xludf.DUMMYFUNCTION("""COMPUTED_VALUE"""),"M")</f>
        <v>M</v>
      </c>
      <c r="B1261" s="108" t="str">
        <f ca="1">IFERROR(__xludf.DUMMYFUNCTION("""COMPUTED_VALUE"""),"Annabel Rider")</f>
        <v>Annabel Rider</v>
      </c>
      <c r="C1261" s="109">
        <f ca="1">IFERROR(__xludf.DUMMYFUNCTION("""COMPUTED_VALUE"""),7)</f>
        <v>7</v>
      </c>
      <c r="D1261" s="109" t="str">
        <f ca="1">IFERROR(__xludf.DUMMYFUNCTION("""COMPUTED_VALUE"""),"G")</f>
        <v>G</v>
      </c>
      <c r="E1261" s="110" t="str">
        <f ca="1">IFERROR(__xludf.DUMMYFUNCTION("""COMPUTED_VALUE"""),"F")</f>
        <v>F</v>
      </c>
      <c r="F1261" s="110" t="str">
        <f ca="1">IFERROR(__xludf.DUMMYFUNCTION("""COMPUTED_VALUE"""),"J")</f>
        <v>J</v>
      </c>
      <c r="G1261" s="110">
        <f ca="1">IFERROR(__xludf.DUMMYFUNCTION("""COMPUTED_VALUE"""),7)</f>
        <v>7</v>
      </c>
      <c r="H1261" s="112" t="str">
        <f ca="1"/>
        <v>30.2</v>
      </c>
      <c r="I1261" s="112">
        <f ca="1"/>
        <v>30.2</v>
      </c>
    </row>
    <row r="1262" spans="1:9" ht="13.2">
      <c r="A1262" s="109" t="str">
        <f ca="1">IFERROR(__xludf.DUMMYFUNCTION("""COMPUTED_VALUE"""),"M")</f>
        <v>M</v>
      </c>
      <c r="B1262" s="108" t="str">
        <f ca="1">IFERROR(__xludf.DUMMYFUNCTION("""COMPUTED_VALUE"""),"Cara Tansey")</f>
        <v>Cara Tansey</v>
      </c>
      <c r="C1262" s="109">
        <f ca="1">IFERROR(__xludf.DUMMYFUNCTION("""COMPUTED_VALUE"""),6)</f>
        <v>6</v>
      </c>
      <c r="D1262" s="109" t="str">
        <f ca="1">IFERROR(__xludf.DUMMYFUNCTION("""COMPUTED_VALUE"""),"G")</f>
        <v>G</v>
      </c>
      <c r="E1262" s="110" t="str">
        <f ca="1">IFERROR(__xludf.DUMMYFUNCTION("""COMPUTED_VALUE"""),"F")</f>
        <v>F</v>
      </c>
      <c r="F1262" s="110" t="str">
        <f ca="1">IFERROR(__xludf.DUMMYFUNCTION("""COMPUTED_VALUE"""),"J")</f>
        <v>J</v>
      </c>
      <c r="G1262" s="110">
        <f ca="1">IFERROR(__xludf.DUMMYFUNCTION("""COMPUTED_VALUE"""),7)</f>
        <v>7</v>
      </c>
      <c r="H1262" s="112" t="str">
        <f ca="1"/>
        <v>20.6</v>
      </c>
      <c r="I1262" s="81">
        <f ca="1"/>
        <v>20.6</v>
      </c>
    </row>
    <row r="1263" spans="1:9" ht="13.2">
      <c r="A1263" s="109" t="str">
        <f ca="1">IFERROR(__xludf.DUMMYFUNCTION("""COMPUTED_VALUE"""),"M")</f>
        <v>M</v>
      </c>
      <c r="B1263" s="108" t="str">
        <f ca="1">IFERROR(__xludf.DUMMYFUNCTION("""COMPUTED_VALUE"""),"Cara Tansy")</f>
        <v>Cara Tansy</v>
      </c>
      <c r="C1263" s="109">
        <f ca="1">IFERROR(__xludf.DUMMYFUNCTION("""COMPUTED_VALUE"""),6)</f>
        <v>6</v>
      </c>
      <c r="D1263" s="109" t="str">
        <f ca="1">IFERROR(__xludf.DUMMYFUNCTION("""COMPUTED_VALUE"""),"G")</f>
        <v>G</v>
      </c>
      <c r="E1263" s="110" t="str">
        <f ca="1">IFERROR(__xludf.DUMMYFUNCTION("""COMPUTED_VALUE"""),"F")</f>
        <v>F</v>
      </c>
      <c r="F1263" s="110" t="str">
        <f ca="1">IFERROR(__xludf.DUMMYFUNCTION("""COMPUTED_VALUE"""),"J")</f>
        <v>J</v>
      </c>
      <c r="G1263" s="110">
        <f ca="1">IFERROR(__xludf.DUMMYFUNCTION("""COMPUTED_VALUE"""),7)</f>
        <v>7</v>
      </c>
      <c r="H1263" s="112" t="str">
        <f ca="1"/>
        <v/>
      </c>
      <c r="I1263" s="81" t="str">
        <f ca="1"/>
        <v/>
      </c>
    </row>
    <row r="1264" spans="1:9" ht="13.2">
      <c r="A1264" s="109" t="str">
        <f ca="1">IFERROR(__xludf.DUMMYFUNCTION("""COMPUTED_VALUE"""),"M")</f>
        <v>M</v>
      </c>
      <c r="B1264" s="108" t="str">
        <f ca="1">IFERROR(__xludf.DUMMYFUNCTION("""COMPUTED_VALUE"""),"Catherine Redington")</f>
        <v>Catherine Redington</v>
      </c>
      <c r="C1264" s="109">
        <f ca="1">IFERROR(__xludf.DUMMYFUNCTION("""COMPUTED_VALUE"""),9)</f>
        <v>9</v>
      </c>
      <c r="D1264" s="109" t="str">
        <f ca="1">IFERROR(__xludf.DUMMYFUNCTION("""COMPUTED_VALUE"""),"G")</f>
        <v>G</v>
      </c>
      <c r="E1264" s="110" t="str">
        <f ca="1">IFERROR(__xludf.DUMMYFUNCTION("""COMPUTED_VALUE"""),"F")</f>
        <v>F</v>
      </c>
      <c r="F1264" s="110" t="str">
        <f ca="1">IFERROR(__xludf.DUMMYFUNCTION("""COMPUTED_VALUE"""),"J")</f>
        <v>J</v>
      </c>
      <c r="G1264" s="110">
        <f ca="1">IFERROR(__xludf.DUMMYFUNCTION("""COMPUTED_VALUE"""),7)</f>
        <v>7</v>
      </c>
      <c r="H1264" s="112" t="str">
        <f ca="1"/>
        <v/>
      </c>
      <c r="I1264" s="81" t="str">
        <f ca="1"/>
        <v/>
      </c>
    </row>
    <row r="1265" spans="1:9" ht="13.2">
      <c r="A1265" s="109" t="str">
        <f ca="1">IFERROR(__xludf.DUMMYFUNCTION("""COMPUTED_VALUE"""),"M")</f>
        <v>M</v>
      </c>
      <c r="B1265" s="108" t="str">
        <f ca="1">IFERROR(__xludf.DUMMYFUNCTION("""COMPUTED_VALUE"""),"Catherine Rene")</f>
        <v>Catherine Rene</v>
      </c>
      <c r="C1265" s="109">
        <f ca="1">IFERROR(__xludf.DUMMYFUNCTION("""COMPUTED_VALUE"""),8)</f>
        <v>8</v>
      </c>
      <c r="D1265" s="109" t="str">
        <f ca="1">IFERROR(__xludf.DUMMYFUNCTION("""COMPUTED_VALUE"""),"G")</f>
        <v>G</v>
      </c>
      <c r="E1265" s="110" t="str">
        <f ca="1">IFERROR(__xludf.DUMMYFUNCTION("""COMPUTED_VALUE"""),"F")</f>
        <v>F</v>
      </c>
      <c r="F1265" s="110" t="str">
        <f ca="1">IFERROR(__xludf.DUMMYFUNCTION("""COMPUTED_VALUE"""),"J")</f>
        <v>J</v>
      </c>
      <c r="G1265" s="110">
        <f ca="1">IFERROR(__xludf.DUMMYFUNCTION("""COMPUTED_VALUE"""),7)</f>
        <v>7</v>
      </c>
      <c r="H1265" s="112" t="str">
        <f ca="1"/>
        <v>20</v>
      </c>
      <c r="I1265" s="81">
        <f ca="1"/>
        <v>20</v>
      </c>
    </row>
    <row r="1266" spans="1:9" ht="13.2">
      <c r="A1266" s="109" t="str">
        <f ca="1">IFERROR(__xludf.DUMMYFUNCTION("""COMPUTED_VALUE"""),"M")</f>
        <v>M</v>
      </c>
      <c r="B1266" s="108" t="str">
        <f ca="1">IFERROR(__xludf.DUMMYFUNCTION("""COMPUTED_VALUE"""),"Chloe Deng")</f>
        <v>Chloe Deng</v>
      </c>
      <c r="C1266" s="109">
        <f ca="1">IFERROR(__xludf.DUMMYFUNCTION("""COMPUTED_VALUE"""),9)</f>
        <v>9</v>
      </c>
      <c r="D1266" s="109" t="str">
        <f ca="1">IFERROR(__xludf.DUMMYFUNCTION("""COMPUTED_VALUE"""),"G")</f>
        <v>G</v>
      </c>
      <c r="E1266" s="110" t="str">
        <f ca="1">IFERROR(__xludf.DUMMYFUNCTION("""COMPUTED_VALUE"""),"F")</f>
        <v>F</v>
      </c>
      <c r="F1266" s="110" t="str">
        <f ca="1">IFERROR(__xludf.DUMMYFUNCTION("""COMPUTED_VALUE"""),"J")</f>
        <v>J</v>
      </c>
      <c r="G1266" s="110">
        <f ca="1">IFERROR(__xludf.DUMMYFUNCTION("""COMPUTED_VALUE"""),7)</f>
        <v>7</v>
      </c>
      <c r="H1266" s="112" t="str">
        <f ca="1"/>
        <v/>
      </c>
      <c r="I1266" s="81" t="str">
        <f ca="1"/>
        <v/>
      </c>
    </row>
    <row r="1267" spans="1:9" ht="13.2">
      <c r="A1267" s="109" t="str">
        <f ca="1">IFERROR(__xludf.DUMMYFUNCTION("""COMPUTED_VALUE"""),"M")</f>
        <v>M</v>
      </c>
      <c r="B1267" s="108" t="str">
        <f ca="1">IFERROR(__xludf.DUMMYFUNCTION("""COMPUTED_VALUE"""),"Claire Cashin")</f>
        <v>Claire Cashin</v>
      </c>
      <c r="C1267" s="109">
        <f ca="1">IFERROR(__xludf.DUMMYFUNCTION("""COMPUTED_VALUE"""),7)</f>
        <v>7</v>
      </c>
      <c r="D1267" s="109" t="str">
        <f ca="1">IFERROR(__xludf.DUMMYFUNCTION("""COMPUTED_VALUE"""),"G")</f>
        <v>G</v>
      </c>
      <c r="E1267" s="110" t="str">
        <f ca="1">IFERROR(__xludf.DUMMYFUNCTION("""COMPUTED_VALUE"""),"F")</f>
        <v>F</v>
      </c>
      <c r="F1267" s="110" t="str">
        <f ca="1">IFERROR(__xludf.DUMMYFUNCTION("""COMPUTED_VALUE"""),"J")</f>
        <v>J</v>
      </c>
      <c r="G1267" s="110">
        <f ca="1">IFERROR(__xludf.DUMMYFUNCTION("""COMPUTED_VALUE"""),7)</f>
        <v>7</v>
      </c>
      <c r="H1267" s="112" t="str">
        <f ca="1"/>
        <v>41</v>
      </c>
      <c r="I1267" s="81">
        <f ca="1"/>
        <v>41</v>
      </c>
    </row>
    <row r="1268" spans="1:9" ht="13.2">
      <c r="A1268" s="109" t="str">
        <f ca="1">IFERROR(__xludf.DUMMYFUNCTION("""COMPUTED_VALUE"""),"M")</f>
        <v>M</v>
      </c>
      <c r="B1268" s="108" t="str">
        <f ca="1">IFERROR(__xludf.DUMMYFUNCTION("""COMPUTED_VALUE"""),"Donna Grenias")</f>
        <v>Donna Grenias</v>
      </c>
      <c r="C1268" s="109">
        <f ca="1">IFERROR(__xludf.DUMMYFUNCTION("""COMPUTED_VALUE"""),10)</f>
        <v>10</v>
      </c>
      <c r="D1268" s="109" t="str">
        <f ca="1">IFERROR(__xludf.DUMMYFUNCTION("""COMPUTED_VALUE"""),"G")</f>
        <v>G</v>
      </c>
      <c r="E1268" s="110" t="str">
        <f ca="1">IFERROR(__xludf.DUMMYFUNCTION("""COMPUTED_VALUE"""),"F")</f>
        <v>F</v>
      </c>
      <c r="F1268" s="110" t="str">
        <f ca="1">IFERROR(__xludf.DUMMYFUNCTION("""COMPUTED_VALUE"""),"J")</f>
        <v>J</v>
      </c>
      <c r="G1268" s="110">
        <f ca="1">IFERROR(__xludf.DUMMYFUNCTION("""COMPUTED_VALUE"""),7)</f>
        <v>7</v>
      </c>
      <c r="H1268" s="112" t="str">
        <f ca="1"/>
        <v>24.65</v>
      </c>
      <c r="I1268" s="81">
        <f ca="1"/>
        <v>24.65</v>
      </c>
    </row>
    <row r="1269" spans="1:9" ht="13.2">
      <c r="A1269" s="109" t="str">
        <f ca="1">IFERROR(__xludf.DUMMYFUNCTION("""COMPUTED_VALUE"""),"M")</f>
        <v>M</v>
      </c>
      <c r="B1269" s="108" t="str">
        <f ca="1">IFERROR(__xludf.DUMMYFUNCTION("""COMPUTED_VALUE"""),"Emily Wills")</f>
        <v>Emily Wills</v>
      </c>
      <c r="C1269" s="109">
        <f ca="1">IFERROR(__xludf.DUMMYFUNCTION("""COMPUTED_VALUE"""),9)</f>
        <v>9</v>
      </c>
      <c r="D1269" s="109" t="str">
        <f ca="1">IFERROR(__xludf.DUMMYFUNCTION("""COMPUTED_VALUE"""),"G")</f>
        <v>G</v>
      </c>
      <c r="E1269" s="110" t="str">
        <f ca="1">IFERROR(__xludf.DUMMYFUNCTION("""COMPUTED_VALUE"""),"F")</f>
        <v>F</v>
      </c>
      <c r="F1269" s="110" t="str">
        <f ca="1">IFERROR(__xludf.DUMMYFUNCTION("""COMPUTED_VALUE"""),"J")</f>
        <v>J</v>
      </c>
      <c r="G1269" s="110">
        <f ca="1">IFERROR(__xludf.DUMMYFUNCTION("""COMPUTED_VALUE"""),7)</f>
        <v>7</v>
      </c>
      <c r="H1269" s="112" t="str">
        <f ca="1"/>
        <v>29</v>
      </c>
      <c r="I1269" s="81">
        <f ca="1"/>
        <v>29</v>
      </c>
    </row>
    <row r="1270" spans="1:9" ht="13.2">
      <c r="A1270" s="109" t="str">
        <f ca="1">IFERROR(__xludf.DUMMYFUNCTION("""COMPUTED_VALUE"""),"M")</f>
        <v>M</v>
      </c>
      <c r="B1270" s="108" t="str">
        <f ca="1">IFERROR(__xludf.DUMMYFUNCTION("""COMPUTED_VALUE"""),"Joanna Halper")</f>
        <v>Joanna Halper</v>
      </c>
      <c r="C1270" s="109">
        <f ca="1">IFERROR(__xludf.DUMMYFUNCTION("""COMPUTED_VALUE"""),7)</f>
        <v>7</v>
      </c>
      <c r="D1270" s="109" t="str">
        <f ca="1">IFERROR(__xludf.DUMMYFUNCTION("""COMPUTED_VALUE"""),"G")</f>
        <v>G</v>
      </c>
      <c r="E1270" s="110" t="str">
        <f ca="1">IFERROR(__xludf.DUMMYFUNCTION("""COMPUTED_VALUE"""),"F")</f>
        <v>F</v>
      </c>
      <c r="F1270" s="110" t="str">
        <f ca="1">IFERROR(__xludf.DUMMYFUNCTION("""COMPUTED_VALUE"""),"J")</f>
        <v>J</v>
      </c>
      <c r="G1270" s="110">
        <f ca="1">IFERROR(__xludf.DUMMYFUNCTION("""COMPUTED_VALUE"""),7)</f>
        <v>7</v>
      </c>
      <c r="H1270" s="112" t="str">
        <f ca="1"/>
        <v/>
      </c>
      <c r="I1270" s="81" t="str">
        <f ca="1"/>
        <v/>
      </c>
    </row>
    <row r="1271" spans="1:9" ht="13.2">
      <c r="A1271" s="109" t="str">
        <f ca="1">IFERROR(__xludf.DUMMYFUNCTION("""COMPUTED_VALUE"""),"M")</f>
        <v>M</v>
      </c>
      <c r="B1271" s="108" t="str">
        <f ca="1">IFERROR(__xludf.DUMMYFUNCTION("""COMPUTED_VALUE"""),"Juliet Tetreault")</f>
        <v>Juliet Tetreault</v>
      </c>
      <c r="C1271" s="109">
        <f ca="1">IFERROR(__xludf.DUMMYFUNCTION("""COMPUTED_VALUE"""),8)</f>
        <v>8</v>
      </c>
      <c r="D1271" s="109" t="str">
        <f ca="1">IFERROR(__xludf.DUMMYFUNCTION("""COMPUTED_VALUE"""),"G")</f>
        <v>G</v>
      </c>
      <c r="E1271" s="110" t="str">
        <f ca="1">IFERROR(__xludf.DUMMYFUNCTION("""COMPUTED_VALUE"""),"F")</f>
        <v>F</v>
      </c>
      <c r="F1271" s="110" t="str">
        <f ca="1">IFERROR(__xludf.DUMMYFUNCTION("""COMPUTED_VALUE"""),"J")</f>
        <v>J</v>
      </c>
      <c r="G1271" s="110">
        <f ca="1">IFERROR(__xludf.DUMMYFUNCTION("""COMPUTED_VALUE"""),7)</f>
        <v>7</v>
      </c>
      <c r="H1271" s="112" t="str">
        <f ca="1"/>
        <v>49.5</v>
      </c>
      <c r="I1271" s="81">
        <f ca="1"/>
        <v>49.5</v>
      </c>
    </row>
    <row r="1272" spans="1:9" ht="13.2">
      <c r="A1272" s="109" t="str">
        <f ca="1">IFERROR(__xludf.DUMMYFUNCTION("""COMPUTED_VALUE"""),"M")</f>
        <v>M</v>
      </c>
      <c r="B1272" s="108" t="str">
        <f ca="1">IFERROR(__xludf.DUMMYFUNCTION("""COMPUTED_VALUE"""),"Kate Evonuk")</f>
        <v>Kate Evonuk</v>
      </c>
      <c r="C1272" s="109">
        <f ca="1">IFERROR(__xludf.DUMMYFUNCTION("""COMPUTED_VALUE"""),10)</f>
        <v>10</v>
      </c>
      <c r="D1272" s="109" t="str">
        <f ca="1">IFERROR(__xludf.DUMMYFUNCTION("""COMPUTED_VALUE"""),"G")</f>
        <v>G</v>
      </c>
      <c r="E1272" s="110" t="str">
        <f ca="1">IFERROR(__xludf.DUMMYFUNCTION("""COMPUTED_VALUE"""),"F")</f>
        <v>F</v>
      </c>
      <c r="F1272" s="110" t="str">
        <f ca="1">IFERROR(__xludf.DUMMYFUNCTION("""COMPUTED_VALUE"""),"J")</f>
        <v>J</v>
      </c>
      <c r="G1272" s="110">
        <f ca="1">IFERROR(__xludf.DUMMYFUNCTION("""COMPUTED_VALUE"""),7)</f>
        <v>7</v>
      </c>
      <c r="H1272" s="112" t="str">
        <f ca="1"/>
        <v/>
      </c>
      <c r="I1272" s="81" t="str">
        <f ca="1"/>
        <v/>
      </c>
    </row>
    <row r="1273" spans="1:9" ht="13.2">
      <c r="A1273" s="109" t="str">
        <f ca="1">IFERROR(__xludf.DUMMYFUNCTION("""COMPUTED_VALUE"""),"M")</f>
        <v>M</v>
      </c>
      <c r="B1273" s="108" t="str">
        <f ca="1">IFERROR(__xludf.DUMMYFUNCTION("""COMPUTED_VALUE"""),"Kree Setliff")</f>
        <v>Kree Setliff</v>
      </c>
      <c r="C1273" s="109">
        <f ca="1">IFERROR(__xludf.DUMMYFUNCTION("""COMPUTED_VALUE"""),7)</f>
        <v>7</v>
      </c>
      <c r="D1273" s="109" t="str">
        <f ca="1">IFERROR(__xludf.DUMMYFUNCTION("""COMPUTED_VALUE"""),"G")</f>
        <v>G</v>
      </c>
      <c r="E1273" s="110" t="str">
        <f ca="1">IFERROR(__xludf.DUMMYFUNCTION("""COMPUTED_VALUE"""),"F")</f>
        <v>F</v>
      </c>
      <c r="F1273" s="110" t="str">
        <f ca="1">IFERROR(__xludf.DUMMYFUNCTION("""COMPUTED_VALUE"""),"J")</f>
        <v>J</v>
      </c>
      <c r="G1273" s="110">
        <f ca="1">IFERROR(__xludf.DUMMYFUNCTION("""COMPUTED_VALUE"""),7)</f>
        <v>7</v>
      </c>
      <c r="H1273" s="112" t="str">
        <f ca="1"/>
        <v>36.25</v>
      </c>
      <c r="I1273" s="81">
        <f ca="1"/>
        <v>36.25</v>
      </c>
    </row>
    <row r="1274" spans="1:9" ht="13.2">
      <c r="A1274" s="109" t="str">
        <f ca="1">IFERROR(__xludf.DUMMYFUNCTION("""COMPUTED_VALUE"""),"M")</f>
        <v>M</v>
      </c>
      <c r="B1274" s="108" t="str">
        <f ca="1">IFERROR(__xludf.DUMMYFUNCTION("""COMPUTED_VALUE"""),"Leila White")</f>
        <v>Leila White</v>
      </c>
      <c r="C1274" s="109">
        <f ca="1">IFERROR(__xludf.DUMMYFUNCTION("""COMPUTED_VALUE"""),7)</f>
        <v>7</v>
      </c>
      <c r="D1274" s="109" t="str">
        <f ca="1">IFERROR(__xludf.DUMMYFUNCTION("""COMPUTED_VALUE"""),"G")</f>
        <v>G</v>
      </c>
      <c r="E1274" s="110" t="str">
        <f ca="1">IFERROR(__xludf.DUMMYFUNCTION("""COMPUTED_VALUE"""),"F")</f>
        <v>F</v>
      </c>
      <c r="F1274" s="110" t="str">
        <f ca="1">IFERROR(__xludf.DUMMYFUNCTION("""COMPUTED_VALUE"""),"J")</f>
        <v>J</v>
      </c>
      <c r="G1274" s="110">
        <f ca="1">IFERROR(__xludf.DUMMYFUNCTION("""COMPUTED_VALUE"""),7)</f>
        <v>7</v>
      </c>
      <c r="H1274" s="112" t="str">
        <f ca="1"/>
        <v>31.25</v>
      </c>
      <c r="I1274" s="112">
        <f ca="1"/>
        <v>31.25</v>
      </c>
    </row>
    <row r="1275" spans="1:9" ht="13.2">
      <c r="A1275" s="109" t="str">
        <f ca="1">IFERROR(__xludf.DUMMYFUNCTION("""COMPUTED_VALUE"""),"M")</f>
        <v>M</v>
      </c>
      <c r="B1275" s="108" t="str">
        <f ca="1">IFERROR(__xludf.DUMMYFUNCTION("""COMPUTED_VALUE"""),"Maggie Levi")</f>
        <v>Maggie Levi</v>
      </c>
      <c r="C1275" s="109">
        <f ca="1">IFERROR(__xludf.DUMMYFUNCTION("""COMPUTED_VALUE"""),10)</f>
        <v>10</v>
      </c>
      <c r="D1275" s="109" t="str">
        <f ca="1">IFERROR(__xludf.DUMMYFUNCTION("""COMPUTED_VALUE"""),"G")</f>
        <v>G</v>
      </c>
      <c r="E1275" s="110" t="str">
        <f ca="1">IFERROR(__xludf.DUMMYFUNCTION("""COMPUTED_VALUE"""),"F")</f>
        <v>F</v>
      </c>
      <c r="F1275" s="110" t="str">
        <f ca="1">IFERROR(__xludf.DUMMYFUNCTION("""COMPUTED_VALUE"""),"J")</f>
        <v>J</v>
      </c>
      <c r="G1275" s="110">
        <f ca="1">IFERROR(__xludf.DUMMYFUNCTION("""COMPUTED_VALUE"""),7)</f>
        <v>7</v>
      </c>
      <c r="H1275" s="112" t="str">
        <f ca="1"/>
        <v/>
      </c>
      <c r="I1275" s="81" t="str">
        <f ca="1"/>
        <v/>
      </c>
    </row>
    <row r="1276" spans="1:9" ht="13.2">
      <c r="A1276" s="109" t="str">
        <f ca="1">IFERROR(__xludf.DUMMYFUNCTION("""COMPUTED_VALUE"""),"M")</f>
        <v>M</v>
      </c>
      <c r="B1276" s="108" t="str">
        <f ca="1">IFERROR(__xludf.DUMMYFUNCTION("""COMPUTED_VALUE"""),"Magnolia Johnston")</f>
        <v>Magnolia Johnston</v>
      </c>
      <c r="C1276" s="109">
        <f ca="1">IFERROR(__xludf.DUMMYFUNCTION("""COMPUTED_VALUE"""),10)</f>
        <v>10</v>
      </c>
      <c r="D1276" s="109" t="str">
        <f ca="1">IFERROR(__xludf.DUMMYFUNCTION("""COMPUTED_VALUE"""),"G")</f>
        <v>G</v>
      </c>
      <c r="E1276" s="110" t="str">
        <f ca="1">IFERROR(__xludf.DUMMYFUNCTION("""COMPUTED_VALUE"""),"F")</f>
        <v>F</v>
      </c>
      <c r="F1276" s="110" t="str">
        <f ca="1">IFERROR(__xludf.DUMMYFUNCTION("""COMPUTED_VALUE"""),"J")</f>
        <v>J</v>
      </c>
      <c r="G1276" s="110">
        <f ca="1">IFERROR(__xludf.DUMMYFUNCTION("""COMPUTED_VALUE"""),7)</f>
        <v>7</v>
      </c>
      <c r="H1276" s="112" t="str">
        <f ca="1"/>
        <v/>
      </c>
      <c r="I1276" s="81" t="str">
        <f ca="1"/>
        <v/>
      </c>
    </row>
    <row r="1277" spans="1:9" ht="13.2">
      <c r="A1277" s="109" t="str">
        <f ca="1">IFERROR(__xludf.DUMMYFUNCTION("""COMPUTED_VALUE"""),"M")</f>
        <v>M</v>
      </c>
      <c r="B1277" s="108" t="str">
        <f ca="1">IFERROR(__xludf.DUMMYFUNCTION("""COMPUTED_VALUE"""),"Maya Gonzalez")</f>
        <v>Maya Gonzalez</v>
      </c>
      <c r="C1277" s="109">
        <f ca="1">IFERROR(__xludf.DUMMYFUNCTION("""COMPUTED_VALUE"""),8)</f>
        <v>8</v>
      </c>
      <c r="D1277" s="109" t="str">
        <f ca="1">IFERROR(__xludf.DUMMYFUNCTION("""COMPUTED_VALUE"""),"G")</f>
        <v>G</v>
      </c>
      <c r="E1277" s="110" t="str">
        <f ca="1">IFERROR(__xludf.DUMMYFUNCTION("""COMPUTED_VALUE"""),"F")</f>
        <v>F</v>
      </c>
      <c r="F1277" s="110" t="str">
        <f ca="1">IFERROR(__xludf.DUMMYFUNCTION("""COMPUTED_VALUE"""),"J")</f>
        <v>J</v>
      </c>
      <c r="G1277" s="110">
        <f ca="1">IFERROR(__xludf.DUMMYFUNCTION("""COMPUTED_VALUE"""),7)</f>
        <v>7</v>
      </c>
      <c r="H1277" s="112" t="str">
        <f ca="1"/>
        <v>30.15</v>
      </c>
      <c r="I1277" s="112">
        <f ca="1"/>
        <v>30.15</v>
      </c>
    </row>
    <row r="1278" spans="1:9" ht="13.2">
      <c r="A1278" s="109" t="str">
        <f ca="1">IFERROR(__xludf.DUMMYFUNCTION("""COMPUTED_VALUE"""),"M")</f>
        <v>M</v>
      </c>
      <c r="B1278" s="108" t="str">
        <f ca="1">IFERROR(__xludf.DUMMYFUNCTION("""COMPUTED_VALUE"""),"Sophia Kemp")</f>
        <v>Sophia Kemp</v>
      </c>
      <c r="C1278" s="109">
        <f ca="1">IFERROR(__xludf.DUMMYFUNCTION("""COMPUTED_VALUE"""),10)</f>
        <v>10</v>
      </c>
      <c r="D1278" s="109" t="str">
        <f ca="1">IFERROR(__xludf.DUMMYFUNCTION("""COMPUTED_VALUE"""),"G")</f>
        <v>G</v>
      </c>
      <c r="E1278" s="110" t="str">
        <f ca="1">IFERROR(__xludf.DUMMYFUNCTION("""COMPUTED_VALUE"""),"F")</f>
        <v>F</v>
      </c>
      <c r="F1278" s="110" t="str">
        <f ca="1">IFERROR(__xludf.DUMMYFUNCTION("""COMPUTED_VALUE"""),"J")</f>
        <v>J</v>
      </c>
      <c r="G1278" s="110">
        <f ca="1">IFERROR(__xludf.DUMMYFUNCTION("""COMPUTED_VALUE"""),7)</f>
        <v>7</v>
      </c>
      <c r="H1278" s="112" t="str">
        <f ca="1"/>
        <v/>
      </c>
      <c r="I1278" s="112" t="str">
        <f ca="1"/>
        <v/>
      </c>
    </row>
    <row r="1279" spans="1:9" ht="13.2">
      <c r="A1279" s="109" t="str">
        <f ca="1">IFERROR(__xludf.DUMMYFUNCTION("""COMPUTED_VALUE"""),"M")</f>
        <v>M</v>
      </c>
      <c r="B1279" s="108" t="str">
        <f ca="1">IFERROR(__xludf.DUMMYFUNCTION("""COMPUTED_VALUE"""),"Braydon West")</f>
        <v>Braydon West</v>
      </c>
      <c r="C1279" s="109">
        <f ca="1">IFERROR(__xludf.DUMMYFUNCTION("""COMPUTED_VALUE"""),13)</f>
        <v>13</v>
      </c>
      <c r="D1279" s="109" t="str">
        <f ca="1">IFERROR(__xludf.DUMMYFUNCTION("""COMPUTED_VALUE"""),"B")</f>
        <v>B</v>
      </c>
      <c r="E1279" s="110" t="str">
        <f ca="1">IFERROR(__xludf.DUMMYFUNCTION("""COMPUTED_VALUE"""),"I")</f>
        <v>I</v>
      </c>
      <c r="F1279" s="110" t="str">
        <f ca="1">IFERROR(__xludf.DUMMYFUNCTION("""COMPUTED_VALUE"""),"S")</f>
        <v>S</v>
      </c>
      <c r="G1279" s="110">
        <f ca="1">IFERROR(__xludf.DUMMYFUNCTION("""COMPUTED_VALUE"""),7)</f>
        <v>7</v>
      </c>
      <c r="H1279" s="112" t="str">
        <f ca="1"/>
        <v/>
      </c>
      <c r="I1279" s="81" t="str">
        <f ca="1"/>
        <v/>
      </c>
    </row>
    <row r="1280" spans="1:9" ht="13.2">
      <c r="A1280" s="109" t="str">
        <f ca="1">IFERROR(__xludf.DUMMYFUNCTION("""COMPUTED_VALUE"""),"M")</f>
        <v>M</v>
      </c>
      <c r="B1280" s="108" t="str">
        <f ca="1">IFERROR(__xludf.DUMMYFUNCTION("""COMPUTED_VALUE"""),"Brenden McGinley")</f>
        <v>Brenden McGinley</v>
      </c>
      <c r="C1280" s="109">
        <f ca="1">IFERROR(__xludf.DUMMYFUNCTION("""COMPUTED_VALUE"""),13)</f>
        <v>13</v>
      </c>
      <c r="D1280" s="109" t="str">
        <f ca="1">IFERROR(__xludf.DUMMYFUNCTION("""COMPUTED_VALUE"""),"B")</f>
        <v>B</v>
      </c>
      <c r="E1280" s="110" t="str">
        <f ca="1">IFERROR(__xludf.DUMMYFUNCTION("""COMPUTED_VALUE"""),"I")</f>
        <v>I</v>
      </c>
      <c r="F1280" s="110" t="str">
        <f ca="1">IFERROR(__xludf.DUMMYFUNCTION("""COMPUTED_VALUE"""),"S")</f>
        <v>S</v>
      </c>
      <c r="G1280" s="110">
        <f ca="1">IFERROR(__xludf.DUMMYFUNCTION("""COMPUTED_VALUE"""),7)</f>
        <v>7</v>
      </c>
      <c r="H1280" s="112" t="str">
        <f ca="1"/>
        <v/>
      </c>
      <c r="I1280" s="112" t="str">
        <f ca="1"/>
        <v/>
      </c>
    </row>
    <row r="1281" spans="1:9" ht="13.2">
      <c r="A1281" s="109" t="str">
        <f ca="1">IFERROR(__xludf.DUMMYFUNCTION("""COMPUTED_VALUE"""),"M")</f>
        <v>M</v>
      </c>
      <c r="B1281" s="108" t="str">
        <f ca="1">IFERROR(__xludf.DUMMYFUNCTION("""COMPUTED_VALUE"""),"Darius VanDyck")</f>
        <v>Darius VanDyck</v>
      </c>
      <c r="C1281" s="109">
        <f ca="1">IFERROR(__xludf.DUMMYFUNCTION("""COMPUTED_VALUE"""),14)</f>
        <v>14</v>
      </c>
      <c r="D1281" s="109" t="str">
        <f ca="1">IFERROR(__xludf.DUMMYFUNCTION("""COMPUTED_VALUE"""),"B")</f>
        <v>B</v>
      </c>
      <c r="E1281" s="110" t="str">
        <f ca="1">IFERROR(__xludf.DUMMYFUNCTION("""COMPUTED_VALUE"""),"I")</f>
        <v>I</v>
      </c>
      <c r="F1281" s="110" t="str">
        <f ca="1">IFERROR(__xludf.DUMMYFUNCTION("""COMPUTED_VALUE"""),"S")</f>
        <v>S</v>
      </c>
      <c r="G1281" s="110">
        <f ca="1">IFERROR(__xludf.DUMMYFUNCTION("""COMPUTED_VALUE"""),7)</f>
        <v>7</v>
      </c>
      <c r="H1281" s="112" t="str">
        <f ca="1"/>
        <v/>
      </c>
      <c r="I1281" s="112" t="str">
        <f ca="1"/>
        <v/>
      </c>
    </row>
    <row r="1282" spans="1:9" ht="13.2">
      <c r="A1282" s="109" t="str">
        <f ca="1">IFERROR(__xludf.DUMMYFUNCTION("""COMPUTED_VALUE"""),"M")</f>
        <v>M</v>
      </c>
      <c r="B1282" s="108" t="str">
        <f ca="1">IFERROR(__xludf.DUMMYFUNCTION("""COMPUTED_VALUE"""),"Dexter Tetreault")</f>
        <v>Dexter Tetreault</v>
      </c>
      <c r="C1282" s="109">
        <f ca="1">IFERROR(__xludf.DUMMYFUNCTION("""COMPUTED_VALUE"""),13)</f>
        <v>13</v>
      </c>
      <c r="D1282" s="109" t="str">
        <f ca="1">IFERROR(__xludf.DUMMYFUNCTION("""COMPUTED_VALUE"""),"B")</f>
        <v>B</v>
      </c>
      <c r="E1282" s="110" t="str">
        <f ca="1">IFERROR(__xludf.DUMMYFUNCTION("""COMPUTED_VALUE"""),"I")</f>
        <v>I</v>
      </c>
      <c r="F1282" s="110" t="str">
        <f ca="1">IFERROR(__xludf.DUMMYFUNCTION("""COMPUTED_VALUE"""),"S")</f>
        <v>S</v>
      </c>
      <c r="G1282" s="110">
        <f ca="1">IFERROR(__xludf.DUMMYFUNCTION("""COMPUTED_VALUE"""),7)</f>
        <v>7</v>
      </c>
      <c r="H1282" s="112" t="str">
        <f ca="1"/>
        <v/>
      </c>
      <c r="I1282" s="81" t="str">
        <f ca="1"/>
        <v/>
      </c>
    </row>
    <row r="1283" spans="1:9" ht="13.2">
      <c r="A1283" s="109" t="str">
        <f ca="1">IFERROR(__xludf.DUMMYFUNCTION("""COMPUTED_VALUE"""),"M")</f>
        <v>M</v>
      </c>
      <c r="B1283" s="108" t="str">
        <f ca="1">IFERROR(__xludf.DUMMYFUNCTION("""COMPUTED_VALUE"""),"Henry Levi")</f>
        <v>Henry Levi</v>
      </c>
      <c r="C1283" s="109">
        <f ca="1">IFERROR(__xludf.DUMMYFUNCTION("""COMPUTED_VALUE"""),14)</f>
        <v>14</v>
      </c>
      <c r="D1283" s="109" t="str">
        <f ca="1">IFERROR(__xludf.DUMMYFUNCTION("""COMPUTED_VALUE"""),"B")</f>
        <v>B</v>
      </c>
      <c r="E1283" s="110" t="str">
        <f ca="1">IFERROR(__xludf.DUMMYFUNCTION("""COMPUTED_VALUE"""),"I")</f>
        <v>I</v>
      </c>
      <c r="F1283" s="110" t="str">
        <f ca="1">IFERROR(__xludf.DUMMYFUNCTION("""COMPUTED_VALUE"""),"S")</f>
        <v>S</v>
      </c>
      <c r="G1283" s="110">
        <f ca="1">IFERROR(__xludf.DUMMYFUNCTION("""COMPUTED_VALUE"""),7)</f>
        <v>7</v>
      </c>
      <c r="H1283" s="112" t="str">
        <f ca="1"/>
        <v/>
      </c>
      <c r="I1283" s="81" t="str">
        <f ca="1"/>
        <v/>
      </c>
    </row>
    <row r="1284" spans="1:9" ht="13.2">
      <c r="A1284" s="109" t="str">
        <f ca="1">IFERROR(__xludf.DUMMYFUNCTION("""COMPUTED_VALUE"""),"M")</f>
        <v>M</v>
      </c>
      <c r="B1284" s="108" t="str">
        <f ca="1">IFERROR(__xludf.DUMMYFUNCTION("""COMPUTED_VALUE"""),"Samantha Eldred")</f>
        <v>Samantha Eldred</v>
      </c>
      <c r="C1284" s="109">
        <f ca="1">IFERROR(__xludf.DUMMYFUNCTION("""COMPUTED_VALUE"""),13)</f>
        <v>13</v>
      </c>
      <c r="D1284" s="109" t="str">
        <f ca="1">IFERROR(__xludf.DUMMYFUNCTION("""COMPUTED_VALUE"""),"G")</f>
        <v>G</v>
      </c>
      <c r="E1284" s="110" t="str">
        <f ca="1">IFERROR(__xludf.DUMMYFUNCTION("""COMPUTED_VALUE"""),"I")</f>
        <v>I</v>
      </c>
      <c r="F1284" s="110" t="str">
        <f ca="1">IFERROR(__xludf.DUMMYFUNCTION("""COMPUTED_VALUE"""),"S")</f>
        <v>S</v>
      </c>
      <c r="G1284" s="110">
        <f ca="1">IFERROR(__xludf.DUMMYFUNCTION("""COMPUTED_VALUE"""),7)</f>
        <v>7</v>
      </c>
      <c r="H1284" s="112" t="str">
        <f ca="1"/>
        <v/>
      </c>
      <c r="I1284" s="81" t="str">
        <f ca="1"/>
        <v/>
      </c>
    </row>
    <row r="1285" spans="1:9" ht="13.2">
      <c r="A1285" s="109" t="str">
        <f ca="1">IFERROR(__xludf.DUMMYFUNCTION("""COMPUTED_VALUE"""),"M")</f>
        <v>M</v>
      </c>
      <c r="B1285" s="108" t="str">
        <f ca="1">IFERROR(__xludf.DUMMYFUNCTION("""COMPUTED_VALUE"""),"Susan Wang Andera")</f>
        <v>Susan Wang Andera</v>
      </c>
      <c r="C1285" s="109">
        <f ca="1">IFERROR(__xludf.DUMMYFUNCTION("""COMPUTED_VALUE"""),13)</f>
        <v>13</v>
      </c>
      <c r="D1285" s="109" t="str">
        <f ca="1">IFERROR(__xludf.DUMMYFUNCTION("""COMPUTED_VALUE"""),"G")</f>
        <v>G</v>
      </c>
      <c r="E1285" s="110" t="str">
        <f ca="1">IFERROR(__xludf.DUMMYFUNCTION("""COMPUTED_VALUE"""),"I")</f>
        <v>I</v>
      </c>
      <c r="F1285" s="110" t="str">
        <f ca="1">IFERROR(__xludf.DUMMYFUNCTION("""COMPUTED_VALUE"""),"S")</f>
        <v>S</v>
      </c>
      <c r="G1285" s="110">
        <f ca="1">IFERROR(__xludf.DUMMYFUNCTION("""COMPUTED_VALUE"""),7)</f>
        <v>7</v>
      </c>
      <c r="H1285" s="112" t="str">
        <f ca="1"/>
        <v>72.05</v>
      </c>
      <c r="I1285" s="112">
        <f ca="1"/>
        <v>72.05</v>
      </c>
    </row>
    <row r="1286" spans="1:9" ht="13.2">
      <c r="A1286" s="109" t="str">
        <f ca="1">IFERROR(__xludf.DUMMYFUNCTION("""COMPUTED_VALUE"""),"M")</f>
        <v>M</v>
      </c>
      <c r="B1286" s="108" t="str">
        <f ca="1">IFERROR(__xludf.DUMMYFUNCTION("""COMPUTED_VALUE"""),"Alannah Murphy")</f>
        <v>Alannah Murphy</v>
      </c>
      <c r="C1286" s="109">
        <f ca="1">IFERROR(__xludf.DUMMYFUNCTION("""COMPUTED_VALUE"""),11)</f>
        <v>11</v>
      </c>
      <c r="D1286" s="109" t="str">
        <f ca="1">IFERROR(__xludf.DUMMYFUNCTION("""COMPUTED_VALUE"""),"G")</f>
        <v>G</v>
      </c>
      <c r="E1286" s="110" t="str">
        <f ca="1">IFERROR(__xludf.DUMMYFUNCTION("""COMPUTED_VALUE"""),"J")</f>
        <v>J</v>
      </c>
      <c r="F1286" s="110" t="str">
        <f ca="1">IFERROR(__xludf.DUMMYFUNCTION("""COMPUTED_VALUE"""),"I")</f>
        <v>I</v>
      </c>
      <c r="G1286" s="110">
        <f ca="1">IFERROR(__xludf.DUMMYFUNCTION("""COMPUTED_VALUE"""),7)</f>
        <v>7</v>
      </c>
      <c r="H1286" s="112" t="str">
        <f ca="1"/>
        <v>67.75</v>
      </c>
      <c r="I1286" s="112">
        <f ca="1"/>
        <v>67.75</v>
      </c>
    </row>
    <row r="1287" spans="1:9" ht="13.2">
      <c r="A1287" s="109" t="str">
        <f ca="1">IFERROR(__xludf.DUMMYFUNCTION("""COMPUTED_VALUE"""),"M")</f>
        <v>M</v>
      </c>
      <c r="B1287" s="108" t="str">
        <f ca="1">IFERROR(__xludf.DUMMYFUNCTION("""COMPUTED_VALUE"""),"Annabel Kemp")</f>
        <v>Annabel Kemp</v>
      </c>
      <c r="C1287" s="109">
        <f ca="1">IFERROR(__xludf.DUMMYFUNCTION("""COMPUTED_VALUE"""),12)</f>
        <v>12</v>
      </c>
      <c r="D1287" s="109" t="str">
        <f ca="1">IFERROR(__xludf.DUMMYFUNCTION("""COMPUTED_VALUE"""),"G")</f>
        <v>G</v>
      </c>
      <c r="E1287" s="110" t="str">
        <f ca="1">IFERROR(__xludf.DUMMYFUNCTION("""COMPUTED_VALUE"""),"J")</f>
        <v>J</v>
      </c>
      <c r="F1287" s="110" t="str">
        <f ca="1">IFERROR(__xludf.DUMMYFUNCTION("""COMPUTED_VALUE"""),"I")</f>
        <v>I</v>
      </c>
      <c r="G1287" s="110">
        <f ca="1">IFERROR(__xludf.DUMMYFUNCTION("""COMPUTED_VALUE"""),7)</f>
        <v>7</v>
      </c>
      <c r="H1287" s="112" t="str">
        <f ca="1"/>
        <v>55</v>
      </c>
      <c r="I1287" s="112">
        <f ca="1"/>
        <v>55</v>
      </c>
    </row>
    <row r="1288" spans="1:9" ht="13.2">
      <c r="A1288" s="109" t="str">
        <f ca="1">IFERROR(__xludf.DUMMYFUNCTION("""COMPUTED_VALUE"""),"M")</f>
        <v>M</v>
      </c>
      <c r="B1288" s="108" t="str">
        <f ca="1">IFERROR(__xludf.DUMMYFUNCTION("""COMPUTED_VALUE"""),"Charlotte Menge")</f>
        <v>Charlotte Menge</v>
      </c>
      <c r="C1288" s="109">
        <f ca="1">IFERROR(__xludf.DUMMYFUNCTION("""COMPUTED_VALUE"""),11)</f>
        <v>11</v>
      </c>
      <c r="D1288" s="109" t="str">
        <f ca="1">IFERROR(__xludf.DUMMYFUNCTION("""COMPUTED_VALUE"""),"G")</f>
        <v>G</v>
      </c>
      <c r="E1288" s="110" t="str">
        <f ca="1">IFERROR(__xludf.DUMMYFUNCTION("""COMPUTED_VALUE"""),"J")</f>
        <v>J</v>
      </c>
      <c r="F1288" s="110" t="str">
        <f ca="1">IFERROR(__xludf.DUMMYFUNCTION("""COMPUTED_VALUE"""),"I")</f>
        <v>I</v>
      </c>
      <c r="G1288" s="110">
        <f ca="1">IFERROR(__xludf.DUMMYFUNCTION("""COMPUTED_VALUE"""),7)</f>
        <v>7</v>
      </c>
      <c r="H1288" s="112" t="str">
        <f ca="1"/>
        <v/>
      </c>
      <c r="I1288" s="81" t="str">
        <f ca="1"/>
        <v/>
      </c>
    </row>
    <row r="1289" spans="1:9" ht="13.2">
      <c r="A1289" s="109" t="str">
        <f ca="1">IFERROR(__xludf.DUMMYFUNCTION("""COMPUTED_VALUE"""),"M")</f>
        <v>M</v>
      </c>
      <c r="B1289" s="108" t="str">
        <f ca="1">IFERROR(__xludf.DUMMYFUNCTION("""COMPUTED_VALUE"""),"Emery Mize")</f>
        <v>Emery Mize</v>
      </c>
      <c r="C1289" s="109">
        <f ca="1">IFERROR(__xludf.DUMMYFUNCTION("""COMPUTED_VALUE"""),11)</f>
        <v>11</v>
      </c>
      <c r="D1289" s="109" t="str">
        <f ca="1">IFERROR(__xludf.DUMMYFUNCTION("""COMPUTED_VALUE"""),"G")</f>
        <v>G</v>
      </c>
      <c r="E1289" s="110" t="str">
        <f ca="1">IFERROR(__xludf.DUMMYFUNCTION("""COMPUTED_VALUE"""),"J")</f>
        <v>J</v>
      </c>
      <c r="F1289" s="110" t="str">
        <f ca="1">IFERROR(__xludf.DUMMYFUNCTION("""COMPUTED_VALUE"""),"I")</f>
        <v>I</v>
      </c>
      <c r="G1289" s="110">
        <f ca="1">IFERROR(__xludf.DUMMYFUNCTION("""COMPUTED_VALUE"""),7)</f>
        <v>7</v>
      </c>
      <c r="H1289" s="112" t="str">
        <f ca="1"/>
        <v/>
      </c>
      <c r="I1289" s="112" t="str">
        <f ca="1"/>
        <v/>
      </c>
    </row>
    <row r="1290" spans="1:9" ht="13.2">
      <c r="A1290" s="109" t="str">
        <f ca="1">IFERROR(__xludf.DUMMYFUNCTION("""COMPUTED_VALUE"""),"M")</f>
        <v>M</v>
      </c>
      <c r="B1290" s="108" t="str">
        <f ca="1">IFERROR(__xludf.DUMMYFUNCTION("""COMPUTED_VALUE"""),"Eva Schwenzer")</f>
        <v>Eva Schwenzer</v>
      </c>
      <c r="C1290" s="109">
        <f ca="1">IFERROR(__xludf.DUMMYFUNCTION("""COMPUTED_VALUE"""),11)</f>
        <v>11</v>
      </c>
      <c r="D1290" s="109" t="str">
        <f ca="1">IFERROR(__xludf.DUMMYFUNCTION("""COMPUTED_VALUE"""),"G")</f>
        <v>G</v>
      </c>
      <c r="E1290" s="110" t="str">
        <f ca="1">IFERROR(__xludf.DUMMYFUNCTION("""COMPUTED_VALUE"""),"J")</f>
        <v>J</v>
      </c>
      <c r="F1290" s="110" t="str">
        <f ca="1">IFERROR(__xludf.DUMMYFUNCTION("""COMPUTED_VALUE"""),"I")</f>
        <v>I</v>
      </c>
      <c r="G1290" s="110">
        <f ca="1">IFERROR(__xludf.DUMMYFUNCTION("""COMPUTED_VALUE"""),7)</f>
        <v>7</v>
      </c>
      <c r="H1290" s="112" t="str">
        <f ca="1"/>
        <v/>
      </c>
      <c r="I1290" s="112" t="str">
        <f ca="1"/>
        <v/>
      </c>
    </row>
    <row r="1291" spans="1:9" ht="13.2">
      <c r="A1291" s="109" t="str">
        <f ca="1">IFERROR(__xludf.DUMMYFUNCTION("""COMPUTED_VALUE"""),"M")</f>
        <v>M</v>
      </c>
      <c r="B1291" s="108" t="str">
        <f ca="1">IFERROR(__xludf.DUMMYFUNCTION("""COMPUTED_VALUE"""),"Isla McRobbie")</f>
        <v>Isla McRobbie</v>
      </c>
      <c r="C1291" s="109">
        <f ca="1">IFERROR(__xludf.DUMMYFUNCTION("""COMPUTED_VALUE"""),11)</f>
        <v>11</v>
      </c>
      <c r="D1291" s="109" t="str">
        <f ca="1">IFERROR(__xludf.DUMMYFUNCTION("""COMPUTED_VALUE"""),"G")</f>
        <v>G</v>
      </c>
      <c r="E1291" s="110" t="str">
        <f ca="1">IFERROR(__xludf.DUMMYFUNCTION("""COMPUTED_VALUE"""),"J")</f>
        <v>J</v>
      </c>
      <c r="F1291" s="110" t="str">
        <f ca="1">IFERROR(__xludf.DUMMYFUNCTION("""COMPUTED_VALUE"""),"I")</f>
        <v>I</v>
      </c>
      <c r="G1291" s="110">
        <f ca="1">IFERROR(__xludf.DUMMYFUNCTION("""COMPUTED_VALUE"""),7)</f>
        <v>7</v>
      </c>
      <c r="H1291" s="112" t="str">
        <f ca="1"/>
        <v/>
      </c>
      <c r="I1291" s="81" t="str">
        <f ca="1"/>
        <v/>
      </c>
    </row>
    <row r="1292" spans="1:9" ht="13.2">
      <c r="A1292" s="109" t="str">
        <f ca="1">IFERROR(__xludf.DUMMYFUNCTION("""COMPUTED_VALUE"""),"M")</f>
        <v>M</v>
      </c>
      <c r="B1292" s="108" t="str">
        <f ca="1">IFERROR(__xludf.DUMMYFUNCTION("""COMPUTED_VALUE"""),"Lila Hollerieth")</f>
        <v>Lila Hollerieth</v>
      </c>
      <c r="C1292" s="109">
        <f ca="1">IFERROR(__xludf.DUMMYFUNCTION("""COMPUTED_VALUE"""),11)</f>
        <v>11</v>
      </c>
      <c r="D1292" s="109" t="str">
        <f ca="1">IFERROR(__xludf.DUMMYFUNCTION("""COMPUTED_VALUE"""),"G")</f>
        <v>G</v>
      </c>
      <c r="E1292" s="110" t="str">
        <f ca="1">IFERROR(__xludf.DUMMYFUNCTION("""COMPUTED_VALUE"""),"J")</f>
        <v>J</v>
      </c>
      <c r="F1292" s="110" t="str">
        <f ca="1">IFERROR(__xludf.DUMMYFUNCTION("""COMPUTED_VALUE"""),"I")</f>
        <v>I</v>
      </c>
      <c r="G1292" s="110">
        <f ca="1">IFERROR(__xludf.DUMMYFUNCTION("""COMPUTED_VALUE"""),7)</f>
        <v>7</v>
      </c>
      <c r="H1292" s="112" t="str">
        <f ca="1"/>
        <v/>
      </c>
      <c r="I1292" s="81" t="str">
        <f ca="1"/>
        <v/>
      </c>
    </row>
    <row r="1293" spans="1:9" ht="13.2">
      <c r="A1293" s="109" t="str">
        <f ca="1">IFERROR(__xludf.DUMMYFUNCTION("""COMPUTED_VALUE"""),"M")</f>
        <v>M</v>
      </c>
      <c r="B1293" s="108" t="str">
        <f ca="1">IFERROR(__xludf.DUMMYFUNCTION("""COMPUTED_VALUE"""),"Lydia Tetreault")</f>
        <v>Lydia Tetreault</v>
      </c>
      <c r="C1293" s="109">
        <f ca="1">IFERROR(__xludf.DUMMYFUNCTION("""COMPUTED_VALUE"""),11)</f>
        <v>11</v>
      </c>
      <c r="D1293" s="109" t="str">
        <f ca="1">IFERROR(__xludf.DUMMYFUNCTION("""COMPUTED_VALUE"""),"G")</f>
        <v>G</v>
      </c>
      <c r="E1293" s="110" t="str">
        <f ca="1">IFERROR(__xludf.DUMMYFUNCTION("""COMPUTED_VALUE"""),"J")</f>
        <v>J</v>
      </c>
      <c r="F1293" s="110" t="str">
        <f ca="1">IFERROR(__xludf.DUMMYFUNCTION("""COMPUTED_VALUE"""),"I")</f>
        <v>I</v>
      </c>
      <c r="G1293" s="110">
        <f ca="1">IFERROR(__xludf.DUMMYFUNCTION("""COMPUTED_VALUE"""),7)</f>
        <v>7</v>
      </c>
      <c r="H1293" s="112" t="str">
        <f ca="1"/>
        <v/>
      </c>
      <c r="I1293" s="81" t="str">
        <f ca="1"/>
        <v/>
      </c>
    </row>
    <row r="1294" spans="1:9" ht="13.2">
      <c r="A1294" s="109" t="str">
        <f ca="1">IFERROR(__xludf.DUMMYFUNCTION("""COMPUTED_VALUE"""),"M")</f>
        <v>M</v>
      </c>
      <c r="B1294" s="108" t="str">
        <f ca="1">IFERROR(__xludf.DUMMYFUNCTION("""COMPUTED_VALUE"""),"Meghan McGinley")</f>
        <v>Meghan McGinley</v>
      </c>
      <c r="C1294" s="109">
        <f ca="1">IFERROR(__xludf.DUMMYFUNCTION("""COMPUTED_VALUE"""),11)</f>
        <v>11</v>
      </c>
      <c r="D1294" s="109" t="str">
        <f ca="1">IFERROR(__xludf.DUMMYFUNCTION("""COMPUTED_VALUE"""),"G")</f>
        <v>G</v>
      </c>
      <c r="E1294" s="110" t="str">
        <f ca="1">IFERROR(__xludf.DUMMYFUNCTION("""COMPUTED_VALUE"""),"J")</f>
        <v>J</v>
      </c>
      <c r="F1294" s="110" t="str">
        <f ca="1">IFERROR(__xludf.DUMMYFUNCTION("""COMPUTED_VALUE"""),"I")</f>
        <v>I</v>
      </c>
      <c r="G1294" s="110">
        <f ca="1">IFERROR(__xludf.DUMMYFUNCTION("""COMPUTED_VALUE"""),7)</f>
        <v>7</v>
      </c>
      <c r="H1294" s="112" t="str">
        <f ca="1"/>
        <v/>
      </c>
      <c r="I1294" s="81" t="str">
        <f ca="1"/>
        <v/>
      </c>
    </row>
    <row r="1295" spans="1:9" ht="13.2">
      <c r="A1295" s="109" t="str">
        <f ca="1">IFERROR(__xludf.DUMMYFUNCTION("""COMPUTED_VALUE"""),"M")</f>
        <v>M</v>
      </c>
      <c r="B1295" s="108" t="str">
        <f ca="1">IFERROR(__xludf.DUMMYFUNCTION("""COMPUTED_VALUE"""),"Payton Kiessling")</f>
        <v>Payton Kiessling</v>
      </c>
      <c r="C1295" s="109">
        <f ca="1">IFERROR(__xludf.DUMMYFUNCTION("""COMPUTED_VALUE"""),11)</f>
        <v>11</v>
      </c>
      <c r="D1295" s="109" t="str">
        <f ca="1">IFERROR(__xludf.DUMMYFUNCTION("""COMPUTED_VALUE"""),"G")</f>
        <v>G</v>
      </c>
      <c r="E1295" s="110" t="str">
        <f ca="1">IFERROR(__xludf.DUMMYFUNCTION("""COMPUTED_VALUE"""),"J")</f>
        <v>J</v>
      </c>
      <c r="F1295" s="110" t="str">
        <f ca="1">IFERROR(__xludf.DUMMYFUNCTION("""COMPUTED_VALUE"""),"I")</f>
        <v>I</v>
      </c>
      <c r="G1295" s="110">
        <f ca="1">IFERROR(__xludf.DUMMYFUNCTION("""COMPUTED_VALUE"""),7)</f>
        <v>7</v>
      </c>
      <c r="H1295" s="112" t="str">
        <f ca="1"/>
        <v/>
      </c>
      <c r="I1295" s="81" t="str">
        <f ca="1"/>
        <v/>
      </c>
    </row>
    <row r="1296" spans="1:9" ht="13.2">
      <c r="A1296" s="109" t="str">
        <f ca="1">IFERROR(__xludf.DUMMYFUNCTION("""COMPUTED_VALUE"""),"M")</f>
        <v>M</v>
      </c>
      <c r="B1296" s="108" t="str">
        <f ca="1">IFERROR(__xludf.DUMMYFUNCTION("""COMPUTED_VALUE"""),"Stina Nystrom")</f>
        <v>Stina Nystrom</v>
      </c>
      <c r="C1296" s="109">
        <f ca="1">IFERROR(__xludf.DUMMYFUNCTION("""COMPUTED_VALUE"""),11)</f>
        <v>11</v>
      </c>
      <c r="D1296" s="109" t="str">
        <f ca="1">IFERROR(__xludf.DUMMYFUNCTION("""COMPUTED_VALUE"""),"G")</f>
        <v>G</v>
      </c>
      <c r="E1296" s="110" t="str">
        <f ca="1">IFERROR(__xludf.DUMMYFUNCTION("""COMPUTED_VALUE"""),"J")</f>
        <v>J</v>
      </c>
      <c r="F1296" s="110" t="str">
        <f ca="1">IFERROR(__xludf.DUMMYFUNCTION("""COMPUTED_VALUE"""),"I")</f>
        <v>I</v>
      </c>
      <c r="G1296" s="110">
        <f ca="1">IFERROR(__xludf.DUMMYFUNCTION("""COMPUTED_VALUE"""),7)</f>
        <v>7</v>
      </c>
      <c r="H1296" s="112" t="str">
        <f ca="1"/>
        <v/>
      </c>
      <c r="I1296" s="81" t="str">
        <f ca="1"/>
        <v/>
      </c>
    </row>
    <row r="1297" spans="1:9" ht="13.2">
      <c r="A1297" s="109" t="str">
        <f ca="1">IFERROR(__xludf.DUMMYFUNCTION("""COMPUTED_VALUE"""),"M")</f>
        <v>M</v>
      </c>
      <c r="B1297" s="108" t="str">
        <f ca="1">IFERROR(__xludf.DUMMYFUNCTION("""COMPUTED_VALUE"""),"Cyril Rudnev")</f>
        <v>Cyril Rudnev</v>
      </c>
      <c r="C1297" s="109">
        <f ca="1">IFERROR(__xludf.DUMMYFUNCTION("""COMPUTED_VALUE"""),17)</f>
        <v>17</v>
      </c>
      <c r="D1297" s="109" t="str">
        <f ca="1">IFERROR(__xludf.DUMMYFUNCTION("""COMPUTED_VALUE"""),"B")</f>
        <v>B</v>
      </c>
      <c r="E1297" s="110" t="str">
        <f ca="1">IFERROR(__xludf.DUMMYFUNCTION("""COMPUTED_VALUE"""),"S")</f>
        <v>S</v>
      </c>
      <c r="F1297" s="110" t="str">
        <f ca="1">IFERROR(__xludf.DUMMYFUNCTION("""COMPUTED_VALUE"""),"S")</f>
        <v>S</v>
      </c>
      <c r="G1297" s="110">
        <f ca="1">IFERROR(__xludf.DUMMYFUNCTION("""COMPUTED_VALUE"""),7)</f>
        <v>7</v>
      </c>
      <c r="H1297" s="112" t="str">
        <f ca="1"/>
        <v/>
      </c>
      <c r="I1297" s="81" t="str">
        <f ca="1"/>
        <v/>
      </c>
    </row>
    <row r="1298" spans="1:9" ht="13.2">
      <c r="A1298" s="109" t="str">
        <f ca="1">IFERROR(__xludf.DUMMYFUNCTION("""COMPUTED_VALUE"""),"M")</f>
        <v>M</v>
      </c>
      <c r="B1298" s="108" t="str">
        <f ca="1">IFERROR(__xludf.DUMMYFUNCTION("""COMPUTED_VALUE"""),"Eian Murphy")</f>
        <v>Eian Murphy</v>
      </c>
      <c r="C1298" s="109">
        <f ca="1">IFERROR(__xludf.DUMMYFUNCTION("""COMPUTED_VALUE"""),16)</f>
        <v>16</v>
      </c>
      <c r="D1298" s="109" t="str">
        <f ca="1">IFERROR(__xludf.DUMMYFUNCTION("""COMPUTED_VALUE"""),"B")</f>
        <v>B</v>
      </c>
      <c r="E1298" s="110" t="str">
        <f ca="1">IFERROR(__xludf.DUMMYFUNCTION("""COMPUTED_VALUE"""),"S")</f>
        <v>S</v>
      </c>
      <c r="F1298" s="110" t="str">
        <f ca="1">IFERROR(__xludf.DUMMYFUNCTION("""COMPUTED_VALUE"""),"S")</f>
        <v>S</v>
      </c>
      <c r="G1298" s="110">
        <f ca="1">IFERROR(__xludf.DUMMYFUNCTION("""COMPUTED_VALUE"""),7)</f>
        <v>7</v>
      </c>
      <c r="H1298" s="112" t="str">
        <f ca="1"/>
        <v/>
      </c>
      <c r="I1298" s="112" t="str">
        <f ca="1"/>
        <v/>
      </c>
    </row>
    <row r="1299" spans="1:9" ht="13.2">
      <c r="A1299" s="109" t="str">
        <f ca="1">IFERROR(__xludf.DUMMYFUNCTION("""COMPUTED_VALUE"""),"M")</f>
        <v>M</v>
      </c>
      <c r="B1299" s="108" t="str">
        <f ca="1">IFERROR(__xludf.DUMMYFUNCTION("""COMPUTED_VALUE"""),"Rohan McCarthy")</f>
        <v>Rohan McCarthy</v>
      </c>
      <c r="C1299" s="109">
        <f ca="1">IFERROR(__xludf.DUMMYFUNCTION("""COMPUTED_VALUE"""),16)</f>
        <v>16</v>
      </c>
      <c r="D1299" s="109" t="str">
        <f ca="1">IFERROR(__xludf.DUMMYFUNCTION("""COMPUTED_VALUE"""),"B")</f>
        <v>B</v>
      </c>
      <c r="E1299" s="110" t="str">
        <f ca="1">IFERROR(__xludf.DUMMYFUNCTION("""COMPUTED_VALUE"""),"S")</f>
        <v>S</v>
      </c>
      <c r="F1299" s="110" t="str">
        <f ca="1">IFERROR(__xludf.DUMMYFUNCTION("""COMPUTED_VALUE"""),"S")</f>
        <v>S</v>
      </c>
      <c r="G1299" s="110">
        <f ca="1">IFERROR(__xludf.DUMMYFUNCTION("""COMPUTED_VALUE"""),7)</f>
        <v>7</v>
      </c>
      <c r="H1299" s="112" t="str">
        <f ca="1"/>
        <v/>
      </c>
      <c r="I1299" s="81" t="str">
        <f ca="1"/>
        <v/>
      </c>
    </row>
    <row r="1300" spans="1:9" ht="13.2">
      <c r="A1300" s="109" t="str">
        <f ca="1">IFERROR(__xludf.DUMMYFUNCTION("""COMPUTED_VALUE"""),"M")</f>
        <v>M</v>
      </c>
      <c r="B1300" s="108" t="str">
        <f ca="1">IFERROR(__xludf.DUMMYFUNCTION("""COMPUTED_VALUE"""),"Sally Harrington")</f>
        <v>Sally Harrington</v>
      </c>
      <c r="C1300" s="109">
        <f ca="1">IFERROR(__xludf.DUMMYFUNCTION("""COMPUTED_VALUE"""),16)</f>
        <v>16</v>
      </c>
      <c r="D1300" s="109" t="str">
        <f ca="1">IFERROR(__xludf.DUMMYFUNCTION("""COMPUTED_VALUE"""),"G")</f>
        <v>G</v>
      </c>
      <c r="E1300" s="110" t="str">
        <f ca="1">IFERROR(__xludf.DUMMYFUNCTION("""COMPUTED_VALUE"""),"S")</f>
        <v>S</v>
      </c>
      <c r="F1300" s="110" t="str">
        <f ca="1">IFERROR(__xludf.DUMMYFUNCTION("""COMPUTED_VALUE"""),"S")</f>
        <v>S</v>
      </c>
      <c r="G1300" s="110">
        <f ca="1">IFERROR(__xludf.DUMMYFUNCTION("""COMPUTED_VALUE"""),7)</f>
        <v>7</v>
      </c>
      <c r="H1300" s="112" t="str">
        <f ca="1"/>
        <v/>
      </c>
      <c r="I1300" s="81" t="str">
        <f ca="1"/>
        <v/>
      </c>
    </row>
    <row r="1301" spans="1:9" ht="13.2">
      <c r="A1301" s="109" t="str">
        <f ca="1">IFERROR(__xludf.DUMMYFUNCTION("""COMPUTED_VALUE"""),"M")</f>
        <v>M</v>
      </c>
      <c r="B1301" s="108" t="str">
        <f ca="1">IFERROR(__xludf.DUMMYFUNCTION("""COMPUTED_VALUE"""),"Sammy McKnight")</f>
        <v>Sammy McKnight</v>
      </c>
      <c r="C1301" s="109">
        <f ca="1">IFERROR(__xludf.DUMMYFUNCTION("""COMPUTED_VALUE"""),16)</f>
        <v>16</v>
      </c>
      <c r="D1301" s="109" t="str">
        <f ca="1">IFERROR(__xludf.DUMMYFUNCTION("""COMPUTED_VALUE"""),"G")</f>
        <v>G</v>
      </c>
      <c r="E1301" s="110" t="str">
        <f ca="1">IFERROR(__xludf.DUMMYFUNCTION("""COMPUTED_VALUE"""),"S")</f>
        <v>S</v>
      </c>
      <c r="F1301" s="110" t="str">
        <f ca="1">IFERROR(__xludf.DUMMYFUNCTION("""COMPUTED_VALUE"""),"S")</f>
        <v>S</v>
      </c>
      <c r="G1301" s="110">
        <f ca="1">IFERROR(__xludf.DUMMYFUNCTION("""COMPUTED_VALUE"""),7)</f>
        <v>7</v>
      </c>
      <c r="H1301" s="112" t="str">
        <f ca="1"/>
        <v/>
      </c>
      <c r="I1301" s="112" t="str">
        <f ca="1"/>
        <v/>
      </c>
    </row>
    <row r="1302" spans="1:9" ht="13.2">
      <c r="A1302" s="109" t="str">
        <f ca="1">IFERROR(__xludf.DUMMYFUNCTION("""COMPUTED_VALUE"""),"M")</f>
        <v>M</v>
      </c>
      <c r="B1302" s="108" t="str">
        <f ca="1">IFERROR(__xludf.DUMMYFUNCTION("""COMPUTED_VALUE"""),"Sofia Nystrom")</f>
        <v>Sofia Nystrom</v>
      </c>
      <c r="C1302" s="109">
        <f ca="1">IFERROR(__xludf.DUMMYFUNCTION("""COMPUTED_VALUE"""),15)</f>
        <v>15</v>
      </c>
      <c r="D1302" s="109" t="str">
        <f ca="1">IFERROR(__xludf.DUMMYFUNCTION("""COMPUTED_VALUE"""),"G")</f>
        <v>G</v>
      </c>
      <c r="E1302" s="110" t="str">
        <f ca="1">IFERROR(__xludf.DUMMYFUNCTION("""COMPUTED_VALUE"""),"S")</f>
        <v>S</v>
      </c>
      <c r="F1302" s="110" t="str">
        <f ca="1">IFERROR(__xludf.DUMMYFUNCTION("""COMPUTED_VALUE"""),"S")</f>
        <v>S</v>
      </c>
      <c r="G1302" s="110">
        <f ca="1">IFERROR(__xludf.DUMMYFUNCTION("""COMPUTED_VALUE"""),7)</f>
        <v>7</v>
      </c>
      <c r="H1302" s="112" t="str">
        <f ca="1"/>
        <v/>
      </c>
      <c r="I1302" s="112" t="str">
        <f ca="1"/>
        <v/>
      </c>
    </row>
    <row r="1303" spans="1:9" ht="13.2">
      <c r="A1303" s="109" t="str">
        <f ca="1">IFERROR(__xludf.DUMMYFUNCTION("""COMPUTED_VALUE"""),"MHC")</f>
        <v>MHC</v>
      </c>
      <c r="B1303" s="108" t="str">
        <f ca="1">IFERROR(__xludf.DUMMYFUNCTION("""COMPUTED_VALUE"""),"Austin Lant")</f>
        <v>Austin Lant</v>
      </c>
      <c r="C1303" s="109">
        <f ca="1">IFERROR(__xludf.DUMMYFUNCTION("""COMPUTED_VALUE"""),9)</f>
        <v>9</v>
      </c>
      <c r="D1303" s="109" t="str">
        <f ca="1">IFERROR(__xludf.DUMMYFUNCTION("""COMPUTED_VALUE"""),"B")</f>
        <v>B</v>
      </c>
      <c r="E1303" s="110" t="str">
        <f ca="1">IFERROR(__xludf.DUMMYFUNCTION("""COMPUTED_VALUE"""),"F")</f>
        <v>F</v>
      </c>
      <c r="F1303" s="110" t="str">
        <f ca="1">IFERROR(__xludf.DUMMYFUNCTION("""COMPUTED_VALUE"""),"J")</f>
        <v>J</v>
      </c>
      <c r="G1303" s="110">
        <f ca="1">IFERROR(__xludf.DUMMYFUNCTION("""COMPUTED_VALUE"""),2)</f>
        <v>2</v>
      </c>
      <c r="H1303" s="112" t="str">
        <f ca="1"/>
        <v/>
      </c>
      <c r="I1303" s="81" t="str">
        <f ca="1"/>
        <v/>
      </c>
    </row>
    <row r="1304" spans="1:9" ht="13.2">
      <c r="A1304" s="109" t="str">
        <f ca="1">IFERROR(__xludf.DUMMYFUNCTION("""COMPUTED_VALUE"""),"MHC")</f>
        <v>MHC</v>
      </c>
      <c r="B1304" s="108" t="str">
        <f ca="1">IFERROR(__xludf.DUMMYFUNCTION("""COMPUTED_VALUE"""),"Ben Carrado")</f>
        <v>Ben Carrado</v>
      </c>
      <c r="C1304" s="109">
        <f ca="1">IFERROR(__xludf.DUMMYFUNCTION("""COMPUTED_VALUE"""),6)</f>
        <v>6</v>
      </c>
      <c r="D1304" s="109" t="str">
        <f ca="1">IFERROR(__xludf.DUMMYFUNCTION("""COMPUTED_VALUE"""),"B")</f>
        <v>B</v>
      </c>
      <c r="E1304" s="110" t="str">
        <f ca="1">IFERROR(__xludf.DUMMYFUNCTION("""COMPUTED_VALUE"""),"F")</f>
        <v>F</v>
      </c>
      <c r="F1304" s="110" t="str">
        <f ca="1">IFERROR(__xludf.DUMMYFUNCTION("""COMPUTED_VALUE"""),"J")</f>
        <v>J</v>
      </c>
      <c r="G1304" s="110">
        <f ca="1">IFERROR(__xludf.DUMMYFUNCTION("""COMPUTED_VALUE"""),2)</f>
        <v>2</v>
      </c>
      <c r="H1304" s="112" t="str">
        <f ca="1"/>
        <v>15.5</v>
      </c>
      <c r="I1304" s="112">
        <f ca="1"/>
        <v>15.5</v>
      </c>
    </row>
    <row r="1305" spans="1:9" ht="13.2">
      <c r="A1305" s="109" t="str">
        <f ca="1">IFERROR(__xludf.DUMMYFUNCTION("""COMPUTED_VALUE"""),"MHC")</f>
        <v>MHC</v>
      </c>
      <c r="B1305" s="108" t="str">
        <f ca="1">IFERROR(__xludf.DUMMYFUNCTION("""COMPUTED_VALUE"""),"Henry Eustis")</f>
        <v>Henry Eustis</v>
      </c>
      <c r="C1305" s="109">
        <f ca="1">IFERROR(__xludf.DUMMYFUNCTION("""COMPUTED_VALUE"""),6)</f>
        <v>6</v>
      </c>
      <c r="D1305" s="109" t="str">
        <f ca="1">IFERROR(__xludf.DUMMYFUNCTION("""COMPUTED_VALUE"""),"B")</f>
        <v>B</v>
      </c>
      <c r="E1305" s="110" t="str">
        <f ca="1">IFERROR(__xludf.DUMMYFUNCTION("""COMPUTED_VALUE"""),"F")</f>
        <v>F</v>
      </c>
      <c r="F1305" s="110" t="str">
        <f ca="1">IFERROR(__xludf.DUMMYFUNCTION("""COMPUTED_VALUE"""),"J")</f>
        <v>J</v>
      </c>
      <c r="G1305" s="110">
        <f ca="1">IFERROR(__xludf.DUMMYFUNCTION("""COMPUTED_VALUE"""),2)</f>
        <v>2</v>
      </c>
      <c r="H1305" s="112" t="str">
        <f ca="1"/>
        <v/>
      </c>
      <c r="I1305" s="81" t="str">
        <f ca="1"/>
        <v/>
      </c>
    </row>
    <row r="1306" spans="1:9" ht="13.2">
      <c r="A1306" s="109" t="str">
        <f ca="1">IFERROR(__xludf.DUMMYFUNCTION("""COMPUTED_VALUE"""),"MHC")</f>
        <v>MHC</v>
      </c>
      <c r="B1306" s="108" t="str">
        <f ca="1">IFERROR(__xludf.DUMMYFUNCTION("""COMPUTED_VALUE"""),"Henry Raak")</f>
        <v>Henry Raak</v>
      </c>
      <c r="C1306" s="109">
        <f ca="1">IFERROR(__xludf.DUMMYFUNCTION("""COMPUTED_VALUE"""),10)</f>
        <v>10</v>
      </c>
      <c r="D1306" s="109" t="str">
        <f ca="1">IFERROR(__xludf.DUMMYFUNCTION("""COMPUTED_VALUE"""),"B")</f>
        <v>B</v>
      </c>
      <c r="E1306" s="110" t="str">
        <f ca="1">IFERROR(__xludf.DUMMYFUNCTION("""COMPUTED_VALUE"""),"F")</f>
        <v>F</v>
      </c>
      <c r="F1306" s="110" t="str">
        <f ca="1">IFERROR(__xludf.DUMMYFUNCTION("""COMPUTED_VALUE"""),"J")</f>
        <v>J</v>
      </c>
      <c r="G1306" s="110">
        <f ca="1">IFERROR(__xludf.DUMMYFUNCTION("""COMPUTED_VALUE"""),2)</f>
        <v>2</v>
      </c>
      <c r="H1306" s="112" t="str">
        <f ca="1"/>
        <v/>
      </c>
      <c r="I1306" s="81" t="str">
        <f ca="1"/>
        <v/>
      </c>
    </row>
    <row r="1307" spans="1:9" ht="13.2">
      <c r="A1307" s="109" t="str">
        <f ca="1">IFERROR(__xludf.DUMMYFUNCTION("""COMPUTED_VALUE"""),"MHC")</f>
        <v>MHC</v>
      </c>
      <c r="B1307" s="108" t="str">
        <f ca="1">IFERROR(__xludf.DUMMYFUNCTION("""COMPUTED_VALUE"""),"Kalvin Kramer")</f>
        <v>Kalvin Kramer</v>
      </c>
      <c r="C1307" s="109">
        <f ca="1">IFERROR(__xludf.DUMMYFUNCTION("""COMPUTED_VALUE"""),6)</f>
        <v>6</v>
      </c>
      <c r="D1307" s="109" t="str">
        <f ca="1">IFERROR(__xludf.DUMMYFUNCTION("""COMPUTED_VALUE"""),"B")</f>
        <v>B</v>
      </c>
      <c r="E1307" s="110" t="str">
        <f ca="1">IFERROR(__xludf.DUMMYFUNCTION("""COMPUTED_VALUE"""),"F")</f>
        <v>F</v>
      </c>
      <c r="F1307" s="110" t="str">
        <f ca="1">IFERROR(__xludf.DUMMYFUNCTION("""COMPUTED_VALUE"""),"J")</f>
        <v>J</v>
      </c>
      <c r="G1307" s="110">
        <f ca="1">IFERROR(__xludf.DUMMYFUNCTION("""COMPUTED_VALUE"""),2)</f>
        <v>2</v>
      </c>
      <c r="H1307" s="112" t="str">
        <f ca="1"/>
        <v>18.5</v>
      </c>
      <c r="I1307" s="112">
        <f ca="1"/>
        <v>18.5</v>
      </c>
    </row>
    <row r="1308" spans="1:9" ht="13.2">
      <c r="A1308" s="109" t="str">
        <f ca="1">IFERROR(__xludf.DUMMYFUNCTION("""COMPUTED_VALUE"""),"MHC")</f>
        <v>MHC</v>
      </c>
      <c r="B1308" s="108" t="str">
        <f ca="1">IFERROR(__xludf.DUMMYFUNCTION("""COMPUTED_VALUE"""),"Kambron Kramer")</f>
        <v>Kambron Kramer</v>
      </c>
      <c r="C1308" s="109">
        <f ca="1">IFERROR(__xludf.DUMMYFUNCTION("""COMPUTED_VALUE"""),9)</f>
        <v>9</v>
      </c>
      <c r="D1308" s="109" t="str">
        <f ca="1">IFERROR(__xludf.DUMMYFUNCTION("""COMPUTED_VALUE"""),"B")</f>
        <v>B</v>
      </c>
      <c r="E1308" s="110" t="str">
        <f ca="1">IFERROR(__xludf.DUMMYFUNCTION("""COMPUTED_VALUE"""),"F")</f>
        <v>F</v>
      </c>
      <c r="F1308" s="110" t="str">
        <f ca="1">IFERROR(__xludf.DUMMYFUNCTION("""COMPUTED_VALUE"""),"J")</f>
        <v>J</v>
      </c>
      <c r="G1308" s="110">
        <f ca="1">IFERROR(__xludf.DUMMYFUNCTION("""COMPUTED_VALUE"""),2)</f>
        <v>2</v>
      </c>
      <c r="H1308" s="112" t="str">
        <f ca="1"/>
        <v>23.25</v>
      </c>
      <c r="I1308" s="81">
        <f ca="1"/>
        <v>23.25</v>
      </c>
    </row>
    <row r="1309" spans="1:9" ht="13.2">
      <c r="A1309" s="109" t="str">
        <f ca="1">IFERROR(__xludf.DUMMYFUNCTION("""COMPUTED_VALUE"""),"MHC")</f>
        <v>MHC</v>
      </c>
      <c r="B1309" s="108" t="str">
        <f ca="1">IFERROR(__xludf.DUMMYFUNCTION("""COMPUTED_VALUE"""),"Keegan Kurtzhals")</f>
        <v>Keegan Kurtzhals</v>
      </c>
      <c r="C1309" s="109">
        <f ca="1">IFERROR(__xludf.DUMMYFUNCTION("""COMPUTED_VALUE"""),10)</f>
        <v>10</v>
      </c>
      <c r="D1309" s="109" t="str">
        <f ca="1">IFERROR(__xludf.DUMMYFUNCTION("""COMPUTED_VALUE"""),"B")</f>
        <v>B</v>
      </c>
      <c r="E1309" s="110" t="str">
        <f ca="1">IFERROR(__xludf.DUMMYFUNCTION("""COMPUTED_VALUE"""),"F")</f>
        <v>F</v>
      </c>
      <c r="F1309" s="110" t="str">
        <f ca="1">IFERROR(__xludf.DUMMYFUNCTION("""COMPUTED_VALUE"""),"J")</f>
        <v>J</v>
      </c>
      <c r="G1309" s="110">
        <f ca="1">IFERROR(__xludf.DUMMYFUNCTION("""COMPUTED_VALUE"""),2)</f>
        <v>2</v>
      </c>
      <c r="H1309" s="112" t="str">
        <f ca="1"/>
        <v/>
      </c>
      <c r="I1309" s="81" t="str">
        <f ca="1"/>
        <v/>
      </c>
    </row>
    <row r="1310" spans="1:9" ht="13.2">
      <c r="A1310" s="109" t="str">
        <f ca="1">IFERROR(__xludf.DUMMYFUNCTION("""COMPUTED_VALUE"""),"MHC")</f>
        <v>MHC</v>
      </c>
      <c r="B1310" s="108" t="str">
        <f ca="1">IFERROR(__xludf.DUMMYFUNCTION("""COMPUTED_VALUE"""),"Kolton Kurtzhals")</f>
        <v>Kolton Kurtzhals</v>
      </c>
      <c r="C1310" s="109">
        <f ca="1">IFERROR(__xludf.DUMMYFUNCTION("""COMPUTED_VALUE"""),8)</f>
        <v>8</v>
      </c>
      <c r="D1310" s="109" t="str">
        <f ca="1">IFERROR(__xludf.DUMMYFUNCTION("""COMPUTED_VALUE"""),"B")</f>
        <v>B</v>
      </c>
      <c r="E1310" s="110" t="str">
        <f ca="1">IFERROR(__xludf.DUMMYFUNCTION("""COMPUTED_VALUE"""),"F")</f>
        <v>F</v>
      </c>
      <c r="F1310" s="110" t="str">
        <f ca="1">IFERROR(__xludf.DUMMYFUNCTION("""COMPUTED_VALUE"""),"J")</f>
        <v>J</v>
      </c>
      <c r="G1310" s="110">
        <f ca="1">IFERROR(__xludf.DUMMYFUNCTION("""COMPUTED_VALUE"""),2)</f>
        <v>2</v>
      </c>
      <c r="H1310" s="112" t="str">
        <f ca="1"/>
        <v/>
      </c>
      <c r="I1310" s="112" t="str">
        <f ca="1"/>
        <v/>
      </c>
    </row>
    <row r="1311" spans="1:9" ht="13.2">
      <c r="A1311" s="109" t="str">
        <f ca="1">IFERROR(__xludf.DUMMYFUNCTION("""COMPUTED_VALUE"""),"MHC")</f>
        <v>MHC</v>
      </c>
      <c r="B1311" s="108" t="str">
        <f ca="1">IFERROR(__xludf.DUMMYFUNCTION("""COMPUTED_VALUE"""),"Owen Eustis")</f>
        <v>Owen Eustis</v>
      </c>
      <c r="C1311" s="109">
        <f ca="1">IFERROR(__xludf.DUMMYFUNCTION("""COMPUTED_VALUE"""),7)</f>
        <v>7</v>
      </c>
      <c r="D1311" s="109" t="str">
        <f ca="1">IFERROR(__xludf.DUMMYFUNCTION("""COMPUTED_VALUE"""),"B")</f>
        <v>B</v>
      </c>
      <c r="E1311" s="110" t="str">
        <f ca="1">IFERROR(__xludf.DUMMYFUNCTION("""COMPUTED_VALUE"""),"F")</f>
        <v>F</v>
      </c>
      <c r="F1311" s="110" t="str">
        <f ca="1">IFERROR(__xludf.DUMMYFUNCTION("""COMPUTED_VALUE"""),"J")</f>
        <v>J</v>
      </c>
      <c r="G1311" s="110">
        <f ca="1">IFERROR(__xludf.DUMMYFUNCTION("""COMPUTED_VALUE"""),2)</f>
        <v>2</v>
      </c>
      <c r="H1311" s="112" t="str">
        <f ca="1"/>
        <v/>
      </c>
      <c r="I1311" s="81" t="str">
        <f ca="1"/>
        <v/>
      </c>
    </row>
    <row r="1312" spans="1:9" ht="13.2">
      <c r="A1312" s="109" t="str">
        <f ca="1">IFERROR(__xludf.DUMMYFUNCTION("""COMPUTED_VALUE"""),"MHC")</f>
        <v>MHC</v>
      </c>
      <c r="B1312" s="108" t="str">
        <f ca="1">IFERROR(__xludf.DUMMYFUNCTION("""COMPUTED_VALUE"""),"Sam Carrado")</f>
        <v>Sam Carrado</v>
      </c>
      <c r="C1312" s="109">
        <f ca="1">IFERROR(__xludf.DUMMYFUNCTION("""COMPUTED_VALUE"""),10)</f>
        <v>10</v>
      </c>
      <c r="D1312" s="109" t="str">
        <f ca="1">IFERROR(__xludf.DUMMYFUNCTION("""COMPUTED_VALUE"""),"B")</f>
        <v>B</v>
      </c>
      <c r="E1312" s="110" t="str">
        <f ca="1">IFERROR(__xludf.DUMMYFUNCTION("""COMPUTED_VALUE"""),"F")</f>
        <v>F</v>
      </c>
      <c r="F1312" s="110" t="str">
        <f ca="1">IFERROR(__xludf.DUMMYFUNCTION("""COMPUTED_VALUE"""),"J")</f>
        <v>J</v>
      </c>
      <c r="G1312" s="110">
        <f ca="1">IFERROR(__xludf.DUMMYFUNCTION("""COMPUTED_VALUE"""),2)</f>
        <v>2</v>
      </c>
      <c r="H1312" s="112" t="str">
        <f ca="1"/>
        <v/>
      </c>
      <c r="I1312" s="112" t="str">
        <f ca="1"/>
        <v/>
      </c>
    </row>
    <row r="1313" spans="1:9" ht="13.2">
      <c r="A1313" s="109" t="str">
        <f ca="1">IFERROR(__xludf.DUMMYFUNCTION("""COMPUTED_VALUE"""),"MHC")</f>
        <v>MHC</v>
      </c>
      <c r="B1313" s="108" t="str">
        <f ca="1">IFERROR(__xludf.DUMMYFUNCTION("""COMPUTED_VALUE"""),"Thomas Bergeron")</f>
        <v>Thomas Bergeron</v>
      </c>
      <c r="C1313" s="109">
        <f ca="1">IFERROR(__xludf.DUMMYFUNCTION("""COMPUTED_VALUE"""),10)</f>
        <v>10</v>
      </c>
      <c r="D1313" s="109" t="str">
        <f ca="1">IFERROR(__xludf.DUMMYFUNCTION("""COMPUTED_VALUE"""),"B")</f>
        <v>B</v>
      </c>
      <c r="E1313" s="110" t="str">
        <f ca="1">IFERROR(__xludf.DUMMYFUNCTION("""COMPUTED_VALUE"""),"F")</f>
        <v>F</v>
      </c>
      <c r="F1313" s="110" t="str">
        <f ca="1">IFERROR(__xludf.DUMMYFUNCTION("""COMPUTED_VALUE"""),"J")</f>
        <v>J</v>
      </c>
      <c r="G1313" s="110">
        <f ca="1">IFERROR(__xludf.DUMMYFUNCTION("""COMPUTED_VALUE"""),2)</f>
        <v>2</v>
      </c>
      <c r="H1313" s="112" t="str">
        <f ca="1"/>
        <v/>
      </c>
      <c r="I1313" s="112" t="str">
        <f ca="1"/>
        <v/>
      </c>
    </row>
    <row r="1314" spans="1:9" ht="13.2">
      <c r="A1314" s="109" t="str">
        <f ca="1">IFERROR(__xludf.DUMMYFUNCTION("""COMPUTED_VALUE"""),"MHC")</f>
        <v>MHC</v>
      </c>
      <c r="B1314" s="108" t="str">
        <f ca="1">IFERROR(__xludf.DUMMYFUNCTION("""COMPUTED_VALUE"""),"Zachary Bergeron")</f>
        <v>Zachary Bergeron</v>
      </c>
      <c r="C1314" s="109">
        <f ca="1">IFERROR(__xludf.DUMMYFUNCTION("""COMPUTED_VALUE"""),9)</f>
        <v>9</v>
      </c>
      <c r="D1314" s="109" t="str">
        <f ca="1">IFERROR(__xludf.DUMMYFUNCTION("""COMPUTED_VALUE"""),"B")</f>
        <v>B</v>
      </c>
      <c r="E1314" s="110" t="str">
        <f ca="1">IFERROR(__xludf.DUMMYFUNCTION("""COMPUTED_VALUE"""),"F")</f>
        <v>F</v>
      </c>
      <c r="F1314" s="110" t="str">
        <f ca="1">IFERROR(__xludf.DUMMYFUNCTION("""COMPUTED_VALUE"""),"J")</f>
        <v>J</v>
      </c>
      <c r="G1314" s="110">
        <f ca="1">IFERROR(__xludf.DUMMYFUNCTION("""COMPUTED_VALUE"""),2)</f>
        <v>2</v>
      </c>
      <c r="H1314" s="112" t="str">
        <f ca="1"/>
        <v/>
      </c>
      <c r="I1314" s="81" t="str">
        <f ca="1"/>
        <v/>
      </c>
    </row>
    <row r="1315" spans="1:9" ht="13.2">
      <c r="A1315" s="109" t="str">
        <f ca="1">IFERROR(__xludf.DUMMYFUNCTION("""COMPUTED_VALUE"""),"MHC")</f>
        <v>MHC</v>
      </c>
      <c r="B1315" s="108" t="str">
        <f ca="1">IFERROR(__xludf.DUMMYFUNCTION("""COMPUTED_VALUE"""),"AJ Keane")</f>
        <v>AJ Keane</v>
      </c>
      <c r="C1315" s="109">
        <f ca="1">IFERROR(__xludf.DUMMYFUNCTION("""COMPUTED_VALUE"""),7)</f>
        <v>7</v>
      </c>
      <c r="D1315" s="109" t="str">
        <f ca="1">IFERROR(__xludf.DUMMYFUNCTION("""COMPUTED_VALUE"""),"G")</f>
        <v>G</v>
      </c>
      <c r="E1315" s="110" t="str">
        <f ca="1">IFERROR(__xludf.DUMMYFUNCTION("""COMPUTED_VALUE"""),"F")</f>
        <v>F</v>
      </c>
      <c r="F1315" s="110" t="str">
        <f ca="1">IFERROR(__xludf.DUMMYFUNCTION("""COMPUTED_VALUE"""),"J")</f>
        <v>J</v>
      </c>
      <c r="G1315" s="110">
        <f ca="1">IFERROR(__xludf.DUMMYFUNCTION("""COMPUTED_VALUE"""),2)</f>
        <v>2</v>
      </c>
      <c r="H1315" s="112" t="str">
        <f ca="1"/>
        <v>30.75</v>
      </c>
      <c r="I1315" s="112">
        <f ca="1"/>
        <v>30.75</v>
      </c>
    </row>
    <row r="1316" spans="1:9" ht="13.2">
      <c r="A1316" s="109" t="str">
        <f ca="1">IFERROR(__xludf.DUMMYFUNCTION("""COMPUTED_VALUE"""),"MHC")</f>
        <v>MHC</v>
      </c>
      <c r="B1316" s="108" t="str">
        <f ca="1">IFERROR(__xludf.DUMMYFUNCTION("""COMPUTED_VALUE"""),"Delaney Payne")</f>
        <v>Delaney Payne</v>
      </c>
      <c r="C1316" s="109">
        <f ca="1">IFERROR(__xludf.DUMMYFUNCTION("""COMPUTED_VALUE"""),8)</f>
        <v>8</v>
      </c>
      <c r="D1316" s="109" t="str">
        <f ca="1">IFERROR(__xludf.DUMMYFUNCTION("""COMPUTED_VALUE"""),"G")</f>
        <v>G</v>
      </c>
      <c r="E1316" s="110" t="str">
        <f ca="1">IFERROR(__xludf.DUMMYFUNCTION("""COMPUTED_VALUE"""),"F")</f>
        <v>F</v>
      </c>
      <c r="F1316" s="110" t="str">
        <f ca="1">IFERROR(__xludf.DUMMYFUNCTION("""COMPUTED_VALUE"""),"J")</f>
        <v>J</v>
      </c>
      <c r="G1316" s="110">
        <f ca="1">IFERROR(__xludf.DUMMYFUNCTION("""COMPUTED_VALUE"""),2)</f>
        <v>2</v>
      </c>
      <c r="H1316" s="112" t="str">
        <f ca="1"/>
        <v/>
      </c>
      <c r="I1316" s="81" t="str">
        <f ca="1"/>
        <v/>
      </c>
    </row>
    <row r="1317" spans="1:9" ht="13.2">
      <c r="A1317" s="109" t="str">
        <f ca="1">IFERROR(__xludf.DUMMYFUNCTION("""COMPUTED_VALUE"""),"MHC")</f>
        <v>MHC</v>
      </c>
      <c r="B1317" s="108" t="str">
        <f ca="1">IFERROR(__xludf.DUMMYFUNCTION("""COMPUTED_VALUE"""),"Faye Bias")</f>
        <v>Faye Bias</v>
      </c>
      <c r="C1317" s="109">
        <f ca="1">IFERROR(__xludf.DUMMYFUNCTION("""COMPUTED_VALUE"""),6)</f>
        <v>6</v>
      </c>
      <c r="D1317" s="109" t="str">
        <f ca="1">IFERROR(__xludf.DUMMYFUNCTION("""COMPUTED_VALUE"""),"G")</f>
        <v>G</v>
      </c>
      <c r="E1317" s="110" t="str">
        <f ca="1">IFERROR(__xludf.DUMMYFUNCTION("""COMPUTED_VALUE"""),"F")</f>
        <v>F</v>
      </c>
      <c r="F1317" s="110" t="str">
        <f ca="1">IFERROR(__xludf.DUMMYFUNCTION("""COMPUTED_VALUE"""),"J")</f>
        <v>J</v>
      </c>
      <c r="G1317" s="110">
        <f ca="1">IFERROR(__xludf.DUMMYFUNCTION("""COMPUTED_VALUE"""),2)</f>
        <v>2</v>
      </c>
      <c r="H1317" s="112" t="str">
        <f ca="1"/>
        <v/>
      </c>
      <c r="I1317" s="112" t="str">
        <f ca="1"/>
        <v/>
      </c>
    </row>
    <row r="1318" spans="1:9" ht="13.2">
      <c r="A1318" s="109" t="str">
        <f ca="1">IFERROR(__xludf.DUMMYFUNCTION("""COMPUTED_VALUE"""),"MHC")</f>
        <v>MHC</v>
      </c>
      <c r="B1318" s="108" t="str">
        <f ca="1">IFERROR(__xludf.DUMMYFUNCTION("""COMPUTED_VALUE"""),"Macy Bias")</f>
        <v>Macy Bias</v>
      </c>
      <c r="C1318" s="109">
        <f ca="1">IFERROR(__xludf.DUMMYFUNCTION("""COMPUTED_VALUE"""),8)</f>
        <v>8</v>
      </c>
      <c r="D1318" s="109" t="str">
        <f ca="1">IFERROR(__xludf.DUMMYFUNCTION("""COMPUTED_VALUE"""),"G")</f>
        <v>G</v>
      </c>
      <c r="E1318" s="110" t="str">
        <f ca="1">IFERROR(__xludf.DUMMYFUNCTION("""COMPUTED_VALUE"""),"F")</f>
        <v>F</v>
      </c>
      <c r="F1318" s="110" t="str">
        <f ca="1">IFERROR(__xludf.DUMMYFUNCTION("""COMPUTED_VALUE"""),"J")</f>
        <v>J</v>
      </c>
      <c r="G1318" s="110">
        <f ca="1">IFERROR(__xludf.DUMMYFUNCTION("""COMPUTED_VALUE"""),2)</f>
        <v>2</v>
      </c>
      <c r="H1318" s="112" t="str">
        <f ca="1"/>
        <v/>
      </c>
      <c r="I1318" s="81" t="str">
        <f ca="1"/>
        <v/>
      </c>
    </row>
    <row r="1319" spans="1:9" ht="13.2">
      <c r="A1319" s="109" t="str">
        <f ca="1">IFERROR(__xludf.DUMMYFUNCTION("""COMPUTED_VALUE"""),"MHC")</f>
        <v>MHC</v>
      </c>
      <c r="B1319" s="108" t="str">
        <f ca="1">IFERROR(__xludf.DUMMYFUNCTION("""COMPUTED_VALUE"""),"Rachel MacDonald")</f>
        <v>Rachel MacDonald</v>
      </c>
      <c r="C1319" s="109">
        <f ca="1">IFERROR(__xludf.DUMMYFUNCTION("""COMPUTED_VALUE"""),9)</f>
        <v>9</v>
      </c>
      <c r="D1319" s="109" t="str">
        <f ca="1">IFERROR(__xludf.DUMMYFUNCTION("""COMPUTED_VALUE"""),"G")</f>
        <v>G</v>
      </c>
      <c r="E1319" s="110" t="str">
        <f ca="1">IFERROR(__xludf.DUMMYFUNCTION("""COMPUTED_VALUE"""),"F")</f>
        <v>F</v>
      </c>
      <c r="F1319" s="110" t="str">
        <f ca="1">IFERROR(__xludf.DUMMYFUNCTION("""COMPUTED_VALUE"""),"J")</f>
        <v>J</v>
      </c>
      <c r="G1319" s="110">
        <f ca="1">IFERROR(__xludf.DUMMYFUNCTION("""COMPUTED_VALUE"""),2)</f>
        <v>2</v>
      </c>
      <c r="H1319" s="112" t="str">
        <f ca="1"/>
        <v/>
      </c>
      <c r="I1319" s="81" t="str">
        <f ca="1"/>
        <v/>
      </c>
    </row>
    <row r="1320" spans="1:9" ht="13.2">
      <c r="A1320" s="109" t="str">
        <f ca="1">IFERROR(__xludf.DUMMYFUNCTION("""COMPUTED_VALUE"""),"MHC")</f>
        <v>MHC</v>
      </c>
      <c r="B1320" s="108" t="str">
        <f ca="1">IFERROR(__xludf.DUMMYFUNCTION("""COMPUTED_VALUE"""),"Reagan Marm")</f>
        <v>Reagan Marm</v>
      </c>
      <c r="C1320" s="109">
        <f ca="1">IFERROR(__xludf.DUMMYFUNCTION("""COMPUTED_VALUE"""),9)</f>
        <v>9</v>
      </c>
      <c r="D1320" s="109" t="str">
        <f ca="1">IFERROR(__xludf.DUMMYFUNCTION("""COMPUTED_VALUE"""),"G")</f>
        <v>G</v>
      </c>
      <c r="E1320" s="110" t="str">
        <f ca="1">IFERROR(__xludf.DUMMYFUNCTION("""COMPUTED_VALUE"""),"F")</f>
        <v>F</v>
      </c>
      <c r="F1320" s="110" t="str">
        <f ca="1">IFERROR(__xludf.DUMMYFUNCTION("""COMPUTED_VALUE"""),"J")</f>
        <v>J</v>
      </c>
      <c r="G1320" s="110">
        <f ca="1">IFERROR(__xludf.DUMMYFUNCTION("""COMPUTED_VALUE"""),2)</f>
        <v>2</v>
      </c>
      <c r="H1320" s="112" t="str">
        <f ca="1"/>
        <v/>
      </c>
      <c r="I1320" s="81" t="str">
        <f ca="1"/>
        <v/>
      </c>
    </row>
    <row r="1321" spans="1:9" ht="13.2">
      <c r="A1321" s="109" t="str">
        <f ca="1">IFERROR(__xludf.DUMMYFUNCTION("""COMPUTED_VALUE"""),"MHC")</f>
        <v>MHC</v>
      </c>
      <c r="B1321" s="108" t="str">
        <f ca="1">IFERROR(__xludf.DUMMYFUNCTION("""COMPUTED_VALUE"""),"Jem Morgan")</f>
        <v>Jem Morgan</v>
      </c>
      <c r="C1321" s="109">
        <f ca="1">IFERROR(__xludf.DUMMYFUNCTION("""COMPUTED_VALUE"""),14)</f>
        <v>14</v>
      </c>
      <c r="D1321" s="109" t="str">
        <f ca="1">IFERROR(__xludf.DUMMYFUNCTION("""COMPUTED_VALUE"""),"B")</f>
        <v>B</v>
      </c>
      <c r="E1321" s="110" t="str">
        <f ca="1">IFERROR(__xludf.DUMMYFUNCTION("""COMPUTED_VALUE"""),"I")</f>
        <v>I</v>
      </c>
      <c r="F1321" s="110" t="str">
        <f ca="1">IFERROR(__xludf.DUMMYFUNCTION("""COMPUTED_VALUE"""),"S")</f>
        <v>S</v>
      </c>
      <c r="G1321" s="110">
        <f ca="1">IFERROR(__xludf.DUMMYFUNCTION("""COMPUTED_VALUE"""),2)</f>
        <v>2</v>
      </c>
      <c r="H1321" s="112" t="str">
        <f ca="1"/>
        <v/>
      </c>
      <c r="I1321" s="81" t="str">
        <f ca="1"/>
        <v/>
      </c>
    </row>
    <row r="1322" spans="1:9" ht="13.2">
      <c r="A1322" s="109" t="str">
        <f ca="1">IFERROR(__xludf.DUMMYFUNCTION("""COMPUTED_VALUE"""),"MHC")</f>
        <v>MHC</v>
      </c>
      <c r="B1322" s="108" t="str">
        <f ca="1">IFERROR(__xludf.DUMMYFUNCTION("""COMPUTED_VALUE"""),"Elise Wendy")</f>
        <v>Elise Wendy</v>
      </c>
      <c r="C1322" s="109">
        <f ca="1">IFERROR(__xludf.DUMMYFUNCTION("""COMPUTED_VALUE"""),14)</f>
        <v>14</v>
      </c>
      <c r="D1322" s="109" t="str">
        <f ca="1">IFERROR(__xludf.DUMMYFUNCTION("""COMPUTED_VALUE"""),"G")</f>
        <v>G</v>
      </c>
      <c r="E1322" s="110" t="str">
        <f ca="1">IFERROR(__xludf.DUMMYFUNCTION("""COMPUTED_VALUE"""),"I")</f>
        <v>I</v>
      </c>
      <c r="F1322" s="110" t="str">
        <f ca="1">IFERROR(__xludf.DUMMYFUNCTION("""COMPUTED_VALUE"""),"S")</f>
        <v>S</v>
      </c>
      <c r="G1322" s="110">
        <f ca="1">IFERROR(__xludf.DUMMYFUNCTION("""COMPUTED_VALUE"""),2)</f>
        <v>2</v>
      </c>
      <c r="H1322" s="112" t="str">
        <f ca="1"/>
        <v/>
      </c>
      <c r="I1322" s="112" t="str">
        <f ca="1"/>
        <v/>
      </c>
    </row>
    <row r="1323" spans="1:9" ht="13.2">
      <c r="A1323" s="109" t="str">
        <f ca="1">IFERROR(__xludf.DUMMYFUNCTION("""COMPUTED_VALUE"""),"MHC")</f>
        <v>MHC</v>
      </c>
      <c r="B1323" s="108" t="str">
        <f ca="1">IFERROR(__xludf.DUMMYFUNCTION("""COMPUTED_VALUE"""),"Hillary Keane")</f>
        <v>Hillary Keane</v>
      </c>
      <c r="C1323" s="109">
        <f ca="1">IFERROR(__xludf.DUMMYFUNCTION("""COMPUTED_VALUE"""),13)</f>
        <v>13</v>
      </c>
      <c r="D1323" s="109" t="str">
        <f ca="1">IFERROR(__xludf.DUMMYFUNCTION("""COMPUTED_VALUE"""),"G")</f>
        <v>G</v>
      </c>
      <c r="E1323" s="110" t="str">
        <f ca="1">IFERROR(__xludf.DUMMYFUNCTION("""COMPUTED_VALUE"""),"I")</f>
        <v>I</v>
      </c>
      <c r="F1323" s="110" t="str">
        <f ca="1">IFERROR(__xludf.DUMMYFUNCTION("""COMPUTED_VALUE"""),"S")</f>
        <v>S</v>
      </c>
      <c r="G1323" s="110">
        <f ca="1">IFERROR(__xludf.DUMMYFUNCTION("""COMPUTED_VALUE"""),2)</f>
        <v>2</v>
      </c>
      <c r="H1323" s="112" t="str">
        <f ca="1"/>
        <v/>
      </c>
      <c r="I1323" s="81" t="str">
        <f ca="1"/>
        <v/>
      </c>
    </row>
    <row r="1324" spans="1:9" ht="13.2">
      <c r="A1324" s="109" t="str">
        <f ca="1">IFERROR(__xludf.DUMMYFUNCTION("""COMPUTED_VALUE"""),"MHC")</f>
        <v>MHC</v>
      </c>
      <c r="B1324" s="108" t="str">
        <f ca="1">IFERROR(__xludf.DUMMYFUNCTION("""COMPUTED_VALUE"""),"Lacey Lussier")</f>
        <v>Lacey Lussier</v>
      </c>
      <c r="C1324" s="109">
        <f ca="1">IFERROR(__xludf.DUMMYFUNCTION("""COMPUTED_VALUE"""),13)</f>
        <v>13</v>
      </c>
      <c r="D1324" s="109" t="str">
        <f ca="1">IFERROR(__xludf.DUMMYFUNCTION("""COMPUTED_VALUE"""),"G")</f>
        <v>G</v>
      </c>
      <c r="E1324" s="110" t="str">
        <f ca="1">IFERROR(__xludf.DUMMYFUNCTION("""COMPUTED_VALUE"""),"I")</f>
        <v>I</v>
      </c>
      <c r="F1324" s="110" t="str">
        <f ca="1">IFERROR(__xludf.DUMMYFUNCTION("""COMPUTED_VALUE"""),"S")</f>
        <v>S</v>
      </c>
      <c r="G1324" s="110">
        <f ca="1">IFERROR(__xludf.DUMMYFUNCTION("""COMPUTED_VALUE"""),2)</f>
        <v>2</v>
      </c>
      <c r="H1324" s="112" t="str">
        <f ca="1"/>
        <v/>
      </c>
      <c r="I1324" s="112" t="str">
        <f ca="1"/>
        <v/>
      </c>
    </row>
    <row r="1325" spans="1:9" ht="13.2">
      <c r="A1325" s="109" t="str">
        <f ca="1">IFERROR(__xludf.DUMMYFUNCTION("""COMPUTED_VALUE"""),"MHC")</f>
        <v>MHC</v>
      </c>
      <c r="B1325" s="108" t="str">
        <f ca="1">IFERROR(__xludf.DUMMYFUNCTION("""COMPUTED_VALUE"""),"Tabitha Thomas")</f>
        <v>Tabitha Thomas</v>
      </c>
      <c r="C1325" s="109">
        <f ca="1">IFERROR(__xludf.DUMMYFUNCTION("""COMPUTED_VALUE"""),14)</f>
        <v>14</v>
      </c>
      <c r="D1325" s="109" t="str">
        <f ca="1">IFERROR(__xludf.DUMMYFUNCTION("""COMPUTED_VALUE"""),"G")</f>
        <v>G</v>
      </c>
      <c r="E1325" s="110" t="str">
        <f ca="1">IFERROR(__xludf.DUMMYFUNCTION("""COMPUTED_VALUE"""),"I")</f>
        <v>I</v>
      </c>
      <c r="F1325" s="110" t="str">
        <f ca="1">IFERROR(__xludf.DUMMYFUNCTION("""COMPUTED_VALUE"""),"S")</f>
        <v>S</v>
      </c>
      <c r="G1325" s="110">
        <f ca="1">IFERROR(__xludf.DUMMYFUNCTION("""COMPUTED_VALUE"""),2)</f>
        <v>2</v>
      </c>
      <c r="H1325" s="112" t="str">
        <f ca="1"/>
        <v/>
      </c>
      <c r="I1325" s="112" t="str">
        <f ca="1"/>
        <v/>
      </c>
    </row>
    <row r="1326" spans="1:9" ht="13.2">
      <c r="A1326" s="109" t="str">
        <f ca="1">IFERROR(__xludf.DUMMYFUNCTION("""COMPUTED_VALUE"""),"MHC")</f>
        <v>MHC</v>
      </c>
      <c r="B1326" s="108" t="str">
        <f ca="1">IFERROR(__xludf.DUMMYFUNCTION("""COMPUTED_VALUE"""),"Barnaby Lant")</f>
        <v>Barnaby Lant</v>
      </c>
      <c r="C1326" s="109">
        <f ca="1">IFERROR(__xludf.DUMMYFUNCTION("""COMPUTED_VALUE"""),12)</f>
        <v>12</v>
      </c>
      <c r="D1326" s="109" t="str">
        <f ca="1">IFERROR(__xludf.DUMMYFUNCTION("""COMPUTED_VALUE"""),"B")</f>
        <v>B</v>
      </c>
      <c r="E1326" s="110" t="str">
        <f ca="1">IFERROR(__xludf.DUMMYFUNCTION("""COMPUTED_VALUE"""),"J")</f>
        <v>J</v>
      </c>
      <c r="F1326" s="110" t="str">
        <f ca="1">IFERROR(__xludf.DUMMYFUNCTION("""COMPUTED_VALUE"""),"I")</f>
        <v>I</v>
      </c>
      <c r="G1326" s="110">
        <f ca="1">IFERROR(__xludf.DUMMYFUNCTION("""COMPUTED_VALUE"""),2)</f>
        <v>2</v>
      </c>
      <c r="H1326" s="112" t="str">
        <f ca="1"/>
        <v/>
      </c>
      <c r="I1326" s="112" t="str">
        <f ca="1"/>
        <v/>
      </c>
    </row>
    <row r="1327" spans="1:9" ht="13.2">
      <c r="A1327" s="109" t="str">
        <f ca="1">IFERROR(__xludf.DUMMYFUNCTION("""COMPUTED_VALUE"""),"MHC")</f>
        <v>MHC</v>
      </c>
      <c r="B1327" s="108" t="str">
        <f ca="1">IFERROR(__xludf.DUMMYFUNCTION("""COMPUTED_VALUE"""),"Drake Karsadi")</f>
        <v>Drake Karsadi</v>
      </c>
      <c r="C1327" s="109">
        <f ca="1">IFERROR(__xludf.DUMMYFUNCTION("""COMPUTED_VALUE"""),11)</f>
        <v>11</v>
      </c>
      <c r="D1327" s="109" t="str">
        <f ca="1">IFERROR(__xludf.DUMMYFUNCTION("""COMPUTED_VALUE"""),"B")</f>
        <v>B</v>
      </c>
      <c r="E1327" s="110" t="str">
        <f ca="1">IFERROR(__xludf.DUMMYFUNCTION("""COMPUTED_VALUE"""),"J")</f>
        <v>J</v>
      </c>
      <c r="F1327" s="110" t="str">
        <f ca="1">IFERROR(__xludf.DUMMYFUNCTION("""COMPUTED_VALUE"""),"I")</f>
        <v>I</v>
      </c>
      <c r="G1327" s="110">
        <f ca="1">IFERROR(__xludf.DUMMYFUNCTION("""COMPUTED_VALUE"""),2)</f>
        <v>2</v>
      </c>
      <c r="H1327" s="112" t="str">
        <f ca="1"/>
        <v/>
      </c>
      <c r="I1327" s="81" t="str">
        <f ca="1"/>
        <v/>
      </c>
    </row>
    <row r="1328" spans="1:9" ht="13.2">
      <c r="A1328" s="109" t="str">
        <f ca="1">IFERROR(__xludf.DUMMYFUNCTION("""COMPUTED_VALUE"""),"MHC")</f>
        <v>MHC</v>
      </c>
      <c r="B1328" s="108" t="str">
        <f ca="1">IFERROR(__xludf.DUMMYFUNCTION("""COMPUTED_VALUE"""),"Owen Thomas")</f>
        <v>Owen Thomas</v>
      </c>
      <c r="C1328" s="109">
        <f ca="1">IFERROR(__xludf.DUMMYFUNCTION("""COMPUTED_VALUE"""),11)</f>
        <v>11</v>
      </c>
      <c r="D1328" s="109" t="str">
        <f ca="1">IFERROR(__xludf.DUMMYFUNCTION("""COMPUTED_VALUE"""),"B")</f>
        <v>B</v>
      </c>
      <c r="E1328" s="110" t="str">
        <f ca="1">IFERROR(__xludf.DUMMYFUNCTION("""COMPUTED_VALUE"""),"J")</f>
        <v>J</v>
      </c>
      <c r="F1328" s="110" t="str">
        <f ca="1">IFERROR(__xludf.DUMMYFUNCTION("""COMPUTED_VALUE"""),"I")</f>
        <v>I</v>
      </c>
      <c r="G1328" s="110">
        <f ca="1">IFERROR(__xludf.DUMMYFUNCTION("""COMPUTED_VALUE"""),2)</f>
        <v>2</v>
      </c>
      <c r="H1328" s="112" t="str">
        <f ca="1"/>
        <v/>
      </c>
      <c r="I1328" s="112" t="str">
        <f ca="1"/>
        <v/>
      </c>
    </row>
    <row r="1329" spans="1:9" ht="13.2">
      <c r="A1329" s="109" t="str">
        <f ca="1">IFERROR(__xludf.DUMMYFUNCTION("""COMPUTED_VALUE"""),"MHC")</f>
        <v>MHC</v>
      </c>
      <c r="B1329" s="108" t="str">
        <f ca="1">IFERROR(__xludf.DUMMYFUNCTION("""COMPUTED_VALUE"""),"Allison Duffield")</f>
        <v>Allison Duffield</v>
      </c>
      <c r="C1329" s="109">
        <f ca="1">IFERROR(__xludf.DUMMYFUNCTION("""COMPUTED_VALUE"""),12)</f>
        <v>12</v>
      </c>
      <c r="D1329" s="109" t="str">
        <f ca="1">IFERROR(__xludf.DUMMYFUNCTION("""COMPUTED_VALUE"""),"G")</f>
        <v>G</v>
      </c>
      <c r="E1329" s="110" t="str">
        <f ca="1">IFERROR(__xludf.DUMMYFUNCTION("""COMPUTED_VALUE"""),"J")</f>
        <v>J</v>
      </c>
      <c r="F1329" s="110" t="str">
        <f ca="1">IFERROR(__xludf.DUMMYFUNCTION("""COMPUTED_VALUE"""),"I")</f>
        <v>I</v>
      </c>
      <c r="G1329" s="110">
        <f ca="1">IFERROR(__xludf.DUMMYFUNCTION("""COMPUTED_VALUE"""),2)</f>
        <v>2</v>
      </c>
      <c r="H1329" s="112" t="str">
        <f ca="1"/>
        <v/>
      </c>
      <c r="I1329" s="81" t="str">
        <f ca="1"/>
        <v/>
      </c>
    </row>
    <row r="1330" spans="1:9" ht="13.2">
      <c r="A1330" s="109" t="str">
        <f ca="1">IFERROR(__xludf.DUMMYFUNCTION("""COMPUTED_VALUE"""),"MHC")</f>
        <v>MHC</v>
      </c>
      <c r="B1330" s="108" t="str">
        <f ca="1">IFERROR(__xludf.DUMMYFUNCTION("""COMPUTED_VALUE"""),"Caitlin Christensen")</f>
        <v>Caitlin Christensen</v>
      </c>
      <c r="C1330" s="109">
        <f ca="1">IFERROR(__xludf.DUMMYFUNCTION("""COMPUTED_VALUE"""),11)</f>
        <v>11</v>
      </c>
      <c r="D1330" s="109" t="str">
        <f ca="1">IFERROR(__xludf.DUMMYFUNCTION("""COMPUTED_VALUE"""),"G")</f>
        <v>G</v>
      </c>
      <c r="E1330" s="110" t="str">
        <f ca="1">IFERROR(__xludf.DUMMYFUNCTION("""COMPUTED_VALUE"""),"J")</f>
        <v>J</v>
      </c>
      <c r="F1330" s="110" t="str">
        <f ca="1">IFERROR(__xludf.DUMMYFUNCTION("""COMPUTED_VALUE"""),"I")</f>
        <v>I</v>
      </c>
      <c r="G1330" s="110">
        <f ca="1">IFERROR(__xludf.DUMMYFUNCTION("""COMPUTED_VALUE"""),2)</f>
        <v>2</v>
      </c>
      <c r="H1330" s="112" t="str">
        <f ca="1"/>
        <v/>
      </c>
      <c r="I1330" s="81" t="str">
        <f ca="1"/>
        <v/>
      </c>
    </row>
    <row r="1331" spans="1:9" ht="13.2">
      <c r="A1331" s="109" t="str">
        <f ca="1">IFERROR(__xludf.DUMMYFUNCTION("""COMPUTED_VALUE"""),"MHC")</f>
        <v>MHC</v>
      </c>
      <c r="B1331" s="108" t="str">
        <f ca="1">IFERROR(__xludf.DUMMYFUNCTION("""COMPUTED_VALUE"""),"Isabella Roca")</f>
        <v>Isabella Roca</v>
      </c>
      <c r="C1331" s="109">
        <f ca="1">IFERROR(__xludf.DUMMYFUNCTION("""COMPUTED_VALUE"""),12)</f>
        <v>12</v>
      </c>
      <c r="D1331" s="109" t="str">
        <f ca="1">IFERROR(__xludf.DUMMYFUNCTION("""COMPUTED_VALUE"""),"G")</f>
        <v>G</v>
      </c>
      <c r="E1331" s="110" t="str">
        <f ca="1">IFERROR(__xludf.DUMMYFUNCTION("""COMPUTED_VALUE"""),"J")</f>
        <v>J</v>
      </c>
      <c r="F1331" s="110" t="str">
        <f ca="1">IFERROR(__xludf.DUMMYFUNCTION("""COMPUTED_VALUE"""),"I")</f>
        <v>I</v>
      </c>
      <c r="G1331" s="110">
        <f ca="1">IFERROR(__xludf.DUMMYFUNCTION("""COMPUTED_VALUE"""),2)</f>
        <v>2</v>
      </c>
      <c r="H1331" s="112" t="str">
        <f ca="1"/>
        <v/>
      </c>
      <c r="I1331" s="81" t="str">
        <f ca="1"/>
        <v/>
      </c>
    </row>
    <row r="1332" spans="1:9" ht="13.2">
      <c r="A1332" s="109" t="str">
        <f ca="1">IFERROR(__xludf.DUMMYFUNCTION("""COMPUTED_VALUE"""),"MHC")</f>
        <v>MHC</v>
      </c>
      <c r="B1332" s="108" t="str">
        <f ca="1">IFERROR(__xludf.DUMMYFUNCTION("""COMPUTED_VALUE"""),"Lillian MacDonald")</f>
        <v>Lillian MacDonald</v>
      </c>
      <c r="C1332" s="109">
        <f ca="1">IFERROR(__xludf.DUMMYFUNCTION("""COMPUTED_VALUE"""),12)</f>
        <v>12</v>
      </c>
      <c r="D1332" s="109" t="str">
        <f ca="1">IFERROR(__xludf.DUMMYFUNCTION("""COMPUTED_VALUE"""),"G")</f>
        <v>G</v>
      </c>
      <c r="E1332" s="110" t="str">
        <f ca="1">IFERROR(__xludf.DUMMYFUNCTION("""COMPUTED_VALUE"""),"J")</f>
        <v>J</v>
      </c>
      <c r="F1332" s="110" t="str">
        <f ca="1">IFERROR(__xludf.DUMMYFUNCTION("""COMPUTED_VALUE"""),"I")</f>
        <v>I</v>
      </c>
      <c r="G1332" s="110">
        <f ca="1">IFERROR(__xludf.DUMMYFUNCTION("""COMPUTED_VALUE"""),2)</f>
        <v>2</v>
      </c>
      <c r="H1332" s="112" t="str">
        <f ca="1"/>
        <v/>
      </c>
      <c r="I1332" s="81" t="str">
        <f ca="1"/>
        <v/>
      </c>
    </row>
    <row r="1333" spans="1:9" ht="13.2">
      <c r="A1333" s="109" t="str">
        <f ca="1">IFERROR(__xludf.DUMMYFUNCTION("""COMPUTED_VALUE"""),"MHC")</f>
        <v>MHC</v>
      </c>
      <c r="B1333" s="108" t="str">
        <f ca="1">IFERROR(__xludf.DUMMYFUNCTION("""COMPUTED_VALUE"""),"Remington Hall")</f>
        <v>Remington Hall</v>
      </c>
      <c r="C1333" s="109">
        <f ca="1">IFERROR(__xludf.DUMMYFUNCTION("""COMPUTED_VALUE"""),11)</f>
        <v>11</v>
      </c>
      <c r="D1333" s="109" t="str">
        <f ca="1">IFERROR(__xludf.DUMMYFUNCTION("""COMPUTED_VALUE"""),"G")</f>
        <v>G</v>
      </c>
      <c r="E1333" s="110" t="str">
        <f ca="1">IFERROR(__xludf.DUMMYFUNCTION("""COMPUTED_VALUE"""),"J")</f>
        <v>J</v>
      </c>
      <c r="F1333" s="110" t="str">
        <f ca="1">IFERROR(__xludf.DUMMYFUNCTION("""COMPUTED_VALUE"""),"I")</f>
        <v>I</v>
      </c>
      <c r="G1333" s="110">
        <f ca="1">IFERROR(__xludf.DUMMYFUNCTION("""COMPUTED_VALUE"""),2)</f>
        <v>2</v>
      </c>
      <c r="H1333" s="112" t="str">
        <f ca="1"/>
        <v/>
      </c>
      <c r="I1333" s="81" t="str">
        <f ca="1"/>
        <v/>
      </c>
    </row>
    <row r="1334" spans="1:9" ht="13.2">
      <c r="A1334" s="109" t="str">
        <f ca="1">IFERROR(__xludf.DUMMYFUNCTION("""COMPUTED_VALUE"""),"MHC")</f>
        <v>MHC</v>
      </c>
      <c r="B1334" s="108" t="str">
        <f ca="1">IFERROR(__xludf.DUMMYFUNCTION("""COMPUTED_VALUE"""),"Tabby Fulmer")</f>
        <v>Tabby Fulmer</v>
      </c>
      <c r="C1334" s="109">
        <f ca="1">IFERROR(__xludf.DUMMYFUNCTION("""COMPUTED_VALUE"""),11)</f>
        <v>11</v>
      </c>
      <c r="D1334" s="109" t="str">
        <f ca="1">IFERROR(__xludf.DUMMYFUNCTION("""COMPUTED_VALUE"""),"G")</f>
        <v>G</v>
      </c>
      <c r="E1334" s="110" t="str">
        <f ca="1">IFERROR(__xludf.DUMMYFUNCTION("""COMPUTED_VALUE"""),"J")</f>
        <v>J</v>
      </c>
      <c r="F1334" s="110" t="str">
        <f ca="1">IFERROR(__xludf.DUMMYFUNCTION("""COMPUTED_VALUE"""),"I")</f>
        <v>I</v>
      </c>
      <c r="G1334" s="110">
        <f ca="1">IFERROR(__xludf.DUMMYFUNCTION("""COMPUTED_VALUE"""),2)</f>
        <v>2</v>
      </c>
      <c r="H1334" s="112" t="str">
        <f ca="1"/>
        <v/>
      </c>
      <c r="I1334" s="81" t="str">
        <f ca="1"/>
        <v/>
      </c>
    </row>
    <row r="1335" spans="1:9" ht="13.2">
      <c r="A1335" s="109" t="str">
        <f ca="1">IFERROR(__xludf.DUMMYFUNCTION("""COMPUTED_VALUE"""),"MHC")</f>
        <v>MHC</v>
      </c>
      <c r="B1335" s="108" t="str">
        <f ca="1">IFERROR(__xludf.DUMMYFUNCTION("""COMPUTED_VALUE"""),"Jacob Fisher")</f>
        <v>Jacob Fisher</v>
      </c>
      <c r="C1335" s="109">
        <f ca="1">IFERROR(__xludf.DUMMYFUNCTION("""COMPUTED_VALUE"""),16)</f>
        <v>16</v>
      </c>
      <c r="D1335" s="109" t="str">
        <f ca="1">IFERROR(__xludf.DUMMYFUNCTION("""COMPUTED_VALUE"""),"B")</f>
        <v>B</v>
      </c>
      <c r="E1335" s="110" t="str">
        <f ca="1">IFERROR(__xludf.DUMMYFUNCTION("""COMPUTED_VALUE"""),"S")</f>
        <v>S</v>
      </c>
      <c r="F1335" s="110" t="str">
        <f ca="1">IFERROR(__xludf.DUMMYFUNCTION("""COMPUTED_VALUE"""),"S")</f>
        <v>S</v>
      </c>
      <c r="G1335" s="110">
        <f ca="1">IFERROR(__xludf.DUMMYFUNCTION("""COMPUTED_VALUE"""),2)</f>
        <v>2</v>
      </c>
      <c r="H1335" s="112" t="str">
        <f ca="1"/>
        <v/>
      </c>
      <c r="I1335" s="81" t="str">
        <f ca="1"/>
        <v/>
      </c>
    </row>
    <row r="1336" spans="1:9" ht="13.2">
      <c r="A1336" s="109" t="str">
        <f ca="1">IFERROR(__xludf.DUMMYFUNCTION("""COMPUTED_VALUE"""),"MHC")</f>
        <v>MHC</v>
      </c>
      <c r="B1336" s="108" t="str">
        <f ca="1">IFERROR(__xludf.DUMMYFUNCTION("""COMPUTED_VALUE"""),"Ryan Duffield")</f>
        <v>Ryan Duffield</v>
      </c>
      <c r="C1336" s="109">
        <f ca="1">IFERROR(__xludf.DUMMYFUNCTION("""COMPUTED_VALUE"""),15)</f>
        <v>15</v>
      </c>
      <c r="D1336" s="109" t="str">
        <f ca="1">IFERROR(__xludf.DUMMYFUNCTION("""COMPUTED_VALUE"""),"B")</f>
        <v>B</v>
      </c>
      <c r="E1336" s="110" t="str">
        <f ca="1">IFERROR(__xludf.DUMMYFUNCTION("""COMPUTED_VALUE"""),"S")</f>
        <v>S</v>
      </c>
      <c r="F1336" s="110" t="str">
        <f ca="1">IFERROR(__xludf.DUMMYFUNCTION("""COMPUTED_VALUE"""),"S")</f>
        <v>S</v>
      </c>
      <c r="G1336" s="110">
        <f ca="1">IFERROR(__xludf.DUMMYFUNCTION("""COMPUTED_VALUE"""),2)</f>
        <v>2</v>
      </c>
      <c r="H1336" s="112" t="str">
        <f ca="1"/>
        <v/>
      </c>
      <c r="I1336" s="81" t="str">
        <f ca="1"/>
        <v/>
      </c>
    </row>
    <row r="1337" spans="1:9" ht="13.2">
      <c r="A1337" s="109" t="str">
        <f ca="1">IFERROR(__xludf.DUMMYFUNCTION("""COMPUTED_VALUE"""),"MHC")</f>
        <v>MHC</v>
      </c>
      <c r="B1337" s="108" t="str">
        <f ca="1">IFERROR(__xludf.DUMMYFUNCTION("""COMPUTED_VALUE"""),"Clara Barron")</f>
        <v>Clara Barron</v>
      </c>
      <c r="C1337" s="109">
        <f ca="1">IFERROR(__xludf.DUMMYFUNCTION("""COMPUTED_VALUE"""),16)</f>
        <v>16</v>
      </c>
      <c r="D1337" s="109" t="str">
        <f ca="1">IFERROR(__xludf.DUMMYFUNCTION("""COMPUTED_VALUE"""),"G")</f>
        <v>G</v>
      </c>
      <c r="E1337" s="110" t="str">
        <f ca="1">IFERROR(__xludf.DUMMYFUNCTION("""COMPUTED_VALUE"""),"S")</f>
        <v>S</v>
      </c>
      <c r="F1337" s="110" t="str">
        <f ca="1">IFERROR(__xludf.DUMMYFUNCTION("""COMPUTED_VALUE"""),"S")</f>
        <v>S</v>
      </c>
      <c r="G1337" s="110">
        <f ca="1">IFERROR(__xludf.DUMMYFUNCTION("""COMPUTED_VALUE"""),2)</f>
        <v>2</v>
      </c>
      <c r="H1337" s="112" t="str">
        <f ca="1"/>
        <v/>
      </c>
      <c r="I1337" s="112" t="str">
        <f ca="1"/>
        <v/>
      </c>
    </row>
    <row r="1338" spans="1:9" ht="13.2">
      <c r="A1338" s="109" t="str">
        <f ca="1">IFERROR(__xludf.DUMMYFUNCTION("""COMPUTED_VALUE"""),"MHC")</f>
        <v>MHC</v>
      </c>
      <c r="B1338" s="108" t="str">
        <f ca="1">IFERROR(__xludf.DUMMYFUNCTION("""COMPUTED_VALUE"""),"Miah Fisher")</f>
        <v>Miah Fisher</v>
      </c>
      <c r="C1338" s="109">
        <f ca="1">IFERROR(__xludf.DUMMYFUNCTION("""COMPUTED_VALUE"""),18)</f>
        <v>18</v>
      </c>
      <c r="D1338" s="109" t="str">
        <f ca="1">IFERROR(__xludf.DUMMYFUNCTION("""COMPUTED_VALUE"""),"G")</f>
        <v>G</v>
      </c>
      <c r="E1338" s="110" t="str">
        <f ca="1">IFERROR(__xludf.DUMMYFUNCTION("""COMPUTED_VALUE"""),"S")</f>
        <v>S</v>
      </c>
      <c r="F1338" s="110" t="str">
        <f ca="1">IFERROR(__xludf.DUMMYFUNCTION("""COMPUTED_VALUE"""),"S")</f>
        <v>S</v>
      </c>
      <c r="G1338" s="110">
        <f ca="1">IFERROR(__xludf.DUMMYFUNCTION("""COMPUTED_VALUE"""),2)</f>
        <v>2</v>
      </c>
      <c r="H1338" s="112" t="str">
        <f ca="1"/>
        <v/>
      </c>
      <c r="I1338" s="81" t="str">
        <f ca="1"/>
        <v/>
      </c>
    </row>
    <row r="1339" spans="1:9" ht="13.2">
      <c r="A1339" s="109" t="str">
        <f ca="1">IFERROR(__xludf.DUMMYFUNCTION("""COMPUTED_VALUE"""),"MHC")</f>
        <v>MHC</v>
      </c>
      <c r="B1339" s="108" t="str">
        <f ca="1">IFERROR(__xludf.DUMMYFUNCTION("""COMPUTED_VALUE"""),"Zoe Askins")</f>
        <v>Zoe Askins</v>
      </c>
      <c r="C1339" s="109">
        <f ca="1">IFERROR(__xludf.DUMMYFUNCTION("""COMPUTED_VALUE"""),15)</f>
        <v>15</v>
      </c>
      <c r="D1339" s="109" t="str">
        <f ca="1">IFERROR(__xludf.DUMMYFUNCTION("""COMPUTED_VALUE"""),"G")</f>
        <v>G</v>
      </c>
      <c r="E1339" s="110" t="str">
        <f ca="1">IFERROR(__xludf.DUMMYFUNCTION("""COMPUTED_VALUE"""),"S")</f>
        <v>S</v>
      </c>
      <c r="F1339" s="110" t="str">
        <f ca="1">IFERROR(__xludf.DUMMYFUNCTION("""COMPUTED_VALUE"""),"S")</f>
        <v>S</v>
      </c>
      <c r="G1339" s="110">
        <f ca="1">IFERROR(__xludf.DUMMYFUNCTION("""COMPUTED_VALUE"""),2)</f>
        <v>2</v>
      </c>
      <c r="H1339" s="112" t="str">
        <f ca="1"/>
        <v/>
      </c>
      <c r="I1339" s="81" t="str">
        <f ca="1"/>
        <v/>
      </c>
    </row>
    <row r="1340" spans="1:9" ht="13.2">
      <c r="A1340" s="109" t="str">
        <f ca="1">IFERROR(__xludf.DUMMYFUNCTION("""COMPUTED_VALUE"""),"NS")</f>
        <v>NS</v>
      </c>
      <c r="B1340" s="108" t="str">
        <f ca="1">IFERROR(__xludf.DUMMYFUNCTION("""COMPUTED_VALUE"""),"Ethan Dalrymple")</f>
        <v>Ethan Dalrymple</v>
      </c>
      <c r="C1340" s="109">
        <f ca="1">IFERROR(__xludf.DUMMYFUNCTION("""COMPUTED_VALUE"""),9)</f>
        <v>9</v>
      </c>
      <c r="D1340" s="109" t="str">
        <f ca="1">IFERROR(__xludf.DUMMYFUNCTION("""COMPUTED_VALUE"""),"B")</f>
        <v>B</v>
      </c>
      <c r="E1340" s="110" t="str">
        <f ca="1">IFERROR(__xludf.DUMMYFUNCTION("""COMPUTED_VALUE"""),"F")</f>
        <v>F</v>
      </c>
      <c r="F1340" s="110" t="str">
        <f ca="1">IFERROR(__xludf.DUMMYFUNCTION("""COMPUTED_VALUE"""),"J")</f>
        <v>J</v>
      </c>
      <c r="G1340" s="110">
        <f ca="1">IFERROR(__xludf.DUMMYFUNCTION("""COMPUTED_VALUE"""),8)</f>
        <v>8</v>
      </c>
      <c r="H1340" s="112" t="str">
        <f ca="1"/>
        <v/>
      </c>
      <c r="I1340" s="81" t="str">
        <f ca="1"/>
        <v/>
      </c>
    </row>
    <row r="1341" spans="1:9" ht="13.2">
      <c r="A1341" s="109" t="str">
        <f ca="1">IFERROR(__xludf.DUMMYFUNCTION("""COMPUTED_VALUE"""),"NS")</f>
        <v>NS</v>
      </c>
      <c r="B1341" s="108" t="str">
        <f ca="1">IFERROR(__xludf.DUMMYFUNCTION("""COMPUTED_VALUE"""),"Jasper Albers")</f>
        <v>Jasper Albers</v>
      </c>
      <c r="C1341" s="109">
        <f ca="1">IFERROR(__xludf.DUMMYFUNCTION("""COMPUTED_VALUE"""),5)</f>
        <v>5</v>
      </c>
      <c r="D1341" s="109" t="str">
        <f ca="1">IFERROR(__xludf.DUMMYFUNCTION("""COMPUTED_VALUE"""),"B")</f>
        <v>B</v>
      </c>
      <c r="E1341" s="110" t="str">
        <f ca="1">IFERROR(__xludf.DUMMYFUNCTION("""COMPUTED_VALUE"""),"F")</f>
        <v>F</v>
      </c>
      <c r="F1341" s="110" t="str">
        <f ca="1">IFERROR(__xludf.DUMMYFUNCTION("""COMPUTED_VALUE"""),"J")</f>
        <v>J</v>
      </c>
      <c r="G1341" s="110">
        <f ca="1">IFERROR(__xludf.DUMMYFUNCTION("""COMPUTED_VALUE"""),8)</f>
        <v>8</v>
      </c>
      <c r="H1341" s="112" t="str">
        <f ca="1"/>
        <v/>
      </c>
      <c r="I1341" s="81" t="str">
        <f ca="1"/>
        <v/>
      </c>
    </row>
    <row r="1342" spans="1:9" ht="13.2">
      <c r="A1342" s="109" t="str">
        <f ca="1">IFERROR(__xludf.DUMMYFUNCTION("""COMPUTED_VALUE"""),"NS")</f>
        <v>NS</v>
      </c>
      <c r="B1342" s="108" t="str">
        <f ca="1">IFERROR(__xludf.DUMMYFUNCTION("""COMPUTED_VALUE"""),"Keegan Sgro")</f>
        <v>Keegan Sgro</v>
      </c>
      <c r="C1342" s="109">
        <f ca="1">IFERROR(__xludf.DUMMYFUNCTION("""COMPUTED_VALUE"""),10)</f>
        <v>10</v>
      </c>
      <c r="D1342" s="109" t="str">
        <f ca="1">IFERROR(__xludf.DUMMYFUNCTION("""COMPUTED_VALUE"""),"B")</f>
        <v>B</v>
      </c>
      <c r="E1342" s="110" t="str">
        <f ca="1">IFERROR(__xludf.DUMMYFUNCTION("""COMPUTED_VALUE"""),"F")</f>
        <v>F</v>
      </c>
      <c r="F1342" s="110" t="str">
        <f ca="1">IFERROR(__xludf.DUMMYFUNCTION("""COMPUTED_VALUE"""),"J")</f>
        <v>J</v>
      </c>
      <c r="G1342" s="110">
        <f ca="1">IFERROR(__xludf.DUMMYFUNCTION("""COMPUTED_VALUE"""),8)</f>
        <v>8</v>
      </c>
      <c r="H1342" s="112" t="str">
        <f ca="1"/>
        <v/>
      </c>
      <c r="I1342" s="81" t="str">
        <f ca="1"/>
        <v/>
      </c>
    </row>
    <row r="1343" spans="1:9" ht="13.2">
      <c r="A1343" s="109" t="str">
        <f ca="1">IFERROR(__xludf.DUMMYFUNCTION("""COMPUTED_VALUE"""),"NS")</f>
        <v>NS</v>
      </c>
      <c r="B1343" s="108" t="str">
        <f ca="1">IFERROR(__xludf.DUMMYFUNCTION("""COMPUTED_VALUE"""),"Matthew Perez")</f>
        <v>Matthew Perez</v>
      </c>
      <c r="C1343" s="109">
        <f ca="1">IFERROR(__xludf.DUMMYFUNCTION("""COMPUTED_VALUE"""),7)</f>
        <v>7</v>
      </c>
      <c r="D1343" s="109" t="str">
        <f ca="1">IFERROR(__xludf.DUMMYFUNCTION("""COMPUTED_VALUE"""),"B")</f>
        <v>B</v>
      </c>
      <c r="E1343" s="110" t="str">
        <f ca="1">IFERROR(__xludf.DUMMYFUNCTION("""COMPUTED_VALUE"""),"F")</f>
        <v>F</v>
      </c>
      <c r="F1343" s="110" t="str">
        <f ca="1">IFERROR(__xludf.DUMMYFUNCTION("""COMPUTED_VALUE"""),"J")</f>
        <v>J</v>
      </c>
      <c r="G1343" s="110">
        <f ca="1">IFERROR(__xludf.DUMMYFUNCTION("""COMPUTED_VALUE"""),8)</f>
        <v>8</v>
      </c>
      <c r="H1343" s="112" t="str">
        <f ca="1"/>
        <v/>
      </c>
      <c r="I1343" s="81" t="str">
        <f ca="1"/>
        <v/>
      </c>
    </row>
    <row r="1344" spans="1:9" ht="13.2">
      <c r="A1344" s="109" t="str">
        <f ca="1">IFERROR(__xludf.DUMMYFUNCTION("""COMPUTED_VALUE"""),"NS")</f>
        <v>NS</v>
      </c>
      <c r="B1344" s="108" t="str">
        <f ca="1">IFERROR(__xludf.DUMMYFUNCTION("""COMPUTED_VALUE"""),"Orion Albers")</f>
        <v>Orion Albers</v>
      </c>
      <c r="C1344" s="109">
        <f ca="1">IFERROR(__xludf.DUMMYFUNCTION("""COMPUTED_VALUE"""),3)</f>
        <v>3</v>
      </c>
      <c r="D1344" s="109" t="str">
        <f ca="1">IFERROR(__xludf.DUMMYFUNCTION("""COMPUTED_VALUE"""),"B")</f>
        <v>B</v>
      </c>
      <c r="E1344" s="110" t="str">
        <f ca="1">IFERROR(__xludf.DUMMYFUNCTION("""COMPUTED_VALUE"""),"F")</f>
        <v>F</v>
      </c>
      <c r="F1344" s="110" t="str">
        <f ca="1">IFERROR(__xludf.DUMMYFUNCTION("""COMPUTED_VALUE"""),"J")</f>
        <v>J</v>
      </c>
      <c r="G1344" s="110">
        <f ca="1">IFERROR(__xludf.DUMMYFUNCTION("""COMPUTED_VALUE"""),8)</f>
        <v>8</v>
      </c>
      <c r="H1344" s="112" t="str">
        <f ca="1"/>
        <v/>
      </c>
      <c r="I1344" s="81" t="str">
        <f ca="1"/>
        <v/>
      </c>
    </row>
    <row r="1345" spans="1:9" ht="13.2">
      <c r="A1345" s="109" t="str">
        <f ca="1">IFERROR(__xludf.DUMMYFUNCTION("""COMPUTED_VALUE"""),"NS")</f>
        <v>NS</v>
      </c>
      <c r="B1345" s="108" t="str">
        <f ca="1">IFERROR(__xludf.DUMMYFUNCTION("""COMPUTED_VALUE"""),"Phill Bernard")</f>
        <v>Phill Bernard</v>
      </c>
      <c r="C1345" s="109">
        <f ca="1">IFERROR(__xludf.DUMMYFUNCTION("""COMPUTED_VALUE"""),9)</f>
        <v>9</v>
      </c>
      <c r="D1345" s="109" t="str">
        <f ca="1">IFERROR(__xludf.DUMMYFUNCTION("""COMPUTED_VALUE"""),"B")</f>
        <v>B</v>
      </c>
      <c r="E1345" s="110" t="str">
        <f ca="1">IFERROR(__xludf.DUMMYFUNCTION("""COMPUTED_VALUE"""),"F")</f>
        <v>F</v>
      </c>
      <c r="F1345" s="110" t="str">
        <f ca="1">IFERROR(__xludf.DUMMYFUNCTION("""COMPUTED_VALUE"""),"J")</f>
        <v>J</v>
      </c>
      <c r="G1345" s="110">
        <f ca="1">IFERROR(__xludf.DUMMYFUNCTION("""COMPUTED_VALUE"""),8)</f>
        <v>8</v>
      </c>
      <c r="H1345" s="112" t="str">
        <f ca="1"/>
        <v>42.35</v>
      </c>
      <c r="I1345" s="81">
        <f ca="1"/>
        <v>42.35</v>
      </c>
    </row>
    <row r="1346" spans="1:9" ht="13.2">
      <c r="A1346" s="109" t="str">
        <f ca="1">IFERROR(__xludf.DUMMYFUNCTION("""COMPUTED_VALUE"""),"NS")</f>
        <v>NS</v>
      </c>
      <c r="B1346" s="108" t="str">
        <f ca="1">IFERROR(__xludf.DUMMYFUNCTION("""COMPUTED_VALUE"""),"Ryan Guy")</f>
        <v>Ryan Guy</v>
      </c>
      <c r="C1346" s="109">
        <f ca="1">IFERROR(__xludf.DUMMYFUNCTION("""COMPUTED_VALUE"""),9)</f>
        <v>9</v>
      </c>
      <c r="D1346" s="109" t="str">
        <f ca="1">IFERROR(__xludf.DUMMYFUNCTION("""COMPUTED_VALUE"""),"B")</f>
        <v>B</v>
      </c>
      <c r="E1346" s="110" t="str">
        <f ca="1">IFERROR(__xludf.DUMMYFUNCTION("""COMPUTED_VALUE"""),"F")</f>
        <v>F</v>
      </c>
      <c r="F1346" s="110" t="str">
        <f ca="1">IFERROR(__xludf.DUMMYFUNCTION("""COMPUTED_VALUE"""),"J")</f>
        <v>J</v>
      </c>
      <c r="G1346" s="110">
        <f ca="1">IFERROR(__xludf.DUMMYFUNCTION("""COMPUTED_VALUE"""),8)</f>
        <v>8</v>
      </c>
      <c r="H1346" s="112" t="str">
        <f ca="1"/>
        <v>13.2</v>
      </c>
      <c r="I1346" s="81">
        <f ca="1"/>
        <v>13.2</v>
      </c>
    </row>
    <row r="1347" spans="1:9" ht="13.2">
      <c r="A1347" s="109" t="str">
        <f ca="1">IFERROR(__xludf.DUMMYFUNCTION("""COMPUTED_VALUE"""),"NS")</f>
        <v>NS</v>
      </c>
      <c r="B1347" s="108" t="str">
        <f ca="1">IFERROR(__xludf.DUMMYFUNCTION("""COMPUTED_VALUE"""),"William Gall")</f>
        <v>William Gall</v>
      </c>
      <c r="C1347" s="109">
        <f ca="1">IFERROR(__xludf.DUMMYFUNCTION("""COMPUTED_VALUE"""),9)</f>
        <v>9</v>
      </c>
      <c r="D1347" s="109" t="str">
        <f ca="1">IFERROR(__xludf.DUMMYFUNCTION("""COMPUTED_VALUE"""),"B")</f>
        <v>B</v>
      </c>
      <c r="E1347" s="110" t="str">
        <f ca="1">IFERROR(__xludf.DUMMYFUNCTION("""COMPUTED_VALUE"""),"F")</f>
        <v>F</v>
      </c>
      <c r="F1347" s="110" t="str">
        <f ca="1">IFERROR(__xludf.DUMMYFUNCTION("""COMPUTED_VALUE"""),"J")</f>
        <v>J</v>
      </c>
      <c r="G1347" s="110">
        <f ca="1">IFERROR(__xludf.DUMMYFUNCTION("""COMPUTED_VALUE"""),8)</f>
        <v>8</v>
      </c>
      <c r="H1347" s="112" t="str">
        <f ca="1"/>
        <v/>
      </c>
      <c r="I1347" s="81" t="str">
        <f ca="1"/>
        <v/>
      </c>
    </row>
    <row r="1348" spans="1:9" ht="13.2">
      <c r="A1348" s="109" t="str">
        <f ca="1">IFERROR(__xludf.DUMMYFUNCTION("""COMPUTED_VALUE"""),"NS")</f>
        <v>NS</v>
      </c>
      <c r="B1348" s="108" t="str">
        <f ca="1">IFERROR(__xludf.DUMMYFUNCTION("""COMPUTED_VALUE"""),"Yousef Chawki")</f>
        <v>Yousef Chawki</v>
      </c>
      <c r="C1348" s="109">
        <f ca="1">IFERROR(__xludf.DUMMYFUNCTION("""COMPUTED_VALUE"""),9)</f>
        <v>9</v>
      </c>
      <c r="D1348" s="109" t="str">
        <f ca="1">IFERROR(__xludf.DUMMYFUNCTION("""COMPUTED_VALUE"""),"B")</f>
        <v>B</v>
      </c>
      <c r="E1348" s="110" t="str">
        <f ca="1">IFERROR(__xludf.DUMMYFUNCTION("""COMPUTED_VALUE"""),"F")</f>
        <v>F</v>
      </c>
      <c r="F1348" s="110" t="str">
        <f ca="1">IFERROR(__xludf.DUMMYFUNCTION("""COMPUTED_VALUE"""),"J")</f>
        <v>J</v>
      </c>
      <c r="G1348" s="110">
        <f ca="1">IFERROR(__xludf.DUMMYFUNCTION("""COMPUTED_VALUE"""),8)</f>
        <v>8</v>
      </c>
      <c r="H1348" s="112" t="str">
        <f ca="1"/>
        <v>40.3</v>
      </c>
      <c r="I1348" s="81">
        <f ca="1"/>
        <v>40.299999999999997</v>
      </c>
    </row>
    <row r="1349" spans="1:9" ht="13.2">
      <c r="A1349" s="109" t="str">
        <f ca="1">IFERROR(__xludf.DUMMYFUNCTION("""COMPUTED_VALUE"""),"NS")</f>
        <v>NS</v>
      </c>
      <c r="B1349" s="108" t="str">
        <f ca="1">IFERROR(__xludf.DUMMYFUNCTION("""COMPUTED_VALUE"""),"Allie Balbuena")</f>
        <v>Allie Balbuena</v>
      </c>
      <c r="C1349" s="109">
        <f ca="1">IFERROR(__xludf.DUMMYFUNCTION("""COMPUTED_VALUE"""),8)</f>
        <v>8</v>
      </c>
      <c r="D1349" s="109" t="str">
        <f ca="1">IFERROR(__xludf.DUMMYFUNCTION("""COMPUTED_VALUE"""),"G")</f>
        <v>G</v>
      </c>
      <c r="E1349" s="110" t="str">
        <f ca="1">IFERROR(__xludf.DUMMYFUNCTION("""COMPUTED_VALUE"""),"F")</f>
        <v>F</v>
      </c>
      <c r="F1349" s="110" t="str">
        <f ca="1">IFERROR(__xludf.DUMMYFUNCTION("""COMPUTED_VALUE"""),"J")</f>
        <v>J</v>
      </c>
      <c r="G1349" s="110">
        <f ca="1">IFERROR(__xludf.DUMMYFUNCTION("""COMPUTED_VALUE"""),8)</f>
        <v>8</v>
      </c>
      <c r="H1349" s="112" t="str">
        <f ca="1"/>
        <v>17.5</v>
      </c>
      <c r="I1349" s="112">
        <f ca="1"/>
        <v>17.5</v>
      </c>
    </row>
    <row r="1350" spans="1:9" ht="13.2">
      <c r="A1350" s="109" t="str">
        <f ca="1">IFERROR(__xludf.DUMMYFUNCTION("""COMPUTED_VALUE"""),"NS")</f>
        <v>NS</v>
      </c>
      <c r="B1350" s="108" t="str">
        <f ca="1">IFERROR(__xludf.DUMMYFUNCTION("""COMPUTED_VALUE"""),"Delilah Perez")</f>
        <v>Delilah Perez</v>
      </c>
      <c r="C1350" s="109">
        <f ca="1">IFERROR(__xludf.DUMMYFUNCTION("""COMPUTED_VALUE"""),9)</f>
        <v>9</v>
      </c>
      <c r="D1350" s="109" t="str">
        <f ca="1">IFERROR(__xludf.DUMMYFUNCTION("""COMPUTED_VALUE"""),"G")</f>
        <v>G</v>
      </c>
      <c r="E1350" s="110" t="str">
        <f ca="1">IFERROR(__xludf.DUMMYFUNCTION("""COMPUTED_VALUE"""),"F")</f>
        <v>F</v>
      </c>
      <c r="F1350" s="110" t="str">
        <f ca="1">IFERROR(__xludf.DUMMYFUNCTION("""COMPUTED_VALUE"""),"J")</f>
        <v>J</v>
      </c>
      <c r="G1350" s="110">
        <f ca="1">IFERROR(__xludf.DUMMYFUNCTION("""COMPUTED_VALUE"""),8)</f>
        <v>8</v>
      </c>
      <c r="H1350" s="112" t="str">
        <f ca="1"/>
        <v/>
      </c>
      <c r="I1350" s="81" t="str">
        <f ca="1"/>
        <v/>
      </c>
    </row>
    <row r="1351" spans="1:9" ht="13.2">
      <c r="A1351" s="109" t="str">
        <f ca="1">IFERROR(__xludf.DUMMYFUNCTION("""COMPUTED_VALUE"""),"NS")</f>
        <v>NS</v>
      </c>
      <c r="B1351" s="108" t="str">
        <f ca="1">IFERROR(__xludf.DUMMYFUNCTION("""COMPUTED_VALUE"""),"Gabi Simone")</f>
        <v>Gabi Simone</v>
      </c>
      <c r="C1351" s="109">
        <f ca="1">IFERROR(__xludf.DUMMYFUNCTION("""COMPUTED_VALUE"""),9)</f>
        <v>9</v>
      </c>
      <c r="D1351" s="109" t="str">
        <f ca="1">IFERROR(__xludf.DUMMYFUNCTION("""COMPUTED_VALUE"""),"G")</f>
        <v>G</v>
      </c>
      <c r="E1351" s="110" t="str">
        <f ca="1">IFERROR(__xludf.DUMMYFUNCTION("""COMPUTED_VALUE"""),"F")</f>
        <v>F</v>
      </c>
      <c r="F1351" s="110" t="str">
        <f ca="1">IFERROR(__xludf.DUMMYFUNCTION("""COMPUTED_VALUE"""),"J")</f>
        <v>J</v>
      </c>
      <c r="G1351" s="110">
        <f ca="1">IFERROR(__xludf.DUMMYFUNCTION("""COMPUTED_VALUE"""),8)</f>
        <v>8</v>
      </c>
      <c r="H1351" s="112" t="str">
        <f ca="1"/>
        <v/>
      </c>
      <c r="I1351" s="112" t="str">
        <f ca="1"/>
        <v/>
      </c>
    </row>
    <row r="1352" spans="1:9" ht="13.2">
      <c r="A1352" s="109" t="str">
        <f ca="1">IFERROR(__xludf.DUMMYFUNCTION("""COMPUTED_VALUE"""),"NS")</f>
        <v>NS</v>
      </c>
      <c r="B1352" s="108" t="str">
        <f ca="1">IFERROR(__xludf.DUMMYFUNCTION("""COMPUTED_VALUE"""),"Kat Mahoney")</f>
        <v>Kat Mahoney</v>
      </c>
      <c r="C1352" s="109">
        <f ca="1">IFERROR(__xludf.DUMMYFUNCTION("""COMPUTED_VALUE"""),9)</f>
        <v>9</v>
      </c>
      <c r="D1352" s="109" t="str">
        <f ca="1">IFERROR(__xludf.DUMMYFUNCTION("""COMPUTED_VALUE"""),"G")</f>
        <v>G</v>
      </c>
      <c r="E1352" s="110" t="str">
        <f ca="1">IFERROR(__xludf.DUMMYFUNCTION("""COMPUTED_VALUE"""),"F")</f>
        <v>F</v>
      </c>
      <c r="F1352" s="110" t="str">
        <f ca="1">IFERROR(__xludf.DUMMYFUNCTION("""COMPUTED_VALUE"""),"J")</f>
        <v>J</v>
      </c>
      <c r="G1352" s="110">
        <f ca="1">IFERROR(__xludf.DUMMYFUNCTION("""COMPUTED_VALUE"""),8)</f>
        <v>8</v>
      </c>
      <c r="H1352" s="112" t="str">
        <f ca="1"/>
        <v/>
      </c>
      <c r="I1352" s="112" t="str">
        <f ca="1"/>
        <v/>
      </c>
    </row>
    <row r="1353" spans="1:9" ht="13.2">
      <c r="A1353" s="109" t="str">
        <f ca="1">IFERROR(__xludf.DUMMYFUNCTION("""COMPUTED_VALUE"""),"NS")</f>
        <v>NS</v>
      </c>
      <c r="B1353" s="108" t="str">
        <f ca="1">IFERROR(__xludf.DUMMYFUNCTION("""COMPUTED_VALUE"""),"Mia Brown")</f>
        <v>Mia Brown</v>
      </c>
      <c r="C1353" s="109">
        <f ca="1">IFERROR(__xludf.DUMMYFUNCTION("""COMPUTED_VALUE"""),10)</f>
        <v>10</v>
      </c>
      <c r="D1353" s="109" t="str">
        <f ca="1">IFERROR(__xludf.DUMMYFUNCTION("""COMPUTED_VALUE"""),"G")</f>
        <v>G</v>
      </c>
      <c r="E1353" s="110" t="str">
        <f ca="1">IFERROR(__xludf.DUMMYFUNCTION("""COMPUTED_VALUE"""),"F")</f>
        <v>F</v>
      </c>
      <c r="F1353" s="110" t="str">
        <f ca="1">IFERROR(__xludf.DUMMYFUNCTION("""COMPUTED_VALUE"""),"J")</f>
        <v>J</v>
      </c>
      <c r="G1353" s="110">
        <f ca="1">IFERROR(__xludf.DUMMYFUNCTION("""COMPUTED_VALUE"""),8)</f>
        <v>8</v>
      </c>
      <c r="H1353" s="112" t="str">
        <f ca="1"/>
        <v/>
      </c>
      <c r="I1353" s="112" t="str">
        <f ca="1"/>
        <v/>
      </c>
    </row>
    <row r="1354" spans="1:9" ht="13.2">
      <c r="A1354" s="109" t="str">
        <f ca="1">IFERROR(__xludf.DUMMYFUNCTION("""COMPUTED_VALUE"""),"NS")</f>
        <v>NS</v>
      </c>
      <c r="B1354" s="108" t="str">
        <f ca="1">IFERROR(__xludf.DUMMYFUNCTION("""COMPUTED_VALUE"""),"Natalia Haley")</f>
        <v>Natalia Haley</v>
      </c>
      <c r="C1354" s="109">
        <f ca="1">IFERROR(__xludf.DUMMYFUNCTION("""COMPUTED_VALUE"""),9)</f>
        <v>9</v>
      </c>
      <c r="D1354" s="109" t="str">
        <f ca="1">IFERROR(__xludf.DUMMYFUNCTION("""COMPUTED_VALUE"""),"G")</f>
        <v>G</v>
      </c>
      <c r="E1354" s="110" t="str">
        <f ca="1">IFERROR(__xludf.DUMMYFUNCTION("""COMPUTED_VALUE"""),"F")</f>
        <v>F</v>
      </c>
      <c r="F1354" s="110" t="str">
        <f ca="1">IFERROR(__xludf.DUMMYFUNCTION("""COMPUTED_VALUE"""),"J")</f>
        <v>J</v>
      </c>
      <c r="G1354" s="110">
        <f ca="1">IFERROR(__xludf.DUMMYFUNCTION("""COMPUTED_VALUE"""),8)</f>
        <v>8</v>
      </c>
      <c r="H1354" s="112" t="str">
        <f ca="1"/>
        <v>52.05</v>
      </c>
      <c r="I1354" s="112">
        <f ca="1"/>
        <v>52.05</v>
      </c>
    </row>
    <row r="1355" spans="1:9" ht="13.2">
      <c r="A1355" s="109" t="str">
        <f ca="1">IFERROR(__xludf.DUMMYFUNCTION("""COMPUTED_VALUE"""),"NS")</f>
        <v>NS</v>
      </c>
      <c r="B1355" s="108" t="str">
        <f ca="1">IFERROR(__xludf.DUMMYFUNCTION("""COMPUTED_VALUE"""),"Brian Bernard")</f>
        <v>Brian Bernard</v>
      </c>
      <c r="C1355" s="109">
        <f ca="1">IFERROR(__xludf.DUMMYFUNCTION("""COMPUTED_VALUE"""),14)</f>
        <v>14</v>
      </c>
      <c r="D1355" s="109" t="str">
        <f ca="1">IFERROR(__xludf.DUMMYFUNCTION("""COMPUTED_VALUE"""),"B")</f>
        <v>B</v>
      </c>
      <c r="E1355" s="110" t="str">
        <f ca="1">IFERROR(__xludf.DUMMYFUNCTION("""COMPUTED_VALUE"""),"I")</f>
        <v>I</v>
      </c>
      <c r="F1355" s="110" t="str">
        <f ca="1">IFERROR(__xludf.DUMMYFUNCTION("""COMPUTED_VALUE"""),"S")</f>
        <v>S</v>
      </c>
      <c r="G1355" s="110">
        <f ca="1">IFERROR(__xludf.DUMMYFUNCTION("""COMPUTED_VALUE"""),8)</f>
        <v>8</v>
      </c>
      <c r="H1355" s="112" t="str">
        <f ca="1"/>
        <v>53.5</v>
      </c>
      <c r="I1355" s="112">
        <f ca="1"/>
        <v>53.5</v>
      </c>
    </row>
    <row r="1356" spans="1:9" ht="13.2">
      <c r="A1356" s="109" t="str">
        <f ca="1">IFERROR(__xludf.DUMMYFUNCTION("""COMPUTED_VALUE"""),"NS")</f>
        <v>NS</v>
      </c>
      <c r="B1356" s="108" t="str">
        <f ca="1">IFERROR(__xludf.DUMMYFUNCTION("""COMPUTED_VALUE"""),"Drew McKenna")</f>
        <v>Drew McKenna</v>
      </c>
      <c r="C1356" s="109">
        <f ca="1">IFERROR(__xludf.DUMMYFUNCTION("""COMPUTED_VALUE"""),14)</f>
        <v>14</v>
      </c>
      <c r="D1356" s="109" t="str">
        <f ca="1">IFERROR(__xludf.DUMMYFUNCTION("""COMPUTED_VALUE"""),"B")</f>
        <v>B</v>
      </c>
      <c r="E1356" s="110" t="str">
        <f ca="1">IFERROR(__xludf.DUMMYFUNCTION("""COMPUTED_VALUE"""),"I")</f>
        <v>I</v>
      </c>
      <c r="F1356" s="110" t="str">
        <f ca="1">IFERROR(__xludf.DUMMYFUNCTION("""COMPUTED_VALUE"""),"S")</f>
        <v>S</v>
      </c>
      <c r="G1356" s="110">
        <f ca="1">IFERROR(__xludf.DUMMYFUNCTION("""COMPUTED_VALUE"""),8)</f>
        <v>8</v>
      </c>
      <c r="H1356" s="112" t="str">
        <f ca="1"/>
        <v/>
      </c>
      <c r="I1356" s="112" t="str">
        <f ca="1"/>
        <v/>
      </c>
    </row>
    <row r="1357" spans="1:9" ht="13.2">
      <c r="A1357" s="109" t="str">
        <f ca="1">IFERROR(__xludf.DUMMYFUNCTION("""COMPUTED_VALUE"""),"NS")</f>
        <v>NS</v>
      </c>
      <c r="B1357" s="108" t="str">
        <f ca="1">IFERROR(__xludf.DUMMYFUNCTION("""COMPUTED_VALUE"""),"Ethan Simone")</f>
        <v>Ethan Simone</v>
      </c>
      <c r="C1357" s="109">
        <f ca="1">IFERROR(__xludf.DUMMYFUNCTION("""COMPUTED_VALUE"""),13)</f>
        <v>13</v>
      </c>
      <c r="D1357" s="109" t="str">
        <f ca="1">IFERROR(__xludf.DUMMYFUNCTION("""COMPUTED_VALUE"""),"B")</f>
        <v>B</v>
      </c>
      <c r="E1357" s="110" t="str">
        <f ca="1">IFERROR(__xludf.DUMMYFUNCTION("""COMPUTED_VALUE"""),"I")</f>
        <v>I</v>
      </c>
      <c r="F1357" s="110" t="str">
        <f ca="1">IFERROR(__xludf.DUMMYFUNCTION("""COMPUTED_VALUE"""),"S")</f>
        <v>S</v>
      </c>
      <c r="G1357" s="110">
        <f ca="1">IFERROR(__xludf.DUMMYFUNCTION("""COMPUTED_VALUE"""),8)</f>
        <v>8</v>
      </c>
      <c r="H1357" s="112" t="str">
        <f ca="1"/>
        <v>61.05</v>
      </c>
      <c r="I1357" s="112">
        <f ca="1"/>
        <v>61.05</v>
      </c>
    </row>
    <row r="1358" spans="1:9" ht="13.2">
      <c r="A1358" s="109" t="str">
        <f ca="1">IFERROR(__xludf.DUMMYFUNCTION("""COMPUTED_VALUE"""),"NS")</f>
        <v>NS</v>
      </c>
      <c r="B1358" s="108" t="str">
        <f ca="1">IFERROR(__xludf.DUMMYFUNCTION("""COMPUTED_VALUE"""),"Madalyn Dixon")</f>
        <v>Madalyn Dixon</v>
      </c>
      <c r="C1358" s="109">
        <f ca="1">IFERROR(__xludf.DUMMYFUNCTION("""COMPUTED_VALUE"""),14)</f>
        <v>14</v>
      </c>
      <c r="D1358" s="109" t="str">
        <f ca="1">IFERROR(__xludf.DUMMYFUNCTION("""COMPUTED_VALUE"""),"G")</f>
        <v>G</v>
      </c>
      <c r="E1358" s="110" t="str">
        <f ca="1">IFERROR(__xludf.DUMMYFUNCTION("""COMPUTED_VALUE"""),"I")</f>
        <v>I</v>
      </c>
      <c r="F1358" s="110" t="str">
        <f ca="1">IFERROR(__xludf.DUMMYFUNCTION("""COMPUTED_VALUE"""),"S")</f>
        <v>S</v>
      </c>
      <c r="G1358" s="110">
        <f ca="1">IFERROR(__xludf.DUMMYFUNCTION("""COMPUTED_VALUE"""),8)</f>
        <v>8</v>
      </c>
      <c r="H1358" s="112" t="str">
        <f ca="1"/>
        <v/>
      </c>
      <c r="I1358" s="81" t="str">
        <f ca="1"/>
        <v/>
      </c>
    </row>
    <row r="1359" spans="1:9" ht="13.2">
      <c r="A1359" s="109" t="str">
        <f ca="1">IFERROR(__xludf.DUMMYFUNCTION("""COMPUTED_VALUE"""),"NS")</f>
        <v>NS</v>
      </c>
      <c r="B1359" s="108" t="str">
        <f ca="1">IFERROR(__xludf.DUMMYFUNCTION("""COMPUTED_VALUE"""),"Yasmeen Chawki")</f>
        <v>Yasmeen Chawki</v>
      </c>
      <c r="C1359" s="109">
        <f ca="1">IFERROR(__xludf.DUMMYFUNCTION("""COMPUTED_VALUE"""),13)</f>
        <v>13</v>
      </c>
      <c r="D1359" s="109" t="str">
        <f ca="1">IFERROR(__xludf.DUMMYFUNCTION("""COMPUTED_VALUE"""),"G")</f>
        <v>G</v>
      </c>
      <c r="E1359" s="110" t="str">
        <f ca="1">IFERROR(__xludf.DUMMYFUNCTION("""COMPUTED_VALUE"""),"I")</f>
        <v>I</v>
      </c>
      <c r="F1359" s="110" t="str">
        <f ca="1">IFERROR(__xludf.DUMMYFUNCTION("""COMPUTED_VALUE"""),"S")</f>
        <v>S</v>
      </c>
      <c r="G1359" s="110">
        <f ca="1">IFERROR(__xludf.DUMMYFUNCTION("""COMPUTED_VALUE"""),8)</f>
        <v>8</v>
      </c>
      <c r="H1359" s="112" t="str">
        <f ca="1"/>
        <v/>
      </c>
      <c r="I1359" s="112" t="str">
        <f ca="1"/>
        <v/>
      </c>
    </row>
    <row r="1360" spans="1:9" ht="13.2">
      <c r="A1360" s="109" t="str">
        <f ca="1">IFERROR(__xludf.DUMMYFUNCTION("""COMPUTED_VALUE"""),"NS")</f>
        <v>NS</v>
      </c>
      <c r="B1360" s="108" t="str">
        <f ca="1">IFERROR(__xludf.DUMMYFUNCTION("""COMPUTED_VALUE"""),"Alberto Tolentino")</f>
        <v>Alberto Tolentino</v>
      </c>
      <c r="C1360" s="109">
        <f ca="1">IFERROR(__xludf.DUMMYFUNCTION("""COMPUTED_VALUE"""),11)</f>
        <v>11</v>
      </c>
      <c r="D1360" s="109" t="str">
        <f ca="1">IFERROR(__xludf.DUMMYFUNCTION("""COMPUTED_VALUE"""),"B")</f>
        <v>B</v>
      </c>
      <c r="E1360" s="110" t="str">
        <f ca="1">IFERROR(__xludf.DUMMYFUNCTION("""COMPUTED_VALUE"""),"J")</f>
        <v>J</v>
      </c>
      <c r="F1360" s="110" t="str">
        <f ca="1">IFERROR(__xludf.DUMMYFUNCTION("""COMPUTED_VALUE"""),"I")</f>
        <v>I</v>
      </c>
      <c r="G1360" s="110">
        <f ca="1">IFERROR(__xludf.DUMMYFUNCTION("""COMPUTED_VALUE"""),8)</f>
        <v>8</v>
      </c>
      <c r="H1360" s="112" t="str">
        <f ca="1"/>
        <v/>
      </c>
      <c r="I1360" s="112" t="str">
        <f ca="1"/>
        <v/>
      </c>
    </row>
    <row r="1361" spans="1:9" ht="13.2">
      <c r="A1361" s="109" t="str">
        <f ca="1">IFERROR(__xludf.DUMMYFUNCTION("""COMPUTED_VALUE"""),"NS")</f>
        <v>NS</v>
      </c>
      <c r="B1361" s="108" t="str">
        <f ca="1">IFERROR(__xludf.DUMMYFUNCTION("""COMPUTED_VALUE"""),"Charlie McGinity")</f>
        <v>Charlie McGinity</v>
      </c>
      <c r="C1361" s="109">
        <f ca="1">IFERROR(__xludf.DUMMYFUNCTION("""COMPUTED_VALUE"""),12)</f>
        <v>12</v>
      </c>
      <c r="D1361" s="109" t="str">
        <f ca="1">IFERROR(__xludf.DUMMYFUNCTION("""COMPUTED_VALUE"""),"B")</f>
        <v>B</v>
      </c>
      <c r="E1361" s="110" t="str">
        <f ca="1">IFERROR(__xludf.DUMMYFUNCTION("""COMPUTED_VALUE"""),"J")</f>
        <v>J</v>
      </c>
      <c r="F1361" s="110" t="str">
        <f ca="1">IFERROR(__xludf.DUMMYFUNCTION("""COMPUTED_VALUE"""),"I")</f>
        <v>I</v>
      </c>
      <c r="G1361" s="110">
        <f ca="1">IFERROR(__xludf.DUMMYFUNCTION("""COMPUTED_VALUE"""),8)</f>
        <v>8</v>
      </c>
      <c r="H1361" s="112" t="str">
        <f ca="1"/>
        <v>82.5</v>
      </c>
      <c r="I1361" s="81">
        <f ca="1"/>
        <v>82.5</v>
      </c>
    </row>
    <row r="1362" spans="1:9" ht="13.2">
      <c r="A1362" s="109" t="str">
        <f ca="1">IFERROR(__xludf.DUMMYFUNCTION("""COMPUTED_VALUE"""),"NS")</f>
        <v>NS</v>
      </c>
      <c r="B1362" s="108" t="str">
        <f ca="1">IFERROR(__xludf.DUMMYFUNCTION("""COMPUTED_VALUE"""),"Chase Waldridge")</f>
        <v>Chase Waldridge</v>
      </c>
      <c r="C1362" s="109">
        <f ca="1">IFERROR(__xludf.DUMMYFUNCTION("""COMPUTED_VALUE"""),11)</f>
        <v>11</v>
      </c>
      <c r="D1362" s="109" t="str">
        <f ca="1">IFERROR(__xludf.DUMMYFUNCTION("""COMPUTED_VALUE"""),"B")</f>
        <v>B</v>
      </c>
      <c r="E1362" s="110" t="str">
        <f ca="1">IFERROR(__xludf.DUMMYFUNCTION("""COMPUTED_VALUE"""),"J")</f>
        <v>J</v>
      </c>
      <c r="F1362" s="110" t="str">
        <f ca="1">IFERROR(__xludf.DUMMYFUNCTION("""COMPUTED_VALUE"""),"I")</f>
        <v>I</v>
      </c>
      <c r="G1362" s="110">
        <f ca="1">IFERROR(__xludf.DUMMYFUNCTION("""COMPUTED_VALUE"""),8)</f>
        <v>8</v>
      </c>
      <c r="H1362" s="112" t="str">
        <f ca="1"/>
        <v/>
      </c>
      <c r="I1362" s="112" t="str">
        <f ca="1"/>
        <v/>
      </c>
    </row>
    <row r="1363" spans="1:9" ht="13.2">
      <c r="A1363" s="109" t="str">
        <f ca="1">IFERROR(__xludf.DUMMYFUNCTION("""COMPUTED_VALUE"""),"NS")</f>
        <v>NS</v>
      </c>
      <c r="B1363" s="108" t="str">
        <f ca="1">IFERROR(__xludf.DUMMYFUNCTION("""COMPUTED_VALUE"""),"Gabe Tompkins")</f>
        <v>Gabe Tompkins</v>
      </c>
      <c r="C1363" s="109">
        <f ca="1">IFERROR(__xludf.DUMMYFUNCTION("""COMPUTED_VALUE"""),11)</f>
        <v>11</v>
      </c>
      <c r="D1363" s="109" t="str">
        <f ca="1">IFERROR(__xludf.DUMMYFUNCTION("""COMPUTED_VALUE"""),"B")</f>
        <v>B</v>
      </c>
      <c r="E1363" s="110" t="str">
        <f ca="1">IFERROR(__xludf.DUMMYFUNCTION("""COMPUTED_VALUE"""),"J")</f>
        <v>J</v>
      </c>
      <c r="F1363" s="110" t="str">
        <f ca="1">IFERROR(__xludf.DUMMYFUNCTION("""COMPUTED_VALUE"""),"I")</f>
        <v>I</v>
      </c>
      <c r="G1363" s="110">
        <f ca="1">IFERROR(__xludf.DUMMYFUNCTION("""COMPUTED_VALUE"""),8)</f>
        <v>8</v>
      </c>
      <c r="H1363" s="112" t="str">
        <f ca="1"/>
        <v/>
      </c>
      <c r="I1363" s="112" t="str">
        <f ca="1"/>
        <v/>
      </c>
    </row>
    <row r="1364" spans="1:9" ht="13.2">
      <c r="A1364" s="109" t="str">
        <f ca="1">IFERROR(__xludf.DUMMYFUNCTION("""COMPUTED_VALUE"""),"NS")</f>
        <v>NS</v>
      </c>
      <c r="B1364" s="108" t="str">
        <f ca="1">IFERROR(__xludf.DUMMYFUNCTION("""COMPUTED_VALUE"""),"Jack Mahoney")</f>
        <v>Jack Mahoney</v>
      </c>
      <c r="C1364" s="109">
        <f ca="1">IFERROR(__xludf.DUMMYFUNCTION("""COMPUTED_VALUE"""),11)</f>
        <v>11</v>
      </c>
      <c r="D1364" s="109" t="str">
        <f ca="1">IFERROR(__xludf.DUMMYFUNCTION("""COMPUTED_VALUE"""),"B")</f>
        <v>B</v>
      </c>
      <c r="E1364" s="110" t="str">
        <f ca="1">IFERROR(__xludf.DUMMYFUNCTION("""COMPUTED_VALUE"""),"J")</f>
        <v>J</v>
      </c>
      <c r="F1364" s="110" t="str">
        <f ca="1">IFERROR(__xludf.DUMMYFUNCTION("""COMPUTED_VALUE"""),"I")</f>
        <v>I</v>
      </c>
      <c r="G1364" s="110">
        <f ca="1">IFERROR(__xludf.DUMMYFUNCTION("""COMPUTED_VALUE"""),8)</f>
        <v>8</v>
      </c>
      <c r="H1364" s="112" t="str">
        <f ca="1"/>
        <v/>
      </c>
      <c r="I1364" s="112" t="str">
        <f ca="1"/>
        <v/>
      </c>
    </row>
    <row r="1365" spans="1:9" ht="13.2">
      <c r="A1365" s="109" t="str">
        <f ca="1">IFERROR(__xludf.DUMMYFUNCTION("""COMPUTED_VALUE"""),"NS")</f>
        <v>NS</v>
      </c>
      <c r="B1365" s="108" t="str">
        <f ca="1">IFERROR(__xludf.DUMMYFUNCTION("""COMPUTED_VALUE"""),"Will Leyhe")</f>
        <v>Will Leyhe</v>
      </c>
      <c r="C1365" s="109">
        <f ca="1">IFERROR(__xludf.DUMMYFUNCTION("""COMPUTED_VALUE"""),12)</f>
        <v>12</v>
      </c>
      <c r="D1365" s="109" t="str">
        <f ca="1">IFERROR(__xludf.DUMMYFUNCTION("""COMPUTED_VALUE"""),"B")</f>
        <v>B</v>
      </c>
      <c r="E1365" s="110" t="str">
        <f ca="1">IFERROR(__xludf.DUMMYFUNCTION("""COMPUTED_VALUE"""),"J")</f>
        <v>J</v>
      </c>
      <c r="F1365" s="110" t="str">
        <f ca="1">IFERROR(__xludf.DUMMYFUNCTION("""COMPUTED_VALUE"""),"I")</f>
        <v>I</v>
      </c>
      <c r="G1365" s="110">
        <f ca="1">IFERROR(__xludf.DUMMYFUNCTION("""COMPUTED_VALUE"""),8)</f>
        <v>8</v>
      </c>
      <c r="H1365" s="112" t="str">
        <f ca="1"/>
        <v/>
      </c>
      <c r="I1365" s="112" t="str">
        <f ca="1"/>
        <v/>
      </c>
    </row>
    <row r="1366" spans="1:9" ht="13.2">
      <c r="A1366" s="109" t="str">
        <f ca="1">IFERROR(__xludf.DUMMYFUNCTION("""COMPUTED_VALUE"""),"NS")</f>
        <v>NS</v>
      </c>
      <c r="B1366" s="108" t="str">
        <f ca="1">IFERROR(__xludf.DUMMYFUNCTION("""COMPUTED_VALUE"""),"Ami Bernard")</f>
        <v>Ami Bernard</v>
      </c>
      <c r="C1366" s="109">
        <f ca="1">IFERROR(__xludf.DUMMYFUNCTION("""COMPUTED_VALUE"""),12)</f>
        <v>12</v>
      </c>
      <c r="D1366" s="109" t="str">
        <f ca="1">IFERROR(__xludf.DUMMYFUNCTION("""COMPUTED_VALUE"""),"G")</f>
        <v>G</v>
      </c>
      <c r="E1366" s="110" t="str">
        <f ca="1">IFERROR(__xludf.DUMMYFUNCTION("""COMPUTED_VALUE"""),"J")</f>
        <v>J</v>
      </c>
      <c r="F1366" s="110" t="str">
        <f ca="1">IFERROR(__xludf.DUMMYFUNCTION("""COMPUTED_VALUE"""),"I")</f>
        <v>I</v>
      </c>
      <c r="G1366" s="110">
        <f ca="1">IFERROR(__xludf.DUMMYFUNCTION("""COMPUTED_VALUE"""),8)</f>
        <v>8</v>
      </c>
      <c r="H1366" s="112" t="str">
        <f ca="1"/>
        <v>55.25</v>
      </c>
      <c r="I1366" s="112">
        <f ca="1"/>
        <v>55.25</v>
      </c>
    </row>
    <row r="1367" spans="1:9" ht="13.2">
      <c r="A1367" s="109" t="str">
        <f ca="1">IFERROR(__xludf.DUMMYFUNCTION("""COMPUTED_VALUE"""),"NS")</f>
        <v>NS</v>
      </c>
      <c r="B1367" s="108" t="str">
        <f ca="1">IFERROR(__xludf.DUMMYFUNCTION("""COMPUTED_VALUE"""),"Anna Balbuena")</f>
        <v>Anna Balbuena</v>
      </c>
      <c r="C1367" s="109">
        <f ca="1">IFERROR(__xludf.DUMMYFUNCTION("""COMPUTED_VALUE"""),11)</f>
        <v>11</v>
      </c>
      <c r="D1367" s="109" t="str">
        <f ca="1">IFERROR(__xludf.DUMMYFUNCTION("""COMPUTED_VALUE"""),"G")</f>
        <v>G</v>
      </c>
      <c r="E1367" s="110" t="str">
        <f ca="1">IFERROR(__xludf.DUMMYFUNCTION("""COMPUTED_VALUE"""),"J")</f>
        <v>J</v>
      </c>
      <c r="F1367" s="110" t="str">
        <f ca="1">IFERROR(__xludf.DUMMYFUNCTION("""COMPUTED_VALUE"""),"I")</f>
        <v>I</v>
      </c>
      <c r="G1367" s="110">
        <f ca="1">IFERROR(__xludf.DUMMYFUNCTION("""COMPUTED_VALUE"""),8)</f>
        <v>8</v>
      </c>
      <c r="H1367" s="112" t="str">
        <f ca="1"/>
        <v/>
      </c>
      <c r="I1367" s="112" t="str">
        <f ca="1"/>
        <v/>
      </c>
    </row>
    <row r="1368" spans="1:9" ht="13.2">
      <c r="A1368" s="109" t="str">
        <f ca="1">IFERROR(__xludf.DUMMYFUNCTION("""COMPUTED_VALUE"""),"NS")</f>
        <v>NS</v>
      </c>
      <c r="B1368" s="108" t="str">
        <f ca="1">IFERROR(__xludf.DUMMYFUNCTION("""COMPUTED_VALUE"""),"Daisy Perez")</f>
        <v>Daisy Perez</v>
      </c>
      <c r="C1368" s="109">
        <f ca="1">IFERROR(__xludf.DUMMYFUNCTION("""COMPUTED_VALUE"""),11)</f>
        <v>11</v>
      </c>
      <c r="D1368" s="109" t="str">
        <f ca="1">IFERROR(__xludf.DUMMYFUNCTION("""COMPUTED_VALUE"""),"G")</f>
        <v>G</v>
      </c>
      <c r="E1368" s="110" t="str">
        <f ca="1">IFERROR(__xludf.DUMMYFUNCTION("""COMPUTED_VALUE"""),"J")</f>
        <v>J</v>
      </c>
      <c r="F1368" s="110" t="str">
        <f ca="1">IFERROR(__xludf.DUMMYFUNCTION("""COMPUTED_VALUE"""),"I")</f>
        <v>I</v>
      </c>
      <c r="G1368" s="110">
        <f ca="1">IFERROR(__xludf.DUMMYFUNCTION("""COMPUTED_VALUE"""),8)</f>
        <v>8</v>
      </c>
      <c r="H1368" s="112" t="str">
        <f ca="1"/>
        <v/>
      </c>
      <c r="I1368" s="81" t="str">
        <f ca="1"/>
        <v/>
      </c>
    </row>
    <row r="1369" spans="1:9" ht="13.2">
      <c r="A1369" s="109" t="str">
        <f ca="1">IFERROR(__xludf.DUMMYFUNCTION("""COMPUTED_VALUE"""),"NS")</f>
        <v>NS</v>
      </c>
      <c r="B1369" s="108" t="str">
        <f ca="1">IFERROR(__xludf.DUMMYFUNCTION("""COMPUTED_VALUE"""),"Elizabeth Porter")</f>
        <v>Elizabeth Porter</v>
      </c>
      <c r="C1369" s="109">
        <f ca="1">IFERROR(__xludf.DUMMYFUNCTION("""COMPUTED_VALUE"""),12)</f>
        <v>12</v>
      </c>
      <c r="D1369" s="109" t="str">
        <f ca="1">IFERROR(__xludf.DUMMYFUNCTION("""COMPUTED_VALUE"""),"G")</f>
        <v>G</v>
      </c>
      <c r="E1369" s="110" t="str">
        <f ca="1">IFERROR(__xludf.DUMMYFUNCTION("""COMPUTED_VALUE"""),"J")</f>
        <v>J</v>
      </c>
      <c r="F1369" s="110" t="str">
        <f ca="1">IFERROR(__xludf.DUMMYFUNCTION("""COMPUTED_VALUE"""),"I")</f>
        <v>I</v>
      </c>
      <c r="G1369" s="110">
        <f ca="1">IFERROR(__xludf.DUMMYFUNCTION("""COMPUTED_VALUE"""),8)</f>
        <v>8</v>
      </c>
      <c r="H1369" s="112" t="str">
        <f ca="1"/>
        <v/>
      </c>
      <c r="I1369" s="81" t="str">
        <f ca="1"/>
        <v/>
      </c>
    </row>
    <row r="1370" spans="1:9" ht="13.2">
      <c r="A1370" s="109" t="str">
        <f ca="1">IFERROR(__xludf.DUMMYFUNCTION("""COMPUTED_VALUE"""),"NS")</f>
        <v>NS</v>
      </c>
      <c r="B1370" s="108" t="str">
        <f ca="1">IFERROR(__xludf.DUMMYFUNCTION("""COMPUTED_VALUE"""),"Ella McKenna")</f>
        <v>Ella McKenna</v>
      </c>
      <c r="C1370" s="109">
        <f ca="1">IFERROR(__xludf.DUMMYFUNCTION("""COMPUTED_VALUE"""),11)</f>
        <v>11</v>
      </c>
      <c r="D1370" s="109" t="str">
        <f ca="1">IFERROR(__xludf.DUMMYFUNCTION("""COMPUTED_VALUE"""),"G")</f>
        <v>G</v>
      </c>
      <c r="E1370" s="110" t="str">
        <f ca="1">IFERROR(__xludf.DUMMYFUNCTION("""COMPUTED_VALUE"""),"J")</f>
        <v>J</v>
      </c>
      <c r="F1370" s="110" t="str">
        <f ca="1">IFERROR(__xludf.DUMMYFUNCTION("""COMPUTED_VALUE"""),"I")</f>
        <v>I</v>
      </c>
      <c r="G1370" s="110">
        <f ca="1">IFERROR(__xludf.DUMMYFUNCTION("""COMPUTED_VALUE"""),8)</f>
        <v>8</v>
      </c>
      <c r="H1370" s="112" t="str">
        <f ca="1"/>
        <v/>
      </c>
      <c r="I1370" s="112" t="str">
        <f ca="1"/>
        <v/>
      </c>
    </row>
    <row r="1371" spans="1:9" ht="13.2">
      <c r="A1371" s="109" t="str">
        <f ca="1">IFERROR(__xludf.DUMMYFUNCTION("""COMPUTED_VALUE"""),"NS")</f>
        <v>NS</v>
      </c>
      <c r="B1371" s="108" t="str">
        <f ca="1">IFERROR(__xludf.DUMMYFUNCTION("""COMPUTED_VALUE"""),"Karina Simone")</f>
        <v>Karina Simone</v>
      </c>
      <c r="C1371" s="109">
        <f ca="1">IFERROR(__xludf.DUMMYFUNCTION("""COMPUTED_VALUE"""),11)</f>
        <v>11</v>
      </c>
      <c r="D1371" s="109" t="str">
        <f ca="1">IFERROR(__xludf.DUMMYFUNCTION("""COMPUTED_VALUE"""),"G")</f>
        <v>G</v>
      </c>
      <c r="E1371" s="110" t="str">
        <f ca="1">IFERROR(__xludf.DUMMYFUNCTION("""COMPUTED_VALUE"""),"J")</f>
        <v>J</v>
      </c>
      <c r="F1371" s="110" t="str">
        <f ca="1">IFERROR(__xludf.DUMMYFUNCTION("""COMPUTED_VALUE"""),"I")</f>
        <v>I</v>
      </c>
      <c r="G1371" s="110">
        <f ca="1">IFERROR(__xludf.DUMMYFUNCTION("""COMPUTED_VALUE"""),8)</f>
        <v>8</v>
      </c>
      <c r="H1371" s="112" t="str">
        <f ca="1"/>
        <v/>
      </c>
      <c r="I1371" s="112" t="str">
        <f ca="1"/>
        <v/>
      </c>
    </row>
    <row r="1372" spans="1:9" ht="13.2">
      <c r="A1372" s="109" t="str">
        <f ca="1">IFERROR(__xludf.DUMMYFUNCTION("""COMPUTED_VALUE"""),"NS")</f>
        <v>NS</v>
      </c>
      <c r="B1372" s="108" t="str">
        <f ca="1">IFERROR(__xludf.DUMMYFUNCTION("""COMPUTED_VALUE"""),"Sarah Guy")</f>
        <v>Sarah Guy</v>
      </c>
      <c r="C1372" s="109">
        <f ca="1">IFERROR(__xludf.DUMMYFUNCTION("""COMPUTED_VALUE"""),12)</f>
        <v>12</v>
      </c>
      <c r="D1372" s="109" t="str">
        <f ca="1">IFERROR(__xludf.DUMMYFUNCTION("""COMPUTED_VALUE"""),"G")</f>
        <v>G</v>
      </c>
      <c r="E1372" s="110" t="str">
        <f ca="1">IFERROR(__xludf.DUMMYFUNCTION("""COMPUTED_VALUE"""),"J")</f>
        <v>J</v>
      </c>
      <c r="F1372" s="110" t="str">
        <f ca="1">IFERROR(__xludf.DUMMYFUNCTION("""COMPUTED_VALUE"""),"I")</f>
        <v>I</v>
      </c>
      <c r="G1372" s="110">
        <f ca="1">IFERROR(__xludf.DUMMYFUNCTION("""COMPUTED_VALUE"""),8)</f>
        <v>8</v>
      </c>
      <c r="H1372" s="112" t="str">
        <f ca="1"/>
        <v>40.8</v>
      </c>
      <c r="I1372" s="112">
        <f ca="1"/>
        <v>40.799999999999997</v>
      </c>
    </row>
    <row r="1373" spans="1:9" ht="13.2">
      <c r="A1373" s="109" t="str">
        <f ca="1">IFERROR(__xludf.DUMMYFUNCTION("""COMPUTED_VALUE"""),"NS")</f>
        <v>NS</v>
      </c>
      <c r="B1373" s="108" t="str">
        <f ca="1">IFERROR(__xludf.DUMMYFUNCTION("""COMPUTED_VALUE"""),"Xavier Johnston")</f>
        <v>Xavier Johnston</v>
      </c>
      <c r="C1373" s="109">
        <f ca="1">IFERROR(__xludf.DUMMYFUNCTION("""COMPUTED_VALUE"""),16)</f>
        <v>16</v>
      </c>
      <c r="D1373" s="109" t="str">
        <f ca="1">IFERROR(__xludf.DUMMYFUNCTION("""COMPUTED_VALUE"""),"B")</f>
        <v>B</v>
      </c>
      <c r="E1373" s="110" t="str">
        <f ca="1">IFERROR(__xludf.DUMMYFUNCTION("""COMPUTED_VALUE"""),"S")</f>
        <v>S</v>
      </c>
      <c r="F1373" s="110" t="str">
        <f ca="1">IFERROR(__xludf.DUMMYFUNCTION("""COMPUTED_VALUE"""),"S")</f>
        <v>S</v>
      </c>
      <c r="G1373" s="110">
        <f ca="1">IFERROR(__xludf.DUMMYFUNCTION("""COMPUTED_VALUE"""),8)</f>
        <v>8</v>
      </c>
      <c r="H1373" s="112" t="str">
        <f ca="1"/>
        <v/>
      </c>
      <c r="I1373" s="81" t="str">
        <f ca="1"/>
        <v/>
      </c>
    </row>
    <row r="1374" spans="1:9" ht="13.2">
      <c r="A1374" s="109" t="str">
        <f ca="1">IFERROR(__xludf.DUMMYFUNCTION("""COMPUTED_VALUE"""),"NS")</f>
        <v>NS</v>
      </c>
      <c r="B1374" s="108" t="str">
        <f ca="1">IFERROR(__xludf.DUMMYFUNCTION("""COMPUTED_VALUE"""),"Charlotte Moore")</f>
        <v>Charlotte Moore</v>
      </c>
      <c r="C1374" s="109">
        <f ca="1">IFERROR(__xludf.DUMMYFUNCTION("""COMPUTED_VALUE"""),15)</f>
        <v>15</v>
      </c>
      <c r="D1374" s="109" t="str">
        <f ca="1">IFERROR(__xludf.DUMMYFUNCTION("""COMPUTED_VALUE"""),"G")</f>
        <v>G</v>
      </c>
      <c r="E1374" s="110" t="str">
        <f ca="1">IFERROR(__xludf.DUMMYFUNCTION("""COMPUTED_VALUE"""),"S")</f>
        <v>S</v>
      </c>
      <c r="F1374" s="110" t="str">
        <f ca="1">IFERROR(__xludf.DUMMYFUNCTION("""COMPUTED_VALUE"""),"S")</f>
        <v>S</v>
      </c>
      <c r="G1374" s="110">
        <f ca="1">IFERROR(__xludf.DUMMYFUNCTION("""COMPUTED_VALUE"""),8)</f>
        <v>8</v>
      </c>
      <c r="H1374" s="112" t="str">
        <f ca="1"/>
        <v/>
      </c>
      <c r="I1374" s="112" t="str">
        <f ca="1"/>
        <v/>
      </c>
    </row>
    <row r="1375" spans="1:9" ht="13.2">
      <c r="A1375" s="109" t="str">
        <f ca="1">IFERROR(__xludf.DUMMYFUNCTION("""COMPUTED_VALUE"""),"NS")</f>
        <v>NS</v>
      </c>
      <c r="B1375" s="108" t="str">
        <f ca="1">IFERROR(__xludf.DUMMYFUNCTION("""COMPUTED_VALUE"""),"Keira Dalrymple")</f>
        <v>Keira Dalrymple</v>
      </c>
      <c r="C1375" s="109">
        <f ca="1">IFERROR(__xludf.DUMMYFUNCTION("""COMPUTED_VALUE"""),15)</f>
        <v>15</v>
      </c>
      <c r="D1375" s="109" t="str">
        <f ca="1">IFERROR(__xludf.DUMMYFUNCTION("""COMPUTED_VALUE"""),"G")</f>
        <v>G</v>
      </c>
      <c r="E1375" s="110" t="str">
        <f ca="1">IFERROR(__xludf.DUMMYFUNCTION("""COMPUTED_VALUE"""),"S")</f>
        <v>S</v>
      </c>
      <c r="F1375" s="110" t="str">
        <f ca="1">IFERROR(__xludf.DUMMYFUNCTION("""COMPUTED_VALUE"""),"S")</f>
        <v>S</v>
      </c>
      <c r="G1375" s="110">
        <f ca="1">IFERROR(__xludf.DUMMYFUNCTION("""COMPUTED_VALUE"""),8)</f>
        <v>8</v>
      </c>
      <c r="H1375" s="112" t="str">
        <f ca="1"/>
        <v/>
      </c>
      <c r="I1375" s="112" t="str">
        <f ca="1"/>
        <v/>
      </c>
    </row>
    <row r="1376" spans="1:9" ht="13.2">
      <c r="A1376" s="109" t="str">
        <f ca="1">IFERROR(__xludf.DUMMYFUNCTION("""COMPUTED_VALUE"""),"NS")</f>
        <v>NS</v>
      </c>
      <c r="B1376" s="108" t="str">
        <f ca="1">IFERROR(__xludf.DUMMYFUNCTION("""COMPUTED_VALUE"""),"Madelynn Gall")</f>
        <v>Madelynn Gall</v>
      </c>
      <c r="C1376" s="109">
        <f ca="1">IFERROR(__xludf.DUMMYFUNCTION("""COMPUTED_VALUE"""),15)</f>
        <v>15</v>
      </c>
      <c r="D1376" s="109" t="str">
        <f ca="1">IFERROR(__xludf.DUMMYFUNCTION("""COMPUTED_VALUE"""),"G")</f>
        <v>G</v>
      </c>
      <c r="E1376" s="110" t="str">
        <f ca="1">IFERROR(__xludf.DUMMYFUNCTION("""COMPUTED_VALUE"""),"S")</f>
        <v>S</v>
      </c>
      <c r="F1376" s="110" t="str">
        <f ca="1">IFERROR(__xludf.DUMMYFUNCTION("""COMPUTED_VALUE"""),"S")</f>
        <v>S</v>
      </c>
      <c r="G1376" s="110">
        <f ca="1">IFERROR(__xludf.DUMMYFUNCTION("""COMPUTED_VALUE"""),8)</f>
        <v>8</v>
      </c>
      <c r="H1376" s="112" t="str">
        <f ca="1"/>
        <v/>
      </c>
      <c r="I1376" s="81" t="str">
        <f ca="1"/>
        <v/>
      </c>
    </row>
    <row r="1377" spans="1:9" ht="13.2">
      <c r="A1377" s="109" t="str">
        <f ca="1">IFERROR(__xludf.DUMMYFUNCTION("""COMPUTED_VALUE"""),"NS")</f>
        <v>NS</v>
      </c>
      <c r="B1377" s="108" t="str">
        <f ca="1">IFERROR(__xludf.DUMMYFUNCTION("""COMPUTED_VALUE"""),"Morgan Milman")</f>
        <v>Morgan Milman</v>
      </c>
      <c r="C1377" s="109">
        <f ca="1">IFERROR(__xludf.DUMMYFUNCTION("""COMPUTED_VALUE"""),15)</f>
        <v>15</v>
      </c>
      <c r="D1377" s="109" t="str">
        <f ca="1">IFERROR(__xludf.DUMMYFUNCTION("""COMPUTED_VALUE"""),"G")</f>
        <v>G</v>
      </c>
      <c r="E1377" s="110" t="str">
        <f ca="1">IFERROR(__xludf.DUMMYFUNCTION("""COMPUTED_VALUE"""),"S")</f>
        <v>S</v>
      </c>
      <c r="F1377" s="110" t="str">
        <f ca="1">IFERROR(__xludf.DUMMYFUNCTION("""COMPUTED_VALUE"""),"S")</f>
        <v>S</v>
      </c>
      <c r="G1377" s="110">
        <f ca="1">IFERROR(__xludf.DUMMYFUNCTION("""COMPUTED_VALUE"""),8)</f>
        <v>8</v>
      </c>
      <c r="H1377" s="112" t="str">
        <f ca="1"/>
        <v/>
      </c>
      <c r="I1377" s="81" t="str">
        <f ca="1"/>
        <v/>
      </c>
    </row>
    <row r="1378" spans="1:9" ht="13.2">
      <c r="A1378" s="109" t="str">
        <f ca="1">IFERROR(__xludf.DUMMYFUNCTION("""COMPUTED_VALUE"""),"O")</f>
        <v>O</v>
      </c>
      <c r="B1378" s="108" t="str">
        <f ca="1">IFERROR(__xludf.DUMMYFUNCTION("""COMPUTED_VALUE"""),"Aiden Bristow")</f>
        <v>Aiden Bristow</v>
      </c>
      <c r="C1378" s="109">
        <f ca="1">IFERROR(__xludf.DUMMYFUNCTION("""COMPUTED_VALUE"""),8)</f>
        <v>8</v>
      </c>
      <c r="D1378" s="109" t="str">
        <f ca="1">IFERROR(__xludf.DUMMYFUNCTION("""COMPUTED_VALUE"""),"B")</f>
        <v>B</v>
      </c>
      <c r="E1378" s="110" t="str">
        <f ca="1">IFERROR(__xludf.DUMMYFUNCTION("""COMPUTED_VALUE"""),"F")</f>
        <v>F</v>
      </c>
      <c r="F1378" s="110" t="str">
        <f ca="1">IFERROR(__xludf.DUMMYFUNCTION("""COMPUTED_VALUE"""),"J")</f>
        <v>J</v>
      </c>
      <c r="G1378" s="110">
        <f ca="1">IFERROR(__xludf.DUMMYFUNCTION("""COMPUTED_VALUE"""),1)</f>
        <v>1</v>
      </c>
      <c r="H1378" s="112" t="str">
        <f ca="1"/>
        <v/>
      </c>
      <c r="I1378" s="112" t="str">
        <f ca="1"/>
        <v/>
      </c>
    </row>
    <row r="1379" spans="1:9" ht="13.2">
      <c r="A1379" s="109" t="str">
        <f ca="1">IFERROR(__xludf.DUMMYFUNCTION("""COMPUTED_VALUE"""),"O")</f>
        <v>O</v>
      </c>
      <c r="B1379" s="108" t="str">
        <f ca="1">IFERROR(__xludf.DUMMYFUNCTION("""COMPUTED_VALUE"""),"Archer Kouhestani")</f>
        <v>Archer Kouhestani</v>
      </c>
      <c r="C1379" s="109">
        <f ca="1">IFERROR(__xludf.DUMMYFUNCTION("""COMPUTED_VALUE"""),9)</f>
        <v>9</v>
      </c>
      <c r="D1379" s="109" t="str">
        <f ca="1">IFERROR(__xludf.DUMMYFUNCTION("""COMPUTED_VALUE"""),"B")</f>
        <v>B</v>
      </c>
      <c r="E1379" s="110" t="str">
        <f ca="1">IFERROR(__xludf.DUMMYFUNCTION("""COMPUTED_VALUE"""),"F")</f>
        <v>F</v>
      </c>
      <c r="F1379" s="110" t="str">
        <f ca="1">IFERROR(__xludf.DUMMYFUNCTION("""COMPUTED_VALUE"""),"J")</f>
        <v>J</v>
      </c>
      <c r="G1379" s="110">
        <f ca="1">IFERROR(__xludf.DUMMYFUNCTION("""COMPUTED_VALUE"""),1)</f>
        <v>1</v>
      </c>
      <c r="H1379" s="112" t="str">
        <f ca="1"/>
        <v/>
      </c>
      <c r="I1379" s="81" t="str">
        <f ca="1"/>
        <v/>
      </c>
    </row>
    <row r="1380" spans="1:9" ht="13.2">
      <c r="A1380" s="109" t="str">
        <f ca="1">IFERROR(__xludf.DUMMYFUNCTION("""COMPUTED_VALUE"""),"O")</f>
        <v>O</v>
      </c>
      <c r="B1380" s="108" t="str">
        <f ca="1">IFERROR(__xludf.DUMMYFUNCTION("""COMPUTED_VALUE"""),"Bruce Buczek")</f>
        <v>Bruce Buczek</v>
      </c>
      <c r="C1380" s="109">
        <f ca="1">IFERROR(__xludf.DUMMYFUNCTION("""COMPUTED_VALUE"""),7)</f>
        <v>7</v>
      </c>
      <c r="D1380" s="109" t="str">
        <f ca="1">IFERROR(__xludf.DUMMYFUNCTION("""COMPUTED_VALUE"""),"B")</f>
        <v>B</v>
      </c>
      <c r="E1380" s="110" t="str">
        <f ca="1">IFERROR(__xludf.DUMMYFUNCTION("""COMPUTED_VALUE"""),"F")</f>
        <v>F</v>
      </c>
      <c r="F1380" s="110" t="str">
        <f ca="1">IFERROR(__xludf.DUMMYFUNCTION("""COMPUTED_VALUE"""),"J")</f>
        <v>J</v>
      </c>
      <c r="G1380" s="110">
        <f ca="1">IFERROR(__xludf.DUMMYFUNCTION("""COMPUTED_VALUE"""),1)</f>
        <v>1</v>
      </c>
      <c r="H1380" s="112" t="str">
        <f ca="1"/>
        <v/>
      </c>
      <c r="I1380" s="81" t="str">
        <f ca="1"/>
        <v/>
      </c>
    </row>
    <row r="1381" spans="1:9" ht="13.2">
      <c r="A1381" s="109" t="str">
        <f ca="1">IFERROR(__xludf.DUMMYFUNCTION("""COMPUTED_VALUE"""),"O")</f>
        <v>O</v>
      </c>
      <c r="B1381" s="108" t="str">
        <f ca="1">IFERROR(__xludf.DUMMYFUNCTION("""COMPUTED_VALUE"""),"Carter Yasin")</f>
        <v>Carter Yasin</v>
      </c>
      <c r="C1381" s="109">
        <f ca="1">IFERROR(__xludf.DUMMYFUNCTION("""COMPUTED_VALUE"""),10)</f>
        <v>10</v>
      </c>
      <c r="D1381" s="109" t="str">
        <f ca="1">IFERROR(__xludf.DUMMYFUNCTION("""COMPUTED_VALUE"""),"B")</f>
        <v>B</v>
      </c>
      <c r="E1381" s="110" t="str">
        <f ca="1">IFERROR(__xludf.DUMMYFUNCTION("""COMPUTED_VALUE"""),"F")</f>
        <v>F</v>
      </c>
      <c r="F1381" s="110" t="str">
        <f ca="1">IFERROR(__xludf.DUMMYFUNCTION("""COMPUTED_VALUE"""),"J")</f>
        <v>J</v>
      </c>
      <c r="G1381" s="110">
        <f ca="1">IFERROR(__xludf.DUMMYFUNCTION("""COMPUTED_VALUE"""),1)</f>
        <v>1</v>
      </c>
      <c r="H1381" s="112" t="str">
        <f ca="1"/>
        <v/>
      </c>
      <c r="I1381" s="112" t="str">
        <f ca="1"/>
        <v/>
      </c>
    </row>
    <row r="1382" spans="1:9" ht="13.2">
      <c r="A1382" s="109" t="str">
        <f ca="1">IFERROR(__xludf.DUMMYFUNCTION("""COMPUTED_VALUE"""),"O")</f>
        <v>O</v>
      </c>
      <c r="B1382" s="108" t="str">
        <f ca="1">IFERROR(__xludf.DUMMYFUNCTION("""COMPUTED_VALUE"""),"Davis Fletcher")</f>
        <v>Davis Fletcher</v>
      </c>
      <c r="C1382" s="109">
        <f ca="1">IFERROR(__xludf.DUMMYFUNCTION("""COMPUTED_VALUE"""),10)</f>
        <v>10</v>
      </c>
      <c r="D1382" s="109" t="str">
        <f ca="1">IFERROR(__xludf.DUMMYFUNCTION("""COMPUTED_VALUE"""),"B")</f>
        <v>B</v>
      </c>
      <c r="E1382" s="110" t="str">
        <f ca="1">IFERROR(__xludf.DUMMYFUNCTION("""COMPUTED_VALUE"""),"F")</f>
        <v>F</v>
      </c>
      <c r="F1382" s="110" t="str">
        <f ca="1">IFERROR(__xludf.DUMMYFUNCTION("""COMPUTED_VALUE"""),"J")</f>
        <v>J</v>
      </c>
      <c r="G1382" s="110">
        <f ca="1">IFERROR(__xludf.DUMMYFUNCTION("""COMPUTED_VALUE"""),1)</f>
        <v>1</v>
      </c>
      <c r="H1382" s="112" t="str">
        <f ca="1"/>
        <v/>
      </c>
      <c r="I1382" s="112" t="str">
        <f ca="1"/>
        <v/>
      </c>
    </row>
    <row r="1383" spans="1:9" ht="13.2">
      <c r="A1383" s="109" t="str">
        <f ca="1">IFERROR(__xludf.DUMMYFUNCTION("""COMPUTED_VALUE"""),"O")</f>
        <v>O</v>
      </c>
      <c r="B1383" s="108" t="str">
        <f ca="1">IFERROR(__xludf.DUMMYFUNCTION("""COMPUTED_VALUE"""),"Dylan Kates")</f>
        <v>Dylan Kates</v>
      </c>
      <c r="C1383" s="109">
        <f ca="1">IFERROR(__xludf.DUMMYFUNCTION("""COMPUTED_VALUE"""),7)</f>
        <v>7</v>
      </c>
      <c r="D1383" s="109" t="str">
        <f ca="1">IFERROR(__xludf.DUMMYFUNCTION("""COMPUTED_VALUE"""),"B")</f>
        <v>B</v>
      </c>
      <c r="E1383" s="110" t="str">
        <f ca="1">IFERROR(__xludf.DUMMYFUNCTION("""COMPUTED_VALUE"""),"F")</f>
        <v>F</v>
      </c>
      <c r="F1383" s="110" t="str">
        <f ca="1">IFERROR(__xludf.DUMMYFUNCTION("""COMPUTED_VALUE"""),"J")</f>
        <v>J</v>
      </c>
      <c r="G1383" s="110">
        <f ca="1">IFERROR(__xludf.DUMMYFUNCTION("""COMPUTED_VALUE"""),1)</f>
        <v>1</v>
      </c>
      <c r="H1383" s="112" t="str">
        <f ca="1"/>
        <v/>
      </c>
      <c r="I1383" s="81" t="str">
        <f ca="1"/>
        <v/>
      </c>
    </row>
    <row r="1384" spans="1:9" ht="13.2">
      <c r="A1384" s="109" t="str">
        <f ca="1">IFERROR(__xludf.DUMMYFUNCTION("""COMPUTED_VALUE"""),"O")</f>
        <v>O</v>
      </c>
      <c r="B1384" s="108" t="str">
        <f ca="1">IFERROR(__xludf.DUMMYFUNCTION("""COMPUTED_VALUE"""),"Elliot Raber")</f>
        <v>Elliot Raber</v>
      </c>
      <c r="C1384" s="109">
        <f ca="1">IFERROR(__xludf.DUMMYFUNCTION("""COMPUTED_VALUE"""),8)</f>
        <v>8</v>
      </c>
      <c r="D1384" s="109" t="str">
        <f ca="1">IFERROR(__xludf.DUMMYFUNCTION("""COMPUTED_VALUE"""),"B")</f>
        <v>B</v>
      </c>
      <c r="E1384" s="110" t="str">
        <f ca="1">IFERROR(__xludf.DUMMYFUNCTION("""COMPUTED_VALUE"""),"F")</f>
        <v>F</v>
      </c>
      <c r="F1384" s="110" t="str">
        <f ca="1">IFERROR(__xludf.DUMMYFUNCTION("""COMPUTED_VALUE"""),"J")</f>
        <v>J</v>
      </c>
      <c r="G1384" s="110">
        <f ca="1">IFERROR(__xludf.DUMMYFUNCTION("""COMPUTED_VALUE"""),1)</f>
        <v>1</v>
      </c>
      <c r="H1384" s="112" t="str">
        <f ca="1"/>
        <v/>
      </c>
      <c r="I1384" s="81" t="str">
        <f ca="1"/>
        <v/>
      </c>
    </row>
    <row r="1385" spans="1:9" ht="13.2">
      <c r="A1385" s="109" t="str">
        <f ca="1">IFERROR(__xludf.DUMMYFUNCTION("""COMPUTED_VALUE"""),"O")</f>
        <v>O</v>
      </c>
      <c r="B1385" s="108" t="str">
        <f ca="1">IFERROR(__xludf.DUMMYFUNCTION("""COMPUTED_VALUE"""),"Hank Buchanan")</f>
        <v>Hank Buchanan</v>
      </c>
      <c r="C1385" s="109">
        <f ca="1">IFERROR(__xludf.DUMMYFUNCTION("""COMPUTED_VALUE"""),10)</f>
        <v>10</v>
      </c>
      <c r="D1385" s="109" t="str">
        <f ca="1">IFERROR(__xludf.DUMMYFUNCTION("""COMPUTED_VALUE"""),"B")</f>
        <v>B</v>
      </c>
      <c r="E1385" s="110" t="str">
        <f ca="1">IFERROR(__xludf.DUMMYFUNCTION("""COMPUTED_VALUE"""),"F")</f>
        <v>F</v>
      </c>
      <c r="F1385" s="110" t="str">
        <f ca="1">IFERROR(__xludf.DUMMYFUNCTION("""COMPUTED_VALUE"""),"J")</f>
        <v>J</v>
      </c>
      <c r="G1385" s="110">
        <f ca="1">IFERROR(__xludf.DUMMYFUNCTION("""COMPUTED_VALUE"""),1)</f>
        <v>1</v>
      </c>
      <c r="H1385" s="112" t="str">
        <f ca="1"/>
        <v/>
      </c>
      <c r="I1385" s="112" t="str">
        <f ca="1"/>
        <v/>
      </c>
    </row>
    <row r="1386" spans="1:9" ht="13.2">
      <c r="A1386" s="109" t="str">
        <f ca="1">IFERROR(__xludf.DUMMYFUNCTION("""COMPUTED_VALUE"""),"O")</f>
        <v>O</v>
      </c>
      <c r="B1386" s="108" t="str">
        <f ca="1">IFERROR(__xludf.DUMMYFUNCTION("""COMPUTED_VALUE"""),"Henry Thayer")</f>
        <v>Henry Thayer</v>
      </c>
      <c r="C1386" s="109">
        <f ca="1">IFERROR(__xludf.DUMMYFUNCTION("""COMPUTED_VALUE"""),8)</f>
        <v>8</v>
      </c>
      <c r="D1386" s="109" t="str">
        <f ca="1">IFERROR(__xludf.DUMMYFUNCTION("""COMPUTED_VALUE"""),"B")</f>
        <v>B</v>
      </c>
      <c r="E1386" s="110" t="str">
        <f ca="1">IFERROR(__xludf.DUMMYFUNCTION("""COMPUTED_VALUE"""),"F")</f>
        <v>F</v>
      </c>
      <c r="F1386" s="110" t="str">
        <f ca="1">IFERROR(__xludf.DUMMYFUNCTION("""COMPUTED_VALUE"""),"J")</f>
        <v>J</v>
      </c>
      <c r="G1386" s="110">
        <f ca="1">IFERROR(__xludf.DUMMYFUNCTION("""COMPUTED_VALUE"""),1)</f>
        <v>1</v>
      </c>
      <c r="H1386" s="112" t="str">
        <f ca="1"/>
        <v/>
      </c>
      <c r="I1386" s="112" t="str">
        <f ca="1"/>
        <v/>
      </c>
    </row>
    <row r="1387" spans="1:9" ht="13.2">
      <c r="A1387" s="109" t="str">
        <f ca="1">IFERROR(__xludf.DUMMYFUNCTION("""COMPUTED_VALUE"""),"O")</f>
        <v>O</v>
      </c>
      <c r="B1387" s="108" t="str">
        <f ca="1">IFERROR(__xludf.DUMMYFUNCTION("""COMPUTED_VALUE"""),"Jackson Kates")</f>
        <v>Jackson Kates</v>
      </c>
      <c r="C1387" s="109">
        <f ca="1">IFERROR(__xludf.DUMMYFUNCTION("""COMPUTED_VALUE"""),10)</f>
        <v>10</v>
      </c>
      <c r="D1387" s="109" t="str">
        <f ca="1">IFERROR(__xludf.DUMMYFUNCTION("""COMPUTED_VALUE"""),"B")</f>
        <v>B</v>
      </c>
      <c r="E1387" s="110" t="str">
        <f ca="1">IFERROR(__xludf.DUMMYFUNCTION("""COMPUTED_VALUE"""),"F")</f>
        <v>F</v>
      </c>
      <c r="F1387" s="110" t="str">
        <f ca="1">IFERROR(__xludf.DUMMYFUNCTION("""COMPUTED_VALUE"""),"J")</f>
        <v>J</v>
      </c>
      <c r="G1387" s="110">
        <f ca="1">IFERROR(__xludf.DUMMYFUNCTION("""COMPUTED_VALUE"""),1)</f>
        <v>1</v>
      </c>
      <c r="H1387" s="112" t="str">
        <f ca="1"/>
        <v/>
      </c>
      <c r="I1387" s="112" t="str">
        <f ca="1"/>
        <v/>
      </c>
    </row>
    <row r="1388" spans="1:9" ht="13.2">
      <c r="A1388" s="109" t="str">
        <f ca="1">IFERROR(__xludf.DUMMYFUNCTION("""COMPUTED_VALUE"""),"O")</f>
        <v>O</v>
      </c>
      <c r="B1388" s="108" t="str">
        <f ca="1">IFERROR(__xludf.DUMMYFUNCTION("""COMPUTED_VALUE"""),"James Venos")</f>
        <v>James Venos</v>
      </c>
      <c r="C1388" s="109">
        <f ca="1">IFERROR(__xludf.DUMMYFUNCTION("""COMPUTED_VALUE"""),7)</f>
        <v>7</v>
      </c>
      <c r="D1388" s="109" t="str">
        <f ca="1">IFERROR(__xludf.DUMMYFUNCTION("""COMPUTED_VALUE"""),"B")</f>
        <v>B</v>
      </c>
      <c r="E1388" s="110" t="str">
        <f ca="1">IFERROR(__xludf.DUMMYFUNCTION("""COMPUTED_VALUE"""),"F")</f>
        <v>F</v>
      </c>
      <c r="F1388" s="110" t="str">
        <f ca="1">IFERROR(__xludf.DUMMYFUNCTION("""COMPUTED_VALUE"""),"J")</f>
        <v>J</v>
      </c>
      <c r="G1388" s="110">
        <f ca="1">IFERROR(__xludf.DUMMYFUNCTION("""COMPUTED_VALUE"""),1)</f>
        <v>1</v>
      </c>
      <c r="H1388" s="112" t="str">
        <f ca="1"/>
        <v/>
      </c>
      <c r="I1388" s="81" t="str">
        <f ca="1"/>
        <v/>
      </c>
    </row>
    <row r="1389" spans="1:9" ht="13.2">
      <c r="A1389" s="109" t="str">
        <f ca="1">IFERROR(__xludf.DUMMYFUNCTION("""COMPUTED_VALUE"""),"O")</f>
        <v>O</v>
      </c>
      <c r="B1389" s="108" t="str">
        <f ca="1">IFERROR(__xludf.DUMMYFUNCTION("""COMPUTED_VALUE"""),"John Allard")</f>
        <v>John Allard</v>
      </c>
      <c r="C1389" s="109">
        <f ca="1">IFERROR(__xludf.DUMMYFUNCTION("""COMPUTED_VALUE"""),9)</f>
        <v>9</v>
      </c>
      <c r="D1389" s="109" t="str">
        <f ca="1">IFERROR(__xludf.DUMMYFUNCTION("""COMPUTED_VALUE"""),"B")</f>
        <v>B</v>
      </c>
      <c r="E1389" s="110" t="str">
        <f ca="1">IFERROR(__xludf.DUMMYFUNCTION("""COMPUTED_VALUE"""),"F")</f>
        <v>F</v>
      </c>
      <c r="F1389" s="110" t="str">
        <f ca="1">IFERROR(__xludf.DUMMYFUNCTION("""COMPUTED_VALUE"""),"J")</f>
        <v>J</v>
      </c>
      <c r="G1389" s="110">
        <f ca="1">IFERROR(__xludf.DUMMYFUNCTION("""COMPUTED_VALUE"""),1)</f>
        <v>1</v>
      </c>
      <c r="H1389" s="112" t="str">
        <f ca="1"/>
        <v/>
      </c>
      <c r="I1389" s="112" t="str">
        <f ca="1"/>
        <v/>
      </c>
    </row>
    <row r="1390" spans="1:9" ht="13.2">
      <c r="A1390" s="109" t="str">
        <f ca="1">IFERROR(__xludf.DUMMYFUNCTION("""COMPUTED_VALUE"""),"O")</f>
        <v>O</v>
      </c>
      <c r="B1390" s="108" t="str">
        <f ca="1">IFERROR(__xludf.DUMMYFUNCTION("""COMPUTED_VALUE"""),"Theodore Karlton")</f>
        <v>Theodore Karlton</v>
      </c>
      <c r="C1390" s="109">
        <f ca="1">IFERROR(__xludf.DUMMYFUNCTION("""COMPUTED_VALUE"""),9)</f>
        <v>9</v>
      </c>
      <c r="D1390" s="109" t="str">
        <f ca="1">IFERROR(__xludf.DUMMYFUNCTION("""COMPUTED_VALUE"""),"B")</f>
        <v>B</v>
      </c>
      <c r="E1390" s="110" t="str">
        <f ca="1">IFERROR(__xludf.DUMMYFUNCTION("""COMPUTED_VALUE"""),"F")</f>
        <v>F</v>
      </c>
      <c r="F1390" s="110" t="str">
        <f ca="1">IFERROR(__xludf.DUMMYFUNCTION("""COMPUTED_VALUE"""),"J")</f>
        <v>J</v>
      </c>
      <c r="G1390" s="110">
        <f ca="1">IFERROR(__xludf.DUMMYFUNCTION("""COMPUTED_VALUE"""),1)</f>
        <v>1</v>
      </c>
      <c r="H1390" s="112" t="str">
        <f ca="1"/>
        <v/>
      </c>
      <c r="I1390" s="81" t="str">
        <f ca="1"/>
        <v/>
      </c>
    </row>
    <row r="1391" spans="1:9" ht="13.2">
      <c r="A1391" s="109" t="str">
        <f ca="1">IFERROR(__xludf.DUMMYFUNCTION("""COMPUTED_VALUE"""),"O")</f>
        <v>O</v>
      </c>
      <c r="B1391" s="108" t="str">
        <f ca="1">IFERROR(__xludf.DUMMYFUNCTION("""COMPUTED_VALUE"""),"Zachary Yen")</f>
        <v>Zachary Yen</v>
      </c>
      <c r="C1391" s="109">
        <f ca="1">IFERROR(__xludf.DUMMYFUNCTION("""COMPUTED_VALUE"""),6)</f>
        <v>6</v>
      </c>
      <c r="D1391" s="109" t="str">
        <f ca="1">IFERROR(__xludf.DUMMYFUNCTION("""COMPUTED_VALUE"""),"B")</f>
        <v>B</v>
      </c>
      <c r="E1391" s="110" t="str">
        <f ca="1">IFERROR(__xludf.DUMMYFUNCTION("""COMPUTED_VALUE"""),"F")</f>
        <v>F</v>
      </c>
      <c r="F1391" s="110" t="str">
        <f ca="1">IFERROR(__xludf.DUMMYFUNCTION("""COMPUTED_VALUE"""),"J")</f>
        <v>J</v>
      </c>
      <c r="G1391" s="110">
        <f ca="1">IFERROR(__xludf.DUMMYFUNCTION("""COMPUTED_VALUE"""),1)</f>
        <v>1</v>
      </c>
      <c r="H1391" s="112" t="str">
        <f ca="1"/>
        <v/>
      </c>
      <c r="I1391" s="112" t="str">
        <f ca="1"/>
        <v/>
      </c>
    </row>
    <row r="1392" spans="1:9" ht="13.2">
      <c r="A1392" s="109" t="str">
        <f ca="1">IFERROR(__xludf.DUMMYFUNCTION("""COMPUTED_VALUE"""),"O")</f>
        <v>O</v>
      </c>
      <c r="B1392" s="108" t="str">
        <f ca="1">IFERROR(__xludf.DUMMYFUNCTION("""COMPUTED_VALUE"""),"Addison Gaylor")</f>
        <v>Addison Gaylor</v>
      </c>
      <c r="C1392" s="109">
        <f ca="1">IFERROR(__xludf.DUMMYFUNCTION("""COMPUTED_VALUE"""),7)</f>
        <v>7</v>
      </c>
      <c r="D1392" s="109" t="str">
        <f ca="1">IFERROR(__xludf.DUMMYFUNCTION("""COMPUTED_VALUE"""),"G")</f>
        <v>G</v>
      </c>
      <c r="E1392" s="110" t="str">
        <f ca="1">IFERROR(__xludf.DUMMYFUNCTION("""COMPUTED_VALUE"""),"F")</f>
        <v>F</v>
      </c>
      <c r="F1392" s="110" t="str">
        <f ca="1">IFERROR(__xludf.DUMMYFUNCTION("""COMPUTED_VALUE"""),"J")</f>
        <v>J</v>
      </c>
      <c r="G1392" s="110">
        <f ca="1">IFERROR(__xludf.DUMMYFUNCTION("""COMPUTED_VALUE"""),1)</f>
        <v>1</v>
      </c>
      <c r="H1392" s="112" t="str">
        <f ca="1"/>
        <v/>
      </c>
      <c r="I1392" s="81" t="str">
        <f ca="1"/>
        <v/>
      </c>
    </row>
    <row r="1393" spans="1:9" ht="13.2">
      <c r="A1393" s="109" t="str">
        <f ca="1">IFERROR(__xludf.DUMMYFUNCTION("""COMPUTED_VALUE"""),"O")</f>
        <v>O</v>
      </c>
      <c r="B1393" s="108" t="str">
        <f ca="1">IFERROR(__xludf.DUMMYFUNCTION("""COMPUTED_VALUE"""),"Anabel Buczek")</f>
        <v>Anabel Buczek</v>
      </c>
      <c r="C1393" s="109">
        <f ca="1">IFERROR(__xludf.DUMMYFUNCTION("""COMPUTED_VALUE"""),10)</f>
        <v>10</v>
      </c>
      <c r="D1393" s="109" t="str">
        <f ca="1">IFERROR(__xludf.DUMMYFUNCTION("""COMPUTED_VALUE"""),"G")</f>
        <v>G</v>
      </c>
      <c r="E1393" s="110" t="str">
        <f ca="1">IFERROR(__xludf.DUMMYFUNCTION("""COMPUTED_VALUE"""),"F")</f>
        <v>F</v>
      </c>
      <c r="F1393" s="110" t="str">
        <f ca="1">IFERROR(__xludf.DUMMYFUNCTION("""COMPUTED_VALUE"""),"J")</f>
        <v>J</v>
      </c>
      <c r="G1393" s="110">
        <f ca="1">IFERROR(__xludf.DUMMYFUNCTION("""COMPUTED_VALUE"""),1)</f>
        <v>1</v>
      </c>
      <c r="H1393" s="112" t="str">
        <f ca="1"/>
        <v/>
      </c>
      <c r="I1393" s="81" t="str">
        <f ca="1"/>
        <v/>
      </c>
    </row>
    <row r="1394" spans="1:9" ht="13.2">
      <c r="A1394" s="109" t="str">
        <f ca="1">IFERROR(__xludf.DUMMYFUNCTION("""COMPUTED_VALUE"""),"O")</f>
        <v>O</v>
      </c>
      <c r="B1394" s="108" t="str">
        <f ca="1">IFERROR(__xludf.DUMMYFUNCTION("""COMPUTED_VALUE"""),"Anna Dunn")</f>
        <v>Anna Dunn</v>
      </c>
      <c r="C1394" s="109">
        <f ca="1">IFERROR(__xludf.DUMMYFUNCTION("""COMPUTED_VALUE"""),8)</f>
        <v>8</v>
      </c>
      <c r="D1394" s="109" t="str">
        <f ca="1">IFERROR(__xludf.DUMMYFUNCTION("""COMPUTED_VALUE"""),"G")</f>
        <v>G</v>
      </c>
      <c r="E1394" s="110" t="str">
        <f ca="1">IFERROR(__xludf.DUMMYFUNCTION("""COMPUTED_VALUE"""),"F")</f>
        <v>F</v>
      </c>
      <c r="F1394" s="110" t="str">
        <f ca="1">IFERROR(__xludf.DUMMYFUNCTION("""COMPUTED_VALUE"""),"J")</f>
        <v>J</v>
      </c>
      <c r="G1394" s="110">
        <f ca="1">IFERROR(__xludf.DUMMYFUNCTION("""COMPUTED_VALUE"""),1)</f>
        <v>1</v>
      </c>
      <c r="H1394" s="112" t="str">
        <f ca="1"/>
        <v/>
      </c>
      <c r="I1394" s="112" t="str">
        <f ca="1"/>
        <v/>
      </c>
    </row>
    <row r="1395" spans="1:9" ht="13.2">
      <c r="A1395" s="109" t="str">
        <f ca="1">IFERROR(__xludf.DUMMYFUNCTION("""COMPUTED_VALUE"""),"O")</f>
        <v>O</v>
      </c>
      <c r="B1395" s="108" t="str">
        <f ca="1">IFERROR(__xludf.DUMMYFUNCTION("""COMPUTED_VALUE"""),"Cecilia Yen")</f>
        <v>Cecilia Yen</v>
      </c>
      <c r="C1395" s="109">
        <f ca="1">IFERROR(__xludf.DUMMYFUNCTION("""COMPUTED_VALUE"""),10)</f>
        <v>10</v>
      </c>
      <c r="D1395" s="109" t="str">
        <f ca="1">IFERROR(__xludf.DUMMYFUNCTION("""COMPUTED_VALUE"""),"G")</f>
        <v>G</v>
      </c>
      <c r="E1395" s="110" t="str">
        <f ca="1">IFERROR(__xludf.DUMMYFUNCTION("""COMPUTED_VALUE"""),"F")</f>
        <v>F</v>
      </c>
      <c r="F1395" s="110" t="str">
        <f ca="1">IFERROR(__xludf.DUMMYFUNCTION("""COMPUTED_VALUE"""),"J")</f>
        <v>J</v>
      </c>
      <c r="G1395" s="110">
        <f ca="1">IFERROR(__xludf.DUMMYFUNCTION("""COMPUTED_VALUE"""),1)</f>
        <v>1</v>
      </c>
      <c r="H1395" s="112" t="str">
        <f ca="1"/>
        <v/>
      </c>
      <c r="I1395" s="81" t="str">
        <f ca="1"/>
        <v/>
      </c>
    </row>
    <row r="1396" spans="1:9" ht="13.2">
      <c r="A1396" s="109" t="str">
        <f ca="1">IFERROR(__xludf.DUMMYFUNCTION("""COMPUTED_VALUE"""),"O")</f>
        <v>O</v>
      </c>
      <c r="B1396" s="108" t="str">
        <f ca="1">IFERROR(__xludf.DUMMYFUNCTION("""COMPUTED_VALUE"""),"Charlotte Axelrod")</f>
        <v>Charlotte Axelrod</v>
      </c>
      <c r="C1396" s="109">
        <f ca="1">IFERROR(__xludf.DUMMYFUNCTION("""COMPUTED_VALUE"""),9)</f>
        <v>9</v>
      </c>
      <c r="D1396" s="109" t="str">
        <f ca="1">IFERROR(__xludf.DUMMYFUNCTION("""COMPUTED_VALUE"""),"G")</f>
        <v>G</v>
      </c>
      <c r="E1396" s="110" t="str">
        <f ca="1">IFERROR(__xludf.DUMMYFUNCTION("""COMPUTED_VALUE"""),"F")</f>
        <v>F</v>
      </c>
      <c r="F1396" s="110" t="str">
        <f ca="1">IFERROR(__xludf.DUMMYFUNCTION("""COMPUTED_VALUE"""),"J")</f>
        <v>J</v>
      </c>
      <c r="G1396" s="110">
        <f ca="1">IFERROR(__xludf.DUMMYFUNCTION("""COMPUTED_VALUE"""),1)</f>
        <v>1</v>
      </c>
      <c r="H1396" s="112" t="str">
        <f ca="1"/>
        <v/>
      </c>
      <c r="I1396" s="112" t="str">
        <f ca="1"/>
        <v/>
      </c>
    </row>
    <row r="1397" spans="1:9" ht="13.2">
      <c r="A1397" s="109" t="str">
        <f ca="1">IFERROR(__xludf.DUMMYFUNCTION("""COMPUTED_VALUE"""),"O")</f>
        <v>O</v>
      </c>
      <c r="B1397" s="108" t="str">
        <f ca="1">IFERROR(__xludf.DUMMYFUNCTION("""COMPUTED_VALUE"""),"Claire Cocker")</f>
        <v>Claire Cocker</v>
      </c>
      <c r="C1397" s="109">
        <f ca="1">IFERROR(__xludf.DUMMYFUNCTION("""COMPUTED_VALUE"""),6)</f>
        <v>6</v>
      </c>
      <c r="D1397" s="109" t="str">
        <f ca="1">IFERROR(__xludf.DUMMYFUNCTION("""COMPUTED_VALUE"""),"G")</f>
        <v>G</v>
      </c>
      <c r="E1397" s="110" t="str">
        <f ca="1">IFERROR(__xludf.DUMMYFUNCTION("""COMPUTED_VALUE"""),"F")</f>
        <v>F</v>
      </c>
      <c r="F1397" s="110" t="str">
        <f ca="1">IFERROR(__xludf.DUMMYFUNCTION("""COMPUTED_VALUE"""),"J")</f>
        <v>J</v>
      </c>
      <c r="G1397" s="110">
        <f ca="1">IFERROR(__xludf.DUMMYFUNCTION("""COMPUTED_VALUE"""),1)</f>
        <v>1</v>
      </c>
      <c r="H1397" s="112" t="str">
        <f ca="1"/>
        <v/>
      </c>
      <c r="I1397" s="112" t="str">
        <f ca="1"/>
        <v/>
      </c>
    </row>
    <row r="1398" spans="1:9" ht="13.2">
      <c r="A1398" s="109" t="str">
        <f ca="1">IFERROR(__xludf.DUMMYFUNCTION("""COMPUTED_VALUE"""),"O")</f>
        <v>O</v>
      </c>
      <c r="B1398" s="108" t="str">
        <f ca="1">IFERROR(__xludf.DUMMYFUNCTION("""COMPUTED_VALUE"""),"Delaney Balkema")</f>
        <v>Delaney Balkema</v>
      </c>
      <c r="C1398" s="109">
        <f ca="1">IFERROR(__xludf.DUMMYFUNCTION("""COMPUTED_VALUE"""),10)</f>
        <v>10</v>
      </c>
      <c r="D1398" s="109" t="str">
        <f ca="1">IFERROR(__xludf.DUMMYFUNCTION("""COMPUTED_VALUE"""),"G")</f>
        <v>G</v>
      </c>
      <c r="E1398" s="110" t="str">
        <f ca="1">IFERROR(__xludf.DUMMYFUNCTION("""COMPUTED_VALUE"""),"F")</f>
        <v>F</v>
      </c>
      <c r="F1398" s="110" t="str">
        <f ca="1">IFERROR(__xludf.DUMMYFUNCTION("""COMPUTED_VALUE"""),"J")</f>
        <v>J</v>
      </c>
      <c r="G1398" s="110">
        <f ca="1">IFERROR(__xludf.DUMMYFUNCTION("""COMPUTED_VALUE"""),1)</f>
        <v>1</v>
      </c>
      <c r="H1398" s="112" t="str">
        <f ca="1"/>
        <v/>
      </c>
      <c r="I1398" s="112" t="str">
        <f ca="1"/>
        <v/>
      </c>
    </row>
    <row r="1399" spans="1:9" ht="13.2">
      <c r="A1399" s="109" t="str">
        <f ca="1">IFERROR(__xludf.DUMMYFUNCTION("""COMPUTED_VALUE"""),"O")</f>
        <v>O</v>
      </c>
      <c r="B1399" s="108" t="str">
        <f ca="1">IFERROR(__xludf.DUMMYFUNCTION("""COMPUTED_VALUE"""),"Eliza Woodward")</f>
        <v>Eliza Woodward</v>
      </c>
      <c r="C1399" s="109">
        <f ca="1">IFERROR(__xludf.DUMMYFUNCTION("""COMPUTED_VALUE"""),8)</f>
        <v>8</v>
      </c>
      <c r="D1399" s="109" t="str">
        <f ca="1">IFERROR(__xludf.DUMMYFUNCTION("""COMPUTED_VALUE"""),"G")</f>
        <v>G</v>
      </c>
      <c r="E1399" s="110" t="str">
        <f ca="1">IFERROR(__xludf.DUMMYFUNCTION("""COMPUTED_VALUE"""),"F")</f>
        <v>F</v>
      </c>
      <c r="F1399" s="110" t="str">
        <f ca="1">IFERROR(__xludf.DUMMYFUNCTION("""COMPUTED_VALUE"""),"J")</f>
        <v>J</v>
      </c>
      <c r="G1399" s="110">
        <f ca="1">IFERROR(__xludf.DUMMYFUNCTION("""COMPUTED_VALUE"""),1)</f>
        <v>1</v>
      </c>
      <c r="H1399" s="112" t="str">
        <f ca="1"/>
        <v/>
      </c>
      <c r="I1399" s="112" t="str">
        <f ca="1"/>
        <v/>
      </c>
    </row>
    <row r="1400" spans="1:9" ht="13.2">
      <c r="A1400" s="109" t="str">
        <f ca="1">IFERROR(__xludf.DUMMYFUNCTION("""COMPUTED_VALUE"""),"O")</f>
        <v>O</v>
      </c>
      <c r="B1400" s="108" t="str">
        <f ca="1">IFERROR(__xludf.DUMMYFUNCTION("""COMPUTED_VALUE"""),"Elizabeth Deegan")</f>
        <v>Elizabeth Deegan</v>
      </c>
      <c r="C1400" s="109">
        <f ca="1">IFERROR(__xludf.DUMMYFUNCTION("""COMPUTED_VALUE"""),9)</f>
        <v>9</v>
      </c>
      <c r="D1400" s="109" t="str">
        <f ca="1">IFERROR(__xludf.DUMMYFUNCTION("""COMPUTED_VALUE"""),"G")</f>
        <v>G</v>
      </c>
      <c r="E1400" s="110" t="str">
        <f ca="1">IFERROR(__xludf.DUMMYFUNCTION("""COMPUTED_VALUE"""),"F")</f>
        <v>F</v>
      </c>
      <c r="F1400" s="110" t="str">
        <f ca="1">IFERROR(__xludf.DUMMYFUNCTION("""COMPUTED_VALUE"""),"J")</f>
        <v>J</v>
      </c>
      <c r="G1400" s="110">
        <f ca="1">IFERROR(__xludf.DUMMYFUNCTION("""COMPUTED_VALUE"""),1)</f>
        <v>1</v>
      </c>
      <c r="H1400" s="112" t="str">
        <f ca="1"/>
        <v/>
      </c>
      <c r="I1400" s="112" t="str">
        <f ca="1"/>
        <v/>
      </c>
    </row>
    <row r="1401" spans="1:9" ht="13.2">
      <c r="A1401" s="109" t="str">
        <f ca="1">IFERROR(__xludf.DUMMYFUNCTION("""COMPUTED_VALUE"""),"O")</f>
        <v>O</v>
      </c>
      <c r="B1401" s="108" t="str">
        <f ca="1">IFERROR(__xludf.DUMMYFUNCTION("""COMPUTED_VALUE"""),"Ellie Brown")</f>
        <v>Ellie Brown</v>
      </c>
      <c r="C1401" s="109">
        <f ca="1">IFERROR(__xludf.DUMMYFUNCTION("""COMPUTED_VALUE"""),7)</f>
        <v>7</v>
      </c>
      <c r="D1401" s="109" t="str">
        <f ca="1">IFERROR(__xludf.DUMMYFUNCTION("""COMPUTED_VALUE"""),"G")</f>
        <v>G</v>
      </c>
      <c r="E1401" s="110" t="str">
        <f ca="1">IFERROR(__xludf.DUMMYFUNCTION("""COMPUTED_VALUE"""),"F")</f>
        <v>F</v>
      </c>
      <c r="F1401" s="110" t="str">
        <f ca="1">IFERROR(__xludf.DUMMYFUNCTION("""COMPUTED_VALUE"""),"J")</f>
        <v>J</v>
      </c>
      <c r="G1401" s="110">
        <f ca="1">IFERROR(__xludf.DUMMYFUNCTION("""COMPUTED_VALUE"""),1)</f>
        <v>1</v>
      </c>
      <c r="H1401" s="112" t="str">
        <f ca="1"/>
        <v/>
      </c>
      <c r="I1401" s="112" t="str">
        <f ca="1"/>
        <v/>
      </c>
    </row>
    <row r="1402" spans="1:9" ht="13.2">
      <c r="A1402" s="109" t="str">
        <f ca="1">IFERROR(__xludf.DUMMYFUNCTION("""COMPUTED_VALUE"""),"O")</f>
        <v>O</v>
      </c>
      <c r="B1402" s="108" t="str">
        <f ca="1">IFERROR(__xludf.DUMMYFUNCTION("""COMPUTED_VALUE"""),"Elsa Allard")</f>
        <v>Elsa Allard</v>
      </c>
      <c r="C1402" s="109">
        <f ca="1">IFERROR(__xludf.DUMMYFUNCTION("""COMPUTED_VALUE"""),6)</f>
        <v>6</v>
      </c>
      <c r="D1402" s="109" t="str">
        <f ca="1">IFERROR(__xludf.DUMMYFUNCTION("""COMPUTED_VALUE"""),"G")</f>
        <v>G</v>
      </c>
      <c r="E1402" s="110" t="str">
        <f ca="1">IFERROR(__xludf.DUMMYFUNCTION("""COMPUTED_VALUE"""),"F")</f>
        <v>F</v>
      </c>
      <c r="F1402" s="110" t="str">
        <f ca="1">IFERROR(__xludf.DUMMYFUNCTION("""COMPUTED_VALUE"""),"J")</f>
        <v>J</v>
      </c>
      <c r="G1402" s="110">
        <f ca="1">IFERROR(__xludf.DUMMYFUNCTION("""COMPUTED_VALUE"""),1)</f>
        <v>1</v>
      </c>
      <c r="H1402" s="112" t="str">
        <f ca="1"/>
        <v/>
      </c>
      <c r="I1402" s="112" t="str">
        <f ca="1"/>
        <v/>
      </c>
    </row>
    <row r="1403" spans="1:9" ht="13.2">
      <c r="A1403" s="109" t="str">
        <f ca="1">IFERROR(__xludf.DUMMYFUNCTION("""COMPUTED_VALUE"""),"O")</f>
        <v>O</v>
      </c>
      <c r="B1403" s="108" t="str">
        <f ca="1">IFERROR(__xludf.DUMMYFUNCTION("""COMPUTED_VALUE"""),"Emeline Waltrup")</f>
        <v>Emeline Waltrup</v>
      </c>
      <c r="C1403" s="109">
        <f ca="1">IFERROR(__xludf.DUMMYFUNCTION("""COMPUTED_VALUE"""),8)</f>
        <v>8</v>
      </c>
      <c r="D1403" s="109" t="str">
        <f ca="1">IFERROR(__xludf.DUMMYFUNCTION("""COMPUTED_VALUE"""),"G")</f>
        <v>G</v>
      </c>
      <c r="E1403" s="110" t="str">
        <f ca="1">IFERROR(__xludf.DUMMYFUNCTION("""COMPUTED_VALUE"""),"F")</f>
        <v>F</v>
      </c>
      <c r="F1403" s="110" t="str">
        <f ca="1">IFERROR(__xludf.DUMMYFUNCTION("""COMPUTED_VALUE"""),"J")</f>
        <v>J</v>
      </c>
      <c r="G1403" s="110">
        <f ca="1">IFERROR(__xludf.DUMMYFUNCTION("""COMPUTED_VALUE"""),1)</f>
        <v>1</v>
      </c>
      <c r="H1403" s="112" t="str">
        <f ca="1"/>
        <v/>
      </c>
      <c r="I1403" s="112" t="str">
        <f ca="1"/>
        <v/>
      </c>
    </row>
    <row r="1404" spans="1:9" ht="13.2">
      <c r="A1404" s="109" t="str">
        <f ca="1">IFERROR(__xludf.DUMMYFUNCTION("""COMPUTED_VALUE"""),"O")</f>
        <v>O</v>
      </c>
      <c r="B1404" s="108" t="str">
        <f ca="1">IFERROR(__xludf.DUMMYFUNCTION("""COMPUTED_VALUE"""),"Erin Parks")</f>
        <v>Erin Parks</v>
      </c>
      <c r="C1404" s="109">
        <f ca="1">IFERROR(__xludf.DUMMYFUNCTION("""COMPUTED_VALUE"""),8)</f>
        <v>8</v>
      </c>
      <c r="D1404" s="109" t="str">
        <f ca="1">IFERROR(__xludf.DUMMYFUNCTION("""COMPUTED_VALUE"""),"G")</f>
        <v>G</v>
      </c>
      <c r="E1404" s="110" t="str">
        <f ca="1">IFERROR(__xludf.DUMMYFUNCTION("""COMPUTED_VALUE"""),"F")</f>
        <v>F</v>
      </c>
      <c r="F1404" s="110" t="str">
        <f ca="1">IFERROR(__xludf.DUMMYFUNCTION("""COMPUTED_VALUE"""),"J")</f>
        <v>J</v>
      </c>
      <c r="G1404" s="110">
        <f ca="1">IFERROR(__xludf.DUMMYFUNCTION("""COMPUTED_VALUE"""),1)</f>
        <v>1</v>
      </c>
      <c r="H1404" s="112" t="str">
        <f ca="1"/>
        <v/>
      </c>
      <c r="I1404" s="112" t="str">
        <f ca="1"/>
        <v/>
      </c>
    </row>
    <row r="1405" spans="1:9" ht="13.2">
      <c r="A1405" s="109" t="str">
        <f ca="1">IFERROR(__xludf.DUMMYFUNCTION("""COMPUTED_VALUE"""),"O")</f>
        <v>O</v>
      </c>
      <c r="B1405" s="108" t="str">
        <f ca="1">IFERROR(__xludf.DUMMYFUNCTION("""COMPUTED_VALUE"""),"Greta Bowser")</f>
        <v>Greta Bowser</v>
      </c>
      <c r="C1405" s="109">
        <f ca="1">IFERROR(__xludf.DUMMYFUNCTION("""COMPUTED_VALUE"""),8)</f>
        <v>8</v>
      </c>
      <c r="D1405" s="109" t="str">
        <f ca="1">IFERROR(__xludf.DUMMYFUNCTION("""COMPUTED_VALUE"""),"G")</f>
        <v>G</v>
      </c>
      <c r="E1405" s="110" t="str">
        <f ca="1">IFERROR(__xludf.DUMMYFUNCTION("""COMPUTED_VALUE"""),"F")</f>
        <v>F</v>
      </c>
      <c r="F1405" s="110" t="str">
        <f ca="1">IFERROR(__xludf.DUMMYFUNCTION("""COMPUTED_VALUE"""),"J")</f>
        <v>J</v>
      </c>
      <c r="G1405" s="110">
        <f ca="1">IFERROR(__xludf.DUMMYFUNCTION("""COMPUTED_VALUE"""),1)</f>
        <v>1</v>
      </c>
      <c r="H1405" s="112" t="str">
        <f ca="1"/>
        <v/>
      </c>
      <c r="I1405" s="112" t="str">
        <f ca="1"/>
        <v/>
      </c>
    </row>
    <row r="1406" spans="1:9" ht="13.2">
      <c r="A1406" s="109" t="str">
        <f ca="1">IFERROR(__xludf.DUMMYFUNCTION("""COMPUTED_VALUE"""),"O")</f>
        <v>O</v>
      </c>
      <c r="B1406" s="108" t="str">
        <f ca="1">IFERROR(__xludf.DUMMYFUNCTION("""COMPUTED_VALUE"""),"Hannah Allard")</f>
        <v>Hannah Allard</v>
      </c>
      <c r="C1406" s="109">
        <f ca="1">IFERROR(__xludf.DUMMYFUNCTION("""COMPUTED_VALUE"""),10)</f>
        <v>10</v>
      </c>
      <c r="D1406" s="109" t="str">
        <f ca="1">IFERROR(__xludf.DUMMYFUNCTION("""COMPUTED_VALUE"""),"G")</f>
        <v>G</v>
      </c>
      <c r="E1406" s="110" t="str">
        <f ca="1">IFERROR(__xludf.DUMMYFUNCTION("""COMPUTED_VALUE"""),"F")</f>
        <v>F</v>
      </c>
      <c r="F1406" s="110" t="str">
        <f ca="1">IFERROR(__xludf.DUMMYFUNCTION("""COMPUTED_VALUE"""),"J")</f>
        <v>J</v>
      </c>
      <c r="G1406" s="110">
        <f ca="1">IFERROR(__xludf.DUMMYFUNCTION("""COMPUTED_VALUE"""),1)</f>
        <v>1</v>
      </c>
      <c r="H1406" s="112" t="str">
        <f ca="1"/>
        <v/>
      </c>
      <c r="I1406" s="112" t="str">
        <f ca="1"/>
        <v/>
      </c>
    </row>
    <row r="1407" spans="1:9" ht="13.2">
      <c r="A1407" s="109" t="str">
        <f ca="1">IFERROR(__xludf.DUMMYFUNCTION("""COMPUTED_VALUE"""),"O")</f>
        <v>O</v>
      </c>
      <c r="B1407" s="108" t="str">
        <f ca="1">IFERROR(__xludf.DUMMYFUNCTION("""COMPUTED_VALUE"""),"Holly Axelrod")</f>
        <v>Holly Axelrod</v>
      </c>
      <c r="C1407" s="109">
        <f ca="1">IFERROR(__xludf.DUMMYFUNCTION("""COMPUTED_VALUE"""),7)</f>
        <v>7</v>
      </c>
      <c r="D1407" s="109" t="str">
        <f ca="1">IFERROR(__xludf.DUMMYFUNCTION("""COMPUTED_VALUE"""),"G")</f>
        <v>G</v>
      </c>
      <c r="E1407" s="110" t="str">
        <f ca="1">IFERROR(__xludf.DUMMYFUNCTION("""COMPUTED_VALUE"""),"F")</f>
        <v>F</v>
      </c>
      <c r="F1407" s="110" t="str">
        <f ca="1">IFERROR(__xludf.DUMMYFUNCTION("""COMPUTED_VALUE"""),"J")</f>
        <v>J</v>
      </c>
      <c r="G1407" s="110">
        <f ca="1">IFERROR(__xludf.DUMMYFUNCTION("""COMPUTED_VALUE"""),1)</f>
        <v>1</v>
      </c>
      <c r="H1407" s="112" t="str">
        <f ca="1"/>
        <v/>
      </c>
      <c r="I1407" s="112" t="str">
        <f ca="1"/>
        <v/>
      </c>
    </row>
    <row r="1408" spans="1:9" ht="13.2">
      <c r="A1408" s="109" t="str">
        <f ca="1">IFERROR(__xludf.DUMMYFUNCTION("""COMPUTED_VALUE"""),"O")</f>
        <v>O</v>
      </c>
      <c r="B1408" s="108" t="str">
        <f ca="1">IFERROR(__xludf.DUMMYFUNCTION("""COMPUTED_VALUE"""),"Josephine Malko")</f>
        <v>Josephine Malko</v>
      </c>
      <c r="C1408" s="109">
        <f ca="1">IFERROR(__xludf.DUMMYFUNCTION("""COMPUTED_VALUE"""),10)</f>
        <v>10</v>
      </c>
      <c r="D1408" s="109" t="str">
        <f ca="1">IFERROR(__xludf.DUMMYFUNCTION("""COMPUTED_VALUE"""),"G")</f>
        <v>G</v>
      </c>
      <c r="E1408" s="110" t="str">
        <f ca="1">IFERROR(__xludf.DUMMYFUNCTION("""COMPUTED_VALUE"""),"F")</f>
        <v>F</v>
      </c>
      <c r="F1408" s="110" t="str">
        <f ca="1">IFERROR(__xludf.DUMMYFUNCTION("""COMPUTED_VALUE"""),"J")</f>
        <v>J</v>
      </c>
      <c r="G1408" s="110">
        <f ca="1">IFERROR(__xludf.DUMMYFUNCTION("""COMPUTED_VALUE"""),1)</f>
        <v>1</v>
      </c>
      <c r="H1408" s="112" t="str">
        <f ca="1"/>
        <v/>
      </c>
      <c r="I1408" s="112" t="str">
        <f ca="1"/>
        <v/>
      </c>
    </row>
    <row r="1409" spans="1:9" ht="13.2">
      <c r="A1409" s="109" t="str">
        <f ca="1">IFERROR(__xludf.DUMMYFUNCTION("""COMPUTED_VALUE"""),"O")</f>
        <v>O</v>
      </c>
      <c r="B1409" s="108" t="str">
        <f ca="1">IFERROR(__xludf.DUMMYFUNCTION("""COMPUTED_VALUE"""),"Kenly McAllister")</f>
        <v>Kenly McAllister</v>
      </c>
      <c r="C1409" s="109">
        <f ca="1">IFERROR(__xludf.DUMMYFUNCTION("""COMPUTED_VALUE"""),9)</f>
        <v>9</v>
      </c>
      <c r="D1409" s="109" t="str">
        <f ca="1">IFERROR(__xludf.DUMMYFUNCTION("""COMPUTED_VALUE"""),"G")</f>
        <v>G</v>
      </c>
      <c r="E1409" s="110" t="str">
        <f ca="1">IFERROR(__xludf.DUMMYFUNCTION("""COMPUTED_VALUE"""),"F")</f>
        <v>F</v>
      </c>
      <c r="F1409" s="110" t="str">
        <f ca="1">IFERROR(__xludf.DUMMYFUNCTION("""COMPUTED_VALUE"""),"J")</f>
        <v>J</v>
      </c>
      <c r="G1409" s="110">
        <f ca="1">IFERROR(__xludf.DUMMYFUNCTION("""COMPUTED_VALUE"""),1)</f>
        <v>1</v>
      </c>
      <c r="H1409" s="112" t="str">
        <f ca="1"/>
        <v/>
      </c>
      <c r="I1409" s="112" t="str">
        <f ca="1"/>
        <v/>
      </c>
    </row>
    <row r="1410" spans="1:9" ht="13.2">
      <c r="A1410" s="109" t="str">
        <f ca="1">IFERROR(__xludf.DUMMYFUNCTION("""COMPUTED_VALUE"""),"O")</f>
        <v>O</v>
      </c>
      <c r="B1410" s="108" t="str">
        <f ca="1">IFERROR(__xludf.DUMMYFUNCTION("""COMPUTED_VALUE"""),"Kerry Campbell")</f>
        <v>Kerry Campbell</v>
      </c>
      <c r="C1410" s="109">
        <f ca="1">IFERROR(__xludf.DUMMYFUNCTION("""COMPUTED_VALUE"""),9)</f>
        <v>9</v>
      </c>
      <c r="D1410" s="109" t="str">
        <f ca="1">IFERROR(__xludf.DUMMYFUNCTION("""COMPUTED_VALUE"""),"G")</f>
        <v>G</v>
      </c>
      <c r="E1410" s="110" t="str">
        <f ca="1">IFERROR(__xludf.DUMMYFUNCTION("""COMPUTED_VALUE"""),"F")</f>
        <v>F</v>
      </c>
      <c r="F1410" s="110" t="str">
        <f ca="1">IFERROR(__xludf.DUMMYFUNCTION("""COMPUTED_VALUE"""),"J")</f>
        <v>J</v>
      </c>
      <c r="G1410" s="110">
        <f ca="1">IFERROR(__xludf.DUMMYFUNCTION("""COMPUTED_VALUE"""),1)</f>
        <v>1</v>
      </c>
      <c r="H1410" s="112" t="str">
        <f ca="1"/>
        <v/>
      </c>
      <c r="I1410" s="112" t="str">
        <f ca="1"/>
        <v/>
      </c>
    </row>
    <row r="1411" spans="1:9" ht="13.2">
      <c r="A1411" s="109" t="str">
        <f ca="1">IFERROR(__xludf.DUMMYFUNCTION("""COMPUTED_VALUE"""),"O")</f>
        <v>O</v>
      </c>
      <c r="B1411" s="108" t="str">
        <f ca="1">IFERROR(__xludf.DUMMYFUNCTION("""COMPUTED_VALUE"""),"Liliana Cappoli")</f>
        <v>Liliana Cappoli</v>
      </c>
      <c r="C1411" s="109">
        <f ca="1">IFERROR(__xludf.DUMMYFUNCTION("""COMPUTED_VALUE"""),7)</f>
        <v>7</v>
      </c>
      <c r="D1411" s="109" t="str">
        <f ca="1">IFERROR(__xludf.DUMMYFUNCTION("""COMPUTED_VALUE"""),"G")</f>
        <v>G</v>
      </c>
      <c r="E1411" s="110" t="str">
        <f ca="1">IFERROR(__xludf.DUMMYFUNCTION("""COMPUTED_VALUE"""),"F")</f>
        <v>F</v>
      </c>
      <c r="F1411" s="110" t="str">
        <f ca="1">IFERROR(__xludf.DUMMYFUNCTION("""COMPUTED_VALUE"""),"J")</f>
        <v>J</v>
      </c>
      <c r="G1411" s="110">
        <f ca="1">IFERROR(__xludf.DUMMYFUNCTION("""COMPUTED_VALUE"""),1)</f>
        <v>1</v>
      </c>
      <c r="H1411" s="112" t="str">
        <f ca="1"/>
        <v/>
      </c>
      <c r="I1411" s="112" t="str">
        <f ca="1"/>
        <v/>
      </c>
    </row>
    <row r="1412" spans="1:9" ht="13.2">
      <c r="A1412" s="109" t="str">
        <f ca="1">IFERROR(__xludf.DUMMYFUNCTION("""COMPUTED_VALUE"""),"O")</f>
        <v>O</v>
      </c>
      <c r="B1412" s="108" t="str">
        <f ca="1">IFERROR(__xludf.DUMMYFUNCTION("""COMPUTED_VALUE"""),"Madeline Egge")</f>
        <v>Madeline Egge</v>
      </c>
      <c r="C1412" s="109">
        <f ca="1">IFERROR(__xludf.DUMMYFUNCTION("""COMPUTED_VALUE"""),10)</f>
        <v>10</v>
      </c>
      <c r="D1412" s="109" t="str">
        <f ca="1">IFERROR(__xludf.DUMMYFUNCTION("""COMPUTED_VALUE"""),"G")</f>
        <v>G</v>
      </c>
      <c r="E1412" s="110" t="str">
        <f ca="1">IFERROR(__xludf.DUMMYFUNCTION("""COMPUTED_VALUE"""),"F")</f>
        <v>F</v>
      </c>
      <c r="F1412" s="110" t="str">
        <f ca="1">IFERROR(__xludf.DUMMYFUNCTION("""COMPUTED_VALUE"""),"J")</f>
        <v>J</v>
      </c>
      <c r="G1412" s="110">
        <f ca="1">IFERROR(__xludf.DUMMYFUNCTION("""COMPUTED_VALUE"""),1)</f>
        <v>1</v>
      </c>
      <c r="H1412" s="112" t="str">
        <f ca="1"/>
        <v/>
      </c>
      <c r="I1412" s="112" t="str">
        <f ca="1"/>
        <v/>
      </c>
    </row>
    <row r="1413" spans="1:9" ht="13.2">
      <c r="A1413" s="109" t="str">
        <f ca="1">IFERROR(__xludf.DUMMYFUNCTION("""COMPUTED_VALUE"""),"O")</f>
        <v>O</v>
      </c>
      <c r="B1413" s="108" t="str">
        <f ca="1">IFERROR(__xludf.DUMMYFUNCTION("""COMPUTED_VALUE"""),"Perrin Malko")</f>
        <v>Perrin Malko</v>
      </c>
      <c r="C1413" s="109">
        <f ca="1">IFERROR(__xludf.DUMMYFUNCTION("""COMPUTED_VALUE"""),7)</f>
        <v>7</v>
      </c>
      <c r="D1413" s="109" t="str">
        <f ca="1">IFERROR(__xludf.DUMMYFUNCTION("""COMPUTED_VALUE"""),"G")</f>
        <v>G</v>
      </c>
      <c r="E1413" s="110" t="str">
        <f ca="1">IFERROR(__xludf.DUMMYFUNCTION("""COMPUTED_VALUE"""),"F")</f>
        <v>F</v>
      </c>
      <c r="F1413" s="110" t="str">
        <f ca="1">IFERROR(__xludf.DUMMYFUNCTION("""COMPUTED_VALUE"""),"J")</f>
        <v>J</v>
      </c>
      <c r="G1413" s="110">
        <f ca="1">IFERROR(__xludf.DUMMYFUNCTION("""COMPUTED_VALUE"""),1)</f>
        <v>1</v>
      </c>
      <c r="H1413" s="112" t="str">
        <f ca="1"/>
        <v/>
      </c>
      <c r="I1413" s="81" t="str">
        <f ca="1"/>
        <v/>
      </c>
    </row>
    <row r="1414" spans="1:9" ht="13.2">
      <c r="A1414" s="109" t="str">
        <f ca="1">IFERROR(__xludf.DUMMYFUNCTION("""COMPUTED_VALUE"""),"O")</f>
        <v>O</v>
      </c>
      <c r="B1414" s="108" t="str">
        <f ca="1">IFERROR(__xludf.DUMMYFUNCTION("""COMPUTED_VALUE"""),"Rebecca Pyser")</f>
        <v>Rebecca Pyser</v>
      </c>
      <c r="C1414" s="109">
        <f ca="1">IFERROR(__xludf.DUMMYFUNCTION("""COMPUTED_VALUE"""),8)</f>
        <v>8</v>
      </c>
      <c r="D1414" s="109" t="str">
        <f ca="1">IFERROR(__xludf.DUMMYFUNCTION("""COMPUTED_VALUE"""),"G")</f>
        <v>G</v>
      </c>
      <c r="E1414" s="110" t="str">
        <f ca="1">IFERROR(__xludf.DUMMYFUNCTION("""COMPUTED_VALUE"""),"F")</f>
        <v>F</v>
      </c>
      <c r="F1414" s="110" t="str">
        <f ca="1">IFERROR(__xludf.DUMMYFUNCTION("""COMPUTED_VALUE"""),"J")</f>
        <v>J</v>
      </c>
      <c r="G1414" s="110">
        <f ca="1">IFERROR(__xludf.DUMMYFUNCTION("""COMPUTED_VALUE"""),1)</f>
        <v>1</v>
      </c>
      <c r="H1414" s="112" t="str">
        <f ca="1"/>
        <v/>
      </c>
      <c r="I1414" s="112" t="str">
        <f ca="1"/>
        <v/>
      </c>
    </row>
    <row r="1415" spans="1:9" ht="13.2">
      <c r="A1415" s="109" t="str">
        <f ca="1">IFERROR(__xludf.DUMMYFUNCTION("""COMPUTED_VALUE"""),"O")</f>
        <v>O</v>
      </c>
      <c r="B1415" s="108" t="str">
        <f ca="1">IFERROR(__xludf.DUMMYFUNCTION("""COMPUTED_VALUE"""),"Riley Mills")</f>
        <v>Riley Mills</v>
      </c>
      <c r="C1415" s="109">
        <f ca="1">IFERROR(__xludf.DUMMYFUNCTION("""COMPUTED_VALUE"""),9)</f>
        <v>9</v>
      </c>
      <c r="D1415" s="109" t="str">
        <f ca="1">IFERROR(__xludf.DUMMYFUNCTION("""COMPUTED_VALUE"""),"G")</f>
        <v>G</v>
      </c>
      <c r="E1415" s="110" t="str">
        <f ca="1">IFERROR(__xludf.DUMMYFUNCTION("""COMPUTED_VALUE"""),"F")</f>
        <v>F</v>
      </c>
      <c r="F1415" s="110" t="str">
        <f ca="1">IFERROR(__xludf.DUMMYFUNCTION("""COMPUTED_VALUE"""),"J")</f>
        <v>J</v>
      </c>
      <c r="G1415" s="110">
        <f ca="1">IFERROR(__xludf.DUMMYFUNCTION("""COMPUTED_VALUE"""),1)</f>
        <v>1</v>
      </c>
      <c r="H1415" s="112" t="str">
        <f ca="1"/>
        <v/>
      </c>
      <c r="I1415" s="112" t="str">
        <f ca="1"/>
        <v/>
      </c>
    </row>
    <row r="1416" spans="1:9" ht="13.2">
      <c r="A1416" s="109" t="str">
        <f ca="1">IFERROR(__xludf.DUMMYFUNCTION("""COMPUTED_VALUE"""),"O")</f>
        <v>O</v>
      </c>
      <c r="B1416" s="108" t="str">
        <f ca="1">IFERROR(__xludf.DUMMYFUNCTION("""COMPUTED_VALUE"""),"Samantha Hobbs")</f>
        <v>Samantha Hobbs</v>
      </c>
      <c r="C1416" s="109">
        <f ca="1">IFERROR(__xludf.DUMMYFUNCTION("""COMPUTED_VALUE"""),10)</f>
        <v>10</v>
      </c>
      <c r="D1416" s="109" t="str">
        <f ca="1">IFERROR(__xludf.DUMMYFUNCTION("""COMPUTED_VALUE"""),"G")</f>
        <v>G</v>
      </c>
      <c r="E1416" s="110" t="str">
        <f ca="1">IFERROR(__xludf.DUMMYFUNCTION("""COMPUTED_VALUE"""),"F")</f>
        <v>F</v>
      </c>
      <c r="F1416" s="110" t="str">
        <f ca="1">IFERROR(__xludf.DUMMYFUNCTION("""COMPUTED_VALUE"""),"J")</f>
        <v>J</v>
      </c>
      <c r="G1416" s="110">
        <f ca="1">IFERROR(__xludf.DUMMYFUNCTION("""COMPUTED_VALUE"""),1)</f>
        <v>1</v>
      </c>
      <c r="H1416" s="112" t="str">
        <f ca="1"/>
        <v/>
      </c>
      <c r="I1416" s="112" t="str">
        <f ca="1"/>
        <v/>
      </c>
    </row>
    <row r="1417" spans="1:9" ht="13.2">
      <c r="A1417" s="109" t="str">
        <f ca="1">IFERROR(__xludf.DUMMYFUNCTION("""COMPUTED_VALUE"""),"O")</f>
        <v>O</v>
      </c>
      <c r="B1417" s="108" t="str">
        <f ca="1">IFERROR(__xludf.DUMMYFUNCTION("""COMPUTED_VALUE"""),"Sydney Lee")</f>
        <v>Sydney Lee</v>
      </c>
      <c r="C1417" s="109">
        <f ca="1">IFERROR(__xludf.DUMMYFUNCTION("""COMPUTED_VALUE"""),10)</f>
        <v>10</v>
      </c>
      <c r="D1417" s="109" t="str">
        <f ca="1">IFERROR(__xludf.DUMMYFUNCTION("""COMPUTED_VALUE"""),"G")</f>
        <v>G</v>
      </c>
      <c r="E1417" s="110" t="str">
        <f ca="1">IFERROR(__xludf.DUMMYFUNCTION("""COMPUTED_VALUE"""),"F")</f>
        <v>F</v>
      </c>
      <c r="F1417" s="110" t="str">
        <f ca="1">IFERROR(__xludf.DUMMYFUNCTION("""COMPUTED_VALUE"""),"J")</f>
        <v>J</v>
      </c>
      <c r="G1417" s="110">
        <f ca="1">IFERROR(__xludf.DUMMYFUNCTION("""COMPUTED_VALUE"""),1)</f>
        <v>1</v>
      </c>
      <c r="H1417" s="112" t="str">
        <f ca="1"/>
        <v/>
      </c>
      <c r="I1417" s="112" t="str">
        <f ca="1"/>
        <v/>
      </c>
    </row>
    <row r="1418" spans="1:9" ht="13.2">
      <c r="A1418" s="109" t="str">
        <f ca="1">IFERROR(__xludf.DUMMYFUNCTION("""COMPUTED_VALUE"""),"O")</f>
        <v>O</v>
      </c>
      <c r="B1418" s="108" t="str">
        <f ca="1">IFERROR(__xludf.DUMMYFUNCTION("""COMPUTED_VALUE"""),"Christopher Cobey")</f>
        <v>Christopher Cobey</v>
      </c>
      <c r="C1418" s="109">
        <f ca="1">IFERROR(__xludf.DUMMYFUNCTION("""COMPUTED_VALUE"""),14)</f>
        <v>14</v>
      </c>
      <c r="D1418" s="109" t="str">
        <f ca="1">IFERROR(__xludf.DUMMYFUNCTION("""COMPUTED_VALUE"""),"B")</f>
        <v>B</v>
      </c>
      <c r="E1418" s="110" t="str">
        <f ca="1">IFERROR(__xludf.DUMMYFUNCTION("""COMPUTED_VALUE"""),"I")</f>
        <v>I</v>
      </c>
      <c r="F1418" s="110" t="str">
        <f ca="1">IFERROR(__xludf.DUMMYFUNCTION("""COMPUTED_VALUE"""),"S")</f>
        <v>S</v>
      </c>
      <c r="G1418" s="110">
        <f ca="1">IFERROR(__xludf.DUMMYFUNCTION("""COMPUTED_VALUE"""),1)</f>
        <v>1</v>
      </c>
      <c r="H1418" s="112" t="str">
        <f ca="1"/>
        <v/>
      </c>
      <c r="I1418" s="112" t="str">
        <f ca="1"/>
        <v/>
      </c>
    </row>
    <row r="1419" spans="1:9" ht="13.2">
      <c r="A1419" s="109" t="str">
        <f ca="1">IFERROR(__xludf.DUMMYFUNCTION("""COMPUTED_VALUE"""),"O")</f>
        <v>O</v>
      </c>
      <c r="B1419" s="108" t="str">
        <f ca="1">IFERROR(__xludf.DUMMYFUNCTION("""COMPUTED_VALUE"""),"Nathan Cohen")</f>
        <v>Nathan Cohen</v>
      </c>
      <c r="C1419" s="109">
        <f ca="1">IFERROR(__xludf.DUMMYFUNCTION("""COMPUTED_VALUE"""),14)</f>
        <v>14</v>
      </c>
      <c r="D1419" s="109" t="str">
        <f ca="1">IFERROR(__xludf.DUMMYFUNCTION("""COMPUTED_VALUE"""),"B")</f>
        <v>B</v>
      </c>
      <c r="E1419" s="110" t="str">
        <f ca="1">IFERROR(__xludf.DUMMYFUNCTION("""COMPUTED_VALUE"""),"I")</f>
        <v>I</v>
      </c>
      <c r="F1419" s="110" t="str">
        <f ca="1">IFERROR(__xludf.DUMMYFUNCTION("""COMPUTED_VALUE"""),"S")</f>
        <v>S</v>
      </c>
      <c r="G1419" s="110">
        <f ca="1">IFERROR(__xludf.DUMMYFUNCTION("""COMPUTED_VALUE"""),1)</f>
        <v>1</v>
      </c>
      <c r="H1419" s="112" t="str">
        <f ca="1"/>
        <v/>
      </c>
      <c r="I1419" s="81" t="str">
        <f ca="1"/>
        <v/>
      </c>
    </row>
    <row r="1420" spans="1:9" ht="13.2">
      <c r="A1420" s="109" t="str">
        <f ca="1">IFERROR(__xludf.DUMMYFUNCTION("""COMPUTED_VALUE"""),"O")</f>
        <v>O</v>
      </c>
      <c r="B1420" s="108" t="str">
        <f ca="1">IFERROR(__xludf.DUMMYFUNCTION("""COMPUTED_VALUE"""),"Jessica Talotta")</f>
        <v>Jessica Talotta</v>
      </c>
      <c r="C1420" s="109">
        <f ca="1">IFERROR(__xludf.DUMMYFUNCTION("""COMPUTED_VALUE"""),13)</f>
        <v>13</v>
      </c>
      <c r="D1420" s="109" t="str">
        <f ca="1">IFERROR(__xludf.DUMMYFUNCTION("""COMPUTED_VALUE"""),"G")</f>
        <v>G</v>
      </c>
      <c r="E1420" s="110" t="str">
        <f ca="1">IFERROR(__xludf.DUMMYFUNCTION("""COMPUTED_VALUE"""),"I")</f>
        <v>I</v>
      </c>
      <c r="F1420" s="110" t="str">
        <f ca="1">IFERROR(__xludf.DUMMYFUNCTION("""COMPUTED_VALUE"""),"S")</f>
        <v>S</v>
      </c>
      <c r="G1420" s="110">
        <f ca="1">IFERROR(__xludf.DUMMYFUNCTION("""COMPUTED_VALUE"""),1)</f>
        <v>1</v>
      </c>
      <c r="H1420" s="112" t="str">
        <f ca="1"/>
        <v/>
      </c>
      <c r="I1420" s="112" t="str">
        <f ca="1"/>
        <v/>
      </c>
    </row>
    <row r="1421" spans="1:9" ht="13.2">
      <c r="A1421" s="109" t="str">
        <f ca="1">IFERROR(__xludf.DUMMYFUNCTION("""COMPUTED_VALUE"""),"O")</f>
        <v>O</v>
      </c>
      <c r="B1421" s="108" t="str">
        <f ca="1">IFERROR(__xludf.DUMMYFUNCTION("""COMPUTED_VALUE"""),"Michayla Eisenberg")</f>
        <v>Michayla Eisenberg</v>
      </c>
      <c r="C1421" s="109">
        <f ca="1">IFERROR(__xludf.DUMMYFUNCTION("""COMPUTED_VALUE"""),14)</f>
        <v>14</v>
      </c>
      <c r="D1421" s="109" t="str">
        <f ca="1">IFERROR(__xludf.DUMMYFUNCTION("""COMPUTED_VALUE"""),"G")</f>
        <v>G</v>
      </c>
      <c r="E1421" s="110" t="str">
        <f ca="1">IFERROR(__xludf.DUMMYFUNCTION("""COMPUTED_VALUE"""),"I")</f>
        <v>I</v>
      </c>
      <c r="F1421" s="110" t="str">
        <f ca="1">IFERROR(__xludf.DUMMYFUNCTION("""COMPUTED_VALUE"""),"S")</f>
        <v>S</v>
      </c>
      <c r="G1421" s="110">
        <f ca="1">IFERROR(__xludf.DUMMYFUNCTION("""COMPUTED_VALUE"""),1)</f>
        <v>1</v>
      </c>
      <c r="H1421" s="112" t="str">
        <f ca="1"/>
        <v/>
      </c>
      <c r="I1421" s="81" t="str">
        <f ca="1"/>
        <v/>
      </c>
    </row>
    <row r="1422" spans="1:9" ht="13.2">
      <c r="A1422" s="109" t="str">
        <f ca="1">IFERROR(__xludf.DUMMYFUNCTION("""COMPUTED_VALUE"""),"O")</f>
        <v>O</v>
      </c>
      <c r="B1422" s="108" t="str">
        <f ca="1">IFERROR(__xludf.DUMMYFUNCTION("""COMPUTED_VALUE"""),"Sophie Deegan")</f>
        <v>Sophie Deegan</v>
      </c>
      <c r="C1422" s="109">
        <f ca="1">IFERROR(__xludf.DUMMYFUNCTION("""COMPUTED_VALUE"""),13)</f>
        <v>13</v>
      </c>
      <c r="D1422" s="109" t="str">
        <f ca="1">IFERROR(__xludf.DUMMYFUNCTION("""COMPUTED_VALUE"""),"G")</f>
        <v>G</v>
      </c>
      <c r="E1422" s="110" t="str">
        <f ca="1">IFERROR(__xludf.DUMMYFUNCTION("""COMPUTED_VALUE"""),"I")</f>
        <v>I</v>
      </c>
      <c r="F1422" s="110" t="str">
        <f ca="1">IFERROR(__xludf.DUMMYFUNCTION("""COMPUTED_VALUE"""),"S")</f>
        <v>S</v>
      </c>
      <c r="G1422" s="110">
        <f ca="1">IFERROR(__xludf.DUMMYFUNCTION("""COMPUTED_VALUE"""),1)</f>
        <v>1</v>
      </c>
      <c r="H1422" s="112" t="str">
        <f ca="1"/>
        <v/>
      </c>
      <c r="I1422" s="112" t="str">
        <f ca="1"/>
        <v/>
      </c>
    </row>
    <row r="1423" spans="1:9" ht="13.2">
      <c r="A1423" s="109" t="str">
        <f ca="1">IFERROR(__xludf.DUMMYFUNCTION("""COMPUTED_VALUE"""),"O")</f>
        <v>O</v>
      </c>
      <c r="B1423" s="108" t="str">
        <f ca="1">IFERROR(__xludf.DUMMYFUNCTION("""COMPUTED_VALUE"""),"Evan Woodward")</f>
        <v>Evan Woodward</v>
      </c>
      <c r="C1423" s="109">
        <f ca="1">IFERROR(__xludf.DUMMYFUNCTION("""COMPUTED_VALUE"""),11)</f>
        <v>11</v>
      </c>
      <c r="D1423" s="109" t="str">
        <f ca="1">IFERROR(__xludf.DUMMYFUNCTION("""COMPUTED_VALUE"""),"B")</f>
        <v>B</v>
      </c>
      <c r="E1423" s="110" t="str">
        <f ca="1">IFERROR(__xludf.DUMMYFUNCTION("""COMPUTED_VALUE"""),"J")</f>
        <v>J</v>
      </c>
      <c r="F1423" s="110" t="str">
        <f ca="1">IFERROR(__xludf.DUMMYFUNCTION("""COMPUTED_VALUE"""),"I")</f>
        <v>I</v>
      </c>
      <c r="G1423" s="110">
        <f ca="1">IFERROR(__xludf.DUMMYFUNCTION("""COMPUTED_VALUE"""),1)</f>
        <v>1</v>
      </c>
      <c r="H1423" s="112" t="str">
        <f ca="1"/>
        <v/>
      </c>
      <c r="I1423" s="81" t="str">
        <f ca="1"/>
        <v/>
      </c>
    </row>
    <row r="1424" spans="1:9" ht="13.2">
      <c r="A1424" s="109" t="str">
        <f ca="1">IFERROR(__xludf.DUMMYFUNCTION("""COMPUTED_VALUE"""),"O")</f>
        <v>O</v>
      </c>
      <c r="B1424" s="108" t="str">
        <f ca="1">IFERROR(__xludf.DUMMYFUNCTION("""COMPUTED_VALUE"""),"Haynes Deegan")</f>
        <v>Haynes Deegan</v>
      </c>
      <c r="C1424" s="109">
        <f ca="1">IFERROR(__xludf.DUMMYFUNCTION("""COMPUTED_VALUE"""),11)</f>
        <v>11</v>
      </c>
      <c r="D1424" s="109" t="str">
        <f ca="1">IFERROR(__xludf.DUMMYFUNCTION("""COMPUTED_VALUE"""),"B")</f>
        <v>B</v>
      </c>
      <c r="E1424" s="110" t="str">
        <f ca="1">IFERROR(__xludf.DUMMYFUNCTION("""COMPUTED_VALUE"""),"J")</f>
        <v>J</v>
      </c>
      <c r="F1424" s="110" t="str">
        <f ca="1">IFERROR(__xludf.DUMMYFUNCTION("""COMPUTED_VALUE"""),"I")</f>
        <v>I</v>
      </c>
      <c r="G1424" s="110">
        <f ca="1">IFERROR(__xludf.DUMMYFUNCTION("""COMPUTED_VALUE"""),1)</f>
        <v>1</v>
      </c>
      <c r="H1424" s="112" t="str">
        <f ca="1"/>
        <v/>
      </c>
      <c r="I1424" s="81" t="str">
        <f ca="1"/>
        <v/>
      </c>
    </row>
    <row r="1425" spans="1:9" ht="13.2">
      <c r="A1425" s="109" t="str">
        <f ca="1">IFERROR(__xludf.DUMMYFUNCTION("""COMPUTED_VALUE"""),"O")</f>
        <v>O</v>
      </c>
      <c r="B1425" s="108" t="str">
        <f ca="1">IFERROR(__xludf.DUMMYFUNCTION("""COMPUTED_VALUE"""),"James Karlton")</f>
        <v>James Karlton</v>
      </c>
      <c r="C1425" s="109">
        <f ca="1">IFERROR(__xludf.DUMMYFUNCTION("""COMPUTED_VALUE"""),11)</f>
        <v>11</v>
      </c>
      <c r="D1425" s="109" t="str">
        <f ca="1">IFERROR(__xludf.DUMMYFUNCTION("""COMPUTED_VALUE"""),"B")</f>
        <v>B</v>
      </c>
      <c r="E1425" s="110" t="str">
        <f ca="1">IFERROR(__xludf.DUMMYFUNCTION("""COMPUTED_VALUE"""),"J")</f>
        <v>J</v>
      </c>
      <c r="F1425" s="110" t="str">
        <f ca="1">IFERROR(__xludf.DUMMYFUNCTION("""COMPUTED_VALUE"""),"I")</f>
        <v>I</v>
      </c>
      <c r="G1425" s="110">
        <f ca="1">IFERROR(__xludf.DUMMYFUNCTION("""COMPUTED_VALUE"""),1)</f>
        <v>1</v>
      </c>
      <c r="H1425" s="112" t="str">
        <f ca="1"/>
        <v/>
      </c>
      <c r="I1425" s="81" t="str">
        <f ca="1"/>
        <v/>
      </c>
    </row>
    <row r="1426" spans="1:9" ht="13.2">
      <c r="A1426" s="109" t="str">
        <f ca="1">IFERROR(__xludf.DUMMYFUNCTION("""COMPUTED_VALUE"""),"O")</f>
        <v>O</v>
      </c>
      <c r="B1426" s="108" t="str">
        <f ca="1">IFERROR(__xludf.DUMMYFUNCTION("""COMPUTED_VALUE"""),"Matias Grundmann")</f>
        <v>Matias Grundmann</v>
      </c>
      <c r="C1426" s="109">
        <f ca="1">IFERROR(__xludf.DUMMYFUNCTION("""COMPUTED_VALUE"""),12)</f>
        <v>12</v>
      </c>
      <c r="D1426" s="109" t="str">
        <f ca="1">IFERROR(__xludf.DUMMYFUNCTION("""COMPUTED_VALUE"""),"B")</f>
        <v>B</v>
      </c>
      <c r="E1426" s="110" t="str">
        <f ca="1">IFERROR(__xludf.DUMMYFUNCTION("""COMPUTED_VALUE"""),"J")</f>
        <v>J</v>
      </c>
      <c r="F1426" s="110" t="str">
        <f ca="1">IFERROR(__xludf.DUMMYFUNCTION("""COMPUTED_VALUE"""),"I")</f>
        <v>I</v>
      </c>
      <c r="G1426" s="110">
        <f ca="1">IFERROR(__xludf.DUMMYFUNCTION("""COMPUTED_VALUE"""),1)</f>
        <v>1</v>
      </c>
      <c r="H1426" s="112" t="str">
        <f ca="1"/>
        <v/>
      </c>
      <c r="I1426" s="81" t="str">
        <f ca="1"/>
        <v/>
      </c>
    </row>
    <row r="1427" spans="1:9" ht="13.2">
      <c r="A1427" s="109" t="str">
        <f ca="1">IFERROR(__xludf.DUMMYFUNCTION("""COMPUTED_VALUE"""),"O")</f>
        <v>O</v>
      </c>
      <c r="B1427" s="108" t="str">
        <f ca="1">IFERROR(__xludf.DUMMYFUNCTION("""COMPUTED_VALUE"""),"Nicky Tressler")</f>
        <v>Nicky Tressler</v>
      </c>
      <c r="C1427" s="109">
        <f ca="1">IFERROR(__xludf.DUMMYFUNCTION("""COMPUTED_VALUE"""),12)</f>
        <v>12</v>
      </c>
      <c r="D1427" s="109" t="str">
        <f ca="1">IFERROR(__xludf.DUMMYFUNCTION("""COMPUTED_VALUE"""),"B")</f>
        <v>B</v>
      </c>
      <c r="E1427" s="110" t="str">
        <f ca="1">IFERROR(__xludf.DUMMYFUNCTION("""COMPUTED_VALUE"""),"J")</f>
        <v>J</v>
      </c>
      <c r="F1427" s="110" t="str">
        <f ca="1">IFERROR(__xludf.DUMMYFUNCTION("""COMPUTED_VALUE"""),"I")</f>
        <v>I</v>
      </c>
      <c r="G1427" s="110">
        <f ca="1">IFERROR(__xludf.DUMMYFUNCTION("""COMPUTED_VALUE"""),1)</f>
        <v>1</v>
      </c>
      <c r="H1427" s="112" t="str">
        <f ca="1"/>
        <v/>
      </c>
      <c r="I1427" s="112" t="str">
        <f ca="1"/>
        <v/>
      </c>
    </row>
    <row r="1428" spans="1:9" ht="13.2">
      <c r="A1428" s="109" t="str">
        <f ca="1">IFERROR(__xludf.DUMMYFUNCTION("""COMPUTED_VALUE"""),"O")</f>
        <v>O</v>
      </c>
      <c r="B1428" s="108" t="str">
        <f ca="1">IFERROR(__xludf.DUMMYFUNCTION("""COMPUTED_VALUE"""),"Amelia Buczek")</f>
        <v>Amelia Buczek</v>
      </c>
      <c r="C1428" s="109">
        <f ca="1">IFERROR(__xludf.DUMMYFUNCTION("""COMPUTED_VALUE"""),12)</f>
        <v>12</v>
      </c>
      <c r="D1428" s="109" t="str">
        <f ca="1">IFERROR(__xludf.DUMMYFUNCTION("""COMPUTED_VALUE"""),"G")</f>
        <v>G</v>
      </c>
      <c r="E1428" s="110" t="str">
        <f ca="1">IFERROR(__xludf.DUMMYFUNCTION("""COMPUTED_VALUE"""),"J")</f>
        <v>J</v>
      </c>
      <c r="F1428" s="110" t="str">
        <f ca="1">IFERROR(__xludf.DUMMYFUNCTION("""COMPUTED_VALUE"""),"I")</f>
        <v>I</v>
      </c>
      <c r="G1428" s="110">
        <f ca="1">IFERROR(__xludf.DUMMYFUNCTION("""COMPUTED_VALUE"""),1)</f>
        <v>1</v>
      </c>
      <c r="H1428" s="112" t="str">
        <f ca="1"/>
        <v/>
      </c>
      <c r="I1428" s="112" t="str">
        <f ca="1"/>
        <v/>
      </c>
    </row>
    <row r="1429" spans="1:9" ht="13.2">
      <c r="A1429" s="109" t="str">
        <f ca="1">IFERROR(__xludf.DUMMYFUNCTION("""COMPUTED_VALUE"""),"O")</f>
        <v>O</v>
      </c>
      <c r="B1429" s="108" t="str">
        <f ca="1">IFERROR(__xludf.DUMMYFUNCTION("""COMPUTED_VALUE"""),"Anna Dober")</f>
        <v>Anna Dober</v>
      </c>
      <c r="C1429" s="109">
        <f ca="1">IFERROR(__xludf.DUMMYFUNCTION("""COMPUTED_VALUE"""),11)</f>
        <v>11</v>
      </c>
      <c r="D1429" s="109" t="str">
        <f ca="1">IFERROR(__xludf.DUMMYFUNCTION("""COMPUTED_VALUE"""),"G")</f>
        <v>G</v>
      </c>
      <c r="E1429" s="110" t="str">
        <f ca="1">IFERROR(__xludf.DUMMYFUNCTION("""COMPUTED_VALUE"""),"J")</f>
        <v>J</v>
      </c>
      <c r="F1429" s="110" t="str">
        <f ca="1">IFERROR(__xludf.DUMMYFUNCTION("""COMPUTED_VALUE"""),"I")</f>
        <v>I</v>
      </c>
      <c r="G1429" s="110">
        <f ca="1">IFERROR(__xludf.DUMMYFUNCTION("""COMPUTED_VALUE"""),1)</f>
        <v>1</v>
      </c>
      <c r="H1429" s="112" t="str">
        <f ca="1"/>
        <v/>
      </c>
      <c r="I1429" s="81" t="str">
        <f ca="1"/>
        <v/>
      </c>
    </row>
    <row r="1430" spans="1:9" ht="13.2">
      <c r="A1430" s="109" t="str">
        <f ca="1">IFERROR(__xludf.DUMMYFUNCTION("""COMPUTED_VALUE"""),"O")</f>
        <v>O</v>
      </c>
      <c r="B1430" s="108" t="str">
        <f ca="1">IFERROR(__xludf.DUMMYFUNCTION("""COMPUTED_VALUE"""),"Ashley Tucker")</f>
        <v>Ashley Tucker</v>
      </c>
      <c r="C1430" s="109">
        <f ca="1">IFERROR(__xludf.DUMMYFUNCTION("""COMPUTED_VALUE"""),11)</f>
        <v>11</v>
      </c>
      <c r="D1430" s="109" t="str">
        <f ca="1">IFERROR(__xludf.DUMMYFUNCTION("""COMPUTED_VALUE"""),"G")</f>
        <v>G</v>
      </c>
      <c r="E1430" s="110" t="str">
        <f ca="1">IFERROR(__xludf.DUMMYFUNCTION("""COMPUTED_VALUE"""),"J")</f>
        <v>J</v>
      </c>
      <c r="F1430" s="110" t="str">
        <f ca="1">IFERROR(__xludf.DUMMYFUNCTION("""COMPUTED_VALUE"""),"I")</f>
        <v>I</v>
      </c>
      <c r="G1430" s="110">
        <f ca="1">IFERROR(__xludf.DUMMYFUNCTION("""COMPUTED_VALUE"""),1)</f>
        <v>1</v>
      </c>
      <c r="H1430" s="112" t="str">
        <f ca="1"/>
        <v/>
      </c>
      <c r="I1430" s="112" t="str">
        <f ca="1"/>
        <v/>
      </c>
    </row>
    <row r="1431" spans="1:9" ht="13.2">
      <c r="A1431" s="109" t="str">
        <f ca="1">IFERROR(__xludf.DUMMYFUNCTION("""COMPUTED_VALUE"""),"O")</f>
        <v>O</v>
      </c>
      <c r="B1431" s="108" t="str">
        <f ca="1">IFERROR(__xludf.DUMMYFUNCTION("""COMPUTED_VALUE"""),"Avery Mills")</f>
        <v>Avery Mills</v>
      </c>
      <c r="C1431" s="109">
        <f ca="1">IFERROR(__xludf.DUMMYFUNCTION("""COMPUTED_VALUE"""),12)</f>
        <v>12</v>
      </c>
      <c r="D1431" s="109" t="str">
        <f ca="1">IFERROR(__xludf.DUMMYFUNCTION("""COMPUTED_VALUE"""),"G")</f>
        <v>G</v>
      </c>
      <c r="E1431" s="110" t="str">
        <f ca="1">IFERROR(__xludf.DUMMYFUNCTION("""COMPUTED_VALUE"""),"J")</f>
        <v>J</v>
      </c>
      <c r="F1431" s="110" t="str">
        <f ca="1">IFERROR(__xludf.DUMMYFUNCTION("""COMPUTED_VALUE"""),"I")</f>
        <v>I</v>
      </c>
      <c r="G1431" s="110">
        <f ca="1">IFERROR(__xludf.DUMMYFUNCTION("""COMPUTED_VALUE"""),1)</f>
        <v>1</v>
      </c>
      <c r="H1431" s="112" t="str">
        <f ca="1"/>
        <v/>
      </c>
      <c r="I1431" s="81" t="str">
        <f ca="1"/>
        <v/>
      </c>
    </row>
    <row r="1432" spans="1:9" ht="13.2">
      <c r="A1432" s="109" t="str">
        <f ca="1">IFERROR(__xludf.DUMMYFUNCTION("""COMPUTED_VALUE"""),"O")</f>
        <v>O</v>
      </c>
      <c r="B1432" s="108" t="str">
        <f ca="1">IFERROR(__xludf.DUMMYFUNCTION("""COMPUTED_VALUE"""),"Georgette Malko")</f>
        <v>Georgette Malko</v>
      </c>
      <c r="C1432" s="109">
        <f ca="1">IFERROR(__xludf.DUMMYFUNCTION("""COMPUTED_VALUE"""),12)</f>
        <v>12</v>
      </c>
      <c r="D1432" s="109" t="str">
        <f ca="1">IFERROR(__xludf.DUMMYFUNCTION("""COMPUTED_VALUE"""),"G")</f>
        <v>G</v>
      </c>
      <c r="E1432" s="110" t="str">
        <f ca="1">IFERROR(__xludf.DUMMYFUNCTION("""COMPUTED_VALUE"""),"J")</f>
        <v>J</v>
      </c>
      <c r="F1432" s="110" t="str">
        <f ca="1">IFERROR(__xludf.DUMMYFUNCTION("""COMPUTED_VALUE"""),"I")</f>
        <v>I</v>
      </c>
      <c r="G1432" s="110">
        <f ca="1">IFERROR(__xludf.DUMMYFUNCTION("""COMPUTED_VALUE"""),1)</f>
        <v>1</v>
      </c>
      <c r="H1432" s="112" t="str">
        <f ca="1"/>
        <v/>
      </c>
      <c r="I1432" s="112" t="str">
        <f ca="1"/>
        <v/>
      </c>
    </row>
    <row r="1433" spans="1:9" ht="13.2">
      <c r="A1433" s="109" t="str">
        <f ca="1">IFERROR(__xludf.DUMMYFUNCTION("""COMPUTED_VALUE"""),"O")</f>
        <v>O</v>
      </c>
      <c r="B1433" s="108" t="str">
        <f ca="1">IFERROR(__xludf.DUMMYFUNCTION("""COMPUTED_VALUE"""),"Holly Tucker")</f>
        <v>Holly Tucker</v>
      </c>
      <c r="C1433" s="109">
        <f ca="1">IFERROR(__xludf.DUMMYFUNCTION("""COMPUTED_VALUE"""),11)</f>
        <v>11</v>
      </c>
      <c r="D1433" s="109" t="str">
        <f ca="1">IFERROR(__xludf.DUMMYFUNCTION("""COMPUTED_VALUE"""),"G")</f>
        <v>G</v>
      </c>
      <c r="E1433" s="110" t="str">
        <f ca="1">IFERROR(__xludf.DUMMYFUNCTION("""COMPUTED_VALUE"""),"J")</f>
        <v>J</v>
      </c>
      <c r="F1433" s="110" t="str">
        <f ca="1">IFERROR(__xludf.DUMMYFUNCTION("""COMPUTED_VALUE"""),"I")</f>
        <v>I</v>
      </c>
      <c r="G1433" s="110">
        <f ca="1">IFERROR(__xludf.DUMMYFUNCTION("""COMPUTED_VALUE"""),1)</f>
        <v>1</v>
      </c>
      <c r="H1433" s="112" t="str">
        <f ca="1"/>
        <v/>
      </c>
      <c r="I1433" s="112" t="str">
        <f ca="1"/>
        <v/>
      </c>
    </row>
    <row r="1434" spans="1:9" ht="13.2">
      <c r="A1434" s="109" t="str">
        <f ca="1">IFERROR(__xludf.DUMMYFUNCTION("""COMPUTED_VALUE"""),"O")</f>
        <v>O</v>
      </c>
      <c r="B1434" s="108" t="str">
        <f ca="1">IFERROR(__xludf.DUMMYFUNCTION("""COMPUTED_VALUE"""),"Isabella Eisenberg")</f>
        <v>Isabella Eisenberg</v>
      </c>
      <c r="C1434" s="109">
        <f ca="1">IFERROR(__xludf.DUMMYFUNCTION("""COMPUTED_VALUE"""),12)</f>
        <v>12</v>
      </c>
      <c r="D1434" s="109" t="str">
        <f ca="1">IFERROR(__xludf.DUMMYFUNCTION("""COMPUTED_VALUE"""),"G")</f>
        <v>G</v>
      </c>
      <c r="E1434" s="110" t="str">
        <f ca="1">IFERROR(__xludf.DUMMYFUNCTION("""COMPUTED_VALUE"""),"J")</f>
        <v>J</v>
      </c>
      <c r="F1434" s="110" t="str">
        <f ca="1">IFERROR(__xludf.DUMMYFUNCTION("""COMPUTED_VALUE"""),"I")</f>
        <v>I</v>
      </c>
      <c r="G1434" s="110">
        <f ca="1">IFERROR(__xludf.DUMMYFUNCTION("""COMPUTED_VALUE"""),1)</f>
        <v>1</v>
      </c>
      <c r="H1434" s="112" t="str">
        <f ca="1"/>
        <v/>
      </c>
      <c r="I1434" s="81" t="str">
        <f ca="1"/>
        <v/>
      </c>
    </row>
    <row r="1435" spans="1:9" ht="13.2">
      <c r="A1435" s="109" t="str">
        <f ca="1">IFERROR(__xludf.DUMMYFUNCTION("""COMPUTED_VALUE"""),"O")</f>
        <v>O</v>
      </c>
      <c r="B1435" s="108" t="str">
        <f ca="1">IFERROR(__xludf.DUMMYFUNCTION("""COMPUTED_VALUE"""),"Jubilee Schneider")</f>
        <v>Jubilee Schneider</v>
      </c>
      <c r="C1435" s="109">
        <f ca="1">IFERROR(__xludf.DUMMYFUNCTION("""COMPUTED_VALUE"""),12)</f>
        <v>12</v>
      </c>
      <c r="D1435" s="109" t="str">
        <f ca="1">IFERROR(__xludf.DUMMYFUNCTION("""COMPUTED_VALUE"""),"G")</f>
        <v>G</v>
      </c>
      <c r="E1435" s="110" t="str">
        <f ca="1">IFERROR(__xludf.DUMMYFUNCTION("""COMPUTED_VALUE"""),"J")</f>
        <v>J</v>
      </c>
      <c r="F1435" s="110" t="str">
        <f ca="1">IFERROR(__xludf.DUMMYFUNCTION("""COMPUTED_VALUE"""),"I")</f>
        <v>I</v>
      </c>
      <c r="G1435" s="110">
        <f ca="1">IFERROR(__xludf.DUMMYFUNCTION("""COMPUTED_VALUE"""),1)</f>
        <v>1</v>
      </c>
      <c r="H1435" s="112" t="str">
        <f ca="1"/>
        <v/>
      </c>
      <c r="I1435" s="81" t="str">
        <f ca="1"/>
        <v/>
      </c>
    </row>
    <row r="1436" spans="1:9" ht="13.2">
      <c r="A1436" s="109" t="str">
        <f ca="1">IFERROR(__xludf.DUMMYFUNCTION("""COMPUTED_VALUE"""),"O")</f>
        <v>O</v>
      </c>
      <c r="B1436" s="108" t="str">
        <f ca="1">IFERROR(__xludf.DUMMYFUNCTION("""COMPUTED_VALUE"""),"Lauren Alboum")</f>
        <v>Lauren Alboum</v>
      </c>
      <c r="C1436" s="109">
        <f ca="1">IFERROR(__xludf.DUMMYFUNCTION("""COMPUTED_VALUE"""),12)</f>
        <v>12</v>
      </c>
      <c r="D1436" s="109" t="str">
        <f ca="1">IFERROR(__xludf.DUMMYFUNCTION("""COMPUTED_VALUE"""),"G")</f>
        <v>G</v>
      </c>
      <c r="E1436" s="110" t="str">
        <f ca="1">IFERROR(__xludf.DUMMYFUNCTION("""COMPUTED_VALUE"""),"J")</f>
        <v>J</v>
      </c>
      <c r="F1436" s="110" t="str">
        <f ca="1">IFERROR(__xludf.DUMMYFUNCTION("""COMPUTED_VALUE"""),"I")</f>
        <v>I</v>
      </c>
      <c r="G1436" s="110">
        <f ca="1">IFERROR(__xludf.DUMMYFUNCTION("""COMPUTED_VALUE"""),1)</f>
        <v>1</v>
      </c>
      <c r="H1436" s="112" t="str">
        <f ca="1"/>
        <v/>
      </c>
      <c r="I1436" s="81" t="str">
        <f ca="1"/>
        <v/>
      </c>
    </row>
    <row r="1437" spans="1:9" ht="13.2">
      <c r="A1437" s="109" t="str">
        <f ca="1">IFERROR(__xludf.DUMMYFUNCTION("""COMPUTED_VALUE"""),"O")</f>
        <v>O</v>
      </c>
      <c r="B1437" s="108" t="str">
        <f ca="1">IFERROR(__xludf.DUMMYFUNCTION("""COMPUTED_VALUE"""),"Leah Dober")</f>
        <v>Leah Dober</v>
      </c>
      <c r="C1437" s="109">
        <f ca="1">IFERROR(__xludf.DUMMYFUNCTION("""COMPUTED_VALUE"""),11)</f>
        <v>11</v>
      </c>
      <c r="D1437" s="109" t="str">
        <f ca="1">IFERROR(__xludf.DUMMYFUNCTION("""COMPUTED_VALUE"""),"G")</f>
        <v>G</v>
      </c>
      <c r="E1437" s="110" t="str">
        <f ca="1">IFERROR(__xludf.DUMMYFUNCTION("""COMPUTED_VALUE"""),"J")</f>
        <v>J</v>
      </c>
      <c r="F1437" s="110" t="str">
        <f ca="1">IFERROR(__xludf.DUMMYFUNCTION("""COMPUTED_VALUE"""),"I")</f>
        <v>I</v>
      </c>
      <c r="G1437" s="110">
        <f ca="1">IFERROR(__xludf.DUMMYFUNCTION("""COMPUTED_VALUE"""),1)</f>
        <v>1</v>
      </c>
      <c r="H1437" s="112" t="str">
        <f ca="1"/>
        <v/>
      </c>
      <c r="I1437" s="112" t="str">
        <f ca="1"/>
        <v/>
      </c>
    </row>
    <row r="1438" spans="1:9" ht="13.2">
      <c r="A1438" s="109" t="str">
        <f ca="1">IFERROR(__xludf.DUMMYFUNCTION("""COMPUTED_VALUE"""),"O")</f>
        <v>O</v>
      </c>
      <c r="B1438" s="108" t="str">
        <f ca="1">IFERROR(__xludf.DUMMYFUNCTION("""COMPUTED_VALUE"""),"Maren Akst")</f>
        <v>Maren Akst</v>
      </c>
      <c r="C1438" s="109">
        <f ca="1">IFERROR(__xludf.DUMMYFUNCTION("""COMPUTED_VALUE"""),12)</f>
        <v>12</v>
      </c>
      <c r="D1438" s="109" t="str">
        <f ca="1">IFERROR(__xludf.DUMMYFUNCTION("""COMPUTED_VALUE"""),"G")</f>
        <v>G</v>
      </c>
      <c r="E1438" s="110" t="str">
        <f ca="1">IFERROR(__xludf.DUMMYFUNCTION("""COMPUTED_VALUE"""),"J")</f>
        <v>J</v>
      </c>
      <c r="F1438" s="110" t="str">
        <f ca="1">IFERROR(__xludf.DUMMYFUNCTION("""COMPUTED_VALUE"""),"I")</f>
        <v>I</v>
      </c>
      <c r="G1438" s="110">
        <f ca="1">IFERROR(__xludf.DUMMYFUNCTION("""COMPUTED_VALUE"""),1)</f>
        <v>1</v>
      </c>
      <c r="H1438" s="112" t="str">
        <f ca="1"/>
        <v/>
      </c>
      <c r="I1438" s="81" t="str">
        <f ca="1"/>
        <v/>
      </c>
    </row>
    <row r="1439" spans="1:9" ht="13.2">
      <c r="A1439" s="109" t="str">
        <f ca="1">IFERROR(__xludf.DUMMYFUNCTION("""COMPUTED_VALUE"""),"O")</f>
        <v>O</v>
      </c>
      <c r="B1439" s="108" t="str">
        <f ca="1">IFERROR(__xludf.DUMMYFUNCTION("""COMPUTED_VALUE"""),"Margo Eskovitz")</f>
        <v>Margo Eskovitz</v>
      </c>
      <c r="C1439" s="109">
        <f ca="1">IFERROR(__xludf.DUMMYFUNCTION("""COMPUTED_VALUE"""),11)</f>
        <v>11</v>
      </c>
      <c r="D1439" s="109" t="str">
        <f ca="1">IFERROR(__xludf.DUMMYFUNCTION("""COMPUTED_VALUE"""),"G")</f>
        <v>G</v>
      </c>
      <c r="E1439" s="110" t="str">
        <f ca="1">IFERROR(__xludf.DUMMYFUNCTION("""COMPUTED_VALUE"""),"J")</f>
        <v>J</v>
      </c>
      <c r="F1439" s="110" t="str">
        <f ca="1">IFERROR(__xludf.DUMMYFUNCTION("""COMPUTED_VALUE"""),"I")</f>
        <v>I</v>
      </c>
      <c r="G1439" s="110">
        <f ca="1">IFERROR(__xludf.DUMMYFUNCTION("""COMPUTED_VALUE"""),1)</f>
        <v>1</v>
      </c>
      <c r="H1439" s="112" t="str">
        <f ca="1"/>
        <v/>
      </c>
      <c r="I1439" s="112" t="str">
        <f ca="1"/>
        <v/>
      </c>
    </row>
    <row r="1440" spans="1:9" ht="13.2">
      <c r="A1440" s="109" t="str">
        <f ca="1">IFERROR(__xludf.DUMMYFUNCTION("""COMPUTED_VALUE"""),"O")</f>
        <v>O</v>
      </c>
      <c r="B1440" s="108" t="str">
        <f ca="1">IFERROR(__xludf.DUMMYFUNCTION("""COMPUTED_VALUE"""),"Scarlett Waltrup")</f>
        <v>Scarlett Waltrup</v>
      </c>
      <c r="C1440" s="109">
        <f ca="1">IFERROR(__xludf.DUMMYFUNCTION("""COMPUTED_VALUE"""),11)</f>
        <v>11</v>
      </c>
      <c r="D1440" s="109" t="str">
        <f ca="1">IFERROR(__xludf.DUMMYFUNCTION("""COMPUTED_VALUE"""),"G")</f>
        <v>G</v>
      </c>
      <c r="E1440" s="110" t="str">
        <f ca="1">IFERROR(__xludf.DUMMYFUNCTION("""COMPUTED_VALUE"""),"J")</f>
        <v>J</v>
      </c>
      <c r="F1440" s="110" t="str">
        <f ca="1">IFERROR(__xludf.DUMMYFUNCTION("""COMPUTED_VALUE"""),"I")</f>
        <v>I</v>
      </c>
      <c r="G1440" s="110">
        <f ca="1">IFERROR(__xludf.DUMMYFUNCTION("""COMPUTED_VALUE"""),1)</f>
        <v>1</v>
      </c>
      <c r="H1440" s="112" t="str">
        <f ca="1"/>
        <v/>
      </c>
      <c r="I1440" s="112" t="str">
        <f ca="1"/>
        <v/>
      </c>
    </row>
    <row r="1441" spans="1:9" ht="13.2">
      <c r="A1441" s="109" t="str">
        <f ca="1">IFERROR(__xludf.DUMMYFUNCTION("""COMPUTED_VALUE"""),"O")</f>
        <v>O</v>
      </c>
      <c r="B1441" s="108" t="str">
        <f ca="1">IFERROR(__xludf.DUMMYFUNCTION("""COMPUTED_VALUE"""),"Stella Barclay")</f>
        <v>Stella Barclay</v>
      </c>
      <c r="C1441" s="109">
        <f ca="1">IFERROR(__xludf.DUMMYFUNCTION("""COMPUTED_VALUE"""),12)</f>
        <v>12</v>
      </c>
      <c r="D1441" s="109" t="str">
        <f ca="1">IFERROR(__xludf.DUMMYFUNCTION("""COMPUTED_VALUE"""),"G")</f>
        <v>G</v>
      </c>
      <c r="E1441" s="110" t="str">
        <f ca="1">IFERROR(__xludf.DUMMYFUNCTION("""COMPUTED_VALUE"""),"J")</f>
        <v>J</v>
      </c>
      <c r="F1441" s="110" t="str">
        <f ca="1">IFERROR(__xludf.DUMMYFUNCTION("""COMPUTED_VALUE"""),"I")</f>
        <v>I</v>
      </c>
      <c r="G1441" s="110">
        <f ca="1">IFERROR(__xludf.DUMMYFUNCTION("""COMPUTED_VALUE"""),1)</f>
        <v>1</v>
      </c>
      <c r="H1441" s="112" t="str">
        <f ca="1"/>
        <v/>
      </c>
      <c r="I1441" s="81" t="str">
        <f ca="1"/>
        <v/>
      </c>
    </row>
    <row r="1442" spans="1:9" ht="13.2">
      <c r="A1442" s="109" t="str">
        <f ca="1">IFERROR(__xludf.DUMMYFUNCTION("""COMPUTED_VALUE"""),"O")</f>
        <v>O</v>
      </c>
      <c r="B1442" s="108" t="str">
        <f ca="1">IFERROR(__xludf.DUMMYFUNCTION("""COMPUTED_VALUE"""),"Matthew Kress")</f>
        <v>Matthew Kress</v>
      </c>
      <c r="C1442" s="109">
        <f ca="1">IFERROR(__xludf.DUMMYFUNCTION("""COMPUTED_VALUE"""),17)</f>
        <v>17</v>
      </c>
      <c r="D1442" s="109" t="str">
        <f ca="1">IFERROR(__xludf.DUMMYFUNCTION("""COMPUTED_VALUE"""),"B")</f>
        <v>B</v>
      </c>
      <c r="E1442" s="110" t="str">
        <f ca="1">IFERROR(__xludf.DUMMYFUNCTION("""COMPUTED_VALUE"""),"S")</f>
        <v>S</v>
      </c>
      <c r="F1442" s="110" t="str">
        <f ca="1">IFERROR(__xludf.DUMMYFUNCTION("""COMPUTED_VALUE"""),"S")</f>
        <v>S</v>
      </c>
      <c r="G1442" s="110">
        <f ca="1">IFERROR(__xludf.DUMMYFUNCTION("""COMPUTED_VALUE"""),1)</f>
        <v>1</v>
      </c>
      <c r="H1442" s="112" t="str">
        <f ca="1"/>
        <v/>
      </c>
      <c r="I1442" s="112" t="str">
        <f ca="1"/>
        <v/>
      </c>
    </row>
    <row r="1443" spans="1:9" ht="13.2">
      <c r="A1443" s="109" t="str">
        <f ca="1">IFERROR(__xludf.DUMMYFUNCTION("""COMPUTED_VALUE"""),"O")</f>
        <v>O</v>
      </c>
      <c r="B1443" s="108" t="str">
        <f ca="1">IFERROR(__xludf.DUMMYFUNCTION("""COMPUTED_VALUE"""),"Avery Stoker")</f>
        <v>Avery Stoker</v>
      </c>
      <c r="C1443" s="109">
        <f ca="1">IFERROR(__xludf.DUMMYFUNCTION("""COMPUTED_VALUE"""),15)</f>
        <v>15</v>
      </c>
      <c r="D1443" s="109" t="str">
        <f ca="1">IFERROR(__xludf.DUMMYFUNCTION("""COMPUTED_VALUE"""),"G")</f>
        <v>G</v>
      </c>
      <c r="E1443" s="110" t="str">
        <f ca="1">IFERROR(__xludf.DUMMYFUNCTION("""COMPUTED_VALUE"""),"S")</f>
        <v>S</v>
      </c>
      <c r="F1443" s="110" t="str">
        <f ca="1">IFERROR(__xludf.DUMMYFUNCTION("""COMPUTED_VALUE"""),"S")</f>
        <v>S</v>
      </c>
      <c r="G1443" s="110">
        <f ca="1">IFERROR(__xludf.DUMMYFUNCTION("""COMPUTED_VALUE"""),1)</f>
        <v>1</v>
      </c>
      <c r="H1443" s="112" t="str">
        <f ca="1"/>
        <v/>
      </c>
      <c r="I1443" s="112" t="str">
        <f ca="1"/>
        <v/>
      </c>
    </row>
    <row r="1444" spans="1:9" ht="13.2">
      <c r="A1444" s="109" t="str">
        <f ca="1">IFERROR(__xludf.DUMMYFUNCTION("""COMPUTED_VALUE"""),"O")</f>
        <v>O</v>
      </c>
      <c r="B1444" s="108" t="str">
        <f ca="1">IFERROR(__xludf.DUMMYFUNCTION("""COMPUTED_VALUE"""),"Libby Moir")</f>
        <v>Libby Moir</v>
      </c>
      <c r="C1444" s="109">
        <f ca="1">IFERROR(__xludf.DUMMYFUNCTION("""COMPUTED_VALUE"""),15)</f>
        <v>15</v>
      </c>
      <c r="D1444" s="109" t="str">
        <f ca="1">IFERROR(__xludf.DUMMYFUNCTION("""COMPUTED_VALUE"""),"G")</f>
        <v>G</v>
      </c>
      <c r="E1444" s="110" t="str">
        <f ca="1">IFERROR(__xludf.DUMMYFUNCTION("""COMPUTED_VALUE"""),"S")</f>
        <v>S</v>
      </c>
      <c r="F1444" s="110" t="str">
        <f ca="1">IFERROR(__xludf.DUMMYFUNCTION("""COMPUTED_VALUE"""),"S")</f>
        <v>S</v>
      </c>
      <c r="G1444" s="110">
        <f ca="1">IFERROR(__xludf.DUMMYFUNCTION("""COMPUTED_VALUE"""),1)</f>
        <v>1</v>
      </c>
      <c r="H1444" s="112" t="str">
        <f ca="1"/>
        <v/>
      </c>
      <c r="I1444" s="81" t="str">
        <f ca="1"/>
        <v/>
      </c>
    </row>
    <row r="1445" spans="1:9" ht="13.2">
      <c r="A1445" s="109" t="str">
        <f ca="1">IFERROR(__xludf.DUMMYFUNCTION("""COMPUTED_VALUE"""),"O")</f>
        <v>O</v>
      </c>
      <c r="B1445" s="108" t="str">
        <f ca="1">IFERROR(__xludf.DUMMYFUNCTION("""COMPUTED_VALUE"""),"Olivia Morgan")</f>
        <v>Olivia Morgan</v>
      </c>
      <c r="C1445" s="109">
        <f ca="1">IFERROR(__xludf.DUMMYFUNCTION("""COMPUTED_VALUE"""),16)</f>
        <v>16</v>
      </c>
      <c r="D1445" s="109" t="str">
        <f ca="1">IFERROR(__xludf.DUMMYFUNCTION("""COMPUTED_VALUE"""),"G")</f>
        <v>G</v>
      </c>
      <c r="E1445" s="110" t="str">
        <f ca="1">IFERROR(__xludf.DUMMYFUNCTION("""COMPUTED_VALUE"""),"S")</f>
        <v>S</v>
      </c>
      <c r="F1445" s="110" t="str">
        <f ca="1">IFERROR(__xludf.DUMMYFUNCTION("""COMPUTED_VALUE"""),"S")</f>
        <v>S</v>
      </c>
      <c r="G1445" s="110">
        <f ca="1">IFERROR(__xludf.DUMMYFUNCTION("""COMPUTED_VALUE"""),1)</f>
        <v>1</v>
      </c>
      <c r="H1445" s="112" t="str">
        <f ca="1"/>
        <v/>
      </c>
      <c r="I1445" s="112" t="str">
        <f ca="1"/>
        <v/>
      </c>
    </row>
    <row r="1446" spans="1:9" ht="13.2">
      <c r="A1446" s="109" t="str">
        <f ca="1">IFERROR(__xludf.DUMMYFUNCTION("""COMPUTED_VALUE"""),"OAK")</f>
        <v>OAK</v>
      </c>
      <c r="B1446" s="108" t="str">
        <f ca="1">IFERROR(__xludf.DUMMYFUNCTION("""COMPUTED_VALUE"""),"Alex Lee")</f>
        <v>Alex Lee</v>
      </c>
      <c r="C1446" s="109">
        <f ca="1">IFERROR(__xludf.DUMMYFUNCTION("""COMPUTED_VALUE"""),9)</f>
        <v>9</v>
      </c>
      <c r="D1446" s="109" t="str">
        <f ca="1">IFERROR(__xludf.DUMMYFUNCTION("""COMPUTED_VALUE"""),"B")</f>
        <v>B</v>
      </c>
      <c r="E1446" s="110" t="str">
        <f ca="1">IFERROR(__xludf.DUMMYFUNCTION("""COMPUTED_VALUE"""),"F")</f>
        <v>F</v>
      </c>
      <c r="F1446" s="110" t="str">
        <f ca="1">IFERROR(__xludf.DUMMYFUNCTION("""COMPUTED_VALUE"""),"J")</f>
        <v>J</v>
      </c>
      <c r="G1446" s="110">
        <f ca="1">IFERROR(__xludf.DUMMYFUNCTION("""COMPUTED_VALUE"""),2)</f>
        <v>2</v>
      </c>
      <c r="H1446" s="112" t="str">
        <f ca="1"/>
        <v>55.65</v>
      </c>
      <c r="I1446" s="81">
        <f ca="1"/>
        <v>55.65</v>
      </c>
    </row>
    <row r="1447" spans="1:9" ht="13.2">
      <c r="A1447" s="109" t="str">
        <f ca="1">IFERROR(__xludf.DUMMYFUNCTION("""COMPUTED_VALUE"""),"OAK")</f>
        <v>OAK</v>
      </c>
      <c r="B1447" s="108" t="str">
        <f ca="1">IFERROR(__xludf.DUMMYFUNCTION("""COMPUTED_VALUE"""),"Brayden Lane")</f>
        <v>Brayden Lane</v>
      </c>
      <c r="C1447" s="109">
        <f ca="1">IFERROR(__xludf.DUMMYFUNCTION("""COMPUTED_VALUE"""),6)</f>
        <v>6</v>
      </c>
      <c r="D1447" s="109" t="str">
        <f ca="1">IFERROR(__xludf.DUMMYFUNCTION("""COMPUTED_VALUE"""),"B")</f>
        <v>B</v>
      </c>
      <c r="E1447" s="110" t="str">
        <f ca="1">IFERROR(__xludf.DUMMYFUNCTION("""COMPUTED_VALUE"""),"F")</f>
        <v>F</v>
      </c>
      <c r="F1447" s="110" t="str">
        <f ca="1">IFERROR(__xludf.DUMMYFUNCTION("""COMPUTED_VALUE"""),"J")</f>
        <v>J</v>
      </c>
      <c r="G1447" s="110">
        <f ca="1">IFERROR(__xludf.DUMMYFUNCTION("""COMPUTED_VALUE"""),2)</f>
        <v>2</v>
      </c>
      <c r="H1447" s="112" t="str">
        <f ca="1"/>
        <v>27.7</v>
      </c>
      <c r="I1447" s="81">
        <f ca="1"/>
        <v>27.7</v>
      </c>
    </row>
    <row r="1448" spans="1:9" ht="13.2">
      <c r="A1448" s="109" t="str">
        <f ca="1">IFERROR(__xludf.DUMMYFUNCTION("""COMPUTED_VALUE"""),"OAK")</f>
        <v>OAK</v>
      </c>
      <c r="B1448" s="108" t="str">
        <f ca="1">IFERROR(__xludf.DUMMYFUNCTION("""COMPUTED_VALUE"""),"Caleb McManus")</f>
        <v>Caleb McManus</v>
      </c>
      <c r="C1448" s="109">
        <f ca="1">IFERROR(__xludf.DUMMYFUNCTION("""COMPUTED_VALUE"""),10)</f>
        <v>10</v>
      </c>
      <c r="D1448" s="109" t="str">
        <f ca="1">IFERROR(__xludf.DUMMYFUNCTION("""COMPUTED_VALUE"""),"B")</f>
        <v>B</v>
      </c>
      <c r="E1448" s="110" t="str">
        <f ca="1">IFERROR(__xludf.DUMMYFUNCTION("""COMPUTED_VALUE"""),"F")</f>
        <v>F</v>
      </c>
      <c r="F1448" s="110" t="str">
        <f ca="1">IFERROR(__xludf.DUMMYFUNCTION("""COMPUTED_VALUE"""),"J")</f>
        <v>J</v>
      </c>
      <c r="G1448" s="110">
        <f ca="1">IFERROR(__xludf.DUMMYFUNCTION("""COMPUTED_VALUE"""),2)</f>
        <v>2</v>
      </c>
      <c r="H1448" s="112" t="str">
        <f ca="1"/>
        <v/>
      </c>
      <c r="I1448" s="112" t="str">
        <f ca="1"/>
        <v/>
      </c>
    </row>
    <row r="1449" spans="1:9" ht="13.2">
      <c r="A1449" s="109" t="str">
        <f ca="1">IFERROR(__xludf.DUMMYFUNCTION("""COMPUTED_VALUE"""),"OAK")</f>
        <v>OAK</v>
      </c>
      <c r="B1449" s="108" t="str">
        <f ca="1">IFERROR(__xludf.DUMMYFUNCTION("""COMPUTED_VALUE"""),"Christopher Whang")</f>
        <v>Christopher Whang</v>
      </c>
      <c r="C1449" s="109">
        <f ca="1">IFERROR(__xludf.DUMMYFUNCTION("""COMPUTED_VALUE"""),10)</f>
        <v>10</v>
      </c>
      <c r="D1449" s="109" t="str">
        <f ca="1">IFERROR(__xludf.DUMMYFUNCTION("""COMPUTED_VALUE"""),"B")</f>
        <v>B</v>
      </c>
      <c r="E1449" s="110" t="str">
        <f ca="1">IFERROR(__xludf.DUMMYFUNCTION("""COMPUTED_VALUE"""),"F")</f>
        <v>F</v>
      </c>
      <c r="F1449" s="110" t="str">
        <f ca="1">IFERROR(__xludf.DUMMYFUNCTION("""COMPUTED_VALUE"""),"J")</f>
        <v>J</v>
      </c>
      <c r="G1449" s="110">
        <f ca="1">IFERROR(__xludf.DUMMYFUNCTION("""COMPUTED_VALUE"""),2)</f>
        <v>2</v>
      </c>
      <c r="H1449" s="112" t="str">
        <f ca="1"/>
        <v/>
      </c>
      <c r="I1449" s="81" t="str">
        <f ca="1"/>
        <v/>
      </c>
    </row>
    <row r="1450" spans="1:9" ht="13.2">
      <c r="A1450" s="109" t="str">
        <f ca="1">IFERROR(__xludf.DUMMYFUNCTION("""COMPUTED_VALUE"""),"OAK")</f>
        <v>OAK</v>
      </c>
      <c r="B1450" s="108" t="str">
        <f ca="1">IFERROR(__xludf.DUMMYFUNCTION("""COMPUTED_VALUE"""),"Colby Reese")</f>
        <v>Colby Reese</v>
      </c>
      <c r="C1450" s="109">
        <f ca="1">IFERROR(__xludf.DUMMYFUNCTION("""COMPUTED_VALUE"""),10)</f>
        <v>10</v>
      </c>
      <c r="D1450" s="109" t="str">
        <f ca="1">IFERROR(__xludf.DUMMYFUNCTION("""COMPUTED_VALUE"""),"B")</f>
        <v>B</v>
      </c>
      <c r="E1450" s="110" t="str">
        <f ca="1">IFERROR(__xludf.DUMMYFUNCTION("""COMPUTED_VALUE"""),"F")</f>
        <v>F</v>
      </c>
      <c r="F1450" s="110" t="str">
        <f ca="1">IFERROR(__xludf.DUMMYFUNCTION("""COMPUTED_VALUE"""),"J")</f>
        <v>J</v>
      </c>
      <c r="G1450" s="110">
        <f ca="1">IFERROR(__xludf.DUMMYFUNCTION("""COMPUTED_VALUE"""),2)</f>
        <v>2</v>
      </c>
      <c r="H1450" s="112" t="str">
        <f ca="1"/>
        <v/>
      </c>
      <c r="I1450" s="81" t="str">
        <f ca="1"/>
        <v/>
      </c>
    </row>
    <row r="1451" spans="1:9" ht="13.2">
      <c r="A1451" s="109" t="str">
        <f ca="1">IFERROR(__xludf.DUMMYFUNCTION("""COMPUTED_VALUE"""),"OAK")</f>
        <v>OAK</v>
      </c>
      <c r="B1451" s="108" t="str">
        <f ca="1">IFERROR(__xludf.DUMMYFUNCTION("""COMPUTED_VALUE"""),"Connor Timm")</f>
        <v>Connor Timm</v>
      </c>
      <c r="C1451" s="109">
        <f ca="1">IFERROR(__xludf.DUMMYFUNCTION("""COMPUTED_VALUE"""),10)</f>
        <v>10</v>
      </c>
      <c r="D1451" s="109" t="str">
        <f ca="1">IFERROR(__xludf.DUMMYFUNCTION("""COMPUTED_VALUE"""),"B")</f>
        <v>B</v>
      </c>
      <c r="E1451" s="110" t="str">
        <f ca="1">IFERROR(__xludf.DUMMYFUNCTION("""COMPUTED_VALUE"""),"F")</f>
        <v>F</v>
      </c>
      <c r="F1451" s="110" t="str">
        <f ca="1">IFERROR(__xludf.DUMMYFUNCTION("""COMPUTED_VALUE"""),"J")</f>
        <v>J</v>
      </c>
      <c r="G1451" s="110">
        <f ca="1">IFERROR(__xludf.DUMMYFUNCTION("""COMPUTED_VALUE"""),2)</f>
        <v>2</v>
      </c>
      <c r="H1451" s="112" t="str">
        <f ca="1"/>
        <v>58.65</v>
      </c>
      <c r="I1451" s="112">
        <f ca="1"/>
        <v>58.65</v>
      </c>
    </row>
    <row r="1452" spans="1:9" ht="13.2">
      <c r="A1452" s="109" t="str">
        <f ca="1">IFERROR(__xludf.DUMMYFUNCTION("""COMPUTED_VALUE"""),"OAK")</f>
        <v>OAK</v>
      </c>
      <c r="B1452" s="108" t="str">
        <f ca="1">IFERROR(__xludf.DUMMYFUNCTION("""COMPUTED_VALUE"""),"David Wright")</f>
        <v>David Wright</v>
      </c>
      <c r="C1452" s="109">
        <f ca="1">IFERROR(__xludf.DUMMYFUNCTION("""COMPUTED_VALUE"""),8)</f>
        <v>8</v>
      </c>
      <c r="D1452" s="109" t="str">
        <f ca="1">IFERROR(__xludf.DUMMYFUNCTION("""COMPUTED_VALUE"""),"B")</f>
        <v>B</v>
      </c>
      <c r="E1452" s="110" t="str">
        <f ca="1">IFERROR(__xludf.DUMMYFUNCTION("""COMPUTED_VALUE"""),"F")</f>
        <v>F</v>
      </c>
      <c r="F1452" s="110" t="str">
        <f ca="1">IFERROR(__xludf.DUMMYFUNCTION("""COMPUTED_VALUE"""),"J")</f>
        <v>J</v>
      </c>
      <c r="G1452" s="110">
        <f ca="1">IFERROR(__xludf.DUMMYFUNCTION("""COMPUTED_VALUE"""),2)</f>
        <v>2</v>
      </c>
      <c r="H1452" s="112" t="str">
        <f ca="1"/>
        <v>63.55</v>
      </c>
      <c r="I1452" s="81">
        <f ca="1"/>
        <v>63.55</v>
      </c>
    </row>
    <row r="1453" spans="1:9" ht="13.2">
      <c r="A1453" s="109" t="str">
        <f ca="1">IFERROR(__xludf.DUMMYFUNCTION("""COMPUTED_VALUE"""),"OAK")</f>
        <v>OAK</v>
      </c>
      <c r="B1453" s="108" t="str">
        <f ca="1">IFERROR(__xludf.DUMMYFUNCTION("""COMPUTED_VALUE"""),"Gabriel Wilson")</f>
        <v>Gabriel Wilson</v>
      </c>
      <c r="C1453" s="109">
        <f ca="1">IFERROR(__xludf.DUMMYFUNCTION("""COMPUTED_VALUE"""),7)</f>
        <v>7</v>
      </c>
      <c r="D1453" s="109" t="str">
        <f ca="1">IFERROR(__xludf.DUMMYFUNCTION("""COMPUTED_VALUE"""),"B")</f>
        <v>B</v>
      </c>
      <c r="E1453" s="110" t="str">
        <f ca="1">IFERROR(__xludf.DUMMYFUNCTION("""COMPUTED_VALUE"""),"F")</f>
        <v>F</v>
      </c>
      <c r="F1453" s="110" t="str">
        <f ca="1">IFERROR(__xludf.DUMMYFUNCTION("""COMPUTED_VALUE"""),"J")</f>
        <v>J</v>
      </c>
      <c r="G1453" s="110">
        <f ca="1">IFERROR(__xludf.DUMMYFUNCTION("""COMPUTED_VALUE"""),2)</f>
        <v>2</v>
      </c>
      <c r="H1453" s="112" t="str">
        <f ca="1"/>
        <v>46.45</v>
      </c>
      <c r="I1453" s="81">
        <f ca="1"/>
        <v>46.45</v>
      </c>
    </row>
    <row r="1454" spans="1:9" ht="13.2">
      <c r="A1454" s="109" t="str">
        <f ca="1">IFERROR(__xludf.DUMMYFUNCTION("""COMPUTED_VALUE"""),"OAK")</f>
        <v>OAK</v>
      </c>
      <c r="B1454" s="108" t="str">
        <f ca="1">IFERROR(__xludf.DUMMYFUNCTION("""COMPUTED_VALUE"""),"James Roberts")</f>
        <v>James Roberts</v>
      </c>
      <c r="C1454" s="109">
        <f ca="1">IFERROR(__xludf.DUMMYFUNCTION("""COMPUTED_VALUE"""),9)</f>
        <v>9</v>
      </c>
      <c r="D1454" s="109" t="str">
        <f ca="1">IFERROR(__xludf.DUMMYFUNCTION("""COMPUTED_VALUE"""),"B")</f>
        <v>B</v>
      </c>
      <c r="E1454" s="110" t="str">
        <f ca="1">IFERROR(__xludf.DUMMYFUNCTION("""COMPUTED_VALUE"""),"F")</f>
        <v>F</v>
      </c>
      <c r="F1454" s="110" t="str">
        <f ca="1">IFERROR(__xludf.DUMMYFUNCTION("""COMPUTED_VALUE"""),"J")</f>
        <v>J</v>
      </c>
      <c r="G1454" s="110">
        <f ca="1">IFERROR(__xludf.DUMMYFUNCTION("""COMPUTED_VALUE"""),2)</f>
        <v>2</v>
      </c>
      <c r="H1454" s="112" t="str">
        <f ca="1"/>
        <v/>
      </c>
      <c r="I1454" s="81" t="str">
        <f ca="1"/>
        <v/>
      </c>
    </row>
    <row r="1455" spans="1:9" ht="13.2">
      <c r="A1455" s="109" t="str">
        <f ca="1">IFERROR(__xludf.DUMMYFUNCTION("""COMPUTED_VALUE"""),"OAK")</f>
        <v>OAK</v>
      </c>
      <c r="B1455" s="108" t="str">
        <f ca="1">IFERROR(__xludf.DUMMYFUNCTION("""COMPUTED_VALUE"""),"Malcolm McLenahan")</f>
        <v>Malcolm McLenahan</v>
      </c>
      <c r="C1455" s="109">
        <f ca="1">IFERROR(__xludf.DUMMYFUNCTION("""COMPUTED_VALUE"""),10)</f>
        <v>10</v>
      </c>
      <c r="D1455" s="109" t="str">
        <f ca="1">IFERROR(__xludf.DUMMYFUNCTION("""COMPUTED_VALUE"""),"B")</f>
        <v>B</v>
      </c>
      <c r="E1455" s="110" t="str">
        <f ca="1">IFERROR(__xludf.DUMMYFUNCTION("""COMPUTED_VALUE"""),"F")</f>
        <v>F</v>
      </c>
      <c r="F1455" s="110" t="str">
        <f ca="1">IFERROR(__xludf.DUMMYFUNCTION("""COMPUTED_VALUE"""),"J")</f>
        <v>J</v>
      </c>
      <c r="G1455" s="110">
        <f ca="1">IFERROR(__xludf.DUMMYFUNCTION("""COMPUTED_VALUE"""),2)</f>
        <v>2</v>
      </c>
      <c r="H1455" s="112" t="str">
        <f ca="1"/>
        <v>55</v>
      </c>
      <c r="I1455" s="81">
        <f ca="1"/>
        <v>55</v>
      </c>
    </row>
    <row r="1456" spans="1:9" ht="13.2">
      <c r="A1456" s="109" t="str">
        <f ca="1">IFERROR(__xludf.DUMMYFUNCTION("""COMPUTED_VALUE"""),"OAK")</f>
        <v>OAK</v>
      </c>
      <c r="B1456" s="108" t="str">
        <f ca="1">IFERROR(__xludf.DUMMYFUNCTION("""COMPUTED_VALUE"""),"Tyler Kroopnick")</f>
        <v>Tyler Kroopnick</v>
      </c>
      <c r="C1456" s="109">
        <f ca="1">IFERROR(__xludf.DUMMYFUNCTION("""COMPUTED_VALUE"""),7)</f>
        <v>7</v>
      </c>
      <c r="D1456" s="109" t="str">
        <f ca="1">IFERROR(__xludf.DUMMYFUNCTION("""COMPUTED_VALUE"""),"B")</f>
        <v>B</v>
      </c>
      <c r="E1456" s="110" t="str">
        <f ca="1">IFERROR(__xludf.DUMMYFUNCTION("""COMPUTED_VALUE"""),"F")</f>
        <v>F</v>
      </c>
      <c r="F1456" s="110" t="str">
        <f ca="1">IFERROR(__xludf.DUMMYFUNCTION("""COMPUTED_VALUE"""),"J")</f>
        <v>J</v>
      </c>
      <c r="G1456" s="110">
        <f ca="1">IFERROR(__xludf.DUMMYFUNCTION("""COMPUTED_VALUE"""),2)</f>
        <v>2</v>
      </c>
      <c r="H1456" s="112" t="str">
        <f ca="1"/>
        <v>46.3</v>
      </c>
      <c r="I1456" s="81">
        <f ca="1"/>
        <v>46.3</v>
      </c>
    </row>
    <row r="1457" spans="1:9" ht="13.2">
      <c r="A1457" s="109" t="str">
        <f ca="1">IFERROR(__xludf.DUMMYFUNCTION("""COMPUTED_VALUE"""),"OAK")</f>
        <v>OAK</v>
      </c>
      <c r="B1457" s="108" t="str">
        <f ca="1">IFERROR(__xludf.DUMMYFUNCTION("""COMPUTED_VALUE"""),"Avery Lane")</f>
        <v>Avery Lane</v>
      </c>
      <c r="C1457" s="109">
        <f ca="1">IFERROR(__xludf.DUMMYFUNCTION("""COMPUTED_VALUE"""),9)</f>
        <v>9</v>
      </c>
      <c r="D1457" s="109" t="str">
        <f ca="1">IFERROR(__xludf.DUMMYFUNCTION("""COMPUTED_VALUE"""),"G")</f>
        <v>G</v>
      </c>
      <c r="E1457" s="110" t="str">
        <f ca="1">IFERROR(__xludf.DUMMYFUNCTION("""COMPUTED_VALUE"""),"F")</f>
        <v>F</v>
      </c>
      <c r="F1457" s="110" t="str">
        <f ca="1">IFERROR(__xludf.DUMMYFUNCTION("""COMPUTED_VALUE"""),"J")</f>
        <v>J</v>
      </c>
      <c r="G1457" s="110">
        <f ca="1">IFERROR(__xludf.DUMMYFUNCTION("""COMPUTED_VALUE"""),2)</f>
        <v>2</v>
      </c>
      <c r="H1457" s="112" t="str">
        <f ca="1"/>
        <v>38.95</v>
      </c>
      <c r="I1457" s="81">
        <f ca="1"/>
        <v>38.950000000000003</v>
      </c>
    </row>
    <row r="1458" spans="1:9" ht="13.2">
      <c r="A1458" s="109" t="str">
        <f ca="1">IFERROR(__xludf.DUMMYFUNCTION("""COMPUTED_VALUE"""),"OAK")</f>
        <v>OAK</v>
      </c>
      <c r="B1458" s="108" t="str">
        <f ca="1">IFERROR(__xludf.DUMMYFUNCTION("""COMPUTED_VALUE"""),"Chelsea McLenahan")</f>
        <v>Chelsea McLenahan</v>
      </c>
      <c r="C1458" s="109">
        <f ca="1">IFERROR(__xludf.DUMMYFUNCTION("""COMPUTED_VALUE"""),8)</f>
        <v>8</v>
      </c>
      <c r="D1458" s="109" t="str">
        <f ca="1">IFERROR(__xludf.DUMMYFUNCTION("""COMPUTED_VALUE"""),"G")</f>
        <v>G</v>
      </c>
      <c r="E1458" s="110" t="str">
        <f ca="1">IFERROR(__xludf.DUMMYFUNCTION("""COMPUTED_VALUE"""),"F")</f>
        <v>F</v>
      </c>
      <c r="F1458" s="110" t="str">
        <f ca="1">IFERROR(__xludf.DUMMYFUNCTION("""COMPUTED_VALUE"""),"J")</f>
        <v>J</v>
      </c>
      <c r="G1458" s="110">
        <f ca="1">IFERROR(__xludf.DUMMYFUNCTION("""COMPUTED_VALUE"""),2)</f>
        <v>2</v>
      </c>
      <c r="H1458" s="112" t="str">
        <f ca="1"/>
        <v/>
      </c>
      <c r="I1458" s="112" t="str">
        <f ca="1"/>
        <v/>
      </c>
    </row>
    <row r="1459" spans="1:9" ht="13.2">
      <c r="A1459" s="109" t="str">
        <f ca="1">IFERROR(__xludf.DUMMYFUNCTION("""COMPUTED_VALUE"""),"OAK")</f>
        <v>OAK</v>
      </c>
      <c r="B1459" s="108" t="str">
        <f ca="1">IFERROR(__xludf.DUMMYFUNCTION("""COMPUTED_VALUE"""),"Harper Lubic")</f>
        <v>Harper Lubic</v>
      </c>
      <c r="C1459" s="109">
        <f ca="1">IFERROR(__xludf.DUMMYFUNCTION("""COMPUTED_VALUE"""),9)</f>
        <v>9</v>
      </c>
      <c r="D1459" s="109" t="str">
        <f ca="1">IFERROR(__xludf.DUMMYFUNCTION("""COMPUTED_VALUE"""),"G")</f>
        <v>G</v>
      </c>
      <c r="E1459" s="110" t="str">
        <f ca="1">IFERROR(__xludf.DUMMYFUNCTION("""COMPUTED_VALUE"""),"F")</f>
        <v>F</v>
      </c>
      <c r="F1459" s="110" t="str">
        <f ca="1">IFERROR(__xludf.DUMMYFUNCTION("""COMPUTED_VALUE"""),"J")</f>
        <v>J</v>
      </c>
      <c r="G1459" s="110">
        <f ca="1">IFERROR(__xludf.DUMMYFUNCTION("""COMPUTED_VALUE"""),2)</f>
        <v>2</v>
      </c>
      <c r="H1459" s="112" t="str">
        <f ca="1"/>
        <v/>
      </c>
      <c r="I1459" s="81" t="str">
        <f ca="1"/>
        <v/>
      </c>
    </row>
    <row r="1460" spans="1:9" ht="13.2">
      <c r="A1460" s="109" t="str">
        <f ca="1">IFERROR(__xludf.DUMMYFUNCTION("""COMPUTED_VALUE"""),"OAK")</f>
        <v>OAK</v>
      </c>
      <c r="B1460" s="108" t="str">
        <f ca="1">IFERROR(__xludf.DUMMYFUNCTION("""COMPUTED_VALUE"""),"Lauren Emerick")</f>
        <v>Lauren Emerick</v>
      </c>
      <c r="C1460" s="109">
        <f ca="1">IFERROR(__xludf.DUMMYFUNCTION("""COMPUTED_VALUE"""),9)</f>
        <v>9</v>
      </c>
      <c r="D1460" s="109" t="str">
        <f ca="1">IFERROR(__xludf.DUMMYFUNCTION("""COMPUTED_VALUE"""),"G")</f>
        <v>G</v>
      </c>
      <c r="E1460" s="110" t="str">
        <f ca="1">IFERROR(__xludf.DUMMYFUNCTION("""COMPUTED_VALUE"""),"F")</f>
        <v>F</v>
      </c>
      <c r="F1460" s="110" t="str">
        <f ca="1">IFERROR(__xludf.DUMMYFUNCTION("""COMPUTED_VALUE"""),"J")</f>
        <v>J</v>
      </c>
      <c r="G1460" s="110">
        <f ca="1">IFERROR(__xludf.DUMMYFUNCTION("""COMPUTED_VALUE"""),2)</f>
        <v>2</v>
      </c>
      <c r="H1460" s="112" t="str">
        <f ca="1"/>
        <v>37.85</v>
      </c>
      <c r="I1460" s="81">
        <f ca="1"/>
        <v>37.85</v>
      </c>
    </row>
    <row r="1461" spans="1:9" ht="13.2">
      <c r="A1461" s="109" t="str">
        <f ca="1">IFERROR(__xludf.DUMMYFUNCTION("""COMPUTED_VALUE"""),"OAK")</f>
        <v>OAK</v>
      </c>
      <c r="B1461" s="108" t="str">
        <f ca="1">IFERROR(__xludf.DUMMYFUNCTION("""COMPUTED_VALUE"""),"Mackenzie Martin")</f>
        <v>Mackenzie Martin</v>
      </c>
      <c r="C1461" s="109">
        <f ca="1">IFERROR(__xludf.DUMMYFUNCTION("""COMPUTED_VALUE"""),9)</f>
        <v>9</v>
      </c>
      <c r="D1461" s="109" t="str">
        <f ca="1">IFERROR(__xludf.DUMMYFUNCTION("""COMPUTED_VALUE"""),"G")</f>
        <v>G</v>
      </c>
      <c r="E1461" s="110" t="str">
        <f ca="1">IFERROR(__xludf.DUMMYFUNCTION("""COMPUTED_VALUE"""),"F")</f>
        <v>F</v>
      </c>
      <c r="F1461" s="110" t="str">
        <f ca="1">IFERROR(__xludf.DUMMYFUNCTION("""COMPUTED_VALUE"""),"J")</f>
        <v>J</v>
      </c>
      <c r="G1461" s="110">
        <f ca="1">IFERROR(__xludf.DUMMYFUNCTION("""COMPUTED_VALUE"""),2)</f>
        <v>2</v>
      </c>
      <c r="H1461" s="112" t="str">
        <f ca="1"/>
        <v>40.75</v>
      </c>
      <c r="I1461" s="112">
        <f ca="1"/>
        <v>40.75</v>
      </c>
    </row>
    <row r="1462" spans="1:9" ht="13.2">
      <c r="A1462" s="109" t="str">
        <f ca="1">IFERROR(__xludf.DUMMYFUNCTION("""COMPUTED_VALUE"""),"OAK")</f>
        <v>OAK</v>
      </c>
      <c r="B1462" s="108" t="str">
        <f ca="1">IFERROR(__xludf.DUMMYFUNCTION("""COMPUTED_VALUE"""),"Simone Wilson")</f>
        <v>Simone Wilson</v>
      </c>
      <c r="C1462" s="109">
        <f ca="1">IFERROR(__xludf.DUMMYFUNCTION("""COMPUTED_VALUE"""),9)</f>
        <v>9</v>
      </c>
      <c r="D1462" s="109" t="str">
        <f ca="1">IFERROR(__xludf.DUMMYFUNCTION("""COMPUTED_VALUE"""),"G")</f>
        <v>G</v>
      </c>
      <c r="E1462" s="110" t="str">
        <f ca="1">IFERROR(__xludf.DUMMYFUNCTION("""COMPUTED_VALUE"""),"F")</f>
        <v>F</v>
      </c>
      <c r="F1462" s="110" t="str">
        <f ca="1">IFERROR(__xludf.DUMMYFUNCTION("""COMPUTED_VALUE"""),"J")</f>
        <v>J</v>
      </c>
      <c r="G1462" s="110">
        <f ca="1">IFERROR(__xludf.DUMMYFUNCTION("""COMPUTED_VALUE"""),2)</f>
        <v>2</v>
      </c>
      <c r="H1462" s="112" t="str">
        <f ca="1"/>
        <v/>
      </c>
      <c r="I1462" s="112" t="str">
        <f ca="1"/>
        <v/>
      </c>
    </row>
    <row r="1463" spans="1:9" ht="13.2">
      <c r="A1463" s="109" t="str">
        <f ca="1">IFERROR(__xludf.DUMMYFUNCTION("""COMPUTED_VALUE"""),"OAK")</f>
        <v>OAK</v>
      </c>
      <c r="B1463" s="108" t="str">
        <f ca="1">IFERROR(__xludf.DUMMYFUNCTION("""COMPUTED_VALUE"""),"Brendan Doe")</f>
        <v>Brendan Doe</v>
      </c>
      <c r="C1463" s="109">
        <f ca="1">IFERROR(__xludf.DUMMYFUNCTION("""COMPUTED_VALUE"""),14)</f>
        <v>14</v>
      </c>
      <c r="D1463" s="109" t="str">
        <f ca="1">IFERROR(__xludf.DUMMYFUNCTION("""COMPUTED_VALUE"""),"B")</f>
        <v>B</v>
      </c>
      <c r="E1463" s="110" t="str">
        <f ca="1">IFERROR(__xludf.DUMMYFUNCTION("""COMPUTED_VALUE"""),"I")</f>
        <v>I</v>
      </c>
      <c r="F1463" s="110" t="str">
        <f ca="1">IFERROR(__xludf.DUMMYFUNCTION("""COMPUTED_VALUE"""),"S")</f>
        <v>S</v>
      </c>
      <c r="G1463" s="110">
        <f ca="1">IFERROR(__xludf.DUMMYFUNCTION("""COMPUTED_VALUE"""),2)</f>
        <v>2</v>
      </c>
      <c r="H1463" s="112" t="str">
        <f ca="1"/>
        <v/>
      </c>
      <c r="I1463" s="81" t="str">
        <f ca="1"/>
        <v/>
      </c>
    </row>
    <row r="1464" spans="1:9" ht="13.2">
      <c r="A1464" s="109" t="str">
        <f ca="1">IFERROR(__xludf.DUMMYFUNCTION("""COMPUTED_VALUE"""),"OAK")</f>
        <v>OAK</v>
      </c>
      <c r="B1464" s="108" t="str">
        <f ca="1">IFERROR(__xludf.DUMMYFUNCTION("""COMPUTED_VALUE"""),"Danny Shipley")</f>
        <v>Danny Shipley</v>
      </c>
      <c r="C1464" s="109">
        <f ca="1">IFERROR(__xludf.DUMMYFUNCTION("""COMPUTED_VALUE"""),13)</f>
        <v>13</v>
      </c>
      <c r="D1464" s="109" t="str">
        <f ca="1">IFERROR(__xludf.DUMMYFUNCTION("""COMPUTED_VALUE"""),"B")</f>
        <v>B</v>
      </c>
      <c r="E1464" s="110" t="str">
        <f ca="1">IFERROR(__xludf.DUMMYFUNCTION("""COMPUTED_VALUE"""),"I")</f>
        <v>I</v>
      </c>
      <c r="F1464" s="110" t="str">
        <f ca="1">IFERROR(__xludf.DUMMYFUNCTION("""COMPUTED_VALUE"""),"S")</f>
        <v>S</v>
      </c>
      <c r="G1464" s="110">
        <f ca="1">IFERROR(__xludf.DUMMYFUNCTION("""COMPUTED_VALUE"""),2)</f>
        <v>2</v>
      </c>
      <c r="H1464" s="112" t="str">
        <f ca="1"/>
        <v/>
      </c>
      <c r="I1464" s="81" t="str">
        <f ca="1"/>
        <v/>
      </c>
    </row>
    <row r="1465" spans="1:9" ht="13.2">
      <c r="A1465" s="109" t="str">
        <f ca="1">IFERROR(__xludf.DUMMYFUNCTION("""COMPUTED_VALUE"""),"OAK")</f>
        <v>OAK</v>
      </c>
      <c r="B1465" s="108" t="str">
        <f ca="1">IFERROR(__xludf.DUMMYFUNCTION("""COMPUTED_VALUE"""),"Dylan Reese")</f>
        <v>Dylan Reese</v>
      </c>
      <c r="C1465" s="109">
        <f ca="1">IFERROR(__xludf.DUMMYFUNCTION("""COMPUTED_VALUE"""),14)</f>
        <v>14</v>
      </c>
      <c r="D1465" s="109" t="str">
        <f ca="1">IFERROR(__xludf.DUMMYFUNCTION("""COMPUTED_VALUE"""),"B")</f>
        <v>B</v>
      </c>
      <c r="E1465" s="110" t="str">
        <f ca="1">IFERROR(__xludf.DUMMYFUNCTION("""COMPUTED_VALUE"""),"I")</f>
        <v>I</v>
      </c>
      <c r="F1465" s="110" t="str">
        <f ca="1">IFERROR(__xludf.DUMMYFUNCTION("""COMPUTED_VALUE"""),"S")</f>
        <v>S</v>
      </c>
      <c r="G1465" s="110">
        <f ca="1">IFERROR(__xludf.DUMMYFUNCTION("""COMPUTED_VALUE"""),2)</f>
        <v>2</v>
      </c>
      <c r="H1465" s="112" t="str">
        <f ca="1"/>
        <v/>
      </c>
      <c r="I1465" s="81" t="str">
        <f ca="1"/>
        <v/>
      </c>
    </row>
    <row r="1466" spans="1:9" ht="13.2">
      <c r="A1466" s="109" t="str">
        <f ca="1">IFERROR(__xludf.DUMMYFUNCTION("""COMPUTED_VALUE"""),"OAK")</f>
        <v>OAK</v>
      </c>
      <c r="B1466" s="108" t="str">
        <f ca="1">IFERROR(__xludf.DUMMYFUNCTION("""COMPUTED_VALUE"""),"Jack Hansen")</f>
        <v>Jack Hansen</v>
      </c>
      <c r="C1466" s="109">
        <f ca="1">IFERROR(__xludf.DUMMYFUNCTION("""COMPUTED_VALUE"""),13)</f>
        <v>13</v>
      </c>
      <c r="D1466" s="109" t="str">
        <f ca="1">IFERROR(__xludf.DUMMYFUNCTION("""COMPUTED_VALUE"""),"B")</f>
        <v>B</v>
      </c>
      <c r="E1466" s="110" t="str">
        <f ca="1">IFERROR(__xludf.DUMMYFUNCTION("""COMPUTED_VALUE"""),"I")</f>
        <v>I</v>
      </c>
      <c r="F1466" s="110" t="str">
        <f ca="1">IFERROR(__xludf.DUMMYFUNCTION("""COMPUTED_VALUE"""),"S")</f>
        <v>S</v>
      </c>
      <c r="G1466" s="110">
        <f ca="1">IFERROR(__xludf.DUMMYFUNCTION("""COMPUTED_VALUE"""),2)</f>
        <v>2</v>
      </c>
      <c r="H1466" s="112" t="str">
        <f ca="1"/>
        <v/>
      </c>
      <c r="I1466" s="81" t="str">
        <f ca="1"/>
        <v/>
      </c>
    </row>
    <row r="1467" spans="1:9" ht="13.2">
      <c r="A1467" s="109" t="str">
        <f ca="1">IFERROR(__xludf.DUMMYFUNCTION("""COMPUTED_VALUE"""),"OAK")</f>
        <v>OAK</v>
      </c>
      <c r="B1467" s="108" t="str">
        <f ca="1">IFERROR(__xludf.DUMMYFUNCTION("""COMPUTED_VALUE"""),"Jon Anthony Montel")</f>
        <v>Jon Anthony Montel</v>
      </c>
      <c r="C1467" s="109">
        <f ca="1">IFERROR(__xludf.DUMMYFUNCTION("""COMPUTED_VALUE"""),13)</f>
        <v>13</v>
      </c>
      <c r="D1467" s="109" t="str">
        <f ca="1">IFERROR(__xludf.DUMMYFUNCTION("""COMPUTED_VALUE"""),"B")</f>
        <v>B</v>
      </c>
      <c r="E1467" s="110" t="str">
        <f ca="1">IFERROR(__xludf.DUMMYFUNCTION("""COMPUTED_VALUE"""),"I")</f>
        <v>I</v>
      </c>
      <c r="F1467" s="110" t="str">
        <f ca="1">IFERROR(__xludf.DUMMYFUNCTION("""COMPUTED_VALUE"""),"S")</f>
        <v>S</v>
      </c>
      <c r="G1467" s="110">
        <f ca="1">IFERROR(__xludf.DUMMYFUNCTION("""COMPUTED_VALUE"""),2)</f>
        <v>2</v>
      </c>
      <c r="H1467" s="112" t="str">
        <f ca="1"/>
        <v/>
      </c>
      <c r="I1467" s="112" t="str">
        <f ca="1"/>
        <v/>
      </c>
    </row>
    <row r="1468" spans="1:9" ht="13.2">
      <c r="A1468" s="109" t="str">
        <f ca="1">IFERROR(__xludf.DUMMYFUNCTION("""COMPUTED_VALUE"""),"OAK")</f>
        <v>OAK</v>
      </c>
      <c r="B1468" s="108" t="str">
        <f ca="1">IFERROR(__xludf.DUMMYFUNCTION("""COMPUTED_VALUE"""),"Ryan Shipley")</f>
        <v>Ryan Shipley</v>
      </c>
      <c r="C1468" s="109">
        <f ca="1">IFERROR(__xludf.DUMMYFUNCTION("""COMPUTED_VALUE"""),13)</f>
        <v>13</v>
      </c>
      <c r="D1468" s="109" t="str">
        <f ca="1">IFERROR(__xludf.DUMMYFUNCTION("""COMPUTED_VALUE"""),"B")</f>
        <v>B</v>
      </c>
      <c r="E1468" s="110" t="str">
        <f ca="1">IFERROR(__xludf.DUMMYFUNCTION("""COMPUTED_VALUE"""),"I")</f>
        <v>I</v>
      </c>
      <c r="F1468" s="110" t="str">
        <f ca="1">IFERROR(__xludf.DUMMYFUNCTION("""COMPUTED_VALUE"""),"S")</f>
        <v>S</v>
      </c>
      <c r="G1468" s="110">
        <f ca="1">IFERROR(__xludf.DUMMYFUNCTION("""COMPUTED_VALUE"""),2)</f>
        <v>2</v>
      </c>
      <c r="H1468" s="112" t="str">
        <f ca="1"/>
        <v/>
      </c>
      <c r="I1468" s="81" t="str">
        <f ca="1"/>
        <v/>
      </c>
    </row>
    <row r="1469" spans="1:9" ht="13.2">
      <c r="A1469" s="109" t="str">
        <f ca="1">IFERROR(__xludf.DUMMYFUNCTION("""COMPUTED_VALUE"""),"OAK")</f>
        <v>OAK</v>
      </c>
      <c r="B1469" s="108" t="str">
        <f ca="1">IFERROR(__xludf.DUMMYFUNCTION("""COMPUTED_VALUE"""),"Zac Lee")</f>
        <v>Zac Lee</v>
      </c>
      <c r="C1469" s="109">
        <f ca="1">IFERROR(__xludf.DUMMYFUNCTION("""COMPUTED_VALUE"""),13)</f>
        <v>13</v>
      </c>
      <c r="D1469" s="109" t="str">
        <f ca="1">IFERROR(__xludf.DUMMYFUNCTION("""COMPUTED_VALUE"""),"B")</f>
        <v>B</v>
      </c>
      <c r="E1469" s="110" t="str">
        <f ca="1">IFERROR(__xludf.DUMMYFUNCTION("""COMPUTED_VALUE"""),"I")</f>
        <v>I</v>
      </c>
      <c r="F1469" s="110" t="str">
        <f ca="1">IFERROR(__xludf.DUMMYFUNCTION("""COMPUTED_VALUE"""),"S")</f>
        <v>S</v>
      </c>
      <c r="G1469" s="110">
        <f ca="1">IFERROR(__xludf.DUMMYFUNCTION("""COMPUTED_VALUE"""),2)</f>
        <v>2</v>
      </c>
      <c r="H1469" s="112" t="str">
        <f ca="1"/>
        <v>74.45</v>
      </c>
      <c r="I1469" s="112">
        <f ca="1"/>
        <v>74.45</v>
      </c>
    </row>
    <row r="1470" spans="1:9" ht="13.2">
      <c r="A1470" s="109" t="str">
        <f ca="1">IFERROR(__xludf.DUMMYFUNCTION("""COMPUTED_VALUE"""),"OAK")</f>
        <v>OAK</v>
      </c>
      <c r="B1470" s="108" t="str">
        <f ca="1">IFERROR(__xludf.DUMMYFUNCTION("""COMPUTED_VALUE"""),"Megan Shipley")</f>
        <v>Megan Shipley</v>
      </c>
      <c r="C1470" s="109">
        <f ca="1">IFERROR(__xludf.DUMMYFUNCTION("""COMPUTED_VALUE"""),13)</f>
        <v>13</v>
      </c>
      <c r="D1470" s="109" t="str">
        <f ca="1">IFERROR(__xludf.DUMMYFUNCTION("""COMPUTED_VALUE"""),"G")</f>
        <v>G</v>
      </c>
      <c r="E1470" s="110" t="str">
        <f ca="1">IFERROR(__xludf.DUMMYFUNCTION("""COMPUTED_VALUE"""),"I")</f>
        <v>I</v>
      </c>
      <c r="F1470" s="110" t="str">
        <f ca="1">IFERROR(__xludf.DUMMYFUNCTION("""COMPUTED_VALUE"""),"S")</f>
        <v>S</v>
      </c>
      <c r="G1470" s="110">
        <f ca="1">IFERROR(__xludf.DUMMYFUNCTION("""COMPUTED_VALUE"""),2)</f>
        <v>2</v>
      </c>
      <c r="H1470" s="112" t="str">
        <f ca="1"/>
        <v/>
      </c>
      <c r="I1470" s="81" t="str">
        <f ca="1"/>
        <v/>
      </c>
    </row>
    <row r="1471" spans="1:9" ht="13.2">
      <c r="A1471" s="109" t="str">
        <f ca="1">IFERROR(__xludf.DUMMYFUNCTION("""COMPUTED_VALUE"""),"OAK")</f>
        <v>OAK</v>
      </c>
      <c r="B1471" s="108" t="str">
        <f ca="1">IFERROR(__xludf.DUMMYFUNCTION("""COMPUTED_VALUE"""),"Samantha Shuster")</f>
        <v>Samantha Shuster</v>
      </c>
      <c r="C1471" s="109">
        <f ca="1">IFERROR(__xludf.DUMMYFUNCTION("""COMPUTED_VALUE"""),13)</f>
        <v>13</v>
      </c>
      <c r="D1471" s="109" t="str">
        <f ca="1">IFERROR(__xludf.DUMMYFUNCTION("""COMPUTED_VALUE"""),"G")</f>
        <v>G</v>
      </c>
      <c r="E1471" s="110" t="str">
        <f ca="1">IFERROR(__xludf.DUMMYFUNCTION("""COMPUTED_VALUE"""),"I")</f>
        <v>I</v>
      </c>
      <c r="F1471" s="110" t="str">
        <f ca="1">IFERROR(__xludf.DUMMYFUNCTION("""COMPUTED_VALUE"""),"S")</f>
        <v>S</v>
      </c>
      <c r="G1471" s="110">
        <f ca="1">IFERROR(__xludf.DUMMYFUNCTION("""COMPUTED_VALUE"""),2)</f>
        <v>2</v>
      </c>
      <c r="H1471" s="112" t="str">
        <f ca="1"/>
        <v/>
      </c>
      <c r="I1471" s="81" t="str">
        <f ca="1"/>
        <v/>
      </c>
    </row>
    <row r="1472" spans="1:9" ht="13.2">
      <c r="A1472" s="109" t="str">
        <f ca="1">IFERROR(__xludf.DUMMYFUNCTION("""COMPUTED_VALUE"""),"OAK")</f>
        <v>OAK</v>
      </c>
      <c r="B1472" s="108" t="str">
        <f ca="1">IFERROR(__xludf.DUMMYFUNCTION("""COMPUTED_VALUE"""),"Collin Henriques")</f>
        <v>Collin Henriques</v>
      </c>
      <c r="C1472" s="109">
        <f ca="1">IFERROR(__xludf.DUMMYFUNCTION("""COMPUTED_VALUE"""),11)</f>
        <v>11</v>
      </c>
      <c r="D1472" s="109" t="str">
        <f ca="1">IFERROR(__xludf.DUMMYFUNCTION("""COMPUTED_VALUE"""),"B")</f>
        <v>B</v>
      </c>
      <c r="E1472" s="110" t="str">
        <f ca="1">IFERROR(__xludf.DUMMYFUNCTION("""COMPUTED_VALUE"""),"J")</f>
        <v>J</v>
      </c>
      <c r="F1472" s="110" t="str">
        <f ca="1">IFERROR(__xludf.DUMMYFUNCTION("""COMPUTED_VALUE"""),"I")</f>
        <v>I</v>
      </c>
      <c r="G1472" s="110">
        <f ca="1">IFERROR(__xludf.DUMMYFUNCTION("""COMPUTED_VALUE"""),2)</f>
        <v>2</v>
      </c>
      <c r="H1472" s="112" t="str">
        <f ca="1"/>
        <v/>
      </c>
      <c r="I1472" s="81" t="str">
        <f ca="1"/>
        <v/>
      </c>
    </row>
    <row r="1473" spans="1:9" ht="13.2">
      <c r="A1473" s="109" t="str">
        <f ca="1">IFERROR(__xludf.DUMMYFUNCTION("""COMPUTED_VALUE"""),"OAK")</f>
        <v>OAK</v>
      </c>
      <c r="B1473" s="108" t="str">
        <f ca="1">IFERROR(__xludf.DUMMYFUNCTION("""COMPUTED_VALUE"""),"Connor Gill")</f>
        <v>Connor Gill</v>
      </c>
      <c r="C1473" s="109">
        <f ca="1">IFERROR(__xludf.DUMMYFUNCTION("""COMPUTED_VALUE"""),11)</f>
        <v>11</v>
      </c>
      <c r="D1473" s="109" t="str">
        <f ca="1">IFERROR(__xludf.DUMMYFUNCTION("""COMPUTED_VALUE"""),"B")</f>
        <v>B</v>
      </c>
      <c r="E1473" s="110" t="str">
        <f ca="1">IFERROR(__xludf.DUMMYFUNCTION("""COMPUTED_VALUE"""),"J")</f>
        <v>J</v>
      </c>
      <c r="F1473" s="110" t="str">
        <f ca="1">IFERROR(__xludf.DUMMYFUNCTION("""COMPUTED_VALUE"""),"I")</f>
        <v>I</v>
      </c>
      <c r="G1473" s="110">
        <f ca="1">IFERROR(__xludf.DUMMYFUNCTION("""COMPUTED_VALUE"""),2)</f>
        <v>2</v>
      </c>
      <c r="H1473" s="112" t="str">
        <f ca="1"/>
        <v>64.15</v>
      </c>
      <c r="I1473" s="112">
        <f ca="1"/>
        <v>64.150000000000006</v>
      </c>
    </row>
    <row r="1474" spans="1:9" ht="13.2">
      <c r="A1474" s="109" t="str">
        <f ca="1">IFERROR(__xludf.DUMMYFUNCTION("""COMPUTED_VALUE"""),"OAK")</f>
        <v>OAK</v>
      </c>
      <c r="B1474" s="108" t="str">
        <f ca="1">IFERROR(__xludf.DUMMYFUNCTION("""COMPUTED_VALUE"""),"James Hayden")</f>
        <v>James Hayden</v>
      </c>
      <c r="C1474" s="109">
        <f ca="1">IFERROR(__xludf.DUMMYFUNCTION("""COMPUTED_VALUE"""),12)</f>
        <v>12</v>
      </c>
      <c r="D1474" s="109" t="str">
        <f ca="1">IFERROR(__xludf.DUMMYFUNCTION("""COMPUTED_VALUE"""),"B")</f>
        <v>B</v>
      </c>
      <c r="E1474" s="110" t="str">
        <f ca="1">IFERROR(__xludf.DUMMYFUNCTION("""COMPUTED_VALUE"""),"J")</f>
        <v>J</v>
      </c>
      <c r="F1474" s="110" t="str">
        <f ca="1">IFERROR(__xludf.DUMMYFUNCTION("""COMPUTED_VALUE"""),"I")</f>
        <v>I</v>
      </c>
      <c r="G1474" s="110">
        <f ca="1">IFERROR(__xludf.DUMMYFUNCTION("""COMPUTED_VALUE"""),2)</f>
        <v>2</v>
      </c>
      <c r="H1474" s="112" t="str">
        <f ca="1"/>
        <v>94.45</v>
      </c>
      <c r="I1474" s="81">
        <f ca="1"/>
        <v>94.45</v>
      </c>
    </row>
    <row r="1475" spans="1:9" ht="13.2">
      <c r="A1475" s="109" t="str">
        <f ca="1">IFERROR(__xludf.DUMMYFUNCTION("""COMPUTED_VALUE"""),"OAK")</f>
        <v>OAK</v>
      </c>
      <c r="B1475" s="108" t="str">
        <f ca="1">IFERROR(__xludf.DUMMYFUNCTION("""COMPUTED_VALUE"""),"Leo Estes")</f>
        <v>Leo Estes</v>
      </c>
      <c r="C1475" s="109">
        <f ca="1">IFERROR(__xludf.DUMMYFUNCTION("""COMPUTED_VALUE"""),11)</f>
        <v>11</v>
      </c>
      <c r="D1475" s="109" t="str">
        <f ca="1">IFERROR(__xludf.DUMMYFUNCTION("""COMPUTED_VALUE"""),"B")</f>
        <v>B</v>
      </c>
      <c r="E1475" s="110" t="str">
        <f ca="1">IFERROR(__xludf.DUMMYFUNCTION("""COMPUTED_VALUE"""),"J")</f>
        <v>J</v>
      </c>
      <c r="F1475" s="110" t="str">
        <f ca="1">IFERROR(__xludf.DUMMYFUNCTION("""COMPUTED_VALUE"""),"I")</f>
        <v>I</v>
      </c>
      <c r="G1475" s="110">
        <f ca="1">IFERROR(__xludf.DUMMYFUNCTION("""COMPUTED_VALUE"""),2)</f>
        <v>2</v>
      </c>
      <c r="H1475" s="112" t="str">
        <f ca="1"/>
        <v/>
      </c>
      <c r="I1475" s="81" t="str">
        <f ca="1"/>
        <v/>
      </c>
    </row>
    <row r="1476" spans="1:9" ht="13.2">
      <c r="A1476" s="109" t="str">
        <f ca="1">IFERROR(__xludf.DUMMYFUNCTION("""COMPUTED_VALUE"""),"OAK")</f>
        <v>OAK</v>
      </c>
      <c r="B1476" s="108" t="str">
        <f ca="1">IFERROR(__xludf.DUMMYFUNCTION("""COMPUTED_VALUE"""),"Ryan Emerick")</f>
        <v>Ryan Emerick</v>
      </c>
      <c r="C1476" s="109">
        <f ca="1">IFERROR(__xludf.DUMMYFUNCTION("""COMPUTED_VALUE"""),11)</f>
        <v>11</v>
      </c>
      <c r="D1476" s="109" t="str">
        <f ca="1">IFERROR(__xludf.DUMMYFUNCTION("""COMPUTED_VALUE"""),"B")</f>
        <v>B</v>
      </c>
      <c r="E1476" s="110" t="str">
        <f ca="1">IFERROR(__xludf.DUMMYFUNCTION("""COMPUTED_VALUE"""),"J")</f>
        <v>J</v>
      </c>
      <c r="F1476" s="110" t="str">
        <f ca="1">IFERROR(__xludf.DUMMYFUNCTION("""COMPUTED_VALUE"""),"I")</f>
        <v>I</v>
      </c>
      <c r="G1476" s="110">
        <f ca="1">IFERROR(__xludf.DUMMYFUNCTION("""COMPUTED_VALUE"""),2)</f>
        <v>2</v>
      </c>
      <c r="H1476" s="112" t="str">
        <f ca="1"/>
        <v>47.15</v>
      </c>
      <c r="I1476" s="112">
        <f ca="1"/>
        <v>47.15</v>
      </c>
    </row>
    <row r="1477" spans="1:9" ht="13.2">
      <c r="A1477" s="109" t="str">
        <f ca="1">IFERROR(__xludf.DUMMYFUNCTION("""COMPUTED_VALUE"""),"OAK")</f>
        <v>OAK</v>
      </c>
      <c r="B1477" s="108" t="str">
        <f ca="1">IFERROR(__xludf.DUMMYFUNCTION("""COMPUTED_VALUE"""),"Thibault Lede")</f>
        <v>Thibault Lede</v>
      </c>
      <c r="C1477" s="109">
        <f ca="1">IFERROR(__xludf.DUMMYFUNCTION("""COMPUTED_VALUE"""),12)</f>
        <v>12</v>
      </c>
      <c r="D1477" s="109" t="str">
        <f ca="1">IFERROR(__xludf.DUMMYFUNCTION("""COMPUTED_VALUE"""),"B")</f>
        <v>B</v>
      </c>
      <c r="E1477" s="110" t="str">
        <f ca="1">IFERROR(__xludf.DUMMYFUNCTION("""COMPUTED_VALUE"""),"J")</f>
        <v>J</v>
      </c>
      <c r="F1477" s="110" t="str">
        <f ca="1">IFERROR(__xludf.DUMMYFUNCTION("""COMPUTED_VALUE"""),"I")</f>
        <v>I</v>
      </c>
      <c r="G1477" s="110">
        <f ca="1">IFERROR(__xludf.DUMMYFUNCTION("""COMPUTED_VALUE"""),2)</f>
        <v>2</v>
      </c>
      <c r="H1477" s="112" t="str">
        <f ca="1"/>
        <v/>
      </c>
      <c r="I1477" s="81" t="str">
        <f ca="1"/>
        <v/>
      </c>
    </row>
    <row r="1478" spans="1:9" ht="13.2">
      <c r="A1478" s="109" t="str">
        <f ca="1">IFERROR(__xludf.DUMMYFUNCTION("""COMPUTED_VALUE"""),"OAK")</f>
        <v>OAK</v>
      </c>
      <c r="B1478" s="108" t="str">
        <f ca="1">IFERROR(__xludf.DUMMYFUNCTION("""COMPUTED_VALUE"""),"William Wright")</f>
        <v>William Wright</v>
      </c>
      <c r="C1478" s="109">
        <f ca="1">IFERROR(__xludf.DUMMYFUNCTION("""COMPUTED_VALUE"""),11)</f>
        <v>11</v>
      </c>
      <c r="D1478" s="109" t="str">
        <f ca="1">IFERROR(__xludf.DUMMYFUNCTION("""COMPUTED_VALUE"""),"B")</f>
        <v>B</v>
      </c>
      <c r="E1478" s="110" t="str">
        <f ca="1">IFERROR(__xludf.DUMMYFUNCTION("""COMPUTED_VALUE"""),"J")</f>
        <v>J</v>
      </c>
      <c r="F1478" s="110" t="str">
        <f ca="1">IFERROR(__xludf.DUMMYFUNCTION("""COMPUTED_VALUE"""),"I")</f>
        <v>I</v>
      </c>
      <c r="G1478" s="110">
        <f ca="1">IFERROR(__xludf.DUMMYFUNCTION("""COMPUTED_VALUE"""),2)</f>
        <v>2</v>
      </c>
      <c r="H1478" s="112" t="str">
        <f ca="1"/>
        <v>70.75</v>
      </c>
      <c r="I1478" s="81">
        <f ca="1"/>
        <v>70.75</v>
      </c>
    </row>
    <row r="1479" spans="1:9" ht="13.2">
      <c r="A1479" s="109" t="str">
        <f ca="1">IFERROR(__xludf.DUMMYFUNCTION("""COMPUTED_VALUE"""),"OAK")</f>
        <v>OAK</v>
      </c>
      <c r="B1479" s="108" t="str">
        <f ca="1">IFERROR(__xludf.DUMMYFUNCTION("""COMPUTED_VALUE"""),"Charlotte Henderson")</f>
        <v>Charlotte Henderson</v>
      </c>
      <c r="C1479" s="109">
        <f ca="1">IFERROR(__xludf.DUMMYFUNCTION("""COMPUTED_VALUE"""),11)</f>
        <v>11</v>
      </c>
      <c r="D1479" s="109" t="str">
        <f ca="1">IFERROR(__xludf.DUMMYFUNCTION("""COMPUTED_VALUE"""),"G")</f>
        <v>G</v>
      </c>
      <c r="E1479" s="110" t="str">
        <f ca="1">IFERROR(__xludf.DUMMYFUNCTION("""COMPUTED_VALUE"""),"J")</f>
        <v>J</v>
      </c>
      <c r="F1479" s="110" t="str">
        <f ca="1">IFERROR(__xludf.DUMMYFUNCTION("""COMPUTED_VALUE"""),"I")</f>
        <v>I</v>
      </c>
      <c r="G1479" s="110">
        <f ca="1">IFERROR(__xludf.DUMMYFUNCTION("""COMPUTED_VALUE"""),2)</f>
        <v>2</v>
      </c>
      <c r="H1479" s="112" t="str">
        <f ca="1"/>
        <v>66.7</v>
      </c>
      <c r="I1479" s="112">
        <f ca="1"/>
        <v>66.7</v>
      </c>
    </row>
    <row r="1480" spans="1:9" ht="13.2">
      <c r="A1480" s="109" t="str">
        <f ca="1">IFERROR(__xludf.DUMMYFUNCTION("""COMPUTED_VALUE"""),"OAK")</f>
        <v>OAK</v>
      </c>
      <c r="B1480" s="108" t="str">
        <f ca="1">IFERROR(__xludf.DUMMYFUNCTION("""COMPUTED_VALUE"""),"Ella Henderson")</f>
        <v>Ella Henderson</v>
      </c>
      <c r="C1480" s="109">
        <f ca="1">IFERROR(__xludf.DUMMYFUNCTION("""COMPUTED_VALUE"""),11)</f>
        <v>11</v>
      </c>
      <c r="D1480" s="109" t="str">
        <f ca="1">IFERROR(__xludf.DUMMYFUNCTION("""COMPUTED_VALUE"""),"G")</f>
        <v>G</v>
      </c>
      <c r="E1480" s="110" t="str">
        <f ca="1">IFERROR(__xludf.DUMMYFUNCTION("""COMPUTED_VALUE"""),"J")</f>
        <v>J</v>
      </c>
      <c r="F1480" s="110" t="str">
        <f ca="1">IFERROR(__xludf.DUMMYFUNCTION("""COMPUTED_VALUE"""),"I")</f>
        <v>I</v>
      </c>
      <c r="G1480" s="110">
        <f ca="1">IFERROR(__xludf.DUMMYFUNCTION("""COMPUTED_VALUE"""),2)</f>
        <v>2</v>
      </c>
      <c r="H1480" s="112" t="str">
        <f ca="1"/>
        <v>62.1</v>
      </c>
      <c r="I1480" s="112">
        <f ca="1"/>
        <v>62.1</v>
      </c>
    </row>
    <row r="1481" spans="1:9" ht="13.2">
      <c r="A1481" s="109" t="str">
        <f ca="1">IFERROR(__xludf.DUMMYFUNCTION("""COMPUTED_VALUE"""),"OAK")</f>
        <v>OAK</v>
      </c>
      <c r="B1481" s="108" t="str">
        <f ca="1">IFERROR(__xludf.DUMMYFUNCTION("""COMPUTED_VALUE"""),"Genevieve Wilson")</f>
        <v>Genevieve Wilson</v>
      </c>
      <c r="C1481" s="109">
        <f ca="1">IFERROR(__xludf.DUMMYFUNCTION("""COMPUTED_VALUE"""),11)</f>
        <v>11</v>
      </c>
      <c r="D1481" s="109" t="str">
        <f ca="1">IFERROR(__xludf.DUMMYFUNCTION("""COMPUTED_VALUE"""),"G")</f>
        <v>G</v>
      </c>
      <c r="E1481" s="110" t="str">
        <f ca="1">IFERROR(__xludf.DUMMYFUNCTION("""COMPUTED_VALUE"""),"J")</f>
        <v>J</v>
      </c>
      <c r="F1481" s="110" t="str">
        <f ca="1">IFERROR(__xludf.DUMMYFUNCTION("""COMPUTED_VALUE"""),"I")</f>
        <v>I</v>
      </c>
      <c r="G1481" s="110">
        <f ca="1">IFERROR(__xludf.DUMMYFUNCTION("""COMPUTED_VALUE"""),2)</f>
        <v>2</v>
      </c>
      <c r="H1481" s="112" t="str">
        <f ca="1"/>
        <v>41.9</v>
      </c>
      <c r="I1481" s="112">
        <f ca="1"/>
        <v>41.9</v>
      </c>
    </row>
    <row r="1482" spans="1:9" ht="13.2">
      <c r="A1482" s="109" t="str">
        <f ca="1">IFERROR(__xludf.DUMMYFUNCTION("""COMPUTED_VALUE"""),"OAK")</f>
        <v>OAK</v>
      </c>
      <c r="B1482" s="108" t="str">
        <f ca="1">IFERROR(__xludf.DUMMYFUNCTION("""COMPUTED_VALUE"""),"Isabelle Whang")</f>
        <v>Isabelle Whang</v>
      </c>
      <c r="C1482" s="109">
        <f ca="1">IFERROR(__xludf.DUMMYFUNCTION("""COMPUTED_VALUE"""),12)</f>
        <v>12</v>
      </c>
      <c r="D1482" s="109" t="str">
        <f ca="1">IFERROR(__xludf.DUMMYFUNCTION("""COMPUTED_VALUE"""),"G")</f>
        <v>G</v>
      </c>
      <c r="E1482" s="110" t="str">
        <f ca="1">IFERROR(__xludf.DUMMYFUNCTION("""COMPUTED_VALUE"""),"J")</f>
        <v>J</v>
      </c>
      <c r="F1482" s="110" t="str">
        <f ca="1">IFERROR(__xludf.DUMMYFUNCTION("""COMPUTED_VALUE"""),"I")</f>
        <v>I</v>
      </c>
      <c r="G1482" s="110">
        <f ca="1">IFERROR(__xludf.DUMMYFUNCTION("""COMPUTED_VALUE"""),2)</f>
        <v>2</v>
      </c>
      <c r="H1482" s="112" t="str">
        <f ca="1"/>
        <v/>
      </c>
      <c r="I1482" s="81" t="str">
        <f ca="1"/>
        <v/>
      </c>
    </row>
    <row r="1483" spans="1:9" ht="13.2">
      <c r="A1483" s="109" t="str">
        <f ca="1">IFERROR(__xludf.DUMMYFUNCTION("""COMPUTED_VALUE"""),"OAK")</f>
        <v>OAK</v>
      </c>
      <c r="B1483" s="108" t="str">
        <f ca="1">IFERROR(__xludf.DUMMYFUNCTION("""COMPUTED_VALUE"""),"Lillian Kitzmiller")</f>
        <v>Lillian Kitzmiller</v>
      </c>
      <c r="C1483" s="109">
        <f ca="1">IFERROR(__xludf.DUMMYFUNCTION("""COMPUTED_VALUE"""),11)</f>
        <v>11</v>
      </c>
      <c r="D1483" s="109" t="str">
        <f ca="1">IFERROR(__xludf.DUMMYFUNCTION("""COMPUTED_VALUE"""),"G")</f>
        <v>G</v>
      </c>
      <c r="E1483" s="110" t="str">
        <f ca="1">IFERROR(__xludf.DUMMYFUNCTION("""COMPUTED_VALUE"""),"J")</f>
        <v>J</v>
      </c>
      <c r="F1483" s="110" t="str">
        <f ca="1">IFERROR(__xludf.DUMMYFUNCTION("""COMPUTED_VALUE"""),"I")</f>
        <v>I</v>
      </c>
      <c r="G1483" s="110">
        <f ca="1">IFERROR(__xludf.DUMMYFUNCTION("""COMPUTED_VALUE"""),2)</f>
        <v>2</v>
      </c>
      <c r="H1483" s="112" t="str">
        <f ca="1"/>
        <v/>
      </c>
      <c r="I1483" s="112" t="str">
        <f ca="1"/>
        <v/>
      </c>
    </row>
    <row r="1484" spans="1:9" ht="13.2">
      <c r="A1484" s="109" t="str">
        <f ca="1">IFERROR(__xludf.DUMMYFUNCTION("""COMPUTED_VALUE"""),"OAK")</f>
        <v>OAK</v>
      </c>
      <c r="B1484" s="108" t="str">
        <f ca="1">IFERROR(__xludf.DUMMYFUNCTION("""COMPUTED_VALUE"""),"Sarah Payne")</f>
        <v>Sarah Payne</v>
      </c>
      <c r="C1484" s="109">
        <f ca="1">IFERROR(__xludf.DUMMYFUNCTION("""COMPUTED_VALUE"""),12)</f>
        <v>12</v>
      </c>
      <c r="D1484" s="109" t="str">
        <f ca="1">IFERROR(__xludf.DUMMYFUNCTION("""COMPUTED_VALUE"""),"G")</f>
        <v>G</v>
      </c>
      <c r="E1484" s="110" t="str">
        <f ca="1">IFERROR(__xludf.DUMMYFUNCTION("""COMPUTED_VALUE"""),"J")</f>
        <v>J</v>
      </c>
      <c r="F1484" s="110" t="str">
        <f ca="1">IFERROR(__xludf.DUMMYFUNCTION("""COMPUTED_VALUE"""),"I")</f>
        <v>I</v>
      </c>
      <c r="G1484" s="110">
        <f ca="1">IFERROR(__xludf.DUMMYFUNCTION("""COMPUTED_VALUE"""),2)</f>
        <v>2</v>
      </c>
      <c r="H1484" s="112" t="str">
        <f ca="1"/>
        <v>57.95</v>
      </c>
      <c r="I1484" s="81">
        <f ca="1"/>
        <v>57.95</v>
      </c>
    </row>
    <row r="1485" spans="1:9" ht="13.2">
      <c r="A1485" s="109" t="str">
        <f ca="1">IFERROR(__xludf.DUMMYFUNCTION("""COMPUTED_VALUE"""),"OAK")</f>
        <v>OAK</v>
      </c>
      <c r="B1485" s="108" t="str">
        <f ca="1">IFERROR(__xludf.DUMMYFUNCTION("""COMPUTED_VALUE"""),"Blaise Wuest")</f>
        <v>Blaise Wuest</v>
      </c>
      <c r="C1485" s="109">
        <f ca="1">IFERROR(__xludf.DUMMYFUNCTION("""COMPUTED_VALUE"""),17)</f>
        <v>17</v>
      </c>
      <c r="D1485" s="109" t="str">
        <f ca="1">IFERROR(__xludf.DUMMYFUNCTION("""COMPUTED_VALUE"""),"B")</f>
        <v>B</v>
      </c>
      <c r="E1485" s="110" t="str">
        <f ca="1">IFERROR(__xludf.DUMMYFUNCTION("""COMPUTED_VALUE"""),"S")</f>
        <v>S</v>
      </c>
      <c r="F1485" s="110" t="str">
        <f ca="1">IFERROR(__xludf.DUMMYFUNCTION("""COMPUTED_VALUE"""),"S")</f>
        <v>S</v>
      </c>
      <c r="G1485" s="110">
        <f ca="1">IFERROR(__xludf.DUMMYFUNCTION("""COMPUTED_VALUE"""),2)</f>
        <v>2</v>
      </c>
      <c r="H1485" s="112" t="str">
        <f ca="1"/>
        <v/>
      </c>
      <c r="I1485" s="81" t="str">
        <f ca="1"/>
        <v/>
      </c>
    </row>
    <row r="1486" spans="1:9" ht="13.2">
      <c r="A1486" s="109" t="str">
        <f ca="1">IFERROR(__xludf.DUMMYFUNCTION("""COMPUTED_VALUE"""),"OAK")</f>
        <v>OAK</v>
      </c>
      <c r="B1486" s="108" t="str">
        <f ca="1">IFERROR(__xludf.DUMMYFUNCTION("""COMPUTED_VALUE"""),"Josh Shipley")</f>
        <v>Josh Shipley</v>
      </c>
      <c r="C1486" s="109">
        <f ca="1">IFERROR(__xludf.DUMMYFUNCTION("""COMPUTED_VALUE"""),17)</f>
        <v>17</v>
      </c>
      <c r="D1486" s="109" t="str">
        <f ca="1">IFERROR(__xludf.DUMMYFUNCTION("""COMPUTED_VALUE"""),"B")</f>
        <v>B</v>
      </c>
      <c r="E1486" s="110" t="str">
        <f ca="1">IFERROR(__xludf.DUMMYFUNCTION("""COMPUTED_VALUE"""),"S")</f>
        <v>S</v>
      </c>
      <c r="F1486" s="110" t="str">
        <f ca="1">IFERROR(__xludf.DUMMYFUNCTION("""COMPUTED_VALUE"""),"S")</f>
        <v>S</v>
      </c>
      <c r="G1486" s="110">
        <f ca="1">IFERROR(__xludf.DUMMYFUNCTION("""COMPUTED_VALUE"""),2)</f>
        <v>2</v>
      </c>
      <c r="H1486" s="112" t="str">
        <f ca="1"/>
        <v/>
      </c>
      <c r="I1486" s="81" t="str">
        <f ca="1"/>
        <v/>
      </c>
    </row>
    <row r="1487" spans="1:9" ht="13.2">
      <c r="A1487" s="109" t="str">
        <f ca="1">IFERROR(__xludf.DUMMYFUNCTION("""COMPUTED_VALUE"""),"OAK")</f>
        <v>OAK</v>
      </c>
      <c r="B1487" s="108" t="str">
        <f ca="1">IFERROR(__xludf.DUMMYFUNCTION("""COMPUTED_VALUE"""),"Nico Shuster")</f>
        <v>Nico Shuster</v>
      </c>
      <c r="C1487" s="109">
        <f ca="1">IFERROR(__xludf.DUMMYFUNCTION("""COMPUTED_VALUE"""),16)</f>
        <v>16</v>
      </c>
      <c r="D1487" s="109" t="str">
        <f ca="1">IFERROR(__xludf.DUMMYFUNCTION("""COMPUTED_VALUE"""),"B")</f>
        <v>B</v>
      </c>
      <c r="E1487" s="110" t="str">
        <f ca="1">IFERROR(__xludf.DUMMYFUNCTION("""COMPUTED_VALUE"""),"S")</f>
        <v>S</v>
      </c>
      <c r="F1487" s="110" t="str">
        <f ca="1">IFERROR(__xludf.DUMMYFUNCTION("""COMPUTED_VALUE"""),"S")</f>
        <v>S</v>
      </c>
      <c r="G1487" s="110">
        <f ca="1">IFERROR(__xludf.DUMMYFUNCTION("""COMPUTED_VALUE"""),2)</f>
        <v>2</v>
      </c>
      <c r="H1487" s="112" t="str">
        <f ca="1"/>
        <v/>
      </c>
      <c r="I1487" s="81" t="str">
        <f ca="1"/>
        <v/>
      </c>
    </row>
    <row r="1488" spans="1:9" ht="13.2">
      <c r="A1488" s="109" t="str">
        <f ca="1">IFERROR(__xludf.DUMMYFUNCTION("""COMPUTED_VALUE"""),"OAK")</f>
        <v>OAK</v>
      </c>
      <c r="B1488" s="108" t="str">
        <f ca="1">IFERROR(__xludf.DUMMYFUNCTION("""COMPUTED_VALUE"""),"Spencer Dearman")</f>
        <v>Spencer Dearman</v>
      </c>
      <c r="C1488" s="109">
        <f ca="1">IFERROR(__xludf.DUMMYFUNCTION("""COMPUTED_VALUE"""),17)</f>
        <v>17</v>
      </c>
      <c r="D1488" s="109" t="str">
        <f ca="1">IFERROR(__xludf.DUMMYFUNCTION("""COMPUTED_VALUE"""),"B")</f>
        <v>B</v>
      </c>
      <c r="E1488" s="110" t="str">
        <f ca="1">IFERROR(__xludf.DUMMYFUNCTION("""COMPUTED_VALUE"""),"S")</f>
        <v>S</v>
      </c>
      <c r="F1488" s="110" t="str">
        <f ca="1">IFERROR(__xludf.DUMMYFUNCTION("""COMPUTED_VALUE"""),"S")</f>
        <v>S</v>
      </c>
      <c r="G1488" s="110">
        <f ca="1">IFERROR(__xludf.DUMMYFUNCTION("""COMPUTED_VALUE"""),2)</f>
        <v>2</v>
      </c>
      <c r="H1488" s="112" t="str">
        <f ca="1"/>
        <v/>
      </c>
      <c r="I1488" s="112" t="str">
        <f ca="1"/>
        <v/>
      </c>
    </row>
    <row r="1489" spans="1:9" ht="13.2">
      <c r="A1489" s="109" t="str">
        <f ca="1">IFERROR(__xludf.DUMMYFUNCTION("""COMPUTED_VALUE"""),"OAK")</f>
        <v>OAK</v>
      </c>
      <c r="B1489" s="108" t="str">
        <f ca="1">IFERROR(__xludf.DUMMYFUNCTION("""COMPUTED_VALUE"""),"Claire Newberry")</f>
        <v>Claire Newberry</v>
      </c>
      <c r="C1489" s="109">
        <f ca="1">IFERROR(__xludf.DUMMYFUNCTION("""COMPUTED_VALUE"""),17)</f>
        <v>17</v>
      </c>
      <c r="D1489" s="109" t="str">
        <f ca="1">IFERROR(__xludf.DUMMYFUNCTION("""COMPUTED_VALUE"""),"G")</f>
        <v>G</v>
      </c>
      <c r="E1489" s="110" t="str">
        <f ca="1">IFERROR(__xludf.DUMMYFUNCTION("""COMPUTED_VALUE"""),"S")</f>
        <v>S</v>
      </c>
      <c r="F1489" s="110" t="str">
        <f ca="1">IFERROR(__xludf.DUMMYFUNCTION("""COMPUTED_VALUE"""),"S")</f>
        <v>S</v>
      </c>
      <c r="G1489" s="110">
        <f ca="1">IFERROR(__xludf.DUMMYFUNCTION("""COMPUTED_VALUE"""),2)</f>
        <v>2</v>
      </c>
      <c r="H1489" s="112" t="str">
        <f ca="1"/>
        <v/>
      </c>
      <c r="I1489" s="81" t="str">
        <f ca="1"/>
        <v/>
      </c>
    </row>
    <row r="1490" spans="1:9" ht="13.2">
      <c r="A1490" s="109" t="str">
        <f ca="1">IFERROR(__xludf.DUMMYFUNCTION("""COMPUTED_VALUE"""),"OAK")</f>
        <v>OAK</v>
      </c>
      <c r="B1490" s="108" t="str">
        <f ca="1">IFERROR(__xludf.DUMMYFUNCTION("""COMPUTED_VALUE"""),"Elise Doe")</f>
        <v>Elise Doe</v>
      </c>
      <c r="C1490" s="109">
        <f ca="1">IFERROR(__xludf.DUMMYFUNCTION("""COMPUTED_VALUE"""),16)</f>
        <v>16</v>
      </c>
      <c r="D1490" s="109" t="str">
        <f ca="1">IFERROR(__xludf.DUMMYFUNCTION("""COMPUTED_VALUE"""),"G")</f>
        <v>G</v>
      </c>
      <c r="E1490" s="110" t="str">
        <f ca="1">IFERROR(__xludf.DUMMYFUNCTION("""COMPUTED_VALUE"""),"S")</f>
        <v>S</v>
      </c>
      <c r="F1490" s="110" t="str">
        <f ca="1">IFERROR(__xludf.DUMMYFUNCTION("""COMPUTED_VALUE"""),"S")</f>
        <v>S</v>
      </c>
      <c r="G1490" s="110">
        <f ca="1">IFERROR(__xludf.DUMMYFUNCTION("""COMPUTED_VALUE"""),2)</f>
        <v>2</v>
      </c>
      <c r="H1490" s="112" t="str">
        <f ca="1"/>
        <v/>
      </c>
      <c r="I1490" s="81" t="str">
        <f ca="1"/>
        <v/>
      </c>
    </row>
    <row r="1491" spans="1:9" ht="13.2">
      <c r="A1491" s="109" t="str">
        <f ca="1">IFERROR(__xludf.DUMMYFUNCTION("""COMPUTED_VALUE"""),"OAK")</f>
        <v>OAK</v>
      </c>
      <c r="B1491" s="108" t="str">
        <f ca="1">IFERROR(__xludf.DUMMYFUNCTION("""COMPUTED_VALUE"""),"Katie Vaughan")</f>
        <v>Katie Vaughan</v>
      </c>
      <c r="C1491" s="109">
        <f ca="1">IFERROR(__xludf.DUMMYFUNCTION("""COMPUTED_VALUE"""),15)</f>
        <v>15</v>
      </c>
      <c r="D1491" s="109" t="str">
        <f ca="1">IFERROR(__xludf.DUMMYFUNCTION("""COMPUTED_VALUE"""),"G")</f>
        <v>G</v>
      </c>
      <c r="E1491" s="110" t="str">
        <f ca="1">IFERROR(__xludf.DUMMYFUNCTION("""COMPUTED_VALUE"""),"S")</f>
        <v>S</v>
      </c>
      <c r="F1491" s="110" t="str">
        <f ca="1">IFERROR(__xludf.DUMMYFUNCTION("""COMPUTED_VALUE"""),"S")</f>
        <v>S</v>
      </c>
      <c r="G1491" s="110">
        <f ca="1">IFERROR(__xludf.DUMMYFUNCTION("""COMPUTED_VALUE"""),2)</f>
        <v>2</v>
      </c>
      <c r="H1491" s="112" t="str">
        <f ca="1"/>
        <v/>
      </c>
      <c r="I1491" s="81" t="str">
        <f ca="1"/>
        <v/>
      </c>
    </row>
    <row r="1492" spans="1:9" ht="13.2">
      <c r="A1492" s="109" t="str">
        <f ca="1">IFERROR(__xludf.DUMMYFUNCTION("""COMPUTED_VALUE"""),"OAK")</f>
        <v>OAK</v>
      </c>
      <c r="B1492" s="108" t="str">
        <f ca="1">IFERROR(__xludf.DUMMYFUNCTION("""COMPUTED_VALUE"""),"Molly Kenefick")</f>
        <v>Molly Kenefick</v>
      </c>
      <c r="C1492" s="109">
        <f ca="1">IFERROR(__xludf.DUMMYFUNCTION("""COMPUTED_VALUE"""),17)</f>
        <v>17</v>
      </c>
      <c r="D1492" s="109" t="str">
        <f ca="1">IFERROR(__xludf.DUMMYFUNCTION("""COMPUTED_VALUE"""),"G")</f>
        <v>G</v>
      </c>
      <c r="E1492" s="110" t="str">
        <f ca="1">IFERROR(__xludf.DUMMYFUNCTION("""COMPUTED_VALUE"""),"S")</f>
        <v>S</v>
      </c>
      <c r="F1492" s="110" t="str">
        <f ca="1">IFERROR(__xludf.DUMMYFUNCTION("""COMPUTED_VALUE"""),"S")</f>
        <v>S</v>
      </c>
      <c r="G1492" s="110">
        <f ca="1">IFERROR(__xludf.DUMMYFUNCTION("""COMPUTED_VALUE"""),2)</f>
        <v>2</v>
      </c>
      <c r="H1492" s="112" t="str">
        <f ca="1"/>
        <v/>
      </c>
      <c r="I1492" s="81" t="str">
        <f ca="1"/>
        <v/>
      </c>
    </row>
    <row r="1493" spans="1:9" ht="13.2">
      <c r="A1493" s="109" t="str">
        <f ca="1">IFERROR(__xludf.DUMMYFUNCTION("""COMPUTED_VALUE"""),"OAK")</f>
        <v>OAK</v>
      </c>
      <c r="B1493" s="108" t="str">
        <f ca="1">IFERROR(__xludf.DUMMYFUNCTION("""COMPUTED_VALUE"""),"Sophie Whang")</f>
        <v>Sophie Whang</v>
      </c>
      <c r="C1493" s="109">
        <f ca="1">IFERROR(__xludf.DUMMYFUNCTION("""COMPUTED_VALUE"""),16)</f>
        <v>16</v>
      </c>
      <c r="D1493" s="109" t="str">
        <f ca="1">IFERROR(__xludf.DUMMYFUNCTION("""COMPUTED_VALUE"""),"G")</f>
        <v>G</v>
      </c>
      <c r="E1493" s="110" t="str">
        <f ca="1">IFERROR(__xludf.DUMMYFUNCTION("""COMPUTED_VALUE"""),"S")</f>
        <v>S</v>
      </c>
      <c r="F1493" s="110" t="str">
        <f ca="1">IFERROR(__xludf.DUMMYFUNCTION("""COMPUTED_VALUE"""),"S")</f>
        <v>S</v>
      </c>
      <c r="G1493" s="110">
        <f ca="1">IFERROR(__xludf.DUMMYFUNCTION("""COMPUTED_VALUE"""),2)</f>
        <v>2</v>
      </c>
      <c r="H1493" s="112" t="str">
        <f ca="1"/>
        <v/>
      </c>
      <c r="I1493" s="81" t="str">
        <f ca="1"/>
        <v/>
      </c>
    </row>
    <row r="1494" spans="1:9" ht="13.2">
      <c r="A1494" s="109" t="str">
        <f ca="1">IFERROR(__xludf.DUMMYFUNCTION("""COMPUTED_VALUE"""),"OH")</f>
        <v>OH</v>
      </c>
      <c r="B1494" s="108" t="str">
        <f ca="1">IFERROR(__xludf.DUMMYFUNCTION("""COMPUTED_VALUE"""),"Adam Zimmer")</f>
        <v>Adam Zimmer</v>
      </c>
      <c r="C1494" s="109">
        <f ca="1">IFERROR(__xludf.DUMMYFUNCTION("""COMPUTED_VALUE"""),7)</f>
        <v>7</v>
      </c>
      <c r="D1494" s="109" t="str">
        <f ca="1">IFERROR(__xludf.DUMMYFUNCTION("""COMPUTED_VALUE"""),"B")</f>
        <v>B</v>
      </c>
      <c r="E1494" s="110" t="str">
        <f ca="1">IFERROR(__xludf.DUMMYFUNCTION("""COMPUTED_VALUE"""),"F")</f>
        <v>F</v>
      </c>
      <c r="F1494" s="110" t="str">
        <f ca="1">IFERROR(__xludf.DUMMYFUNCTION("""COMPUTED_VALUE"""),"J")</f>
        <v>J</v>
      </c>
      <c r="G1494" s="110">
        <f ca="1">IFERROR(__xludf.DUMMYFUNCTION("""COMPUTED_VALUE"""),6)</f>
        <v>6</v>
      </c>
      <c r="H1494" s="112" t="str">
        <f ca="1"/>
        <v/>
      </c>
      <c r="I1494" s="81" t="str">
        <f ca="1"/>
        <v/>
      </c>
    </row>
    <row r="1495" spans="1:9" ht="13.2">
      <c r="A1495" s="109" t="str">
        <f ca="1">IFERROR(__xludf.DUMMYFUNCTION("""COMPUTED_VALUE"""),"OH")</f>
        <v>OH</v>
      </c>
      <c r="B1495" s="108" t="str">
        <f ca="1">IFERROR(__xludf.DUMMYFUNCTION("""COMPUTED_VALUE"""),"Andrew Barber")</f>
        <v>Andrew Barber</v>
      </c>
      <c r="C1495" s="109">
        <f ca="1">IFERROR(__xludf.DUMMYFUNCTION("""COMPUTED_VALUE"""),10)</f>
        <v>10</v>
      </c>
      <c r="D1495" s="109" t="str">
        <f ca="1">IFERROR(__xludf.DUMMYFUNCTION("""COMPUTED_VALUE"""),"B")</f>
        <v>B</v>
      </c>
      <c r="E1495" s="110" t="str">
        <f ca="1">IFERROR(__xludf.DUMMYFUNCTION("""COMPUTED_VALUE"""),"F")</f>
        <v>F</v>
      </c>
      <c r="F1495" s="110" t="str">
        <f ca="1">IFERROR(__xludf.DUMMYFUNCTION("""COMPUTED_VALUE"""),"J")</f>
        <v>J</v>
      </c>
      <c r="G1495" s="110">
        <f ca="1">IFERROR(__xludf.DUMMYFUNCTION("""COMPUTED_VALUE"""),6)</f>
        <v>6</v>
      </c>
      <c r="H1495" s="112" t="str">
        <f ca="1"/>
        <v/>
      </c>
      <c r="I1495" s="112" t="str">
        <f ca="1"/>
        <v/>
      </c>
    </row>
    <row r="1496" spans="1:9" ht="13.2">
      <c r="A1496" s="109" t="str">
        <f ca="1">IFERROR(__xludf.DUMMYFUNCTION("""COMPUTED_VALUE"""),"OH")</f>
        <v>OH</v>
      </c>
      <c r="B1496" s="108" t="str">
        <f ca="1">IFERROR(__xludf.DUMMYFUNCTION("""COMPUTED_VALUE"""),"Ben Berona")</f>
        <v>Ben Berona</v>
      </c>
      <c r="C1496" s="109">
        <f ca="1">IFERROR(__xludf.DUMMYFUNCTION("""COMPUTED_VALUE"""),8)</f>
        <v>8</v>
      </c>
      <c r="D1496" s="109" t="str">
        <f ca="1">IFERROR(__xludf.DUMMYFUNCTION("""COMPUTED_VALUE"""),"B")</f>
        <v>B</v>
      </c>
      <c r="E1496" s="110" t="str">
        <f ca="1">IFERROR(__xludf.DUMMYFUNCTION("""COMPUTED_VALUE"""),"F")</f>
        <v>F</v>
      </c>
      <c r="F1496" s="110" t="str">
        <f ca="1">IFERROR(__xludf.DUMMYFUNCTION("""COMPUTED_VALUE"""),"J")</f>
        <v>J</v>
      </c>
      <c r="G1496" s="110">
        <f ca="1">IFERROR(__xludf.DUMMYFUNCTION("""COMPUTED_VALUE"""),6)</f>
        <v>6</v>
      </c>
      <c r="H1496" s="112" t="str">
        <f ca="1"/>
        <v/>
      </c>
      <c r="I1496" s="112" t="str">
        <f ca="1"/>
        <v/>
      </c>
    </row>
    <row r="1497" spans="1:9" ht="13.2">
      <c r="A1497" s="109" t="str">
        <f ca="1">IFERROR(__xludf.DUMMYFUNCTION("""COMPUTED_VALUE"""),"OH")</f>
        <v>OH</v>
      </c>
      <c r="B1497" s="108" t="str">
        <f ca="1">IFERROR(__xludf.DUMMYFUNCTION("""COMPUTED_VALUE"""),"Jackson Fournier")</f>
        <v>Jackson Fournier</v>
      </c>
      <c r="C1497" s="109">
        <f ca="1">IFERROR(__xludf.DUMMYFUNCTION("""COMPUTED_VALUE"""),5)</f>
        <v>5</v>
      </c>
      <c r="D1497" s="109" t="str">
        <f ca="1">IFERROR(__xludf.DUMMYFUNCTION("""COMPUTED_VALUE"""),"B")</f>
        <v>B</v>
      </c>
      <c r="E1497" s="110" t="str">
        <f ca="1">IFERROR(__xludf.DUMMYFUNCTION("""COMPUTED_VALUE"""),"F")</f>
        <v>F</v>
      </c>
      <c r="F1497" s="110" t="str">
        <f ca="1">IFERROR(__xludf.DUMMYFUNCTION("""COMPUTED_VALUE"""),"J")</f>
        <v>J</v>
      </c>
      <c r="G1497" s="110">
        <f ca="1">IFERROR(__xludf.DUMMYFUNCTION("""COMPUTED_VALUE"""),6)</f>
        <v>6</v>
      </c>
      <c r="H1497" s="112" t="str">
        <f ca="1"/>
        <v/>
      </c>
      <c r="I1497" s="81" t="str">
        <f ca="1"/>
        <v/>
      </c>
    </row>
    <row r="1498" spans="1:9" ht="13.2">
      <c r="A1498" s="109" t="str">
        <f ca="1">IFERROR(__xludf.DUMMYFUNCTION("""COMPUTED_VALUE"""),"OH")</f>
        <v>OH</v>
      </c>
      <c r="B1498" s="108" t="str">
        <f ca="1">IFERROR(__xludf.DUMMYFUNCTION("""COMPUTED_VALUE"""),"Joshua Berona")</f>
        <v>Joshua Berona</v>
      </c>
      <c r="C1498" s="109">
        <f ca="1">IFERROR(__xludf.DUMMYFUNCTION("""COMPUTED_VALUE"""),9)</f>
        <v>9</v>
      </c>
      <c r="D1498" s="109" t="str">
        <f ca="1">IFERROR(__xludf.DUMMYFUNCTION("""COMPUTED_VALUE"""),"B")</f>
        <v>B</v>
      </c>
      <c r="E1498" s="110" t="str">
        <f ca="1">IFERROR(__xludf.DUMMYFUNCTION("""COMPUTED_VALUE"""),"F")</f>
        <v>F</v>
      </c>
      <c r="F1498" s="110" t="str">
        <f ca="1">IFERROR(__xludf.DUMMYFUNCTION("""COMPUTED_VALUE"""),"J")</f>
        <v>J</v>
      </c>
      <c r="G1498" s="110">
        <f ca="1">IFERROR(__xludf.DUMMYFUNCTION("""COMPUTED_VALUE"""),6)</f>
        <v>6</v>
      </c>
      <c r="H1498" s="112" t="str">
        <f ca="1"/>
        <v/>
      </c>
      <c r="I1498" s="81" t="str">
        <f ca="1"/>
        <v/>
      </c>
    </row>
    <row r="1499" spans="1:9" ht="13.2">
      <c r="A1499" s="109" t="str">
        <f ca="1">IFERROR(__xludf.DUMMYFUNCTION("""COMPUTED_VALUE"""),"OH")</f>
        <v>OH</v>
      </c>
      <c r="B1499" s="108" t="str">
        <f ca="1">IFERROR(__xludf.DUMMYFUNCTION("""COMPUTED_VALUE"""),"Kekoa LumHo")</f>
        <v>Kekoa LumHo</v>
      </c>
      <c r="C1499" s="109">
        <f ca="1">IFERROR(__xludf.DUMMYFUNCTION("""COMPUTED_VALUE"""),10)</f>
        <v>10</v>
      </c>
      <c r="D1499" s="109" t="str">
        <f ca="1">IFERROR(__xludf.DUMMYFUNCTION("""COMPUTED_VALUE"""),"B")</f>
        <v>B</v>
      </c>
      <c r="E1499" s="110" t="str">
        <f ca="1">IFERROR(__xludf.DUMMYFUNCTION("""COMPUTED_VALUE"""),"F")</f>
        <v>F</v>
      </c>
      <c r="F1499" s="110" t="str">
        <f ca="1">IFERROR(__xludf.DUMMYFUNCTION("""COMPUTED_VALUE"""),"J")</f>
        <v>J</v>
      </c>
      <c r="G1499" s="110">
        <f ca="1">IFERROR(__xludf.DUMMYFUNCTION("""COMPUTED_VALUE"""),6)</f>
        <v>6</v>
      </c>
      <c r="H1499" s="112" t="str">
        <f ca="1"/>
        <v/>
      </c>
      <c r="I1499" s="81" t="str">
        <f ca="1"/>
        <v/>
      </c>
    </row>
    <row r="1500" spans="1:9" ht="13.2">
      <c r="A1500" s="109" t="str">
        <f ca="1">IFERROR(__xludf.DUMMYFUNCTION("""COMPUTED_VALUE"""),"OH")</f>
        <v>OH</v>
      </c>
      <c r="B1500" s="108" t="str">
        <f ca="1">IFERROR(__xludf.DUMMYFUNCTION("""COMPUTED_VALUE"""),"Nicholas Riekse")</f>
        <v>Nicholas Riekse</v>
      </c>
      <c r="C1500" s="109">
        <f ca="1">IFERROR(__xludf.DUMMYFUNCTION("""COMPUTED_VALUE"""),8)</f>
        <v>8</v>
      </c>
      <c r="D1500" s="109" t="str">
        <f ca="1">IFERROR(__xludf.DUMMYFUNCTION("""COMPUTED_VALUE"""),"B")</f>
        <v>B</v>
      </c>
      <c r="E1500" s="110" t="str">
        <f ca="1">IFERROR(__xludf.DUMMYFUNCTION("""COMPUTED_VALUE"""),"F")</f>
        <v>F</v>
      </c>
      <c r="F1500" s="110" t="str">
        <f ca="1">IFERROR(__xludf.DUMMYFUNCTION("""COMPUTED_VALUE"""),"J")</f>
        <v>J</v>
      </c>
      <c r="G1500" s="110">
        <f ca="1">IFERROR(__xludf.DUMMYFUNCTION("""COMPUTED_VALUE"""),6)</f>
        <v>6</v>
      </c>
      <c r="H1500" s="112" t="str">
        <f ca="1"/>
        <v/>
      </c>
      <c r="I1500" s="81" t="str">
        <f ca="1"/>
        <v/>
      </c>
    </row>
    <row r="1501" spans="1:9" ht="13.2">
      <c r="A1501" s="109" t="str">
        <f ca="1">IFERROR(__xludf.DUMMYFUNCTION("""COMPUTED_VALUE"""),"OH")</f>
        <v>OH</v>
      </c>
      <c r="B1501" s="108" t="str">
        <f ca="1">IFERROR(__xludf.DUMMYFUNCTION("""COMPUTED_VALUE"""),"Ryan Fournier")</f>
        <v>Ryan Fournier</v>
      </c>
      <c r="C1501" s="109">
        <f ca="1">IFERROR(__xludf.DUMMYFUNCTION("""COMPUTED_VALUE"""),8)</f>
        <v>8</v>
      </c>
      <c r="D1501" s="109" t="str">
        <f ca="1">IFERROR(__xludf.DUMMYFUNCTION("""COMPUTED_VALUE"""),"B")</f>
        <v>B</v>
      </c>
      <c r="E1501" s="110" t="str">
        <f ca="1">IFERROR(__xludf.DUMMYFUNCTION("""COMPUTED_VALUE"""),"F")</f>
        <v>F</v>
      </c>
      <c r="F1501" s="110" t="str">
        <f ca="1">IFERROR(__xludf.DUMMYFUNCTION("""COMPUTED_VALUE"""),"J")</f>
        <v>J</v>
      </c>
      <c r="G1501" s="110">
        <f ca="1">IFERROR(__xludf.DUMMYFUNCTION("""COMPUTED_VALUE"""),6)</f>
        <v>6</v>
      </c>
      <c r="H1501" s="112" t="str">
        <f ca="1"/>
        <v/>
      </c>
      <c r="I1501" s="81" t="str">
        <f ca="1"/>
        <v/>
      </c>
    </row>
    <row r="1502" spans="1:9" ht="13.2">
      <c r="A1502" s="109" t="str">
        <f ca="1">IFERROR(__xludf.DUMMYFUNCTION("""COMPUTED_VALUE"""),"OH")</f>
        <v>OH</v>
      </c>
      <c r="B1502" s="108" t="str">
        <f ca="1">IFERROR(__xludf.DUMMYFUNCTION("""COMPUTED_VALUE"""),"Trenton Smith")</f>
        <v>Trenton Smith</v>
      </c>
      <c r="C1502" s="109">
        <f ca="1">IFERROR(__xludf.DUMMYFUNCTION("""COMPUTED_VALUE"""),7)</f>
        <v>7</v>
      </c>
      <c r="D1502" s="109" t="str">
        <f ca="1">IFERROR(__xludf.DUMMYFUNCTION("""COMPUTED_VALUE"""),"B")</f>
        <v>B</v>
      </c>
      <c r="E1502" s="110" t="str">
        <f ca="1">IFERROR(__xludf.DUMMYFUNCTION("""COMPUTED_VALUE"""),"F")</f>
        <v>F</v>
      </c>
      <c r="F1502" s="110" t="str">
        <f ca="1">IFERROR(__xludf.DUMMYFUNCTION("""COMPUTED_VALUE"""),"J")</f>
        <v>J</v>
      </c>
      <c r="G1502" s="110">
        <f ca="1">IFERROR(__xludf.DUMMYFUNCTION("""COMPUTED_VALUE"""),6)</f>
        <v>6</v>
      </c>
      <c r="H1502" s="112" t="str">
        <f ca="1"/>
        <v/>
      </c>
      <c r="I1502" s="81" t="str">
        <f ca="1"/>
        <v/>
      </c>
    </row>
    <row r="1503" spans="1:9" ht="13.2">
      <c r="A1503" s="109" t="str">
        <f ca="1">IFERROR(__xludf.DUMMYFUNCTION("""COMPUTED_VALUE"""),"OH")</f>
        <v>OH</v>
      </c>
      <c r="B1503" s="108" t="str">
        <f ca="1">IFERROR(__xludf.DUMMYFUNCTION("""COMPUTED_VALUE"""),"Will Dickinson")</f>
        <v>Will Dickinson</v>
      </c>
      <c r="C1503" s="109">
        <f ca="1">IFERROR(__xludf.DUMMYFUNCTION("""COMPUTED_VALUE"""),6)</f>
        <v>6</v>
      </c>
      <c r="D1503" s="109" t="str">
        <f ca="1">IFERROR(__xludf.DUMMYFUNCTION("""COMPUTED_VALUE"""),"B")</f>
        <v>B</v>
      </c>
      <c r="E1503" s="110" t="str">
        <f ca="1">IFERROR(__xludf.DUMMYFUNCTION("""COMPUTED_VALUE"""),"F")</f>
        <v>F</v>
      </c>
      <c r="F1503" s="110" t="str">
        <f ca="1">IFERROR(__xludf.DUMMYFUNCTION("""COMPUTED_VALUE"""),"J")</f>
        <v>J</v>
      </c>
      <c r="G1503" s="110">
        <f ca="1">IFERROR(__xludf.DUMMYFUNCTION("""COMPUTED_VALUE"""),6)</f>
        <v>6</v>
      </c>
      <c r="H1503" s="112" t="str">
        <f ca="1"/>
        <v/>
      </c>
      <c r="I1503" s="81" t="str">
        <f ca="1"/>
        <v/>
      </c>
    </row>
    <row r="1504" spans="1:9" ht="13.2">
      <c r="A1504" s="109" t="str">
        <f ca="1">IFERROR(__xludf.DUMMYFUNCTION("""COMPUTED_VALUE"""),"OH")</f>
        <v>OH</v>
      </c>
      <c r="B1504" s="108" t="str">
        <f ca="1">IFERROR(__xludf.DUMMYFUNCTION("""COMPUTED_VALUE"""),"Zack Stickel")</f>
        <v>Zack Stickel</v>
      </c>
      <c r="C1504" s="109">
        <f ca="1">IFERROR(__xludf.DUMMYFUNCTION("""COMPUTED_VALUE"""),7)</f>
        <v>7</v>
      </c>
      <c r="D1504" s="109" t="str">
        <f ca="1">IFERROR(__xludf.DUMMYFUNCTION("""COMPUTED_VALUE"""),"B")</f>
        <v>B</v>
      </c>
      <c r="E1504" s="110" t="str">
        <f ca="1">IFERROR(__xludf.DUMMYFUNCTION("""COMPUTED_VALUE"""),"F")</f>
        <v>F</v>
      </c>
      <c r="F1504" s="110" t="str">
        <f ca="1">IFERROR(__xludf.DUMMYFUNCTION("""COMPUTED_VALUE"""),"J")</f>
        <v>J</v>
      </c>
      <c r="G1504" s="110">
        <f ca="1">IFERROR(__xludf.DUMMYFUNCTION("""COMPUTED_VALUE"""),6)</f>
        <v>6</v>
      </c>
      <c r="H1504" s="112" t="str">
        <f ca="1"/>
        <v/>
      </c>
      <c r="I1504" s="112" t="str">
        <f ca="1"/>
        <v/>
      </c>
    </row>
    <row r="1505" spans="1:9" ht="13.2">
      <c r="A1505" s="109" t="str">
        <f ca="1">IFERROR(__xludf.DUMMYFUNCTION("""COMPUTED_VALUE"""),"OH")</f>
        <v>OH</v>
      </c>
      <c r="B1505" s="108" t="str">
        <f ca="1">IFERROR(__xludf.DUMMYFUNCTION("""COMPUTED_VALUE"""),"Eima Riekse")</f>
        <v>Eima Riekse</v>
      </c>
      <c r="C1505" s="109">
        <f ca="1">IFERROR(__xludf.DUMMYFUNCTION("""COMPUTED_VALUE"""),10)</f>
        <v>10</v>
      </c>
      <c r="D1505" s="109" t="str">
        <f ca="1">IFERROR(__xludf.DUMMYFUNCTION("""COMPUTED_VALUE"""),"G")</f>
        <v>G</v>
      </c>
      <c r="E1505" s="110" t="str">
        <f ca="1">IFERROR(__xludf.DUMMYFUNCTION("""COMPUTED_VALUE"""),"F")</f>
        <v>F</v>
      </c>
      <c r="F1505" s="110" t="str">
        <f ca="1">IFERROR(__xludf.DUMMYFUNCTION("""COMPUTED_VALUE"""),"J")</f>
        <v>J</v>
      </c>
      <c r="G1505" s="110">
        <f ca="1">IFERROR(__xludf.DUMMYFUNCTION("""COMPUTED_VALUE"""),6)</f>
        <v>6</v>
      </c>
      <c r="H1505" s="112" t="str">
        <f ca="1"/>
        <v/>
      </c>
      <c r="I1505" s="81" t="str">
        <f ca="1"/>
        <v/>
      </c>
    </row>
    <row r="1506" spans="1:9" ht="13.2">
      <c r="A1506" s="109" t="str">
        <f ca="1">IFERROR(__xludf.DUMMYFUNCTION("""COMPUTED_VALUE"""),"OH")</f>
        <v>OH</v>
      </c>
      <c r="B1506" s="108" t="str">
        <f ca="1">IFERROR(__xludf.DUMMYFUNCTION("""COMPUTED_VALUE"""),"Gabby Heredia")</f>
        <v>Gabby Heredia</v>
      </c>
      <c r="C1506" s="109">
        <f ca="1">IFERROR(__xludf.DUMMYFUNCTION("""COMPUTED_VALUE"""),8)</f>
        <v>8</v>
      </c>
      <c r="D1506" s="109" t="str">
        <f ca="1">IFERROR(__xludf.DUMMYFUNCTION("""COMPUTED_VALUE"""),"G")</f>
        <v>G</v>
      </c>
      <c r="E1506" s="110" t="str">
        <f ca="1">IFERROR(__xludf.DUMMYFUNCTION("""COMPUTED_VALUE"""),"F")</f>
        <v>F</v>
      </c>
      <c r="F1506" s="110" t="str">
        <f ca="1">IFERROR(__xludf.DUMMYFUNCTION("""COMPUTED_VALUE"""),"J")</f>
        <v>J</v>
      </c>
      <c r="G1506" s="110">
        <f ca="1">IFERROR(__xludf.DUMMYFUNCTION("""COMPUTED_VALUE"""),6)</f>
        <v>6</v>
      </c>
      <c r="H1506" s="112" t="str">
        <f ca="1"/>
        <v/>
      </c>
      <c r="I1506" s="81" t="str">
        <f ca="1"/>
        <v/>
      </c>
    </row>
    <row r="1507" spans="1:9" ht="13.2">
      <c r="A1507" s="109" t="str">
        <f ca="1">IFERROR(__xludf.DUMMYFUNCTION("""COMPUTED_VALUE"""),"OH")</f>
        <v>OH</v>
      </c>
      <c r="B1507" s="108" t="str">
        <f ca="1">IFERROR(__xludf.DUMMYFUNCTION("""COMPUTED_VALUE"""),"Kiera Carpenter")</f>
        <v>Kiera Carpenter</v>
      </c>
      <c r="C1507" s="109">
        <f ca="1">IFERROR(__xludf.DUMMYFUNCTION("""COMPUTED_VALUE"""),7)</f>
        <v>7</v>
      </c>
      <c r="D1507" s="109" t="str">
        <f ca="1">IFERROR(__xludf.DUMMYFUNCTION("""COMPUTED_VALUE"""),"G")</f>
        <v>G</v>
      </c>
      <c r="E1507" s="110" t="str">
        <f ca="1">IFERROR(__xludf.DUMMYFUNCTION("""COMPUTED_VALUE"""),"F")</f>
        <v>F</v>
      </c>
      <c r="F1507" s="110" t="str">
        <f ca="1">IFERROR(__xludf.DUMMYFUNCTION("""COMPUTED_VALUE"""),"J")</f>
        <v>J</v>
      </c>
      <c r="G1507" s="110">
        <f ca="1">IFERROR(__xludf.DUMMYFUNCTION("""COMPUTED_VALUE"""),6)</f>
        <v>6</v>
      </c>
      <c r="H1507" s="112" t="str">
        <f ca="1"/>
        <v/>
      </c>
      <c r="I1507" s="112" t="str">
        <f ca="1"/>
        <v/>
      </c>
    </row>
    <row r="1508" spans="1:9" ht="13.2">
      <c r="A1508" s="109" t="str">
        <f ca="1">IFERROR(__xludf.DUMMYFUNCTION("""COMPUTED_VALUE"""),"OH")</f>
        <v>OH</v>
      </c>
      <c r="B1508" s="108" t="str">
        <f ca="1">IFERROR(__xludf.DUMMYFUNCTION("""COMPUTED_VALUE"""),"Kyra Drobnis")</f>
        <v>Kyra Drobnis</v>
      </c>
      <c r="C1508" s="109">
        <f ca="1">IFERROR(__xludf.DUMMYFUNCTION("""COMPUTED_VALUE"""),8)</f>
        <v>8</v>
      </c>
      <c r="D1508" s="109" t="str">
        <f ca="1">IFERROR(__xludf.DUMMYFUNCTION("""COMPUTED_VALUE"""),"G")</f>
        <v>G</v>
      </c>
      <c r="E1508" s="110" t="str">
        <f ca="1">IFERROR(__xludf.DUMMYFUNCTION("""COMPUTED_VALUE"""),"F")</f>
        <v>F</v>
      </c>
      <c r="F1508" s="110" t="str">
        <f ca="1">IFERROR(__xludf.DUMMYFUNCTION("""COMPUTED_VALUE"""),"J")</f>
        <v>J</v>
      </c>
      <c r="G1508" s="110">
        <f ca="1">IFERROR(__xludf.DUMMYFUNCTION("""COMPUTED_VALUE"""),6)</f>
        <v>6</v>
      </c>
      <c r="H1508" s="112" t="str">
        <f ca="1"/>
        <v/>
      </c>
      <c r="I1508" s="81" t="str">
        <f ca="1"/>
        <v/>
      </c>
    </row>
    <row r="1509" spans="1:9" ht="13.2">
      <c r="A1509" s="109" t="str">
        <f ca="1">IFERROR(__xludf.DUMMYFUNCTION("""COMPUTED_VALUE"""),"OH")</f>
        <v>OH</v>
      </c>
      <c r="B1509" s="108" t="str">
        <f ca="1">IFERROR(__xludf.DUMMYFUNCTION("""COMPUTED_VALUE"""),"Roxie Griffith")</f>
        <v>Roxie Griffith</v>
      </c>
      <c r="C1509" s="109">
        <f ca="1">IFERROR(__xludf.DUMMYFUNCTION("""COMPUTED_VALUE"""),10)</f>
        <v>10</v>
      </c>
      <c r="D1509" s="109" t="str">
        <f ca="1">IFERROR(__xludf.DUMMYFUNCTION("""COMPUTED_VALUE"""),"G")</f>
        <v>G</v>
      </c>
      <c r="E1509" s="110" t="str">
        <f ca="1">IFERROR(__xludf.DUMMYFUNCTION("""COMPUTED_VALUE"""),"F")</f>
        <v>F</v>
      </c>
      <c r="F1509" s="110" t="str">
        <f ca="1">IFERROR(__xludf.DUMMYFUNCTION("""COMPUTED_VALUE"""),"J")</f>
        <v>J</v>
      </c>
      <c r="G1509" s="110">
        <f ca="1">IFERROR(__xludf.DUMMYFUNCTION("""COMPUTED_VALUE"""),6)</f>
        <v>6</v>
      </c>
      <c r="H1509" s="112" t="str">
        <f ca="1"/>
        <v/>
      </c>
      <c r="I1509" s="81" t="str">
        <f ca="1"/>
        <v/>
      </c>
    </row>
    <row r="1510" spans="1:9" ht="13.2">
      <c r="A1510" s="109" t="str">
        <f ca="1">IFERROR(__xludf.DUMMYFUNCTION("""COMPUTED_VALUE"""),"OH")</f>
        <v>OH</v>
      </c>
      <c r="B1510" s="108" t="str">
        <f ca="1">IFERROR(__xludf.DUMMYFUNCTION("""COMPUTED_VALUE"""),"Samantha Berona")</f>
        <v>Samantha Berona</v>
      </c>
      <c r="C1510" s="109">
        <f ca="1">IFERROR(__xludf.DUMMYFUNCTION("""COMPUTED_VALUE"""),6)</f>
        <v>6</v>
      </c>
      <c r="D1510" s="109" t="str">
        <f ca="1">IFERROR(__xludf.DUMMYFUNCTION("""COMPUTED_VALUE"""),"G")</f>
        <v>G</v>
      </c>
      <c r="E1510" s="110" t="str">
        <f ca="1">IFERROR(__xludf.DUMMYFUNCTION("""COMPUTED_VALUE"""),"F")</f>
        <v>F</v>
      </c>
      <c r="F1510" s="110" t="str">
        <f ca="1">IFERROR(__xludf.DUMMYFUNCTION("""COMPUTED_VALUE"""),"J")</f>
        <v>J</v>
      </c>
      <c r="G1510" s="110">
        <f ca="1">IFERROR(__xludf.DUMMYFUNCTION("""COMPUTED_VALUE"""),6)</f>
        <v>6</v>
      </c>
      <c r="H1510" s="112" t="str">
        <f ca="1"/>
        <v/>
      </c>
      <c r="I1510" s="112" t="str">
        <f ca="1"/>
        <v/>
      </c>
    </row>
    <row r="1511" spans="1:9" ht="13.2">
      <c r="A1511" s="109" t="str">
        <f ca="1">IFERROR(__xludf.DUMMYFUNCTION("""COMPUTED_VALUE"""),"OH")</f>
        <v>OH</v>
      </c>
      <c r="B1511" s="108" t="str">
        <f ca="1">IFERROR(__xludf.DUMMYFUNCTION("""COMPUTED_VALUE"""),"Sarcha Bain")</f>
        <v>Sarcha Bain</v>
      </c>
      <c r="C1511" s="109">
        <f ca="1">IFERROR(__xludf.DUMMYFUNCTION("""COMPUTED_VALUE"""),7)</f>
        <v>7</v>
      </c>
      <c r="D1511" s="109" t="str">
        <f ca="1">IFERROR(__xludf.DUMMYFUNCTION("""COMPUTED_VALUE"""),"G")</f>
        <v>G</v>
      </c>
      <c r="E1511" s="110" t="str">
        <f ca="1">IFERROR(__xludf.DUMMYFUNCTION("""COMPUTED_VALUE"""),"F")</f>
        <v>F</v>
      </c>
      <c r="F1511" s="110" t="str">
        <f ca="1">IFERROR(__xludf.DUMMYFUNCTION("""COMPUTED_VALUE"""),"J")</f>
        <v>J</v>
      </c>
      <c r="G1511" s="110">
        <f ca="1">IFERROR(__xludf.DUMMYFUNCTION("""COMPUTED_VALUE"""),6)</f>
        <v>6</v>
      </c>
      <c r="H1511" s="112" t="str">
        <f ca="1"/>
        <v/>
      </c>
      <c r="I1511" s="81" t="str">
        <f ca="1"/>
        <v/>
      </c>
    </row>
    <row r="1512" spans="1:9" ht="13.2">
      <c r="A1512" s="109" t="str">
        <f ca="1">IFERROR(__xludf.DUMMYFUNCTION("""COMPUTED_VALUE"""),"OH")</f>
        <v>OH</v>
      </c>
      <c r="B1512" s="108" t="str">
        <f ca="1">IFERROR(__xludf.DUMMYFUNCTION("""COMPUTED_VALUE"""),"Tinsley Schneider")</f>
        <v>Tinsley Schneider</v>
      </c>
      <c r="C1512" s="109">
        <f ca="1">IFERROR(__xludf.DUMMYFUNCTION("""COMPUTED_VALUE"""),7)</f>
        <v>7</v>
      </c>
      <c r="D1512" s="109" t="str">
        <f ca="1">IFERROR(__xludf.DUMMYFUNCTION("""COMPUTED_VALUE"""),"G")</f>
        <v>G</v>
      </c>
      <c r="E1512" s="110" t="str">
        <f ca="1">IFERROR(__xludf.DUMMYFUNCTION("""COMPUTED_VALUE"""),"F")</f>
        <v>F</v>
      </c>
      <c r="F1512" s="110" t="str">
        <f ca="1">IFERROR(__xludf.DUMMYFUNCTION("""COMPUTED_VALUE"""),"J")</f>
        <v>J</v>
      </c>
      <c r="G1512" s="110">
        <f ca="1">IFERROR(__xludf.DUMMYFUNCTION("""COMPUTED_VALUE"""),6)</f>
        <v>6</v>
      </c>
      <c r="H1512" s="112" t="str">
        <f ca="1"/>
        <v/>
      </c>
      <c r="I1512" s="112" t="str">
        <f ca="1"/>
        <v/>
      </c>
    </row>
    <row r="1513" spans="1:9" ht="13.2">
      <c r="A1513" s="109" t="str">
        <f ca="1">IFERROR(__xludf.DUMMYFUNCTION("""COMPUTED_VALUE"""),"OH")</f>
        <v>OH</v>
      </c>
      <c r="B1513" s="108" t="str">
        <f ca="1">IFERROR(__xludf.DUMMYFUNCTION("""COMPUTED_VALUE"""),"Grant McClure")</f>
        <v>Grant McClure</v>
      </c>
      <c r="C1513" s="109">
        <f ca="1">IFERROR(__xludf.DUMMYFUNCTION("""COMPUTED_VALUE"""),13)</f>
        <v>13</v>
      </c>
      <c r="D1513" s="109" t="str">
        <f ca="1">IFERROR(__xludf.DUMMYFUNCTION("""COMPUTED_VALUE"""),"B")</f>
        <v>B</v>
      </c>
      <c r="E1513" s="110" t="str">
        <f ca="1">IFERROR(__xludf.DUMMYFUNCTION("""COMPUTED_VALUE"""),"I")</f>
        <v>I</v>
      </c>
      <c r="F1513" s="110" t="str">
        <f ca="1">IFERROR(__xludf.DUMMYFUNCTION("""COMPUTED_VALUE"""),"S")</f>
        <v>S</v>
      </c>
      <c r="G1513" s="110">
        <f ca="1">IFERROR(__xludf.DUMMYFUNCTION("""COMPUTED_VALUE"""),6)</f>
        <v>6</v>
      </c>
      <c r="H1513" s="112" t="str">
        <f ca="1"/>
        <v/>
      </c>
      <c r="I1513" s="112" t="str">
        <f ca="1"/>
        <v/>
      </c>
    </row>
    <row r="1514" spans="1:9" ht="13.2">
      <c r="A1514" s="109" t="str">
        <f ca="1">IFERROR(__xludf.DUMMYFUNCTION("""COMPUTED_VALUE"""),"OH")</f>
        <v>OH</v>
      </c>
      <c r="B1514" s="108" t="str">
        <f ca="1">IFERROR(__xludf.DUMMYFUNCTION("""COMPUTED_VALUE"""),"Danie Wolfe")</f>
        <v>Danie Wolfe</v>
      </c>
      <c r="C1514" s="109">
        <f ca="1">IFERROR(__xludf.DUMMYFUNCTION("""COMPUTED_VALUE"""),13)</f>
        <v>13</v>
      </c>
      <c r="D1514" s="109" t="str">
        <f ca="1">IFERROR(__xludf.DUMMYFUNCTION("""COMPUTED_VALUE"""),"G")</f>
        <v>G</v>
      </c>
      <c r="E1514" s="110" t="str">
        <f ca="1">IFERROR(__xludf.DUMMYFUNCTION("""COMPUTED_VALUE"""),"I")</f>
        <v>I</v>
      </c>
      <c r="F1514" s="110" t="str">
        <f ca="1">IFERROR(__xludf.DUMMYFUNCTION("""COMPUTED_VALUE"""),"S")</f>
        <v>S</v>
      </c>
      <c r="G1514" s="110">
        <f ca="1">IFERROR(__xludf.DUMMYFUNCTION("""COMPUTED_VALUE"""),6)</f>
        <v>6</v>
      </c>
      <c r="H1514" s="112" t="str">
        <f ca="1"/>
        <v/>
      </c>
      <c r="I1514" s="112" t="str">
        <f ca="1"/>
        <v/>
      </c>
    </row>
    <row r="1515" spans="1:9" ht="13.2">
      <c r="A1515" s="109" t="str">
        <f ca="1">IFERROR(__xludf.DUMMYFUNCTION("""COMPUTED_VALUE"""),"OH")</f>
        <v>OH</v>
      </c>
      <c r="B1515" s="108" t="str">
        <f ca="1">IFERROR(__xludf.DUMMYFUNCTION("""COMPUTED_VALUE"""),"Kotryna Bujokas")</f>
        <v>Kotryna Bujokas</v>
      </c>
      <c r="C1515" s="109">
        <f ca="1">IFERROR(__xludf.DUMMYFUNCTION("""COMPUTED_VALUE"""),13)</f>
        <v>13</v>
      </c>
      <c r="D1515" s="109" t="str">
        <f ca="1">IFERROR(__xludf.DUMMYFUNCTION("""COMPUTED_VALUE"""),"G")</f>
        <v>G</v>
      </c>
      <c r="E1515" s="110" t="str">
        <f ca="1">IFERROR(__xludf.DUMMYFUNCTION("""COMPUTED_VALUE"""),"I")</f>
        <v>I</v>
      </c>
      <c r="F1515" s="110" t="str">
        <f ca="1">IFERROR(__xludf.DUMMYFUNCTION("""COMPUTED_VALUE"""),"S")</f>
        <v>S</v>
      </c>
      <c r="G1515" s="110">
        <f ca="1">IFERROR(__xludf.DUMMYFUNCTION("""COMPUTED_VALUE"""),6)</f>
        <v>6</v>
      </c>
      <c r="H1515" s="112" t="str">
        <f ca="1"/>
        <v/>
      </c>
      <c r="I1515" s="81" t="str">
        <f ca="1"/>
        <v/>
      </c>
    </row>
    <row r="1516" spans="1:9" ht="13.2">
      <c r="A1516" s="109" t="str">
        <f ca="1">IFERROR(__xludf.DUMMYFUNCTION("""COMPUTED_VALUE"""),"OH")</f>
        <v>OH</v>
      </c>
      <c r="B1516" s="108" t="str">
        <f ca="1">IFERROR(__xludf.DUMMYFUNCTION("""COMPUTED_VALUE"""),"Zumi Riekse")</f>
        <v>Zumi Riekse</v>
      </c>
      <c r="C1516" s="109">
        <f ca="1">IFERROR(__xludf.DUMMYFUNCTION("""COMPUTED_VALUE"""),14)</f>
        <v>14</v>
      </c>
      <c r="D1516" s="109" t="str">
        <f ca="1">IFERROR(__xludf.DUMMYFUNCTION("""COMPUTED_VALUE"""),"G")</f>
        <v>G</v>
      </c>
      <c r="E1516" s="110" t="str">
        <f ca="1">IFERROR(__xludf.DUMMYFUNCTION("""COMPUTED_VALUE"""),"I")</f>
        <v>I</v>
      </c>
      <c r="F1516" s="110" t="str">
        <f ca="1">IFERROR(__xludf.DUMMYFUNCTION("""COMPUTED_VALUE"""),"S")</f>
        <v>S</v>
      </c>
      <c r="G1516" s="110">
        <f ca="1">IFERROR(__xludf.DUMMYFUNCTION("""COMPUTED_VALUE"""),6)</f>
        <v>6</v>
      </c>
      <c r="H1516" s="112" t="str">
        <f ca="1"/>
        <v/>
      </c>
      <c r="I1516" s="81" t="str">
        <f ca="1"/>
        <v/>
      </c>
    </row>
    <row r="1517" spans="1:9" ht="13.2">
      <c r="A1517" s="109" t="str">
        <f ca="1">IFERROR(__xludf.DUMMYFUNCTION("""COMPUTED_VALUE"""),"OH")</f>
        <v>OH</v>
      </c>
      <c r="B1517" s="108" t="str">
        <f ca="1">IFERROR(__xludf.DUMMYFUNCTION("""COMPUTED_VALUE"""),"Caleb Urias")</f>
        <v>Caleb Urias</v>
      </c>
      <c r="C1517" s="109">
        <f ca="1">IFERROR(__xludf.DUMMYFUNCTION("""COMPUTED_VALUE"""),11)</f>
        <v>11</v>
      </c>
      <c r="D1517" s="109" t="str">
        <f ca="1">IFERROR(__xludf.DUMMYFUNCTION("""COMPUTED_VALUE"""),"B")</f>
        <v>B</v>
      </c>
      <c r="E1517" s="110" t="str">
        <f ca="1">IFERROR(__xludf.DUMMYFUNCTION("""COMPUTED_VALUE"""),"J")</f>
        <v>J</v>
      </c>
      <c r="F1517" s="110" t="str">
        <f ca="1">IFERROR(__xludf.DUMMYFUNCTION("""COMPUTED_VALUE"""),"I")</f>
        <v>I</v>
      </c>
      <c r="G1517" s="110">
        <f ca="1">IFERROR(__xludf.DUMMYFUNCTION("""COMPUTED_VALUE"""),6)</f>
        <v>6</v>
      </c>
      <c r="H1517" s="112" t="str">
        <f ca="1"/>
        <v/>
      </c>
      <c r="I1517" s="112" t="str">
        <f ca="1"/>
        <v/>
      </c>
    </row>
    <row r="1518" spans="1:9" ht="13.2">
      <c r="A1518" s="109" t="str">
        <f ca="1">IFERROR(__xludf.DUMMYFUNCTION("""COMPUTED_VALUE"""),"OH")</f>
        <v>OH</v>
      </c>
      <c r="B1518" s="108" t="str">
        <f ca="1">IFERROR(__xludf.DUMMYFUNCTION("""COMPUTED_VALUE"""),"Casper Bing")</f>
        <v>Casper Bing</v>
      </c>
      <c r="C1518" s="109">
        <f ca="1">IFERROR(__xludf.DUMMYFUNCTION("""COMPUTED_VALUE"""),12)</f>
        <v>12</v>
      </c>
      <c r="D1518" s="109" t="str">
        <f ca="1">IFERROR(__xludf.DUMMYFUNCTION("""COMPUTED_VALUE"""),"B")</f>
        <v>B</v>
      </c>
      <c r="E1518" s="110" t="str">
        <f ca="1">IFERROR(__xludf.DUMMYFUNCTION("""COMPUTED_VALUE"""),"J")</f>
        <v>J</v>
      </c>
      <c r="F1518" s="110" t="str">
        <f ca="1">IFERROR(__xludf.DUMMYFUNCTION("""COMPUTED_VALUE"""),"I")</f>
        <v>I</v>
      </c>
      <c r="G1518" s="110">
        <f ca="1">IFERROR(__xludf.DUMMYFUNCTION("""COMPUTED_VALUE"""),6)</f>
        <v>6</v>
      </c>
      <c r="H1518" s="112" t="str">
        <f ca="1"/>
        <v/>
      </c>
      <c r="I1518" s="112" t="str">
        <f ca="1"/>
        <v/>
      </c>
    </row>
    <row r="1519" spans="1:9" ht="13.2">
      <c r="A1519" s="109" t="str">
        <f ca="1">IFERROR(__xludf.DUMMYFUNCTION("""COMPUTED_VALUE"""),"OH")</f>
        <v>OH</v>
      </c>
      <c r="B1519" s="108" t="str">
        <f ca="1">IFERROR(__xludf.DUMMYFUNCTION("""COMPUTED_VALUE"""),"Jayden Perry")</f>
        <v>Jayden Perry</v>
      </c>
      <c r="C1519" s="109">
        <f ca="1">IFERROR(__xludf.DUMMYFUNCTION("""COMPUTED_VALUE"""),12)</f>
        <v>12</v>
      </c>
      <c r="D1519" s="109" t="str">
        <f ca="1">IFERROR(__xludf.DUMMYFUNCTION("""COMPUTED_VALUE"""),"B")</f>
        <v>B</v>
      </c>
      <c r="E1519" s="110" t="str">
        <f ca="1">IFERROR(__xludf.DUMMYFUNCTION("""COMPUTED_VALUE"""),"J")</f>
        <v>J</v>
      </c>
      <c r="F1519" s="110" t="str">
        <f ca="1">IFERROR(__xludf.DUMMYFUNCTION("""COMPUTED_VALUE"""),"I")</f>
        <v>I</v>
      </c>
      <c r="G1519" s="110">
        <f ca="1">IFERROR(__xludf.DUMMYFUNCTION("""COMPUTED_VALUE"""),6)</f>
        <v>6</v>
      </c>
      <c r="H1519" s="112" t="str">
        <f ca="1"/>
        <v/>
      </c>
      <c r="I1519" s="112" t="str">
        <f ca="1"/>
        <v/>
      </c>
    </row>
    <row r="1520" spans="1:9" ht="13.2">
      <c r="A1520" s="109" t="str">
        <f ca="1">IFERROR(__xludf.DUMMYFUNCTION("""COMPUTED_VALUE"""),"OH")</f>
        <v>OH</v>
      </c>
      <c r="B1520" s="108" t="str">
        <f ca="1">IFERROR(__xludf.DUMMYFUNCTION("""COMPUTED_VALUE"""),"Luke Stickel")</f>
        <v>Luke Stickel</v>
      </c>
      <c r="C1520" s="109">
        <f ca="1">IFERROR(__xludf.DUMMYFUNCTION("""COMPUTED_VALUE"""),11)</f>
        <v>11</v>
      </c>
      <c r="D1520" s="109" t="str">
        <f ca="1">IFERROR(__xludf.DUMMYFUNCTION("""COMPUTED_VALUE"""),"B")</f>
        <v>B</v>
      </c>
      <c r="E1520" s="110" t="str">
        <f ca="1">IFERROR(__xludf.DUMMYFUNCTION("""COMPUTED_VALUE"""),"J")</f>
        <v>J</v>
      </c>
      <c r="F1520" s="110" t="str">
        <f ca="1">IFERROR(__xludf.DUMMYFUNCTION("""COMPUTED_VALUE"""),"I")</f>
        <v>I</v>
      </c>
      <c r="G1520" s="110">
        <f ca="1">IFERROR(__xludf.DUMMYFUNCTION("""COMPUTED_VALUE"""),6)</f>
        <v>6</v>
      </c>
      <c r="H1520" s="112" t="str">
        <f ca="1"/>
        <v/>
      </c>
      <c r="I1520" s="112" t="str">
        <f ca="1"/>
        <v/>
      </c>
    </row>
    <row r="1521" spans="1:9" ht="13.2">
      <c r="A1521" s="109" t="str">
        <f ca="1">IFERROR(__xludf.DUMMYFUNCTION("""COMPUTED_VALUE"""),"OH")</f>
        <v>OH</v>
      </c>
      <c r="B1521" s="108" t="str">
        <f ca="1">IFERROR(__xludf.DUMMYFUNCTION("""COMPUTED_VALUE"""),"Michael Neville")</f>
        <v>Michael Neville</v>
      </c>
      <c r="C1521" s="109">
        <f ca="1">IFERROR(__xludf.DUMMYFUNCTION("""COMPUTED_VALUE"""),12)</f>
        <v>12</v>
      </c>
      <c r="D1521" s="109" t="str">
        <f ca="1">IFERROR(__xludf.DUMMYFUNCTION("""COMPUTED_VALUE"""),"B")</f>
        <v>B</v>
      </c>
      <c r="E1521" s="110" t="str">
        <f ca="1">IFERROR(__xludf.DUMMYFUNCTION("""COMPUTED_VALUE"""),"J")</f>
        <v>J</v>
      </c>
      <c r="F1521" s="110" t="str">
        <f ca="1">IFERROR(__xludf.DUMMYFUNCTION("""COMPUTED_VALUE"""),"I")</f>
        <v>I</v>
      </c>
      <c r="G1521" s="110">
        <f ca="1">IFERROR(__xludf.DUMMYFUNCTION("""COMPUTED_VALUE"""),6)</f>
        <v>6</v>
      </c>
      <c r="H1521" s="112" t="str">
        <f ca="1"/>
        <v/>
      </c>
      <c r="I1521" s="112" t="str">
        <f ca="1"/>
        <v/>
      </c>
    </row>
    <row r="1522" spans="1:9" ht="13.2">
      <c r="A1522" s="109" t="str">
        <f ca="1">IFERROR(__xludf.DUMMYFUNCTION("""COMPUTED_VALUE"""),"OH")</f>
        <v>OH</v>
      </c>
      <c r="B1522" s="108" t="str">
        <f ca="1">IFERROR(__xludf.DUMMYFUNCTION("""COMPUTED_VALUE"""),"Bethany Telleria")</f>
        <v>Bethany Telleria</v>
      </c>
      <c r="C1522" s="109">
        <f ca="1">IFERROR(__xludf.DUMMYFUNCTION("""COMPUTED_VALUE"""),12)</f>
        <v>12</v>
      </c>
      <c r="D1522" s="109" t="str">
        <f ca="1">IFERROR(__xludf.DUMMYFUNCTION("""COMPUTED_VALUE"""),"G")</f>
        <v>G</v>
      </c>
      <c r="E1522" s="110" t="str">
        <f ca="1">IFERROR(__xludf.DUMMYFUNCTION("""COMPUTED_VALUE"""),"J")</f>
        <v>J</v>
      </c>
      <c r="F1522" s="110" t="str">
        <f ca="1">IFERROR(__xludf.DUMMYFUNCTION("""COMPUTED_VALUE"""),"I")</f>
        <v>I</v>
      </c>
      <c r="G1522" s="110">
        <f ca="1">IFERROR(__xludf.DUMMYFUNCTION("""COMPUTED_VALUE"""),6)</f>
        <v>6</v>
      </c>
      <c r="H1522" s="112" t="str">
        <f ca="1"/>
        <v/>
      </c>
      <c r="I1522" s="81" t="str">
        <f ca="1"/>
        <v/>
      </c>
    </row>
    <row r="1523" spans="1:9" ht="13.2">
      <c r="A1523" s="109" t="str">
        <f ca="1">IFERROR(__xludf.DUMMYFUNCTION("""COMPUTED_VALUE"""),"OH")</f>
        <v>OH</v>
      </c>
      <c r="B1523" s="108" t="str">
        <f ca="1">IFERROR(__xludf.DUMMYFUNCTION("""COMPUTED_VALUE"""),"Brianna Land Riekse")</f>
        <v>Brianna Land Riekse</v>
      </c>
      <c r="C1523" s="109">
        <f ca="1">IFERROR(__xludf.DUMMYFUNCTION("""COMPUTED_VALUE"""),11)</f>
        <v>11</v>
      </c>
      <c r="D1523" s="109" t="str">
        <f ca="1">IFERROR(__xludf.DUMMYFUNCTION("""COMPUTED_VALUE"""),"G")</f>
        <v>G</v>
      </c>
      <c r="E1523" s="110" t="str">
        <f ca="1">IFERROR(__xludf.DUMMYFUNCTION("""COMPUTED_VALUE"""),"J")</f>
        <v>J</v>
      </c>
      <c r="F1523" s="110" t="str">
        <f ca="1">IFERROR(__xludf.DUMMYFUNCTION("""COMPUTED_VALUE"""),"I")</f>
        <v>I</v>
      </c>
      <c r="G1523" s="110">
        <f ca="1">IFERROR(__xludf.DUMMYFUNCTION("""COMPUTED_VALUE"""),6)</f>
        <v>6</v>
      </c>
      <c r="H1523" s="112" t="str">
        <f ca="1"/>
        <v/>
      </c>
      <c r="I1523" s="112" t="str">
        <f ca="1"/>
        <v/>
      </c>
    </row>
    <row r="1524" spans="1:9" ht="13.2">
      <c r="A1524" s="109" t="str">
        <f ca="1">IFERROR(__xludf.DUMMYFUNCTION("""COMPUTED_VALUE"""),"OH")</f>
        <v>OH</v>
      </c>
      <c r="B1524" s="108" t="str">
        <f ca="1">IFERROR(__xludf.DUMMYFUNCTION("""COMPUTED_VALUE"""),"Lucy Barber")</f>
        <v>Lucy Barber</v>
      </c>
      <c r="C1524" s="109">
        <f ca="1">IFERROR(__xludf.DUMMYFUNCTION("""COMPUTED_VALUE"""),12)</f>
        <v>12</v>
      </c>
      <c r="D1524" s="109" t="str">
        <f ca="1">IFERROR(__xludf.DUMMYFUNCTION("""COMPUTED_VALUE"""),"G")</f>
        <v>G</v>
      </c>
      <c r="E1524" s="110" t="str">
        <f ca="1">IFERROR(__xludf.DUMMYFUNCTION("""COMPUTED_VALUE"""),"J")</f>
        <v>J</v>
      </c>
      <c r="F1524" s="110" t="str">
        <f ca="1">IFERROR(__xludf.DUMMYFUNCTION("""COMPUTED_VALUE"""),"I")</f>
        <v>I</v>
      </c>
      <c r="G1524" s="110">
        <f ca="1">IFERROR(__xludf.DUMMYFUNCTION("""COMPUTED_VALUE"""),6)</f>
        <v>6</v>
      </c>
      <c r="H1524" s="112" t="str">
        <f ca="1"/>
        <v/>
      </c>
      <c r="I1524" s="112" t="str">
        <f ca="1"/>
        <v/>
      </c>
    </row>
    <row r="1525" spans="1:9" ht="13.2">
      <c r="A1525" s="109" t="str">
        <f ca="1">IFERROR(__xludf.DUMMYFUNCTION("""COMPUTED_VALUE"""),"OH")</f>
        <v>OH</v>
      </c>
      <c r="B1525" s="108" t="str">
        <f ca="1">IFERROR(__xludf.DUMMYFUNCTION("""COMPUTED_VALUE"""),"Rebecca Drobnis")</f>
        <v>Rebecca Drobnis</v>
      </c>
      <c r="C1525" s="109">
        <f ca="1">IFERROR(__xludf.DUMMYFUNCTION("""COMPUTED_VALUE"""),11)</f>
        <v>11</v>
      </c>
      <c r="D1525" s="109" t="str">
        <f ca="1">IFERROR(__xludf.DUMMYFUNCTION("""COMPUTED_VALUE"""),"G")</f>
        <v>G</v>
      </c>
      <c r="E1525" s="110" t="str">
        <f ca="1">IFERROR(__xludf.DUMMYFUNCTION("""COMPUTED_VALUE"""),"J")</f>
        <v>J</v>
      </c>
      <c r="F1525" s="110" t="str">
        <f ca="1">IFERROR(__xludf.DUMMYFUNCTION("""COMPUTED_VALUE"""),"I")</f>
        <v>I</v>
      </c>
      <c r="G1525" s="110">
        <f ca="1">IFERROR(__xludf.DUMMYFUNCTION("""COMPUTED_VALUE"""),6)</f>
        <v>6</v>
      </c>
      <c r="H1525" s="112" t="str">
        <f ca="1"/>
        <v/>
      </c>
      <c r="I1525" s="81" t="str">
        <f ca="1"/>
        <v/>
      </c>
    </row>
    <row r="1526" spans="1:9" ht="13.2">
      <c r="A1526" s="109" t="str">
        <f ca="1">IFERROR(__xludf.DUMMYFUNCTION("""COMPUTED_VALUE"""),"OH")</f>
        <v>OH</v>
      </c>
      <c r="B1526" s="108" t="str">
        <f ca="1">IFERROR(__xludf.DUMMYFUNCTION("""COMPUTED_VALUE"""),"Maggie Toth")</f>
        <v>Maggie Toth</v>
      </c>
      <c r="C1526" s="109">
        <f ca="1">IFERROR(__xludf.DUMMYFUNCTION("""COMPUTED_VALUE"""),18)</f>
        <v>18</v>
      </c>
      <c r="D1526" s="109" t="str">
        <f ca="1">IFERROR(__xludf.DUMMYFUNCTION("""COMPUTED_VALUE"""),"G")</f>
        <v>G</v>
      </c>
      <c r="E1526" s="110" t="str">
        <f ca="1">IFERROR(__xludf.DUMMYFUNCTION("""COMPUTED_VALUE"""),"S")</f>
        <v>S</v>
      </c>
      <c r="F1526" s="110" t="str">
        <f ca="1">IFERROR(__xludf.DUMMYFUNCTION("""COMPUTED_VALUE"""),"S")</f>
        <v>S</v>
      </c>
      <c r="G1526" s="110">
        <f ca="1">IFERROR(__xludf.DUMMYFUNCTION("""COMPUTED_VALUE"""),6)</f>
        <v>6</v>
      </c>
      <c r="H1526" s="112" t="str">
        <f ca="1"/>
        <v/>
      </c>
      <c r="I1526" s="81" t="str">
        <f ca="1"/>
        <v/>
      </c>
    </row>
    <row r="1527" spans="1:9" ht="13.2">
      <c r="A1527" s="109" t="str">
        <f ca="1">IFERROR(__xludf.DUMMYFUNCTION("""COMPUTED_VALUE"""),"OKM")</f>
        <v>OKM</v>
      </c>
      <c r="B1527" s="108" t="str">
        <f ca="1">IFERROR(__xludf.DUMMYFUNCTION("""COMPUTED_VALUE"""),"Brian Stegmaier")</f>
        <v>Brian Stegmaier</v>
      </c>
      <c r="C1527" s="109">
        <f ca="1">IFERROR(__xludf.DUMMYFUNCTION("""COMPUTED_VALUE"""),7)</f>
        <v>7</v>
      </c>
      <c r="D1527" s="109" t="str">
        <f ca="1">IFERROR(__xludf.DUMMYFUNCTION("""COMPUTED_VALUE"""),"B")</f>
        <v>B</v>
      </c>
      <c r="E1527" s="110" t="str">
        <f ca="1">IFERROR(__xludf.DUMMYFUNCTION("""COMPUTED_VALUE"""),"F")</f>
        <v>F</v>
      </c>
      <c r="F1527" s="110" t="str">
        <f ca="1">IFERROR(__xludf.DUMMYFUNCTION("""COMPUTED_VALUE"""),"J")</f>
        <v>J</v>
      </c>
      <c r="G1527" s="110">
        <f ca="1">IFERROR(__xludf.DUMMYFUNCTION("""COMPUTED_VALUE"""),1)</f>
        <v>1</v>
      </c>
      <c r="H1527" s="112" t="str">
        <f ca="1"/>
        <v/>
      </c>
      <c r="I1527" s="81" t="str">
        <f ca="1"/>
        <v/>
      </c>
    </row>
    <row r="1528" spans="1:9" ht="13.2">
      <c r="A1528" s="109" t="str">
        <f ca="1">IFERROR(__xludf.DUMMYFUNCTION("""COMPUTED_VALUE"""),"OKM")</f>
        <v>OKM</v>
      </c>
      <c r="B1528" s="108" t="str">
        <f ca="1">IFERROR(__xludf.DUMMYFUNCTION("""COMPUTED_VALUE"""),"Charles Rubino")</f>
        <v>Charles Rubino</v>
      </c>
      <c r="C1528" s="109">
        <f ca="1">IFERROR(__xludf.DUMMYFUNCTION("""COMPUTED_VALUE"""),10)</f>
        <v>10</v>
      </c>
      <c r="D1528" s="109" t="str">
        <f ca="1">IFERROR(__xludf.DUMMYFUNCTION("""COMPUTED_VALUE"""),"B")</f>
        <v>B</v>
      </c>
      <c r="E1528" s="110" t="str">
        <f ca="1">IFERROR(__xludf.DUMMYFUNCTION("""COMPUTED_VALUE"""),"F")</f>
        <v>F</v>
      </c>
      <c r="F1528" s="110" t="str">
        <f ca="1">IFERROR(__xludf.DUMMYFUNCTION("""COMPUTED_VALUE"""),"J")</f>
        <v>J</v>
      </c>
      <c r="G1528" s="110">
        <f ca="1">IFERROR(__xludf.DUMMYFUNCTION("""COMPUTED_VALUE"""),1)</f>
        <v>1</v>
      </c>
      <c r="H1528" s="112" t="str">
        <f ca="1"/>
        <v/>
      </c>
      <c r="I1528" s="112" t="str">
        <f ca="1"/>
        <v/>
      </c>
    </row>
    <row r="1529" spans="1:9" ht="13.2">
      <c r="A1529" s="109" t="str">
        <f ca="1">IFERROR(__xludf.DUMMYFUNCTION("""COMPUTED_VALUE"""),"OKM")</f>
        <v>OKM</v>
      </c>
      <c r="B1529" s="108" t="str">
        <f ca="1">IFERROR(__xludf.DUMMYFUNCTION("""COMPUTED_VALUE"""),"Jake Conquez")</f>
        <v>Jake Conquez</v>
      </c>
      <c r="C1529" s="109">
        <f ca="1">IFERROR(__xludf.DUMMYFUNCTION("""COMPUTED_VALUE"""),7)</f>
        <v>7</v>
      </c>
      <c r="D1529" s="109" t="str">
        <f ca="1">IFERROR(__xludf.DUMMYFUNCTION("""COMPUTED_VALUE"""),"B")</f>
        <v>B</v>
      </c>
      <c r="E1529" s="110" t="str">
        <f ca="1">IFERROR(__xludf.DUMMYFUNCTION("""COMPUTED_VALUE"""),"F")</f>
        <v>F</v>
      </c>
      <c r="F1529" s="110" t="str">
        <f ca="1">IFERROR(__xludf.DUMMYFUNCTION("""COMPUTED_VALUE"""),"J")</f>
        <v>J</v>
      </c>
      <c r="G1529" s="110">
        <f ca="1">IFERROR(__xludf.DUMMYFUNCTION("""COMPUTED_VALUE"""),1)</f>
        <v>1</v>
      </c>
      <c r="H1529" s="112" t="str">
        <f ca="1"/>
        <v/>
      </c>
      <c r="I1529" s="112" t="str">
        <f ca="1"/>
        <v/>
      </c>
    </row>
    <row r="1530" spans="1:9" ht="13.2">
      <c r="A1530" s="109" t="str">
        <f ca="1">IFERROR(__xludf.DUMMYFUNCTION("""COMPUTED_VALUE"""),"OKM")</f>
        <v>OKM</v>
      </c>
      <c r="B1530" s="108" t="str">
        <f ca="1">IFERROR(__xludf.DUMMYFUNCTION("""COMPUTED_VALUE"""),"Luke Nobles")</f>
        <v>Luke Nobles</v>
      </c>
      <c r="C1530" s="109">
        <f ca="1">IFERROR(__xludf.DUMMYFUNCTION("""COMPUTED_VALUE"""),10)</f>
        <v>10</v>
      </c>
      <c r="D1530" s="109" t="str">
        <f ca="1">IFERROR(__xludf.DUMMYFUNCTION("""COMPUTED_VALUE"""),"B")</f>
        <v>B</v>
      </c>
      <c r="E1530" s="110" t="str">
        <f ca="1">IFERROR(__xludf.DUMMYFUNCTION("""COMPUTED_VALUE"""),"F")</f>
        <v>F</v>
      </c>
      <c r="F1530" s="110" t="str">
        <f ca="1">IFERROR(__xludf.DUMMYFUNCTION("""COMPUTED_VALUE"""),"J")</f>
        <v>J</v>
      </c>
      <c r="G1530" s="110">
        <f ca="1">IFERROR(__xludf.DUMMYFUNCTION("""COMPUTED_VALUE"""),1)</f>
        <v>1</v>
      </c>
      <c r="H1530" s="112" t="str">
        <f ca="1"/>
        <v>48.1</v>
      </c>
      <c r="I1530" s="81">
        <f ca="1"/>
        <v>48.1</v>
      </c>
    </row>
    <row r="1531" spans="1:9" ht="13.2">
      <c r="A1531" s="109" t="str">
        <f ca="1">IFERROR(__xludf.DUMMYFUNCTION("""COMPUTED_VALUE"""),"OKM")</f>
        <v>OKM</v>
      </c>
      <c r="B1531" s="108" t="str">
        <f ca="1">IFERROR(__xludf.DUMMYFUNCTION("""COMPUTED_VALUE"""),"Matthew Hughes")</f>
        <v>Matthew Hughes</v>
      </c>
      <c r="C1531" s="109">
        <f ca="1">IFERROR(__xludf.DUMMYFUNCTION("""COMPUTED_VALUE"""),9)</f>
        <v>9</v>
      </c>
      <c r="D1531" s="109" t="str">
        <f ca="1">IFERROR(__xludf.DUMMYFUNCTION("""COMPUTED_VALUE"""),"B")</f>
        <v>B</v>
      </c>
      <c r="E1531" s="110" t="str">
        <f ca="1">IFERROR(__xludf.DUMMYFUNCTION("""COMPUTED_VALUE"""),"F")</f>
        <v>F</v>
      </c>
      <c r="F1531" s="110" t="str">
        <f ca="1">IFERROR(__xludf.DUMMYFUNCTION("""COMPUTED_VALUE"""),"J")</f>
        <v>J</v>
      </c>
      <c r="G1531" s="110">
        <f ca="1">IFERROR(__xludf.DUMMYFUNCTION("""COMPUTED_VALUE"""),1)</f>
        <v>1</v>
      </c>
      <c r="H1531" s="112" t="str">
        <f ca="1"/>
        <v>43.25</v>
      </c>
      <c r="I1531" s="81">
        <f ca="1"/>
        <v>43.25</v>
      </c>
    </row>
    <row r="1532" spans="1:9" ht="13.2">
      <c r="A1532" s="109" t="str">
        <f ca="1">IFERROR(__xludf.DUMMYFUNCTION("""COMPUTED_VALUE"""),"OKM")</f>
        <v>OKM</v>
      </c>
      <c r="B1532" s="108" t="str">
        <f ca="1">IFERROR(__xludf.DUMMYFUNCTION("""COMPUTED_VALUE"""),"Treyton Green")</f>
        <v>Treyton Green</v>
      </c>
      <c r="C1532" s="109">
        <f ca="1">IFERROR(__xludf.DUMMYFUNCTION("""COMPUTED_VALUE"""),9)</f>
        <v>9</v>
      </c>
      <c r="D1532" s="109" t="str">
        <f ca="1">IFERROR(__xludf.DUMMYFUNCTION("""COMPUTED_VALUE"""),"B")</f>
        <v>B</v>
      </c>
      <c r="E1532" s="110" t="str">
        <f ca="1">IFERROR(__xludf.DUMMYFUNCTION("""COMPUTED_VALUE"""),"F")</f>
        <v>F</v>
      </c>
      <c r="F1532" s="110" t="str">
        <f ca="1">IFERROR(__xludf.DUMMYFUNCTION("""COMPUTED_VALUE"""),"J")</f>
        <v>J</v>
      </c>
      <c r="G1532" s="110">
        <f ca="1">IFERROR(__xludf.DUMMYFUNCTION("""COMPUTED_VALUE"""),1)</f>
        <v>1</v>
      </c>
      <c r="H1532" s="112" t="str">
        <f ca="1"/>
        <v/>
      </c>
      <c r="I1532" s="81" t="str">
        <f ca="1"/>
        <v/>
      </c>
    </row>
    <row r="1533" spans="1:9" ht="13.2">
      <c r="A1533" s="109" t="str">
        <f ca="1">IFERROR(__xludf.DUMMYFUNCTION("""COMPUTED_VALUE"""),"OKM")</f>
        <v>OKM</v>
      </c>
      <c r="B1533" s="108" t="str">
        <f ca="1">IFERROR(__xludf.DUMMYFUNCTION("""COMPUTED_VALUE"""),"Ada Goehring")</f>
        <v>Ada Goehring</v>
      </c>
      <c r="C1533" s="109">
        <f ca="1">IFERROR(__xludf.DUMMYFUNCTION("""COMPUTED_VALUE"""),7)</f>
        <v>7</v>
      </c>
      <c r="D1533" s="109" t="str">
        <f ca="1">IFERROR(__xludf.DUMMYFUNCTION("""COMPUTED_VALUE"""),"G")</f>
        <v>G</v>
      </c>
      <c r="E1533" s="110" t="str">
        <f ca="1">IFERROR(__xludf.DUMMYFUNCTION("""COMPUTED_VALUE"""),"F")</f>
        <v>F</v>
      </c>
      <c r="F1533" s="110" t="str">
        <f ca="1">IFERROR(__xludf.DUMMYFUNCTION("""COMPUTED_VALUE"""),"J")</f>
        <v>J</v>
      </c>
      <c r="G1533" s="110">
        <f ca="1">IFERROR(__xludf.DUMMYFUNCTION("""COMPUTED_VALUE"""),1)</f>
        <v>1</v>
      </c>
      <c r="H1533" s="112" t="str">
        <f ca="1"/>
        <v/>
      </c>
      <c r="I1533" s="81" t="str">
        <f ca="1"/>
        <v/>
      </c>
    </row>
    <row r="1534" spans="1:9" ht="13.2">
      <c r="A1534" s="109" t="str">
        <f ca="1">IFERROR(__xludf.DUMMYFUNCTION("""COMPUTED_VALUE"""),"OKM")</f>
        <v>OKM</v>
      </c>
      <c r="B1534" s="108" t="str">
        <f ca="1">IFERROR(__xludf.DUMMYFUNCTION("""COMPUTED_VALUE"""),"Alex Shrieves")</f>
        <v>Alex Shrieves</v>
      </c>
      <c r="C1534" s="109">
        <f ca="1">IFERROR(__xludf.DUMMYFUNCTION("""COMPUTED_VALUE"""),6)</f>
        <v>6</v>
      </c>
      <c r="D1534" s="109" t="str">
        <f ca="1">IFERROR(__xludf.DUMMYFUNCTION("""COMPUTED_VALUE"""),"G")</f>
        <v>G</v>
      </c>
      <c r="E1534" s="110" t="str">
        <f ca="1">IFERROR(__xludf.DUMMYFUNCTION("""COMPUTED_VALUE"""),"F")</f>
        <v>F</v>
      </c>
      <c r="F1534" s="110" t="str">
        <f ca="1">IFERROR(__xludf.DUMMYFUNCTION("""COMPUTED_VALUE"""),"J")</f>
        <v>J</v>
      </c>
      <c r="G1534" s="110">
        <f ca="1">IFERROR(__xludf.DUMMYFUNCTION("""COMPUTED_VALUE"""),1)</f>
        <v>1</v>
      </c>
      <c r="H1534" s="112" t="str">
        <f ca="1"/>
        <v/>
      </c>
      <c r="I1534" s="81" t="str">
        <f ca="1"/>
        <v/>
      </c>
    </row>
    <row r="1535" spans="1:9" ht="13.2">
      <c r="A1535" s="109" t="str">
        <f ca="1">IFERROR(__xludf.DUMMYFUNCTION("""COMPUTED_VALUE"""),"OKM")</f>
        <v>OKM</v>
      </c>
      <c r="B1535" s="108" t="str">
        <f ca="1">IFERROR(__xludf.DUMMYFUNCTION("""COMPUTED_VALUE"""),"Anya Osterhout")</f>
        <v>Anya Osterhout</v>
      </c>
      <c r="C1535" s="109">
        <f ca="1">IFERROR(__xludf.DUMMYFUNCTION("""COMPUTED_VALUE"""),10)</f>
        <v>10</v>
      </c>
      <c r="D1535" s="109" t="str">
        <f ca="1">IFERROR(__xludf.DUMMYFUNCTION("""COMPUTED_VALUE"""),"G")</f>
        <v>G</v>
      </c>
      <c r="E1535" s="110" t="str">
        <f ca="1">IFERROR(__xludf.DUMMYFUNCTION("""COMPUTED_VALUE"""),"F")</f>
        <v>F</v>
      </c>
      <c r="F1535" s="110" t="str">
        <f ca="1">IFERROR(__xludf.DUMMYFUNCTION("""COMPUTED_VALUE"""),"J")</f>
        <v>J</v>
      </c>
      <c r="G1535" s="110">
        <f ca="1">IFERROR(__xludf.DUMMYFUNCTION("""COMPUTED_VALUE"""),1)</f>
        <v>1</v>
      </c>
      <c r="H1535" s="112" t="str">
        <f ca="1"/>
        <v/>
      </c>
      <c r="I1535" s="112" t="str">
        <f ca="1"/>
        <v/>
      </c>
    </row>
    <row r="1536" spans="1:9" ht="13.2">
      <c r="A1536" s="109" t="str">
        <f ca="1">IFERROR(__xludf.DUMMYFUNCTION("""COMPUTED_VALUE"""),"OKM")</f>
        <v>OKM</v>
      </c>
      <c r="B1536" s="108" t="str">
        <f ca="1">IFERROR(__xludf.DUMMYFUNCTION("""COMPUTED_VALUE"""),"Emma Mallis")</f>
        <v>Emma Mallis</v>
      </c>
      <c r="C1536" s="109">
        <f ca="1">IFERROR(__xludf.DUMMYFUNCTION("""COMPUTED_VALUE"""),9)</f>
        <v>9</v>
      </c>
      <c r="D1536" s="109" t="str">
        <f ca="1">IFERROR(__xludf.DUMMYFUNCTION("""COMPUTED_VALUE"""),"G")</f>
        <v>G</v>
      </c>
      <c r="E1536" s="110" t="str">
        <f ca="1">IFERROR(__xludf.DUMMYFUNCTION("""COMPUTED_VALUE"""),"F")</f>
        <v>F</v>
      </c>
      <c r="F1536" s="110" t="str">
        <f ca="1">IFERROR(__xludf.DUMMYFUNCTION("""COMPUTED_VALUE"""),"J")</f>
        <v>J</v>
      </c>
      <c r="G1536" s="110">
        <f ca="1">IFERROR(__xludf.DUMMYFUNCTION("""COMPUTED_VALUE"""),1)</f>
        <v>1</v>
      </c>
      <c r="H1536" s="112" t="str">
        <f ca="1"/>
        <v/>
      </c>
      <c r="I1536" s="112" t="str">
        <f ca="1"/>
        <v/>
      </c>
    </row>
    <row r="1537" spans="1:9" ht="13.2">
      <c r="A1537" s="109" t="str">
        <f ca="1">IFERROR(__xludf.DUMMYFUNCTION("""COMPUTED_VALUE"""),"OKM")</f>
        <v>OKM</v>
      </c>
      <c r="B1537" s="108" t="str">
        <f ca="1">IFERROR(__xludf.DUMMYFUNCTION("""COMPUTED_VALUE"""),"Grace Goehring")</f>
        <v>Grace Goehring</v>
      </c>
      <c r="C1537" s="109">
        <f ca="1">IFERROR(__xludf.DUMMYFUNCTION("""COMPUTED_VALUE"""),10)</f>
        <v>10</v>
      </c>
      <c r="D1537" s="109" t="str">
        <f ca="1">IFERROR(__xludf.DUMMYFUNCTION("""COMPUTED_VALUE"""),"G")</f>
        <v>G</v>
      </c>
      <c r="E1537" s="110" t="str">
        <f ca="1">IFERROR(__xludf.DUMMYFUNCTION("""COMPUTED_VALUE"""),"F")</f>
        <v>F</v>
      </c>
      <c r="F1537" s="110" t="str">
        <f ca="1">IFERROR(__xludf.DUMMYFUNCTION("""COMPUTED_VALUE"""),"J")</f>
        <v>J</v>
      </c>
      <c r="G1537" s="110">
        <f ca="1">IFERROR(__xludf.DUMMYFUNCTION("""COMPUTED_VALUE"""),1)</f>
        <v>1</v>
      </c>
      <c r="H1537" s="112" t="str">
        <f ca="1"/>
        <v/>
      </c>
      <c r="I1537" s="112" t="str">
        <f ca="1"/>
        <v/>
      </c>
    </row>
    <row r="1538" spans="1:9" ht="13.2">
      <c r="A1538" s="109" t="str">
        <f ca="1">IFERROR(__xludf.DUMMYFUNCTION("""COMPUTED_VALUE"""),"OKM")</f>
        <v>OKM</v>
      </c>
      <c r="B1538" s="108" t="str">
        <f ca="1">IFERROR(__xludf.DUMMYFUNCTION("""COMPUTED_VALUE"""),"Hannah Neumann")</f>
        <v>Hannah Neumann</v>
      </c>
      <c r="C1538" s="109">
        <f ca="1">IFERROR(__xludf.DUMMYFUNCTION("""COMPUTED_VALUE"""),8)</f>
        <v>8</v>
      </c>
      <c r="D1538" s="109" t="str">
        <f ca="1">IFERROR(__xludf.DUMMYFUNCTION("""COMPUTED_VALUE"""),"G")</f>
        <v>G</v>
      </c>
      <c r="E1538" s="110" t="str">
        <f ca="1">IFERROR(__xludf.DUMMYFUNCTION("""COMPUTED_VALUE"""),"F")</f>
        <v>F</v>
      </c>
      <c r="F1538" s="110" t="str">
        <f ca="1">IFERROR(__xludf.DUMMYFUNCTION("""COMPUTED_VALUE"""),"J")</f>
        <v>J</v>
      </c>
      <c r="G1538" s="110">
        <f ca="1">IFERROR(__xludf.DUMMYFUNCTION("""COMPUTED_VALUE"""),1)</f>
        <v>1</v>
      </c>
      <c r="H1538" s="112" t="str">
        <f ca="1"/>
        <v/>
      </c>
      <c r="I1538" s="112" t="str">
        <f ca="1"/>
        <v/>
      </c>
    </row>
    <row r="1539" spans="1:9" ht="13.2">
      <c r="A1539" s="109" t="str">
        <f ca="1">IFERROR(__xludf.DUMMYFUNCTION("""COMPUTED_VALUE"""),"OKM")</f>
        <v>OKM</v>
      </c>
      <c r="B1539" s="108" t="str">
        <f ca="1">IFERROR(__xludf.DUMMYFUNCTION("""COMPUTED_VALUE"""),"Juliette Baldesi")</f>
        <v>Juliette Baldesi</v>
      </c>
      <c r="C1539" s="109">
        <f ca="1">IFERROR(__xludf.DUMMYFUNCTION("""COMPUTED_VALUE"""),7)</f>
        <v>7</v>
      </c>
      <c r="D1539" s="109" t="str">
        <f ca="1">IFERROR(__xludf.DUMMYFUNCTION("""COMPUTED_VALUE"""),"G")</f>
        <v>G</v>
      </c>
      <c r="E1539" s="110" t="str">
        <f ca="1">IFERROR(__xludf.DUMMYFUNCTION("""COMPUTED_VALUE"""),"F")</f>
        <v>F</v>
      </c>
      <c r="F1539" s="110" t="str">
        <f ca="1">IFERROR(__xludf.DUMMYFUNCTION("""COMPUTED_VALUE"""),"J")</f>
        <v>J</v>
      </c>
      <c r="G1539" s="110">
        <f ca="1">IFERROR(__xludf.DUMMYFUNCTION("""COMPUTED_VALUE"""),1)</f>
        <v>1</v>
      </c>
      <c r="H1539" s="112" t="str">
        <f ca="1"/>
        <v>21</v>
      </c>
      <c r="I1539" s="81">
        <f ca="1"/>
        <v>21</v>
      </c>
    </row>
    <row r="1540" spans="1:9" ht="13.2">
      <c r="A1540" s="109" t="str">
        <f ca="1">IFERROR(__xludf.DUMMYFUNCTION("""COMPUTED_VALUE"""),"OKM")</f>
        <v>OKM</v>
      </c>
      <c r="B1540" s="108" t="str">
        <f ca="1">IFERROR(__xludf.DUMMYFUNCTION("""COMPUTED_VALUE"""),"Maddie Speed")</f>
        <v>Maddie Speed</v>
      </c>
      <c r="C1540" s="109">
        <f ca="1">IFERROR(__xludf.DUMMYFUNCTION("""COMPUTED_VALUE"""),10)</f>
        <v>10</v>
      </c>
      <c r="D1540" s="109" t="str">
        <f ca="1">IFERROR(__xludf.DUMMYFUNCTION("""COMPUTED_VALUE"""),"G")</f>
        <v>G</v>
      </c>
      <c r="E1540" s="110" t="str">
        <f ca="1">IFERROR(__xludf.DUMMYFUNCTION("""COMPUTED_VALUE"""),"F")</f>
        <v>F</v>
      </c>
      <c r="F1540" s="110" t="str">
        <f ca="1">IFERROR(__xludf.DUMMYFUNCTION("""COMPUTED_VALUE"""),"J")</f>
        <v>J</v>
      </c>
      <c r="G1540" s="110">
        <f ca="1">IFERROR(__xludf.DUMMYFUNCTION("""COMPUTED_VALUE"""),1)</f>
        <v>1</v>
      </c>
      <c r="H1540" s="112" t="str">
        <f ca="1"/>
        <v/>
      </c>
      <c r="I1540" s="112" t="str">
        <f ca="1"/>
        <v/>
      </c>
    </row>
    <row r="1541" spans="1:9" ht="13.2">
      <c r="A1541" s="109" t="str">
        <f ca="1">IFERROR(__xludf.DUMMYFUNCTION("""COMPUTED_VALUE"""),"OKM")</f>
        <v>OKM</v>
      </c>
      <c r="B1541" s="108" t="str">
        <f ca="1">IFERROR(__xludf.DUMMYFUNCTION("""COMPUTED_VALUE"""),"Rosie Tritten")</f>
        <v>Rosie Tritten</v>
      </c>
      <c r="C1541" s="109">
        <f ca="1">IFERROR(__xludf.DUMMYFUNCTION("""COMPUTED_VALUE"""),10)</f>
        <v>10</v>
      </c>
      <c r="D1541" s="109" t="str">
        <f ca="1">IFERROR(__xludf.DUMMYFUNCTION("""COMPUTED_VALUE"""),"G")</f>
        <v>G</v>
      </c>
      <c r="E1541" s="110" t="str">
        <f ca="1">IFERROR(__xludf.DUMMYFUNCTION("""COMPUTED_VALUE"""),"F")</f>
        <v>F</v>
      </c>
      <c r="F1541" s="110" t="str">
        <f ca="1">IFERROR(__xludf.DUMMYFUNCTION("""COMPUTED_VALUE"""),"J")</f>
        <v>J</v>
      </c>
      <c r="G1541" s="110">
        <f ca="1">IFERROR(__xludf.DUMMYFUNCTION("""COMPUTED_VALUE"""),1)</f>
        <v>1</v>
      </c>
      <c r="H1541" s="112" t="str">
        <f ca="1"/>
        <v>41.35</v>
      </c>
      <c r="I1541" s="81">
        <f ca="1"/>
        <v>41.35</v>
      </c>
    </row>
    <row r="1542" spans="1:9" ht="13.2">
      <c r="A1542" s="109" t="str">
        <f ca="1">IFERROR(__xludf.DUMMYFUNCTION("""COMPUTED_VALUE"""),"OKM")</f>
        <v>OKM</v>
      </c>
      <c r="B1542" s="108" t="str">
        <f ca="1">IFERROR(__xludf.DUMMYFUNCTION("""COMPUTED_VALUE"""),"Samantha Kluger")</f>
        <v>Samantha Kluger</v>
      </c>
      <c r="C1542" s="109">
        <f ca="1">IFERROR(__xludf.DUMMYFUNCTION("""COMPUTED_VALUE"""),10)</f>
        <v>10</v>
      </c>
      <c r="D1542" s="109" t="str">
        <f ca="1">IFERROR(__xludf.DUMMYFUNCTION("""COMPUTED_VALUE"""),"G")</f>
        <v>G</v>
      </c>
      <c r="E1542" s="110" t="str">
        <f ca="1">IFERROR(__xludf.DUMMYFUNCTION("""COMPUTED_VALUE"""),"F")</f>
        <v>F</v>
      </c>
      <c r="F1542" s="110" t="str">
        <f ca="1">IFERROR(__xludf.DUMMYFUNCTION("""COMPUTED_VALUE"""),"J")</f>
        <v>J</v>
      </c>
      <c r="G1542" s="110">
        <f ca="1">IFERROR(__xludf.DUMMYFUNCTION("""COMPUTED_VALUE"""),1)</f>
        <v>1</v>
      </c>
      <c r="H1542" s="112" t="str">
        <f ca="1"/>
        <v/>
      </c>
      <c r="I1542" s="81" t="str">
        <f ca="1"/>
        <v/>
      </c>
    </row>
    <row r="1543" spans="1:9" ht="13.2">
      <c r="A1543" s="109" t="str">
        <f ca="1">IFERROR(__xludf.DUMMYFUNCTION("""COMPUTED_VALUE"""),"OKM")</f>
        <v>OKM</v>
      </c>
      <c r="B1543" s="108" t="str">
        <f ca="1">IFERROR(__xludf.DUMMYFUNCTION("""COMPUTED_VALUE"""),"Shannon Stegmaier")</f>
        <v>Shannon Stegmaier</v>
      </c>
      <c r="C1543" s="109">
        <f ca="1">IFERROR(__xludf.DUMMYFUNCTION("""COMPUTED_VALUE"""),10)</f>
        <v>10</v>
      </c>
      <c r="D1543" s="109" t="str">
        <f ca="1">IFERROR(__xludf.DUMMYFUNCTION("""COMPUTED_VALUE"""),"G")</f>
        <v>G</v>
      </c>
      <c r="E1543" s="110" t="str">
        <f ca="1">IFERROR(__xludf.DUMMYFUNCTION("""COMPUTED_VALUE"""),"F")</f>
        <v>F</v>
      </c>
      <c r="F1543" s="110" t="str">
        <f ca="1">IFERROR(__xludf.DUMMYFUNCTION("""COMPUTED_VALUE"""),"J")</f>
        <v>J</v>
      </c>
      <c r="G1543" s="110">
        <f ca="1">IFERROR(__xludf.DUMMYFUNCTION("""COMPUTED_VALUE"""),1)</f>
        <v>1</v>
      </c>
      <c r="H1543" s="112" t="str">
        <f ca="1"/>
        <v>61.3</v>
      </c>
      <c r="I1543" s="112">
        <f ca="1"/>
        <v>61.3</v>
      </c>
    </row>
    <row r="1544" spans="1:9" ht="13.2">
      <c r="A1544" s="109" t="str">
        <f ca="1">IFERROR(__xludf.DUMMYFUNCTION("""COMPUTED_VALUE"""),"OKM")</f>
        <v>OKM</v>
      </c>
      <c r="B1544" s="108" t="str">
        <f ca="1">IFERROR(__xludf.DUMMYFUNCTION("""COMPUTED_VALUE"""),"Vivian Lightfoot")</f>
        <v>Vivian Lightfoot</v>
      </c>
      <c r="C1544" s="109">
        <f ca="1">IFERROR(__xludf.DUMMYFUNCTION("""COMPUTED_VALUE"""),9)</f>
        <v>9</v>
      </c>
      <c r="D1544" s="109" t="str">
        <f ca="1">IFERROR(__xludf.DUMMYFUNCTION("""COMPUTED_VALUE"""),"G")</f>
        <v>G</v>
      </c>
      <c r="E1544" s="110" t="str">
        <f ca="1">IFERROR(__xludf.DUMMYFUNCTION("""COMPUTED_VALUE"""),"F")</f>
        <v>F</v>
      </c>
      <c r="F1544" s="110" t="str">
        <f ca="1">IFERROR(__xludf.DUMMYFUNCTION("""COMPUTED_VALUE"""),"J")</f>
        <v>J</v>
      </c>
      <c r="G1544" s="110">
        <f ca="1">IFERROR(__xludf.DUMMYFUNCTION("""COMPUTED_VALUE"""),1)</f>
        <v>1</v>
      </c>
      <c r="H1544" s="112" t="str">
        <f ca="1"/>
        <v/>
      </c>
      <c r="I1544" s="81" t="str">
        <f ca="1"/>
        <v/>
      </c>
    </row>
    <row r="1545" spans="1:9" ht="13.2">
      <c r="A1545" s="109" t="str">
        <f ca="1">IFERROR(__xludf.DUMMYFUNCTION("""COMPUTED_VALUE"""),"OKM")</f>
        <v>OKM</v>
      </c>
      <c r="B1545" s="108" t="str">
        <f ca="1">IFERROR(__xludf.DUMMYFUNCTION("""COMPUTED_VALUE"""),"Zavier Green")</f>
        <v>Zavier Green</v>
      </c>
      <c r="C1545" s="109">
        <f ca="1">IFERROR(__xludf.DUMMYFUNCTION("""COMPUTED_VALUE"""),14)</f>
        <v>14</v>
      </c>
      <c r="D1545" s="109" t="str">
        <f ca="1">IFERROR(__xludf.DUMMYFUNCTION("""COMPUTED_VALUE"""),"B")</f>
        <v>B</v>
      </c>
      <c r="E1545" s="110" t="str">
        <f ca="1">IFERROR(__xludf.DUMMYFUNCTION("""COMPUTED_VALUE"""),"I")</f>
        <v>I</v>
      </c>
      <c r="F1545" s="110" t="str">
        <f ca="1">IFERROR(__xludf.DUMMYFUNCTION("""COMPUTED_VALUE"""),"S")</f>
        <v>S</v>
      </c>
      <c r="G1545" s="110">
        <f ca="1">IFERROR(__xludf.DUMMYFUNCTION("""COMPUTED_VALUE"""),1)</f>
        <v>1</v>
      </c>
      <c r="H1545" s="112" t="str">
        <f ca="1"/>
        <v/>
      </c>
      <c r="I1545" s="112" t="str">
        <f ca="1"/>
        <v/>
      </c>
    </row>
    <row r="1546" spans="1:9" ht="13.2">
      <c r="A1546" s="109" t="str">
        <f ca="1">IFERROR(__xludf.DUMMYFUNCTION("""COMPUTED_VALUE"""),"OKM")</f>
        <v>OKM</v>
      </c>
      <c r="B1546" s="108" t="str">
        <f ca="1">IFERROR(__xludf.DUMMYFUNCTION("""COMPUTED_VALUE"""),"Lindsay Kawane")</f>
        <v>Lindsay Kawane</v>
      </c>
      <c r="C1546" s="109">
        <f ca="1">IFERROR(__xludf.DUMMYFUNCTION("""COMPUTED_VALUE"""),14)</f>
        <v>14</v>
      </c>
      <c r="D1546" s="109" t="str">
        <f ca="1">IFERROR(__xludf.DUMMYFUNCTION("""COMPUTED_VALUE"""),"G")</f>
        <v>G</v>
      </c>
      <c r="E1546" s="110" t="str">
        <f ca="1">IFERROR(__xludf.DUMMYFUNCTION("""COMPUTED_VALUE"""),"I")</f>
        <v>I</v>
      </c>
      <c r="F1546" s="110" t="str">
        <f ca="1">IFERROR(__xludf.DUMMYFUNCTION("""COMPUTED_VALUE"""),"S")</f>
        <v>S</v>
      </c>
      <c r="G1546" s="110">
        <f ca="1">IFERROR(__xludf.DUMMYFUNCTION("""COMPUTED_VALUE"""),1)</f>
        <v>1</v>
      </c>
      <c r="H1546" s="112" t="str">
        <f ca="1"/>
        <v/>
      </c>
      <c r="I1546" s="112" t="str">
        <f ca="1"/>
        <v/>
      </c>
    </row>
    <row r="1547" spans="1:9" ht="13.2">
      <c r="A1547" s="109" t="str">
        <f ca="1">IFERROR(__xludf.DUMMYFUNCTION("""COMPUTED_VALUE"""),"OKM")</f>
        <v>OKM</v>
      </c>
      <c r="B1547" s="108" t="str">
        <f ca="1">IFERROR(__xludf.DUMMYFUNCTION("""COMPUTED_VALUE"""),"Maria Hughes")</f>
        <v>Maria Hughes</v>
      </c>
      <c r="C1547" s="109">
        <f ca="1">IFERROR(__xludf.DUMMYFUNCTION("""COMPUTED_VALUE"""),14)</f>
        <v>14</v>
      </c>
      <c r="D1547" s="109" t="str">
        <f ca="1">IFERROR(__xludf.DUMMYFUNCTION("""COMPUTED_VALUE"""),"G")</f>
        <v>G</v>
      </c>
      <c r="E1547" s="110" t="str">
        <f ca="1">IFERROR(__xludf.DUMMYFUNCTION("""COMPUTED_VALUE"""),"I")</f>
        <v>I</v>
      </c>
      <c r="F1547" s="110" t="str">
        <f ca="1">IFERROR(__xludf.DUMMYFUNCTION("""COMPUTED_VALUE"""),"S")</f>
        <v>S</v>
      </c>
      <c r="G1547" s="110">
        <f ca="1">IFERROR(__xludf.DUMMYFUNCTION("""COMPUTED_VALUE"""),1)</f>
        <v>1</v>
      </c>
      <c r="H1547" s="112" t="str">
        <f ca="1"/>
        <v/>
      </c>
      <c r="I1547" s="81" t="str">
        <f ca="1"/>
        <v/>
      </c>
    </row>
    <row r="1548" spans="1:9" ht="13.2">
      <c r="A1548" s="109" t="str">
        <f ca="1">IFERROR(__xludf.DUMMYFUNCTION("""COMPUTED_VALUE"""),"OKM")</f>
        <v>OKM</v>
      </c>
      <c r="B1548" s="108" t="str">
        <f ca="1">IFERROR(__xludf.DUMMYFUNCTION("""COMPUTED_VALUE"""),"Olivia Osterhout")</f>
        <v>Olivia Osterhout</v>
      </c>
      <c r="C1548" s="109">
        <f ca="1">IFERROR(__xludf.DUMMYFUNCTION("""COMPUTED_VALUE"""),13)</f>
        <v>13</v>
      </c>
      <c r="D1548" s="109" t="str">
        <f ca="1">IFERROR(__xludf.DUMMYFUNCTION("""COMPUTED_VALUE"""),"G")</f>
        <v>G</v>
      </c>
      <c r="E1548" s="110" t="str">
        <f ca="1">IFERROR(__xludf.DUMMYFUNCTION("""COMPUTED_VALUE"""),"I")</f>
        <v>I</v>
      </c>
      <c r="F1548" s="110" t="str">
        <f ca="1">IFERROR(__xludf.DUMMYFUNCTION("""COMPUTED_VALUE"""),"S")</f>
        <v>S</v>
      </c>
      <c r="G1548" s="110">
        <f ca="1">IFERROR(__xludf.DUMMYFUNCTION("""COMPUTED_VALUE"""),1)</f>
        <v>1</v>
      </c>
      <c r="H1548" s="112" t="str">
        <f ca="1"/>
        <v>72.95</v>
      </c>
      <c r="I1548" s="112">
        <f ca="1"/>
        <v>72.95</v>
      </c>
    </row>
    <row r="1549" spans="1:9" ht="13.2">
      <c r="A1549" s="109" t="str">
        <f ca="1">IFERROR(__xludf.DUMMYFUNCTION("""COMPUTED_VALUE"""),"OKM")</f>
        <v>OKM</v>
      </c>
      <c r="B1549" s="108" t="str">
        <f ca="1">IFERROR(__xludf.DUMMYFUNCTION("""COMPUTED_VALUE"""),"Ben Nichols")</f>
        <v>Ben Nichols</v>
      </c>
      <c r="C1549" s="109">
        <f ca="1">IFERROR(__xludf.DUMMYFUNCTION("""COMPUTED_VALUE"""),11)</f>
        <v>11</v>
      </c>
      <c r="D1549" s="109" t="str">
        <f ca="1">IFERROR(__xludf.DUMMYFUNCTION("""COMPUTED_VALUE"""),"B")</f>
        <v>B</v>
      </c>
      <c r="E1549" s="110" t="str">
        <f ca="1">IFERROR(__xludf.DUMMYFUNCTION("""COMPUTED_VALUE"""),"J")</f>
        <v>J</v>
      </c>
      <c r="F1549" s="110" t="str">
        <f ca="1">IFERROR(__xludf.DUMMYFUNCTION("""COMPUTED_VALUE"""),"I")</f>
        <v>I</v>
      </c>
      <c r="G1549" s="110">
        <f ca="1">IFERROR(__xludf.DUMMYFUNCTION("""COMPUTED_VALUE"""),1)</f>
        <v>1</v>
      </c>
      <c r="H1549" s="112" t="str">
        <f ca="1"/>
        <v/>
      </c>
      <c r="I1549" s="81" t="str">
        <f ca="1"/>
        <v/>
      </c>
    </row>
    <row r="1550" spans="1:9" ht="13.2">
      <c r="A1550" s="109" t="str">
        <f ca="1">IFERROR(__xludf.DUMMYFUNCTION("""COMPUTED_VALUE"""),"OKM")</f>
        <v>OKM</v>
      </c>
      <c r="B1550" s="108" t="str">
        <f ca="1">IFERROR(__xludf.DUMMYFUNCTION("""COMPUTED_VALUE"""),"Miles Teague")</f>
        <v>Miles Teague</v>
      </c>
      <c r="C1550" s="109">
        <f ca="1">IFERROR(__xludf.DUMMYFUNCTION("""COMPUTED_VALUE"""),12)</f>
        <v>12</v>
      </c>
      <c r="D1550" s="109" t="str">
        <f ca="1">IFERROR(__xludf.DUMMYFUNCTION("""COMPUTED_VALUE"""),"B")</f>
        <v>B</v>
      </c>
      <c r="E1550" s="110" t="str">
        <f ca="1">IFERROR(__xludf.DUMMYFUNCTION("""COMPUTED_VALUE"""),"J")</f>
        <v>J</v>
      </c>
      <c r="F1550" s="110" t="str">
        <f ca="1">IFERROR(__xludf.DUMMYFUNCTION("""COMPUTED_VALUE"""),"I")</f>
        <v>I</v>
      </c>
      <c r="G1550" s="110">
        <f ca="1">IFERROR(__xludf.DUMMYFUNCTION("""COMPUTED_VALUE"""),1)</f>
        <v>1</v>
      </c>
      <c r="H1550" s="112" t="str">
        <f ca="1"/>
        <v/>
      </c>
      <c r="I1550" s="112" t="str">
        <f ca="1"/>
        <v/>
      </c>
    </row>
    <row r="1551" spans="1:9" ht="13.2">
      <c r="A1551" s="109" t="str">
        <f ca="1">IFERROR(__xludf.DUMMYFUNCTION("""COMPUTED_VALUE"""),"OKM")</f>
        <v>OKM</v>
      </c>
      <c r="B1551" s="108" t="str">
        <f ca="1">IFERROR(__xludf.DUMMYFUNCTION("""COMPUTED_VALUE"""),"Abby Swartz")</f>
        <v>Abby Swartz</v>
      </c>
      <c r="C1551" s="109">
        <f ca="1">IFERROR(__xludf.DUMMYFUNCTION("""COMPUTED_VALUE"""),12)</f>
        <v>12</v>
      </c>
      <c r="D1551" s="109" t="str">
        <f ca="1">IFERROR(__xludf.DUMMYFUNCTION("""COMPUTED_VALUE"""),"G")</f>
        <v>G</v>
      </c>
      <c r="E1551" s="110" t="str">
        <f ca="1">IFERROR(__xludf.DUMMYFUNCTION("""COMPUTED_VALUE"""),"J")</f>
        <v>J</v>
      </c>
      <c r="F1551" s="110" t="str">
        <f ca="1">IFERROR(__xludf.DUMMYFUNCTION("""COMPUTED_VALUE"""),"I")</f>
        <v>I</v>
      </c>
      <c r="G1551" s="110">
        <f ca="1">IFERROR(__xludf.DUMMYFUNCTION("""COMPUTED_VALUE"""),1)</f>
        <v>1</v>
      </c>
      <c r="H1551" s="112" t="str">
        <f ca="1"/>
        <v/>
      </c>
      <c r="I1551" s="81" t="str">
        <f ca="1"/>
        <v/>
      </c>
    </row>
    <row r="1552" spans="1:9" ht="13.2">
      <c r="A1552" s="109" t="str">
        <f ca="1">IFERROR(__xludf.DUMMYFUNCTION("""COMPUTED_VALUE"""),"OKM")</f>
        <v>OKM</v>
      </c>
      <c r="B1552" s="108" t="str">
        <f ca="1">IFERROR(__xludf.DUMMYFUNCTION("""COMPUTED_VALUE"""),"Abby West")</f>
        <v>Abby West</v>
      </c>
      <c r="C1552" s="109">
        <f ca="1">IFERROR(__xludf.DUMMYFUNCTION("""COMPUTED_VALUE"""),11)</f>
        <v>11</v>
      </c>
      <c r="D1552" s="109" t="str">
        <f ca="1">IFERROR(__xludf.DUMMYFUNCTION("""COMPUTED_VALUE"""),"G")</f>
        <v>G</v>
      </c>
      <c r="E1552" s="110" t="str">
        <f ca="1">IFERROR(__xludf.DUMMYFUNCTION("""COMPUTED_VALUE"""),"J")</f>
        <v>J</v>
      </c>
      <c r="F1552" s="110" t="str">
        <f ca="1">IFERROR(__xludf.DUMMYFUNCTION("""COMPUTED_VALUE"""),"I")</f>
        <v>I</v>
      </c>
      <c r="G1552" s="110">
        <f ca="1">IFERROR(__xludf.DUMMYFUNCTION("""COMPUTED_VALUE"""),1)</f>
        <v>1</v>
      </c>
      <c r="H1552" s="112" t="str">
        <f ca="1"/>
        <v/>
      </c>
      <c r="I1552" s="112" t="str">
        <f ca="1"/>
        <v/>
      </c>
    </row>
    <row r="1553" spans="1:9" ht="13.2">
      <c r="A1553" s="109" t="str">
        <f ca="1">IFERROR(__xludf.DUMMYFUNCTION("""COMPUTED_VALUE"""),"OKM")</f>
        <v>OKM</v>
      </c>
      <c r="B1553" s="108" t="str">
        <f ca="1">IFERROR(__xludf.DUMMYFUNCTION("""COMPUTED_VALUE"""),"Beatrice Shirley")</f>
        <v>Beatrice Shirley</v>
      </c>
      <c r="C1553" s="109">
        <f ca="1">IFERROR(__xludf.DUMMYFUNCTION("""COMPUTED_VALUE"""),11)</f>
        <v>11</v>
      </c>
      <c r="D1553" s="109" t="str">
        <f ca="1">IFERROR(__xludf.DUMMYFUNCTION("""COMPUTED_VALUE"""),"G")</f>
        <v>G</v>
      </c>
      <c r="E1553" s="110" t="str">
        <f ca="1">IFERROR(__xludf.DUMMYFUNCTION("""COMPUTED_VALUE"""),"J")</f>
        <v>J</v>
      </c>
      <c r="F1553" s="110" t="str">
        <f ca="1">IFERROR(__xludf.DUMMYFUNCTION("""COMPUTED_VALUE"""),"I")</f>
        <v>I</v>
      </c>
      <c r="G1553" s="110">
        <f ca="1">IFERROR(__xludf.DUMMYFUNCTION("""COMPUTED_VALUE"""),1)</f>
        <v>1</v>
      </c>
      <c r="H1553" s="112" t="str">
        <f ca="1"/>
        <v>71.15</v>
      </c>
      <c r="I1553" s="112">
        <f ca="1"/>
        <v>71.150000000000006</v>
      </c>
    </row>
    <row r="1554" spans="1:9" ht="13.2">
      <c r="A1554" s="109" t="str">
        <f ca="1">IFERROR(__xludf.DUMMYFUNCTION("""COMPUTED_VALUE"""),"OKM")</f>
        <v>OKM</v>
      </c>
      <c r="B1554" s="108" t="str">
        <f ca="1">IFERROR(__xludf.DUMMYFUNCTION("""COMPUTED_VALUE"""),"Caroline Copes")</f>
        <v>Caroline Copes</v>
      </c>
      <c r="C1554" s="109">
        <f ca="1">IFERROR(__xludf.DUMMYFUNCTION("""COMPUTED_VALUE"""),11)</f>
        <v>11</v>
      </c>
      <c r="D1554" s="109" t="str">
        <f ca="1">IFERROR(__xludf.DUMMYFUNCTION("""COMPUTED_VALUE"""),"G")</f>
        <v>G</v>
      </c>
      <c r="E1554" s="110" t="str">
        <f ca="1">IFERROR(__xludf.DUMMYFUNCTION("""COMPUTED_VALUE"""),"J")</f>
        <v>J</v>
      </c>
      <c r="F1554" s="110" t="str">
        <f ca="1">IFERROR(__xludf.DUMMYFUNCTION("""COMPUTED_VALUE"""),"I")</f>
        <v>I</v>
      </c>
      <c r="G1554" s="110">
        <f ca="1">IFERROR(__xludf.DUMMYFUNCTION("""COMPUTED_VALUE"""),1)</f>
        <v>1</v>
      </c>
      <c r="H1554" s="112" t="str">
        <f ca="1"/>
        <v/>
      </c>
      <c r="I1554" s="112" t="str">
        <f ca="1"/>
        <v/>
      </c>
    </row>
    <row r="1555" spans="1:9" ht="13.2">
      <c r="A1555" s="109" t="str">
        <f ca="1">IFERROR(__xludf.DUMMYFUNCTION("""COMPUTED_VALUE"""),"OKM")</f>
        <v>OKM</v>
      </c>
      <c r="B1555" s="108" t="str">
        <f ca="1">IFERROR(__xludf.DUMMYFUNCTION("""COMPUTED_VALUE"""),"Paige Kiddey")</f>
        <v>Paige Kiddey</v>
      </c>
      <c r="C1555" s="109">
        <f ca="1">IFERROR(__xludf.DUMMYFUNCTION("""COMPUTED_VALUE"""),12)</f>
        <v>12</v>
      </c>
      <c r="D1555" s="109" t="str">
        <f ca="1">IFERROR(__xludf.DUMMYFUNCTION("""COMPUTED_VALUE"""),"G")</f>
        <v>G</v>
      </c>
      <c r="E1555" s="110" t="str">
        <f ca="1">IFERROR(__xludf.DUMMYFUNCTION("""COMPUTED_VALUE"""),"J")</f>
        <v>J</v>
      </c>
      <c r="F1555" s="110" t="str">
        <f ca="1">IFERROR(__xludf.DUMMYFUNCTION("""COMPUTED_VALUE"""),"I")</f>
        <v>I</v>
      </c>
      <c r="G1555" s="110">
        <f ca="1">IFERROR(__xludf.DUMMYFUNCTION("""COMPUTED_VALUE"""),1)</f>
        <v>1</v>
      </c>
      <c r="H1555" s="112" t="str">
        <f ca="1"/>
        <v/>
      </c>
      <c r="I1555" s="112" t="str">
        <f ca="1"/>
        <v/>
      </c>
    </row>
    <row r="1556" spans="1:9" ht="13.2">
      <c r="A1556" s="109" t="str">
        <f ca="1">IFERROR(__xludf.DUMMYFUNCTION("""COMPUTED_VALUE"""),"OKM")</f>
        <v>OKM</v>
      </c>
      <c r="B1556" s="108" t="str">
        <f ca="1">IFERROR(__xludf.DUMMYFUNCTION("""COMPUTED_VALUE"""),"Adam Osterhout")</f>
        <v>Adam Osterhout</v>
      </c>
      <c r="C1556" s="109">
        <f ca="1">IFERROR(__xludf.DUMMYFUNCTION("""COMPUTED_VALUE"""),15)</f>
        <v>15</v>
      </c>
      <c r="D1556" s="109" t="str">
        <f ca="1">IFERROR(__xludf.DUMMYFUNCTION("""COMPUTED_VALUE"""),"B")</f>
        <v>B</v>
      </c>
      <c r="E1556" s="110" t="str">
        <f ca="1">IFERROR(__xludf.DUMMYFUNCTION("""COMPUTED_VALUE"""),"S")</f>
        <v>S</v>
      </c>
      <c r="F1556" s="110" t="str">
        <f ca="1">IFERROR(__xludf.DUMMYFUNCTION("""COMPUTED_VALUE"""),"S")</f>
        <v>S</v>
      </c>
      <c r="G1556" s="110">
        <f ca="1">IFERROR(__xludf.DUMMYFUNCTION("""COMPUTED_VALUE"""),1)</f>
        <v>1</v>
      </c>
      <c r="H1556" s="112" t="str">
        <f ca="1"/>
        <v/>
      </c>
      <c r="I1556" s="112" t="str">
        <f ca="1"/>
        <v/>
      </c>
    </row>
    <row r="1557" spans="1:9" ht="13.2">
      <c r="A1557" s="109" t="str">
        <f ca="1">IFERROR(__xludf.DUMMYFUNCTION("""COMPUTED_VALUE"""),"OKM")</f>
        <v>OKM</v>
      </c>
      <c r="B1557" s="108" t="str">
        <f ca="1">IFERROR(__xludf.DUMMYFUNCTION("""COMPUTED_VALUE"""),"JP Wiluz")</f>
        <v>JP Wiluz</v>
      </c>
      <c r="C1557" s="109">
        <f ca="1">IFERROR(__xludf.DUMMYFUNCTION("""COMPUTED_VALUE"""),19)</f>
        <v>19</v>
      </c>
      <c r="D1557" s="109" t="str">
        <f ca="1">IFERROR(__xludf.DUMMYFUNCTION("""COMPUTED_VALUE"""),"B")</f>
        <v>B</v>
      </c>
      <c r="E1557" s="110" t="str">
        <f ca="1">IFERROR(__xludf.DUMMYFUNCTION("""COMPUTED_VALUE"""),"S")</f>
        <v>S</v>
      </c>
      <c r="F1557" s="110" t="str">
        <f ca="1">IFERROR(__xludf.DUMMYFUNCTION("""COMPUTED_VALUE"""),"S")</f>
        <v>S</v>
      </c>
      <c r="G1557" s="110">
        <f ca="1">IFERROR(__xludf.DUMMYFUNCTION("""COMPUTED_VALUE"""),1)</f>
        <v>1</v>
      </c>
      <c r="H1557" s="112" t="str">
        <f ca="1"/>
        <v/>
      </c>
      <c r="I1557" s="81" t="str">
        <f ca="1"/>
        <v/>
      </c>
    </row>
    <row r="1558" spans="1:9" ht="13.2">
      <c r="A1558" s="109" t="str">
        <f ca="1">IFERROR(__xludf.DUMMYFUNCTION("""COMPUTED_VALUE"""),"OKM")</f>
        <v>OKM</v>
      </c>
      <c r="B1558" s="108" t="str">
        <f ca="1">IFERROR(__xludf.DUMMYFUNCTION("""COMPUTED_VALUE"""),"Liam MIller")</f>
        <v>Liam MIller</v>
      </c>
      <c r="C1558" s="109">
        <f ca="1">IFERROR(__xludf.DUMMYFUNCTION("""COMPUTED_VALUE"""),15)</f>
        <v>15</v>
      </c>
      <c r="D1558" s="109" t="str">
        <f ca="1">IFERROR(__xludf.DUMMYFUNCTION("""COMPUTED_VALUE"""),"B")</f>
        <v>B</v>
      </c>
      <c r="E1558" s="110" t="str">
        <f ca="1">IFERROR(__xludf.DUMMYFUNCTION("""COMPUTED_VALUE"""),"S")</f>
        <v>S</v>
      </c>
      <c r="F1558" s="110" t="str">
        <f ca="1">IFERROR(__xludf.DUMMYFUNCTION("""COMPUTED_VALUE"""),"S")</f>
        <v>S</v>
      </c>
      <c r="G1558" s="110">
        <f ca="1">IFERROR(__xludf.DUMMYFUNCTION("""COMPUTED_VALUE"""),1)</f>
        <v>1</v>
      </c>
      <c r="H1558" s="112" t="str">
        <f ca="1"/>
        <v/>
      </c>
      <c r="I1558" s="112" t="str">
        <f ca="1"/>
        <v/>
      </c>
    </row>
    <row r="1559" spans="1:9" ht="13.2">
      <c r="A1559" s="109" t="str">
        <f ca="1">IFERROR(__xludf.DUMMYFUNCTION("""COMPUTED_VALUE"""),"OKM")</f>
        <v>OKM</v>
      </c>
      <c r="B1559" s="108" t="str">
        <f ca="1">IFERROR(__xludf.DUMMYFUNCTION("""COMPUTED_VALUE"""),"Thomas Hughes")</f>
        <v>Thomas Hughes</v>
      </c>
      <c r="C1559" s="109">
        <f ca="1">IFERROR(__xludf.DUMMYFUNCTION("""COMPUTED_VALUE"""),16)</f>
        <v>16</v>
      </c>
      <c r="D1559" s="109" t="str">
        <f ca="1">IFERROR(__xludf.DUMMYFUNCTION("""COMPUTED_VALUE"""),"B")</f>
        <v>B</v>
      </c>
      <c r="E1559" s="110" t="str">
        <f ca="1">IFERROR(__xludf.DUMMYFUNCTION("""COMPUTED_VALUE"""),"S")</f>
        <v>S</v>
      </c>
      <c r="F1559" s="110" t="str">
        <f ca="1">IFERROR(__xludf.DUMMYFUNCTION("""COMPUTED_VALUE"""),"S")</f>
        <v>S</v>
      </c>
      <c r="G1559" s="110">
        <f ca="1">IFERROR(__xludf.DUMMYFUNCTION("""COMPUTED_VALUE"""),1)</f>
        <v>1</v>
      </c>
      <c r="H1559" s="112" t="str">
        <f ca="1"/>
        <v/>
      </c>
      <c r="I1559" s="112" t="str">
        <f ca="1"/>
        <v/>
      </c>
    </row>
    <row r="1560" spans="1:9" ht="13.2">
      <c r="A1560" s="109" t="str">
        <f ca="1">IFERROR(__xludf.DUMMYFUNCTION("""COMPUTED_VALUE"""),"OKM")</f>
        <v>OKM</v>
      </c>
      <c r="B1560" s="108" t="str">
        <f ca="1">IFERROR(__xludf.DUMMYFUNCTION("""COMPUTED_VALUE"""),"Ainsley Taylor")</f>
        <v>Ainsley Taylor</v>
      </c>
      <c r="C1560" s="109">
        <f ca="1">IFERROR(__xludf.DUMMYFUNCTION("""COMPUTED_VALUE"""),16)</f>
        <v>16</v>
      </c>
      <c r="D1560" s="109" t="str">
        <f ca="1">IFERROR(__xludf.DUMMYFUNCTION("""COMPUTED_VALUE"""),"G")</f>
        <v>G</v>
      </c>
      <c r="E1560" s="110" t="str">
        <f ca="1">IFERROR(__xludf.DUMMYFUNCTION("""COMPUTED_VALUE"""),"S")</f>
        <v>S</v>
      </c>
      <c r="F1560" s="110" t="str">
        <f ca="1">IFERROR(__xludf.DUMMYFUNCTION("""COMPUTED_VALUE"""),"S")</f>
        <v>S</v>
      </c>
      <c r="G1560" s="110">
        <f ca="1">IFERROR(__xludf.DUMMYFUNCTION("""COMPUTED_VALUE"""),1)</f>
        <v>1</v>
      </c>
      <c r="H1560" s="112" t="str">
        <f ca="1"/>
        <v/>
      </c>
      <c r="I1560" s="81" t="str">
        <f ca="1"/>
        <v/>
      </c>
    </row>
    <row r="1561" spans="1:9" ht="13.2">
      <c r="A1561" s="109" t="str">
        <f ca="1">IFERROR(__xludf.DUMMYFUNCTION("""COMPUTED_VALUE"""),"OKM")</f>
        <v>OKM</v>
      </c>
      <c r="B1561" s="108" t="str">
        <f ca="1">IFERROR(__xludf.DUMMYFUNCTION("""COMPUTED_VALUE"""),"Cara DeJesus")</f>
        <v>Cara DeJesus</v>
      </c>
      <c r="C1561" s="109">
        <f ca="1">IFERROR(__xludf.DUMMYFUNCTION("""COMPUTED_VALUE"""),16)</f>
        <v>16</v>
      </c>
      <c r="D1561" s="109" t="str">
        <f ca="1">IFERROR(__xludf.DUMMYFUNCTION("""COMPUTED_VALUE"""),"G")</f>
        <v>G</v>
      </c>
      <c r="E1561" s="110" t="str">
        <f ca="1">IFERROR(__xludf.DUMMYFUNCTION("""COMPUTED_VALUE"""),"S")</f>
        <v>S</v>
      </c>
      <c r="F1561" s="110" t="str">
        <f ca="1">IFERROR(__xludf.DUMMYFUNCTION("""COMPUTED_VALUE"""),"S")</f>
        <v>S</v>
      </c>
      <c r="G1561" s="110">
        <f ca="1">IFERROR(__xludf.DUMMYFUNCTION("""COMPUTED_VALUE"""),1)</f>
        <v>1</v>
      </c>
      <c r="H1561" s="112" t="str">
        <f ca="1"/>
        <v/>
      </c>
      <c r="I1561" s="112" t="str">
        <f ca="1"/>
        <v/>
      </c>
    </row>
    <row r="1562" spans="1:9" ht="13.2">
      <c r="A1562" s="109" t="str">
        <f ca="1">IFERROR(__xludf.DUMMYFUNCTION("""COMPUTED_VALUE"""),"OKM")</f>
        <v>OKM</v>
      </c>
      <c r="B1562" s="108" t="str">
        <f ca="1">IFERROR(__xludf.DUMMYFUNCTION("""COMPUTED_VALUE"""),"Sania Dhond")</f>
        <v>Sania Dhond</v>
      </c>
      <c r="C1562" s="109">
        <f ca="1">IFERROR(__xludf.DUMMYFUNCTION("""COMPUTED_VALUE"""),15)</f>
        <v>15</v>
      </c>
      <c r="D1562" s="109" t="str">
        <f ca="1">IFERROR(__xludf.DUMMYFUNCTION("""COMPUTED_VALUE"""),"G")</f>
        <v>G</v>
      </c>
      <c r="E1562" s="110" t="str">
        <f ca="1">IFERROR(__xludf.DUMMYFUNCTION("""COMPUTED_VALUE"""),"S")</f>
        <v>S</v>
      </c>
      <c r="F1562" s="110" t="str">
        <f ca="1">IFERROR(__xludf.DUMMYFUNCTION("""COMPUTED_VALUE"""),"S")</f>
        <v>S</v>
      </c>
      <c r="G1562" s="110">
        <f ca="1">IFERROR(__xludf.DUMMYFUNCTION("""COMPUTED_VALUE"""),1)</f>
        <v>1</v>
      </c>
      <c r="H1562" s="112" t="str">
        <f ca="1"/>
        <v/>
      </c>
      <c r="I1562" s="112" t="str">
        <f ca="1"/>
        <v/>
      </c>
    </row>
    <row r="1563" spans="1:9" ht="13.2">
      <c r="A1563" s="109" t="str">
        <f ca="1">IFERROR(__xludf.DUMMYFUNCTION("""COMPUTED_VALUE"""),"PAR")</f>
        <v>PAR</v>
      </c>
      <c r="B1563" s="108" t="str">
        <f ca="1">IFERROR(__xludf.DUMMYFUNCTION("""COMPUTED_VALUE"""),"AJ Gordon")</f>
        <v>AJ Gordon</v>
      </c>
      <c r="C1563" s="109">
        <f ca="1">IFERROR(__xludf.DUMMYFUNCTION("""COMPUTED_VALUE"""),8)</f>
        <v>8</v>
      </c>
      <c r="D1563" s="109" t="str">
        <f ca="1">IFERROR(__xludf.DUMMYFUNCTION("""COMPUTED_VALUE"""),"B")</f>
        <v>B</v>
      </c>
      <c r="E1563" s="110" t="str">
        <f ca="1">IFERROR(__xludf.DUMMYFUNCTION("""COMPUTED_VALUE"""),"F")</f>
        <v>F</v>
      </c>
      <c r="F1563" s="110" t="str">
        <f ca="1">IFERROR(__xludf.DUMMYFUNCTION("""COMPUTED_VALUE"""),"J")</f>
        <v>J</v>
      </c>
      <c r="G1563" s="110">
        <f ca="1">IFERROR(__xludf.DUMMYFUNCTION("""COMPUTED_VALUE"""),6)</f>
        <v>6</v>
      </c>
      <c r="H1563" s="112" t="str">
        <f ca="1"/>
        <v/>
      </c>
      <c r="I1563" s="112" t="str">
        <f ca="1"/>
        <v/>
      </c>
    </row>
    <row r="1564" spans="1:9" ht="13.2">
      <c r="A1564" s="109" t="str">
        <f ca="1">IFERROR(__xludf.DUMMYFUNCTION("""COMPUTED_VALUE"""),"PAR")</f>
        <v>PAR</v>
      </c>
      <c r="B1564" s="108" t="str">
        <f ca="1">IFERROR(__xludf.DUMMYFUNCTION("""COMPUTED_VALUE"""),"Avery Edwards")</f>
        <v>Avery Edwards</v>
      </c>
      <c r="C1564" s="109">
        <f ca="1">IFERROR(__xludf.DUMMYFUNCTION("""COMPUTED_VALUE"""),10)</f>
        <v>10</v>
      </c>
      <c r="D1564" s="109" t="str">
        <f ca="1">IFERROR(__xludf.DUMMYFUNCTION("""COMPUTED_VALUE"""),"B")</f>
        <v>B</v>
      </c>
      <c r="E1564" s="110" t="str">
        <f ca="1">IFERROR(__xludf.DUMMYFUNCTION("""COMPUTED_VALUE"""),"F")</f>
        <v>F</v>
      </c>
      <c r="F1564" s="110" t="str">
        <f ca="1">IFERROR(__xludf.DUMMYFUNCTION("""COMPUTED_VALUE"""),"J")</f>
        <v>J</v>
      </c>
      <c r="G1564" s="110">
        <f ca="1">IFERROR(__xludf.DUMMYFUNCTION("""COMPUTED_VALUE"""),6)</f>
        <v>6</v>
      </c>
      <c r="H1564" s="112" t="str">
        <f ca="1"/>
        <v/>
      </c>
      <c r="I1564" s="112" t="str">
        <f ca="1"/>
        <v/>
      </c>
    </row>
    <row r="1565" spans="1:9" ht="13.2">
      <c r="A1565" s="109" t="str">
        <f ca="1">IFERROR(__xludf.DUMMYFUNCTION("""COMPUTED_VALUE"""),"PAR")</f>
        <v>PAR</v>
      </c>
      <c r="B1565" s="108" t="str">
        <f ca="1">IFERROR(__xludf.DUMMYFUNCTION("""COMPUTED_VALUE"""),"Drew Avila")</f>
        <v>Drew Avila</v>
      </c>
      <c r="C1565" s="109">
        <f ca="1">IFERROR(__xludf.DUMMYFUNCTION("""COMPUTED_VALUE"""),10)</f>
        <v>10</v>
      </c>
      <c r="D1565" s="109" t="str">
        <f ca="1">IFERROR(__xludf.DUMMYFUNCTION("""COMPUTED_VALUE"""),"B")</f>
        <v>B</v>
      </c>
      <c r="E1565" s="110" t="str">
        <f ca="1">IFERROR(__xludf.DUMMYFUNCTION("""COMPUTED_VALUE"""),"F")</f>
        <v>F</v>
      </c>
      <c r="F1565" s="110" t="str">
        <f ca="1">IFERROR(__xludf.DUMMYFUNCTION("""COMPUTED_VALUE"""),"J")</f>
        <v>J</v>
      </c>
      <c r="G1565" s="110">
        <f ca="1">IFERROR(__xludf.DUMMYFUNCTION("""COMPUTED_VALUE"""),6)</f>
        <v>6</v>
      </c>
      <c r="H1565" s="112" t="str">
        <f ca="1"/>
        <v/>
      </c>
      <c r="I1565" s="112" t="str">
        <f ca="1"/>
        <v/>
      </c>
    </row>
    <row r="1566" spans="1:9" ht="13.2">
      <c r="A1566" s="109" t="str">
        <f ca="1">IFERROR(__xludf.DUMMYFUNCTION("""COMPUTED_VALUE"""),"PAR")</f>
        <v>PAR</v>
      </c>
      <c r="B1566" s="108" t="str">
        <f ca="1">IFERROR(__xludf.DUMMYFUNCTION("""COMPUTED_VALUE"""),"Fynn Miller")</f>
        <v>Fynn Miller</v>
      </c>
      <c r="C1566" s="109">
        <f ca="1">IFERROR(__xludf.DUMMYFUNCTION("""COMPUTED_VALUE"""),7)</f>
        <v>7</v>
      </c>
      <c r="D1566" s="109" t="str">
        <f ca="1">IFERROR(__xludf.DUMMYFUNCTION("""COMPUTED_VALUE"""),"B")</f>
        <v>B</v>
      </c>
      <c r="E1566" s="110" t="str">
        <f ca="1">IFERROR(__xludf.DUMMYFUNCTION("""COMPUTED_VALUE"""),"F")</f>
        <v>F</v>
      </c>
      <c r="F1566" s="110" t="str">
        <f ca="1">IFERROR(__xludf.DUMMYFUNCTION("""COMPUTED_VALUE"""),"J")</f>
        <v>J</v>
      </c>
      <c r="G1566" s="110">
        <f ca="1">IFERROR(__xludf.DUMMYFUNCTION("""COMPUTED_VALUE"""),6)</f>
        <v>6</v>
      </c>
      <c r="H1566" s="112" t="str">
        <f ca="1"/>
        <v/>
      </c>
      <c r="I1566" s="112" t="str">
        <f ca="1"/>
        <v/>
      </c>
    </row>
    <row r="1567" spans="1:9" ht="13.2">
      <c r="A1567" s="109" t="str">
        <f ca="1">IFERROR(__xludf.DUMMYFUNCTION("""COMPUTED_VALUE"""),"PAR")</f>
        <v>PAR</v>
      </c>
      <c r="B1567" s="108" t="str">
        <f ca="1">IFERROR(__xludf.DUMMYFUNCTION("""COMPUTED_VALUE"""),"Nolan Scott")</f>
        <v>Nolan Scott</v>
      </c>
      <c r="C1567" s="109">
        <f ca="1">IFERROR(__xludf.DUMMYFUNCTION("""COMPUTED_VALUE"""),10)</f>
        <v>10</v>
      </c>
      <c r="D1567" s="109" t="str">
        <f ca="1">IFERROR(__xludf.DUMMYFUNCTION("""COMPUTED_VALUE"""),"B")</f>
        <v>B</v>
      </c>
      <c r="E1567" s="110" t="str">
        <f ca="1">IFERROR(__xludf.DUMMYFUNCTION("""COMPUTED_VALUE"""),"F")</f>
        <v>F</v>
      </c>
      <c r="F1567" s="110" t="str">
        <f ca="1">IFERROR(__xludf.DUMMYFUNCTION("""COMPUTED_VALUE"""),"J")</f>
        <v>J</v>
      </c>
      <c r="G1567" s="110">
        <f ca="1">IFERROR(__xludf.DUMMYFUNCTION("""COMPUTED_VALUE"""),6)</f>
        <v>6</v>
      </c>
      <c r="H1567" s="112" t="str">
        <f ca="1"/>
        <v/>
      </c>
      <c r="I1567" s="112" t="str">
        <f ca="1"/>
        <v/>
      </c>
    </row>
    <row r="1568" spans="1:9" ht="13.2">
      <c r="A1568" s="109" t="str">
        <f ca="1">IFERROR(__xludf.DUMMYFUNCTION("""COMPUTED_VALUE"""),"PAR")</f>
        <v>PAR</v>
      </c>
      <c r="B1568" s="108" t="str">
        <f ca="1">IFERROR(__xludf.DUMMYFUNCTION("""COMPUTED_VALUE"""),"Aubree Burnside")</f>
        <v>Aubree Burnside</v>
      </c>
      <c r="C1568" s="109">
        <f ca="1">IFERROR(__xludf.DUMMYFUNCTION("""COMPUTED_VALUE"""),10)</f>
        <v>10</v>
      </c>
      <c r="D1568" s="109" t="str">
        <f ca="1">IFERROR(__xludf.DUMMYFUNCTION("""COMPUTED_VALUE"""),"G")</f>
        <v>G</v>
      </c>
      <c r="E1568" s="110" t="str">
        <f ca="1">IFERROR(__xludf.DUMMYFUNCTION("""COMPUTED_VALUE"""),"F")</f>
        <v>F</v>
      </c>
      <c r="F1568" s="110" t="str">
        <f ca="1">IFERROR(__xludf.DUMMYFUNCTION("""COMPUTED_VALUE"""),"J")</f>
        <v>J</v>
      </c>
      <c r="G1568" s="110">
        <f ca="1">IFERROR(__xludf.DUMMYFUNCTION("""COMPUTED_VALUE"""),6)</f>
        <v>6</v>
      </c>
      <c r="H1568" s="112" t="str">
        <f ca="1"/>
        <v/>
      </c>
      <c r="I1568" s="81" t="str">
        <f ca="1"/>
        <v/>
      </c>
    </row>
    <row r="1569" spans="1:9" ht="13.2">
      <c r="A1569" s="109" t="str">
        <f ca="1">IFERROR(__xludf.DUMMYFUNCTION("""COMPUTED_VALUE"""),"PAR")</f>
        <v>PAR</v>
      </c>
      <c r="B1569" s="108" t="str">
        <f ca="1">IFERROR(__xludf.DUMMYFUNCTION("""COMPUTED_VALUE"""),"Bridget Caines")</f>
        <v>Bridget Caines</v>
      </c>
      <c r="C1569" s="109">
        <f ca="1">IFERROR(__xludf.DUMMYFUNCTION("""COMPUTED_VALUE"""),8)</f>
        <v>8</v>
      </c>
      <c r="D1569" s="109" t="str">
        <f ca="1">IFERROR(__xludf.DUMMYFUNCTION("""COMPUTED_VALUE"""),"G")</f>
        <v>G</v>
      </c>
      <c r="E1569" s="110" t="str">
        <f ca="1">IFERROR(__xludf.DUMMYFUNCTION("""COMPUTED_VALUE"""),"F")</f>
        <v>F</v>
      </c>
      <c r="F1569" s="110" t="str">
        <f ca="1">IFERROR(__xludf.DUMMYFUNCTION("""COMPUTED_VALUE"""),"J")</f>
        <v>J</v>
      </c>
      <c r="G1569" s="110">
        <f ca="1">IFERROR(__xludf.DUMMYFUNCTION("""COMPUTED_VALUE"""),6)</f>
        <v>6</v>
      </c>
      <c r="H1569" s="112" t="str">
        <f ca="1"/>
        <v/>
      </c>
      <c r="I1569" s="112" t="str">
        <f ca="1"/>
        <v/>
      </c>
    </row>
    <row r="1570" spans="1:9" ht="13.2">
      <c r="A1570" s="109" t="str">
        <f ca="1">IFERROR(__xludf.DUMMYFUNCTION("""COMPUTED_VALUE"""),"PAR")</f>
        <v>PAR</v>
      </c>
      <c r="B1570" s="108" t="str">
        <f ca="1">IFERROR(__xludf.DUMMYFUNCTION("""COMPUTED_VALUE"""),"Brielle Burnside")</f>
        <v>Brielle Burnside</v>
      </c>
      <c r="C1570" s="109">
        <f ca="1">IFERROR(__xludf.DUMMYFUNCTION("""COMPUTED_VALUE"""),7)</f>
        <v>7</v>
      </c>
      <c r="D1570" s="109" t="str">
        <f ca="1">IFERROR(__xludf.DUMMYFUNCTION("""COMPUTED_VALUE"""),"G")</f>
        <v>G</v>
      </c>
      <c r="E1570" s="110" t="str">
        <f ca="1">IFERROR(__xludf.DUMMYFUNCTION("""COMPUTED_VALUE"""),"F")</f>
        <v>F</v>
      </c>
      <c r="F1570" s="110" t="str">
        <f ca="1">IFERROR(__xludf.DUMMYFUNCTION("""COMPUTED_VALUE"""),"J")</f>
        <v>J</v>
      </c>
      <c r="G1570" s="110">
        <f ca="1">IFERROR(__xludf.DUMMYFUNCTION("""COMPUTED_VALUE"""),6)</f>
        <v>6</v>
      </c>
      <c r="H1570" s="112" t="str">
        <f ca="1"/>
        <v/>
      </c>
      <c r="I1570" s="112" t="str">
        <f ca="1"/>
        <v/>
      </c>
    </row>
    <row r="1571" spans="1:9" ht="13.2">
      <c r="A1571" s="109" t="str">
        <f ca="1">IFERROR(__xludf.DUMMYFUNCTION("""COMPUTED_VALUE"""),"PAR")</f>
        <v>PAR</v>
      </c>
      <c r="B1571" s="108" t="str">
        <f ca="1">IFERROR(__xludf.DUMMYFUNCTION("""COMPUTED_VALUE"""),"Charlotte Rotteveel")</f>
        <v>Charlotte Rotteveel</v>
      </c>
      <c r="C1571" s="109">
        <f ca="1">IFERROR(__xludf.DUMMYFUNCTION("""COMPUTED_VALUE"""),8)</f>
        <v>8</v>
      </c>
      <c r="D1571" s="109" t="str">
        <f ca="1">IFERROR(__xludf.DUMMYFUNCTION("""COMPUTED_VALUE"""),"G")</f>
        <v>G</v>
      </c>
      <c r="E1571" s="110" t="str">
        <f ca="1">IFERROR(__xludf.DUMMYFUNCTION("""COMPUTED_VALUE"""),"F")</f>
        <v>F</v>
      </c>
      <c r="F1571" s="110" t="str">
        <f ca="1">IFERROR(__xludf.DUMMYFUNCTION("""COMPUTED_VALUE"""),"J")</f>
        <v>J</v>
      </c>
      <c r="G1571" s="110">
        <f ca="1">IFERROR(__xludf.DUMMYFUNCTION("""COMPUTED_VALUE"""),6)</f>
        <v>6</v>
      </c>
      <c r="H1571" s="112" t="str">
        <f ca="1"/>
        <v/>
      </c>
      <c r="I1571" s="112" t="str">
        <f ca="1"/>
        <v/>
      </c>
    </row>
    <row r="1572" spans="1:9" ht="13.2">
      <c r="A1572" s="109" t="str">
        <f ca="1">IFERROR(__xludf.DUMMYFUNCTION("""COMPUTED_VALUE"""),"PAR")</f>
        <v>PAR</v>
      </c>
      <c r="B1572" s="108" t="str">
        <f ca="1">IFERROR(__xludf.DUMMYFUNCTION("""COMPUTED_VALUE"""),"Gabby Smith")</f>
        <v>Gabby Smith</v>
      </c>
      <c r="C1572" s="109">
        <f ca="1">IFERROR(__xludf.DUMMYFUNCTION("""COMPUTED_VALUE"""),8)</f>
        <v>8</v>
      </c>
      <c r="D1572" s="109" t="str">
        <f ca="1">IFERROR(__xludf.DUMMYFUNCTION("""COMPUTED_VALUE"""),"G")</f>
        <v>G</v>
      </c>
      <c r="E1572" s="110" t="str">
        <f ca="1">IFERROR(__xludf.DUMMYFUNCTION("""COMPUTED_VALUE"""),"F")</f>
        <v>F</v>
      </c>
      <c r="F1572" s="110" t="str">
        <f ca="1">IFERROR(__xludf.DUMMYFUNCTION("""COMPUTED_VALUE"""),"J")</f>
        <v>J</v>
      </c>
      <c r="G1572" s="110">
        <f ca="1">IFERROR(__xludf.DUMMYFUNCTION("""COMPUTED_VALUE"""),6)</f>
        <v>6</v>
      </c>
      <c r="H1572" s="112" t="str">
        <f ca="1"/>
        <v/>
      </c>
      <c r="I1572" s="112" t="str">
        <f ca="1"/>
        <v/>
      </c>
    </row>
    <row r="1573" spans="1:9" ht="13.2">
      <c r="A1573" s="109" t="str">
        <f ca="1">IFERROR(__xludf.DUMMYFUNCTION("""COMPUTED_VALUE"""),"PAR")</f>
        <v>PAR</v>
      </c>
      <c r="B1573" s="108" t="str">
        <f ca="1">IFERROR(__xludf.DUMMYFUNCTION("""COMPUTED_VALUE"""),"Gabrielle Subsavage")</f>
        <v>Gabrielle Subsavage</v>
      </c>
      <c r="C1573" s="109">
        <f ca="1">IFERROR(__xludf.DUMMYFUNCTION("""COMPUTED_VALUE"""),9)</f>
        <v>9</v>
      </c>
      <c r="D1573" s="109" t="str">
        <f ca="1">IFERROR(__xludf.DUMMYFUNCTION("""COMPUTED_VALUE"""),"G")</f>
        <v>G</v>
      </c>
      <c r="E1573" s="110" t="str">
        <f ca="1">IFERROR(__xludf.DUMMYFUNCTION("""COMPUTED_VALUE"""),"F")</f>
        <v>F</v>
      </c>
      <c r="F1573" s="110" t="str">
        <f ca="1">IFERROR(__xludf.DUMMYFUNCTION("""COMPUTED_VALUE"""),"J")</f>
        <v>J</v>
      </c>
      <c r="G1573" s="110">
        <f ca="1">IFERROR(__xludf.DUMMYFUNCTION("""COMPUTED_VALUE"""),6)</f>
        <v>6</v>
      </c>
      <c r="H1573" s="112" t="str">
        <f ca="1"/>
        <v/>
      </c>
      <c r="I1573" s="81" t="str">
        <f ca="1"/>
        <v/>
      </c>
    </row>
    <row r="1574" spans="1:9" ht="13.2">
      <c r="A1574" s="109" t="str">
        <f ca="1">IFERROR(__xludf.DUMMYFUNCTION("""COMPUTED_VALUE"""),"PAR")</f>
        <v>PAR</v>
      </c>
      <c r="B1574" s="108" t="str">
        <f ca="1">IFERROR(__xludf.DUMMYFUNCTION("""COMPUTED_VALUE"""),"Hadley Miller")</f>
        <v>Hadley Miller</v>
      </c>
      <c r="C1574" s="109">
        <f ca="1">IFERROR(__xludf.DUMMYFUNCTION("""COMPUTED_VALUE"""),6)</f>
        <v>6</v>
      </c>
      <c r="D1574" s="109" t="str">
        <f ca="1">IFERROR(__xludf.DUMMYFUNCTION("""COMPUTED_VALUE"""),"G")</f>
        <v>G</v>
      </c>
      <c r="E1574" s="110" t="str">
        <f ca="1">IFERROR(__xludf.DUMMYFUNCTION("""COMPUTED_VALUE"""),"F")</f>
        <v>F</v>
      </c>
      <c r="F1574" s="110" t="str">
        <f ca="1">IFERROR(__xludf.DUMMYFUNCTION("""COMPUTED_VALUE"""),"J")</f>
        <v>J</v>
      </c>
      <c r="G1574" s="110">
        <f ca="1">IFERROR(__xludf.DUMMYFUNCTION("""COMPUTED_VALUE"""),6)</f>
        <v>6</v>
      </c>
      <c r="H1574" s="112" t="str">
        <f ca="1"/>
        <v/>
      </c>
      <c r="I1574" s="112" t="str">
        <f ca="1"/>
        <v/>
      </c>
    </row>
    <row r="1575" spans="1:9" ht="13.2">
      <c r="A1575" s="109" t="str">
        <f ca="1">IFERROR(__xludf.DUMMYFUNCTION("""COMPUTED_VALUE"""),"PAR")</f>
        <v>PAR</v>
      </c>
      <c r="B1575" s="108" t="str">
        <f ca="1">IFERROR(__xludf.DUMMYFUNCTION("""COMPUTED_VALUE"""),"Lara Henry")</f>
        <v>Lara Henry</v>
      </c>
      <c r="C1575" s="109">
        <f ca="1">IFERROR(__xludf.DUMMYFUNCTION("""COMPUTED_VALUE"""),8)</f>
        <v>8</v>
      </c>
      <c r="D1575" s="109" t="str">
        <f ca="1">IFERROR(__xludf.DUMMYFUNCTION("""COMPUTED_VALUE"""),"G")</f>
        <v>G</v>
      </c>
      <c r="E1575" s="110" t="str">
        <f ca="1">IFERROR(__xludf.DUMMYFUNCTION("""COMPUTED_VALUE"""),"F")</f>
        <v>F</v>
      </c>
      <c r="F1575" s="110" t="str">
        <f ca="1">IFERROR(__xludf.DUMMYFUNCTION("""COMPUTED_VALUE"""),"J")</f>
        <v>J</v>
      </c>
      <c r="G1575" s="110">
        <f ca="1">IFERROR(__xludf.DUMMYFUNCTION("""COMPUTED_VALUE"""),6)</f>
        <v>6</v>
      </c>
      <c r="H1575" s="112" t="str">
        <f ca="1"/>
        <v/>
      </c>
      <c r="I1575" s="112" t="str">
        <f ca="1"/>
        <v/>
      </c>
    </row>
    <row r="1576" spans="1:9" ht="13.2">
      <c r="A1576" s="109" t="str">
        <f ca="1">IFERROR(__xludf.DUMMYFUNCTION("""COMPUTED_VALUE"""),"PAR")</f>
        <v>PAR</v>
      </c>
      <c r="B1576" s="108" t="str">
        <f ca="1">IFERROR(__xludf.DUMMYFUNCTION("""COMPUTED_VALUE"""),"Tanisa Kanchanawanchai")</f>
        <v>Tanisa Kanchanawanchai</v>
      </c>
      <c r="C1576" s="109">
        <f ca="1">IFERROR(__xludf.DUMMYFUNCTION("""COMPUTED_VALUE"""),9)</f>
        <v>9</v>
      </c>
      <c r="D1576" s="109" t="str">
        <f ca="1">IFERROR(__xludf.DUMMYFUNCTION("""COMPUTED_VALUE"""),"G")</f>
        <v>G</v>
      </c>
      <c r="E1576" s="110" t="str">
        <f ca="1">IFERROR(__xludf.DUMMYFUNCTION("""COMPUTED_VALUE"""),"F")</f>
        <v>F</v>
      </c>
      <c r="F1576" s="110" t="str">
        <f ca="1">IFERROR(__xludf.DUMMYFUNCTION("""COMPUTED_VALUE"""),"J")</f>
        <v>J</v>
      </c>
      <c r="G1576" s="110">
        <f ca="1">IFERROR(__xludf.DUMMYFUNCTION("""COMPUTED_VALUE"""),6)</f>
        <v>6</v>
      </c>
      <c r="H1576" s="112" t="str">
        <f ca="1"/>
        <v/>
      </c>
      <c r="I1576" s="112" t="str">
        <f ca="1"/>
        <v/>
      </c>
    </row>
    <row r="1577" spans="1:9" ht="13.2">
      <c r="A1577" s="109" t="str">
        <f ca="1">IFERROR(__xludf.DUMMYFUNCTION("""COMPUTED_VALUE"""),"PAR")</f>
        <v>PAR</v>
      </c>
      <c r="B1577" s="108" t="str">
        <f ca="1">IFERROR(__xludf.DUMMYFUNCTION("""COMPUTED_VALUE"""),"Daniel Belloni")</f>
        <v>Daniel Belloni</v>
      </c>
      <c r="C1577" s="109">
        <f ca="1">IFERROR(__xludf.DUMMYFUNCTION("""COMPUTED_VALUE"""),14)</f>
        <v>14</v>
      </c>
      <c r="D1577" s="109" t="str">
        <f ca="1">IFERROR(__xludf.DUMMYFUNCTION("""COMPUTED_VALUE"""),"B")</f>
        <v>B</v>
      </c>
      <c r="E1577" s="110" t="str">
        <f ca="1">IFERROR(__xludf.DUMMYFUNCTION("""COMPUTED_VALUE"""),"I")</f>
        <v>I</v>
      </c>
      <c r="F1577" s="110" t="str">
        <f ca="1">IFERROR(__xludf.DUMMYFUNCTION("""COMPUTED_VALUE"""),"S")</f>
        <v>S</v>
      </c>
      <c r="G1577" s="110">
        <f ca="1">IFERROR(__xludf.DUMMYFUNCTION("""COMPUTED_VALUE"""),6)</f>
        <v>6</v>
      </c>
      <c r="H1577" s="112" t="str">
        <f ca="1"/>
        <v/>
      </c>
      <c r="I1577" s="81" t="str">
        <f ca="1"/>
        <v/>
      </c>
    </row>
    <row r="1578" spans="1:9" ht="13.2">
      <c r="A1578" s="109" t="str">
        <f ca="1">IFERROR(__xludf.DUMMYFUNCTION("""COMPUTED_VALUE"""),"PAR")</f>
        <v>PAR</v>
      </c>
      <c r="B1578" s="108" t="str">
        <f ca="1">IFERROR(__xludf.DUMMYFUNCTION("""COMPUTED_VALUE"""),"Evan Vink")</f>
        <v>Evan Vink</v>
      </c>
      <c r="C1578" s="109">
        <f ca="1">IFERROR(__xludf.DUMMYFUNCTION("""COMPUTED_VALUE"""),13)</f>
        <v>13</v>
      </c>
      <c r="D1578" s="109" t="str">
        <f ca="1">IFERROR(__xludf.DUMMYFUNCTION("""COMPUTED_VALUE"""),"B")</f>
        <v>B</v>
      </c>
      <c r="E1578" s="110" t="str">
        <f ca="1">IFERROR(__xludf.DUMMYFUNCTION("""COMPUTED_VALUE"""),"I")</f>
        <v>I</v>
      </c>
      <c r="F1578" s="110" t="str">
        <f ca="1">IFERROR(__xludf.DUMMYFUNCTION("""COMPUTED_VALUE"""),"S")</f>
        <v>S</v>
      </c>
      <c r="G1578" s="110">
        <f ca="1">IFERROR(__xludf.DUMMYFUNCTION("""COMPUTED_VALUE"""),6)</f>
        <v>6</v>
      </c>
      <c r="H1578" s="112" t="str">
        <f ca="1"/>
        <v/>
      </c>
      <c r="I1578" s="112" t="str">
        <f ca="1"/>
        <v/>
      </c>
    </row>
    <row r="1579" spans="1:9" ht="13.2">
      <c r="A1579" s="109" t="str">
        <f ca="1">IFERROR(__xludf.DUMMYFUNCTION("""COMPUTED_VALUE"""),"PAR")</f>
        <v>PAR</v>
      </c>
      <c r="B1579" s="108" t="str">
        <f ca="1">IFERROR(__xludf.DUMMYFUNCTION("""COMPUTED_VALUE"""),"Garrett Kendall")</f>
        <v>Garrett Kendall</v>
      </c>
      <c r="C1579" s="109">
        <f ca="1">IFERROR(__xludf.DUMMYFUNCTION("""COMPUTED_VALUE"""),14)</f>
        <v>14</v>
      </c>
      <c r="D1579" s="109" t="str">
        <f ca="1">IFERROR(__xludf.DUMMYFUNCTION("""COMPUTED_VALUE"""),"B")</f>
        <v>B</v>
      </c>
      <c r="E1579" s="110" t="str">
        <f ca="1">IFERROR(__xludf.DUMMYFUNCTION("""COMPUTED_VALUE"""),"I")</f>
        <v>I</v>
      </c>
      <c r="F1579" s="110" t="str">
        <f ca="1">IFERROR(__xludf.DUMMYFUNCTION("""COMPUTED_VALUE"""),"S")</f>
        <v>S</v>
      </c>
      <c r="G1579" s="110">
        <f ca="1">IFERROR(__xludf.DUMMYFUNCTION("""COMPUTED_VALUE"""),6)</f>
        <v>6</v>
      </c>
      <c r="H1579" s="112" t="str">
        <f ca="1"/>
        <v/>
      </c>
      <c r="I1579" s="112" t="str">
        <f ca="1"/>
        <v/>
      </c>
    </row>
    <row r="1580" spans="1:9" ht="13.2">
      <c r="A1580" s="109" t="str">
        <f ca="1">IFERROR(__xludf.DUMMYFUNCTION("""COMPUTED_VALUE"""),"PAR")</f>
        <v>PAR</v>
      </c>
      <c r="B1580" s="108" t="str">
        <f ca="1">IFERROR(__xludf.DUMMYFUNCTION("""COMPUTED_VALUE"""),"Isabel Smith")</f>
        <v>Isabel Smith</v>
      </c>
      <c r="C1580" s="109">
        <f ca="1">IFERROR(__xludf.DUMMYFUNCTION("""COMPUTED_VALUE"""),14)</f>
        <v>14</v>
      </c>
      <c r="D1580" s="109" t="str">
        <f ca="1">IFERROR(__xludf.DUMMYFUNCTION("""COMPUTED_VALUE"""),"G")</f>
        <v>G</v>
      </c>
      <c r="E1580" s="110" t="str">
        <f ca="1">IFERROR(__xludf.DUMMYFUNCTION("""COMPUTED_VALUE"""),"I")</f>
        <v>I</v>
      </c>
      <c r="F1580" s="110" t="str">
        <f ca="1">IFERROR(__xludf.DUMMYFUNCTION("""COMPUTED_VALUE"""),"S")</f>
        <v>S</v>
      </c>
      <c r="G1580" s="110">
        <f ca="1">IFERROR(__xludf.DUMMYFUNCTION("""COMPUTED_VALUE"""),6)</f>
        <v>6</v>
      </c>
      <c r="H1580" s="112" t="str">
        <f ca="1"/>
        <v/>
      </c>
      <c r="I1580" s="81" t="str">
        <f ca="1"/>
        <v/>
      </c>
    </row>
    <row r="1581" spans="1:9" ht="13.2">
      <c r="A1581" s="109" t="str">
        <f ca="1">IFERROR(__xludf.DUMMYFUNCTION("""COMPUTED_VALUE"""),"PAR")</f>
        <v>PAR</v>
      </c>
      <c r="B1581" s="108" t="str">
        <f ca="1">IFERROR(__xludf.DUMMYFUNCTION("""COMPUTED_VALUE"""),"Meg Barrie")</f>
        <v>Meg Barrie</v>
      </c>
      <c r="C1581" s="109">
        <f ca="1">IFERROR(__xludf.DUMMYFUNCTION("""COMPUTED_VALUE"""),13)</f>
        <v>13</v>
      </c>
      <c r="D1581" s="109" t="str">
        <f ca="1">IFERROR(__xludf.DUMMYFUNCTION("""COMPUTED_VALUE"""),"G")</f>
        <v>G</v>
      </c>
      <c r="E1581" s="110" t="str">
        <f ca="1">IFERROR(__xludf.DUMMYFUNCTION("""COMPUTED_VALUE"""),"I")</f>
        <v>I</v>
      </c>
      <c r="F1581" s="110" t="str">
        <f ca="1">IFERROR(__xludf.DUMMYFUNCTION("""COMPUTED_VALUE"""),"S")</f>
        <v>S</v>
      </c>
      <c r="G1581" s="110">
        <f ca="1">IFERROR(__xludf.DUMMYFUNCTION("""COMPUTED_VALUE"""),6)</f>
        <v>6</v>
      </c>
      <c r="H1581" s="112" t="str">
        <f ca="1"/>
        <v/>
      </c>
      <c r="I1581" s="81" t="str">
        <f ca="1"/>
        <v/>
      </c>
    </row>
    <row r="1582" spans="1:9" ht="13.2">
      <c r="A1582" s="109" t="str">
        <f ca="1">IFERROR(__xludf.DUMMYFUNCTION("""COMPUTED_VALUE"""),"PAR")</f>
        <v>PAR</v>
      </c>
      <c r="B1582" s="108" t="str">
        <f ca="1">IFERROR(__xludf.DUMMYFUNCTION("""COMPUTED_VALUE"""),"Alex Avila")</f>
        <v>Alex Avila</v>
      </c>
      <c r="C1582" s="109">
        <f ca="1">IFERROR(__xludf.DUMMYFUNCTION("""COMPUTED_VALUE"""),12)</f>
        <v>12</v>
      </c>
      <c r="D1582" s="109" t="str">
        <f ca="1">IFERROR(__xludf.DUMMYFUNCTION("""COMPUTED_VALUE"""),"B")</f>
        <v>B</v>
      </c>
      <c r="E1582" s="110" t="str">
        <f ca="1">IFERROR(__xludf.DUMMYFUNCTION("""COMPUTED_VALUE"""),"J")</f>
        <v>J</v>
      </c>
      <c r="F1582" s="110" t="str">
        <f ca="1">IFERROR(__xludf.DUMMYFUNCTION("""COMPUTED_VALUE"""),"I")</f>
        <v>I</v>
      </c>
      <c r="G1582" s="110">
        <f ca="1">IFERROR(__xludf.DUMMYFUNCTION("""COMPUTED_VALUE"""),6)</f>
        <v>6</v>
      </c>
      <c r="H1582" s="112" t="str">
        <f ca="1"/>
        <v/>
      </c>
      <c r="I1582" s="81" t="str">
        <f ca="1"/>
        <v/>
      </c>
    </row>
    <row r="1583" spans="1:9" ht="13.2">
      <c r="A1583" s="109" t="str">
        <f ca="1">IFERROR(__xludf.DUMMYFUNCTION("""COMPUTED_VALUE"""),"PAR")</f>
        <v>PAR</v>
      </c>
      <c r="B1583" s="108" t="str">
        <f ca="1">IFERROR(__xludf.DUMMYFUNCTION("""COMPUTED_VALUE"""),"Alex Smith")</f>
        <v>Alex Smith</v>
      </c>
      <c r="C1583" s="109">
        <f ca="1">IFERROR(__xludf.DUMMYFUNCTION("""COMPUTED_VALUE"""),11)</f>
        <v>11</v>
      </c>
      <c r="D1583" s="109" t="str">
        <f ca="1">IFERROR(__xludf.DUMMYFUNCTION("""COMPUTED_VALUE"""),"B")</f>
        <v>B</v>
      </c>
      <c r="E1583" s="110" t="str">
        <f ca="1">IFERROR(__xludf.DUMMYFUNCTION("""COMPUTED_VALUE"""),"J")</f>
        <v>J</v>
      </c>
      <c r="F1583" s="110" t="str">
        <f ca="1">IFERROR(__xludf.DUMMYFUNCTION("""COMPUTED_VALUE"""),"I")</f>
        <v>I</v>
      </c>
      <c r="G1583" s="110">
        <f ca="1">IFERROR(__xludf.DUMMYFUNCTION("""COMPUTED_VALUE"""),6)</f>
        <v>6</v>
      </c>
      <c r="H1583" s="112" t="str">
        <f ca="1"/>
        <v/>
      </c>
      <c r="I1583" s="81" t="str">
        <f ca="1"/>
        <v/>
      </c>
    </row>
    <row r="1584" spans="1:9" ht="13.2">
      <c r="A1584" s="109" t="str">
        <f ca="1">IFERROR(__xludf.DUMMYFUNCTION("""COMPUTED_VALUE"""),"PAR")</f>
        <v>PAR</v>
      </c>
      <c r="B1584" s="108" t="str">
        <f ca="1">IFERROR(__xludf.DUMMYFUNCTION("""COMPUTED_VALUE"""),"Jack Caines")</f>
        <v>Jack Caines</v>
      </c>
      <c r="C1584" s="109">
        <f ca="1">IFERROR(__xludf.DUMMYFUNCTION("""COMPUTED_VALUE"""),12)</f>
        <v>12</v>
      </c>
      <c r="D1584" s="109" t="str">
        <f ca="1">IFERROR(__xludf.DUMMYFUNCTION("""COMPUTED_VALUE"""),"B")</f>
        <v>B</v>
      </c>
      <c r="E1584" s="110" t="str">
        <f ca="1">IFERROR(__xludf.DUMMYFUNCTION("""COMPUTED_VALUE"""),"J")</f>
        <v>J</v>
      </c>
      <c r="F1584" s="110" t="str">
        <f ca="1">IFERROR(__xludf.DUMMYFUNCTION("""COMPUTED_VALUE"""),"I")</f>
        <v>I</v>
      </c>
      <c r="G1584" s="110">
        <f ca="1">IFERROR(__xludf.DUMMYFUNCTION("""COMPUTED_VALUE"""),6)</f>
        <v>6</v>
      </c>
      <c r="H1584" s="112" t="str">
        <f ca="1"/>
        <v/>
      </c>
      <c r="I1584" s="112" t="str">
        <f ca="1"/>
        <v/>
      </c>
    </row>
    <row r="1585" spans="1:9" ht="13.2">
      <c r="A1585" s="109" t="str">
        <f ca="1">IFERROR(__xludf.DUMMYFUNCTION("""COMPUTED_VALUE"""),"PAR")</f>
        <v>PAR</v>
      </c>
      <c r="B1585" s="108" t="str">
        <f ca="1">IFERROR(__xludf.DUMMYFUNCTION("""COMPUTED_VALUE"""),"Tarin Kanchanawanchai")</f>
        <v>Tarin Kanchanawanchai</v>
      </c>
      <c r="C1585" s="109">
        <f ca="1">IFERROR(__xludf.DUMMYFUNCTION("""COMPUTED_VALUE"""),12)</f>
        <v>12</v>
      </c>
      <c r="D1585" s="109" t="str">
        <f ca="1">IFERROR(__xludf.DUMMYFUNCTION("""COMPUTED_VALUE"""),"B")</f>
        <v>B</v>
      </c>
      <c r="E1585" s="110" t="str">
        <f ca="1">IFERROR(__xludf.DUMMYFUNCTION("""COMPUTED_VALUE"""),"J")</f>
        <v>J</v>
      </c>
      <c r="F1585" s="110" t="str">
        <f ca="1">IFERROR(__xludf.DUMMYFUNCTION("""COMPUTED_VALUE"""),"I")</f>
        <v>I</v>
      </c>
      <c r="G1585" s="110">
        <f ca="1">IFERROR(__xludf.DUMMYFUNCTION("""COMPUTED_VALUE"""),6)</f>
        <v>6</v>
      </c>
      <c r="H1585" s="112" t="str">
        <f ca="1"/>
        <v/>
      </c>
      <c r="I1585" s="81" t="str">
        <f ca="1"/>
        <v/>
      </c>
    </row>
    <row r="1586" spans="1:9" ht="13.2">
      <c r="A1586" s="109" t="str">
        <f ca="1">IFERROR(__xludf.DUMMYFUNCTION("""COMPUTED_VALUE"""),"PAR")</f>
        <v>PAR</v>
      </c>
      <c r="B1586" s="108" t="str">
        <f ca="1">IFERROR(__xludf.DUMMYFUNCTION("""COMPUTED_VALUE"""),"Caeden Beavers")</f>
        <v>Caeden Beavers</v>
      </c>
      <c r="C1586" s="109">
        <f ca="1">IFERROR(__xludf.DUMMYFUNCTION("""COMPUTED_VALUE"""),17)</f>
        <v>17</v>
      </c>
      <c r="D1586" s="109" t="str">
        <f ca="1">IFERROR(__xludf.DUMMYFUNCTION("""COMPUTED_VALUE"""),"B")</f>
        <v>B</v>
      </c>
      <c r="E1586" s="110" t="str">
        <f ca="1">IFERROR(__xludf.DUMMYFUNCTION("""COMPUTED_VALUE"""),"S")</f>
        <v>S</v>
      </c>
      <c r="F1586" s="110" t="str">
        <f ca="1">IFERROR(__xludf.DUMMYFUNCTION("""COMPUTED_VALUE"""),"S")</f>
        <v>S</v>
      </c>
      <c r="G1586" s="110">
        <f ca="1">IFERROR(__xludf.DUMMYFUNCTION("""COMPUTED_VALUE"""),6)</f>
        <v>6</v>
      </c>
      <c r="H1586" s="112" t="str">
        <f ca="1"/>
        <v/>
      </c>
      <c r="I1586" s="112" t="str">
        <f ca="1"/>
        <v/>
      </c>
    </row>
    <row r="1587" spans="1:9" ht="13.2">
      <c r="A1587" s="109" t="str">
        <f ca="1">IFERROR(__xludf.DUMMYFUNCTION("""COMPUTED_VALUE"""),"PAR")</f>
        <v>PAR</v>
      </c>
      <c r="B1587" s="108" t="str">
        <f ca="1">IFERROR(__xludf.DUMMYFUNCTION("""COMPUTED_VALUE"""),"Daniel Cate")</f>
        <v>Daniel Cate</v>
      </c>
      <c r="C1587" s="109">
        <f ca="1">IFERROR(__xludf.DUMMYFUNCTION("""COMPUTED_VALUE"""),15)</f>
        <v>15</v>
      </c>
      <c r="D1587" s="109" t="str">
        <f ca="1">IFERROR(__xludf.DUMMYFUNCTION("""COMPUTED_VALUE"""),"B")</f>
        <v>B</v>
      </c>
      <c r="E1587" s="110" t="str">
        <f ca="1">IFERROR(__xludf.DUMMYFUNCTION("""COMPUTED_VALUE"""),"S")</f>
        <v>S</v>
      </c>
      <c r="F1587" s="110" t="str">
        <f ca="1">IFERROR(__xludf.DUMMYFUNCTION("""COMPUTED_VALUE"""),"S")</f>
        <v>S</v>
      </c>
      <c r="G1587" s="110">
        <f ca="1">IFERROR(__xludf.DUMMYFUNCTION("""COMPUTED_VALUE"""),6)</f>
        <v>6</v>
      </c>
      <c r="H1587" s="112" t="str">
        <f ca="1"/>
        <v/>
      </c>
      <c r="I1587" s="112" t="str">
        <f ca="1"/>
        <v/>
      </c>
    </row>
    <row r="1588" spans="1:9" ht="13.2">
      <c r="A1588" s="109" t="str">
        <f ca="1">IFERROR(__xludf.DUMMYFUNCTION("""COMPUTED_VALUE"""),"PAR")</f>
        <v>PAR</v>
      </c>
      <c r="B1588" s="108" t="str">
        <f ca="1">IFERROR(__xludf.DUMMYFUNCTION("""COMPUTED_VALUE"""),"David Avila")</f>
        <v>David Avila</v>
      </c>
      <c r="C1588" s="109">
        <f ca="1">IFERROR(__xludf.DUMMYFUNCTION("""COMPUTED_VALUE"""),16)</f>
        <v>16</v>
      </c>
      <c r="D1588" s="109" t="str">
        <f ca="1">IFERROR(__xludf.DUMMYFUNCTION("""COMPUTED_VALUE"""),"B")</f>
        <v>B</v>
      </c>
      <c r="E1588" s="110" t="str">
        <f ca="1">IFERROR(__xludf.DUMMYFUNCTION("""COMPUTED_VALUE"""),"S")</f>
        <v>S</v>
      </c>
      <c r="F1588" s="110" t="str">
        <f ca="1">IFERROR(__xludf.DUMMYFUNCTION("""COMPUTED_VALUE"""),"S")</f>
        <v>S</v>
      </c>
      <c r="G1588" s="110">
        <f ca="1">IFERROR(__xludf.DUMMYFUNCTION("""COMPUTED_VALUE"""),6)</f>
        <v>6</v>
      </c>
      <c r="H1588" s="112" t="str">
        <f ca="1"/>
        <v/>
      </c>
      <c r="I1588" s="81" t="str">
        <f ca="1"/>
        <v/>
      </c>
    </row>
    <row r="1589" spans="1:9" ht="13.2">
      <c r="A1589" s="109" t="str">
        <f ca="1">IFERROR(__xludf.DUMMYFUNCTION("""COMPUTED_VALUE"""),"PAR")</f>
        <v>PAR</v>
      </c>
      <c r="B1589" s="108" t="str">
        <f ca="1">IFERROR(__xludf.DUMMYFUNCTION("""COMPUTED_VALUE"""),"Kate Barrie")</f>
        <v>Kate Barrie</v>
      </c>
      <c r="C1589" s="109">
        <f ca="1">IFERROR(__xludf.DUMMYFUNCTION("""COMPUTED_VALUE"""),16)</f>
        <v>16</v>
      </c>
      <c r="D1589" s="109" t="str">
        <f ca="1">IFERROR(__xludf.DUMMYFUNCTION("""COMPUTED_VALUE"""),"G")</f>
        <v>G</v>
      </c>
      <c r="E1589" s="110" t="str">
        <f ca="1">IFERROR(__xludf.DUMMYFUNCTION("""COMPUTED_VALUE"""),"S")</f>
        <v>S</v>
      </c>
      <c r="F1589" s="110" t="str">
        <f ca="1">IFERROR(__xludf.DUMMYFUNCTION("""COMPUTED_VALUE"""),"S")</f>
        <v>S</v>
      </c>
      <c r="G1589" s="110">
        <f ca="1">IFERROR(__xludf.DUMMYFUNCTION("""COMPUTED_VALUE"""),6)</f>
        <v>6</v>
      </c>
      <c r="H1589" s="112" t="str">
        <f ca="1"/>
        <v/>
      </c>
      <c r="I1589" s="81" t="str">
        <f ca="1"/>
        <v/>
      </c>
    </row>
    <row r="1590" spans="1:9" ht="13.2">
      <c r="A1590" s="109" t="str">
        <f ca="1">IFERROR(__xludf.DUMMYFUNCTION("""COMPUTED_VALUE"""),"PAR")</f>
        <v>PAR</v>
      </c>
      <c r="B1590" s="108" t="str">
        <f ca="1">IFERROR(__xludf.DUMMYFUNCTION("""COMPUTED_VALUE"""),"Laura Cook")</f>
        <v>Laura Cook</v>
      </c>
      <c r="C1590" s="109">
        <f ca="1">IFERROR(__xludf.DUMMYFUNCTION("""COMPUTED_VALUE"""),15)</f>
        <v>15</v>
      </c>
      <c r="D1590" s="109" t="str">
        <f ca="1">IFERROR(__xludf.DUMMYFUNCTION("""COMPUTED_VALUE"""),"G")</f>
        <v>G</v>
      </c>
      <c r="E1590" s="110" t="str">
        <f ca="1">IFERROR(__xludf.DUMMYFUNCTION("""COMPUTED_VALUE"""),"S")</f>
        <v>S</v>
      </c>
      <c r="F1590" s="110" t="str">
        <f ca="1">IFERROR(__xludf.DUMMYFUNCTION("""COMPUTED_VALUE"""),"S")</f>
        <v>S</v>
      </c>
      <c r="G1590" s="110">
        <f ca="1">IFERROR(__xludf.DUMMYFUNCTION("""COMPUTED_VALUE"""),6)</f>
        <v>6</v>
      </c>
      <c r="H1590" s="112" t="str">
        <f ca="1"/>
        <v/>
      </c>
      <c r="I1590" s="81" t="str">
        <f ca="1"/>
        <v/>
      </c>
    </row>
    <row r="1591" spans="1:9" ht="13.2">
      <c r="A1591" s="109" t="str">
        <f ca="1">IFERROR(__xludf.DUMMYFUNCTION("""COMPUTED_VALUE"""),"PC")</f>
        <v>PC</v>
      </c>
      <c r="B1591" s="108" t="str">
        <f ca="1">IFERROR(__xludf.DUMMYFUNCTION("""COMPUTED_VALUE"""),"Aaron Barger")</f>
        <v>Aaron Barger</v>
      </c>
      <c r="C1591" s="109">
        <f ca="1">IFERROR(__xludf.DUMMYFUNCTION("""COMPUTED_VALUE"""),8)</f>
        <v>8</v>
      </c>
      <c r="D1591" s="109" t="str">
        <f ca="1">IFERROR(__xludf.DUMMYFUNCTION("""COMPUTED_VALUE"""),"B")</f>
        <v>B</v>
      </c>
      <c r="E1591" s="110" t="str">
        <f ca="1">IFERROR(__xludf.DUMMYFUNCTION("""COMPUTED_VALUE"""),"F")</f>
        <v>F</v>
      </c>
      <c r="F1591" s="110" t="str">
        <f ca="1">IFERROR(__xludf.DUMMYFUNCTION("""COMPUTED_VALUE"""),"J")</f>
        <v>J</v>
      </c>
      <c r="G1591" s="110">
        <f ca="1">IFERROR(__xludf.DUMMYFUNCTION("""COMPUTED_VALUE"""),3)</f>
        <v>3</v>
      </c>
      <c r="H1591" s="112" t="str">
        <f ca="1"/>
        <v/>
      </c>
      <c r="I1591" s="112" t="str">
        <f ca="1"/>
        <v/>
      </c>
    </row>
    <row r="1592" spans="1:9" ht="13.2">
      <c r="A1592" s="109" t="str">
        <f ca="1">IFERROR(__xludf.DUMMYFUNCTION("""COMPUTED_VALUE"""),"PC")</f>
        <v>PC</v>
      </c>
      <c r="B1592" s="108" t="str">
        <f ca="1">IFERROR(__xludf.DUMMYFUNCTION("""COMPUTED_VALUE"""),"Ian Douglass")</f>
        <v>Ian Douglass</v>
      </c>
      <c r="C1592" s="109">
        <f ca="1">IFERROR(__xludf.DUMMYFUNCTION("""COMPUTED_VALUE"""),8)</f>
        <v>8</v>
      </c>
      <c r="D1592" s="109" t="str">
        <f ca="1">IFERROR(__xludf.DUMMYFUNCTION("""COMPUTED_VALUE"""),"B")</f>
        <v>B</v>
      </c>
      <c r="E1592" s="110" t="str">
        <f ca="1">IFERROR(__xludf.DUMMYFUNCTION("""COMPUTED_VALUE"""),"F")</f>
        <v>F</v>
      </c>
      <c r="F1592" s="110" t="str">
        <f ca="1">IFERROR(__xludf.DUMMYFUNCTION("""COMPUTED_VALUE"""),"J")</f>
        <v>J</v>
      </c>
      <c r="G1592" s="110">
        <f ca="1">IFERROR(__xludf.DUMMYFUNCTION("""COMPUTED_VALUE"""),3)</f>
        <v>3</v>
      </c>
      <c r="H1592" s="112" t="str">
        <f ca="1"/>
        <v/>
      </c>
      <c r="I1592" s="112" t="str">
        <f ca="1"/>
        <v/>
      </c>
    </row>
    <row r="1593" spans="1:9" ht="13.2">
      <c r="A1593" s="109" t="str">
        <f ca="1">IFERROR(__xludf.DUMMYFUNCTION("""COMPUTED_VALUE"""),"PC")</f>
        <v>PC</v>
      </c>
      <c r="B1593" s="108" t="str">
        <f ca="1">IFERROR(__xludf.DUMMYFUNCTION("""COMPUTED_VALUE"""),"John Paul Ryan")</f>
        <v>John Paul Ryan</v>
      </c>
      <c r="C1593" s="109">
        <f ca="1">IFERROR(__xludf.DUMMYFUNCTION("""COMPUTED_VALUE"""),9)</f>
        <v>9</v>
      </c>
      <c r="D1593" s="109" t="str">
        <f ca="1">IFERROR(__xludf.DUMMYFUNCTION("""COMPUTED_VALUE"""),"B")</f>
        <v>B</v>
      </c>
      <c r="E1593" s="110" t="str">
        <f ca="1">IFERROR(__xludf.DUMMYFUNCTION("""COMPUTED_VALUE"""),"F")</f>
        <v>F</v>
      </c>
      <c r="F1593" s="110" t="str">
        <f ca="1">IFERROR(__xludf.DUMMYFUNCTION("""COMPUTED_VALUE"""),"J")</f>
        <v>J</v>
      </c>
      <c r="G1593" s="110">
        <f ca="1">IFERROR(__xludf.DUMMYFUNCTION("""COMPUTED_VALUE"""),3)</f>
        <v>3</v>
      </c>
      <c r="H1593" s="112" t="str">
        <f ca="1"/>
        <v/>
      </c>
      <c r="I1593" s="112" t="str">
        <f ca="1"/>
        <v/>
      </c>
    </row>
    <row r="1594" spans="1:9" ht="13.2">
      <c r="A1594" s="109" t="str">
        <f ca="1">IFERROR(__xludf.DUMMYFUNCTION("""COMPUTED_VALUE"""),"PC")</f>
        <v>PC</v>
      </c>
      <c r="B1594" s="108" t="str">
        <f ca="1">IFERROR(__xludf.DUMMYFUNCTION("""COMPUTED_VALUE"""),"Nicholas Ivey")</f>
        <v>Nicholas Ivey</v>
      </c>
      <c r="C1594" s="109">
        <f ca="1">IFERROR(__xludf.DUMMYFUNCTION("""COMPUTED_VALUE"""),9)</f>
        <v>9</v>
      </c>
      <c r="D1594" s="109" t="str">
        <f ca="1">IFERROR(__xludf.DUMMYFUNCTION("""COMPUTED_VALUE"""),"B")</f>
        <v>B</v>
      </c>
      <c r="E1594" s="110" t="str">
        <f ca="1">IFERROR(__xludf.DUMMYFUNCTION("""COMPUTED_VALUE"""),"F")</f>
        <v>F</v>
      </c>
      <c r="F1594" s="110" t="str">
        <f ca="1">IFERROR(__xludf.DUMMYFUNCTION("""COMPUTED_VALUE"""),"J")</f>
        <v>J</v>
      </c>
      <c r="G1594" s="110">
        <f ca="1">IFERROR(__xludf.DUMMYFUNCTION("""COMPUTED_VALUE"""),3)</f>
        <v>3</v>
      </c>
      <c r="H1594" s="112" t="str">
        <f ca="1"/>
        <v/>
      </c>
      <c r="I1594" s="81" t="str">
        <f ca="1"/>
        <v/>
      </c>
    </row>
    <row r="1595" spans="1:9" ht="13.2">
      <c r="A1595" s="109" t="str">
        <f ca="1">IFERROR(__xludf.DUMMYFUNCTION("""COMPUTED_VALUE"""),"PC")</f>
        <v>PC</v>
      </c>
      <c r="B1595" s="108" t="str">
        <f ca="1">IFERROR(__xludf.DUMMYFUNCTION("""COMPUTED_VALUE"""),"Timothy Barger")</f>
        <v>Timothy Barger</v>
      </c>
      <c r="C1595" s="109">
        <f ca="1">IFERROR(__xludf.DUMMYFUNCTION("""COMPUTED_VALUE"""),7)</f>
        <v>7</v>
      </c>
      <c r="D1595" s="109" t="str">
        <f ca="1">IFERROR(__xludf.DUMMYFUNCTION("""COMPUTED_VALUE"""),"B")</f>
        <v>B</v>
      </c>
      <c r="E1595" s="110" t="str">
        <f ca="1">IFERROR(__xludf.DUMMYFUNCTION("""COMPUTED_VALUE"""),"F")</f>
        <v>F</v>
      </c>
      <c r="F1595" s="110" t="str">
        <f ca="1">IFERROR(__xludf.DUMMYFUNCTION("""COMPUTED_VALUE"""),"J")</f>
        <v>J</v>
      </c>
      <c r="G1595" s="110">
        <f ca="1">IFERROR(__xludf.DUMMYFUNCTION("""COMPUTED_VALUE"""),3)</f>
        <v>3</v>
      </c>
      <c r="H1595" s="112" t="str">
        <f ca="1"/>
        <v/>
      </c>
      <c r="I1595" s="81" t="str">
        <f ca="1"/>
        <v/>
      </c>
    </row>
    <row r="1596" spans="1:9" ht="13.2">
      <c r="A1596" s="109" t="str">
        <f ca="1">IFERROR(__xludf.DUMMYFUNCTION("""COMPUTED_VALUE"""),"PC")</f>
        <v>PC</v>
      </c>
      <c r="B1596" s="108" t="str">
        <f ca="1">IFERROR(__xludf.DUMMYFUNCTION("""COMPUTED_VALUE"""),"Annie Dunlavy")</f>
        <v>Annie Dunlavy</v>
      </c>
      <c r="C1596" s="109">
        <f ca="1">IFERROR(__xludf.DUMMYFUNCTION("""COMPUTED_VALUE"""),7)</f>
        <v>7</v>
      </c>
      <c r="D1596" s="109" t="str">
        <f ca="1">IFERROR(__xludf.DUMMYFUNCTION("""COMPUTED_VALUE"""),"G")</f>
        <v>G</v>
      </c>
      <c r="E1596" s="110" t="str">
        <f ca="1">IFERROR(__xludf.DUMMYFUNCTION("""COMPUTED_VALUE"""),"F")</f>
        <v>F</v>
      </c>
      <c r="F1596" s="110" t="str">
        <f ca="1">IFERROR(__xludf.DUMMYFUNCTION("""COMPUTED_VALUE"""),"J")</f>
        <v>J</v>
      </c>
      <c r="G1596" s="110">
        <f ca="1">IFERROR(__xludf.DUMMYFUNCTION("""COMPUTED_VALUE"""),3)</f>
        <v>3</v>
      </c>
      <c r="H1596" s="112" t="str">
        <f ca="1"/>
        <v/>
      </c>
      <c r="I1596" s="112" t="str">
        <f ca="1"/>
        <v/>
      </c>
    </row>
    <row r="1597" spans="1:9" ht="13.2">
      <c r="A1597" s="109" t="str">
        <f ca="1">IFERROR(__xludf.DUMMYFUNCTION("""COMPUTED_VALUE"""),"PC")</f>
        <v>PC</v>
      </c>
      <c r="B1597" s="108" t="str">
        <f ca="1">IFERROR(__xludf.DUMMYFUNCTION("""COMPUTED_VALUE"""),"Caris Allen")</f>
        <v>Caris Allen</v>
      </c>
      <c r="C1597" s="109">
        <f ca="1">IFERROR(__xludf.DUMMYFUNCTION("""COMPUTED_VALUE"""),8)</f>
        <v>8</v>
      </c>
      <c r="D1597" s="109" t="str">
        <f ca="1">IFERROR(__xludf.DUMMYFUNCTION("""COMPUTED_VALUE"""),"G")</f>
        <v>G</v>
      </c>
      <c r="E1597" s="110" t="str">
        <f ca="1">IFERROR(__xludf.DUMMYFUNCTION("""COMPUTED_VALUE"""),"F")</f>
        <v>F</v>
      </c>
      <c r="F1597" s="110" t="str">
        <f ca="1">IFERROR(__xludf.DUMMYFUNCTION("""COMPUTED_VALUE"""),"J")</f>
        <v>J</v>
      </c>
      <c r="G1597" s="110">
        <f ca="1">IFERROR(__xludf.DUMMYFUNCTION("""COMPUTED_VALUE"""),3)</f>
        <v>3</v>
      </c>
      <c r="H1597" s="112" t="str">
        <f ca="1"/>
        <v/>
      </c>
      <c r="I1597" s="81" t="str">
        <f ca="1"/>
        <v/>
      </c>
    </row>
    <row r="1598" spans="1:9" ht="13.2">
      <c r="A1598" s="109" t="str">
        <f ca="1">IFERROR(__xludf.DUMMYFUNCTION("""COMPUTED_VALUE"""),"PC")</f>
        <v>PC</v>
      </c>
      <c r="B1598" s="108" t="str">
        <f ca="1">IFERROR(__xludf.DUMMYFUNCTION("""COMPUTED_VALUE"""),"Chloe Kennedy")</f>
        <v>Chloe Kennedy</v>
      </c>
      <c r="C1598" s="109">
        <f ca="1">IFERROR(__xludf.DUMMYFUNCTION("""COMPUTED_VALUE"""),7)</f>
        <v>7</v>
      </c>
      <c r="D1598" s="109" t="str">
        <f ca="1">IFERROR(__xludf.DUMMYFUNCTION("""COMPUTED_VALUE"""),"G")</f>
        <v>G</v>
      </c>
      <c r="E1598" s="110" t="str">
        <f ca="1">IFERROR(__xludf.DUMMYFUNCTION("""COMPUTED_VALUE"""),"F")</f>
        <v>F</v>
      </c>
      <c r="F1598" s="110" t="str">
        <f ca="1">IFERROR(__xludf.DUMMYFUNCTION("""COMPUTED_VALUE"""),"J")</f>
        <v>J</v>
      </c>
      <c r="G1598" s="110">
        <f ca="1">IFERROR(__xludf.DUMMYFUNCTION("""COMPUTED_VALUE"""),3)</f>
        <v>3</v>
      </c>
      <c r="H1598" s="112" t="str">
        <f ca="1"/>
        <v/>
      </c>
      <c r="I1598" s="112" t="str">
        <f ca="1"/>
        <v/>
      </c>
    </row>
    <row r="1599" spans="1:9" ht="13.2">
      <c r="A1599" s="109" t="str">
        <f ca="1">IFERROR(__xludf.DUMMYFUNCTION("""COMPUTED_VALUE"""),"PC")</f>
        <v>PC</v>
      </c>
      <c r="B1599" s="108" t="str">
        <f ca="1">IFERROR(__xludf.DUMMYFUNCTION("""COMPUTED_VALUE"""),"Ella Dunlavy")</f>
        <v>Ella Dunlavy</v>
      </c>
      <c r="C1599" s="109">
        <f ca="1">IFERROR(__xludf.DUMMYFUNCTION("""COMPUTED_VALUE"""),10)</f>
        <v>10</v>
      </c>
      <c r="D1599" s="109" t="str">
        <f ca="1">IFERROR(__xludf.DUMMYFUNCTION("""COMPUTED_VALUE"""),"G")</f>
        <v>G</v>
      </c>
      <c r="E1599" s="110" t="str">
        <f ca="1">IFERROR(__xludf.DUMMYFUNCTION("""COMPUTED_VALUE"""),"F")</f>
        <v>F</v>
      </c>
      <c r="F1599" s="110" t="str">
        <f ca="1">IFERROR(__xludf.DUMMYFUNCTION("""COMPUTED_VALUE"""),"J")</f>
        <v>J</v>
      </c>
      <c r="G1599" s="110">
        <f ca="1">IFERROR(__xludf.DUMMYFUNCTION("""COMPUTED_VALUE"""),3)</f>
        <v>3</v>
      </c>
      <c r="H1599" s="112" t="str">
        <f ca="1"/>
        <v/>
      </c>
      <c r="I1599" s="81" t="str">
        <f ca="1"/>
        <v/>
      </c>
    </row>
    <row r="1600" spans="1:9" ht="13.2">
      <c r="A1600" s="109" t="str">
        <f ca="1">IFERROR(__xludf.DUMMYFUNCTION("""COMPUTED_VALUE"""),"PC")</f>
        <v>PC</v>
      </c>
      <c r="B1600" s="108" t="str">
        <f ca="1">IFERROR(__xludf.DUMMYFUNCTION("""COMPUTED_VALUE"""),"Julia Kennedy")</f>
        <v>Julia Kennedy</v>
      </c>
      <c r="C1600" s="109">
        <f ca="1">IFERROR(__xludf.DUMMYFUNCTION("""COMPUTED_VALUE"""),9)</f>
        <v>9</v>
      </c>
      <c r="D1600" s="109" t="str">
        <f ca="1">IFERROR(__xludf.DUMMYFUNCTION("""COMPUTED_VALUE"""),"G")</f>
        <v>G</v>
      </c>
      <c r="E1600" s="110" t="str">
        <f ca="1">IFERROR(__xludf.DUMMYFUNCTION("""COMPUTED_VALUE"""),"F")</f>
        <v>F</v>
      </c>
      <c r="F1600" s="110" t="str">
        <f ca="1">IFERROR(__xludf.DUMMYFUNCTION("""COMPUTED_VALUE"""),"J")</f>
        <v>J</v>
      </c>
      <c r="G1600" s="110">
        <f ca="1">IFERROR(__xludf.DUMMYFUNCTION("""COMPUTED_VALUE"""),3)</f>
        <v>3</v>
      </c>
      <c r="H1600" s="112" t="str">
        <f ca="1"/>
        <v/>
      </c>
      <c r="I1600" s="112" t="str">
        <f ca="1"/>
        <v/>
      </c>
    </row>
    <row r="1601" spans="1:9" ht="13.2">
      <c r="A1601" s="109" t="str">
        <f ca="1">IFERROR(__xludf.DUMMYFUNCTION("""COMPUTED_VALUE"""),"PC")</f>
        <v>PC</v>
      </c>
      <c r="B1601" s="108" t="str">
        <f ca="1">IFERROR(__xludf.DUMMYFUNCTION("""COMPUTED_VALUE"""),"Kayla Zheng")</f>
        <v>Kayla Zheng</v>
      </c>
      <c r="C1601" s="109">
        <f ca="1">IFERROR(__xludf.DUMMYFUNCTION("""COMPUTED_VALUE"""),10)</f>
        <v>10</v>
      </c>
      <c r="D1601" s="109" t="str">
        <f ca="1">IFERROR(__xludf.DUMMYFUNCTION("""COMPUTED_VALUE"""),"G")</f>
        <v>G</v>
      </c>
      <c r="E1601" s="110" t="str">
        <f ca="1">IFERROR(__xludf.DUMMYFUNCTION("""COMPUTED_VALUE"""),"F")</f>
        <v>F</v>
      </c>
      <c r="F1601" s="110" t="str">
        <f ca="1">IFERROR(__xludf.DUMMYFUNCTION("""COMPUTED_VALUE"""),"J")</f>
        <v>J</v>
      </c>
      <c r="G1601" s="110">
        <f ca="1">IFERROR(__xludf.DUMMYFUNCTION("""COMPUTED_VALUE"""),3)</f>
        <v>3</v>
      </c>
      <c r="H1601" s="112" t="str">
        <f ca="1"/>
        <v/>
      </c>
      <c r="I1601" s="81" t="str">
        <f ca="1"/>
        <v/>
      </c>
    </row>
    <row r="1602" spans="1:9" ht="13.2">
      <c r="A1602" s="109" t="str">
        <f ca="1">IFERROR(__xludf.DUMMYFUNCTION("""COMPUTED_VALUE"""),"PC")</f>
        <v>PC</v>
      </c>
      <c r="B1602" s="108" t="str">
        <f ca="1">IFERROR(__xludf.DUMMYFUNCTION("""COMPUTED_VALUE"""),"Leandra Barger")</f>
        <v>Leandra Barger</v>
      </c>
      <c r="C1602" s="109">
        <f ca="1">IFERROR(__xludf.DUMMYFUNCTION("""COMPUTED_VALUE"""),10)</f>
        <v>10</v>
      </c>
      <c r="D1602" s="109" t="str">
        <f ca="1">IFERROR(__xludf.DUMMYFUNCTION("""COMPUTED_VALUE"""),"G")</f>
        <v>G</v>
      </c>
      <c r="E1602" s="110" t="str">
        <f ca="1">IFERROR(__xludf.DUMMYFUNCTION("""COMPUTED_VALUE"""),"F")</f>
        <v>F</v>
      </c>
      <c r="F1602" s="110" t="str">
        <f ca="1">IFERROR(__xludf.DUMMYFUNCTION("""COMPUTED_VALUE"""),"J")</f>
        <v>J</v>
      </c>
      <c r="G1602" s="110">
        <f ca="1">IFERROR(__xludf.DUMMYFUNCTION("""COMPUTED_VALUE"""),3)</f>
        <v>3</v>
      </c>
      <c r="H1602" s="112" t="str">
        <f ca="1"/>
        <v/>
      </c>
      <c r="I1602" s="81" t="str">
        <f ca="1"/>
        <v/>
      </c>
    </row>
    <row r="1603" spans="1:9" ht="13.2">
      <c r="A1603" s="109" t="str">
        <f ca="1">IFERROR(__xludf.DUMMYFUNCTION("""COMPUTED_VALUE"""),"PC")</f>
        <v>PC</v>
      </c>
      <c r="B1603" s="108" t="str">
        <f ca="1">IFERROR(__xludf.DUMMYFUNCTION("""COMPUTED_VALUE"""),"Libby Costello")</f>
        <v>Libby Costello</v>
      </c>
      <c r="C1603" s="109">
        <f ca="1">IFERROR(__xludf.DUMMYFUNCTION("""COMPUTED_VALUE"""),8)</f>
        <v>8</v>
      </c>
      <c r="D1603" s="109" t="str">
        <f ca="1">IFERROR(__xludf.DUMMYFUNCTION("""COMPUTED_VALUE"""),"G")</f>
        <v>G</v>
      </c>
      <c r="E1603" s="110" t="str">
        <f ca="1">IFERROR(__xludf.DUMMYFUNCTION("""COMPUTED_VALUE"""),"F")</f>
        <v>F</v>
      </c>
      <c r="F1603" s="110" t="str">
        <f ca="1">IFERROR(__xludf.DUMMYFUNCTION("""COMPUTED_VALUE"""),"J")</f>
        <v>J</v>
      </c>
      <c r="G1603" s="110">
        <f ca="1">IFERROR(__xludf.DUMMYFUNCTION("""COMPUTED_VALUE"""),3)</f>
        <v>3</v>
      </c>
      <c r="H1603" s="112" t="str">
        <f ca="1"/>
        <v/>
      </c>
      <c r="I1603" s="81" t="str">
        <f ca="1"/>
        <v/>
      </c>
    </row>
    <row r="1604" spans="1:9" ht="13.2">
      <c r="A1604" s="109" t="str">
        <f ca="1">IFERROR(__xludf.DUMMYFUNCTION("""COMPUTED_VALUE"""),"PC")</f>
        <v>PC</v>
      </c>
      <c r="B1604" s="108" t="str">
        <f ca="1">IFERROR(__xludf.DUMMYFUNCTION("""COMPUTED_VALUE"""),"Maddie Yappel")</f>
        <v>Maddie Yappel</v>
      </c>
      <c r="C1604" s="109">
        <f ca="1">IFERROR(__xludf.DUMMYFUNCTION("""COMPUTED_VALUE"""),8)</f>
        <v>8</v>
      </c>
      <c r="D1604" s="109" t="str">
        <f ca="1">IFERROR(__xludf.DUMMYFUNCTION("""COMPUTED_VALUE"""),"G")</f>
        <v>G</v>
      </c>
      <c r="E1604" s="110" t="str">
        <f ca="1">IFERROR(__xludf.DUMMYFUNCTION("""COMPUTED_VALUE"""),"F")</f>
        <v>F</v>
      </c>
      <c r="F1604" s="110" t="str">
        <f ca="1">IFERROR(__xludf.DUMMYFUNCTION("""COMPUTED_VALUE"""),"J")</f>
        <v>J</v>
      </c>
      <c r="G1604" s="110">
        <f ca="1">IFERROR(__xludf.DUMMYFUNCTION("""COMPUTED_VALUE"""),3)</f>
        <v>3</v>
      </c>
      <c r="H1604" s="112" t="str">
        <f ca="1"/>
        <v/>
      </c>
      <c r="I1604" s="112" t="str">
        <f ca="1"/>
        <v/>
      </c>
    </row>
    <row r="1605" spans="1:9" ht="13.2">
      <c r="A1605" s="109" t="str">
        <f ca="1">IFERROR(__xludf.DUMMYFUNCTION("""COMPUTED_VALUE"""),"PC")</f>
        <v>PC</v>
      </c>
      <c r="B1605" s="108" t="str">
        <f ca="1">IFERROR(__xludf.DUMMYFUNCTION("""COMPUTED_VALUE"""),"Colin Guggenmos")</f>
        <v>Colin Guggenmos</v>
      </c>
      <c r="C1605" s="109">
        <f ca="1">IFERROR(__xludf.DUMMYFUNCTION("""COMPUTED_VALUE"""),14)</f>
        <v>14</v>
      </c>
      <c r="D1605" s="109" t="str">
        <f ca="1">IFERROR(__xludf.DUMMYFUNCTION("""COMPUTED_VALUE"""),"B")</f>
        <v>B</v>
      </c>
      <c r="E1605" s="110" t="str">
        <f ca="1">IFERROR(__xludf.DUMMYFUNCTION("""COMPUTED_VALUE"""),"I")</f>
        <v>I</v>
      </c>
      <c r="F1605" s="110" t="str">
        <f ca="1">IFERROR(__xludf.DUMMYFUNCTION("""COMPUTED_VALUE"""),"S")</f>
        <v>S</v>
      </c>
      <c r="G1605" s="110">
        <f ca="1">IFERROR(__xludf.DUMMYFUNCTION("""COMPUTED_VALUE"""),3)</f>
        <v>3</v>
      </c>
      <c r="H1605" s="112" t="str">
        <f ca="1"/>
        <v/>
      </c>
      <c r="I1605" s="81" t="str">
        <f ca="1"/>
        <v/>
      </c>
    </row>
    <row r="1606" spans="1:9" ht="13.2">
      <c r="A1606" s="109" t="str">
        <f ca="1">IFERROR(__xludf.DUMMYFUNCTION("""COMPUTED_VALUE"""),"PC")</f>
        <v>PC</v>
      </c>
      <c r="B1606" s="108" t="str">
        <f ca="1">IFERROR(__xludf.DUMMYFUNCTION("""COMPUTED_VALUE"""),"Jackson Ward")</f>
        <v>Jackson Ward</v>
      </c>
      <c r="C1606" s="109">
        <f ca="1">IFERROR(__xludf.DUMMYFUNCTION("""COMPUTED_VALUE"""),14)</f>
        <v>14</v>
      </c>
      <c r="D1606" s="109" t="str">
        <f ca="1">IFERROR(__xludf.DUMMYFUNCTION("""COMPUTED_VALUE"""),"B")</f>
        <v>B</v>
      </c>
      <c r="E1606" s="110" t="str">
        <f ca="1">IFERROR(__xludf.DUMMYFUNCTION("""COMPUTED_VALUE"""),"I")</f>
        <v>I</v>
      </c>
      <c r="F1606" s="110" t="str">
        <f ca="1">IFERROR(__xludf.DUMMYFUNCTION("""COMPUTED_VALUE"""),"S")</f>
        <v>S</v>
      </c>
      <c r="G1606" s="110">
        <f ca="1">IFERROR(__xludf.DUMMYFUNCTION("""COMPUTED_VALUE"""),3)</f>
        <v>3</v>
      </c>
      <c r="H1606" s="112" t="str">
        <f ca="1"/>
        <v/>
      </c>
      <c r="I1606" s="81" t="str">
        <f ca="1"/>
        <v/>
      </c>
    </row>
    <row r="1607" spans="1:9" ht="13.2">
      <c r="A1607" s="109" t="str">
        <f ca="1">IFERROR(__xludf.DUMMYFUNCTION("""COMPUTED_VALUE"""),"PC")</f>
        <v>PC</v>
      </c>
      <c r="B1607" s="108" t="str">
        <f ca="1">IFERROR(__xludf.DUMMYFUNCTION("""COMPUTED_VALUE"""),"Ken White")</f>
        <v>Ken White</v>
      </c>
      <c r="C1607" s="109">
        <f ca="1">IFERROR(__xludf.DUMMYFUNCTION("""COMPUTED_VALUE"""),13)</f>
        <v>13</v>
      </c>
      <c r="D1607" s="109" t="str">
        <f ca="1">IFERROR(__xludf.DUMMYFUNCTION("""COMPUTED_VALUE"""),"B")</f>
        <v>B</v>
      </c>
      <c r="E1607" s="110" t="str">
        <f ca="1">IFERROR(__xludf.DUMMYFUNCTION("""COMPUTED_VALUE"""),"I")</f>
        <v>I</v>
      </c>
      <c r="F1607" s="110" t="str">
        <f ca="1">IFERROR(__xludf.DUMMYFUNCTION("""COMPUTED_VALUE"""),"S")</f>
        <v>S</v>
      </c>
      <c r="G1607" s="110">
        <f ca="1">IFERROR(__xludf.DUMMYFUNCTION("""COMPUTED_VALUE"""),3)</f>
        <v>3</v>
      </c>
      <c r="H1607" s="112" t="str">
        <f ca="1"/>
        <v/>
      </c>
      <c r="I1607" s="81" t="str">
        <f ca="1"/>
        <v/>
      </c>
    </row>
    <row r="1608" spans="1:9" ht="13.2">
      <c r="A1608" s="109" t="str">
        <f ca="1">IFERROR(__xludf.DUMMYFUNCTION("""COMPUTED_VALUE"""),"PC")</f>
        <v>PC</v>
      </c>
      <c r="B1608" s="108" t="str">
        <f ca="1">IFERROR(__xludf.DUMMYFUNCTION("""COMPUTED_VALUE"""),"Graci Vlattas")</f>
        <v>Graci Vlattas</v>
      </c>
      <c r="C1608" s="109">
        <f ca="1">IFERROR(__xludf.DUMMYFUNCTION("""COMPUTED_VALUE"""),13)</f>
        <v>13</v>
      </c>
      <c r="D1608" s="109" t="str">
        <f ca="1">IFERROR(__xludf.DUMMYFUNCTION("""COMPUTED_VALUE"""),"G")</f>
        <v>G</v>
      </c>
      <c r="E1608" s="110" t="str">
        <f ca="1">IFERROR(__xludf.DUMMYFUNCTION("""COMPUTED_VALUE"""),"I")</f>
        <v>I</v>
      </c>
      <c r="F1608" s="110" t="str">
        <f ca="1">IFERROR(__xludf.DUMMYFUNCTION("""COMPUTED_VALUE"""),"S")</f>
        <v>S</v>
      </c>
      <c r="G1608" s="110">
        <f ca="1">IFERROR(__xludf.DUMMYFUNCTION("""COMPUTED_VALUE"""),3)</f>
        <v>3</v>
      </c>
      <c r="H1608" s="112" t="str">
        <f ca="1"/>
        <v/>
      </c>
      <c r="I1608" s="112" t="str">
        <f ca="1"/>
        <v/>
      </c>
    </row>
    <row r="1609" spans="1:9" ht="13.2">
      <c r="A1609" s="109" t="str">
        <f ca="1">IFERROR(__xludf.DUMMYFUNCTION("""COMPUTED_VALUE"""),"PC")</f>
        <v>PC</v>
      </c>
      <c r="B1609" s="108" t="str">
        <f ca="1">IFERROR(__xludf.DUMMYFUNCTION("""COMPUTED_VALUE"""),"Hannah Burstein")</f>
        <v>Hannah Burstein</v>
      </c>
      <c r="C1609" s="109">
        <f ca="1">IFERROR(__xludf.DUMMYFUNCTION("""COMPUTED_VALUE"""),13)</f>
        <v>13</v>
      </c>
      <c r="D1609" s="109" t="str">
        <f ca="1">IFERROR(__xludf.DUMMYFUNCTION("""COMPUTED_VALUE"""),"G")</f>
        <v>G</v>
      </c>
      <c r="E1609" s="110" t="str">
        <f ca="1">IFERROR(__xludf.DUMMYFUNCTION("""COMPUTED_VALUE"""),"I")</f>
        <v>I</v>
      </c>
      <c r="F1609" s="110" t="str">
        <f ca="1">IFERROR(__xludf.DUMMYFUNCTION("""COMPUTED_VALUE"""),"S")</f>
        <v>S</v>
      </c>
      <c r="G1609" s="110">
        <f ca="1">IFERROR(__xludf.DUMMYFUNCTION("""COMPUTED_VALUE"""),3)</f>
        <v>3</v>
      </c>
      <c r="H1609" s="112" t="str">
        <f ca="1"/>
        <v/>
      </c>
      <c r="I1609" s="81" t="str">
        <f ca="1"/>
        <v/>
      </c>
    </row>
    <row r="1610" spans="1:9" ht="13.2">
      <c r="A1610" s="109" t="str">
        <f ca="1">IFERROR(__xludf.DUMMYFUNCTION("""COMPUTED_VALUE"""),"PC")</f>
        <v>PC</v>
      </c>
      <c r="B1610" s="108" t="str">
        <f ca="1">IFERROR(__xludf.DUMMYFUNCTION("""COMPUTED_VALUE"""),"Isabella Cardona")</f>
        <v>Isabella Cardona</v>
      </c>
      <c r="C1610" s="109">
        <f ca="1">IFERROR(__xludf.DUMMYFUNCTION("""COMPUTED_VALUE"""),14)</f>
        <v>14</v>
      </c>
      <c r="D1610" s="109" t="str">
        <f ca="1">IFERROR(__xludf.DUMMYFUNCTION("""COMPUTED_VALUE"""),"G")</f>
        <v>G</v>
      </c>
      <c r="E1610" s="110" t="str">
        <f ca="1">IFERROR(__xludf.DUMMYFUNCTION("""COMPUTED_VALUE"""),"I")</f>
        <v>I</v>
      </c>
      <c r="F1610" s="110" t="str">
        <f ca="1">IFERROR(__xludf.DUMMYFUNCTION("""COMPUTED_VALUE"""),"S")</f>
        <v>S</v>
      </c>
      <c r="G1610" s="110">
        <f ca="1">IFERROR(__xludf.DUMMYFUNCTION("""COMPUTED_VALUE"""),3)</f>
        <v>3</v>
      </c>
      <c r="H1610" s="112" t="str">
        <f ca="1"/>
        <v/>
      </c>
      <c r="I1610" s="112" t="str">
        <f ca="1"/>
        <v/>
      </c>
    </row>
    <row r="1611" spans="1:9" ht="13.2">
      <c r="A1611" s="109" t="str">
        <f ca="1">IFERROR(__xludf.DUMMYFUNCTION("""COMPUTED_VALUE"""),"PC")</f>
        <v>PC</v>
      </c>
      <c r="B1611" s="108" t="str">
        <f ca="1">IFERROR(__xludf.DUMMYFUNCTION("""COMPUTED_VALUE"""),"Lauren Guggenmos")</f>
        <v>Lauren Guggenmos</v>
      </c>
      <c r="C1611" s="109">
        <f ca="1">IFERROR(__xludf.DUMMYFUNCTION("""COMPUTED_VALUE"""),13)</f>
        <v>13</v>
      </c>
      <c r="D1611" s="109" t="str">
        <f ca="1">IFERROR(__xludf.DUMMYFUNCTION("""COMPUTED_VALUE"""),"G")</f>
        <v>G</v>
      </c>
      <c r="E1611" s="110" t="str">
        <f ca="1">IFERROR(__xludf.DUMMYFUNCTION("""COMPUTED_VALUE"""),"I")</f>
        <v>I</v>
      </c>
      <c r="F1611" s="110" t="str">
        <f ca="1">IFERROR(__xludf.DUMMYFUNCTION("""COMPUTED_VALUE"""),"S")</f>
        <v>S</v>
      </c>
      <c r="G1611" s="110">
        <f ca="1">IFERROR(__xludf.DUMMYFUNCTION("""COMPUTED_VALUE"""),3)</f>
        <v>3</v>
      </c>
      <c r="H1611" s="112" t="str">
        <f ca="1"/>
        <v/>
      </c>
      <c r="I1611" s="81" t="str">
        <f ca="1"/>
        <v/>
      </c>
    </row>
    <row r="1612" spans="1:9" ht="13.2">
      <c r="A1612" s="109" t="str">
        <f ca="1">IFERROR(__xludf.DUMMYFUNCTION("""COMPUTED_VALUE"""),"PC")</f>
        <v>PC</v>
      </c>
      <c r="B1612" s="108" t="str">
        <f ca="1">IFERROR(__xludf.DUMMYFUNCTION("""COMPUTED_VALUE"""),"Akash Kaji")</f>
        <v>Akash Kaji</v>
      </c>
      <c r="C1612" s="109">
        <f ca="1">IFERROR(__xludf.DUMMYFUNCTION("""COMPUTED_VALUE"""),12)</f>
        <v>12</v>
      </c>
      <c r="D1612" s="109" t="str">
        <f ca="1">IFERROR(__xludf.DUMMYFUNCTION("""COMPUTED_VALUE"""),"B")</f>
        <v>B</v>
      </c>
      <c r="E1612" s="110" t="str">
        <f ca="1">IFERROR(__xludf.DUMMYFUNCTION("""COMPUTED_VALUE"""),"J")</f>
        <v>J</v>
      </c>
      <c r="F1612" s="110" t="str">
        <f ca="1">IFERROR(__xludf.DUMMYFUNCTION("""COMPUTED_VALUE"""),"I")</f>
        <v>I</v>
      </c>
      <c r="G1612" s="110">
        <f ca="1">IFERROR(__xludf.DUMMYFUNCTION("""COMPUTED_VALUE"""),3)</f>
        <v>3</v>
      </c>
      <c r="H1612" s="112" t="str">
        <f ca="1"/>
        <v/>
      </c>
      <c r="I1612" s="81" t="str">
        <f ca="1"/>
        <v/>
      </c>
    </row>
    <row r="1613" spans="1:9" ht="13.2">
      <c r="A1613" s="109" t="str">
        <f ca="1">IFERROR(__xludf.DUMMYFUNCTION("""COMPUTED_VALUE"""),"PC")</f>
        <v>PC</v>
      </c>
      <c r="B1613" s="108" t="str">
        <f ca="1">IFERROR(__xludf.DUMMYFUNCTION("""COMPUTED_VALUE"""),"Connor Ryan")</f>
        <v>Connor Ryan</v>
      </c>
      <c r="C1613" s="109">
        <f ca="1">IFERROR(__xludf.DUMMYFUNCTION("""COMPUTED_VALUE"""),11)</f>
        <v>11</v>
      </c>
      <c r="D1613" s="109" t="str">
        <f ca="1">IFERROR(__xludf.DUMMYFUNCTION("""COMPUTED_VALUE"""),"B")</f>
        <v>B</v>
      </c>
      <c r="E1613" s="110" t="str">
        <f ca="1">IFERROR(__xludf.DUMMYFUNCTION("""COMPUTED_VALUE"""),"J")</f>
        <v>J</v>
      </c>
      <c r="F1613" s="110" t="str">
        <f ca="1">IFERROR(__xludf.DUMMYFUNCTION("""COMPUTED_VALUE"""),"I")</f>
        <v>I</v>
      </c>
      <c r="G1613" s="110">
        <f ca="1">IFERROR(__xludf.DUMMYFUNCTION("""COMPUTED_VALUE"""),3)</f>
        <v>3</v>
      </c>
      <c r="H1613" s="112" t="str">
        <f ca="1"/>
        <v/>
      </c>
      <c r="I1613" s="112" t="str">
        <f ca="1"/>
        <v/>
      </c>
    </row>
    <row r="1614" spans="1:9" ht="13.2">
      <c r="A1614" s="109" t="str">
        <f ca="1">IFERROR(__xludf.DUMMYFUNCTION("""COMPUTED_VALUE"""),"PC")</f>
        <v>PC</v>
      </c>
      <c r="B1614" s="108" t="str">
        <f ca="1">IFERROR(__xludf.DUMMYFUNCTION("""COMPUTED_VALUE"""),"Caroline Ivey")</f>
        <v>Caroline Ivey</v>
      </c>
      <c r="C1614" s="109">
        <f ca="1">IFERROR(__xludf.DUMMYFUNCTION("""COMPUTED_VALUE"""),11)</f>
        <v>11</v>
      </c>
      <c r="D1614" s="109" t="str">
        <f ca="1">IFERROR(__xludf.DUMMYFUNCTION("""COMPUTED_VALUE"""),"G")</f>
        <v>G</v>
      </c>
      <c r="E1614" s="110" t="str">
        <f ca="1">IFERROR(__xludf.DUMMYFUNCTION("""COMPUTED_VALUE"""),"J")</f>
        <v>J</v>
      </c>
      <c r="F1614" s="110" t="str">
        <f ca="1">IFERROR(__xludf.DUMMYFUNCTION("""COMPUTED_VALUE"""),"I")</f>
        <v>I</v>
      </c>
      <c r="G1614" s="110">
        <f ca="1">IFERROR(__xludf.DUMMYFUNCTION("""COMPUTED_VALUE"""),3)</f>
        <v>3</v>
      </c>
      <c r="H1614" s="112" t="str">
        <f ca="1"/>
        <v/>
      </c>
      <c r="I1614" s="81" t="str">
        <f ca="1"/>
        <v/>
      </c>
    </row>
    <row r="1615" spans="1:9" ht="13.2">
      <c r="A1615" s="109" t="str">
        <f ca="1">IFERROR(__xludf.DUMMYFUNCTION("""COMPUTED_VALUE"""),"PC")</f>
        <v>PC</v>
      </c>
      <c r="B1615" s="108" t="str">
        <f ca="1">IFERROR(__xludf.DUMMYFUNCTION("""COMPUTED_VALUE"""),"Daniela Cardona")</f>
        <v>Daniela Cardona</v>
      </c>
      <c r="C1615" s="109">
        <f ca="1">IFERROR(__xludf.DUMMYFUNCTION("""COMPUTED_VALUE"""),12)</f>
        <v>12</v>
      </c>
      <c r="D1615" s="109" t="str">
        <f ca="1">IFERROR(__xludf.DUMMYFUNCTION("""COMPUTED_VALUE"""),"G")</f>
        <v>G</v>
      </c>
      <c r="E1615" s="110" t="str">
        <f ca="1">IFERROR(__xludf.DUMMYFUNCTION("""COMPUTED_VALUE"""),"J")</f>
        <v>J</v>
      </c>
      <c r="F1615" s="110" t="str">
        <f ca="1">IFERROR(__xludf.DUMMYFUNCTION("""COMPUTED_VALUE"""),"I")</f>
        <v>I</v>
      </c>
      <c r="G1615" s="110">
        <f ca="1">IFERROR(__xludf.DUMMYFUNCTION("""COMPUTED_VALUE"""),3)</f>
        <v>3</v>
      </c>
      <c r="H1615" s="112" t="str">
        <f ca="1"/>
        <v/>
      </c>
      <c r="I1615" s="112" t="str">
        <f ca="1"/>
        <v/>
      </c>
    </row>
    <row r="1616" spans="1:9" ht="13.2">
      <c r="A1616" s="109" t="str">
        <f ca="1">IFERROR(__xludf.DUMMYFUNCTION("""COMPUTED_VALUE"""),"PC")</f>
        <v>PC</v>
      </c>
      <c r="B1616" s="108" t="str">
        <f ca="1">IFERROR(__xludf.DUMMYFUNCTION("""COMPUTED_VALUE"""),"Gia Yappel")</f>
        <v>Gia Yappel</v>
      </c>
      <c r="C1616" s="109">
        <f ca="1">IFERROR(__xludf.DUMMYFUNCTION("""COMPUTED_VALUE"""),11)</f>
        <v>11</v>
      </c>
      <c r="D1616" s="109" t="str">
        <f ca="1">IFERROR(__xludf.DUMMYFUNCTION("""COMPUTED_VALUE"""),"G")</f>
        <v>G</v>
      </c>
      <c r="E1616" s="110" t="str">
        <f ca="1">IFERROR(__xludf.DUMMYFUNCTION("""COMPUTED_VALUE"""),"J")</f>
        <v>J</v>
      </c>
      <c r="F1616" s="110" t="str">
        <f ca="1">IFERROR(__xludf.DUMMYFUNCTION("""COMPUTED_VALUE"""),"I")</f>
        <v>I</v>
      </c>
      <c r="G1616" s="110">
        <f ca="1">IFERROR(__xludf.DUMMYFUNCTION("""COMPUTED_VALUE"""),3)</f>
        <v>3</v>
      </c>
      <c r="H1616" s="112" t="str">
        <f ca="1"/>
        <v/>
      </c>
      <c r="I1616" s="81" t="str">
        <f ca="1"/>
        <v/>
      </c>
    </row>
    <row r="1617" spans="1:9" ht="13.2">
      <c r="A1617" s="109" t="str">
        <f ca="1">IFERROR(__xludf.DUMMYFUNCTION("""COMPUTED_VALUE"""),"PC")</f>
        <v>PC</v>
      </c>
      <c r="B1617" s="108" t="str">
        <f ca="1">IFERROR(__xludf.DUMMYFUNCTION("""COMPUTED_VALUE"""),"Isla Eckhardt")</f>
        <v>Isla Eckhardt</v>
      </c>
      <c r="C1617" s="109">
        <f ca="1">IFERROR(__xludf.DUMMYFUNCTION("""COMPUTED_VALUE"""),11)</f>
        <v>11</v>
      </c>
      <c r="D1617" s="109" t="str">
        <f ca="1">IFERROR(__xludf.DUMMYFUNCTION("""COMPUTED_VALUE"""),"G")</f>
        <v>G</v>
      </c>
      <c r="E1617" s="110" t="str">
        <f ca="1">IFERROR(__xludf.DUMMYFUNCTION("""COMPUTED_VALUE"""),"J")</f>
        <v>J</v>
      </c>
      <c r="F1617" s="110" t="str">
        <f ca="1">IFERROR(__xludf.DUMMYFUNCTION("""COMPUTED_VALUE"""),"I")</f>
        <v>I</v>
      </c>
      <c r="G1617" s="110">
        <f ca="1">IFERROR(__xludf.DUMMYFUNCTION("""COMPUTED_VALUE"""),3)</f>
        <v>3</v>
      </c>
      <c r="H1617" s="112" t="str">
        <f ca="1"/>
        <v/>
      </c>
      <c r="I1617" s="81" t="str">
        <f ca="1"/>
        <v/>
      </c>
    </row>
    <row r="1618" spans="1:9" ht="13.2">
      <c r="A1618" s="109" t="str">
        <f ca="1">IFERROR(__xludf.DUMMYFUNCTION("""COMPUTED_VALUE"""),"PC")</f>
        <v>PC</v>
      </c>
      <c r="B1618" s="108" t="str">
        <f ca="1">IFERROR(__xludf.DUMMYFUNCTION("""COMPUTED_VALUE"""),"Lauren Ivey")</f>
        <v>Lauren Ivey</v>
      </c>
      <c r="C1618" s="113">
        <f ca="1">IFERROR(__xludf.DUMMYFUNCTION("""COMPUTED_VALUE"""),12)</f>
        <v>12</v>
      </c>
      <c r="D1618" s="109" t="str">
        <f ca="1">IFERROR(__xludf.DUMMYFUNCTION("""COMPUTED_VALUE"""),"G")</f>
        <v>G</v>
      </c>
      <c r="E1618" s="110" t="str">
        <f ca="1">IFERROR(__xludf.DUMMYFUNCTION("""COMPUTED_VALUE"""),"J")</f>
        <v>J</v>
      </c>
      <c r="F1618" s="110" t="str">
        <f ca="1">IFERROR(__xludf.DUMMYFUNCTION("""COMPUTED_VALUE"""),"I")</f>
        <v>I</v>
      </c>
      <c r="G1618" s="110">
        <f ca="1">IFERROR(__xludf.DUMMYFUNCTION("""COMPUTED_VALUE"""),3)</f>
        <v>3</v>
      </c>
      <c r="H1618" s="112" t="str">
        <f ca="1"/>
        <v/>
      </c>
      <c r="I1618" s="112" t="str">
        <f ca="1"/>
        <v/>
      </c>
    </row>
    <row r="1619" spans="1:9" ht="13.2">
      <c r="A1619" s="109" t="str">
        <f ca="1">IFERROR(__xludf.DUMMYFUNCTION("""COMPUTED_VALUE"""),"PC")</f>
        <v>PC</v>
      </c>
      <c r="B1619" s="108" t="str">
        <f ca="1">IFERROR(__xludf.DUMMYFUNCTION("""COMPUTED_VALUE"""),"Megan Kennedy")</f>
        <v>Megan Kennedy</v>
      </c>
      <c r="C1619" s="109">
        <f ca="1">IFERROR(__xludf.DUMMYFUNCTION("""COMPUTED_VALUE"""),12)</f>
        <v>12</v>
      </c>
      <c r="D1619" s="109" t="str">
        <f ca="1">IFERROR(__xludf.DUMMYFUNCTION("""COMPUTED_VALUE"""),"G")</f>
        <v>G</v>
      </c>
      <c r="E1619" s="110" t="str">
        <f ca="1">IFERROR(__xludf.DUMMYFUNCTION("""COMPUTED_VALUE"""),"J")</f>
        <v>J</v>
      </c>
      <c r="F1619" s="110" t="str">
        <f ca="1">IFERROR(__xludf.DUMMYFUNCTION("""COMPUTED_VALUE"""),"I")</f>
        <v>I</v>
      </c>
      <c r="G1619" s="110">
        <f ca="1">IFERROR(__xludf.DUMMYFUNCTION("""COMPUTED_VALUE"""),3)</f>
        <v>3</v>
      </c>
      <c r="H1619" s="112" t="str">
        <f ca="1"/>
        <v/>
      </c>
      <c r="I1619" s="81" t="str">
        <f ca="1"/>
        <v/>
      </c>
    </row>
    <row r="1620" spans="1:9" ht="13.2">
      <c r="A1620" s="109" t="str">
        <f ca="1">IFERROR(__xludf.DUMMYFUNCTION("""COMPUTED_VALUE"""),"PC")</f>
        <v>PC</v>
      </c>
      <c r="B1620" s="108" t="str">
        <f ca="1">IFERROR(__xludf.DUMMYFUNCTION("""COMPUTED_VALUE"""),"Milly Navarro")</f>
        <v>Milly Navarro</v>
      </c>
      <c r="C1620" s="109">
        <f ca="1">IFERROR(__xludf.DUMMYFUNCTION("""COMPUTED_VALUE"""),12)</f>
        <v>12</v>
      </c>
      <c r="D1620" s="109" t="str">
        <f ca="1">IFERROR(__xludf.DUMMYFUNCTION("""COMPUTED_VALUE"""),"G")</f>
        <v>G</v>
      </c>
      <c r="E1620" s="110" t="str">
        <f ca="1">IFERROR(__xludf.DUMMYFUNCTION("""COMPUTED_VALUE"""),"J")</f>
        <v>J</v>
      </c>
      <c r="F1620" s="110" t="str">
        <f ca="1">IFERROR(__xludf.DUMMYFUNCTION("""COMPUTED_VALUE"""),"I")</f>
        <v>I</v>
      </c>
      <c r="G1620" s="110">
        <f ca="1">IFERROR(__xludf.DUMMYFUNCTION("""COMPUTED_VALUE"""),3)</f>
        <v>3</v>
      </c>
      <c r="H1620" s="112" t="str">
        <f ca="1"/>
        <v/>
      </c>
      <c r="I1620" s="112" t="str">
        <f ca="1"/>
        <v/>
      </c>
    </row>
    <row r="1621" spans="1:9" ht="13.2">
      <c r="A1621" s="109" t="str">
        <f ca="1">IFERROR(__xludf.DUMMYFUNCTION("""COMPUTED_VALUE"""),"PC")</f>
        <v>PC</v>
      </c>
      <c r="B1621" s="108" t="str">
        <f ca="1">IFERROR(__xludf.DUMMYFUNCTION("""COMPUTED_VALUE"""),"Natalie Rutland")</f>
        <v>Natalie Rutland</v>
      </c>
      <c r="C1621" s="109">
        <f ca="1">IFERROR(__xludf.DUMMYFUNCTION("""COMPUTED_VALUE"""),12)</f>
        <v>12</v>
      </c>
      <c r="D1621" s="109" t="str">
        <f ca="1">IFERROR(__xludf.DUMMYFUNCTION("""COMPUTED_VALUE"""),"G")</f>
        <v>G</v>
      </c>
      <c r="E1621" s="110" t="str">
        <f ca="1">IFERROR(__xludf.DUMMYFUNCTION("""COMPUTED_VALUE"""),"J")</f>
        <v>J</v>
      </c>
      <c r="F1621" s="110" t="str">
        <f ca="1">IFERROR(__xludf.DUMMYFUNCTION("""COMPUTED_VALUE"""),"I")</f>
        <v>I</v>
      </c>
      <c r="G1621" s="110">
        <f ca="1">IFERROR(__xludf.DUMMYFUNCTION("""COMPUTED_VALUE"""),3)</f>
        <v>3</v>
      </c>
      <c r="H1621" s="112" t="str">
        <f ca="1"/>
        <v/>
      </c>
      <c r="I1621" s="81" t="str">
        <f ca="1"/>
        <v/>
      </c>
    </row>
    <row r="1622" spans="1:9" ht="13.2">
      <c r="A1622" s="109" t="str">
        <f ca="1">IFERROR(__xludf.DUMMYFUNCTION("""COMPUTED_VALUE"""),"PC")</f>
        <v>PC</v>
      </c>
      <c r="B1622" s="108" t="str">
        <f ca="1">IFERROR(__xludf.DUMMYFUNCTION("""COMPUTED_VALUE"""),"Penny Go")</f>
        <v>Penny Go</v>
      </c>
      <c r="C1622" s="109">
        <f ca="1">IFERROR(__xludf.DUMMYFUNCTION("""COMPUTED_VALUE"""),12)</f>
        <v>12</v>
      </c>
      <c r="D1622" s="109" t="str">
        <f ca="1">IFERROR(__xludf.DUMMYFUNCTION("""COMPUTED_VALUE"""),"G")</f>
        <v>G</v>
      </c>
      <c r="E1622" s="110" t="str">
        <f ca="1">IFERROR(__xludf.DUMMYFUNCTION("""COMPUTED_VALUE"""),"J")</f>
        <v>J</v>
      </c>
      <c r="F1622" s="110" t="str">
        <f ca="1">IFERROR(__xludf.DUMMYFUNCTION("""COMPUTED_VALUE"""),"I")</f>
        <v>I</v>
      </c>
      <c r="G1622" s="110">
        <f ca="1">IFERROR(__xludf.DUMMYFUNCTION("""COMPUTED_VALUE"""),3)</f>
        <v>3</v>
      </c>
      <c r="H1622" s="112" t="str">
        <f ca="1"/>
        <v/>
      </c>
      <c r="I1622" s="112" t="str">
        <f ca="1"/>
        <v/>
      </c>
    </row>
    <row r="1623" spans="1:9" ht="13.2">
      <c r="A1623" s="109" t="str">
        <f ca="1">IFERROR(__xludf.DUMMYFUNCTION("""COMPUTED_VALUE"""),"PC")</f>
        <v>PC</v>
      </c>
      <c r="B1623" s="108" t="str">
        <f ca="1">IFERROR(__xludf.DUMMYFUNCTION("""COMPUTED_VALUE"""),"Cole Casey")</f>
        <v>Cole Casey</v>
      </c>
      <c r="C1623" s="109">
        <f ca="1">IFERROR(__xludf.DUMMYFUNCTION("""COMPUTED_VALUE"""),15)</f>
        <v>15</v>
      </c>
      <c r="D1623" s="109" t="str">
        <f ca="1">IFERROR(__xludf.DUMMYFUNCTION("""COMPUTED_VALUE"""),"B")</f>
        <v>B</v>
      </c>
      <c r="E1623" s="110" t="str">
        <f ca="1">IFERROR(__xludf.DUMMYFUNCTION("""COMPUTED_VALUE"""),"S")</f>
        <v>S</v>
      </c>
      <c r="F1623" s="110" t="str">
        <f ca="1">IFERROR(__xludf.DUMMYFUNCTION("""COMPUTED_VALUE"""),"S")</f>
        <v>S</v>
      </c>
      <c r="G1623" s="110">
        <f ca="1">IFERROR(__xludf.DUMMYFUNCTION("""COMPUTED_VALUE"""),3)</f>
        <v>3</v>
      </c>
      <c r="H1623" s="112" t="str">
        <f ca="1"/>
        <v/>
      </c>
      <c r="I1623" s="81" t="str">
        <f ca="1"/>
        <v/>
      </c>
    </row>
    <row r="1624" spans="1:9" ht="13.2">
      <c r="A1624" s="109" t="str">
        <f ca="1">IFERROR(__xludf.DUMMYFUNCTION("""COMPUTED_VALUE"""),"PC")</f>
        <v>PC</v>
      </c>
      <c r="B1624" s="108" t="str">
        <f ca="1">IFERROR(__xludf.DUMMYFUNCTION("""COMPUTED_VALUE"""),"Vangeli Hadjimichael")</f>
        <v>Vangeli Hadjimichael</v>
      </c>
      <c r="C1624" s="109">
        <f ca="1">IFERROR(__xludf.DUMMYFUNCTION("""COMPUTED_VALUE"""),17)</f>
        <v>17</v>
      </c>
      <c r="D1624" s="109" t="str">
        <f ca="1">IFERROR(__xludf.DUMMYFUNCTION("""COMPUTED_VALUE"""),"B")</f>
        <v>B</v>
      </c>
      <c r="E1624" s="110" t="str">
        <f ca="1">IFERROR(__xludf.DUMMYFUNCTION("""COMPUTED_VALUE"""),"S")</f>
        <v>S</v>
      </c>
      <c r="F1624" s="110" t="str">
        <f ca="1">IFERROR(__xludf.DUMMYFUNCTION("""COMPUTED_VALUE"""),"S")</f>
        <v>S</v>
      </c>
      <c r="G1624" s="110">
        <f ca="1">IFERROR(__xludf.DUMMYFUNCTION("""COMPUTED_VALUE"""),3)</f>
        <v>3</v>
      </c>
      <c r="H1624" s="112" t="str">
        <f ca="1"/>
        <v/>
      </c>
      <c r="I1624" s="112" t="str">
        <f ca="1"/>
        <v/>
      </c>
    </row>
    <row r="1625" spans="1:9" ht="13.2">
      <c r="A1625" s="109" t="str">
        <f ca="1">IFERROR(__xludf.DUMMYFUNCTION("""COMPUTED_VALUE"""),"PC")</f>
        <v>PC</v>
      </c>
      <c r="B1625" s="108" t="str">
        <f ca="1">IFERROR(__xludf.DUMMYFUNCTION("""COMPUTED_VALUE"""),"Abby Anderson")</f>
        <v>Abby Anderson</v>
      </c>
      <c r="C1625" s="109">
        <f ca="1">IFERROR(__xludf.DUMMYFUNCTION("""COMPUTED_VALUE"""),15)</f>
        <v>15</v>
      </c>
      <c r="D1625" s="109" t="str">
        <f ca="1">IFERROR(__xludf.DUMMYFUNCTION("""COMPUTED_VALUE"""),"G")</f>
        <v>G</v>
      </c>
      <c r="E1625" s="110" t="str">
        <f ca="1">IFERROR(__xludf.DUMMYFUNCTION("""COMPUTED_VALUE"""),"S")</f>
        <v>S</v>
      </c>
      <c r="F1625" s="110" t="str">
        <f ca="1">IFERROR(__xludf.DUMMYFUNCTION("""COMPUTED_VALUE"""),"S")</f>
        <v>S</v>
      </c>
      <c r="G1625" s="110">
        <f ca="1">IFERROR(__xludf.DUMMYFUNCTION("""COMPUTED_VALUE"""),3)</f>
        <v>3</v>
      </c>
      <c r="H1625" s="112" t="str">
        <f ca="1"/>
        <v/>
      </c>
      <c r="I1625" s="81" t="str">
        <f ca="1"/>
        <v/>
      </c>
    </row>
    <row r="1626" spans="1:9" ht="13.2">
      <c r="A1626" s="109" t="str">
        <f ca="1">IFERROR(__xludf.DUMMYFUNCTION("""COMPUTED_VALUE"""),"PC")</f>
        <v>PC</v>
      </c>
      <c r="B1626" s="108" t="str">
        <f ca="1">IFERROR(__xludf.DUMMYFUNCTION("""COMPUTED_VALUE"""),"Kenzie Conner")</f>
        <v>Kenzie Conner</v>
      </c>
      <c r="C1626" s="109">
        <f ca="1">IFERROR(__xludf.DUMMYFUNCTION("""COMPUTED_VALUE"""),16)</f>
        <v>16</v>
      </c>
      <c r="D1626" s="109" t="str">
        <f ca="1">IFERROR(__xludf.DUMMYFUNCTION("""COMPUTED_VALUE"""),"G")</f>
        <v>G</v>
      </c>
      <c r="E1626" s="110" t="str">
        <f ca="1">IFERROR(__xludf.DUMMYFUNCTION("""COMPUTED_VALUE"""),"S")</f>
        <v>S</v>
      </c>
      <c r="F1626" s="110" t="str">
        <f ca="1">IFERROR(__xludf.DUMMYFUNCTION("""COMPUTED_VALUE"""),"S")</f>
        <v>S</v>
      </c>
      <c r="G1626" s="110">
        <f ca="1">IFERROR(__xludf.DUMMYFUNCTION("""COMPUTED_VALUE"""),3)</f>
        <v>3</v>
      </c>
      <c r="H1626" s="112" t="str">
        <f ca="1"/>
        <v/>
      </c>
      <c r="I1626" s="81" t="str">
        <f ca="1"/>
        <v/>
      </c>
    </row>
    <row r="1627" spans="1:9" ht="13.2">
      <c r="A1627" s="109" t="str">
        <f ca="1">IFERROR(__xludf.DUMMYFUNCTION("""COMPUTED_VALUE"""),"PL")</f>
        <v>PL</v>
      </c>
      <c r="B1627" s="108" t="str">
        <f ca="1">IFERROR(__xludf.DUMMYFUNCTION("""COMPUTED_VALUE"""),"Alexander Murphy")</f>
        <v>Alexander Murphy</v>
      </c>
      <c r="C1627" s="109">
        <f ca="1">IFERROR(__xludf.DUMMYFUNCTION("""COMPUTED_VALUE"""),9)</f>
        <v>9</v>
      </c>
      <c r="D1627" s="109" t="str">
        <f ca="1">IFERROR(__xludf.DUMMYFUNCTION("""COMPUTED_VALUE"""),"B")</f>
        <v>B</v>
      </c>
      <c r="E1627" s="110" t="str">
        <f ca="1">IFERROR(__xludf.DUMMYFUNCTION("""COMPUTED_VALUE"""),"F")</f>
        <v>F</v>
      </c>
      <c r="F1627" s="110" t="str">
        <f ca="1">IFERROR(__xludf.DUMMYFUNCTION("""COMPUTED_VALUE"""),"J")</f>
        <v>J</v>
      </c>
      <c r="G1627" s="110">
        <f ca="1">IFERROR(__xludf.DUMMYFUNCTION("""COMPUTED_VALUE"""),8)</f>
        <v>8</v>
      </c>
      <c r="H1627" s="112" t="str">
        <f ca="1"/>
        <v/>
      </c>
      <c r="I1627" s="112" t="str">
        <f ca="1"/>
        <v/>
      </c>
    </row>
    <row r="1628" spans="1:9" ht="13.2">
      <c r="A1628" s="109" t="str">
        <f ca="1">IFERROR(__xludf.DUMMYFUNCTION("""COMPUTED_VALUE"""),"PL")</f>
        <v>PL</v>
      </c>
      <c r="B1628" s="108" t="str">
        <f ca="1">IFERROR(__xludf.DUMMYFUNCTION("""COMPUTED_VALUE"""),"Angus Johnston")</f>
        <v>Angus Johnston</v>
      </c>
      <c r="C1628" s="109">
        <f ca="1">IFERROR(__xludf.DUMMYFUNCTION("""COMPUTED_VALUE"""),9)</f>
        <v>9</v>
      </c>
      <c r="D1628" s="109" t="str">
        <f ca="1">IFERROR(__xludf.DUMMYFUNCTION("""COMPUTED_VALUE"""),"B")</f>
        <v>B</v>
      </c>
      <c r="E1628" s="110" t="str">
        <f ca="1">IFERROR(__xludf.DUMMYFUNCTION("""COMPUTED_VALUE"""),"F")</f>
        <v>F</v>
      </c>
      <c r="F1628" s="110" t="str">
        <f ca="1">IFERROR(__xludf.DUMMYFUNCTION("""COMPUTED_VALUE"""),"J")</f>
        <v>J</v>
      </c>
      <c r="G1628" s="110">
        <f ca="1">IFERROR(__xludf.DUMMYFUNCTION("""COMPUTED_VALUE"""),8)</f>
        <v>8</v>
      </c>
      <c r="H1628" s="112" t="str">
        <f ca="1"/>
        <v/>
      </c>
      <c r="I1628" s="81" t="str">
        <f ca="1"/>
        <v/>
      </c>
    </row>
    <row r="1629" spans="1:9" ht="13.2">
      <c r="A1629" s="109" t="str">
        <f ca="1">IFERROR(__xludf.DUMMYFUNCTION("""COMPUTED_VALUE"""),"PL")</f>
        <v>PL</v>
      </c>
      <c r="B1629" s="108" t="str">
        <f ca="1">IFERROR(__xludf.DUMMYFUNCTION("""COMPUTED_VALUE"""),"Cormac Henderson")</f>
        <v>Cormac Henderson</v>
      </c>
      <c r="C1629" s="109">
        <f ca="1">IFERROR(__xludf.DUMMYFUNCTION("""COMPUTED_VALUE"""),8)</f>
        <v>8</v>
      </c>
      <c r="D1629" s="109" t="str">
        <f ca="1">IFERROR(__xludf.DUMMYFUNCTION("""COMPUTED_VALUE"""),"B")</f>
        <v>B</v>
      </c>
      <c r="E1629" s="110" t="str">
        <f ca="1">IFERROR(__xludf.DUMMYFUNCTION("""COMPUTED_VALUE"""),"F")</f>
        <v>F</v>
      </c>
      <c r="F1629" s="110" t="str">
        <f ca="1">IFERROR(__xludf.DUMMYFUNCTION("""COMPUTED_VALUE"""),"J")</f>
        <v>J</v>
      </c>
      <c r="G1629" s="110">
        <f ca="1">IFERROR(__xludf.DUMMYFUNCTION("""COMPUTED_VALUE"""),8)</f>
        <v>8</v>
      </c>
      <c r="H1629" s="112" t="str">
        <f ca="1"/>
        <v/>
      </c>
      <c r="I1629" s="112" t="str">
        <f ca="1"/>
        <v/>
      </c>
    </row>
    <row r="1630" spans="1:9" ht="13.2">
      <c r="A1630" s="109" t="str">
        <f ca="1">IFERROR(__xludf.DUMMYFUNCTION("""COMPUTED_VALUE"""),"PL")</f>
        <v>PL</v>
      </c>
      <c r="B1630" s="108" t="str">
        <f ca="1">IFERROR(__xludf.DUMMYFUNCTION("""COMPUTED_VALUE"""),"Everett Iams")</f>
        <v>Everett Iams</v>
      </c>
      <c r="C1630" s="109">
        <f ca="1">IFERROR(__xludf.DUMMYFUNCTION("""COMPUTED_VALUE"""),7)</f>
        <v>7</v>
      </c>
      <c r="D1630" s="109" t="str">
        <f ca="1">IFERROR(__xludf.DUMMYFUNCTION("""COMPUTED_VALUE"""),"B")</f>
        <v>B</v>
      </c>
      <c r="E1630" s="110" t="str">
        <f ca="1">IFERROR(__xludf.DUMMYFUNCTION("""COMPUTED_VALUE"""),"F")</f>
        <v>F</v>
      </c>
      <c r="F1630" s="110" t="str">
        <f ca="1">IFERROR(__xludf.DUMMYFUNCTION("""COMPUTED_VALUE"""),"J")</f>
        <v>J</v>
      </c>
      <c r="G1630" s="110">
        <f ca="1">IFERROR(__xludf.DUMMYFUNCTION("""COMPUTED_VALUE"""),8)</f>
        <v>8</v>
      </c>
      <c r="H1630" s="112" t="str">
        <f ca="1"/>
        <v/>
      </c>
      <c r="I1630" s="81" t="str">
        <f ca="1"/>
        <v/>
      </c>
    </row>
    <row r="1631" spans="1:9" ht="13.2">
      <c r="A1631" s="109" t="str">
        <f ca="1">IFERROR(__xludf.DUMMYFUNCTION("""COMPUTED_VALUE"""),"PL")</f>
        <v>PL</v>
      </c>
      <c r="B1631" s="108" t="str">
        <f ca="1">IFERROR(__xludf.DUMMYFUNCTION("""COMPUTED_VALUE"""),"Gabriel Mesmer")</f>
        <v>Gabriel Mesmer</v>
      </c>
      <c r="C1631" s="109">
        <f ca="1">IFERROR(__xludf.DUMMYFUNCTION("""COMPUTED_VALUE"""),9)</f>
        <v>9</v>
      </c>
      <c r="D1631" s="109" t="str">
        <f ca="1">IFERROR(__xludf.DUMMYFUNCTION("""COMPUTED_VALUE"""),"B")</f>
        <v>B</v>
      </c>
      <c r="E1631" s="110" t="str">
        <f ca="1">IFERROR(__xludf.DUMMYFUNCTION("""COMPUTED_VALUE"""),"F")</f>
        <v>F</v>
      </c>
      <c r="F1631" s="110" t="str">
        <f ca="1">IFERROR(__xludf.DUMMYFUNCTION("""COMPUTED_VALUE"""),"J")</f>
        <v>J</v>
      </c>
      <c r="G1631" s="110">
        <f ca="1">IFERROR(__xludf.DUMMYFUNCTION("""COMPUTED_VALUE"""),8)</f>
        <v>8</v>
      </c>
      <c r="H1631" s="112" t="str">
        <f ca="1"/>
        <v/>
      </c>
      <c r="I1631" s="112" t="str">
        <f ca="1"/>
        <v/>
      </c>
    </row>
    <row r="1632" spans="1:9" ht="13.2">
      <c r="A1632" s="109" t="str">
        <f ca="1">IFERROR(__xludf.DUMMYFUNCTION("""COMPUTED_VALUE"""),"PL")</f>
        <v>PL</v>
      </c>
      <c r="B1632" s="108" t="str">
        <f ca="1">IFERROR(__xludf.DUMMYFUNCTION("""COMPUTED_VALUE"""),"Kaleo Contreni-Moore")</f>
        <v>Kaleo Contreni-Moore</v>
      </c>
      <c r="C1632" s="109">
        <f ca="1">IFERROR(__xludf.DUMMYFUNCTION("""COMPUTED_VALUE"""),10)</f>
        <v>10</v>
      </c>
      <c r="D1632" s="109" t="str">
        <f ca="1">IFERROR(__xludf.DUMMYFUNCTION("""COMPUTED_VALUE"""),"B")</f>
        <v>B</v>
      </c>
      <c r="E1632" s="110" t="str">
        <f ca="1">IFERROR(__xludf.DUMMYFUNCTION("""COMPUTED_VALUE"""),"F")</f>
        <v>F</v>
      </c>
      <c r="F1632" s="110" t="str">
        <f ca="1">IFERROR(__xludf.DUMMYFUNCTION("""COMPUTED_VALUE"""),"J")</f>
        <v>J</v>
      </c>
      <c r="G1632" s="110">
        <f ca="1">IFERROR(__xludf.DUMMYFUNCTION("""COMPUTED_VALUE"""),8)</f>
        <v>8</v>
      </c>
      <c r="H1632" s="112" t="str">
        <f ca="1"/>
        <v/>
      </c>
      <c r="I1632" s="112" t="str">
        <f ca="1"/>
        <v/>
      </c>
    </row>
    <row r="1633" spans="1:9" ht="13.2">
      <c r="A1633" s="109" t="str">
        <f ca="1">IFERROR(__xludf.DUMMYFUNCTION("""COMPUTED_VALUE"""),"PL")</f>
        <v>PL</v>
      </c>
      <c r="B1633" s="108" t="str">
        <f ca="1">IFERROR(__xludf.DUMMYFUNCTION("""COMPUTED_VALUE"""),"Keaton Gutierrez")</f>
        <v>Keaton Gutierrez</v>
      </c>
      <c r="C1633" s="109">
        <f ca="1">IFERROR(__xludf.DUMMYFUNCTION("""COMPUTED_VALUE"""),8)</f>
        <v>8</v>
      </c>
      <c r="D1633" s="109" t="str">
        <f ca="1">IFERROR(__xludf.DUMMYFUNCTION("""COMPUTED_VALUE"""),"B")</f>
        <v>B</v>
      </c>
      <c r="E1633" s="110" t="str">
        <f ca="1">IFERROR(__xludf.DUMMYFUNCTION("""COMPUTED_VALUE"""),"F")</f>
        <v>F</v>
      </c>
      <c r="F1633" s="110" t="str">
        <f ca="1">IFERROR(__xludf.DUMMYFUNCTION("""COMPUTED_VALUE"""),"J")</f>
        <v>J</v>
      </c>
      <c r="G1633" s="110">
        <f ca="1">IFERROR(__xludf.DUMMYFUNCTION("""COMPUTED_VALUE"""),8)</f>
        <v>8</v>
      </c>
      <c r="H1633" s="112" t="str">
        <f ca="1"/>
        <v/>
      </c>
      <c r="I1633" s="112" t="str">
        <f ca="1"/>
        <v/>
      </c>
    </row>
    <row r="1634" spans="1:9" ht="13.2">
      <c r="A1634" s="109" t="str">
        <f ca="1">IFERROR(__xludf.DUMMYFUNCTION("""COMPUTED_VALUE"""),"PL")</f>
        <v>PL</v>
      </c>
      <c r="B1634" s="108" t="str">
        <f ca="1">IFERROR(__xludf.DUMMYFUNCTION("""COMPUTED_VALUE"""),"Mason Iams")</f>
        <v>Mason Iams</v>
      </c>
      <c r="C1634" s="109">
        <f ca="1">IFERROR(__xludf.DUMMYFUNCTION("""COMPUTED_VALUE"""),9)</f>
        <v>9</v>
      </c>
      <c r="D1634" s="109" t="str">
        <f ca="1">IFERROR(__xludf.DUMMYFUNCTION("""COMPUTED_VALUE"""),"B")</f>
        <v>B</v>
      </c>
      <c r="E1634" s="110" t="str">
        <f ca="1">IFERROR(__xludf.DUMMYFUNCTION("""COMPUTED_VALUE"""),"F")</f>
        <v>F</v>
      </c>
      <c r="F1634" s="110" t="str">
        <f ca="1">IFERROR(__xludf.DUMMYFUNCTION("""COMPUTED_VALUE"""),"J")</f>
        <v>J</v>
      </c>
      <c r="G1634" s="110">
        <f ca="1">IFERROR(__xludf.DUMMYFUNCTION("""COMPUTED_VALUE"""),8)</f>
        <v>8</v>
      </c>
      <c r="H1634" s="112" t="str">
        <f ca="1"/>
        <v/>
      </c>
      <c r="I1634" s="112" t="str">
        <f ca="1"/>
        <v/>
      </c>
    </row>
    <row r="1635" spans="1:9" ht="13.2">
      <c r="A1635" s="109" t="str">
        <f ca="1">IFERROR(__xludf.DUMMYFUNCTION("""COMPUTED_VALUE"""),"PL")</f>
        <v>PL</v>
      </c>
      <c r="B1635" s="108" t="str">
        <f ca="1">IFERROR(__xludf.DUMMYFUNCTION("""COMPUTED_VALUE"""),"Matthew Sahda")</f>
        <v>Matthew Sahda</v>
      </c>
      <c r="C1635" s="109">
        <f ca="1">IFERROR(__xludf.DUMMYFUNCTION("""COMPUTED_VALUE"""),8)</f>
        <v>8</v>
      </c>
      <c r="D1635" s="109" t="str">
        <f ca="1">IFERROR(__xludf.DUMMYFUNCTION("""COMPUTED_VALUE"""),"B")</f>
        <v>B</v>
      </c>
      <c r="E1635" s="110" t="str">
        <f ca="1">IFERROR(__xludf.DUMMYFUNCTION("""COMPUTED_VALUE"""),"F")</f>
        <v>F</v>
      </c>
      <c r="F1635" s="110" t="str">
        <f ca="1">IFERROR(__xludf.DUMMYFUNCTION("""COMPUTED_VALUE"""),"J")</f>
        <v>J</v>
      </c>
      <c r="G1635" s="110">
        <f ca="1">IFERROR(__xludf.DUMMYFUNCTION("""COMPUTED_VALUE"""),8)</f>
        <v>8</v>
      </c>
      <c r="H1635" s="112" t="str">
        <f ca="1"/>
        <v/>
      </c>
      <c r="I1635" s="112" t="str">
        <f ca="1"/>
        <v/>
      </c>
    </row>
    <row r="1636" spans="1:9" ht="13.2">
      <c r="A1636" s="109" t="str">
        <f ca="1">IFERROR(__xludf.DUMMYFUNCTION("""COMPUTED_VALUE"""),"PL")</f>
        <v>PL</v>
      </c>
      <c r="B1636" s="108" t="str">
        <f ca="1">IFERROR(__xludf.DUMMYFUNCTION("""COMPUTED_VALUE"""),"Maxwell Pedrick")</f>
        <v>Maxwell Pedrick</v>
      </c>
      <c r="C1636" s="109">
        <f ca="1">IFERROR(__xludf.DUMMYFUNCTION("""COMPUTED_VALUE"""),9)</f>
        <v>9</v>
      </c>
      <c r="D1636" s="109" t="str">
        <f ca="1">IFERROR(__xludf.DUMMYFUNCTION("""COMPUTED_VALUE"""),"B")</f>
        <v>B</v>
      </c>
      <c r="E1636" s="110" t="str">
        <f ca="1">IFERROR(__xludf.DUMMYFUNCTION("""COMPUTED_VALUE"""),"F")</f>
        <v>F</v>
      </c>
      <c r="F1636" s="110" t="str">
        <f ca="1">IFERROR(__xludf.DUMMYFUNCTION("""COMPUTED_VALUE"""),"J")</f>
        <v>J</v>
      </c>
      <c r="G1636" s="110">
        <f ca="1">IFERROR(__xludf.DUMMYFUNCTION("""COMPUTED_VALUE"""),8)</f>
        <v>8</v>
      </c>
      <c r="H1636" s="112" t="str">
        <f ca="1"/>
        <v/>
      </c>
      <c r="I1636" s="112" t="str">
        <f ca="1"/>
        <v/>
      </c>
    </row>
    <row r="1637" spans="1:9" ht="13.2">
      <c r="A1637" s="109" t="str">
        <f ca="1">IFERROR(__xludf.DUMMYFUNCTION("""COMPUTED_VALUE"""),"PL")</f>
        <v>PL</v>
      </c>
      <c r="B1637" s="108" t="str">
        <f ca="1">IFERROR(__xludf.DUMMYFUNCTION("""COMPUTED_VALUE"""),"Miles Marvin")</f>
        <v>Miles Marvin</v>
      </c>
      <c r="C1637" s="109">
        <f ca="1">IFERROR(__xludf.DUMMYFUNCTION("""COMPUTED_VALUE"""),8)</f>
        <v>8</v>
      </c>
      <c r="D1637" s="109" t="str">
        <f ca="1">IFERROR(__xludf.DUMMYFUNCTION("""COMPUTED_VALUE"""),"B")</f>
        <v>B</v>
      </c>
      <c r="E1637" s="110" t="str">
        <f ca="1">IFERROR(__xludf.DUMMYFUNCTION("""COMPUTED_VALUE"""),"F")</f>
        <v>F</v>
      </c>
      <c r="F1637" s="110" t="str">
        <f ca="1">IFERROR(__xludf.DUMMYFUNCTION("""COMPUTED_VALUE"""),"J")</f>
        <v>J</v>
      </c>
      <c r="G1637" s="110">
        <f ca="1">IFERROR(__xludf.DUMMYFUNCTION("""COMPUTED_VALUE"""),8)</f>
        <v>8</v>
      </c>
      <c r="H1637" s="112" t="str">
        <f ca="1"/>
        <v/>
      </c>
      <c r="I1637" s="112" t="str">
        <f ca="1"/>
        <v/>
      </c>
    </row>
    <row r="1638" spans="1:9" ht="13.2">
      <c r="A1638" s="109" t="str">
        <f ca="1">IFERROR(__xludf.DUMMYFUNCTION("""COMPUTED_VALUE"""),"PL")</f>
        <v>PL</v>
      </c>
      <c r="B1638" s="108" t="str">
        <f ca="1">IFERROR(__xludf.DUMMYFUNCTION("""COMPUTED_VALUE"""),"Miller Supple")</f>
        <v>Miller Supple</v>
      </c>
      <c r="C1638" s="109">
        <f ca="1">IFERROR(__xludf.DUMMYFUNCTION("""COMPUTED_VALUE"""),8)</f>
        <v>8</v>
      </c>
      <c r="D1638" s="109" t="str">
        <f ca="1">IFERROR(__xludf.DUMMYFUNCTION("""COMPUTED_VALUE"""),"B")</f>
        <v>B</v>
      </c>
      <c r="E1638" s="110" t="str">
        <f ca="1">IFERROR(__xludf.DUMMYFUNCTION("""COMPUTED_VALUE"""),"F")</f>
        <v>F</v>
      </c>
      <c r="F1638" s="110" t="str">
        <f ca="1">IFERROR(__xludf.DUMMYFUNCTION("""COMPUTED_VALUE"""),"J")</f>
        <v>J</v>
      </c>
      <c r="G1638" s="110">
        <f ca="1">IFERROR(__xludf.DUMMYFUNCTION("""COMPUTED_VALUE"""),8)</f>
        <v>8</v>
      </c>
      <c r="H1638" s="112" t="str">
        <f ca="1"/>
        <v/>
      </c>
      <c r="I1638" s="112" t="str">
        <f ca="1"/>
        <v/>
      </c>
    </row>
    <row r="1639" spans="1:9" ht="13.2">
      <c r="A1639" s="109" t="str">
        <f ca="1">IFERROR(__xludf.DUMMYFUNCTION("""COMPUTED_VALUE"""),"PL")</f>
        <v>PL</v>
      </c>
      <c r="B1639" s="108" t="str">
        <f ca="1">IFERROR(__xludf.DUMMYFUNCTION("""COMPUTED_VALUE"""),"Raphael Mesmer")</f>
        <v>Raphael Mesmer</v>
      </c>
      <c r="C1639" s="109">
        <f ca="1">IFERROR(__xludf.DUMMYFUNCTION("""COMPUTED_VALUE"""),9)</f>
        <v>9</v>
      </c>
      <c r="D1639" s="109" t="str">
        <f ca="1">IFERROR(__xludf.DUMMYFUNCTION("""COMPUTED_VALUE"""),"B")</f>
        <v>B</v>
      </c>
      <c r="E1639" s="110" t="str">
        <f ca="1">IFERROR(__xludf.DUMMYFUNCTION("""COMPUTED_VALUE"""),"F")</f>
        <v>F</v>
      </c>
      <c r="F1639" s="110" t="str">
        <f ca="1">IFERROR(__xludf.DUMMYFUNCTION("""COMPUTED_VALUE"""),"J")</f>
        <v>J</v>
      </c>
      <c r="G1639" s="110">
        <f ca="1">IFERROR(__xludf.DUMMYFUNCTION("""COMPUTED_VALUE"""),8)</f>
        <v>8</v>
      </c>
      <c r="H1639" s="112" t="str">
        <f ca="1"/>
        <v/>
      </c>
      <c r="I1639" s="81" t="str">
        <f ca="1"/>
        <v/>
      </c>
    </row>
    <row r="1640" spans="1:9" ht="13.2">
      <c r="A1640" s="109" t="str">
        <f ca="1">IFERROR(__xludf.DUMMYFUNCTION("""COMPUTED_VALUE"""),"PL")</f>
        <v>PL</v>
      </c>
      <c r="B1640" s="108" t="str">
        <f ca="1">IFERROR(__xludf.DUMMYFUNCTION("""COMPUTED_VALUE"""),"Alexandra Lee")</f>
        <v>Alexandra Lee</v>
      </c>
      <c r="C1640" s="109">
        <f ca="1">IFERROR(__xludf.DUMMYFUNCTION("""COMPUTED_VALUE"""),10)</f>
        <v>10</v>
      </c>
      <c r="D1640" s="109" t="str">
        <f ca="1">IFERROR(__xludf.DUMMYFUNCTION("""COMPUTED_VALUE"""),"G")</f>
        <v>G</v>
      </c>
      <c r="E1640" s="110" t="str">
        <f ca="1">IFERROR(__xludf.DUMMYFUNCTION("""COMPUTED_VALUE"""),"F")</f>
        <v>F</v>
      </c>
      <c r="F1640" s="110" t="str">
        <f ca="1">IFERROR(__xludf.DUMMYFUNCTION("""COMPUTED_VALUE"""),"J")</f>
        <v>J</v>
      </c>
      <c r="G1640" s="110">
        <f ca="1">IFERROR(__xludf.DUMMYFUNCTION("""COMPUTED_VALUE"""),8)</f>
        <v>8</v>
      </c>
      <c r="H1640" s="112" t="str">
        <f ca="1"/>
        <v/>
      </c>
      <c r="I1640" s="112" t="str">
        <f ca="1"/>
        <v/>
      </c>
    </row>
    <row r="1641" spans="1:9" ht="13.2">
      <c r="A1641" s="109" t="str">
        <f ca="1">IFERROR(__xludf.DUMMYFUNCTION("""COMPUTED_VALUE"""),"PL")</f>
        <v>PL</v>
      </c>
      <c r="B1641" s="108" t="str">
        <f ca="1">IFERROR(__xludf.DUMMYFUNCTION("""COMPUTED_VALUE"""),"Charlotte Hill")</f>
        <v>Charlotte Hill</v>
      </c>
      <c r="C1641" s="109">
        <f ca="1">IFERROR(__xludf.DUMMYFUNCTION("""COMPUTED_VALUE"""),9)</f>
        <v>9</v>
      </c>
      <c r="D1641" s="109" t="str">
        <f ca="1">IFERROR(__xludf.DUMMYFUNCTION("""COMPUTED_VALUE"""),"G")</f>
        <v>G</v>
      </c>
      <c r="E1641" s="110" t="str">
        <f ca="1">IFERROR(__xludf.DUMMYFUNCTION("""COMPUTED_VALUE"""),"F")</f>
        <v>F</v>
      </c>
      <c r="F1641" s="110" t="str">
        <f ca="1">IFERROR(__xludf.DUMMYFUNCTION("""COMPUTED_VALUE"""),"J")</f>
        <v>J</v>
      </c>
      <c r="G1641" s="110">
        <f ca="1">IFERROR(__xludf.DUMMYFUNCTION("""COMPUTED_VALUE"""),8)</f>
        <v>8</v>
      </c>
      <c r="H1641" s="112" t="str">
        <f ca="1"/>
        <v/>
      </c>
      <c r="I1641" s="112" t="str">
        <f ca="1"/>
        <v/>
      </c>
    </row>
    <row r="1642" spans="1:9" ht="13.2">
      <c r="A1642" s="109" t="str">
        <f ca="1">IFERROR(__xludf.DUMMYFUNCTION("""COMPUTED_VALUE"""),"PL")</f>
        <v>PL</v>
      </c>
      <c r="B1642" s="108" t="str">
        <f ca="1">IFERROR(__xludf.DUMMYFUNCTION("""COMPUTED_VALUE"""),"Ella Aberra")</f>
        <v>Ella Aberra</v>
      </c>
      <c r="C1642" s="109">
        <f ca="1">IFERROR(__xludf.DUMMYFUNCTION("""COMPUTED_VALUE"""),9)</f>
        <v>9</v>
      </c>
      <c r="D1642" s="109" t="str">
        <f ca="1">IFERROR(__xludf.DUMMYFUNCTION("""COMPUTED_VALUE"""),"G")</f>
        <v>G</v>
      </c>
      <c r="E1642" s="110" t="str">
        <f ca="1">IFERROR(__xludf.DUMMYFUNCTION("""COMPUTED_VALUE"""),"F")</f>
        <v>F</v>
      </c>
      <c r="F1642" s="110" t="str">
        <f ca="1">IFERROR(__xludf.DUMMYFUNCTION("""COMPUTED_VALUE"""),"J")</f>
        <v>J</v>
      </c>
      <c r="G1642" s="110">
        <f ca="1">IFERROR(__xludf.DUMMYFUNCTION("""COMPUTED_VALUE"""),8)</f>
        <v>8</v>
      </c>
      <c r="H1642" s="112" t="str">
        <f ca="1"/>
        <v/>
      </c>
      <c r="I1642" s="112" t="str">
        <f ca="1"/>
        <v/>
      </c>
    </row>
    <row r="1643" spans="1:9" ht="13.2">
      <c r="A1643" s="109" t="str">
        <f ca="1">IFERROR(__xludf.DUMMYFUNCTION("""COMPUTED_VALUE"""),"PL")</f>
        <v>PL</v>
      </c>
      <c r="B1643" s="108" t="str">
        <f ca="1">IFERROR(__xludf.DUMMYFUNCTION("""COMPUTED_VALUE"""),"Greta Ploetz")</f>
        <v>Greta Ploetz</v>
      </c>
      <c r="C1643" s="109">
        <f ca="1">IFERROR(__xludf.DUMMYFUNCTION("""COMPUTED_VALUE"""),10)</f>
        <v>10</v>
      </c>
      <c r="D1643" s="109" t="str">
        <f ca="1">IFERROR(__xludf.DUMMYFUNCTION("""COMPUTED_VALUE"""),"G")</f>
        <v>G</v>
      </c>
      <c r="E1643" s="110" t="str">
        <f ca="1">IFERROR(__xludf.DUMMYFUNCTION("""COMPUTED_VALUE"""),"F")</f>
        <v>F</v>
      </c>
      <c r="F1643" s="110" t="str">
        <f ca="1">IFERROR(__xludf.DUMMYFUNCTION("""COMPUTED_VALUE"""),"J")</f>
        <v>J</v>
      </c>
      <c r="G1643" s="110">
        <f ca="1">IFERROR(__xludf.DUMMYFUNCTION("""COMPUTED_VALUE"""),8)</f>
        <v>8</v>
      </c>
      <c r="H1643" s="112" t="str">
        <f ca="1"/>
        <v/>
      </c>
      <c r="I1643" s="112" t="str">
        <f ca="1"/>
        <v/>
      </c>
    </row>
    <row r="1644" spans="1:9" ht="13.2">
      <c r="A1644" s="109" t="str">
        <f ca="1">IFERROR(__xludf.DUMMYFUNCTION("""COMPUTED_VALUE"""),"PL")</f>
        <v>PL</v>
      </c>
      <c r="B1644" s="108" t="str">
        <f ca="1">IFERROR(__xludf.DUMMYFUNCTION("""COMPUTED_VALUE"""),"Jessica Buitrago")</f>
        <v>Jessica Buitrago</v>
      </c>
      <c r="C1644" s="109">
        <f ca="1">IFERROR(__xludf.DUMMYFUNCTION("""COMPUTED_VALUE"""),10)</f>
        <v>10</v>
      </c>
      <c r="D1644" s="109" t="str">
        <f ca="1">IFERROR(__xludf.DUMMYFUNCTION("""COMPUTED_VALUE"""),"G")</f>
        <v>G</v>
      </c>
      <c r="E1644" s="110" t="str">
        <f ca="1">IFERROR(__xludf.DUMMYFUNCTION("""COMPUTED_VALUE"""),"F")</f>
        <v>F</v>
      </c>
      <c r="F1644" s="110" t="str">
        <f ca="1">IFERROR(__xludf.DUMMYFUNCTION("""COMPUTED_VALUE"""),"J")</f>
        <v>J</v>
      </c>
      <c r="G1644" s="110">
        <f ca="1">IFERROR(__xludf.DUMMYFUNCTION("""COMPUTED_VALUE"""),8)</f>
        <v>8</v>
      </c>
      <c r="H1644" s="112" t="str">
        <f ca="1"/>
        <v/>
      </c>
      <c r="I1644" s="81" t="str">
        <f ca="1"/>
        <v/>
      </c>
    </row>
    <row r="1645" spans="1:9" ht="13.2">
      <c r="A1645" s="109" t="str">
        <f ca="1">IFERROR(__xludf.DUMMYFUNCTION("""COMPUTED_VALUE"""),"PL")</f>
        <v>PL</v>
      </c>
      <c r="B1645" s="108" t="str">
        <f ca="1">IFERROR(__xludf.DUMMYFUNCTION("""COMPUTED_VALUE"""),"Lucy Oliphant")</f>
        <v>Lucy Oliphant</v>
      </c>
      <c r="C1645" s="109">
        <f ca="1">IFERROR(__xludf.DUMMYFUNCTION("""COMPUTED_VALUE"""),10)</f>
        <v>10</v>
      </c>
      <c r="D1645" s="109" t="str">
        <f ca="1">IFERROR(__xludf.DUMMYFUNCTION("""COMPUTED_VALUE"""),"G")</f>
        <v>G</v>
      </c>
      <c r="E1645" s="110" t="str">
        <f ca="1">IFERROR(__xludf.DUMMYFUNCTION("""COMPUTED_VALUE"""),"F")</f>
        <v>F</v>
      </c>
      <c r="F1645" s="110" t="str">
        <f ca="1">IFERROR(__xludf.DUMMYFUNCTION("""COMPUTED_VALUE"""),"J")</f>
        <v>J</v>
      </c>
      <c r="G1645" s="110">
        <f ca="1">IFERROR(__xludf.DUMMYFUNCTION("""COMPUTED_VALUE"""),8)</f>
        <v>8</v>
      </c>
      <c r="H1645" s="112" t="str">
        <f ca="1"/>
        <v/>
      </c>
      <c r="I1645" s="112" t="str">
        <f ca="1"/>
        <v/>
      </c>
    </row>
    <row r="1646" spans="1:9" ht="13.2">
      <c r="A1646" s="109" t="str">
        <f ca="1">IFERROR(__xludf.DUMMYFUNCTION("""COMPUTED_VALUE"""),"PL")</f>
        <v>PL</v>
      </c>
      <c r="B1646" s="108" t="str">
        <f ca="1">IFERROR(__xludf.DUMMYFUNCTION("""COMPUTED_VALUE"""),"Mei Mei Roth")</f>
        <v>Mei Mei Roth</v>
      </c>
      <c r="C1646" s="109">
        <f ca="1">IFERROR(__xludf.DUMMYFUNCTION("""COMPUTED_VALUE"""),9)</f>
        <v>9</v>
      </c>
      <c r="D1646" s="109" t="str">
        <f ca="1">IFERROR(__xludf.DUMMYFUNCTION("""COMPUTED_VALUE"""),"G")</f>
        <v>G</v>
      </c>
      <c r="E1646" s="110" t="str">
        <f ca="1">IFERROR(__xludf.DUMMYFUNCTION("""COMPUTED_VALUE"""),"F")</f>
        <v>F</v>
      </c>
      <c r="F1646" s="110" t="str">
        <f ca="1">IFERROR(__xludf.DUMMYFUNCTION("""COMPUTED_VALUE"""),"J")</f>
        <v>J</v>
      </c>
      <c r="G1646" s="110">
        <f ca="1">IFERROR(__xludf.DUMMYFUNCTION("""COMPUTED_VALUE"""),8)</f>
        <v>8</v>
      </c>
      <c r="H1646" s="112" t="str">
        <f ca="1"/>
        <v/>
      </c>
      <c r="I1646" s="81" t="str">
        <f ca="1"/>
        <v/>
      </c>
    </row>
    <row r="1647" spans="1:9" ht="13.2">
      <c r="A1647" s="109" t="str">
        <f ca="1">IFERROR(__xludf.DUMMYFUNCTION("""COMPUTED_VALUE"""),"PL")</f>
        <v>PL</v>
      </c>
      <c r="B1647" s="108" t="str">
        <f ca="1">IFERROR(__xludf.DUMMYFUNCTION("""COMPUTED_VALUE"""),"David Stayanoff")</f>
        <v>David Stayanoff</v>
      </c>
      <c r="C1647" s="109">
        <f ca="1">IFERROR(__xludf.DUMMYFUNCTION("""COMPUTED_VALUE"""),13)</f>
        <v>13</v>
      </c>
      <c r="D1647" s="109" t="str">
        <f ca="1">IFERROR(__xludf.DUMMYFUNCTION("""COMPUTED_VALUE"""),"B")</f>
        <v>B</v>
      </c>
      <c r="E1647" s="110" t="str">
        <f ca="1">IFERROR(__xludf.DUMMYFUNCTION("""COMPUTED_VALUE"""),"I")</f>
        <v>I</v>
      </c>
      <c r="F1647" s="110" t="str">
        <f ca="1">IFERROR(__xludf.DUMMYFUNCTION("""COMPUTED_VALUE"""),"S")</f>
        <v>S</v>
      </c>
      <c r="G1647" s="110">
        <f ca="1">IFERROR(__xludf.DUMMYFUNCTION("""COMPUTED_VALUE"""),8)</f>
        <v>8</v>
      </c>
      <c r="H1647" s="112" t="str">
        <f ca="1"/>
        <v/>
      </c>
      <c r="I1647" s="81" t="str">
        <f ca="1"/>
        <v/>
      </c>
    </row>
    <row r="1648" spans="1:9" ht="13.2">
      <c r="A1648" s="109" t="str">
        <f ca="1">IFERROR(__xludf.DUMMYFUNCTION("""COMPUTED_VALUE"""),"PL")</f>
        <v>PL</v>
      </c>
      <c r="B1648" s="108" t="str">
        <f ca="1">IFERROR(__xludf.DUMMYFUNCTION("""COMPUTED_VALUE"""),"Joe Liller")</f>
        <v>Joe Liller</v>
      </c>
      <c r="C1648" s="109">
        <f ca="1">IFERROR(__xludf.DUMMYFUNCTION("""COMPUTED_VALUE"""),14)</f>
        <v>14</v>
      </c>
      <c r="D1648" s="109" t="str">
        <f ca="1">IFERROR(__xludf.DUMMYFUNCTION("""COMPUTED_VALUE"""),"B")</f>
        <v>B</v>
      </c>
      <c r="E1648" s="110" t="str">
        <f ca="1">IFERROR(__xludf.DUMMYFUNCTION("""COMPUTED_VALUE"""),"I")</f>
        <v>I</v>
      </c>
      <c r="F1648" s="110" t="str">
        <f ca="1">IFERROR(__xludf.DUMMYFUNCTION("""COMPUTED_VALUE"""),"S")</f>
        <v>S</v>
      </c>
      <c r="G1648" s="110">
        <f ca="1">IFERROR(__xludf.DUMMYFUNCTION("""COMPUTED_VALUE"""),8)</f>
        <v>8</v>
      </c>
      <c r="H1648" s="112" t="str">
        <f ca="1"/>
        <v/>
      </c>
      <c r="I1648" s="81" t="str">
        <f ca="1"/>
        <v/>
      </c>
    </row>
    <row r="1649" spans="1:9" ht="13.2">
      <c r="A1649" s="109" t="str">
        <f ca="1">IFERROR(__xludf.DUMMYFUNCTION("""COMPUTED_VALUE"""),"PL")</f>
        <v>PL</v>
      </c>
      <c r="B1649" s="108" t="str">
        <f ca="1">IFERROR(__xludf.DUMMYFUNCTION("""COMPUTED_VALUE"""),"Nathanael Aberra")</f>
        <v>Nathanael Aberra</v>
      </c>
      <c r="C1649" s="109">
        <f ca="1">IFERROR(__xludf.DUMMYFUNCTION("""COMPUTED_VALUE"""),14)</f>
        <v>14</v>
      </c>
      <c r="D1649" s="109" t="str">
        <f ca="1">IFERROR(__xludf.DUMMYFUNCTION("""COMPUTED_VALUE"""),"B")</f>
        <v>B</v>
      </c>
      <c r="E1649" s="110" t="str">
        <f ca="1">IFERROR(__xludf.DUMMYFUNCTION("""COMPUTED_VALUE"""),"I")</f>
        <v>I</v>
      </c>
      <c r="F1649" s="110" t="str">
        <f ca="1">IFERROR(__xludf.DUMMYFUNCTION("""COMPUTED_VALUE"""),"S")</f>
        <v>S</v>
      </c>
      <c r="G1649" s="110">
        <f ca="1">IFERROR(__xludf.DUMMYFUNCTION("""COMPUTED_VALUE"""),8)</f>
        <v>8</v>
      </c>
      <c r="H1649" s="112" t="str">
        <f ca="1"/>
        <v/>
      </c>
      <c r="I1649" s="81" t="str">
        <f ca="1"/>
        <v/>
      </c>
    </row>
    <row r="1650" spans="1:9" ht="13.2">
      <c r="A1650" s="109" t="str">
        <f ca="1">IFERROR(__xludf.DUMMYFUNCTION("""COMPUTED_VALUE"""),"PL")</f>
        <v>PL</v>
      </c>
      <c r="B1650" s="108" t="str">
        <f ca="1">IFERROR(__xludf.DUMMYFUNCTION("""COMPUTED_VALUE"""),"Will Henderson")</f>
        <v>Will Henderson</v>
      </c>
      <c r="C1650" s="109">
        <f ca="1">IFERROR(__xludf.DUMMYFUNCTION("""COMPUTED_VALUE"""),13)</f>
        <v>13</v>
      </c>
      <c r="D1650" s="109" t="str">
        <f ca="1">IFERROR(__xludf.DUMMYFUNCTION("""COMPUTED_VALUE"""),"B")</f>
        <v>B</v>
      </c>
      <c r="E1650" s="110" t="str">
        <f ca="1">IFERROR(__xludf.DUMMYFUNCTION("""COMPUTED_VALUE"""),"I")</f>
        <v>I</v>
      </c>
      <c r="F1650" s="110" t="str">
        <f ca="1">IFERROR(__xludf.DUMMYFUNCTION("""COMPUTED_VALUE"""),"S")</f>
        <v>S</v>
      </c>
      <c r="G1650" s="110">
        <f ca="1">IFERROR(__xludf.DUMMYFUNCTION("""COMPUTED_VALUE"""),8)</f>
        <v>8</v>
      </c>
      <c r="H1650" s="112" t="str">
        <f ca="1"/>
        <v/>
      </c>
      <c r="I1650" s="112" t="str">
        <f ca="1"/>
        <v/>
      </c>
    </row>
    <row r="1651" spans="1:9" ht="13.2">
      <c r="A1651" s="109" t="str">
        <f ca="1">IFERROR(__xludf.DUMMYFUNCTION("""COMPUTED_VALUE"""),"PL")</f>
        <v>PL</v>
      </c>
      <c r="B1651" s="108" t="str">
        <f ca="1">IFERROR(__xludf.DUMMYFUNCTION("""COMPUTED_VALUE"""),"Alexa Bayer")</f>
        <v>Alexa Bayer</v>
      </c>
      <c r="C1651" s="109">
        <f ca="1">IFERROR(__xludf.DUMMYFUNCTION("""COMPUTED_VALUE"""),13)</f>
        <v>13</v>
      </c>
      <c r="D1651" s="109" t="str">
        <f ca="1">IFERROR(__xludf.DUMMYFUNCTION("""COMPUTED_VALUE"""),"G")</f>
        <v>G</v>
      </c>
      <c r="E1651" s="110" t="str">
        <f ca="1">IFERROR(__xludf.DUMMYFUNCTION("""COMPUTED_VALUE"""),"I")</f>
        <v>I</v>
      </c>
      <c r="F1651" s="110" t="str">
        <f ca="1">IFERROR(__xludf.DUMMYFUNCTION("""COMPUTED_VALUE"""),"S")</f>
        <v>S</v>
      </c>
      <c r="G1651" s="110">
        <f ca="1">IFERROR(__xludf.DUMMYFUNCTION("""COMPUTED_VALUE"""),8)</f>
        <v>8</v>
      </c>
      <c r="H1651" s="112" t="str">
        <f ca="1"/>
        <v/>
      </c>
      <c r="I1651" s="112" t="str">
        <f ca="1"/>
        <v/>
      </c>
    </row>
    <row r="1652" spans="1:9" ht="13.2">
      <c r="A1652" s="109" t="str">
        <f ca="1">IFERROR(__xludf.DUMMYFUNCTION("""COMPUTED_VALUE"""),"PL")</f>
        <v>PL</v>
      </c>
      <c r="B1652" s="108" t="str">
        <f ca="1">IFERROR(__xludf.DUMMYFUNCTION("""COMPUTED_VALUE"""),"Camila Perez")</f>
        <v>Camila Perez</v>
      </c>
      <c r="C1652" s="109">
        <f ca="1">IFERROR(__xludf.DUMMYFUNCTION("""COMPUTED_VALUE"""),13)</f>
        <v>13</v>
      </c>
      <c r="D1652" s="109" t="str">
        <f ca="1">IFERROR(__xludf.DUMMYFUNCTION("""COMPUTED_VALUE"""),"G")</f>
        <v>G</v>
      </c>
      <c r="E1652" s="110" t="str">
        <f ca="1">IFERROR(__xludf.DUMMYFUNCTION("""COMPUTED_VALUE"""),"I")</f>
        <v>I</v>
      </c>
      <c r="F1652" s="110" t="str">
        <f ca="1">IFERROR(__xludf.DUMMYFUNCTION("""COMPUTED_VALUE"""),"S")</f>
        <v>S</v>
      </c>
      <c r="G1652" s="110">
        <f ca="1">IFERROR(__xludf.DUMMYFUNCTION("""COMPUTED_VALUE"""),8)</f>
        <v>8</v>
      </c>
      <c r="H1652" s="112" t="str">
        <f ca="1"/>
        <v/>
      </c>
      <c r="I1652" s="112" t="str">
        <f ca="1"/>
        <v/>
      </c>
    </row>
    <row r="1653" spans="1:9" ht="13.2">
      <c r="A1653" s="109" t="str">
        <f ca="1">IFERROR(__xludf.DUMMYFUNCTION("""COMPUTED_VALUE"""),"PL")</f>
        <v>PL</v>
      </c>
      <c r="B1653" s="108" t="str">
        <f ca="1">IFERROR(__xludf.DUMMYFUNCTION("""COMPUTED_VALUE"""),"Daysi Cruz")</f>
        <v>Daysi Cruz</v>
      </c>
      <c r="C1653" s="109">
        <f ca="1">IFERROR(__xludf.DUMMYFUNCTION("""COMPUTED_VALUE"""),13)</f>
        <v>13</v>
      </c>
      <c r="D1653" s="109" t="str">
        <f ca="1">IFERROR(__xludf.DUMMYFUNCTION("""COMPUTED_VALUE"""),"G")</f>
        <v>G</v>
      </c>
      <c r="E1653" s="110" t="str">
        <f ca="1">IFERROR(__xludf.DUMMYFUNCTION("""COMPUTED_VALUE"""),"I")</f>
        <v>I</v>
      </c>
      <c r="F1653" s="110" t="str">
        <f ca="1">IFERROR(__xludf.DUMMYFUNCTION("""COMPUTED_VALUE"""),"S")</f>
        <v>S</v>
      </c>
      <c r="G1653" s="110">
        <f ca="1">IFERROR(__xludf.DUMMYFUNCTION("""COMPUTED_VALUE"""),8)</f>
        <v>8</v>
      </c>
      <c r="H1653" s="112" t="str">
        <f ca="1"/>
        <v/>
      </c>
      <c r="I1653" s="112" t="str">
        <f ca="1"/>
        <v/>
      </c>
    </row>
    <row r="1654" spans="1:9" ht="13.2">
      <c r="A1654" s="109" t="str">
        <f ca="1">IFERROR(__xludf.DUMMYFUNCTION("""COMPUTED_VALUE"""),"PL")</f>
        <v>PL</v>
      </c>
      <c r="B1654" s="108" t="str">
        <f ca="1">IFERROR(__xludf.DUMMYFUNCTION("""COMPUTED_VALUE"""),"Ella Galway")</f>
        <v>Ella Galway</v>
      </c>
      <c r="C1654" s="109">
        <f ca="1">IFERROR(__xludf.DUMMYFUNCTION("""COMPUTED_VALUE"""),14)</f>
        <v>14</v>
      </c>
      <c r="D1654" s="109" t="str">
        <f ca="1">IFERROR(__xludf.DUMMYFUNCTION("""COMPUTED_VALUE"""),"G")</f>
        <v>G</v>
      </c>
      <c r="E1654" s="110" t="str">
        <f ca="1">IFERROR(__xludf.DUMMYFUNCTION("""COMPUTED_VALUE"""),"I")</f>
        <v>I</v>
      </c>
      <c r="F1654" s="110" t="str">
        <f ca="1">IFERROR(__xludf.DUMMYFUNCTION("""COMPUTED_VALUE"""),"S")</f>
        <v>S</v>
      </c>
      <c r="G1654" s="110">
        <f ca="1">IFERROR(__xludf.DUMMYFUNCTION("""COMPUTED_VALUE"""),8)</f>
        <v>8</v>
      </c>
      <c r="H1654" s="112" t="str">
        <f ca="1"/>
        <v/>
      </c>
      <c r="I1654" s="112" t="str">
        <f ca="1"/>
        <v/>
      </c>
    </row>
    <row r="1655" spans="1:9" ht="13.2">
      <c r="A1655" s="109" t="str">
        <f ca="1">IFERROR(__xludf.DUMMYFUNCTION("""COMPUTED_VALUE"""),"PL")</f>
        <v>PL</v>
      </c>
      <c r="B1655" s="108" t="str">
        <f ca="1">IFERROR(__xludf.DUMMYFUNCTION("""COMPUTED_VALUE"""),"Emma Hill")</f>
        <v>Emma Hill</v>
      </c>
      <c r="C1655" s="109">
        <f ca="1">IFERROR(__xludf.DUMMYFUNCTION("""COMPUTED_VALUE"""),13)</f>
        <v>13</v>
      </c>
      <c r="D1655" s="109" t="str">
        <f ca="1">IFERROR(__xludf.DUMMYFUNCTION("""COMPUTED_VALUE"""),"G")</f>
        <v>G</v>
      </c>
      <c r="E1655" s="110" t="str">
        <f ca="1">IFERROR(__xludf.DUMMYFUNCTION("""COMPUTED_VALUE"""),"I")</f>
        <v>I</v>
      </c>
      <c r="F1655" s="110" t="str">
        <f ca="1">IFERROR(__xludf.DUMMYFUNCTION("""COMPUTED_VALUE"""),"S")</f>
        <v>S</v>
      </c>
      <c r="G1655" s="110">
        <f ca="1">IFERROR(__xludf.DUMMYFUNCTION("""COMPUTED_VALUE"""),8)</f>
        <v>8</v>
      </c>
      <c r="H1655" s="112" t="str">
        <f ca="1"/>
        <v/>
      </c>
      <c r="I1655" s="112" t="str">
        <f ca="1"/>
        <v/>
      </c>
    </row>
    <row r="1656" spans="1:9" ht="13.2">
      <c r="A1656" s="109" t="str">
        <f ca="1">IFERROR(__xludf.DUMMYFUNCTION("""COMPUTED_VALUE"""),"PL")</f>
        <v>PL</v>
      </c>
      <c r="B1656" s="108" t="str">
        <f ca="1">IFERROR(__xludf.DUMMYFUNCTION("""COMPUTED_VALUE"""),"Hanna Balcha")</f>
        <v>Hanna Balcha</v>
      </c>
      <c r="C1656" s="109">
        <f ca="1">IFERROR(__xludf.DUMMYFUNCTION("""COMPUTED_VALUE"""),13)</f>
        <v>13</v>
      </c>
      <c r="D1656" s="109" t="str">
        <f ca="1">IFERROR(__xludf.DUMMYFUNCTION("""COMPUTED_VALUE"""),"G")</f>
        <v>G</v>
      </c>
      <c r="E1656" s="110" t="str">
        <f ca="1">IFERROR(__xludf.DUMMYFUNCTION("""COMPUTED_VALUE"""),"I")</f>
        <v>I</v>
      </c>
      <c r="F1656" s="110" t="str">
        <f ca="1">IFERROR(__xludf.DUMMYFUNCTION("""COMPUTED_VALUE"""),"S")</f>
        <v>S</v>
      </c>
      <c r="G1656" s="110">
        <f ca="1">IFERROR(__xludf.DUMMYFUNCTION("""COMPUTED_VALUE"""),8)</f>
        <v>8</v>
      </c>
      <c r="H1656" s="112" t="str">
        <f ca="1"/>
        <v/>
      </c>
      <c r="I1656" s="112" t="str">
        <f ca="1"/>
        <v/>
      </c>
    </row>
    <row r="1657" spans="1:9" ht="13.2">
      <c r="A1657" s="109" t="str">
        <f ca="1">IFERROR(__xludf.DUMMYFUNCTION("""COMPUTED_VALUE"""),"PL")</f>
        <v>PL</v>
      </c>
      <c r="B1657" s="108" t="str">
        <f ca="1">IFERROR(__xludf.DUMMYFUNCTION("""COMPUTED_VALUE"""),"Julia Kaldahl")</f>
        <v>Julia Kaldahl</v>
      </c>
      <c r="C1657" s="109">
        <f ca="1">IFERROR(__xludf.DUMMYFUNCTION("""COMPUTED_VALUE"""),13)</f>
        <v>13</v>
      </c>
      <c r="D1657" s="109" t="str">
        <f ca="1">IFERROR(__xludf.DUMMYFUNCTION("""COMPUTED_VALUE"""),"G")</f>
        <v>G</v>
      </c>
      <c r="E1657" s="110" t="str">
        <f ca="1">IFERROR(__xludf.DUMMYFUNCTION("""COMPUTED_VALUE"""),"I")</f>
        <v>I</v>
      </c>
      <c r="F1657" s="110" t="str">
        <f ca="1">IFERROR(__xludf.DUMMYFUNCTION("""COMPUTED_VALUE"""),"S")</f>
        <v>S</v>
      </c>
      <c r="G1657" s="110">
        <f ca="1">IFERROR(__xludf.DUMMYFUNCTION("""COMPUTED_VALUE"""),8)</f>
        <v>8</v>
      </c>
      <c r="H1657" s="112" t="str">
        <f ca="1"/>
        <v/>
      </c>
      <c r="I1657" s="112" t="str">
        <f ca="1"/>
        <v/>
      </c>
    </row>
    <row r="1658" spans="1:9" ht="13.2">
      <c r="A1658" s="109" t="str">
        <f ca="1">IFERROR(__xludf.DUMMYFUNCTION("""COMPUTED_VALUE"""),"PL")</f>
        <v>PL</v>
      </c>
      <c r="B1658" s="108" t="str">
        <f ca="1">IFERROR(__xludf.DUMMYFUNCTION("""COMPUTED_VALUE"""),"Mia Andonegui")</f>
        <v>Mia Andonegui</v>
      </c>
      <c r="C1658" s="109">
        <f ca="1">IFERROR(__xludf.DUMMYFUNCTION("""COMPUTED_VALUE"""),14)</f>
        <v>14</v>
      </c>
      <c r="D1658" s="109" t="str">
        <f ca="1">IFERROR(__xludf.DUMMYFUNCTION("""COMPUTED_VALUE"""),"G")</f>
        <v>G</v>
      </c>
      <c r="E1658" s="110" t="str">
        <f ca="1">IFERROR(__xludf.DUMMYFUNCTION("""COMPUTED_VALUE"""),"I")</f>
        <v>I</v>
      </c>
      <c r="F1658" s="110" t="str">
        <f ca="1">IFERROR(__xludf.DUMMYFUNCTION("""COMPUTED_VALUE"""),"S")</f>
        <v>S</v>
      </c>
      <c r="G1658" s="110">
        <f ca="1">IFERROR(__xludf.DUMMYFUNCTION("""COMPUTED_VALUE"""),8)</f>
        <v>8</v>
      </c>
      <c r="H1658" s="112" t="str">
        <f ca="1"/>
        <v/>
      </c>
      <c r="I1658" s="112" t="str">
        <f ca="1"/>
        <v/>
      </c>
    </row>
    <row r="1659" spans="1:9" ht="13.2">
      <c r="A1659" s="109" t="str">
        <f ca="1">IFERROR(__xludf.DUMMYFUNCTION("""COMPUTED_VALUE"""),"PL")</f>
        <v>PL</v>
      </c>
      <c r="B1659" s="108" t="str">
        <f ca="1">IFERROR(__xludf.DUMMYFUNCTION("""COMPUTED_VALUE"""),"Sophia Johnson")</f>
        <v>Sophia Johnson</v>
      </c>
      <c r="C1659" s="109">
        <f ca="1">IFERROR(__xludf.DUMMYFUNCTION("""COMPUTED_VALUE"""),14)</f>
        <v>14</v>
      </c>
      <c r="D1659" s="109" t="str">
        <f ca="1">IFERROR(__xludf.DUMMYFUNCTION("""COMPUTED_VALUE"""),"G")</f>
        <v>G</v>
      </c>
      <c r="E1659" s="110" t="str">
        <f ca="1">IFERROR(__xludf.DUMMYFUNCTION("""COMPUTED_VALUE"""),"I")</f>
        <v>I</v>
      </c>
      <c r="F1659" s="110" t="str">
        <f ca="1">IFERROR(__xludf.DUMMYFUNCTION("""COMPUTED_VALUE"""),"S")</f>
        <v>S</v>
      </c>
      <c r="G1659" s="110">
        <f ca="1">IFERROR(__xludf.DUMMYFUNCTION("""COMPUTED_VALUE"""),8)</f>
        <v>8</v>
      </c>
      <c r="H1659" s="112" t="str">
        <f ca="1"/>
        <v/>
      </c>
      <c r="I1659" s="81" t="str">
        <f ca="1"/>
        <v/>
      </c>
    </row>
    <row r="1660" spans="1:9" ht="13.2">
      <c r="A1660" s="109" t="str">
        <f ca="1">IFERROR(__xludf.DUMMYFUNCTION("""COMPUTED_VALUE"""),"PL")</f>
        <v>PL</v>
      </c>
      <c r="B1660" s="108" t="str">
        <f ca="1">IFERROR(__xludf.DUMMYFUNCTION("""COMPUTED_VALUE"""),"Tess Galway")</f>
        <v>Tess Galway</v>
      </c>
      <c r="C1660" s="109">
        <f ca="1">IFERROR(__xludf.DUMMYFUNCTION("""COMPUTED_VALUE"""),14)</f>
        <v>14</v>
      </c>
      <c r="D1660" s="109" t="str">
        <f ca="1">IFERROR(__xludf.DUMMYFUNCTION("""COMPUTED_VALUE"""),"G")</f>
        <v>G</v>
      </c>
      <c r="E1660" s="110" t="str">
        <f ca="1">IFERROR(__xludf.DUMMYFUNCTION("""COMPUTED_VALUE"""),"I")</f>
        <v>I</v>
      </c>
      <c r="F1660" s="110" t="str">
        <f ca="1">IFERROR(__xludf.DUMMYFUNCTION("""COMPUTED_VALUE"""),"S")</f>
        <v>S</v>
      </c>
      <c r="G1660" s="110">
        <f ca="1">IFERROR(__xludf.DUMMYFUNCTION("""COMPUTED_VALUE"""),8)</f>
        <v>8</v>
      </c>
      <c r="H1660" s="112" t="str">
        <f ca="1"/>
        <v/>
      </c>
      <c r="I1660" s="112" t="str">
        <f ca="1"/>
        <v/>
      </c>
    </row>
    <row r="1661" spans="1:9" ht="13.2">
      <c r="A1661" s="109" t="str">
        <f ca="1">IFERROR(__xludf.DUMMYFUNCTION("""COMPUTED_VALUE"""),"PL")</f>
        <v>PL</v>
      </c>
      <c r="B1661" s="108" t="str">
        <f ca="1">IFERROR(__xludf.DUMMYFUNCTION("""COMPUTED_VALUE"""),"Josiah Aberra")</f>
        <v>Josiah Aberra</v>
      </c>
      <c r="C1661" s="109">
        <f ca="1">IFERROR(__xludf.DUMMYFUNCTION("""COMPUTED_VALUE"""),12)</f>
        <v>12</v>
      </c>
      <c r="D1661" s="109" t="str">
        <f ca="1">IFERROR(__xludf.DUMMYFUNCTION("""COMPUTED_VALUE"""),"B")</f>
        <v>B</v>
      </c>
      <c r="E1661" s="110" t="str">
        <f ca="1">IFERROR(__xludf.DUMMYFUNCTION("""COMPUTED_VALUE"""),"J")</f>
        <v>J</v>
      </c>
      <c r="F1661" s="110" t="str">
        <f ca="1">IFERROR(__xludf.DUMMYFUNCTION("""COMPUTED_VALUE"""),"I")</f>
        <v>I</v>
      </c>
      <c r="G1661" s="110">
        <f ca="1">IFERROR(__xludf.DUMMYFUNCTION("""COMPUTED_VALUE"""),8)</f>
        <v>8</v>
      </c>
      <c r="H1661" s="112" t="str">
        <f ca="1"/>
        <v/>
      </c>
      <c r="I1661" s="112" t="str">
        <f ca="1"/>
        <v/>
      </c>
    </row>
    <row r="1662" spans="1:9" ht="13.2">
      <c r="A1662" s="109" t="str">
        <f ca="1">IFERROR(__xludf.DUMMYFUNCTION("""COMPUTED_VALUE"""),"PL")</f>
        <v>PL</v>
      </c>
      <c r="B1662" s="108" t="str">
        <f ca="1">IFERROR(__xludf.DUMMYFUNCTION("""COMPUTED_VALUE"""),"Brooke Hunnicutt")</f>
        <v>Brooke Hunnicutt</v>
      </c>
      <c r="C1662" s="109">
        <f ca="1">IFERROR(__xludf.DUMMYFUNCTION("""COMPUTED_VALUE"""),12)</f>
        <v>12</v>
      </c>
      <c r="D1662" s="109" t="str">
        <f ca="1">IFERROR(__xludf.DUMMYFUNCTION("""COMPUTED_VALUE"""),"G")</f>
        <v>G</v>
      </c>
      <c r="E1662" s="110" t="str">
        <f ca="1">IFERROR(__xludf.DUMMYFUNCTION("""COMPUTED_VALUE"""),"J")</f>
        <v>J</v>
      </c>
      <c r="F1662" s="110" t="str">
        <f ca="1">IFERROR(__xludf.DUMMYFUNCTION("""COMPUTED_VALUE"""),"I")</f>
        <v>I</v>
      </c>
      <c r="G1662" s="110">
        <f ca="1">IFERROR(__xludf.DUMMYFUNCTION("""COMPUTED_VALUE"""),8)</f>
        <v>8</v>
      </c>
      <c r="H1662" s="112" t="str">
        <f ca="1"/>
        <v/>
      </c>
      <c r="I1662" s="112" t="str">
        <f ca="1"/>
        <v/>
      </c>
    </row>
    <row r="1663" spans="1:9" ht="13.2">
      <c r="A1663" s="109" t="str">
        <f ca="1">IFERROR(__xludf.DUMMYFUNCTION("""COMPUTED_VALUE"""),"PL")</f>
        <v>PL</v>
      </c>
      <c r="B1663" s="108" t="str">
        <f ca="1">IFERROR(__xludf.DUMMYFUNCTION("""COMPUTED_VALUE"""),"CW Johnston")</f>
        <v>CW Johnston</v>
      </c>
      <c r="C1663" s="109">
        <f ca="1">IFERROR(__xludf.DUMMYFUNCTION("""COMPUTED_VALUE"""),12)</f>
        <v>12</v>
      </c>
      <c r="D1663" s="109" t="str">
        <f ca="1">IFERROR(__xludf.DUMMYFUNCTION("""COMPUTED_VALUE"""),"G")</f>
        <v>G</v>
      </c>
      <c r="E1663" s="110" t="str">
        <f ca="1">IFERROR(__xludf.DUMMYFUNCTION("""COMPUTED_VALUE"""),"J")</f>
        <v>J</v>
      </c>
      <c r="F1663" s="110" t="str">
        <f ca="1">IFERROR(__xludf.DUMMYFUNCTION("""COMPUTED_VALUE"""),"I")</f>
        <v>I</v>
      </c>
      <c r="G1663" s="110">
        <f ca="1">IFERROR(__xludf.DUMMYFUNCTION("""COMPUTED_VALUE"""),8)</f>
        <v>8</v>
      </c>
      <c r="H1663" s="112" t="str">
        <f ca="1"/>
        <v/>
      </c>
      <c r="I1663" s="81" t="str">
        <f ca="1"/>
        <v/>
      </c>
    </row>
    <row r="1664" spans="1:9" ht="13.2">
      <c r="A1664" s="109" t="str">
        <f ca="1">IFERROR(__xludf.DUMMYFUNCTION("""COMPUTED_VALUE"""),"PL")</f>
        <v>PL</v>
      </c>
      <c r="B1664" s="108" t="str">
        <f ca="1">IFERROR(__xludf.DUMMYFUNCTION("""COMPUTED_VALUE"""),"Elizabeth Beck")</f>
        <v>Elizabeth Beck</v>
      </c>
      <c r="C1664" s="109">
        <f ca="1">IFERROR(__xludf.DUMMYFUNCTION("""COMPUTED_VALUE"""),11)</f>
        <v>11</v>
      </c>
      <c r="D1664" s="109" t="str">
        <f ca="1">IFERROR(__xludf.DUMMYFUNCTION("""COMPUTED_VALUE"""),"G")</f>
        <v>G</v>
      </c>
      <c r="E1664" s="110" t="str">
        <f ca="1">IFERROR(__xludf.DUMMYFUNCTION("""COMPUTED_VALUE"""),"J")</f>
        <v>J</v>
      </c>
      <c r="F1664" s="110" t="str">
        <f ca="1">IFERROR(__xludf.DUMMYFUNCTION("""COMPUTED_VALUE"""),"I")</f>
        <v>I</v>
      </c>
      <c r="G1664" s="110">
        <f ca="1">IFERROR(__xludf.DUMMYFUNCTION("""COMPUTED_VALUE"""),8)</f>
        <v>8</v>
      </c>
      <c r="H1664" s="112" t="str">
        <f ca="1"/>
        <v/>
      </c>
      <c r="I1664" s="112" t="str">
        <f ca="1"/>
        <v/>
      </c>
    </row>
    <row r="1665" spans="1:9" ht="13.2">
      <c r="A1665" s="109" t="str">
        <f ca="1">IFERROR(__xludf.DUMMYFUNCTION("""COMPUTED_VALUE"""),"PL")</f>
        <v>PL</v>
      </c>
      <c r="B1665" s="108" t="str">
        <f ca="1">IFERROR(__xludf.DUMMYFUNCTION("""COMPUTED_VALUE"""),"Kamila Baldiviezo")</f>
        <v>Kamila Baldiviezo</v>
      </c>
      <c r="C1665" s="109">
        <f ca="1">IFERROR(__xludf.DUMMYFUNCTION("""COMPUTED_VALUE"""),11)</f>
        <v>11</v>
      </c>
      <c r="D1665" s="109" t="str">
        <f ca="1">IFERROR(__xludf.DUMMYFUNCTION("""COMPUTED_VALUE"""),"G")</f>
        <v>G</v>
      </c>
      <c r="E1665" s="110" t="str">
        <f ca="1">IFERROR(__xludf.DUMMYFUNCTION("""COMPUTED_VALUE"""),"J")</f>
        <v>J</v>
      </c>
      <c r="F1665" s="110" t="str">
        <f ca="1">IFERROR(__xludf.DUMMYFUNCTION("""COMPUTED_VALUE"""),"I")</f>
        <v>I</v>
      </c>
      <c r="G1665" s="110">
        <f ca="1">IFERROR(__xludf.DUMMYFUNCTION("""COMPUTED_VALUE"""),8)</f>
        <v>8</v>
      </c>
      <c r="H1665" s="112" t="str">
        <f ca="1"/>
        <v/>
      </c>
      <c r="I1665" s="112" t="str">
        <f ca="1"/>
        <v/>
      </c>
    </row>
    <row r="1666" spans="1:9" ht="13.2">
      <c r="A1666" s="109" t="str">
        <f ca="1">IFERROR(__xludf.DUMMYFUNCTION("""COMPUTED_VALUE"""),"PL")</f>
        <v>PL</v>
      </c>
      <c r="B1666" s="108" t="str">
        <f ca="1">IFERROR(__xludf.DUMMYFUNCTION("""COMPUTED_VALUE"""),"Lucia Pedrick")</f>
        <v>Lucia Pedrick</v>
      </c>
      <c r="C1666" s="109">
        <f ca="1">IFERROR(__xludf.DUMMYFUNCTION("""COMPUTED_VALUE"""),11)</f>
        <v>11</v>
      </c>
      <c r="D1666" s="109" t="str">
        <f ca="1">IFERROR(__xludf.DUMMYFUNCTION("""COMPUTED_VALUE"""),"G")</f>
        <v>G</v>
      </c>
      <c r="E1666" s="110" t="str">
        <f ca="1">IFERROR(__xludf.DUMMYFUNCTION("""COMPUTED_VALUE"""),"J")</f>
        <v>J</v>
      </c>
      <c r="F1666" s="110" t="str">
        <f ca="1">IFERROR(__xludf.DUMMYFUNCTION("""COMPUTED_VALUE"""),"I")</f>
        <v>I</v>
      </c>
      <c r="G1666" s="110">
        <f ca="1">IFERROR(__xludf.DUMMYFUNCTION("""COMPUTED_VALUE"""),8)</f>
        <v>8</v>
      </c>
      <c r="H1666" s="112" t="str">
        <f ca="1"/>
        <v/>
      </c>
      <c r="I1666" s="112" t="str">
        <f ca="1"/>
        <v/>
      </c>
    </row>
    <row r="1667" spans="1:9" ht="13.2">
      <c r="A1667" s="109" t="str">
        <f ca="1">IFERROR(__xludf.DUMMYFUNCTION("""COMPUTED_VALUE"""),"PL")</f>
        <v>PL</v>
      </c>
      <c r="B1667" s="108" t="str">
        <f ca="1">IFERROR(__xludf.DUMMYFUNCTION("""COMPUTED_VALUE"""),"Rayna Johnson")</f>
        <v>Rayna Johnson</v>
      </c>
      <c r="C1667" s="109">
        <f ca="1">IFERROR(__xludf.DUMMYFUNCTION("""COMPUTED_VALUE"""),11)</f>
        <v>11</v>
      </c>
      <c r="D1667" s="109" t="str">
        <f ca="1">IFERROR(__xludf.DUMMYFUNCTION("""COMPUTED_VALUE"""),"G")</f>
        <v>G</v>
      </c>
      <c r="E1667" s="110" t="str">
        <f ca="1">IFERROR(__xludf.DUMMYFUNCTION("""COMPUTED_VALUE"""),"J")</f>
        <v>J</v>
      </c>
      <c r="F1667" s="110" t="str">
        <f ca="1">IFERROR(__xludf.DUMMYFUNCTION("""COMPUTED_VALUE"""),"I")</f>
        <v>I</v>
      </c>
      <c r="G1667" s="110">
        <f ca="1">IFERROR(__xludf.DUMMYFUNCTION("""COMPUTED_VALUE"""),8)</f>
        <v>8</v>
      </c>
      <c r="H1667" s="112" t="str">
        <f ca="1"/>
        <v/>
      </c>
      <c r="I1667" s="112" t="str">
        <f ca="1"/>
        <v/>
      </c>
    </row>
    <row r="1668" spans="1:9" ht="13.2">
      <c r="A1668" s="109" t="str">
        <f ca="1">IFERROR(__xludf.DUMMYFUNCTION("""COMPUTED_VALUE"""),"PL")</f>
        <v>PL</v>
      </c>
      <c r="B1668" s="108" t="str">
        <f ca="1">IFERROR(__xludf.DUMMYFUNCTION("""COMPUTED_VALUE"""),"Cade Stinson")</f>
        <v>Cade Stinson</v>
      </c>
      <c r="C1668" s="109">
        <f ca="1">IFERROR(__xludf.DUMMYFUNCTION("""COMPUTED_VALUE"""),17)</f>
        <v>17</v>
      </c>
      <c r="D1668" s="109" t="str">
        <f ca="1">IFERROR(__xludf.DUMMYFUNCTION("""COMPUTED_VALUE"""),"B")</f>
        <v>B</v>
      </c>
      <c r="E1668" s="110" t="str">
        <f ca="1">IFERROR(__xludf.DUMMYFUNCTION("""COMPUTED_VALUE"""),"S")</f>
        <v>S</v>
      </c>
      <c r="F1668" s="110" t="str">
        <f ca="1">IFERROR(__xludf.DUMMYFUNCTION("""COMPUTED_VALUE"""),"S")</f>
        <v>S</v>
      </c>
      <c r="G1668" s="110">
        <f ca="1">IFERROR(__xludf.DUMMYFUNCTION("""COMPUTED_VALUE"""),8)</f>
        <v>8</v>
      </c>
      <c r="H1668" s="112" t="str">
        <f ca="1"/>
        <v/>
      </c>
      <c r="I1668" s="112" t="str">
        <f ca="1"/>
        <v/>
      </c>
    </row>
    <row r="1669" spans="1:9" ht="13.2">
      <c r="A1669" s="109" t="str">
        <f ca="1">IFERROR(__xludf.DUMMYFUNCTION("""COMPUTED_VALUE"""),"PL")</f>
        <v>PL</v>
      </c>
      <c r="B1669" s="108" t="str">
        <f ca="1">IFERROR(__xludf.DUMMYFUNCTION("""COMPUTED_VALUE"""),"Louis Molife")</f>
        <v>Louis Molife</v>
      </c>
      <c r="C1669" s="109">
        <f ca="1">IFERROR(__xludf.DUMMYFUNCTION("""COMPUTED_VALUE"""),15)</f>
        <v>15</v>
      </c>
      <c r="D1669" s="109" t="str">
        <f ca="1">IFERROR(__xludf.DUMMYFUNCTION("""COMPUTED_VALUE"""),"B")</f>
        <v>B</v>
      </c>
      <c r="E1669" s="110" t="str">
        <f ca="1">IFERROR(__xludf.DUMMYFUNCTION("""COMPUTED_VALUE"""),"S")</f>
        <v>S</v>
      </c>
      <c r="F1669" s="110" t="str">
        <f ca="1">IFERROR(__xludf.DUMMYFUNCTION("""COMPUTED_VALUE"""),"S")</f>
        <v>S</v>
      </c>
      <c r="G1669" s="110">
        <f ca="1">IFERROR(__xludf.DUMMYFUNCTION("""COMPUTED_VALUE"""),8)</f>
        <v>8</v>
      </c>
      <c r="H1669" s="112" t="str">
        <f ca="1"/>
        <v/>
      </c>
      <c r="I1669" s="112" t="str">
        <f ca="1"/>
        <v/>
      </c>
    </row>
    <row r="1670" spans="1:9" ht="13.2">
      <c r="A1670" s="109" t="str">
        <f ca="1">IFERROR(__xludf.DUMMYFUNCTION("""COMPUTED_VALUE"""),"PL")</f>
        <v>PL</v>
      </c>
      <c r="B1670" s="108" t="str">
        <f ca="1">IFERROR(__xludf.DUMMYFUNCTION("""COMPUTED_VALUE"""),"Owen Henderson")</f>
        <v>Owen Henderson</v>
      </c>
      <c r="C1670" s="109">
        <f ca="1">IFERROR(__xludf.DUMMYFUNCTION("""COMPUTED_VALUE"""),15)</f>
        <v>15</v>
      </c>
      <c r="D1670" s="109" t="str">
        <f ca="1">IFERROR(__xludf.DUMMYFUNCTION("""COMPUTED_VALUE"""),"B")</f>
        <v>B</v>
      </c>
      <c r="E1670" s="110" t="str">
        <f ca="1">IFERROR(__xludf.DUMMYFUNCTION("""COMPUTED_VALUE"""),"S")</f>
        <v>S</v>
      </c>
      <c r="F1670" s="110" t="str">
        <f ca="1">IFERROR(__xludf.DUMMYFUNCTION("""COMPUTED_VALUE"""),"S")</f>
        <v>S</v>
      </c>
      <c r="G1670" s="110">
        <f ca="1">IFERROR(__xludf.DUMMYFUNCTION("""COMPUTED_VALUE"""),8)</f>
        <v>8</v>
      </c>
      <c r="H1670" s="112" t="str">
        <f ca="1"/>
        <v/>
      </c>
      <c r="I1670" s="112" t="str">
        <f ca="1"/>
        <v/>
      </c>
    </row>
    <row r="1671" spans="1:9" ht="13.2">
      <c r="A1671" s="109" t="str">
        <f ca="1">IFERROR(__xludf.DUMMYFUNCTION("""COMPUTED_VALUE"""),"PL")</f>
        <v>PL</v>
      </c>
      <c r="B1671" s="108" t="str">
        <f ca="1">IFERROR(__xludf.DUMMYFUNCTION("""COMPUTED_VALUE"""),"Emma Liston")</f>
        <v>Emma Liston</v>
      </c>
      <c r="C1671" s="109">
        <f ca="1">IFERROR(__xludf.DUMMYFUNCTION("""COMPUTED_VALUE"""),18)</f>
        <v>18</v>
      </c>
      <c r="D1671" s="109" t="str">
        <f ca="1">IFERROR(__xludf.DUMMYFUNCTION("""COMPUTED_VALUE"""),"G")</f>
        <v>G</v>
      </c>
      <c r="E1671" s="110" t="str">
        <f ca="1">IFERROR(__xludf.DUMMYFUNCTION("""COMPUTED_VALUE"""),"S")</f>
        <v>S</v>
      </c>
      <c r="F1671" s="110" t="str">
        <f ca="1">IFERROR(__xludf.DUMMYFUNCTION("""COMPUTED_VALUE"""),"S")</f>
        <v>S</v>
      </c>
      <c r="G1671" s="110">
        <f ca="1">IFERROR(__xludf.DUMMYFUNCTION("""COMPUTED_VALUE"""),8)</f>
        <v>8</v>
      </c>
      <c r="H1671" s="112" t="str">
        <f ca="1"/>
        <v/>
      </c>
      <c r="I1671" s="112" t="str">
        <f ca="1"/>
        <v/>
      </c>
    </row>
    <row r="1672" spans="1:9" ht="13.2">
      <c r="A1672" s="109" t="str">
        <f ca="1">IFERROR(__xludf.DUMMYFUNCTION("""COMPUTED_VALUE"""),"R")</f>
        <v>R</v>
      </c>
      <c r="B1672" s="108" t="str">
        <f ca="1">IFERROR(__xludf.DUMMYFUNCTION("""COMPUTED_VALUE"""),"Brayden Auble")</f>
        <v>Brayden Auble</v>
      </c>
      <c r="C1672" s="109">
        <f ca="1">IFERROR(__xludf.DUMMYFUNCTION("""COMPUTED_VALUE"""),8)</f>
        <v>8</v>
      </c>
      <c r="D1672" s="109" t="str">
        <f ca="1">IFERROR(__xludf.DUMMYFUNCTION("""COMPUTED_VALUE"""),"B")</f>
        <v>B</v>
      </c>
      <c r="E1672" s="110" t="str">
        <f ca="1">IFERROR(__xludf.DUMMYFUNCTION("""COMPUTED_VALUE"""),"F")</f>
        <v>F</v>
      </c>
      <c r="F1672" s="110" t="str">
        <f ca="1">IFERROR(__xludf.DUMMYFUNCTION("""COMPUTED_VALUE"""),"J")</f>
        <v>J</v>
      </c>
      <c r="G1672" s="110">
        <f ca="1">IFERROR(__xludf.DUMMYFUNCTION("""COMPUTED_VALUE"""),5)</f>
        <v>5</v>
      </c>
      <c r="H1672" s="112" t="str">
        <f ca="1"/>
        <v/>
      </c>
      <c r="I1672" s="112" t="str">
        <f ca="1"/>
        <v/>
      </c>
    </row>
    <row r="1673" spans="1:9" ht="13.2">
      <c r="A1673" s="109" t="str">
        <f ca="1">IFERROR(__xludf.DUMMYFUNCTION("""COMPUTED_VALUE"""),"R")</f>
        <v>R</v>
      </c>
      <c r="B1673" s="108" t="str">
        <f ca="1">IFERROR(__xludf.DUMMYFUNCTION("""COMPUTED_VALUE"""),"Griffin Cahalan")</f>
        <v>Griffin Cahalan</v>
      </c>
      <c r="C1673" s="109">
        <f ca="1">IFERROR(__xludf.DUMMYFUNCTION("""COMPUTED_VALUE"""),7)</f>
        <v>7</v>
      </c>
      <c r="D1673" s="109" t="str">
        <f ca="1">IFERROR(__xludf.DUMMYFUNCTION("""COMPUTED_VALUE"""),"B")</f>
        <v>B</v>
      </c>
      <c r="E1673" s="110" t="str">
        <f ca="1">IFERROR(__xludf.DUMMYFUNCTION("""COMPUTED_VALUE"""),"F")</f>
        <v>F</v>
      </c>
      <c r="F1673" s="110" t="str">
        <f ca="1">IFERROR(__xludf.DUMMYFUNCTION("""COMPUTED_VALUE"""),"J")</f>
        <v>J</v>
      </c>
      <c r="G1673" s="110">
        <f ca="1">IFERROR(__xludf.DUMMYFUNCTION("""COMPUTED_VALUE"""),5)</f>
        <v>5</v>
      </c>
      <c r="H1673" s="112" t="str">
        <f ca="1"/>
        <v/>
      </c>
      <c r="I1673" s="112" t="str">
        <f ca="1"/>
        <v/>
      </c>
    </row>
    <row r="1674" spans="1:9" ht="13.2">
      <c r="A1674" s="109" t="str">
        <f ca="1">IFERROR(__xludf.DUMMYFUNCTION("""COMPUTED_VALUE"""),"R")</f>
        <v>R</v>
      </c>
      <c r="B1674" s="108" t="str">
        <f ca="1">IFERROR(__xludf.DUMMYFUNCTION("""COMPUTED_VALUE"""),"Jasper Figley")</f>
        <v>Jasper Figley</v>
      </c>
      <c r="C1674" s="109">
        <f ca="1">IFERROR(__xludf.DUMMYFUNCTION("""COMPUTED_VALUE"""),9)</f>
        <v>9</v>
      </c>
      <c r="D1674" s="109" t="str">
        <f ca="1">IFERROR(__xludf.DUMMYFUNCTION("""COMPUTED_VALUE"""),"B")</f>
        <v>B</v>
      </c>
      <c r="E1674" s="110" t="str">
        <f ca="1">IFERROR(__xludf.DUMMYFUNCTION("""COMPUTED_VALUE"""),"F")</f>
        <v>F</v>
      </c>
      <c r="F1674" s="110" t="str">
        <f ca="1">IFERROR(__xludf.DUMMYFUNCTION("""COMPUTED_VALUE"""),"J")</f>
        <v>J</v>
      </c>
      <c r="G1674" s="110">
        <f ca="1">IFERROR(__xludf.DUMMYFUNCTION("""COMPUTED_VALUE"""),5)</f>
        <v>5</v>
      </c>
      <c r="H1674" s="112" t="str">
        <f ca="1"/>
        <v/>
      </c>
      <c r="I1674" s="112" t="str">
        <f ca="1"/>
        <v/>
      </c>
    </row>
    <row r="1675" spans="1:9" ht="13.2">
      <c r="A1675" s="109" t="str">
        <f ca="1">IFERROR(__xludf.DUMMYFUNCTION("""COMPUTED_VALUE"""),"R")</f>
        <v>R</v>
      </c>
      <c r="B1675" s="108" t="str">
        <f ca="1">IFERROR(__xludf.DUMMYFUNCTION("""COMPUTED_VALUE"""),"Sami Ramon")</f>
        <v>Sami Ramon</v>
      </c>
      <c r="C1675" s="109">
        <f ca="1">IFERROR(__xludf.DUMMYFUNCTION("""COMPUTED_VALUE"""),5)</f>
        <v>5</v>
      </c>
      <c r="D1675" s="109" t="str">
        <f ca="1">IFERROR(__xludf.DUMMYFUNCTION("""COMPUTED_VALUE"""),"B")</f>
        <v>B</v>
      </c>
      <c r="E1675" s="110" t="str">
        <f ca="1">IFERROR(__xludf.DUMMYFUNCTION("""COMPUTED_VALUE"""),"F")</f>
        <v>F</v>
      </c>
      <c r="F1675" s="110" t="str">
        <f ca="1">IFERROR(__xludf.DUMMYFUNCTION("""COMPUTED_VALUE"""),"J")</f>
        <v>J</v>
      </c>
      <c r="G1675" s="110">
        <f ca="1">IFERROR(__xludf.DUMMYFUNCTION("""COMPUTED_VALUE"""),5)</f>
        <v>5</v>
      </c>
      <c r="H1675" s="112" t="str">
        <f ca="1"/>
        <v/>
      </c>
      <c r="I1675" s="112" t="str">
        <f ca="1"/>
        <v/>
      </c>
    </row>
    <row r="1676" spans="1:9" ht="13.2">
      <c r="A1676" s="109" t="str">
        <f ca="1">IFERROR(__xludf.DUMMYFUNCTION("""COMPUTED_VALUE"""),"R")</f>
        <v>R</v>
      </c>
      <c r="B1676" s="108" t="str">
        <f ca="1">IFERROR(__xludf.DUMMYFUNCTION("""COMPUTED_VALUE"""),"Zavier Roberts")</f>
        <v>Zavier Roberts</v>
      </c>
      <c r="C1676" s="109">
        <f ca="1">IFERROR(__xludf.DUMMYFUNCTION("""COMPUTED_VALUE"""),9)</f>
        <v>9</v>
      </c>
      <c r="D1676" s="109" t="str">
        <f ca="1">IFERROR(__xludf.DUMMYFUNCTION("""COMPUTED_VALUE"""),"B")</f>
        <v>B</v>
      </c>
      <c r="E1676" s="110" t="str">
        <f ca="1">IFERROR(__xludf.DUMMYFUNCTION("""COMPUTED_VALUE"""),"F")</f>
        <v>F</v>
      </c>
      <c r="F1676" s="110" t="str">
        <f ca="1">IFERROR(__xludf.DUMMYFUNCTION("""COMPUTED_VALUE"""),"J")</f>
        <v>J</v>
      </c>
      <c r="G1676" s="110">
        <f ca="1">IFERROR(__xludf.DUMMYFUNCTION("""COMPUTED_VALUE"""),5)</f>
        <v>5</v>
      </c>
      <c r="H1676" s="112" t="str">
        <f ca="1"/>
        <v/>
      </c>
      <c r="I1676" s="81" t="str">
        <f ca="1"/>
        <v/>
      </c>
    </row>
    <row r="1677" spans="1:9" ht="13.2">
      <c r="A1677" s="109" t="str">
        <f ca="1">IFERROR(__xludf.DUMMYFUNCTION("""COMPUTED_VALUE"""),"R")</f>
        <v>R</v>
      </c>
      <c r="B1677" s="108" t="str">
        <f ca="1">IFERROR(__xludf.DUMMYFUNCTION("""COMPUTED_VALUE"""),"Chloe Field")</f>
        <v>Chloe Field</v>
      </c>
      <c r="C1677" s="109">
        <f ca="1">IFERROR(__xludf.DUMMYFUNCTION("""COMPUTED_VALUE"""),9)</f>
        <v>9</v>
      </c>
      <c r="D1677" s="109" t="str">
        <f ca="1">IFERROR(__xludf.DUMMYFUNCTION("""COMPUTED_VALUE"""),"G")</f>
        <v>G</v>
      </c>
      <c r="E1677" s="110" t="str">
        <f ca="1">IFERROR(__xludf.DUMMYFUNCTION("""COMPUTED_VALUE"""),"F")</f>
        <v>F</v>
      </c>
      <c r="F1677" s="110" t="str">
        <f ca="1">IFERROR(__xludf.DUMMYFUNCTION("""COMPUTED_VALUE"""),"J")</f>
        <v>J</v>
      </c>
      <c r="G1677" s="110">
        <f ca="1">IFERROR(__xludf.DUMMYFUNCTION("""COMPUTED_VALUE"""),5)</f>
        <v>5</v>
      </c>
      <c r="H1677" s="112" t="str">
        <f ca="1"/>
        <v/>
      </c>
      <c r="I1677" s="112" t="str">
        <f ca="1"/>
        <v/>
      </c>
    </row>
    <row r="1678" spans="1:9" ht="13.2">
      <c r="A1678" s="109" t="str">
        <f ca="1">IFERROR(__xludf.DUMMYFUNCTION("""COMPUTED_VALUE"""),"R")</f>
        <v>R</v>
      </c>
      <c r="B1678" s="108" t="str">
        <f ca="1">IFERROR(__xludf.DUMMYFUNCTION("""COMPUTED_VALUE"""),"Delilah Copas")</f>
        <v>Delilah Copas</v>
      </c>
      <c r="C1678" s="109">
        <f ca="1">IFERROR(__xludf.DUMMYFUNCTION("""COMPUTED_VALUE"""),10)</f>
        <v>10</v>
      </c>
      <c r="D1678" s="109" t="str">
        <f ca="1">IFERROR(__xludf.DUMMYFUNCTION("""COMPUTED_VALUE"""),"G")</f>
        <v>G</v>
      </c>
      <c r="E1678" s="110" t="str">
        <f ca="1">IFERROR(__xludf.DUMMYFUNCTION("""COMPUTED_VALUE"""),"F")</f>
        <v>F</v>
      </c>
      <c r="F1678" s="110" t="str">
        <f ca="1">IFERROR(__xludf.DUMMYFUNCTION("""COMPUTED_VALUE"""),"J")</f>
        <v>J</v>
      </c>
      <c r="G1678" s="110">
        <f ca="1">IFERROR(__xludf.DUMMYFUNCTION("""COMPUTED_VALUE"""),5)</f>
        <v>5</v>
      </c>
      <c r="H1678" s="112" t="str">
        <f ca="1"/>
        <v/>
      </c>
      <c r="I1678" s="81" t="str">
        <f ca="1"/>
        <v/>
      </c>
    </row>
    <row r="1679" spans="1:9" ht="13.2">
      <c r="A1679" s="109" t="str">
        <f ca="1">IFERROR(__xludf.DUMMYFUNCTION("""COMPUTED_VALUE"""),"R")</f>
        <v>R</v>
      </c>
      <c r="B1679" s="108" t="str">
        <f ca="1">IFERROR(__xludf.DUMMYFUNCTION("""COMPUTED_VALUE"""),"Ellie Showalter")</f>
        <v>Ellie Showalter</v>
      </c>
      <c r="C1679" s="109">
        <f ca="1">IFERROR(__xludf.DUMMYFUNCTION("""COMPUTED_VALUE"""),9)</f>
        <v>9</v>
      </c>
      <c r="D1679" s="109" t="str">
        <f ca="1">IFERROR(__xludf.DUMMYFUNCTION("""COMPUTED_VALUE"""),"G")</f>
        <v>G</v>
      </c>
      <c r="E1679" s="110" t="str">
        <f ca="1">IFERROR(__xludf.DUMMYFUNCTION("""COMPUTED_VALUE"""),"F")</f>
        <v>F</v>
      </c>
      <c r="F1679" s="110" t="str">
        <f ca="1">IFERROR(__xludf.DUMMYFUNCTION("""COMPUTED_VALUE"""),"J")</f>
        <v>J</v>
      </c>
      <c r="G1679" s="110">
        <f ca="1">IFERROR(__xludf.DUMMYFUNCTION("""COMPUTED_VALUE"""),5)</f>
        <v>5</v>
      </c>
      <c r="H1679" s="112" t="str">
        <f ca="1"/>
        <v/>
      </c>
      <c r="I1679" s="81" t="str">
        <f ca="1"/>
        <v/>
      </c>
    </row>
    <row r="1680" spans="1:9" ht="13.2">
      <c r="A1680" s="109" t="str">
        <f ca="1">IFERROR(__xludf.DUMMYFUNCTION("""COMPUTED_VALUE"""),"R")</f>
        <v>R</v>
      </c>
      <c r="B1680" s="108" t="str">
        <f ca="1">IFERROR(__xludf.DUMMYFUNCTION("""COMPUTED_VALUE"""),"Emma Smith")</f>
        <v>Emma Smith</v>
      </c>
      <c r="C1680" s="109">
        <f ca="1">IFERROR(__xludf.DUMMYFUNCTION("""COMPUTED_VALUE"""),8)</f>
        <v>8</v>
      </c>
      <c r="D1680" s="109" t="str">
        <f ca="1">IFERROR(__xludf.DUMMYFUNCTION("""COMPUTED_VALUE"""),"G")</f>
        <v>G</v>
      </c>
      <c r="E1680" s="110" t="str">
        <f ca="1">IFERROR(__xludf.DUMMYFUNCTION("""COMPUTED_VALUE"""),"F")</f>
        <v>F</v>
      </c>
      <c r="F1680" s="110" t="str">
        <f ca="1">IFERROR(__xludf.DUMMYFUNCTION("""COMPUTED_VALUE"""),"J")</f>
        <v>J</v>
      </c>
      <c r="G1680" s="110">
        <f ca="1">IFERROR(__xludf.DUMMYFUNCTION("""COMPUTED_VALUE"""),5)</f>
        <v>5</v>
      </c>
      <c r="H1680" s="112" t="str">
        <f ca="1"/>
        <v/>
      </c>
      <c r="I1680" s="81" t="str">
        <f ca="1"/>
        <v/>
      </c>
    </row>
    <row r="1681" spans="1:9" ht="13.2">
      <c r="A1681" s="109" t="str">
        <f ca="1">IFERROR(__xludf.DUMMYFUNCTION("""COMPUTED_VALUE"""),"R")</f>
        <v>R</v>
      </c>
      <c r="B1681" s="108" t="str">
        <f ca="1">IFERROR(__xludf.DUMMYFUNCTION("""COMPUTED_VALUE"""),"Eve Rueffert")</f>
        <v>Eve Rueffert</v>
      </c>
      <c r="C1681" s="109">
        <f ca="1">IFERROR(__xludf.DUMMYFUNCTION("""COMPUTED_VALUE"""),10)</f>
        <v>10</v>
      </c>
      <c r="D1681" s="109" t="str">
        <f ca="1">IFERROR(__xludf.DUMMYFUNCTION("""COMPUTED_VALUE"""),"G")</f>
        <v>G</v>
      </c>
      <c r="E1681" s="110" t="str">
        <f ca="1">IFERROR(__xludf.DUMMYFUNCTION("""COMPUTED_VALUE"""),"F")</f>
        <v>F</v>
      </c>
      <c r="F1681" s="110" t="str">
        <f ca="1">IFERROR(__xludf.DUMMYFUNCTION("""COMPUTED_VALUE"""),"J")</f>
        <v>J</v>
      </c>
      <c r="G1681" s="110">
        <f ca="1">IFERROR(__xludf.DUMMYFUNCTION("""COMPUTED_VALUE"""),5)</f>
        <v>5</v>
      </c>
      <c r="H1681" s="112" t="str">
        <f ca="1"/>
        <v/>
      </c>
      <c r="I1681" s="81" t="str">
        <f ca="1"/>
        <v/>
      </c>
    </row>
    <row r="1682" spans="1:9" ht="13.2">
      <c r="A1682" s="109" t="str">
        <f ca="1">IFERROR(__xludf.DUMMYFUNCTION("""COMPUTED_VALUE"""),"R")</f>
        <v>R</v>
      </c>
      <c r="B1682" s="108" t="str">
        <f ca="1">IFERROR(__xludf.DUMMYFUNCTION("""COMPUTED_VALUE"""),"Karolina Ramon")</f>
        <v>Karolina Ramon</v>
      </c>
      <c r="C1682" s="109">
        <f ca="1">IFERROR(__xludf.DUMMYFUNCTION("""COMPUTED_VALUE"""),8)</f>
        <v>8</v>
      </c>
      <c r="D1682" s="109" t="str">
        <f ca="1">IFERROR(__xludf.DUMMYFUNCTION("""COMPUTED_VALUE"""),"G")</f>
        <v>G</v>
      </c>
      <c r="E1682" s="110" t="str">
        <f ca="1">IFERROR(__xludf.DUMMYFUNCTION("""COMPUTED_VALUE"""),"F")</f>
        <v>F</v>
      </c>
      <c r="F1682" s="110" t="str">
        <f ca="1">IFERROR(__xludf.DUMMYFUNCTION("""COMPUTED_VALUE"""),"J")</f>
        <v>J</v>
      </c>
      <c r="G1682" s="110">
        <f ca="1">IFERROR(__xludf.DUMMYFUNCTION("""COMPUTED_VALUE"""),5)</f>
        <v>5</v>
      </c>
      <c r="H1682" s="112" t="str">
        <f ca="1"/>
        <v/>
      </c>
      <c r="I1682" s="81" t="str">
        <f ca="1"/>
        <v/>
      </c>
    </row>
    <row r="1683" spans="1:9" ht="13.2">
      <c r="A1683" s="109" t="str">
        <f ca="1">IFERROR(__xludf.DUMMYFUNCTION("""COMPUTED_VALUE"""),"R")</f>
        <v>R</v>
      </c>
      <c r="B1683" s="108" t="str">
        <f ca="1">IFERROR(__xludf.DUMMYFUNCTION("""COMPUTED_VALUE"""),"Kelley Bennett")</f>
        <v>Kelley Bennett</v>
      </c>
      <c r="C1683" s="109">
        <f ca="1">IFERROR(__xludf.DUMMYFUNCTION("""COMPUTED_VALUE"""),8)</f>
        <v>8</v>
      </c>
      <c r="D1683" s="109" t="str">
        <f ca="1">IFERROR(__xludf.DUMMYFUNCTION("""COMPUTED_VALUE"""),"G")</f>
        <v>G</v>
      </c>
      <c r="E1683" s="110" t="str">
        <f ca="1">IFERROR(__xludf.DUMMYFUNCTION("""COMPUTED_VALUE"""),"F")</f>
        <v>F</v>
      </c>
      <c r="F1683" s="110" t="str">
        <f ca="1">IFERROR(__xludf.DUMMYFUNCTION("""COMPUTED_VALUE"""),"J")</f>
        <v>J</v>
      </c>
      <c r="G1683" s="110">
        <f ca="1">IFERROR(__xludf.DUMMYFUNCTION("""COMPUTED_VALUE"""),5)</f>
        <v>5</v>
      </c>
      <c r="H1683" s="112" t="str">
        <f ca="1"/>
        <v/>
      </c>
      <c r="I1683" s="112" t="str">
        <f ca="1"/>
        <v/>
      </c>
    </row>
    <row r="1684" spans="1:9" ht="13.2">
      <c r="A1684" s="109" t="str">
        <f ca="1">IFERROR(__xludf.DUMMYFUNCTION("""COMPUTED_VALUE"""),"R")</f>
        <v>R</v>
      </c>
      <c r="B1684" s="108" t="str">
        <f ca="1">IFERROR(__xludf.DUMMYFUNCTION("""COMPUTED_VALUE"""),"Laney Riedel")</f>
        <v>Laney Riedel</v>
      </c>
      <c r="C1684" s="109">
        <f ca="1">IFERROR(__xludf.DUMMYFUNCTION("""COMPUTED_VALUE"""),10)</f>
        <v>10</v>
      </c>
      <c r="D1684" s="109" t="str">
        <f ca="1">IFERROR(__xludf.DUMMYFUNCTION("""COMPUTED_VALUE"""),"G")</f>
        <v>G</v>
      </c>
      <c r="E1684" s="110" t="str">
        <f ca="1">IFERROR(__xludf.DUMMYFUNCTION("""COMPUTED_VALUE"""),"F")</f>
        <v>F</v>
      </c>
      <c r="F1684" s="110" t="str">
        <f ca="1">IFERROR(__xludf.DUMMYFUNCTION("""COMPUTED_VALUE"""),"J")</f>
        <v>J</v>
      </c>
      <c r="G1684" s="110">
        <f ca="1">IFERROR(__xludf.DUMMYFUNCTION("""COMPUTED_VALUE"""),5)</f>
        <v>5</v>
      </c>
      <c r="H1684" s="112" t="str">
        <f ca="1"/>
        <v/>
      </c>
      <c r="I1684" s="112" t="str">
        <f ca="1"/>
        <v/>
      </c>
    </row>
    <row r="1685" spans="1:9" ht="13.2">
      <c r="A1685" s="109" t="str">
        <f ca="1">IFERROR(__xludf.DUMMYFUNCTION("""COMPUTED_VALUE"""),"R")</f>
        <v>R</v>
      </c>
      <c r="B1685" s="108" t="str">
        <f ca="1">IFERROR(__xludf.DUMMYFUNCTION("""COMPUTED_VALUE"""),"Lauren Rueffert")</f>
        <v>Lauren Rueffert</v>
      </c>
      <c r="C1685" s="109">
        <f ca="1">IFERROR(__xludf.DUMMYFUNCTION("""COMPUTED_VALUE"""),7)</f>
        <v>7</v>
      </c>
      <c r="D1685" s="109" t="str">
        <f ca="1">IFERROR(__xludf.DUMMYFUNCTION("""COMPUTED_VALUE"""),"G")</f>
        <v>G</v>
      </c>
      <c r="E1685" s="110" t="str">
        <f ca="1">IFERROR(__xludf.DUMMYFUNCTION("""COMPUTED_VALUE"""),"F")</f>
        <v>F</v>
      </c>
      <c r="F1685" s="110" t="str">
        <f ca="1">IFERROR(__xludf.DUMMYFUNCTION("""COMPUTED_VALUE"""),"J")</f>
        <v>J</v>
      </c>
      <c r="G1685" s="110">
        <f ca="1">IFERROR(__xludf.DUMMYFUNCTION("""COMPUTED_VALUE"""),5)</f>
        <v>5</v>
      </c>
      <c r="H1685" s="112" t="str">
        <f ca="1"/>
        <v/>
      </c>
      <c r="I1685" s="112" t="str">
        <f ca="1"/>
        <v/>
      </c>
    </row>
    <row r="1686" spans="1:9" ht="13.2">
      <c r="A1686" s="109" t="str">
        <f ca="1">IFERROR(__xludf.DUMMYFUNCTION("""COMPUTED_VALUE"""),"R")</f>
        <v>R</v>
      </c>
      <c r="B1686" s="108" t="str">
        <f ca="1">IFERROR(__xludf.DUMMYFUNCTION("""COMPUTED_VALUE"""),"Lucy Bennett")</f>
        <v>Lucy Bennett</v>
      </c>
      <c r="C1686" s="109">
        <f ca="1">IFERROR(__xludf.DUMMYFUNCTION("""COMPUTED_VALUE"""),9)</f>
        <v>9</v>
      </c>
      <c r="D1686" s="109" t="str">
        <f ca="1">IFERROR(__xludf.DUMMYFUNCTION("""COMPUTED_VALUE"""),"G")</f>
        <v>G</v>
      </c>
      <c r="E1686" s="110" t="str">
        <f ca="1">IFERROR(__xludf.DUMMYFUNCTION("""COMPUTED_VALUE"""),"F")</f>
        <v>F</v>
      </c>
      <c r="F1686" s="110" t="str">
        <f ca="1">IFERROR(__xludf.DUMMYFUNCTION("""COMPUTED_VALUE"""),"J")</f>
        <v>J</v>
      </c>
      <c r="G1686" s="110">
        <f ca="1">IFERROR(__xludf.DUMMYFUNCTION("""COMPUTED_VALUE"""),5)</f>
        <v>5</v>
      </c>
      <c r="H1686" s="112" t="str">
        <f ca="1"/>
        <v/>
      </c>
      <c r="I1686" s="112" t="str">
        <f ca="1"/>
        <v/>
      </c>
    </row>
    <row r="1687" spans="1:9" ht="13.2">
      <c r="A1687" s="109" t="str">
        <f ca="1">IFERROR(__xludf.DUMMYFUNCTION("""COMPUTED_VALUE"""),"R")</f>
        <v>R</v>
      </c>
      <c r="B1687" s="108" t="str">
        <f ca="1">IFERROR(__xludf.DUMMYFUNCTION("""COMPUTED_VALUE"""),"Miah Henderson")</f>
        <v>Miah Henderson</v>
      </c>
      <c r="C1687" s="109">
        <f ca="1">IFERROR(__xludf.DUMMYFUNCTION("""COMPUTED_VALUE"""),10)</f>
        <v>10</v>
      </c>
      <c r="D1687" s="109" t="str">
        <f ca="1">IFERROR(__xludf.DUMMYFUNCTION("""COMPUTED_VALUE"""),"G")</f>
        <v>G</v>
      </c>
      <c r="E1687" s="110" t="str">
        <f ca="1">IFERROR(__xludf.DUMMYFUNCTION("""COMPUTED_VALUE"""),"F")</f>
        <v>F</v>
      </c>
      <c r="F1687" s="110" t="str">
        <f ca="1">IFERROR(__xludf.DUMMYFUNCTION("""COMPUTED_VALUE"""),"J")</f>
        <v>J</v>
      </c>
      <c r="G1687" s="110">
        <f ca="1">IFERROR(__xludf.DUMMYFUNCTION("""COMPUTED_VALUE"""),5)</f>
        <v>5</v>
      </c>
      <c r="H1687" s="112" t="str">
        <f ca="1"/>
        <v/>
      </c>
      <c r="I1687" s="112" t="str">
        <f ca="1"/>
        <v/>
      </c>
    </row>
    <row r="1688" spans="1:9" ht="13.2">
      <c r="A1688" s="109" t="str">
        <f ca="1">IFERROR(__xludf.DUMMYFUNCTION("""COMPUTED_VALUE"""),"R")</f>
        <v>R</v>
      </c>
      <c r="B1688" s="108" t="str">
        <f ca="1">IFERROR(__xludf.DUMMYFUNCTION("""COMPUTED_VALUE"""),"Sophia McConnell")</f>
        <v>Sophia McConnell</v>
      </c>
      <c r="C1688" s="109">
        <f ca="1">IFERROR(__xludf.DUMMYFUNCTION("""COMPUTED_VALUE"""),9)</f>
        <v>9</v>
      </c>
      <c r="D1688" s="109" t="str">
        <f ca="1">IFERROR(__xludf.DUMMYFUNCTION("""COMPUTED_VALUE"""),"G")</f>
        <v>G</v>
      </c>
      <c r="E1688" s="110" t="str">
        <f ca="1">IFERROR(__xludf.DUMMYFUNCTION("""COMPUTED_VALUE"""),"F")</f>
        <v>F</v>
      </c>
      <c r="F1688" s="110" t="str">
        <f ca="1">IFERROR(__xludf.DUMMYFUNCTION("""COMPUTED_VALUE"""),"J")</f>
        <v>J</v>
      </c>
      <c r="G1688" s="110">
        <f ca="1">IFERROR(__xludf.DUMMYFUNCTION("""COMPUTED_VALUE"""),5)</f>
        <v>5</v>
      </c>
      <c r="H1688" s="112" t="str">
        <f ca="1"/>
        <v/>
      </c>
      <c r="I1688" s="112" t="str">
        <f ca="1"/>
        <v/>
      </c>
    </row>
    <row r="1689" spans="1:9" ht="13.2">
      <c r="A1689" s="109" t="str">
        <f ca="1">IFERROR(__xludf.DUMMYFUNCTION("""COMPUTED_VALUE"""),"R")</f>
        <v>R</v>
      </c>
      <c r="B1689" s="108" t="str">
        <f ca="1">IFERROR(__xludf.DUMMYFUNCTION("""COMPUTED_VALUE"""),"Cash Riedel")</f>
        <v>Cash Riedel</v>
      </c>
      <c r="C1689" s="109">
        <f ca="1">IFERROR(__xludf.DUMMYFUNCTION("""COMPUTED_VALUE"""),13)</f>
        <v>13</v>
      </c>
      <c r="D1689" s="109" t="str">
        <f ca="1">IFERROR(__xludf.DUMMYFUNCTION("""COMPUTED_VALUE"""),"B")</f>
        <v>B</v>
      </c>
      <c r="E1689" s="110" t="str">
        <f ca="1">IFERROR(__xludf.DUMMYFUNCTION("""COMPUTED_VALUE"""),"I")</f>
        <v>I</v>
      </c>
      <c r="F1689" s="110" t="str">
        <f ca="1">IFERROR(__xludf.DUMMYFUNCTION("""COMPUTED_VALUE"""),"S")</f>
        <v>S</v>
      </c>
      <c r="G1689" s="110">
        <f ca="1">IFERROR(__xludf.DUMMYFUNCTION("""COMPUTED_VALUE"""),5)</f>
        <v>5</v>
      </c>
      <c r="H1689" s="112" t="str">
        <f ca="1"/>
        <v/>
      </c>
      <c r="I1689" s="112" t="str">
        <f ca="1"/>
        <v/>
      </c>
    </row>
    <row r="1690" spans="1:9" ht="13.2">
      <c r="A1690" s="109" t="str">
        <f ca="1">IFERROR(__xludf.DUMMYFUNCTION("""COMPUTED_VALUE"""),"R")</f>
        <v>R</v>
      </c>
      <c r="B1690" s="108" t="str">
        <f ca="1">IFERROR(__xludf.DUMMYFUNCTION("""COMPUTED_VALUE"""),"Joshua Jaramillo")</f>
        <v>Joshua Jaramillo</v>
      </c>
      <c r="C1690" s="109">
        <f ca="1">IFERROR(__xludf.DUMMYFUNCTION("""COMPUTED_VALUE"""),14)</f>
        <v>14</v>
      </c>
      <c r="D1690" s="109" t="str">
        <f ca="1">IFERROR(__xludf.DUMMYFUNCTION("""COMPUTED_VALUE"""),"B")</f>
        <v>B</v>
      </c>
      <c r="E1690" s="110" t="str">
        <f ca="1">IFERROR(__xludf.DUMMYFUNCTION("""COMPUTED_VALUE"""),"I")</f>
        <v>I</v>
      </c>
      <c r="F1690" s="110" t="str">
        <f ca="1">IFERROR(__xludf.DUMMYFUNCTION("""COMPUTED_VALUE"""),"S")</f>
        <v>S</v>
      </c>
      <c r="G1690" s="110">
        <f ca="1">IFERROR(__xludf.DUMMYFUNCTION("""COMPUTED_VALUE"""),5)</f>
        <v>5</v>
      </c>
      <c r="H1690" s="112" t="str">
        <f ca="1"/>
        <v/>
      </c>
      <c r="I1690" s="81" t="str">
        <f ca="1"/>
        <v/>
      </c>
    </row>
    <row r="1691" spans="1:9" ht="13.2">
      <c r="A1691" s="109" t="str">
        <f ca="1">IFERROR(__xludf.DUMMYFUNCTION("""COMPUTED_VALUE"""),"R")</f>
        <v>R</v>
      </c>
      <c r="B1691" s="108" t="str">
        <f ca="1">IFERROR(__xludf.DUMMYFUNCTION("""COMPUTED_VALUE"""),"Leo McFadden")</f>
        <v>Leo McFadden</v>
      </c>
      <c r="C1691" s="109">
        <f ca="1">IFERROR(__xludf.DUMMYFUNCTION("""COMPUTED_VALUE"""),13)</f>
        <v>13</v>
      </c>
      <c r="D1691" s="109" t="str">
        <f ca="1">IFERROR(__xludf.DUMMYFUNCTION("""COMPUTED_VALUE"""),"B")</f>
        <v>B</v>
      </c>
      <c r="E1691" s="110" t="str">
        <f ca="1">IFERROR(__xludf.DUMMYFUNCTION("""COMPUTED_VALUE"""),"I")</f>
        <v>I</v>
      </c>
      <c r="F1691" s="110" t="str">
        <f ca="1">IFERROR(__xludf.DUMMYFUNCTION("""COMPUTED_VALUE"""),"S")</f>
        <v>S</v>
      </c>
      <c r="G1691" s="110">
        <f ca="1">IFERROR(__xludf.DUMMYFUNCTION("""COMPUTED_VALUE"""),5)</f>
        <v>5</v>
      </c>
      <c r="H1691" s="112" t="str">
        <f ca="1"/>
        <v/>
      </c>
      <c r="I1691" s="112" t="str">
        <f ca="1"/>
        <v/>
      </c>
    </row>
    <row r="1692" spans="1:9" ht="13.2">
      <c r="A1692" s="109" t="str">
        <f ca="1">IFERROR(__xludf.DUMMYFUNCTION("""COMPUTED_VALUE"""),"R")</f>
        <v>R</v>
      </c>
      <c r="B1692" s="108" t="str">
        <f ca="1">IFERROR(__xludf.DUMMYFUNCTION("""COMPUTED_VALUE"""),"Hannah Cahalan")</f>
        <v>Hannah Cahalan</v>
      </c>
      <c r="C1692" s="109">
        <f ca="1">IFERROR(__xludf.DUMMYFUNCTION("""COMPUTED_VALUE"""),13)</f>
        <v>13</v>
      </c>
      <c r="D1692" s="109" t="str">
        <f ca="1">IFERROR(__xludf.DUMMYFUNCTION("""COMPUTED_VALUE"""),"G")</f>
        <v>G</v>
      </c>
      <c r="E1692" s="110" t="str">
        <f ca="1">IFERROR(__xludf.DUMMYFUNCTION("""COMPUTED_VALUE"""),"I")</f>
        <v>I</v>
      </c>
      <c r="F1692" s="110" t="str">
        <f ca="1">IFERROR(__xludf.DUMMYFUNCTION("""COMPUTED_VALUE"""),"S")</f>
        <v>S</v>
      </c>
      <c r="G1692" s="110">
        <f ca="1">IFERROR(__xludf.DUMMYFUNCTION("""COMPUTED_VALUE"""),5)</f>
        <v>5</v>
      </c>
      <c r="H1692" s="112" t="str">
        <f ca="1"/>
        <v/>
      </c>
      <c r="I1692" s="112" t="str">
        <f ca="1"/>
        <v/>
      </c>
    </row>
    <row r="1693" spans="1:9" ht="13.2">
      <c r="A1693" s="109" t="str">
        <f ca="1">IFERROR(__xludf.DUMMYFUNCTION("""COMPUTED_VALUE"""),"R")</f>
        <v>R</v>
      </c>
      <c r="B1693" s="108" t="str">
        <f ca="1">IFERROR(__xludf.DUMMYFUNCTION("""COMPUTED_VALUE"""),"Mo Murphy")</f>
        <v>Mo Murphy</v>
      </c>
      <c r="C1693" s="109">
        <f ca="1">IFERROR(__xludf.DUMMYFUNCTION("""COMPUTED_VALUE"""),14)</f>
        <v>14</v>
      </c>
      <c r="D1693" s="109" t="str">
        <f ca="1">IFERROR(__xludf.DUMMYFUNCTION("""COMPUTED_VALUE"""),"G")</f>
        <v>G</v>
      </c>
      <c r="E1693" s="110" t="str">
        <f ca="1">IFERROR(__xludf.DUMMYFUNCTION("""COMPUTED_VALUE"""),"I")</f>
        <v>I</v>
      </c>
      <c r="F1693" s="110" t="str">
        <f ca="1">IFERROR(__xludf.DUMMYFUNCTION("""COMPUTED_VALUE"""),"S")</f>
        <v>S</v>
      </c>
      <c r="G1693" s="110">
        <f ca="1">IFERROR(__xludf.DUMMYFUNCTION("""COMPUTED_VALUE"""),5)</f>
        <v>5</v>
      </c>
      <c r="H1693" s="112" t="str">
        <f ca="1"/>
        <v/>
      </c>
      <c r="I1693" s="112" t="str">
        <f ca="1"/>
        <v/>
      </c>
    </row>
    <row r="1694" spans="1:9" ht="13.2">
      <c r="A1694" s="109" t="str">
        <f ca="1">IFERROR(__xludf.DUMMYFUNCTION("""COMPUTED_VALUE"""),"R")</f>
        <v>R</v>
      </c>
      <c r="B1694" s="108" t="str">
        <f ca="1">IFERROR(__xludf.DUMMYFUNCTION("""COMPUTED_VALUE"""),"Scarlett Copas")</f>
        <v>Scarlett Copas</v>
      </c>
      <c r="C1694" s="109">
        <f ca="1">IFERROR(__xludf.DUMMYFUNCTION("""COMPUTED_VALUE"""),13)</f>
        <v>13</v>
      </c>
      <c r="D1694" s="109" t="str">
        <f ca="1">IFERROR(__xludf.DUMMYFUNCTION("""COMPUTED_VALUE"""),"G")</f>
        <v>G</v>
      </c>
      <c r="E1694" s="110" t="str">
        <f ca="1">IFERROR(__xludf.DUMMYFUNCTION("""COMPUTED_VALUE"""),"I")</f>
        <v>I</v>
      </c>
      <c r="F1694" s="110" t="str">
        <f ca="1">IFERROR(__xludf.DUMMYFUNCTION("""COMPUTED_VALUE"""),"S")</f>
        <v>S</v>
      </c>
      <c r="G1694" s="110">
        <f ca="1">IFERROR(__xludf.DUMMYFUNCTION("""COMPUTED_VALUE"""),5)</f>
        <v>5</v>
      </c>
      <c r="H1694" s="112" t="str">
        <f ca="1"/>
        <v/>
      </c>
      <c r="I1694" s="112" t="str">
        <f ca="1"/>
        <v/>
      </c>
    </row>
    <row r="1695" spans="1:9" ht="13.2">
      <c r="A1695" s="109" t="str">
        <f ca="1">IFERROR(__xludf.DUMMYFUNCTION("""COMPUTED_VALUE"""),"R")</f>
        <v>R</v>
      </c>
      <c r="B1695" s="108" t="str">
        <f ca="1">IFERROR(__xludf.DUMMYFUNCTION("""COMPUTED_VALUE"""),"Andrew Bean")</f>
        <v>Andrew Bean</v>
      </c>
      <c r="C1695" s="109">
        <f ca="1">IFERROR(__xludf.DUMMYFUNCTION("""COMPUTED_VALUE"""),11)</f>
        <v>11</v>
      </c>
      <c r="D1695" s="109" t="str">
        <f ca="1">IFERROR(__xludf.DUMMYFUNCTION("""COMPUTED_VALUE"""),"B")</f>
        <v>B</v>
      </c>
      <c r="E1695" s="110" t="str">
        <f ca="1">IFERROR(__xludf.DUMMYFUNCTION("""COMPUTED_VALUE"""),"J")</f>
        <v>J</v>
      </c>
      <c r="F1695" s="110" t="str">
        <f ca="1">IFERROR(__xludf.DUMMYFUNCTION("""COMPUTED_VALUE"""),"I")</f>
        <v>I</v>
      </c>
      <c r="G1695" s="110">
        <f ca="1">IFERROR(__xludf.DUMMYFUNCTION("""COMPUTED_VALUE"""),5)</f>
        <v>5</v>
      </c>
      <c r="H1695" s="112" t="str">
        <f ca="1"/>
        <v/>
      </c>
      <c r="I1695" s="81" t="str">
        <f ca="1"/>
        <v/>
      </c>
    </row>
    <row r="1696" spans="1:9" ht="13.2">
      <c r="A1696" s="109" t="str">
        <f ca="1">IFERROR(__xludf.DUMMYFUNCTION("""COMPUTED_VALUE"""),"R")</f>
        <v>R</v>
      </c>
      <c r="B1696" s="108" t="str">
        <f ca="1">IFERROR(__xludf.DUMMYFUNCTION("""COMPUTED_VALUE"""),"Evan George")</f>
        <v>Evan George</v>
      </c>
      <c r="C1696" s="109">
        <f ca="1">IFERROR(__xludf.DUMMYFUNCTION("""COMPUTED_VALUE"""),12)</f>
        <v>12</v>
      </c>
      <c r="D1696" s="109" t="str">
        <f ca="1">IFERROR(__xludf.DUMMYFUNCTION("""COMPUTED_VALUE"""),"B")</f>
        <v>B</v>
      </c>
      <c r="E1696" s="110" t="str">
        <f ca="1">IFERROR(__xludf.DUMMYFUNCTION("""COMPUTED_VALUE"""),"J")</f>
        <v>J</v>
      </c>
      <c r="F1696" s="110" t="str">
        <f ca="1">IFERROR(__xludf.DUMMYFUNCTION("""COMPUTED_VALUE"""),"I")</f>
        <v>I</v>
      </c>
      <c r="G1696" s="110">
        <f ca="1">IFERROR(__xludf.DUMMYFUNCTION("""COMPUTED_VALUE"""),5)</f>
        <v>5</v>
      </c>
      <c r="H1696" s="112" t="str">
        <f ca="1"/>
        <v/>
      </c>
      <c r="I1696" s="81" t="str">
        <f ca="1"/>
        <v/>
      </c>
    </row>
    <row r="1697" spans="1:9" ht="13.2">
      <c r="A1697" s="109" t="str">
        <f ca="1">IFERROR(__xludf.DUMMYFUNCTION("""COMPUTED_VALUE"""),"R")</f>
        <v>R</v>
      </c>
      <c r="B1697" s="108" t="str">
        <f ca="1">IFERROR(__xludf.DUMMYFUNCTION("""COMPUTED_VALUE"""),"Noah Henderson")</f>
        <v>Noah Henderson</v>
      </c>
      <c r="C1697" s="109">
        <f ca="1">IFERROR(__xludf.DUMMYFUNCTION("""COMPUTED_VALUE"""),12)</f>
        <v>12</v>
      </c>
      <c r="D1697" s="109" t="str">
        <f ca="1">IFERROR(__xludf.DUMMYFUNCTION("""COMPUTED_VALUE"""),"B")</f>
        <v>B</v>
      </c>
      <c r="E1697" s="110" t="str">
        <f ca="1">IFERROR(__xludf.DUMMYFUNCTION("""COMPUTED_VALUE"""),"J")</f>
        <v>J</v>
      </c>
      <c r="F1697" s="110" t="str">
        <f ca="1">IFERROR(__xludf.DUMMYFUNCTION("""COMPUTED_VALUE"""),"I")</f>
        <v>I</v>
      </c>
      <c r="G1697" s="110">
        <f ca="1">IFERROR(__xludf.DUMMYFUNCTION("""COMPUTED_VALUE"""),5)</f>
        <v>5</v>
      </c>
      <c r="H1697" s="112" t="str">
        <f ca="1"/>
        <v/>
      </c>
      <c r="I1697" s="112" t="str">
        <f ca="1"/>
        <v/>
      </c>
    </row>
    <row r="1698" spans="1:9" ht="13.2">
      <c r="A1698" s="109" t="str">
        <f ca="1">IFERROR(__xludf.DUMMYFUNCTION("""COMPUTED_VALUE"""),"R")</f>
        <v>R</v>
      </c>
      <c r="B1698" s="108" t="str">
        <f ca="1">IFERROR(__xludf.DUMMYFUNCTION("""COMPUTED_VALUE"""),"Elise Lunn")</f>
        <v>Elise Lunn</v>
      </c>
      <c r="C1698" s="109">
        <f ca="1">IFERROR(__xludf.DUMMYFUNCTION("""COMPUTED_VALUE"""),11)</f>
        <v>11</v>
      </c>
      <c r="D1698" s="109" t="str">
        <f ca="1">IFERROR(__xludf.DUMMYFUNCTION("""COMPUTED_VALUE"""),"G")</f>
        <v>G</v>
      </c>
      <c r="E1698" s="110" t="str">
        <f ca="1">IFERROR(__xludf.DUMMYFUNCTION("""COMPUTED_VALUE"""),"J")</f>
        <v>J</v>
      </c>
      <c r="F1698" s="110" t="str">
        <f ca="1">IFERROR(__xludf.DUMMYFUNCTION("""COMPUTED_VALUE"""),"I")</f>
        <v>I</v>
      </c>
      <c r="G1698" s="110">
        <f ca="1">IFERROR(__xludf.DUMMYFUNCTION("""COMPUTED_VALUE"""),5)</f>
        <v>5</v>
      </c>
      <c r="H1698" s="112" t="str">
        <f ca="1"/>
        <v/>
      </c>
      <c r="I1698" s="112" t="str">
        <f ca="1"/>
        <v/>
      </c>
    </row>
    <row r="1699" spans="1:9" ht="13.2">
      <c r="A1699" s="109" t="str">
        <f ca="1">IFERROR(__xludf.DUMMYFUNCTION("""COMPUTED_VALUE"""),"R")</f>
        <v>R</v>
      </c>
      <c r="B1699" s="108" t="str">
        <f ca="1">IFERROR(__xludf.DUMMYFUNCTION("""COMPUTED_VALUE"""),"Emily Field")</f>
        <v>Emily Field</v>
      </c>
      <c r="C1699" s="109">
        <f ca="1">IFERROR(__xludf.DUMMYFUNCTION("""COMPUTED_VALUE"""),11)</f>
        <v>11</v>
      </c>
      <c r="D1699" s="109" t="str">
        <f ca="1">IFERROR(__xludf.DUMMYFUNCTION("""COMPUTED_VALUE"""),"G")</f>
        <v>G</v>
      </c>
      <c r="E1699" s="110" t="str">
        <f ca="1">IFERROR(__xludf.DUMMYFUNCTION("""COMPUTED_VALUE"""),"J")</f>
        <v>J</v>
      </c>
      <c r="F1699" s="110" t="str">
        <f ca="1">IFERROR(__xludf.DUMMYFUNCTION("""COMPUTED_VALUE"""),"I")</f>
        <v>I</v>
      </c>
      <c r="G1699" s="110">
        <f ca="1">IFERROR(__xludf.DUMMYFUNCTION("""COMPUTED_VALUE"""),5)</f>
        <v>5</v>
      </c>
      <c r="H1699" s="112" t="str">
        <f ca="1"/>
        <v/>
      </c>
      <c r="I1699" s="81" t="str">
        <f ca="1"/>
        <v/>
      </c>
    </row>
    <row r="1700" spans="1:9" ht="13.2">
      <c r="A1700" s="109" t="str">
        <f ca="1">IFERROR(__xludf.DUMMYFUNCTION("""COMPUTED_VALUE"""),"R")</f>
        <v>R</v>
      </c>
      <c r="B1700" s="108" t="str">
        <f ca="1">IFERROR(__xludf.DUMMYFUNCTION("""COMPUTED_VALUE"""),"Hadley Homer")</f>
        <v>Hadley Homer</v>
      </c>
      <c r="C1700" s="109">
        <f ca="1">IFERROR(__xludf.DUMMYFUNCTION("""COMPUTED_VALUE"""),11)</f>
        <v>11</v>
      </c>
      <c r="D1700" s="109" t="str">
        <f ca="1">IFERROR(__xludf.DUMMYFUNCTION("""COMPUTED_VALUE"""),"G")</f>
        <v>G</v>
      </c>
      <c r="E1700" s="110" t="str">
        <f ca="1">IFERROR(__xludf.DUMMYFUNCTION("""COMPUTED_VALUE"""),"J")</f>
        <v>J</v>
      </c>
      <c r="F1700" s="110" t="str">
        <f ca="1">IFERROR(__xludf.DUMMYFUNCTION("""COMPUTED_VALUE"""),"I")</f>
        <v>I</v>
      </c>
      <c r="G1700" s="110">
        <f ca="1">IFERROR(__xludf.DUMMYFUNCTION("""COMPUTED_VALUE"""),5)</f>
        <v>5</v>
      </c>
      <c r="H1700" s="112" t="str">
        <f ca="1"/>
        <v/>
      </c>
      <c r="I1700" s="81" t="str">
        <f ca="1"/>
        <v/>
      </c>
    </row>
    <row r="1701" spans="1:9" ht="13.2">
      <c r="A1701" s="109" t="str">
        <f ca="1">IFERROR(__xludf.DUMMYFUNCTION("""COMPUTED_VALUE"""),"R")</f>
        <v>R</v>
      </c>
      <c r="B1701" s="108" t="str">
        <f ca="1">IFERROR(__xludf.DUMMYFUNCTION("""COMPUTED_VALUE"""),"Ivy McFadden")</f>
        <v>Ivy McFadden</v>
      </c>
      <c r="C1701" s="109">
        <f ca="1">IFERROR(__xludf.DUMMYFUNCTION("""COMPUTED_VALUE"""),11)</f>
        <v>11</v>
      </c>
      <c r="D1701" s="109" t="str">
        <f ca="1">IFERROR(__xludf.DUMMYFUNCTION("""COMPUTED_VALUE"""),"G")</f>
        <v>G</v>
      </c>
      <c r="E1701" s="110" t="str">
        <f ca="1">IFERROR(__xludf.DUMMYFUNCTION("""COMPUTED_VALUE"""),"J")</f>
        <v>J</v>
      </c>
      <c r="F1701" s="110" t="str">
        <f ca="1">IFERROR(__xludf.DUMMYFUNCTION("""COMPUTED_VALUE"""),"I")</f>
        <v>I</v>
      </c>
      <c r="G1701" s="110">
        <f ca="1">IFERROR(__xludf.DUMMYFUNCTION("""COMPUTED_VALUE"""),5)</f>
        <v>5</v>
      </c>
      <c r="H1701" s="112" t="str">
        <f ca="1"/>
        <v/>
      </c>
      <c r="I1701" s="112" t="str">
        <f ca="1"/>
        <v/>
      </c>
    </row>
    <row r="1702" spans="1:9" ht="13.2">
      <c r="A1702" s="109" t="str">
        <f ca="1">IFERROR(__xludf.DUMMYFUNCTION("""COMPUTED_VALUE"""),"R")</f>
        <v>R</v>
      </c>
      <c r="B1702" s="108" t="str">
        <f ca="1">IFERROR(__xludf.DUMMYFUNCTION("""COMPUTED_VALUE"""),"Olivia Bruce")</f>
        <v>Olivia Bruce</v>
      </c>
      <c r="C1702" s="109">
        <f ca="1">IFERROR(__xludf.DUMMYFUNCTION("""COMPUTED_VALUE"""),12)</f>
        <v>12</v>
      </c>
      <c r="D1702" s="109" t="str">
        <f ca="1">IFERROR(__xludf.DUMMYFUNCTION("""COMPUTED_VALUE"""),"G")</f>
        <v>G</v>
      </c>
      <c r="E1702" s="110" t="str">
        <f ca="1">IFERROR(__xludf.DUMMYFUNCTION("""COMPUTED_VALUE"""),"J")</f>
        <v>J</v>
      </c>
      <c r="F1702" s="110" t="str">
        <f ca="1">IFERROR(__xludf.DUMMYFUNCTION("""COMPUTED_VALUE"""),"I")</f>
        <v>I</v>
      </c>
      <c r="G1702" s="110">
        <f ca="1">IFERROR(__xludf.DUMMYFUNCTION("""COMPUTED_VALUE"""),5)</f>
        <v>5</v>
      </c>
      <c r="H1702" s="112" t="str">
        <f ca="1"/>
        <v/>
      </c>
      <c r="I1702" s="112" t="str">
        <f ca="1"/>
        <v/>
      </c>
    </row>
    <row r="1703" spans="1:9" ht="13.2">
      <c r="A1703" s="109" t="str">
        <f ca="1">IFERROR(__xludf.DUMMYFUNCTION("""COMPUTED_VALUE"""),"R")</f>
        <v>R</v>
      </c>
      <c r="B1703" s="108" t="str">
        <f ca="1">IFERROR(__xludf.DUMMYFUNCTION("""COMPUTED_VALUE"""),"Max Shaffer")</f>
        <v>Max Shaffer</v>
      </c>
      <c r="C1703" s="109">
        <f ca="1">IFERROR(__xludf.DUMMYFUNCTION("""COMPUTED_VALUE"""),15)</f>
        <v>15</v>
      </c>
      <c r="D1703" s="109" t="str">
        <f ca="1">IFERROR(__xludf.DUMMYFUNCTION("""COMPUTED_VALUE"""),"B")</f>
        <v>B</v>
      </c>
      <c r="E1703" s="110" t="str">
        <f ca="1">IFERROR(__xludf.DUMMYFUNCTION("""COMPUTED_VALUE"""),"S")</f>
        <v>S</v>
      </c>
      <c r="F1703" s="110" t="str">
        <f ca="1">IFERROR(__xludf.DUMMYFUNCTION("""COMPUTED_VALUE"""),"S")</f>
        <v>S</v>
      </c>
      <c r="G1703" s="110">
        <f ca="1">IFERROR(__xludf.DUMMYFUNCTION("""COMPUTED_VALUE"""),5)</f>
        <v>5</v>
      </c>
      <c r="H1703" s="112" t="str">
        <f ca="1"/>
        <v/>
      </c>
      <c r="I1703" s="112" t="str">
        <f ca="1"/>
        <v/>
      </c>
    </row>
    <row r="1704" spans="1:9" ht="13.2">
      <c r="A1704" s="109" t="str">
        <f ca="1">IFERROR(__xludf.DUMMYFUNCTION("""COMPUTED_VALUE"""),"R")</f>
        <v>R</v>
      </c>
      <c r="B1704" s="108" t="str">
        <f ca="1">IFERROR(__xludf.DUMMYFUNCTION("""COMPUTED_VALUE"""),"Wade Hayes")</f>
        <v>Wade Hayes</v>
      </c>
      <c r="C1704" s="109">
        <f ca="1">IFERROR(__xludf.DUMMYFUNCTION("""COMPUTED_VALUE"""),16)</f>
        <v>16</v>
      </c>
      <c r="D1704" s="109" t="str">
        <f ca="1">IFERROR(__xludf.DUMMYFUNCTION("""COMPUTED_VALUE"""),"B")</f>
        <v>B</v>
      </c>
      <c r="E1704" s="110" t="str">
        <f ca="1">IFERROR(__xludf.DUMMYFUNCTION("""COMPUTED_VALUE"""),"S")</f>
        <v>S</v>
      </c>
      <c r="F1704" s="110" t="str">
        <f ca="1">IFERROR(__xludf.DUMMYFUNCTION("""COMPUTED_VALUE"""),"S")</f>
        <v>S</v>
      </c>
      <c r="G1704" s="110">
        <f ca="1">IFERROR(__xludf.DUMMYFUNCTION("""COMPUTED_VALUE"""),5)</f>
        <v>5</v>
      </c>
      <c r="H1704" s="112" t="str">
        <f ca="1"/>
        <v/>
      </c>
      <c r="I1704" s="81" t="str">
        <f ca="1"/>
        <v/>
      </c>
    </row>
    <row r="1705" spans="1:9" ht="13.2">
      <c r="A1705" s="109" t="str">
        <f ca="1">IFERROR(__xludf.DUMMYFUNCTION("""COMPUTED_VALUE"""),"R")</f>
        <v>R</v>
      </c>
      <c r="B1705" s="108" t="str">
        <f ca="1">IFERROR(__xludf.DUMMYFUNCTION("""COMPUTED_VALUE"""),"Jillian Champlin")</f>
        <v>Jillian Champlin</v>
      </c>
      <c r="C1705" s="109">
        <f ca="1">IFERROR(__xludf.DUMMYFUNCTION("""COMPUTED_VALUE"""),15)</f>
        <v>15</v>
      </c>
      <c r="D1705" s="109" t="str">
        <f ca="1">IFERROR(__xludf.DUMMYFUNCTION("""COMPUTED_VALUE"""),"G")</f>
        <v>G</v>
      </c>
      <c r="E1705" s="110" t="str">
        <f ca="1">IFERROR(__xludf.DUMMYFUNCTION("""COMPUTED_VALUE"""),"S")</f>
        <v>S</v>
      </c>
      <c r="F1705" s="110" t="str">
        <f ca="1">IFERROR(__xludf.DUMMYFUNCTION("""COMPUTED_VALUE"""),"S")</f>
        <v>S</v>
      </c>
      <c r="G1705" s="110">
        <f ca="1">IFERROR(__xludf.DUMMYFUNCTION("""COMPUTED_VALUE"""),5)</f>
        <v>5</v>
      </c>
      <c r="H1705" s="112" t="str">
        <f ca="1"/>
        <v/>
      </c>
      <c r="I1705" s="112" t="str">
        <f ca="1"/>
        <v/>
      </c>
    </row>
    <row r="1706" spans="1:9" ht="13.2">
      <c r="A1706" s="109" t="str">
        <f ca="1">IFERROR(__xludf.DUMMYFUNCTION("""COMPUTED_VALUE"""),"R")</f>
        <v>R</v>
      </c>
      <c r="B1706" s="108" t="str">
        <f ca="1">IFERROR(__xludf.DUMMYFUNCTION("""COMPUTED_VALUE"""),"Sara Kate George")</f>
        <v>Sara Kate George</v>
      </c>
      <c r="C1706" s="109">
        <f ca="1">IFERROR(__xludf.DUMMYFUNCTION("""COMPUTED_VALUE"""),15)</f>
        <v>15</v>
      </c>
      <c r="D1706" s="109" t="str">
        <f ca="1">IFERROR(__xludf.DUMMYFUNCTION("""COMPUTED_VALUE"""),"G")</f>
        <v>G</v>
      </c>
      <c r="E1706" s="110" t="str">
        <f ca="1">IFERROR(__xludf.DUMMYFUNCTION("""COMPUTED_VALUE"""),"S")</f>
        <v>S</v>
      </c>
      <c r="F1706" s="110" t="str">
        <f ca="1">IFERROR(__xludf.DUMMYFUNCTION("""COMPUTED_VALUE"""),"S")</f>
        <v>S</v>
      </c>
      <c r="G1706" s="110">
        <f ca="1">IFERROR(__xludf.DUMMYFUNCTION("""COMPUTED_VALUE"""),5)</f>
        <v>5</v>
      </c>
      <c r="H1706" s="112" t="str">
        <f ca="1"/>
        <v/>
      </c>
      <c r="I1706" s="81" t="str">
        <f ca="1"/>
        <v/>
      </c>
    </row>
    <row r="1707" spans="1:9" ht="13.2">
      <c r="A1707" s="109" t="str">
        <f ca="1">IFERROR(__xludf.DUMMYFUNCTION("""COMPUTED_VALUE"""),"RFD")</f>
        <v>RFD</v>
      </c>
      <c r="B1707" s="108" t="str">
        <f ca="1">IFERROR(__xludf.DUMMYFUNCTION("""COMPUTED_VALUE"""),"Alek Commette")</f>
        <v>Alek Commette</v>
      </c>
      <c r="C1707" s="109">
        <f ca="1">IFERROR(__xludf.DUMMYFUNCTION("""COMPUTED_VALUE"""),9)</f>
        <v>9</v>
      </c>
      <c r="D1707" s="109" t="str">
        <f ca="1">IFERROR(__xludf.DUMMYFUNCTION("""COMPUTED_VALUE"""),"B")</f>
        <v>B</v>
      </c>
      <c r="E1707" s="110" t="str">
        <f ca="1">IFERROR(__xludf.DUMMYFUNCTION("""COMPUTED_VALUE"""),"F")</f>
        <v>F</v>
      </c>
      <c r="F1707" s="110" t="str">
        <f ca="1">IFERROR(__xludf.DUMMYFUNCTION("""COMPUTED_VALUE"""),"J")</f>
        <v>J</v>
      </c>
      <c r="G1707" s="110">
        <f ca="1">IFERROR(__xludf.DUMMYFUNCTION("""COMPUTED_VALUE"""),7)</f>
        <v>7</v>
      </c>
      <c r="H1707" s="112" t="str">
        <f ca="1"/>
        <v/>
      </c>
      <c r="I1707" s="112" t="str">
        <f ca="1"/>
        <v/>
      </c>
    </row>
    <row r="1708" spans="1:9" ht="13.2">
      <c r="A1708" s="109" t="str">
        <f ca="1">IFERROR(__xludf.DUMMYFUNCTION("""COMPUTED_VALUE"""),"RFD")</f>
        <v>RFD</v>
      </c>
      <c r="B1708" s="108" t="str">
        <f ca="1">IFERROR(__xludf.DUMMYFUNCTION("""COMPUTED_VALUE"""),"Austin Brooks")</f>
        <v>Austin Brooks</v>
      </c>
      <c r="C1708" s="109">
        <f ca="1">IFERROR(__xludf.DUMMYFUNCTION("""COMPUTED_VALUE"""),6)</f>
        <v>6</v>
      </c>
      <c r="D1708" s="109" t="str">
        <f ca="1">IFERROR(__xludf.DUMMYFUNCTION("""COMPUTED_VALUE"""),"B")</f>
        <v>B</v>
      </c>
      <c r="E1708" s="110" t="str">
        <f ca="1">IFERROR(__xludf.DUMMYFUNCTION("""COMPUTED_VALUE"""),"F")</f>
        <v>F</v>
      </c>
      <c r="F1708" s="110" t="str">
        <f ca="1">IFERROR(__xludf.DUMMYFUNCTION("""COMPUTED_VALUE"""),"J")</f>
        <v>J</v>
      </c>
      <c r="G1708" s="110">
        <f ca="1">IFERROR(__xludf.DUMMYFUNCTION("""COMPUTED_VALUE"""),7)</f>
        <v>7</v>
      </c>
      <c r="H1708" s="112" t="str">
        <f ca="1"/>
        <v>22.65</v>
      </c>
      <c r="I1708" s="81">
        <f ca="1"/>
        <v>22.65</v>
      </c>
    </row>
    <row r="1709" spans="1:9" ht="13.2">
      <c r="A1709" s="109" t="str">
        <f ca="1">IFERROR(__xludf.DUMMYFUNCTION("""COMPUTED_VALUE"""),"RFD")</f>
        <v>RFD</v>
      </c>
      <c r="B1709" s="108" t="str">
        <f ca="1">IFERROR(__xludf.DUMMYFUNCTION("""COMPUTED_VALUE"""),"Cole Fegan")</f>
        <v>Cole Fegan</v>
      </c>
      <c r="C1709" s="109">
        <f ca="1">IFERROR(__xludf.DUMMYFUNCTION("""COMPUTED_VALUE"""),7)</f>
        <v>7</v>
      </c>
      <c r="D1709" s="109" t="str">
        <f ca="1">IFERROR(__xludf.DUMMYFUNCTION("""COMPUTED_VALUE"""),"B")</f>
        <v>B</v>
      </c>
      <c r="E1709" s="110" t="str">
        <f ca="1">IFERROR(__xludf.DUMMYFUNCTION("""COMPUTED_VALUE"""),"F")</f>
        <v>F</v>
      </c>
      <c r="F1709" s="110" t="str">
        <f ca="1">IFERROR(__xludf.DUMMYFUNCTION("""COMPUTED_VALUE"""),"J")</f>
        <v>J</v>
      </c>
      <c r="G1709" s="110">
        <f ca="1">IFERROR(__xludf.DUMMYFUNCTION("""COMPUTED_VALUE"""),7)</f>
        <v>7</v>
      </c>
      <c r="H1709" s="112" t="str">
        <f ca="1"/>
        <v/>
      </c>
      <c r="I1709" s="112" t="str">
        <f ca="1"/>
        <v/>
      </c>
    </row>
    <row r="1710" spans="1:9" ht="13.2">
      <c r="A1710" s="109" t="str">
        <f ca="1">IFERROR(__xludf.DUMMYFUNCTION("""COMPUTED_VALUE"""),"RFD")</f>
        <v>RFD</v>
      </c>
      <c r="B1710" s="108" t="str">
        <f ca="1">IFERROR(__xludf.DUMMYFUNCTION("""COMPUTED_VALUE"""),"Max Braswell")</f>
        <v>Max Braswell</v>
      </c>
      <c r="C1710" s="109">
        <f ca="1">IFERROR(__xludf.DUMMYFUNCTION("""COMPUTED_VALUE"""),10)</f>
        <v>10</v>
      </c>
      <c r="D1710" s="109" t="str">
        <f ca="1">IFERROR(__xludf.DUMMYFUNCTION("""COMPUTED_VALUE"""),"B")</f>
        <v>B</v>
      </c>
      <c r="E1710" s="110" t="str">
        <f ca="1">IFERROR(__xludf.DUMMYFUNCTION("""COMPUTED_VALUE"""),"F")</f>
        <v>F</v>
      </c>
      <c r="F1710" s="110" t="str">
        <f ca="1">IFERROR(__xludf.DUMMYFUNCTION("""COMPUTED_VALUE"""),"J")</f>
        <v>J</v>
      </c>
      <c r="G1710" s="110">
        <f ca="1">IFERROR(__xludf.DUMMYFUNCTION("""COMPUTED_VALUE"""),7)</f>
        <v>7</v>
      </c>
      <c r="H1710" s="112" t="str">
        <f ca="1"/>
        <v/>
      </c>
      <c r="I1710" s="81" t="str">
        <f ca="1"/>
        <v/>
      </c>
    </row>
    <row r="1711" spans="1:9" ht="13.2">
      <c r="A1711" s="109" t="str">
        <f ca="1">IFERROR(__xludf.DUMMYFUNCTION("""COMPUTED_VALUE"""),"RFD")</f>
        <v>RFD</v>
      </c>
      <c r="B1711" s="108" t="str">
        <f ca="1">IFERROR(__xludf.DUMMYFUNCTION("""COMPUTED_VALUE"""),"Michael Commette")</f>
        <v>Michael Commette</v>
      </c>
      <c r="C1711" s="109">
        <f ca="1">IFERROR(__xludf.DUMMYFUNCTION("""COMPUTED_VALUE"""),9)</f>
        <v>9</v>
      </c>
      <c r="D1711" s="109" t="str">
        <f ca="1">IFERROR(__xludf.DUMMYFUNCTION("""COMPUTED_VALUE"""),"B")</f>
        <v>B</v>
      </c>
      <c r="E1711" s="110" t="str">
        <f ca="1">IFERROR(__xludf.DUMMYFUNCTION("""COMPUTED_VALUE"""),"F")</f>
        <v>F</v>
      </c>
      <c r="F1711" s="110" t="str">
        <f ca="1">IFERROR(__xludf.DUMMYFUNCTION("""COMPUTED_VALUE"""),"J")</f>
        <v>J</v>
      </c>
      <c r="G1711" s="110">
        <f ca="1">IFERROR(__xludf.DUMMYFUNCTION("""COMPUTED_VALUE"""),7)</f>
        <v>7</v>
      </c>
      <c r="H1711" s="112" t="str">
        <f ca="1"/>
        <v/>
      </c>
      <c r="I1711" s="81" t="str">
        <f ca="1"/>
        <v/>
      </c>
    </row>
    <row r="1712" spans="1:9" ht="13.2">
      <c r="A1712" s="109" t="str">
        <f ca="1">IFERROR(__xludf.DUMMYFUNCTION("""COMPUTED_VALUE"""),"RFD")</f>
        <v>RFD</v>
      </c>
      <c r="B1712" s="108" t="str">
        <f ca="1">IFERROR(__xludf.DUMMYFUNCTION("""COMPUTED_VALUE"""),"Zachary Lesser")</f>
        <v>Zachary Lesser</v>
      </c>
      <c r="C1712" s="109">
        <f ca="1">IFERROR(__xludf.DUMMYFUNCTION("""COMPUTED_VALUE"""),9)</f>
        <v>9</v>
      </c>
      <c r="D1712" s="109" t="str">
        <f ca="1">IFERROR(__xludf.DUMMYFUNCTION("""COMPUTED_VALUE"""),"B")</f>
        <v>B</v>
      </c>
      <c r="E1712" s="110" t="str">
        <f ca="1">IFERROR(__xludf.DUMMYFUNCTION("""COMPUTED_VALUE"""),"F")</f>
        <v>F</v>
      </c>
      <c r="F1712" s="110" t="str">
        <f ca="1">IFERROR(__xludf.DUMMYFUNCTION("""COMPUTED_VALUE"""),"J")</f>
        <v>J</v>
      </c>
      <c r="G1712" s="110">
        <f ca="1">IFERROR(__xludf.DUMMYFUNCTION("""COMPUTED_VALUE"""),7)</f>
        <v>7</v>
      </c>
      <c r="H1712" s="112" t="str">
        <f ca="1"/>
        <v/>
      </c>
      <c r="I1712" s="81" t="str">
        <f ca="1"/>
        <v/>
      </c>
    </row>
    <row r="1713" spans="1:9" ht="13.2">
      <c r="A1713" s="109" t="str">
        <f ca="1">IFERROR(__xludf.DUMMYFUNCTION("""COMPUTED_VALUE"""),"RFD")</f>
        <v>RFD</v>
      </c>
      <c r="B1713" s="108" t="str">
        <f ca="1">IFERROR(__xludf.DUMMYFUNCTION("""COMPUTED_VALUE"""),"Avery Burch")</f>
        <v>Avery Burch</v>
      </c>
      <c r="C1713" s="109">
        <f ca="1">IFERROR(__xludf.DUMMYFUNCTION("""COMPUTED_VALUE"""),10)</f>
        <v>10</v>
      </c>
      <c r="D1713" s="109" t="str">
        <f ca="1">IFERROR(__xludf.DUMMYFUNCTION("""COMPUTED_VALUE"""),"G")</f>
        <v>G</v>
      </c>
      <c r="E1713" s="110" t="str">
        <f ca="1">IFERROR(__xludf.DUMMYFUNCTION("""COMPUTED_VALUE"""),"F")</f>
        <v>F</v>
      </c>
      <c r="F1713" s="110" t="str">
        <f ca="1">IFERROR(__xludf.DUMMYFUNCTION("""COMPUTED_VALUE"""),"J")</f>
        <v>J</v>
      </c>
      <c r="G1713" s="110">
        <f ca="1">IFERROR(__xludf.DUMMYFUNCTION("""COMPUTED_VALUE"""),7)</f>
        <v>7</v>
      </c>
      <c r="H1713" s="112" t="str">
        <f ca="1"/>
        <v/>
      </c>
      <c r="I1713" s="81" t="str">
        <f ca="1"/>
        <v/>
      </c>
    </row>
    <row r="1714" spans="1:9" ht="13.2">
      <c r="A1714" s="109" t="str">
        <f ca="1">IFERROR(__xludf.DUMMYFUNCTION("""COMPUTED_VALUE"""),"RFD")</f>
        <v>RFD</v>
      </c>
      <c r="B1714" s="108" t="str">
        <f ca="1">IFERROR(__xludf.DUMMYFUNCTION("""COMPUTED_VALUE"""),"Emma Townsend")</f>
        <v>Emma Townsend</v>
      </c>
      <c r="C1714" s="109">
        <f ca="1">IFERROR(__xludf.DUMMYFUNCTION("""COMPUTED_VALUE"""),9)</f>
        <v>9</v>
      </c>
      <c r="D1714" s="109" t="str">
        <f ca="1">IFERROR(__xludf.DUMMYFUNCTION("""COMPUTED_VALUE"""),"G")</f>
        <v>G</v>
      </c>
      <c r="E1714" s="110" t="str">
        <f ca="1">IFERROR(__xludf.DUMMYFUNCTION("""COMPUTED_VALUE"""),"F")</f>
        <v>F</v>
      </c>
      <c r="F1714" s="110" t="str">
        <f ca="1">IFERROR(__xludf.DUMMYFUNCTION("""COMPUTED_VALUE"""),"J")</f>
        <v>J</v>
      </c>
      <c r="G1714" s="110">
        <f ca="1">IFERROR(__xludf.DUMMYFUNCTION("""COMPUTED_VALUE"""),7)</f>
        <v>7</v>
      </c>
      <c r="H1714" s="112" t="str">
        <f ca="1"/>
        <v>25.15</v>
      </c>
      <c r="I1714" s="81">
        <f ca="1"/>
        <v>25.15</v>
      </c>
    </row>
    <row r="1715" spans="1:9" ht="13.2">
      <c r="A1715" s="109" t="str">
        <f ca="1">IFERROR(__xludf.DUMMYFUNCTION("""COMPUTED_VALUE"""),"RFD")</f>
        <v>RFD</v>
      </c>
      <c r="B1715" s="108" t="str">
        <f ca="1">IFERROR(__xludf.DUMMYFUNCTION("""COMPUTED_VALUE"""),"Evie Warren")</f>
        <v>Evie Warren</v>
      </c>
      <c r="C1715" s="109">
        <f ca="1">IFERROR(__xludf.DUMMYFUNCTION("""COMPUTED_VALUE"""),8)</f>
        <v>8</v>
      </c>
      <c r="D1715" s="109" t="str">
        <f ca="1">IFERROR(__xludf.DUMMYFUNCTION("""COMPUTED_VALUE"""),"G")</f>
        <v>G</v>
      </c>
      <c r="E1715" s="110" t="str">
        <f ca="1">IFERROR(__xludf.DUMMYFUNCTION("""COMPUTED_VALUE"""),"F")</f>
        <v>F</v>
      </c>
      <c r="F1715" s="110" t="str">
        <f ca="1">IFERROR(__xludf.DUMMYFUNCTION("""COMPUTED_VALUE"""),"J")</f>
        <v>J</v>
      </c>
      <c r="G1715" s="110">
        <f ca="1">IFERROR(__xludf.DUMMYFUNCTION("""COMPUTED_VALUE"""),7)</f>
        <v>7</v>
      </c>
      <c r="H1715" s="112" t="str">
        <f ca="1"/>
        <v>56.2</v>
      </c>
      <c r="I1715" s="81">
        <f ca="1"/>
        <v>56.2</v>
      </c>
    </row>
    <row r="1716" spans="1:9" ht="13.2">
      <c r="A1716" s="109" t="str">
        <f ca="1">IFERROR(__xludf.DUMMYFUNCTION("""COMPUTED_VALUE"""),"RFD")</f>
        <v>RFD</v>
      </c>
      <c r="B1716" s="108" t="str">
        <f ca="1">IFERROR(__xludf.DUMMYFUNCTION("""COMPUTED_VALUE"""),"Hadley Townsend")</f>
        <v>Hadley Townsend</v>
      </c>
      <c r="C1716" s="109">
        <f ca="1">IFERROR(__xludf.DUMMYFUNCTION("""COMPUTED_VALUE"""),7)</f>
        <v>7</v>
      </c>
      <c r="D1716" s="109" t="str">
        <f ca="1">IFERROR(__xludf.DUMMYFUNCTION("""COMPUTED_VALUE"""),"G")</f>
        <v>G</v>
      </c>
      <c r="E1716" s="110" t="str">
        <f ca="1">IFERROR(__xludf.DUMMYFUNCTION("""COMPUTED_VALUE"""),"F")</f>
        <v>F</v>
      </c>
      <c r="F1716" s="110" t="str">
        <f ca="1">IFERROR(__xludf.DUMMYFUNCTION("""COMPUTED_VALUE"""),"J")</f>
        <v>J</v>
      </c>
      <c r="G1716" s="110">
        <f ca="1">IFERROR(__xludf.DUMMYFUNCTION("""COMPUTED_VALUE"""),7)</f>
        <v>7</v>
      </c>
      <c r="H1716" s="112" t="str">
        <f ca="1"/>
        <v>33.35</v>
      </c>
      <c r="I1716" s="81">
        <f ca="1"/>
        <v>33.35</v>
      </c>
    </row>
    <row r="1717" spans="1:9" ht="13.2">
      <c r="A1717" s="109" t="str">
        <f ca="1">IFERROR(__xludf.DUMMYFUNCTION("""COMPUTED_VALUE"""),"RFD")</f>
        <v>RFD</v>
      </c>
      <c r="B1717" s="108" t="str">
        <f ca="1">IFERROR(__xludf.DUMMYFUNCTION("""COMPUTED_VALUE"""),"Kaelyn Farrelly")</f>
        <v>Kaelyn Farrelly</v>
      </c>
      <c r="C1717" s="109">
        <f ca="1">IFERROR(__xludf.DUMMYFUNCTION("""COMPUTED_VALUE"""),7)</f>
        <v>7</v>
      </c>
      <c r="D1717" s="109" t="str">
        <f ca="1">IFERROR(__xludf.DUMMYFUNCTION("""COMPUTED_VALUE"""),"G")</f>
        <v>G</v>
      </c>
      <c r="E1717" s="110" t="str">
        <f ca="1">IFERROR(__xludf.DUMMYFUNCTION("""COMPUTED_VALUE"""),"F")</f>
        <v>F</v>
      </c>
      <c r="F1717" s="110" t="str">
        <f ca="1">IFERROR(__xludf.DUMMYFUNCTION("""COMPUTED_VALUE"""),"J")</f>
        <v>J</v>
      </c>
      <c r="G1717" s="110">
        <f ca="1">IFERROR(__xludf.DUMMYFUNCTION("""COMPUTED_VALUE"""),7)</f>
        <v>7</v>
      </c>
      <c r="H1717" s="112" t="str">
        <f ca="1"/>
        <v/>
      </c>
      <c r="I1717" s="81" t="str">
        <f ca="1"/>
        <v/>
      </c>
    </row>
    <row r="1718" spans="1:9" ht="13.2">
      <c r="A1718" s="109" t="str">
        <f ca="1">IFERROR(__xludf.DUMMYFUNCTION("""COMPUTED_VALUE"""),"RFD")</f>
        <v>RFD</v>
      </c>
      <c r="B1718" s="108" t="str">
        <f ca="1">IFERROR(__xludf.DUMMYFUNCTION("""COMPUTED_VALUE"""),"Katerina Commette")</f>
        <v>Katerina Commette</v>
      </c>
      <c r="C1718" s="109">
        <f ca="1">IFERROR(__xludf.DUMMYFUNCTION("""COMPUTED_VALUE"""),6)</f>
        <v>6</v>
      </c>
      <c r="D1718" s="109" t="str">
        <f ca="1">IFERROR(__xludf.DUMMYFUNCTION("""COMPUTED_VALUE"""),"G")</f>
        <v>G</v>
      </c>
      <c r="E1718" s="110" t="str">
        <f ca="1">IFERROR(__xludf.DUMMYFUNCTION("""COMPUTED_VALUE"""),"F")</f>
        <v>F</v>
      </c>
      <c r="F1718" s="110" t="str">
        <f ca="1">IFERROR(__xludf.DUMMYFUNCTION("""COMPUTED_VALUE"""),"J")</f>
        <v>J</v>
      </c>
      <c r="G1718" s="110">
        <f ca="1">IFERROR(__xludf.DUMMYFUNCTION("""COMPUTED_VALUE"""),7)</f>
        <v>7</v>
      </c>
      <c r="H1718" s="112" t="str">
        <f ca="1"/>
        <v/>
      </c>
      <c r="I1718" s="81" t="str">
        <f ca="1"/>
        <v/>
      </c>
    </row>
    <row r="1719" spans="1:9" ht="13.2">
      <c r="A1719" s="109" t="str">
        <f ca="1">IFERROR(__xludf.DUMMYFUNCTION("""COMPUTED_VALUE"""),"RFD")</f>
        <v>RFD</v>
      </c>
      <c r="B1719" s="108" t="str">
        <f ca="1">IFERROR(__xludf.DUMMYFUNCTION("""COMPUTED_VALUE"""),"Kathryn Fegan")</f>
        <v>Kathryn Fegan</v>
      </c>
      <c r="C1719" s="109">
        <f ca="1">IFERROR(__xludf.DUMMYFUNCTION("""COMPUTED_VALUE"""),10)</f>
        <v>10</v>
      </c>
      <c r="D1719" s="109" t="str">
        <f ca="1">IFERROR(__xludf.DUMMYFUNCTION("""COMPUTED_VALUE"""),"G")</f>
        <v>G</v>
      </c>
      <c r="E1719" s="110" t="str">
        <f ca="1">IFERROR(__xludf.DUMMYFUNCTION("""COMPUTED_VALUE"""),"F")</f>
        <v>F</v>
      </c>
      <c r="F1719" s="110" t="str">
        <f ca="1">IFERROR(__xludf.DUMMYFUNCTION("""COMPUTED_VALUE"""),"J")</f>
        <v>J</v>
      </c>
      <c r="G1719" s="110">
        <f ca="1">IFERROR(__xludf.DUMMYFUNCTION("""COMPUTED_VALUE"""),7)</f>
        <v>7</v>
      </c>
      <c r="H1719" s="112" t="str">
        <f ca="1"/>
        <v/>
      </c>
      <c r="I1719" s="81" t="str">
        <f ca="1"/>
        <v/>
      </c>
    </row>
    <row r="1720" spans="1:9" ht="13.2">
      <c r="A1720" s="109" t="str">
        <f ca="1">IFERROR(__xludf.DUMMYFUNCTION("""COMPUTED_VALUE"""),"RFD")</f>
        <v>RFD</v>
      </c>
      <c r="B1720" s="108" t="str">
        <f ca="1">IFERROR(__xludf.DUMMYFUNCTION("""COMPUTED_VALUE"""),"Lorriane Miller")</f>
        <v>Lorriane Miller</v>
      </c>
      <c r="C1720" s="109">
        <f ca="1">IFERROR(__xludf.DUMMYFUNCTION("""COMPUTED_VALUE"""),8)</f>
        <v>8</v>
      </c>
      <c r="D1720" s="109" t="str">
        <f ca="1">IFERROR(__xludf.DUMMYFUNCTION("""COMPUTED_VALUE"""),"G")</f>
        <v>G</v>
      </c>
      <c r="E1720" s="110" t="str">
        <f ca="1">IFERROR(__xludf.DUMMYFUNCTION("""COMPUTED_VALUE"""),"F")</f>
        <v>F</v>
      </c>
      <c r="F1720" s="110" t="str">
        <f ca="1">IFERROR(__xludf.DUMMYFUNCTION("""COMPUTED_VALUE"""),"J")</f>
        <v>J</v>
      </c>
      <c r="G1720" s="110">
        <f ca="1">IFERROR(__xludf.DUMMYFUNCTION("""COMPUTED_VALUE"""),7)</f>
        <v>7</v>
      </c>
      <c r="H1720" s="112" t="str">
        <f ca="1"/>
        <v/>
      </c>
      <c r="I1720" s="81" t="str">
        <f ca="1"/>
        <v/>
      </c>
    </row>
    <row r="1721" spans="1:9" ht="13.2">
      <c r="A1721" s="109" t="str">
        <f ca="1">IFERROR(__xludf.DUMMYFUNCTION("""COMPUTED_VALUE"""),"RFD")</f>
        <v>RFD</v>
      </c>
      <c r="B1721" s="108" t="str">
        <f ca="1">IFERROR(__xludf.DUMMYFUNCTION("""COMPUTED_VALUE"""),"Mary Kate Dobrydney")</f>
        <v>Mary Kate Dobrydney</v>
      </c>
      <c r="C1721" s="109">
        <f ca="1">IFERROR(__xludf.DUMMYFUNCTION("""COMPUTED_VALUE"""),10)</f>
        <v>10</v>
      </c>
      <c r="D1721" s="109" t="str">
        <f ca="1">IFERROR(__xludf.DUMMYFUNCTION("""COMPUTED_VALUE"""),"G")</f>
        <v>G</v>
      </c>
      <c r="E1721" s="110" t="str">
        <f ca="1">IFERROR(__xludf.DUMMYFUNCTION("""COMPUTED_VALUE"""),"F")</f>
        <v>F</v>
      </c>
      <c r="F1721" s="110" t="str">
        <f ca="1">IFERROR(__xludf.DUMMYFUNCTION("""COMPUTED_VALUE"""),"J")</f>
        <v>J</v>
      </c>
      <c r="G1721" s="110">
        <f ca="1">IFERROR(__xludf.DUMMYFUNCTION("""COMPUTED_VALUE"""),7)</f>
        <v>7</v>
      </c>
      <c r="H1721" s="112" t="str">
        <f ca="1"/>
        <v/>
      </c>
      <c r="I1721" s="81" t="str">
        <f ca="1"/>
        <v/>
      </c>
    </row>
    <row r="1722" spans="1:9" ht="13.2">
      <c r="A1722" s="109" t="str">
        <f ca="1">IFERROR(__xludf.DUMMYFUNCTION("""COMPUTED_VALUE"""),"RFD")</f>
        <v>RFD</v>
      </c>
      <c r="B1722" s="108" t="str">
        <f ca="1">IFERROR(__xludf.DUMMYFUNCTION("""COMPUTED_VALUE"""),"Mimi Braswell")</f>
        <v>Mimi Braswell</v>
      </c>
      <c r="C1722" s="109">
        <f ca="1">IFERROR(__xludf.DUMMYFUNCTION("""COMPUTED_VALUE"""),9)</f>
        <v>9</v>
      </c>
      <c r="D1722" s="109" t="str">
        <f ca="1">IFERROR(__xludf.DUMMYFUNCTION("""COMPUTED_VALUE"""),"G")</f>
        <v>G</v>
      </c>
      <c r="E1722" s="110" t="str">
        <f ca="1">IFERROR(__xludf.DUMMYFUNCTION("""COMPUTED_VALUE"""),"F")</f>
        <v>F</v>
      </c>
      <c r="F1722" s="110" t="str">
        <f ca="1">IFERROR(__xludf.DUMMYFUNCTION("""COMPUTED_VALUE"""),"J")</f>
        <v>J</v>
      </c>
      <c r="G1722" s="110">
        <f ca="1">IFERROR(__xludf.DUMMYFUNCTION("""COMPUTED_VALUE"""),7)</f>
        <v>7</v>
      </c>
      <c r="H1722" s="112" t="str">
        <f ca="1"/>
        <v/>
      </c>
      <c r="I1722" s="81" t="str">
        <f ca="1"/>
        <v/>
      </c>
    </row>
    <row r="1723" spans="1:9" ht="13.2">
      <c r="A1723" s="109" t="str">
        <f ca="1">IFERROR(__xludf.DUMMYFUNCTION("""COMPUTED_VALUE"""),"RFD")</f>
        <v>RFD</v>
      </c>
      <c r="B1723" s="108" t="str">
        <f ca="1">IFERROR(__xludf.DUMMYFUNCTION("""COMPUTED_VALUE"""),"Sarah Bosch")</f>
        <v>Sarah Bosch</v>
      </c>
      <c r="C1723" s="109">
        <f ca="1">IFERROR(__xludf.DUMMYFUNCTION("""COMPUTED_VALUE"""),10)</f>
        <v>10</v>
      </c>
      <c r="D1723" s="109" t="str">
        <f ca="1">IFERROR(__xludf.DUMMYFUNCTION("""COMPUTED_VALUE"""),"G")</f>
        <v>G</v>
      </c>
      <c r="E1723" s="110" t="str">
        <f ca="1">IFERROR(__xludf.DUMMYFUNCTION("""COMPUTED_VALUE"""),"F")</f>
        <v>F</v>
      </c>
      <c r="F1723" s="110" t="str">
        <f ca="1">IFERROR(__xludf.DUMMYFUNCTION("""COMPUTED_VALUE"""),"J")</f>
        <v>J</v>
      </c>
      <c r="G1723" s="110">
        <f ca="1">IFERROR(__xludf.DUMMYFUNCTION("""COMPUTED_VALUE"""),7)</f>
        <v>7</v>
      </c>
      <c r="H1723" s="112" t="str">
        <f ca="1"/>
        <v/>
      </c>
      <c r="I1723" s="81" t="str">
        <f ca="1"/>
        <v/>
      </c>
    </row>
    <row r="1724" spans="1:9" ht="13.2">
      <c r="A1724" s="109" t="str">
        <f ca="1">IFERROR(__xludf.DUMMYFUNCTION("""COMPUTED_VALUE"""),"RFD")</f>
        <v>RFD</v>
      </c>
      <c r="B1724" s="108" t="str">
        <f ca="1">IFERROR(__xludf.DUMMYFUNCTION("""COMPUTED_VALUE"""),"Teny Davitian")</f>
        <v>Teny Davitian</v>
      </c>
      <c r="C1724" s="109">
        <f ca="1">IFERROR(__xludf.DUMMYFUNCTION("""COMPUTED_VALUE"""),10)</f>
        <v>10</v>
      </c>
      <c r="D1724" s="109" t="str">
        <f ca="1">IFERROR(__xludf.DUMMYFUNCTION("""COMPUTED_VALUE"""),"G")</f>
        <v>G</v>
      </c>
      <c r="E1724" s="110" t="str">
        <f ca="1">IFERROR(__xludf.DUMMYFUNCTION("""COMPUTED_VALUE"""),"F")</f>
        <v>F</v>
      </c>
      <c r="F1724" s="110" t="str">
        <f ca="1">IFERROR(__xludf.DUMMYFUNCTION("""COMPUTED_VALUE"""),"J")</f>
        <v>J</v>
      </c>
      <c r="G1724" s="110">
        <f ca="1">IFERROR(__xludf.DUMMYFUNCTION("""COMPUTED_VALUE"""),7)</f>
        <v>7</v>
      </c>
      <c r="H1724" s="112" t="str">
        <f ca="1"/>
        <v>33.9</v>
      </c>
      <c r="I1724" s="81">
        <f ca="1"/>
        <v>33.9</v>
      </c>
    </row>
    <row r="1725" spans="1:9" ht="13.2">
      <c r="A1725" s="109" t="str">
        <f ca="1">IFERROR(__xludf.DUMMYFUNCTION("""COMPUTED_VALUE"""),"RFD")</f>
        <v>RFD</v>
      </c>
      <c r="B1725" s="108" t="str">
        <f ca="1">IFERROR(__xludf.DUMMYFUNCTION("""COMPUTED_VALUE"""),"Liam Wade")</f>
        <v>Liam Wade</v>
      </c>
      <c r="C1725" s="109">
        <f ca="1">IFERROR(__xludf.DUMMYFUNCTION("""COMPUTED_VALUE"""),13)</f>
        <v>13</v>
      </c>
      <c r="D1725" s="109" t="str">
        <f ca="1">IFERROR(__xludf.DUMMYFUNCTION("""COMPUTED_VALUE"""),"B")</f>
        <v>B</v>
      </c>
      <c r="E1725" s="110" t="str">
        <f ca="1">IFERROR(__xludf.DUMMYFUNCTION("""COMPUTED_VALUE"""),"I")</f>
        <v>I</v>
      </c>
      <c r="F1725" s="110" t="str">
        <f ca="1">IFERROR(__xludf.DUMMYFUNCTION("""COMPUTED_VALUE"""),"S")</f>
        <v>S</v>
      </c>
      <c r="G1725" s="110">
        <f ca="1">IFERROR(__xludf.DUMMYFUNCTION("""COMPUTED_VALUE"""),7)</f>
        <v>7</v>
      </c>
      <c r="H1725" s="112" t="str">
        <f ca="1"/>
        <v/>
      </c>
      <c r="I1725" s="81" t="str">
        <f ca="1"/>
        <v/>
      </c>
    </row>
    <row r="1726" spans="1:9" ht="13.2">
      <c r="A1726" s="109" t="str">
        <f ca="1">IFERROR(__xludf.DUMMYFUNCTION("""COMPUTED_VALUE"""),"RFD")</f>
        <v>RFD</v>
      </c>
      <c r="B1726" s="108" t="str">
        <f ca="1">IFERROR(__xludf.DUMMYFUNCTION("""COMPUTED_VALUE"""),"Claire Dobrydney")</f>
        <v>Claire Dobrydney</v>
      </c>
      <c r="C1726" s="109">
        <f ca="1">IFERROR(__xludf.DUMMYFUNCTION("""COMPUTED_VALUE"""),13)</f>
        <v>13</v>
      </c>
      <c r="D1726" s="109" t="str">
        <f ca="1">IFERROR(__xludf.DUMMYFUNCTION("""COMPUTED_VALUE"""),"G")</f>
        <v>G</v>
      </c>
      <c r="E1726" s="110" t="str">
        <f ca="1">IFERROR(__xludf.DUMMYFUNCTION("""COMPUTED_VALUE"""),"I")</f>
        <v>I</v>
      </c>
      <c r="F1726" s="110" t="str">
        <f ca="1">IFERROR(__xludf.DUMMYFUNCTION("""COMPUTED_VALUE"""),"S")</f>
        <v>S</v>
      </c>
      <c r="G1726" s="110">
        <f ca="1">IFERROR(__xludf.DUMMYFUNCTION("""COMPUTED_VALUE"""),7)</f>
        <v>7</v>
      </c>
      <c r="H1726" s="112" t="str">
        <f ca="1"/>
        <v/>
      </c>
      <c r="I1726" s="81" t="str">
        <f ca="1"/>
        <v/>
      </c>
    </row>
    <row r="1727" spans="1:9" ht="13.2">
      <c r="A1727" s="109" t="str">
        <f ca="1">IFERROR(__xludf.DUMMYFUNCTION("""COMPUTED_VALUE"""),"RFD")</f>
        <v>RFD</v>
      </c>
      <c r="B1727" s="108" t="str">
        <f ca="1">IFERROR(__xludf.DUMMYFUNCTION("""COMPUTED_VALUE"""),"Emma Norsky")</f>
        <v>Emma Norsky</v>
      </c>
      <c r="C1727" s="109">
        <f ca="1">IFERROR(__xludf.DUMMYFUNCTION("""COMPUTED_VALUE"""),14)</f>
        <v>14</v>
      </c>
      <c r="D1727" s="109" t="str">
        <f ca="1">IFERROR(__xludf.DUMMYFUNCTION("""COMPUTED_VALUE"""),"G")</f>
        <v>G</v>
      </c>
      <c r="E1727" s="110" t="str">
        <f ca="1">IFERROR(__xludf.DUMMYFUNCTION("""COMPUTED_VALUE"""),"I")</f>
        <v>I</v>
      </c>
      <c r="F1727" s="110" t="str">
        <f ca="1">IFERROR(__xludf.DUMMYFUNCTION("""COMPUTED_VALUE"""),"S")</f>
        <v>S</v>
      </c>
      <c r="G1727" s="110">
        <f ca="1">IFERROR(__xludf.DUMMYFUNCTION("""COMPUTED_VALUE"""),7)</f>
        <v>7</v>
      </c>
      <c r="H1727" s="112" t="str">
        <f ca="1"/>
        <v/>
      </c>
      <c r="I1727" s="81" t="str">
        <f ca="1"/>
        <v/>
      </c>
    </row>
    <row r="1728" spans="1:9" ht="13.2">
      <c r="A1728" s="109" t="str">
        <f ca="1">IFERROR(__xludf.DUMMYFUNCTION("""COMPUTED_VALUE"""),"RFD")</f>
        <v>RFD</v>
      </c>
      <c r="B1728" s="108" t="str">
        <f ca="1">IFERROR(__xludf.DUMMYFUNCTION("""COMPUTED_VALUE"""),"Bradyn Brooks")</f>
        <v>Bradyn Brooks</v>
      </c>
      <c r="C1728" s="109">
        <f ca="1">IFERROR(__xludf.DUMMYFUNCTION("""COMPUTED_VALUE"""),11)</f>
        <v>11</v>
      </c>
      <c r="D1728" s="109" t="str">
        <f ca="1">IFERROR(__xludf.DUMMYFUNCTION("""COMPUTED_VALUE"""),"B")</f>
        <v>B</v>
      </c>
      <c r="E1728" s="110" t="str">
        <f ca="1">IFERROR(__xludf.DUMMYFUNCTION("""COMPUTED_VALUE"""),"J")</f>
        <v>J</v>
      </c>
      <c r="F1728" s="110" t="str">
        <f ca="1">IFERROR(__xludf.DUMMYFUNCTION("""COMPUTED_VALUE"""),"I")</f>
        <v>I</v>
      </c>
      <c r="G1728" s="110">
        <f ca="1">IFERROR(__xludf.DUMMYFUNCTION("""COMPUTED_VALUE"""),7)</f>
        <v>7</v>
      </c>
      <c r="H1728" s="112" t="str">
        <f ca="1"/>
        <v>42</v>
      </c>
      <c r="I1728" s="81">
        <f ca="1"/>
        <v>42</v>
      </c>
    </row>
    <row r="1729" spans="1:9" ht="13.2">
      <c r="A1729" s="109" t="str">
        <f ca="1">IFERROR(__xludf.DUMMYFUNCTION("""COMPUTED_VALUE"""),"RFD")</f>
        <v>RFD</v>
      </c>
      <c r="B1729" s="108" t="str">
        <f ca="1">IFERROR(__xludf.DUMMYFUNCTION("""COMPUTED_VALUE"""),"John Burns")</f>
        <v>John Burns</v>
      </c>
      <c r="C1729" s="109">
        <f ca="1">IFERROR(__xludf.DUMMYFUNCTION("""COMPUTED_VALUE"""),12)</f>
        <v>12</v>
      </c>
      <c r="D1729" s="109" t="str">
        <f ca="1">IFERROR(__xludf.DUMMYFUNCTION("""COMPUTED_VALUE"""),"B")</f>
        <v>B</v>
      </c>
      <c r="E1729" s="110" t="str">
        <f ca="1">IFERROR(__xludf.DUMMYFUNCTION("""COMPUTED_VALUE"""),"J")</f>
        <v>J</v>
      </c>
      <c r="F1729" s="110" t="str">
        <f ca="1">IFERROR(__xludf.DUMMYFUNCTION("""COMPUTED_VALUE"""),"I")</f>
        <v>I</v>
      </c>
      <c r="G1729" s="110">
        <f ca="1">IFERROR(__xludf.DUMMYFUNCTION("""COMPUTED_VALUE"""),7)</f>
        <v>7</v>
      </c>
      <c r="H1729" s="112" t="str">
        <f ca="1"/>
        <v/>
      </c>
      <c r="I1729" s="81" t="str">
        <f ca="1"/>
        <v/>
      </c>
    </row>
    <row r="1730" spans="1:9" ht="13.2">
      <c r="A1730" s="109" t="str">
        <f ca="1">IFERROR(__xludf.DUMMYFUNCTION("""COMPUTED_VALUE"""),"RFD")</f>
        <v>RFD</v>
      </c>
      <c r="B1730" s="108" t="str">
        <f ca="1">IFERROR(__xludf.DUMMYFUNCTION("""COMPUTED_VALUE"""),"Roman Braswell")</f>
        <v>Roman Braswell</v>
      </c>
      <c r="C1730" s="109">
        <f ca="1">IFERROR(__xludf.DUMMYFUNCTION("""COMPUTED_VALUE"""),12)</f>
        <v>12</v>
      </c>
      <c r="D1730" s="109" t="str">
        <f ca="1">IFERROR(__xludf.DUMMYFUNCTION("""COMPUTED_VALUE"""),"B")</f>
        <v>B</v>
      </c>
      <c r="E1730" s="110" t="str">
        <f ca="1">IFERROR(__xludf.DUMMYFUNCTION("""COMPUTED_VALUE"""),"J")</f>
        <v>J</v>
      </c>
      <c r="F1730" s="110" t="str">
        <f ca="1">IFERROR(__xludf.DUMMYFUNCTION("""COMPUTED_VALUE"""),"I")</f>
        <v>I</v>
      </c>
      <c r="G1730" s="110">
        <f ca="1">IFERROR(__xludf.DUMMYFUNCTION("""COMPUTED_VALUE"""),7)</f>
        <v>7</v>
      </c>
      <c r="H1730" s="112" t="str">
        <f ca="1"/>
        <v/>
      </c>
      <c r="I1730" s="81" t="str">
        <f ca="1"/>
        <v/>
      </c>
    </row>
    <row r="1731" spans="1:9" ht="13.2">
      <c r="A1731" s="109" t="str">
        <f ca="1">IFERROR(__xludf.DUMMYFUNCTION("""COMPUTED_VALUE"""),"RFD")</f>
        <v>RFD</v>
      </c>
      <c r="B1731" s="108" t="str">
        <f ca="1">IFERROR(__xludf.DUMMYFUNCTION("""COMPUTED_VALUE"""),"Wyatt Fegan")</f>
        <v>Wyatt Fegan</v>
      </c>
      <c r="C1731" s="109">
        <f ca="1">IFERROR(__xludf.DUMMYFUNCTION("""COMPUTED_VALUE"""),12)</f>
        <v>12</v>
      </c>
      <c r="D1731" s="109" t="str">
        <f ca="1">IFERROR(__xludf.DUMMYFUNCTION("""COMPUTED_VALUE"""),"B")</f>
        <v>B</v>
      </c>
      <c r="E1731" s="110" t="str">
        <f ca="1">IFERROR(__xludf.DUMMYFUNCTION("""COMPUTED_VALUE"""),"J")</f>
        <v>J</v>
      </c>
      <c r="F1731" s="110" t="str">
        <f ca="1">IFERROR(__xludf.DUMMYFUNCTION("""COMPUTED_VALUE"""),"I")</f>
        <v>I</v>
      </c>
      <c r="G1731" s="110">
        <f ca="1">IFERROR(__xludf.DUMMYFUNCTION("""COMPUTED_VALUE"""),7)</f>
        <v>7</v>
      </c>
      <c r="H1731" s="112" t="str">
        <f ca="1"/>
        <v/>
      </c>
      <c r="I1731" s="81" t="str">
        <f ca="1"/>
        <v/>
      </c>
    </row>
    <row r="1732" spans="1:9" ht="13.2">
      <c r="A1732" s="109" t="str">
        <f ca="1">IFERROR(__xludf.DUMMYFUNCTION("""COMPUTED_VALUE"""),"RFD")</f>
        <v>RFD</v>
      </c>
      <c r="B1732" s="108" t="str">
        <f ca="1">IFERROR(__xludf.DUMMYFUNCTION("""COMPUTED_VALUE"""),"Eva Martin")</f>
        <v>Eva Martin</v>
      </c>
      <c r="C1732" s="109">
        <f ca="1">IFERROR(__xludf.DUMMYFUNCTION("""COMPUTED_VALUE"""),12)</f>
        <v>12</v>
      </c>
      <c r="D1732" s="109" t="str">
        <f ca="1">IFERROR(__xludf.DUMMYFUNCTION("""COMPUTED_VALUE"""),"G")</f>
        <v>G</v>
      </c>
      <c r="E1732" s="110" t="str">
        <f ca="1">IFERROR(__xludf.DUMMYFUNCTION("""COMPUTED_VALUE"""),"J")</f>
        <v>J</v>
      </c>
      <c r="F1732" s="110" t="str">
        <f ca="1">IFERROR(__xludf.DUMMYFUNCTION("""COMPUTED_VALUE"""),"I")</f>
        <v>I</v>
      </c>
      <c r="G1732" s="110">
        <f ca="1">IFERROR(__xludf.DUMMYFUNCTION("""COMPUTED_VALUE"""),7)</f>
        <v>7</v>
      </c>
      <c r="H1732" s="112" t="str">
        <f ca="1"/>
        <v>62.2</v>
      </c>
      <c r="I1732" s="81">
        <f ca="1"/>
        <v>62.2</v>
      </c>
    </row>
    <row r="1733" spans="1:9" ht="13.2">
      <c r="A1733" s="109" t="str">
        <f ca="1">IFERROR(__xludf.DUMMYFUNCTION("""COMPUTED_VALUE"""),"RFD")</f>
        <v>RFD</v>
      </c>
      <c r="B1733" s="108" t="str">
        <f ca="1">IFERROR(__xludf.DUMMYFUNCTION("""COMPUTED_VALUE"""),"Pendry Carroll")</f>
        <v>Pendry Carroll</v>
      </c>
      <c r="C1733" s="109">
        <f ca="1">IFERROR(__xludf.DUMMYFUNCTION("""COMPUTED_VALUE"""),11)</f>
        <v>11</v>
      </c>
      <c r="D1733" s="109" t="str">
        <f ca="1">IFERROR(__xludf.DUMMYFUNCTION("""COMPUTED_VALUE"""),"G")</f>
        <v>G</v>
      </c>
      <c r="E1733" s="110" t="str">
        <f ca="1">IFERROR(__xludf.DUMMYFUNCTION("""COMPUTED_VALUE"""),"J")</f>
        <v>J</v>
      </c>
      <c r="F1733" s="110" t="str">
        <f ca="1">IFERROR(__xludf.DUMMYFUNCTION("""COMPUTED_VALUE"""),"I")</f>
        <v>I</v>
      </c>
      <c r="G1733" s="110">
        <f ca="1">IFERROR(__xludf.DUMMYFUNCTION("""COMPUTED_VALUE"""),7)</f>
        <v>7</v>
      </c>
      <c r="H1733" s="112" t="str">
        <f ca="1"/>
        <v/>
      </c>
      <c r="I1733" s="81" t="str">
        <f ca="1"/>
        <v/>
      </c>
    </row>
    <row r="1734" spans="1:9" ht="13.2">
      <c r="A1734" s="109" t="str">
        <f ca="1">IFERROR(__xludf.DUMMYFUNCTION("""COMPUTED_VALUE"""),"RFD")</f>
        <v>RFD</v>
      </c>
      <c r="B1734" s="108" t="str">
        <f ca="1">IFERROR(__xludf.DUMMYFUNCTION("""COMPUTED_VALUE"""),"Chris Dobrydney")</f>
        <v>Chris Dobrydney</v>
      </c>
      <c r="C1734" s="109">
        <f ca="1">IFERROR(__xludf.DUMMYFUNCTION("""COMPUTED_VALUE"""),17)</f>
        <v>17</v>
      </c>
      <c r="D1734" s="109" t="str">
        <f ca="1">IFERROR(__xludf.DUMMYFUNCTION("""COMPUTED_VALUE"""),"B")</f>
        <v>B</v>
      </c>
      <c r="E1734" s="110" t="str">
        <f ca="1">IFERROR(__xludf.DUMMYFUNCTION("""COMPUTED_VALUE"""),"S")</f>
        <v>S</v>
      </c>
      <c r="F1734" s="110" t="str">
        <f ca="1">IFERROR(__xludf.DUMMYFUNCTION("""COMPUTED_VALUE"""),"S")</f>
        <v>S</v>
      </c>
      <c r="G1734" s="110">
        <f ca="1">IFERROR(__xludf.DUMMYFUNCTION("""COMPUTED_VALUE"""),7)</f>
        <v>7</v>
      </c>
      <c r="H1734" s="112" t="str">
        <f ca="1"/>
        <v/>
      </c>
      <c r="I1734" s="81" t="str">
        <f ca="1"/>
        <v/>
      </c>
    </row>
    <row r="1735" spans="1:9" ht="13.2">
      <c r="A1735" s="109" t="str">
        <f ca="1">IFERROR(__xludf.DUMMYFUNCTION("""COMPUTED_VALUE"""),"RFD")</f>
        <v>RFD</v>
      </c>
      <c r="B1735" s="108" t="str">
        <f ca="1">IFERROR(__xludf.DUMMYFUNCTION("""COMPUTED_VALUE"""),"Griffin Brown")</f>
        <v>Griffin Brown</v>
      </c>
      <c r="C1735" s="109">
        <f ca="1">IFERROR(__xludf.DUMMYFUNCTION("""COMPUTED_VALUE"""),15)</f>
        <v>15</v>
      </c>
      <c r="D1735" s="109" t="str">
        <f ca="1">IFERROR(__xludf.DUMMYFUNCTION("""COMPUTED_VALUE"""),"B")</f>
        <v>B</v>
      </c>
      <c r="E1735" s="110" t="str">
        <f ca="1">IFERROR(__xludf.DUMMYFUNCTION("""COMPUTED_VALUE"""),"S")</f>
        <v>S</v>
      </c>
      <c r="F1735" s="110" t="str">
        <f ca="1">IFERROR(__xludf.DUMMYFUNCTION("""COMPUTED_VALUE"""),"S")</f>
        <v>S</v>
      </c>
      <c r="G1735" s="110">
        <f ca="1">IFERROR(__xludf.DUMMYFUNCTION("""COMPUTED_VALUE"""),7)</f>
        <v>7</v>
      </c>
      <c r="H1735" s="112" t="str">
        <f ca="1"/>
        <v/>
      </c>
      <c r="I1735" s="81" t="str">
        <f ca="1"/>
        <v/>
      </c>
    </row>
    <row r="1736" spans="1:9" ht="13.2">
      <c r="A1736" s="109" t="str">
        <f ca="1">IFERROR(__xludf.DUMMYFUNCTION("""COMPUTED_VALUE"""),"RFD")</f>
        <v>RFD</v>
      </c>
      <c r="B1736" s="108" t="str">
        <f ca="1">IFERROR(__xludf.DUMMYFUNCTION("""COMPUTED_VALUE"""),"Abby Deer")</f>
        <v>Abby Deer</v>
      </c>
      <c r="C1736" s="109">
        <f ca="1">IFERROR(__xludf.DUMMYFUNCTION("""COMPUTED_VALUE"""),18)</f>
        <v>18</v>
      </c>
      <c r="D1736" s="109" t="str">
        <f ca="1">IFERROR(__xludf.DUMMYFUNCTION("""COMPUTED_VALUE"""),"G")</f>
        <v>G</v>
      </c>
      <c r="E1736" s="110" t="str">
        <f ca="1">IFERROR(__xludf.DUMMYFUNCTION("""COMPUTED_VALUE"""),"S")</f>
        <v>S</v>
      </c>
      <c r="F1736" s="110" t="str">
        <f ca="1">IFERROR(__xludf.DUMMYFUNCTION("""COMPUTED_VALUE"""),"S")</f>
        <v>S</v>
      </c>
      <c r="G1736" s="110">
        <f ca="1">IFERROR(__xludf.DUMMYFUNCTION("""COMPUTED_VALUE"""),7)</f>
        <v>7</v>
      </c>
      <c r="H1736" s="112" t="str">
        <f ca="1"/>
        <v/>
      </c>
      <c r="I1736" s="81" t="str">
        <f ca="1"/>
        <v/>
      </c>
    </row>
    <row r="1737" spans="1:9" ht="13.2">
      <c r="A1737" s="109" t="str">
        <f ca="1">IFERROR(__xludf.DUMMYFUNCTION("""COMPUTED_VALUE"""),"RFD")</f>
        <v>RFD</v>
      </c>
      <c r="B1737" s="108" t="str">
        <f ca="1">IFERROR(__xludf.DUMMYFUNCTION("""COMPUTED_VALUE"""),"Heather Calderon")</f>
        <v>Heather Calderon</v>
      </c>
      <c r="C1737" s="109">
        <f ca="1">IFERROR(__xludf.DUMMYFUNCTION("""COMPUTED_VALUE"""),15)</f>
        <v>15</v>
      </c>
      <c r="D1737" s="109" t="str">
        <f ca="1">IFERROR(__xludf.DUMMYFUNCTION("""COMPUTED_VALUE"""),"G")</f>
        <v>G</v>
      </c>
      <c r="E1737" s="110" t="str">
        <f ca="1">IFERROR(__xludf.DUMMYFUNCTION("""COMPUTED_VALUE"""),"S")</f>
        <v>S</v>
      </c>
      <c r="F1737" s="110" t="str">
        <f ca="1">IFERROR(__xludf.DUMMYFUNCTION("""COMPUTED_VALUE"""),"S")</f>
        <v>S</v>
      </c>
      <c r="G1737" s="110">
        <f ca="1">IFERROR(__xludf.DUMMYFUNCTION("""COMPUTED_VALUE"""),7)</f>
        <v>7</v>
      </c>
      <c r="H1737" s="112" t="str">
        <f ca="1"/>
        <v/>
      </c>
      <c r="I1737" s="81" t="str">
        <f ca="1"/>
        <v/>
      </c>
    </row>
    <row r="1738" spans="1:9" ht="13.2">
      <c r="A1738" s="109" t="str">
        <f ca="1">IFERROR(__xludf.DUMMYFUNCTION("""COMPUTED_VALUE"""),"RH")</f>
        <v>RH</v>
      </c>
      <c r="B1738" s="108" t="str">
        <f ca="1">IFERROR(__xludf.DUMMYFUNCTION("""COMPUTED_VALUE"""),"Brodie Kuehne")</f>
        <v>Brodie Kuehne</v>
      </c>
      <c r="C1738" s="109">
        <f ca="1">IFERROR(__xludf.DUMMYFUNCTION("""COMPUTED_VALUE"""),7)</f>
        <v>7</v>
      </c>
      <c r="D1738" s="109" t="str">
        <f ca="1">IFERROR(__xludf.DUMMYFUNCTION("""COMPUTED_VALUE"""),"B")</f>
        <v>B</v>
      </c>
      <c r="E1738" s="110" t="str">
        <f ca="1">IFERROR(__xludf.DUMMYFUNCTION("""COMPUTED_VALUE"""),"F")</f>
        <v>F</v>
      </c>
      <c r="F1738" s="110" t="str">
        <f ca="1">IFERROR(__xludf.DUMMYFUNCTION("""COMPUTED_VALUE"""),"J")</f>
        <v>J</v>
      </c>
      <c r="G1738" s="110">
        <f ca="1">IFERROR(__xludf.DUMMYFUNCTION("""COMPUTED_VALUE"""),5)</f>
        <v>5</v>
      </c>
      <c r="H1738" s="112" t="str">
        <f ca="1"/>
        <v>42.35</v>
      </c>
      <c r="I1738" s="81">
        <f ca="1"/>
        <v>42.35</v>
      </c>
    </row>
    <row r="1739" spans="1:9" ht="13.2">
      <c r="A1739" s="109" t="str">
        <f ca="1">IFERROR(__xludf.DUMMYFUNCTION("""COMPUTED_VALUE"""),"RH")</f>
        <v>RH</v>
      </c>
      <c r="B1739" s="108" t="str">
        <f ca="1">IFERROR(__xludf.DUMMYFUNCTION("""COMPUTED_VALUE"""),"Cameron Sauchuk")</f>
        <v>Cameron Sauchuk</v>
      </c>
      <c r="C1739" s="109">
        <f ca="1">IFERROR(__xludf.DUMMYFUNCTION("""COMPUTED_VALUE"""),10)</f>
        <v>10</v>
      </c>
      <c r="D1739" s="109" t="str">
        <f ca="1">IFERROR(__xludf.DUMMYFUNCTION("""COMPUTED_VALUE"""),"B")</f>
        <v>B</v>
      </c>
      <c r="E1739" s="110" t="str">
        <f ca="1">IFERROR(__xludf.DUMMYFUNCTION("""COMPUTED_VALUE"""),"F")</f>
        <v>F</v>
      </c>
      <c r="F1739" s="110" t="str">
        <f ca="1">IFERROR(__xludf.DUMMYFUNCTION("""COMPUTED_VALUE"""),"J")</f>
        <v>J</v>
      </c>
      <c r="G1739" s="110">
        <f ca="1">IFERROR(__xludf.DUMMYFUNCTION("""COMPUTED_VALUE"""),5)</f>
        <v>5</v>
      </c>
      <c r="H1739" s="112" t="str">
        <f ca="1"/>
        <v/>
      </c>
      <c r="I1739" s="81" t="str">
        <f ca="1"/>
        <v/>
      </c>
    </row>
    <row r="1740" spans="1:9" ht="13.2">
      <c r="A1740" s="109" t="str">
        <f ca="1">IFERROR(__xludf.DUMMYFUNCTION("""COMPUTED_VALUE"""),"RH")</f>
        <v>RH</v>
      </c>
      <c r="B1740" s="108" t="str">
        <f ca="1">IFERROR(__xludf.DUMMYFUNCTION("""COMPUTED_VALUE"""),"Curt Berry")</f>
        <v>Curt Berry</v>
      </c>
      <c r="C1740" s="109">
        <f ca="1">IFERROR(__xludf.DUMMYFUNCTION("""COMPUTED_VALUE"""),8)</f>
        <v>8</v>
      </c>
      <c r="D1740" s="109" t="str">
        <f ca="1">IFERROR(__xludf.DUMMYFUNCTION("""COMPUTED_VALUE"""),"B")</f>
        <v>B</v>
      </c>
      <c r="E1740" s="110" t="str">
        <f ca="1">IFERROR(__xludf.DUMMYFUNCTION("""COMPUTED_VALUE"""),"F")</f>
        <v>F</v>
      </c>
      <c r="F1740" s="110" t="str">
        <f ca="1">IFERROR(__xludf.DUMMYFUNCTION("""COMPUTED_VALUE"""),"J")</f>
        <v>J</v>
      </c>
      <c r="G1740" s="110">
        <f ca="1">IFERROR(__xludf.DUMMYFUNCTION("""COMPUTED_VALUE"""),5)</f>
        <v>5</v>
      </c>
      <c r="H1740" s="112" t="str">
        <f ca="1"/>
        <v/>
      </c>
      <c r="I1740" s="81" t="str">
        <f ca="1"/>
        <v/>
      </c>
    </row>
    <row r="1741" spans="1:9" ht="13.2">
      <c r="A1741" s="109" t="str">
        <f ca="1">IFERROR(__xludf.DUMMYFUNCTION("""COMPUTED_VALUE"""),"RH")</f>
        <v>RH</v>
      </c>
      <c r="B1741" s="108" t="str">
        <f ca="1">IFERROR(__xludf.DUMMYFUNCTION("""COMPUTED_VALUE"""),"Gabe Newtson")</f>
        <v>Gabe Newtson</v>
      </c>
      <c r="C1741" s="109">
        <f ca="1">IFERROR(__xludf.DUMMYFUNCTION("""COMPUTED_VALUE"""),10)</f>
        <v>10</v>
      </c>
      <c r="D1741" s="109" t="str">
        <f ca="1">IFERROR(__xludf.DUMMYFUNCTION("""COMPUTED_VALUE"""),"B")</f>
        <v>B</v>
      </c>
      <c r="E1741" s="110" t="str">
        <f ca="1">IFERROR(__xludf.DUMMYFUNCTION("""COMPUTED_VALUE"""),"F")</f>
        <v>F</v>
      </c>
      <c r="F1741" s="110" t="str">
        <f ca="1">IFERROR(__xludf.DUMMYFUNCTION("""COMPUTED_VALUE"""),"J")</f>
        <v>J</v>
      </c>
      <c r="G1741" s="110">
        <f ca="1">IFERROR(__xludf.DUMMYFUNCTION("""COMPUTED_VALUE"""),5)</f>
        <v>5</v>
      </c>
      <c r="H1741" s="112" t="str">
        <f ca="1"/>
        <v/>
      </c>
      <c r="I1741" s="81" t="str">
        <f ca="1"/>
        <v/>
      </c>
    </row>
    <row r="1742" spans="1:9" ht="13.2">
      <c r="A1742" s="109" t="str">
        <f ca="1">IFERROR(__xludf.DUMMYFUNCTION("""COMPUTED_VALUE"""),"RH")</f>
        <v>RH</v>
      </c>
      <c r="B1742" s="108" t="str">
        <f ca="1">IFERROR(__xludf.DUMMYFUNCTION("""COMPUTED_VALUE"""),"Hudson Lynch")</f>
        <v>Hudson Lynch</v>
      </c>
      <c r="C1742" s="109">
        <f ca="1">IFERROR(__xludf.DUMMYFUNCTION("""COMPUTED_VALUE"""),10)</f>
        <v>10</v>
      </c>
      <c r="D1742" s="109" t="str">
        <f ca="1">IFERROR(__xludf.DUMMYFUNCTION("""COMPUTED_VALUE"""),"B")</f>
        <v>B</v>
      </c>
      <c r="E1742" s="110" t="str">
        <f ca="1">IFERROR(__xludf.DUMMYFUNCTION("""COMPUTED_VALUE"""),"F")</f>
        <v>F</v>
      </c>
      <c r="F1742" s="110" t="str">
        <f ca="1">IFERROR(__xludf.DUMMYFUNCTION("""COMPUTED_VALUE"""),"J")</f>
        <v>J</v>
      </c>
      <c r="G1742" s="110">
        <f ca="1">IFERROR(__xludf.DUMMYFUNCTION("""COMPUTED_VALUE"""),5)</f>
        <v>5</v>
      </c>
      <c r="H1742" s="112" t="str">
        <f ca="1"/>
        <v/>
      </c>
      <c r="I1742" s="81" t="str">
        <f ca="1"/>
        <v/>
      </c>
    </row>
    <row r="1743" spans="1:9" ht="13.2">
      <c r="A1743" s="109" t="str">
        <f ca="1">IFERROR(__xludf.DUMMYFUNCTION("""COMPUTED_VALUE"""),"RH")</f>
        <v>RH</v>
      </c>
      <c r="B1743" s="108" t="str">
        <f ca="1">IFERROR(__xludf.DUMMYFUNCTION("""COMPUTED_VALUE"""),"Jack Flanagan")</f>
        <v>Jack Flanagan</v>
      </c>
      <c r="C1743" s="109">
        <f ca="1">IFERROR(__xludf.DUMMYFUNCTION("""COMPUTED_VALUE"""),9)</f>
        <v>9</v>
      </c>
      <c r="D1743" s="109" t="str">
        <f ca="1">IFERROR(__xludf.DUMMYFUNCTION("""COMPUTED_VALUE"""),"B")</f>
        <v>B</v>
      </c>
      <c r="E1743" s="110" t="str">
        <f ca="1">IFERROR(__xludf.DUMMYFUNCTION("""COMPUTED_VALUE"""),"F")</f>
        <v>F</v>
      </c>
      <c r="F1743" s="110" t="str">
        <f ca="1">IFERROR(__xludf.DUMMYFUNCTION("""COMPUTED_VALUE"""),"J")</f>
        <v>J</v>
      </c>
      <c r="G1743" s="110">
        <f ca="1">IFERROR(__xludf.DUMMYFUNCTION("""COMPUTED_VALUE"""),5)</f>
        <v>5</v>
      </c>
      <c r="H1743" s="112" t="str">
        <f ca="1"/>
        <v>47.8</v>
      </c>
      <c r="I1743" s="81">
        <f ca="1"/>
        <v>47.8</v>
      </c>
    </row>
    <row r="1744" spans="1:9" ht="13.2">
      <c r="A1744" s="109" t="str">
        <f ca="1">IFERROR(__xludf.DUMMYFUNCTION("""COMPUTED_VALUE"""),"RH")</f>
        <v>RH</v>
      </c>
      <c r="B1744" s="108" t="str">
        <f ca="1">IFERROR(__xludf.DUMMYFUNCTION("""COMPUTED_VALUE"""),"Jackson Waller")</f>
        <v>Jackson Waller</v>
      </c>
      <c r="C1744" s="109">
        <f ca="1">IFERROR(__xludf.DUMMYFUNCTION("""COMPUTED_VALUE"""),9)</f>
        <v>9</v>
      </c>
      <c r="D1744" s="109" t="str">
        <f ca="1">IFERROR(__xludf.DUMMYFUNCTION("""COMPUTED_VALUE"""),"B")</f>
        <v>B</v>
      </c>
      <c r="E1744" s="110" t="str">
        <f ca="1">IFERROR(__xludf.DUMMYFUNCTION("""COMPUTED_VALUE"""),"F")</f>
        <v>F</v>
      </c>
      <c r="F1744" s="110" t="str">
        <f ca="1">IFERROR(__xludf.DUMMYFUNCTION("""COMPUTED_VALUE"""),"J")</f>
        <v>J</v>
      </c>
      <c r="G1744" s="110">
        <f ca="1">IFERROR(__xludf.DUMMYFUNCTION("""COMPUTED_VALUE"""),5)</f>
        <v>5</v>
      </c>
      <c r="H1744" s="112" t="str">
        <f ca="1"/>
        <v/>
      </c>
      <c r="I1744" s="81" t="str">
        <f ca="1"/>
        <v/>
      </c>
    </row>
    <row r="1745" spans="1:9" ht="13.2">
      <c r="A1745" s="109" t="str">
        <f ca="1">IFERROR(__xludf.DUMMYFUNCTION("""COMPUTED_VALUE"""),"RH")</f>
        <v>RH</v>
      </c>
      <c r="B1745" s="108" t="str">
        <f ca="1">IFERROR(__xludf.DUMMYFUNCTION("""COMPUTED_VALUE"""),"Jacob Forbes")</f>
        <v>Jacob Forbes</v>
      </c>
      <c r="C1745" s="109">
        <f ca="1">IFERROR(__xludf.DUMMYFUNCTION("""COMPUTED_VALUE"""),9)</f>
        <v>9</v>
      </c>
      <c r="D1745" s="109" t="str">
        <f ca="1">IFERROR(__xludf.DUMMYFUNCTION("""COMPUTED_VALUE"""),"B")</f>
        <v>B</v>
      </c>
      <c r="E1745" s="110" t="str">
        <f ca="1">IFERROR(__xludf.DUMMYFUNCTION("""COMPUTED_VALUE"""),"F")</f>
        <v>F</v>
      </c>
      <c r="F1745" s="110" t="str">
        <f ca="1">IFERROR(__xludf.DUMMYFUNCTION("""COMPUTED_VALUE"""),"J")</f>
        <v>J</v>
      </c>
      <c r="G1745" s="110">
        <f ca="1">IFERROR(__xludf.DUMMYFUNCTION("""COMPUTED_VALUE"""),5)</f>
        <v>5</v>
      </c>
      <c r="H1745" s="112" t="str">
        <f ca="1"/>
        <v/>
      </c>
      <c r="I1745" s="81" t="str">
        <f ca="1"/>
        <v/>
      </c>
    </row>
    <row r="1746" spans="1:9" ht="13.2">
      <c r="A1746" s="109" t="str">
        <f ca="1">IFERROR(__xludf.DUMMYFUNCTION("""COMPUTED_VALUE"""),"RH")</f>
        <v>RH</v>
      </c>
      <c r="B1746" s="108" t="str">
        <f ca="1">IFERROR(__xludf.DUMMYFUNCTION("""COMPUTED_VALUE"""),"Jacob Hurt")</f>
        <v>Jacob Hurt</v>
      </c>
      <c r="C1746" s="109">
        <f ca="1">IFERROR(__xludf.DUMMYFUNCTION("""COMPUTED_VALUE"""),10)</f>
        <v>10</v>
      </c>
      <c r="D1746" s="109" t="str">
        <f ca="1">IFERROR(__xludf.DUMMYFUNCTION("""COMPUTED_VALUE"""),"B")</f>
        <v>B</v>
      </c>
      <c r="E1746" s="110" t="str">
        <f ca="1">IFERROR(__xludf.DUMMYFUNCTION("""COMPUTED_VALUE"""),"F")</f>
        <v>F</v>
      </c>
      <c r="F1746" s="110" t="str">
        <f ca="1">IFERROR(__xludf.DUMMYFUNCTION("""COMPUTED_VALUE"""),"J")</f>
        <v>J</v>
      </c>
      <c r="G1746" s="110">
        <f ca="1">IFERROR(__xludf.DUMMYFUNCTION("""COMPUTED_VALUE"""),5)</f>
        <v>5</v>
      </c>
      <c r="H1746" s="112" t="str">
        <f ca="1"/>
        <v>51.85</v>
      </c>
      <c r="I1746" s="81">
        <f ca="1"/>
        <v>51.85</v>
      </c>
    </row>
    <row r="1747" spans="1:9" ht="13.2">
      <c r="A1747" s="109" t="str">
        <f ca="1">IFERROR(__xludf.DUMMYFUNCTION("""COMPUTED_VALUE"""),"RH")</f>
        <v>RH</v>
      </c>
      <c r="B1747" s="108" t="str">
        <f ca="1">IFERROR(__xludf.DUMMYFUNCTION("""COMPUTED_VALUE"""),"Leo Yarmolovich")</f>
        <v>Leo Yarmolovich</v>
      </c>
      <c r="C1747" s="109">
        <f ca="1">IFERROR(__xludf.DUMMYFUNCTION("""COMPUTED_VALUE"""),7)</f>
        <v>7</v>
      </c>
      <c r="D1747" s="109" t="str">
        <f ca="1">IFERROR(__xludf.DUMMYFUNCTION("""COMPUTED_VALUE"""),"B")</f>
        <v>B</v>
      </c>
      <c r="E1747" s="110" t="str">
        <f ca="1">IFERROR(__xludf.DUMMYFUNCTION("""COMPUTED_VALUE"""),"F")</f>
        <v>F</v>
      </c>
      <c r="F1747" s="110" t="str">
        <f ca="1">IFERROR(__xludf.DUMMYFUNCTION("""COMPUTED_VALUE"""),"J")</f>
        <v>J</v>
      </c>
      <c r="G1747" s="110">
        <f ca="1">IFERROR(__xludf.DUMMYFUNCTION("""COMPUTED_VALUE"""),5)</f>
        <v>5</v>
      </c>
      <c r="H1747" s="112" t="str">
        <f ca="1"/>
        <v/>
      </c>
      <c r="I1747" s="81" t="str">
        <f ca="1"/>
        <v/>
      </c>
    </row>
    <row r="1748" spans="1:9" ht="13.2">
      <c r="A1748" s="109" t="str">
        <f ca="1">IFERROR(__xludf.DUMMYFUNCTION("""COMPUTED_VALUE"""),"RH")</f>
        <v>RH</v>
      </c>
      <c r="B1748" s="108" t="str">
        <f ca="1">IFERROR(__xludf.DUMMYFUNCTION("""COMPUTED_VALUE"""),"Oliver Matthews")</f>
        <v>Oliver Matthews</v>
      </c>
      <c r="C1748" s="109">
        <f ca="1">IFERROR(__xludf.DUMMYFUNCTION("""COMPUTED_VALUE"""),10)</f>
        <v>10</v>
      </c>
      <c r="D1748" s="109" t="str">
        <f ca="1">IFERROR(__xludf.DUMMYFUNCTION("""COMPUTED_VALUE"""),"B")</f>
        <v>B</v>
      </c>
      <c r="E1748" s="110" t="str">
        <f ca="1">IFERROR(__xludf.DUMMYFUNCTION("""COMPUTED_VALUE"""),"F")</f>
        <v>F</v>
      </c>
      <c r="F1748" s="110" t="str">
        <f ca="1">IFERROR(__xludf.DUMMYFUNCTION("""COMPUTED_VALUE"""),"J")</f>
        <v>J</v>
      </c>
      <c r="G1748" s="110">
        <f ca="1">IFERROR(__xludf.DUMMYFUNCTION("""COMPUTED_VALUE"""),5)</f>
        <v>5</v>
      </c>
      <c r="H1748" s="112" t="str">
        <f ca="1"/>
        <v>27.9</v>
      </c>
      <c r="I1748" s="81">
        <f ca="1"/>
        <v>27.9</v>
      </c>
    </row>
    <row r="1749" spans="1:9" ht="13.2">
      <c r="A1749" s="109" t="str">
        <f ca="1">IFERROR(__xludf.DUMMYFUNCTION("""COMPUTED_VALUE"""),"RH")</f>
        <v>RH</v>
      </c>
      <c r="B1749" s="108" t="str">
        <f ca="1">IFERROR(__xludf.DUMMYFUNCTION("""COMPUTED_VALUE"""),"Roman Garza")</f>
        <v>Roman Garza</v>
      </c>
      <c r="C1749" s="109">
        <f ca="1">IFERROR(__xludf.DUMMYFUNCTION("""COMPUTED_VALUE"""),8)</f>
        <v>8</v>
      </c>
      <c r="D1749" s="109" t="str">
        <f ca="1">IFERROR(__xludf.DUMMYFUNCTION("""COMPUTED_VALUE"""),"B")</f>
        <v>B</v>
      </c>
      <c r="E1749" s="110" t="str">
        <f ca="1">IFERROR(__xludf.DUMMYFUNCTION("""COMPUTED_VALUE"""),"F")</f>
        <v>F</v>
      </c>
      <c r="F1749" s="110" t="str">
        <f ca="1">IFERROR(__xludf.DUMMYFUNCTION("""COMPUTED_VALUE"""),"J")</f>
        <v>J</v>
      </c>
      <c r="G1749" s="110">
        <f ca="1">IFERROR(__xludf.DUMMYFUNCTION("""COMPUTED_VALUE"""),5)</f>
        <v>5</v>
      </c>
      <c r="H1749" s="112" t="str">
        <f ca="1"/>
        <v>22.4</v>
      </c>
      <c r="I1749" s="81">
        <f ca="1"/>
        <v>22.4</v>
      </c>
    </row>
    <row r="1750" spans="1:9" ht="13.2">
      <c r="A1750" s="109" t="str">
        <f ca="1">IFERROR(__xludf.DUMMYFUNCTION("""COMPUTED_VALUE"""),"RH")</f>
        <v>RH</v>
      </c>
      <c r="B1750" s="108" t="str">
        <f ca="1">IFERROR(__xludf.DUMMYFUNCTION("""COMPUTED_VALUE"""),"Saxon Newell")</f>
        <v>Saxon Newell</v>
      </c>
      <c r="C1750" s="109">
        <f ca="1">IFERROR(__xludf.DUMMYFUNCTION("""COMPUTED_VALUE"""),7)</f>
        <v>7</v>
      </c>
      <c r="D1750" s="109" t="str">
        <f ca="1">IFERROR(__xludf.DUMMYFUNCTION("""COMPUTED_VALUE"""),"B")</f>
        <v>B</v>
      </c>
      <c r="E1750" s="110" t="str">
        <f ca="1">IFERROR(__xludf.DUMMYFUNCTION("""COMPUTED_VALUE"""),"F")</f>
        <v>F</v>
      </c>
      <c r="F1750" s="110" t="str">
        <f ca="1">IFERROR(__xludf.DUMMYFUNCTION("""COMPUTED_VALUE"""),"J")</f>
        <v>J</v>
      </c>
      <c r="G1750" s="110">
        <f ca="1">IFERROR(__xludf.DUMMYFUNCTION("""COMPUTED_VALUE"""),5)</f>
        <v>5</v>
      </c>
      <c r="H1750" s="112" t="str">
        <f ca="1"/>
        <v>30.4</v>
      </c>
      <c r="I1750" s="81">
        <f ca="1"/>
        <v>30.4</v>
      </c>
    </row>
    <row r="1751" spans="1:9" ht="13.2">
      <c r="A1751" s="109" t="str">
        <f ca="1">IFERROR(__xludf.DUMMYFUNCTION("""COMPUTED_VALUE"""),"RH")</f>
        <v>RH</v>
      </c>
      <c r="B1751" s="108" t="str">
        <f ca="1">IFERROR(__xludf.DUMMYFUNCTION("""COMPUTED_VALUE"""),"Winston Morgan")</f>
        <v>Winston Morgan</v>
      </c>
      <c r="C1751" s="109">
        <f ca="1">IFERROR(__xludf.DUMMYFUNCTION("""COMPUTED_VALUE"""),5)</f>
        <v>5</v>
      </c>
      <c r="D1751" s="109" t="str">
        <f ca="1">IFERROR(__xludf.DUMMYFUNCTION("""COMPUTED_VALUE"""),"B")</f>
        <v>B</v>
      </c>
      <c r="E1751" s="110" t="str">
        <f ca="1">IFERROR(__xludf.DUMMYFUNCTION("""COMPUTED_VALUE"""),"F")</f>
        <v>F</v>
      </c>
      <c r="F1751" s="110" t="str">
        <f ca="1">IFERROR(__xludf.DUMMYFUNCTION("""COMPUTED_VALUE"""),"J")</f>
        <v>J</v>
      </c>
      <c r="G1751" s="110">
        <f ca="1">IFERROR(__xludf.DUMMYFUNCTION("""COMPUTED_VALUE"""),5)</f>
        <v>5</v>
      </c>
      <c r="H1751" s="112" t="str">
        <f ca="1"/>
        <v>21.05</v>
      </c>
      <c r="I1751" s="81">
        <f ca="1"/>
        <v>21.05</v>
      </c>
    </row>
    <row r="1752" spans="1:9" ht="13.2">
      <c r="A1752" s="109" t="str">
        <f ca="1">IFERROR(__xludf.DUMMYFUNCTION("""COMPUTED_VALUE"""),"RH")</f>
        <v>RH</v>
      </c>
      <c r="B1752" s="108" t="str">
        <f ca="1">IFERROR(__xludf.DUMMYFUNCTION("""COMPUTED_VALUE"""),"Alex Morgan")</f>
        <v>Alex Morgan</v>
      </c>
      <c r="C1752" s="109">
        <f ca="1">IFERROR(__xludf.DUMMYFUNCTION("""COMPUTED_VALUE"""),8)</f>
        <v>8</v>
      </c>
      <c r="D1752" s="109" t="str">
        <f ca="1">IFERROR(__xludf.DUMMYFUNCTION("""COMPUTED_VALUE"""),"G")</f>
        <v>G</v>
      </c>
      <c r="E1752" s="110" t="str">
        <f ca="1">IFERROR(__xludf.DUMMYFUNCTION("""COMPUTED_VALUE"""),"F")</f>
        <v>F</v>
      </c>
      <c r="F1752" s="110" t="str">
        <f ca="1">IFERROR(__xludf.DUMMYFUNCTION("""COMPUTED_VALUE"""),"J")</f>
        <v>J</v>
      </c>
      <c r="G1752" s="110">
        <f ca="1">IFERROR(__xludf.DUMMYFUNCTION("""COMPUTED_VALUE"""),5)</f>
        <v>5</v>
      </c>
      <c r="H1752" s="112" t="str">
        <f ca="1"/>
        <v>54.3</v>
      </c>
      <c r="I1752" s="81">
        <f ca="1"/>
        <v>54.3</v>
      </c>
    </row>
    <row r="1753" spans="1:9" ht="13.2">
      <c r="A1753" s="109" t="str">
        <f ca="1">IFERROR(__xludf.DUMMYFUNCTION("""COMPUTED_VALUE"""),"RH")</f>
        <v>RH</v>
      </c>
      <c r="B1753" s="108" t="str">
        <f ca="1">IFERROR(__xludf.DUMMYFUNCTION("""COMPUTED_VALUE"""),"Alysa Gaona")</f>
        <v>Alysa Gaona</v>
      </c>
      <c r="C1753" s="109">
        <f ca="1">IFERROR(__xludf.DUMMYFUNCTION("""COMPUTED_VALUE"""),10)</f>
        <v>10</v>
      </c>
      <c r="D1753" s="109" t="str">
        <f ca="1">IFERROR(__xludf.DUMMYFUNCTION("""COMPUTED_VALUE"""),"G")</f>
        <v>G</v>
      </c>
      <c r="E1753" s="110" t="str">
        <f ca="1">IFERROR(__xludf.DUMMYFUNCTION("""COMPUTED_VALUE"""),"F")</f>
        <v>F</v>
      </c>
      <c r="F1753" s="110" t="str">
        <f ca="1">IFERROR(__xludf.DUMMYFUNCTION("""COMPUTED_VALUE"""),"J")</f>
        <v>J</v>
      </c>
      <c r="G1753" s="110">
        <f ca="1">IFERROR(__xludf.DUMMYFUNCTION("""COMPUTED_VALUE"""),5)</f>
        <v>5</v>
      </c>
      <c r="H1753" s="112" t="str">
        <f ca="1"/>
        <v/>
      </c>
      <c r="I1753" s="81" t="str">
        <f ca="1"/>
        <v/>
      </c>
    </row>
    <row r="1754" spans="1:9" ht="13.2">
      <c r="A1754" s="109" t="str">
        <f ca="1">IFERROR(__xludf.DUMMYFUNCTION("""COMPUTED_VALUE"""),"RH")</f>
        <v>RH</v>
      </c>
      <c r="B1754" s="108" t="str">
        <f ca="1">IFERROR(__xludf.DUMMYFUNCTION("""COMPUTED_VALUE"""),"Amber Harrison")</f>
        <v>Amber Harrison</v>
      </c>
      <c r="C1754" s="109">
        <f ca="1">IFERROR(__xludf.DUMMYFUNCTION("""COMPUTED_VALUE"""),10)</f>
        <v>10</v>
      </c>
      <c r="D1754" s="109" t="str">
        <f ca="1">IFERROR(__xludf.DUMMYFUNCTION("""COMPUTED_VALUE"""),"G")</f>
        <v>G</v>
      </c>
      <c r="E1754" s="110" t="str">
        <f ca="1">IFERROR(__xludf.DUMMYFUNCTION("""COMPUTED_VALUE"""),"F")</f>
        <v>F</v>
      </c>
      <c r="F1754" s="110" t="str">
        <f ca="1">IFERROR(__xludf.DUMMYFUNCTION("""COMPUTED_VALUE"""),"J")</f>
        <v>J</v>
      </c>
      <c r="G1754" s="110">
        <f ca="1">IFERROR(__xludf.DUMMYFUNCTION("""COMPUTED_VALUE"""),5)</f>
        <v>5</v>
      </c>
      <c r="H1754" s="112" t="str">
        <f ca="1"/>
        <v/>
      </c>
      <c r="I1754" s="81" t="str">
        <f ca="1"/>
        <v/>
      </c>
    </row>
    <row r="1755" spans="1:9" ht="13.2">
      <c r="A1755" s="109" t="str">
        <f ca="1">IFERROR(__xludf.DUMMYFUNCTION("""COMPUTED_VALUE"""),"RH")</f>
        <v>RH</v>
      </c>
      <c r="B1755" s="108" t="str">
        <f ca="1">IFERROR(__xludf.DUMMYFUNCTION("""COMPUTED_VALUE"""),"Avery Schmitz")</f>
        <v>Avery Schmitz</v>
      </c>
      <c r="C1755" s="109">
        <f ca="1">IFERROR(__xludf.DUMMYFUNCTION("""COMPUTED_VALUE"""),8)</f>
        <v>8</v>
      </c>
      <c r="D1755" s="109" t="str">
        <f ca="1">IFERROR(__xludf.DUMMYFUNCTION("""COMPUTED_VALUE"""),"G")</f>
        <v>G</v>
      </c>
      <c r="E1755" s="110" t="str">
        <f ca="1">IFERROR(__xludf.DUMMYFUNCTION("""COMPUTED_VALUE"""),"F")</f>
        <v>F</v>
      </c>
      <c r="F1755" s="110" t="str">
        <f ca="1">IFERROR(__xludf.DUMMYFUNCTION("""COMPUTED_VALUE"""),"J")</f>
        <v>J</v>
      </c>
      <c r="G1755" s="110">
        <f ca="1">IFERROR(__xludf.DUMMYFUNCTION("""COMPUTED_VALUE"""),5)</f>
        <v>5</v>
      </c>
      <c r="H1755" s="112" t="str">
        <f ca="1"/>
        <v>16.6</v>
      </c>
      <c r="I1755" s="81">
        <f ca="1"/>
        <v>16.600000000000001</v>
      </c>
    </row>
    <row r="1756" spans="1:9" ht="13.2">
      <c r="A1756" s="109" t="str">
        <f ca="1">IFERROR(__xludf.DUMMYFUNCTION("""COMPUTED_VALUE"""),"RH")</f>
        <v>RH</v>
      </c>
      <c r="B1756" s="108" t="str">
        <f ca="1">IFERROR(__xludf.DUMMYFUNCTION("""COMPUTED_VALUE"""),"Caroline Berry")</f>
        <v>Caroline Berry</v>
      </c>
      <c r="C1756" s="109">
        <f ca="1">IFERROR(__xludf.DUMMYFUNCTION("""COMPUTED_VALUE"""),10)</f>
        <v>10</v>
      </c>
      <c r="D1756" s="109" t="str">
        <f ca="1">IFERROR(__xludf.DUMMYFUNCTION("""COMPUTED_VALUE"""),"G")</f>
        <v>G</v>
      </c>
      <c r="E1756" s="110" t="str">
        <f ca="1">IFERROR(__xludf.DUMMYFUNCTION("""COMPUTED_VALUE"""),"F")</f>
        <v>F</v>
      </c>
      <c r="F1756" s="110" t="str">
        <f ca="1">IFERROR(__xludf.DUMMYFUNCTION("""COMPUTED_VALUE"""),"J")</f>
        <v>J</v>
      </c>
      <c r="G1756" s="110">
        <f ca="1">IFERROR(__xludf.DUMMYFUNCTION("""COMPUTED_VALUE"""),5)</f>
        <v>5</v>
      </c>
      <c r="H1756" s="112" t="str">
        <f ca="1"/>
        <v/>
      </c>
      <c r="I1756" s="81" t="str">
        <f ca="1"/>
        <v/>
      </c>
    </row>
    <row r="1757" spans="1:9" ht="13.2">
      <c r="A1757" s="109" t="str">
        <f ca="1">IFERROR(__xludf.DUMMYFUNCTION("""COMPUTED_VALUE"""),"RH")</f>
        <v>RH</v>
      </c>
      <c r="B1757" s="108" t="str">
        <f ca="1">IFERROR(__xludf.DUMMYFUNCTION("""COMPUTED_VALUE"""),"Claire Flanagan")</f>
        <v>Claire Flanagan</v>
      </c>
      <c r="C1757" s="109">
        <f ca="1">IFERROR(__xludf.DUMMYFUNCTION("""COMPUTED_VALUE"""),7)</f>
        <v>7</v>
      </c>
      <c r="D1757" s="109" t="str">
        <f ca="1">IFERROR(__xludf.DUMMYFUNCTION("""COMPUTED_VALUE"""),"G")</f>
        <v>G</v>
      </c>
      <c r="E1757" s="110" t="str">
        <f ca="1">IFERROR(__xludf.DUMMYFUNCTION("""COMPUTED_VALUE"""),"F")</f>
        <v>F</v>
      </c>
      <c r="F1757" s="110" t="str">
        <f ca="1">IFERROR(__xludf.DUMMYFUNCTION("""COMPUTED_VALUE"""),"J")</f>
        <v>J</v>
      </c>
      <c r="G1757" s="110">
        <f ca="1">IFERROR(__xludf.DUMMYFUNCTION("""COMPUTED_VALUE"""),5)</f>
        <v>5</v>
      </c>
      <c r="H1757" s="112" t="str">
        <f ca="1"/>
        <v>38.6</v>
      </c>
      <c r="I1757" s="81">
        <f ca="1"/>
        <v>38.6</v>
      </c>
    </row>
    <row r="1758" spans="1:9" ht="13.2">
      <c r="A1758" s="109" t="str">
        <f ca="1">IFERROR(__xludf.DUMMYFUNCTION("""COMPUTED_VALUE"""),"RH")</f>
        <v>RH</v>
      </c>
      <c r="B1758" s="108" t="str">
        <f ca="1">IFERROR(__xludf.DUMMYFUNCTION("""COMPUTED_VALUE"""),"Elena Timmermann")</f>
        <v>Elena Timmermann</v>
      </c>
      <c r="C1758" s="109">
        <f ca="1">IFERROR(__xludf.DUMMYFUNCTION("""COMPUTED_VALUE"""),10)</f>
        <v>10</v>
      </c>
      <c r="D1758" s="109" t="str">
        <f ca="1">IFERROR(__xludf.DUMMYFUNCTION("""COMPUTED_VALUE"""),"G")</f>
        <v>G</v>
      </c>
      <c r="E1758" s="110" t="str">
        <f ca="1">IFERROR(__xludf.DUMMYFUNCTION("""COMPUTED_VALUE"""),"F")</f>
        <v>F</v>
      </c>
      <c r="F1758" s="110" t="str">
        <f ca="1">IFERROR(__xludf.DUMMYFUNCTION("""COMPUTED_VALUE"""),"J")</f>
        <v>J</v>
      </c>
      <c r="G1758" s="110">
        <f ca="1">IFERROR(__xludf.DUMMYFUNCTION("""COMPUTED_VALUE"""),5)</f>
        <v>5</v>
      </c>
      <c r="H1758" s="112" t="str">
        <f ca="1"/>
        <v/>
      </c>
      <c r="I1758" s="81" t="str">
        <f ca="1"/>
        <v/>
      </c>
    </row>
    <row r="1759" spans="1:9" ht="13.2">
      <c r="A1759" s="109" t="str">
        <f ca="1">IFERROR(__xludf.DUMMYFUNCTION("""COMPUTED_VALUE"""),"RH")</f>
        <v>RH</v>
      </c>
      <c r="B1759" s="108" t="str">
        <f ca="1">IFERROR(__xludf.DUMMYFUNCTION("""COMPUTED_VALUE"""),"Evie Kerelchuk")</f>
        <v>Evie Kerelchuk</v>
      </c>
      <c r="C1759" s="109">
        <f ca="1">IFERROR(__xludf.DUMMYFUNCTION("""COMPUTED_VALUE"""),8)</f>
        <v>8</v>
      </c>
      <c r="D1759" s="109" t="str">
        <f ca="1">IFERROR(__xludf.DUMMYFUNCTION("""COMPUTED_VALUE"""),"G")</f>
        <v>G</v>
      </c>
      <c r="E1759" s="110" t="str">
        <f ca="1">IFERROR(__xludf.DUMMYFUNCTION("""COMPUTED_VALUE"""),"F")</f>
        <v>F</v>
      </c>
      <c r="F1759" s="110" t="str">
        <f ca="1">IFERROR(__xludf.DUMMYFUNCTION("""COMPUTED_VALUE"""),"J")</f>
        <v>J</v>
      </c>
      <c r="G1759" s="110">
        <f ca="1">IFERROR(__xludf.DUMMYFUNCTION("""COMPUTED_VALUE"""),5)</f>
        <v>5</v>
      </c>
      <c r="H1759" s="112" t="str">
        <f ca="1"/>
        <v>45.5</v>
      </c>
      <c r="I1759" s="81">
        <f ca="1"/>
        <v>45.5</v>
      </c>
    </row>
    <row r="1760" spans="1:9" ht="13.2">
      <c r="A1760" s="109" t="str">
        <f ca="1">IFERROR(__xludf.DUMMYFUNCTION("""COMPUTED_VALUE"""),"RH")</f>
        <v>RH</v>
      </c>
      <c r="B1760" s="108" t="str">
        <f ca="1">IFERROR(__xludf.DUMMYFUNCTION("""COMPUTED_VALUE"""),"Hannah Walker")</f>
        <v>Hannah Walker</v>
      </c>
      <c r="C1760" s="109">
        <f ca="1">IFERROR(__xludf.DUMMYFUNCTION("""COMPUTED_VALUE"""),9)</f>
        <v>9</v>
      </c>
      <c r="D1760" s="109" t="str">
        <f ca="1">IFERROR(__xludf.DUMMYFUNCTION("""COMPUTED_VALUE"""),"G")</f>
        <v>G</v>
      </c>
      <c r="E1760" s="110" t="str">
        <f ca="1">IFERROR(__xludf.DUMMYFUNCTION("""COMPUTED_VALUE"""),"F")</f>
        <v>F</v>
      </c>
      <c r="F1760" s="110" t="str">
        <f ca="1">IFERROR(__xludf.DUMMYFUNCTION("""COMPUTED_VALUE"""),"J")</f>
        <v>J</v>
      </c>
      <c r="G1760" s="110">
        <f ca="1">IFERROR(__xludf.DUMMYFUNCTION("""COMPUTED_VALUE"""),5)</f>
        <v>5</v>
      </c>
      <c r="H1760" s="112" t="str">
        <f ca="1"/>
        <v/>
      </c>
      <c r="I1760" s="81" t="str">
        <f ca="1"/>
        <v/>
      </c>
    </row>
    <row r="1761" spans="1:9" ht="13.2">
      <c r="A1761" s="109" t="str">
        <f ca="1">IFERROR(__xludf.DUMMYFUNCTION("""COMPUTED_VALUE"""),"RH")</f>
        <v>RH</v>
      </c>
      <c r="B1761" s="108" t="str">
        <f ca="1">IFERROR(__xludf.DUMMYFUNCTION("""COMPUTED_VALUE"""),"Isabel Kerelchuk")</f>
        <v>Isabel Kerelchuk</v>
      </c>
      <c r="C1761" s="109">
        <f ca="1">IFERROR(__xludf.DUMMYFUNCTION("""COMPUTED_VALUE"""),8)</f>
        <v>8</v>
      </c>
      <c r="D1761" s="109" t="str">
        <f ca="1">IFERROR(__xludf.DUMMYFUNCTION("""COMPUTED_VALUE"""),"G")</f>
        <v>G</v>
      </c>
      <c r="E1761" s="110" t="str">
        <f ca="1">IFERROR(__xludf.DUMMYFUNCTION("""COMPUTED_VALUE"""),"F")</f>
        <v>F</v>
      </c>
      <c r="F1761" s="110" t="str">
        <f ca="1">IFERROR(__xludf.DUMMYFUNCTION("""COMPUTED_VALUE"""),"J")</f>
        <v>J</v>
      </c>
      <c r="G1761" s="110">
        <f ca="1">IFERROR(__xludf.DUMMYFUNCTION("""COMPUTED_VALUE"""),5)</f>
        <v>5</v>
      </c>
      <c r="H1761" s="112" t="str">
        <f ca="1"/>
        <v>33.55</v>
      </c>
      <c r="I1761" s="81">
        <f ca="1"/>
        <v>33.549999999999997</v>
      </c>
    </row>
    <row r="1762" spans="1:9" ht="13.2">
      <c r="A1762" s="109" t="str">
        <f ca="1">IFERROR(__xludf.DUMMYFUNCTION("""COMPUTED_VALUE"""),"RH")</f>
        <v>RH</v>
      </c>
      <c r="B1762" s="108" t="str">
        <f ca="1">IFERROR(__xludf.DUMMYFUNCTION("""COMPUTED_VALUE"""),"Izzy Matthews")</f>
        <v>Izzy Matthews</v>
      </c>
      <c r="C1762" s="109">
        <f ca="1">IFERROR(__xludf.DUMMYFUNCTION("""COMPUTED_VALUE"""),8)</f>
        <v>8</v>
      </c>
      <c r="D1762" s="109" t="str">
        <f ca="1">IFERROR(__xludf.DUMMYFUNCTION("""COMPUTED_VALUE"""),"G")</f>
        <v>G</v>
      </c>
      <c r="E1762" s="110" t="str">
        <f ca="1">IFERROR(__xludf.DUMMYFUNCTION("""COMPUTED_VALUE"""),"F")</f>
        <v>F</v>
      </c>
      <c r="F1762" s="110" t="str">
        <f ca="1">IFERROR(__xludf.DUMMYFUNCTION("""COMPUTED_VALUE"""),"J")</f>
        <v>J</v>
      </c>
      <c r="G1762" s="110">
        <f ca="1">IFERROR(__xludf.DUMMYFUNCTION("""COMPUTED_VALUE"""),5)</f>
        <v>5</v>
      </c>
      <c r="H1762" s="112" t="str">
        <f ca="1"/>
        <v>37.35</v>
      </c>
      <c r="I1762" s="81">
        <f ca="1"/>
        <v>37.35</v>
      </c>
    </row>
    <row r="1763" spans="1:9" ht="13.2">
      <c r="A1763" s="109" t="str">
        <f ca="1">IFERROR(__xludf.DUMMYFUNCTION("""COMPUTED_VALUE"""),"RH")</f>
        <v>RH</v>
      </c>
      <c r="B1763" s="108" t="str">
        <f ca="1">IFERROR(__xludf.DUMMYFUNCTION("""COMPUTED_VALUE"""),"Lily Boger")</f>
        <v>Lily Boger</v>
      </c>
      <c r="C1763" s="109">
        <f ca="1">IFERROR(__xludf.DUMMYFUNCTION("""COMPUTED_VALUE"""),7)</f>
        <v>7</v>
      </c>
      <c r="D1763" s="109" t="str">
        <f ca="1">IFERROR(__xludf.DUMMYFUNCTION("""COMPUTED_VALUE"""),"G")</f>
        <v>G</v>
      </c>
      <c r="E1763" s="110" t="str">
        <f ca="1">IFERROR(__xludf.DUMMYFUNCTION("""COMPUTED_VALUE"""),"F")</f>
        <v>F</v>
      </c>
      <c r="F1763" s="110" t="str">
        <f ca="1">IFERROR(__xludf.DUMMYFUNCTION("""COMPUTED_VALUE"""),"J")</f>
        <v>J</v>
      </c>
      <c r="G1763" s="110">
        <f ca="1">IFERROR(__xludf.DUMMYFUNCTION("""COMPUTED_VALUE"""),5)</f>
        <v>5</v>
      </c>
      <c r="H1763" s="112" t="str">
        <f ca="1"/>
        <v>11</v>
      </c>
      <c r="I1763" s="81">
        <f ca="1"/>
        <v>11</v>
      </c>
    </row>
    <row r="1764" spans="1:9" ht="13.2">
      <c r="A1764" s="109" t="str">
        <f ca="1">IFERROR(__xludf.DUMMYFUNCTION("""COMPUTED_VALUE"""),"RH")</f>
        <v>RH</v>
      </c>
      <c r="B1764" s="108" t="str">
        <f ca="1">IFERROR(__xludf.DUMMYFUNCTION("""COMPUTED_VALUE"""),"Liv Freeman")</f>
        <v>Liv Freeman</v>
      </c>
      <c r="C1764" s="109">
        <f ca="1">IFERROR(__xludf.DUMMYFUNCTION("""COMPUTED_VALUE"""),9)</f>
        <v>9</v>
      </c>
      <c r="D1764" s="109" t="str">
        <f ca="1">IFERROR(__xludf.DUMMYFUNCTION("""COMPUTED_VALUE"""),"G")</f>
        <v>G</v>
      </c>
      <c r="E1764" s="110" t="str">
        <f ca="1">IFERROR(__xludf.DUMMYFUNCTION("""COMPUTED_VALUE"""),"F")</f>
        <v>F</v>
      </c>
      <c r="F1764" s="110" t="str">
        <f ca="1">IFERROR(__xludf.DUMMYFUNCTION("""COMPUTED_VALUE"""),"J")</f>
        <v>J</v>
      </c>
      <c r="G1764" s="110">
        <f ca="1">IFERROR(__xludf.DUMMYFUNCTION("""COMPUTED_VALUE"""),5)</f>
        <v>5</v>
      </c>
      <c r="H1764" s="112" t="str">
        <f ca="1"/>
        <v>48.1</v>
      </c>
      <c r="I1764" s="81">
        <f ca="1"/>
        <v>48.1</v>
      </c>
    </row>
    <row r="1765" spans="1:9" ht="13.2">
      <c r="A1765" s="109" t="str">
        <f ca="1">IFERROR(__xludf.DUMMYFUNCTION("""COMPUTED_VALUE"""),"RH")</f>
        <v>RH</v>
      </c>
      <c r="B1765" s="108" t="str">
        <f ca="1">IFERROR(__xludf.DUMMYFUNCTION("""COMPUTED_VALUE"""),"Natasha Sauchuk")</f>
        <v>Natasha Sauchuk</v>
      </c>
      <c r="C1765" s="109">
        <f ca="1">IFERROR(__xludf.DUMMYFUNCTION("""COMPUTED_VALUE"""),8)</f>
        <v>8</v>
      </c>
      <c r="D1765" s="109" t="str">
        <f ca="1">IFERROR(__xludf.DUMMYFUNCTION("""COMPUTED_VALUE"""),"G")</f>
        <v>G</v>
      </c>
      <c r="E1765" s="110" t="str">
        <f ca="1">IFERROR(__xludf.DUMMYFUNCTION("""COMPUTED_VALUE"""),"F")</f>
        <v>F</v>
      </c>
      <c r="F1765" s="110" t="str">
        <f ca="1">IFERROR(__xludf.DUMMYFUNCTION("""COMPUTED_VALUE"""),"J")</f>
        <v>J</v>
      </c>
      <c r="G1765" s="110">
        <f ca="1">IFERROR(__xludf.DUMMYFUNCTION("""COMPUTED_VALUE"""),5)</f>
        <v>5</v>
      </c>
      <c r="H1765" s="112" t="str">
        <f ca="1"/>
        <v>29.5</v>
      </c>
      <c r="I1765" s="81">
        <f ca="1"/>
        <v>29.5</v>
      </c>
    </row>
    <row r="1766" spans="1:9" ht="13.2">
      <c r="A1766" s="109" t="str">
        <f ca="1">IFERROR(__xludf.DUMMYFUNCTION("""COMPUTED_VALUE"""),"RH")</f>
        <v>RH</v>
      </c>
      <c r="B1766" s="108" t="str">
        <f ca="1">IFERROR(__xludf.DUMMYFUNCTION("""COMPUTED_VALUE"""),"Olivia Timmermann")</f>
        <v>Olivia Timmermann</v>
      </c>
      <c r="C1766" s="109">
        <f ca="1">IFERROR(__xludf.DUMMYFUNCTION("""COMPUTED_VALUE"""),7)</f>
        <v>7</v>
      </c>
      <c r="D1766" s="109" t="str">
        <f ca="1">IFERROR(__xludf.DUMMYFUNCTION("""COMPUTED_VALUE"""),"G")</f>
        <v>G</v>
      </c>
      <c r="E1766" s="110" t="str">
        <f ca="1">IFERROR(__xludf.DUMMYFUNCTION("""COMPUTED_VALUE"""),"F")</f>
        <v>F</v>
      </c>
      <c r="F1766" s="110" t="str">
        <f ca="1">IFERROR(__xludf.DUMMYFUNCTION("""COMPUTED_VALUE"""),"J")</f>
        <v>J</v>
      </c>
      <c r="G1766" s="110">
        <f ca="1">IFERROR(__xludf.DUMMYFUNCTION("""COMPUTED_VALUE"""),5)</f>
        <v>5</v>
      </c>
      <c r="H1766" s="112" t="str">
        <f ca="1"/>
        <v>36.5</v>
      </c>
      <c r="I1766" s="81">
        <f ca="1"/>
        <v>36.5</v>
      </c>
    </row>
    <row r="1767" spans="1:9" ht="13.2">
      <c r="A1767" s="109" t="str">
        <f ca="1">IFERROR(__xludf.DUMMYFUNCTION("""COMPUTED_VALUE"""),"RH")</f>
        <v>RH</v>
      </c>
      <c r="B1767" s="108" t="str">
        <f ca="1">IFERROR(__xludf.DUMMYFUNCTION("""COMPUTED_VALUE"""),"Quinn Zahler")</f>
        <v>Quinn Zahler</v>
      </c>
      <c r="C1767" s="109">
        <f ca="1">IFERROR(__xludf.DUMMYFUNCTION("""COMPUTED_VALUE"""),8)</f>
        <v>8</v>
      </c>
      <c r="D1767" s="109" t="str">
        <f ca="1">IFERROR(__xludf.DUMMYFUNCTION("""COMPUTED_VALUE"""),"G")</f>
        <v>G</v>
      </c>
      <c r="E1767" s="110" t="str">
        <f ca="1">IFERROR(__xludf.DUMMYFUNCTION("""COMPUTED_VALUE"""),"F")</f>
        <v>F</v>
      </c>
      <c r="F1767" s="110" t="str">
        <f ca="1">IFERROR(__xludf.DUMMYFUNCTION("""COMPUTED_VALUE"""),"J")</f>
        <v>J</v>
      </c>
      <c r="G1767" s="110">
        <f ca="1">IFERROR(__xludf.DUMMYFUNCTION("""COMPUTED_VALUE"""),5)</f>
        <v>5</v>
      </c>
      <c r="H1767" s="112" t="str">
        <f ca="1"/>
        <v>18.75</v>
      </c>
      <c r="I1767" s="81">
        <f ca="1"/>
        <v>18.75</v>
      </c>
    </row>
    <row r="1768" spans="1:9" ht="13.2">
      <c r="A1768" s="109" t="str">
        <f ca="1">IFERROR(__xludf.DUMMYFUNCTION("""COMPUTED_VALUE"""),"RH")</f>
        <v>RH</v>
      </c>
      <c r="B1768" s="108" t="str">
        <f ca="1">IFERROR(__xludf.DUMMYFUNCTION("""COMPUTED_VALUE"""),"Xanthy Kuehne")</f>
        <v>Xanthy Kuehne</v>
      </c>
      <c r="C1768" s="109">
        <f ca="1">IFERROR(__xludf.DUMMYFUNCTION("""COMPUTED_VALUE"""),8)</f>
        <v>8</v>
      </c>
      <c r="D1768" s="109" t="str">
        <f ca="1">IFERROR(__xludf.DUMMYFUNCTION("""COMPUTED_VALUE"""),"G")</f>
        <v>G</v>
      </c>
      <c r="E1768" s="110" t="str">
        <f ca="1">IFERROR(__xludf.DUMMYFUNCTION("""COMPUTED_VALUE"""),"F")</f>
        <v>F</v>
      </c>
      <c r="F1768" s="110" t="str">
        <f ca="1">IFERROR(__xludf.DUMMYFUNCTION("""COMPUTED_VALUE"""),"J")</f>
        <v>J</v>
      </c>
      <c r="G1768" s="110">
        <f ca="1">IFERROR(__xludf.DUMMYFUNCTION("""COMPUTED_VALUE"""),5)</f>
        <v>5</v>
      </c>
      <c r="H1768" s="112" t="str">
        <f ca="1"/>
        <v>32.9</v>
      </c>
      <c r="I1768" s="81">
        <f ca="1"/>
        <v>32.9</v>
      </c>
    </row>
    <row r="1769" spans="1:9" ht="13.2">
      <c r="A1769" s="109" t="str">
        <f ca="1">IFERROR(__xludf.DUMMYFUNCTION("""COMPUTED_VALUE"""),"RH")</f>
        <v>RH</v>
      </c>
      <c r="B1769" s="108" t="str">
        <f ca="1">IFERROR(__xludf.DUMMYFUNCTION("""COMPUTED_VALUE"""),"Zoe Shmargal-Ellison")</f>
        <v>Zoe Shmargal-Ellison</v>
      </c>
      <c r="C1769" s="109">
        <f ca="1">IFERROR(__xludf.DUMMYFUNCTION("""COMPUTED_VALUE"""),9)</f>
        <v>9</v>
      </c>
      <c r="D1769" s="109" t="str">
        <f ca="1">IFERROR(__xludf.DUMMYFUNCTION("""COMPUTED_VALUE"""),"G")</f>
        <v>G</v>
      </c>
      <c r="E1769" s="110" t="str">
        <f ca="1">IFERROR(__xludf.DUMMYFUNCTION("""COMPUTED_VALUE"""),"F")</f>
        <v>F</v>
      </c>
      <c r="F1769" s="110" t="str">
        <f ca="1">IFERROR(__xludf.DUMMYFUNCTION("""COMPUTED_VALUE"""),"J")</f>
        <v>J</v>
      </c>
      <c r="G1769" s="110">
        <f ca="1">IFERROR(__xludf.DUMMYFUNCTION("""COMPUTED_VALUE"""),5)</f>
        <v>5</v>
      </c>
      <c r="H1769" s="112" t="str">
        <f ca="1"/>
        <v/>
      </c>
      <c r="I1769" s="81" t="str">
        <f ca="1"/>
        <v/>
      </c>
    </row>
    <row r="1770" spans="1:9" ht="13.2">
      <c r="A1770" s="109" t="str">
        <f ca="1">IFERROR(__xludf.DUMMYFUNCTION("""COMPUTED_VALUE"""),"RH")</f>
        <v>RH</v>
      </c>
      <c r="B1770" s="108" t="str">
        <f ca="1">IFERROR(__xludf.DUMMYFUNCTION("""COMPUTED_VALUE"""),"Cooper Lynch")</f>
        <v>Cooper Lynch</v>
      </c>
      <c r="C1770" s="109">
        <f ca="1">IFERROR(__xludf.DUMMYFUNCTION("""COMPUTED_VALUE"""),14)</f>
        <v>14</v>
      </c>
      <c r="D1770" s="109" t="str">
        <f ca="1">IFERROR(__xludf.DUMMYFUNCTION("""COMPUTED_VALUE"""),"B")</f>
        <v>B</v>
      </c>
      <c r="E1770" s="110" t="str">
        <f ca="1">IFERROR(__xludf.DUMMYFUNCTION("""COMPUTED_VALUE"""),"I")</f>
        <v>I</v>
      </c>
      <c r="F1770" s="110" t="str">
        <f ca="1">IFERROR(__xludf.DUMMYFUNCTION("""COMPUTED_VALUE"""),"S")</f>
        <v>S</v>
      </c>
      <c r="G1770" s="110">
        <f ca="1">IFERROR(__xludf.DUMMYFUNCTION("""COMPUTED_VALUE"""),5)</f>
        <v>5</v>
      </c>
      <c r="H1770" s="112" t="str">
        <f ca="1"/>
        <v/>
      </c>
      <c r="I1770" s="81" t="str">
        <f ca="1"/>
        <v/>
      </c>
    </row>
    <row r="1771" spans="1:9" ht="13.2">
      <c r="A1771" s="109" t="str">
        <f ca="1">IFERROR(__xludf.DUMMYFUNCTION("""COMPUTED_VALUE"""),"RH")</f>
        <v>RH</v>
      </c>
      <c r="B1771" s="108" t="str">
        <f ca="1">IFERROR(__xludf.DUMMYFUNCTION("""COMPUTED_VALUE"""),"Liam Healey-Wright")</f>
        <v>Liam Healey-Wright</v>
      </c>
      <c r="C1771" s="109">
        <f ca="1">IFERROR(__xludf.DUMMYFUNCTION("""COMPUTED_VALUE"""),14)</f>
        <v>14</v>
      </c>
      <c r="D1771" s="109" t="str">
        <f ca="1">IFERROR(__xludf.DUMMYFUNCTION("""COMPUTED_VALUE"""),"B")</f>
        <v>B</v>
      </c>
      <c r="E1771" s="110" t="str">
        <f ca="1">IFERROR(__xludf.DUMMYFUNCTION("""COMPUTED_VALUE"""),"I")</f>
        <v>I</v>
      </c>
      <c r="F1771" s="110" t="str">
        <f ca="1">IFERROR(__xludf.DUMMYFUNCTION("""COMPUTED_VALUE"""),"S")</f>
        <v>S</v>
      </c>
      <c r="G1771" s="110">
        <f ca="1">IFERROR(__xludf.DUMMYFUNCTION("""COMPUTED_VALUE"""),5)</f>
        <v>5</v>
      </c>
      <c r="H1771" s="112" t="str">
        <f ca="1"/>
        <v>58.15</v>
      </c>
      <c r="I1771" s="81">
        <f ca="1"/>
        <v>58.15</v>
      </c>
    </row>
    <row r="1772" spans="1:9" ht="13.2">
      <c r="A1772" s="109" t="str">
        <f ca="1">IFERROR(__xludf.DUMMYFUNCTION("""COMPUTED_VALUE"""),"RH")</f>
        <v>RH</v>
      </c>
      <c r="B1772" s="108" t="str">
        <f ca="1">IFERROR(__xludf.DUMMYFUNCTION("""COMPUTED_VALUE"""),"Ryan Casteleyn")</f>
        <v>Ryan Casteleyn</v>
      </c>
      <c r="C1772" s="109">
        <f ca="1">IFERROR(__xludf.DUMMYFUNCTION("""COMPUTED_VALUE"""),13)</f>
        <v>13</v>
      </c>
      <c r="D1772" s="109" t="str">
        <f ca="1">IFERROR(__xludf.DUMMYFUNCTION("""COMPUTED_VALUE"""),"B")</f>
        <v>B</v>
      </c>
      <c r="E1772" s="110" t="str">
        <f ca="1">IFERROR(__xludf.DUMMYFUNCTION("""COMPUTED_VALUE"""),"I")</f>
        <v>I</v>
      </c>
      <c r="F1772" s="110" t="str">
        <f ca="1">IFERROR(__xludf.DUMMYFUNCTION("""COMPUTED_VALUE"""),"S")</f>
        <v>S</v>
      </c>
      <c r="G1772" s="110">
        <f ca="1">IFERROR(__xludf.DUMMYFUNCTION("""COMPUTED_VALUE"""),5)</f>
        <v>5</v>
      </c>
      <c r="H1772" s="112" t="str">
        <f ca="1"/>
        <v>71.35</v>
      </c>
      <c r="I1772" s="81">
        <f ca="1"/>
        <v>71.349999999999994</v>
      </c>
    </row>
    <row r="1773" spans="1:9" ht="13.2">
      <c r="A1773" s="109" t="str">
        <f ca="1">IFERROR(__xludf.DUMMYFUNCTION("""COMPUTED_VALUE"""),"RH")</f>
        <v>RH</v>
      </c>
      <c r="B1773" s="108" t="str">
        <f ca="1">IFERROR(__xludf.DUMMYFUNCTION("""COMPUTED_VALUE"""),"Tim Maloney")</f>
        <v>Tim Maloney</v>
      </c>
      <c r="C1773" s="109">
        <f ca="1">IFERROR(__xludf.DUMMYFUNCTION("""COMPUTED_VALUE"""),13)</f>
        <v>13</v>
      </c>
      <c r="D1773" s="109" t="str">
        <f ca="1">IFERROR(__xludf.DUMMYFUNCTION("""COMPUTED_VALUE"""),"B")</f>
        <v>B</v>
      </c>
      <c r="E1773" s="110" t="str">
        <f ca="1">IFERROR(__xludf.DUMMYFUNCTION("""COMPUTED_VALUE"""),"I")</f>
        <v>I</v>
      </c>
      <c r="F1773" s="110" t="str">
        <f ca="1">IFERROR(__xludf.DUMMYFUNCTION("""COMPUTED_VALUE"""),"S")</f>
        <v>S</v>
      </c>
      <c r="G1773" s="110">
        <f ca="1">IFERROR(__xludf.DUMMYFUNCTION("""COMPUTED_VALUE"""),5)</f>
        <v>5</v>
      </c>
      <c r="H1773" s="112" t="str">
        <f ca="1"/>
        <v/>
      </c>
      <c r="I1773" s="81" t="str">
        <f ca="1"/>
        <v/>
      </c>
    </row>
    <row r="1774" spans="1:9" ht="13.2">
      <c r="A1774" s="109" t="str">
        <f ca="1">IFERROR(__xludf.DUMMYFUNCTION("""COMPUTED_VALUE"""),"RH")</f>
        <v>RH</v>
      </c>
      <c r="B1774" s="108" t="str">
        <f ca="1">IFERROR(__xludf.DUMMYFUNCTION("""COMPUTED_VALUE"""),"TJ Zahler")</f>
        <v>TJ Zahler</v>
      </c>
      <c r="C1774" s="109">
        <f ca="1">IFERROR(__xludf.DUMMYFUNCTION("""COMPUTED_VALUE"""),14)</f>
        <v>14</v>
      </c>
      <c r="D1774" s="109" t="str">
        <f ca="1">IFERROR(__xludf.DUMMYFUNCTION("""COMPUTED_VALUE"""),"B")</f>
        <v>B</v>
      </c>
      <c r="E1774" s="110" t="str">
        <f ca="1">IFERROR(__xludf.DUMMYFUNCTION("""COMPUTED_VALUE"""),"I")</f>
        <v>I</v>
      </c>
      <c r="F1774" s="110" t="str">
        <f ca="1">IFERROR(__xludf.DUMMYFUNCTION("""COMPUTED_VALUE"""),"S")</f>
        <v>S</v>
      </c>
      <c r="G1774" s="110">
        <f ca="1">IFERROR(__xludf.DUMMYFUNCTION("""COMPUTED_VALUE"""),5)</f>
        <v>5</v>
      </c>
      <c r="H1774" s="112" t="str">
        <f ca="1"/>
        <v/>
      </c>
      <c r="I1774" s="81" t="str">
        <f ca="1"/>
        <v/>
      </c>
    </row>
    <row r="1775" spans="1:9" ht="13.2">
      <c r="A1775" s="109" t="str">
        <f ca="1">IFERROR(__xludf.DUMMYFUNCTION("""COMPUTED_VALUE"""),"RH")</f>
        <v>RH</v>
      </c>
      <c r="B1775" s="108" t="str">
        <f ca="1">IFERROR(__xludf.DUMMYFUNCTION("""COMPUTED_VALUE"""),"Tommy Juster")</f>
        <v>Tommy Juster</v>
      </c>
      <c r="C1775" s="109">
        <f ca="1">IFERROR(__xludf.DUMMYFUNCTION("""COMPUTED_VALUE"""),14)</f>
        <v>14</v>
      </c>
      <c r="D1775" s="109" t="str">
        <f ca="1">IFERROR(__xludf.DUMMYFUNCTION("""COMPUTED_VALUE"""),"B")</f>
        <v>B</v>
      </c>
      <c r="E1775" s="110" t="str">
        <f ca="1">IFERROR(__xludf.DUMMYFUNCTION("""COMPUTED_VALUE"""),"I")</f>
        <v>I</v>
      </c>
      <c r="F1775" s="110" t="str">
        <f ca="1">IFERROR(__xludf.DUMMYFUNCTION("""COMPUTED_VALUE"""),"S")</f>
        <v>S</v>
      </c>
      <c r="G1775" s="110">
        <f ca="1">IFERROR(__xludf.DUMMYFUNCTION("""COMPUTED_VALUE"""),5)</f>
        <v>5</v>
      </c>
      <c r="H1775" s="112" t="str">
        <f ca="1"/>
        <v>68</v>
      </c>
      <c r="I1775" s="81">
        <f ca="1"/>
        <v>68</v>
      </c>
    </row>
    <row r="1776" spans="1:9" ht="13.2">
      <c r="A1776" s="109" t="str">
        <f ca="1">IFERROR(__xludf.DUMMYFUNCTION("""COMPUTED_VALUE"""),"RH")</f>
        <v>RH</v>
      </c>
      <c r="B1776" s="108" t="str">
        <f ca="1">IFERROR(__xludf.DUMMYFUNCTION("""COMPUTED_VALUE"""),"Claire Berry")</f>
        <v>Claire Berry</v>
      </c>
      <c r="C1776" s="109">
        <f ca="1">IFERROR(__xludf.DUMMYFUNCTION("""COMPUTED_VALUE"""),13)</f>
        <v>13</v>
      </c>
      <c r="D1776" s="109" t="str">
        <f ca="1">IFERROR(__xludf.DUMMYFUNCTION("""COMPUTED_VALUE"""),"G")</f>
        <v>G</v>
      </c>
      <c r="E1776" s="110" t="str">
        <f ca="1">IFERROR(__xludf.DUMMYFUNCTION("""COMPUTED_VALUE"""),"I")</f>
        <v>I</v>
      </c>
      <c r="F1776" s="110" t="str">
        <f ca="1">IFERROR(__xludf.DUMMYFUNCTION("""COMPUTED_VALUE"""),"S")</f>
        <v>S</v>
      </c>
      <c r="G1776" s="110">
        <f ca="1">IFERROR(__xludf.DUMMYFUNCTION("""COMPUTED_VALUE"""),5)</f>
        <v>5</v>
      </c>
      <c r="H1776" s="112" t="str">
        <f ca="1"/>
        <v/>
      </c>
      <c r="I1776" s="81" t="str">
        <f ca="1"/>
        <v/>
      </c>
    </row>
    <row r="1777" spans="1:9" ht="13.2">
      <c r="A1777" s="109" t="str">
        <f ca="1">IFERROR(__xludf.DUMMYFUNCTION("""COMPUTED_VALUE"""),"RH")</f>
        <v>RH</v>
      </c>
      <c r="B1777" s="108" t="str">
        <f ca="1">IFERROR(__xludf.DUMMYFUNCTION("""COMPUTED_VALUE"""),"Lyla Harrison")</f>
        <v>Lyla Harrison</v>
      </c>
      <c r="C1777" s="109">
        <f ca="1">IFERROR(__xludf.DUMMYFUNCTION("""COMPUTED_VALUE"""),14)</f>
        <v>14</v>
      </c>
      <c r="D1777" s="109" t="str">
        <f ca="1">IFERROR(__xludf.DUMMYFUNCTION("""COMPUTED_VALUE"""),"G")</f>
        <v>G</v>
      </c>
      <c r="E1777" s="110" t="str">
        <f ca="1">IFERROR(__xludf.DUMMYFUNCTION("""COMPUTED_VALUE"""),"I")</f>
        <v>I</v>
      </c>
      <c r="F1777" s="110" t="str">
        <f ca="1">IFERROR(__xludf.DUMMYFUNCTION("""COMPUTED_VALUE"""),"S")</f>
        <v>S</v>
      </c>
      <c r="G1777" s="110">
        <f ca="1">IFERROR(__xludf.DUMMYFUNCTION("""COMPUTED_VALUE"""),5)</f>
        <v>5</v>
      </c>
      <c r="H1777" s="112" t="str">
        <f ca="1"/>
        <v/>
      </c>
      <c r="I1777" s="81" t="str">
        <f ca="1"/>
        <v/>
      </c>
    </row>
    <row r="1778" spans="1:9" ht="13.2">
      <c r="A1778" s="109" t="str">
        <f ca="1">IFERROR(__xludf.DUMMYFUNCTION("""COMPUTED_VALUE"""),"RH")</f>
        <v>RH</v>
      </c>
      <c r="B1778" s="108" t="str">
        <f ca="1">IFERROR(__xludf.DUMMYFUNCTION("""COMPUTED_VALUE"""),"Natalia Sayasithsena")</f>
        <v>Natalia Sayasithsena</v>
      </c>
      <c r="C1778" s="109">
        <f ca="1">IFERROR(__xludf.DUMMYFUNCTION("""COMPUTED_VALUE"""),13)</f>
        <v>13</v>
      </c>
      <c r="D1778" s="109" t="str">
        <f ca="1">IFERROR(__xludf.DUMMYFUNCTION("""COMPUTED_VALUE"""),"G")</f>
        <v>G</v>
      </c>
      <c r="E1778" s="110" t="str">
        <f ca="1">IFERROR(__xludf.DUMMYFUNCTION("""COMPUTED_VALUE"""),"I")</f>
        <v>I</v>
      </c>
      <c r="F1778" s="110" t="str">
        <f ca="1">IFERROR(__xludf.DUMMYFUNCTION("""COMPUTED_VALUE"""),"S")</f>
        <v>S</v>
      </c>
      <c r="G1778" s="110">
        <f ca="1">IFERROR(__xludf.DUMMYFUNCTION("""COMPUTED_VALUE"""),5)</f>
        <v>5</v>
      </c>
      <c r="H1778" s="112" t="str">
        <f ca="1"/>
        <v>65.2</v>
      </c>
      <c r="I1778" s="81">
        <f ca="1"/>
        <v>65.2</v>
      </c>
    </row>
    <row r="1779" spans="1:9" ht="13.2">
      <c r="A1779" s="109" t="str">
        <f ca="1">IFERROR(__xludf.DUMMYFUNCTION("""COMPUTED_VALUE"""),"RH")</f>
        <v>RH</v>
      </c>
      <c r="B1779" s="108" t="str">
        <f ca="1">IFERROR(__xludf.DUMMYFUNCTION("""COMPUTED_VALUE"""),"Becket Lanier")</f>
        <v>Becket Lanier</v>
      </c>
      <c r="C1779" s="109">
        <f ca="1">IFERROR(__xludf.DUMMYFUNCTION("""COMPUTED_VALUE"""),11)</f>
        <v>11</v>
      </c>
      <c r="D1779" s="109" t="str">
        <f ca="1">IFERROR(__xludf.DUMMYFUNCTION("""COMPUTED_VALUE"""),"B")</f>
        <v>B</v>
      </c>
      <c r="E1779" s="110" t="str">
        <f ca="1">IFERROR(__xludf.DUMMYFUNCTION("""COMPUTED_VALUE"""),"J")</f>
        <v>J</v>
      </c>
      <c r="F1779" s="110" t="str">
        <f ca="1">IFERROR(__xludf.DUMMYFUNCTION("""COMPUTED_VALUE"""),"I")</f>
        <v>I</v>
      </c>
      <c r="G1779" s="110">
        <f ca="1">IFERROR(__xludf.DUMMYFUNCTION("""COMPUTED_VALUE"""),5)</f>
        <v>5</v>
      </c>
      <c r="H1779" s="112" t="str">
        <f ca="1"/>
        <v/>
      </c>
      <c r="I1779" s="81" t="str">
        <f ca="1"/>
        <v/>
      </c>
    </row>
    <row r="1780" spans="1:9" ht="13.2">
      <c r="A1780" s="109" t="str">
        <f ca="1">IFERROR(__xludf.DUMMYFUNCTION("""COMPUTED_VALUE"""),"RH")</f>
        <v>RH</v>
      </c>
      <c r="B1780" s="108" t="str">
        <f ca="1">IFERROR(__xludf.DUMMYFUNCTION("""COMPUTED_VALUE"""),"Griffin Wagner")</f>
        <v>Griffin Wagner</v>
      </c>
      <c r="C1780" s="109">
        <f ca="1">IFERROR(__xludf.DUMMYFUNCTION("""COMPUTED_VALUE"""),11)</f>
        <v>11</v>
      </c>
      <c r="D1780" s="109" t="str">
        <f ca="1">IFERROR(__xludf.DUMMYFUNCTION("""COMPUTED_VALUE"""),"B")</f>
        <v>B</v>
      </c>
      <c r="E1780" s="110" t="str">
        <f ca="1">IFERROR(__xludf.DUMMYFUNCTION("""COMPUTED_VALUE"""),"J")</f>
        <v>J</v>
      </c>
      <c r="F1780" s="110" t="str">
        <f ca="1">IFERROR(__xludf.DUMMYFUNCTION("""COMPUTED_VALUE"""),"I")</f>
        <v>I</v>
      </c>
      <c r="G1780" s="110">
        <f ca="1">IFERROR(__xludf.DUMMYFUNCTION("""COMPUTED_VALUE"""),5)</f>
        <v>5</v>
      </c>
      <c r="H1780" s="112" t="str">
        <f ca="1"/>
        <v/>
      </c>
      <c r="I1780" s="81" t="str">
        <f ca="1"/>
        <v/>
      </c>
    </row>
    <row r="1781" spans="1:9" ht="13.2">
      <c r="A1781" s="109" t="str">
        <f ca="1">IFERROR(__xludf.DUMMYFUNCTION("""COMPUTED_VALUE"""),"RH")</f>
        <v>RH</v>
      </c>
      <c r="B1781" s="108" t="str">
        <f ca="1">IFERROR(__xludf.DUMMYFUNCTION("""COMPUTED_VALUE"""),"Rob Freeman")</f>
        <v>Rob Freeman</v>
      </c>
      <c r="C1781" s="109">
        <f ca="1">IFERROR(__xludf.DUMMYFUNCTION("""COMPUTED_VALUE"""),11)</f>
        <v>11</v>
      </c>
      <c r="D1781" s="109" t="str">
        <f ca="1">IFERROR(__xludf.DUMMYFUNCTION("""COMPUTED_VALUE"""),"B")</f>
        <v>B</v>
      </c>
      <c r="E1781" s="110" t="str">
        <f ca="1">IFERROR(__xludf.DUMMYFUNCTION("""COMPUTED_VALUE"""),"J")</f>
        <v>J</v>
      </c>
      <c r="F1781" s="110" t="str">
        <f ca="1">IFERROR(__xludf.DUMMYFUNCTION("""COMPUTED_VALUE"""),"I")</f>
        <v>I</v>
      </c>
      <c r="G1781" s="110">
        <f ca="1">IFERROR(__xludf.DUMMYFUNCTION("""COMPUTED_VALUE"""),5)</f>
        <v>5</v>
      </c>
      <c r="H1781" s="112" t="str">
        <f ca="1"/>
        <v>52.35</v>
      </c>
      <c r="I1781" s="81">
        <f ca="1"/>
        <v>52.35</v>
      </c>
    </row>
    <row r="1782" spans="1:9" ht="13.2">
      <c r="A1782" s="109" t="str">
        <f ca="1">IFERROR(__xludf.DUMMYFUNCTION("""COMPUTED_VALUE"""),"RH")</f>
        <v>RH</v>
      </c>
      <c r="B1782" s="108" t="str">
        <f ca="1">IFERROR(__xludf.DUMMYFUNCTION("""COMPUTED_VALUE"""),"Anamarie Harrison")</f>
        <v>Anamarie Harrison</v>
      </c>
      <c r="C1782" s="109">
        <f ca="1">IFERROR(__xludf.DUMMYFUNCTION("""COMPUTED_VALUE"""),12)</f>
        <v>12</v>
      </c>
      <c r="D1782" s="109" t="str">
        <f ca="1">IFERROR(__xludf.DUMMYFUNCTION("""COMPUTED_VALUE"""),"G")</f>
        <v>G</v>
      </c>
      <c r="E1782" s="110" t="str">
        <f ca="1">IFERROR(__xludf.DUMMYFUNCTION("""COMPUTED_VALUE"""),"J")</f>
        <v>J</v>
      </c>
      <c r="F1782" s="110" t="str">
        <f ca="1">IFERROR(__xludf.DUMMYFUNCTION("""COMPUTED_VALUE"""),"I")</f>
        <v>I</v>
      </c>
      <c r="G1782" s="110">
        <f ca="1">IFERROR(__xludf.DUMMYFUNCTION("""COMPUTED_VALUE"""),5)</f>
        <v>5</v>
      </c>
      <c r="H1782" s="112" t="str">
        <f ca="1"/>
        <v/>
      </c>
      <c r="I1782" s="81" t="str">
        <f ca="1"/>
        <v/>
      </c>
    </row>
    <row r="1783" spans="1:9" ht="13.2">
      <c r="A1783" s="109" t="str">
        <f ca="1">IFERROR(__xludf.DUMMYFUNCTION("""COMPUTED_VALUE"""),"RH")</f>
        <v>RH</v>
      </c>
      <c r="B1783" s="108" t="str">
        <f ca="1">IFERROR(__xludf.DUMMYFUNCTION("""COMPUTED_VALUE"""),"Anne Juster")</f>
        <v>Anne Juster</v>
      </c>
      <c r="C1783" s="109">
        <f ca="1">IFERROR(__xludf.DUMMYFUNCTION("""COMPUTED_VALUE"""),11)</f>
        <v>11</v>
      </c>
      <c r="D1783" s="109" t="str">
        <f ca="1">IFERROR(__xludf.DUMMYFUNCTION("""COMPUTED_VALUE"""),"G")</f>
        <v>G</v>
      </c>
      <c r="E1783" s="110" t="str">
        <f ca="1">IFERROR(__xludf.DUMMYFUNCTION("""COMPUTED_VALUE"""),"J")</f>
        <v>J</v>
      </c>
      <c r="F1783" s="110" t="str">
        <f ca="1">IFERROR(__xludf.DUMMYFUNCTION("""COMPUTED_VALUE"""),"I")</f>
        <v>I</v>
      </c>
      <c r="G1783" s="110">
        <f ca="1">IFERROR(__xludf.DUMMYFUNCTION("""COMPUTED_VALUE"""),5)</f>
        <v>5</v>
      </c>
      <c r="H1783" s="112" t="str">
        <f ca="1"/>
        <v>74.75</v>
      </c>
      <c r="I1783" s="81">
        <f ca="1"/>
        <v>74.75</v>
      </c>
    </row>
    <row r="1784" spans="1:9" ht="13.2">
      <c r="A1784" s="109" t="str">
        <f ca="1">IFERROR(__xludf.DUMMYFUNCTION("""COMPUTED_VALUE"""),"RH")</f>
        <v>RH</v>
      </c>
      <c r="B1784" s="108" t="str">
        <f ca="1">IFERROR(__xludf.DUMMYFUNCTION("""COMPUTED_VALUE"""),"Catherine Flanagan")</f>
        <v>Catherine Flanagan</v>
      </c>
      <c r="C1784" s="109">
        <f ca="1">IFERROR(__xludf.DUMMYFUNCTION("""COMPUTED_VALUE"""),12)</f>
        <v>12</v>
      </c>
      <c r="D1784" s="109" t="str">
        <f ca="1">IFERROR(__xludf.DUMMYFUNCTION("""COMPUTED_VALUE"""),"G")</f>
        <v>G</v>
      </c>
      <c r="E1784" s="110" t="str">
        <f ca="1">IFERROR(__xludf.DUMMYFUNCTION("""COMPUTED_VALUE"""),"J")</f>
        <v>J</v>
      </c>
      <c r="F1784" s="110" t="str">
        <f ca="1">IFERROR(__xludf.DUMMYFUNCTION("""COMPUTED_VALUE"""),"I")</f>
        <v>I</v>
      </c>
      <c r="G1784" s="110">
        <f ca="1">IFERROR(__xludf.DUMMYFUNCTION("""COMPUTED_VALUE"""),5)</f>
        <v>5</v>
      </c>
      <c r="H1784" s="112" t="str">
        <f ca="1"/>
        <v>66.65</v>
      </c>
      <c r="I1784" s="81">
        <f ca="1"/>
        <v>66.650000000000006</v>
      </c>
    </row>
    <row r="1785" spans="1:9" ht="13.2">
      <c r="A1785" s="109" t="str">
        <f ca="1">IFERROR(__xludf.DUMMYFUNCTION("""COMPUTED_VALUE"""),"RH")</f>
        <v>RH</v>
      </c>
      <c r="B1785" s="108" t="str">
        <f ca="1">IFERROR(__xludf.DUMMYFUNCTION("""COMPUTED_VALUE"""),"Edie Freeman")</f>
        <v>Edie Freeman</v>
      </c>
      <c r="C1785" s="109">
        <f ca="1">IFERROR(__xludf.DUMMYFUNCTION("""COMPUTED_VALUE"""),11)</f>
        <v>11</v>
      </c>
      <c r="D1785" s="109" t="str">
        <f ca="1">IFERROR(__xludf.DUMMYFUNCTION("""COMPUTED_VALUE"""),"G")</f>
        <v>G</v>
      </c>
      <c r="E1785" s="110" t="str">
        <f ca="1">IFERROR(__xludf.DUMMYFUNCTION("""COMPUTED_VALUE"""),"J")</f>
        <v>J</v>
      </c>
      <c r="F1785" s="110" t="str">
        <f ca="1">IFERROR(__xludf.DUMMYFUNCTION("""COMPUTED_VALUE"""),"I")</f>
        <v>I</v>
      </c>
      <c r="G1785" s="110">
        <f ca="1">IFERROR(__xludf.DUMMYFUNCTION("""COMPUTED_VALUE"""),5)</f>
        <v>5</v>
      </c>
      <c r="H1785" s="112" t="str">
        <f ca="1"/>
        <v/>
      </c>
      <c r="I1785" s="81" t="str">
        <f ca="1"/>
        <v/>
      </c>
    </row>
    <row r="1786" spans="1:9" ht="13.2">
      <c r="A1786" s="109" t="str">
        <f ca="1">IFERROR(__xludf.DUMMYFUNCTION("""COMPUTED_VALUE"""),"RH")</f>
        <v>RH</v>
      </c>
      <c r="B1786" s="108" t="str">
        <f ca="1">IFERROR(__xludf.DUMMYFUNCTION("""COMPUTED_VALUE"""),"Ella Hackett")</f>
        <v>Ella Hackett</v>
      </c>
      <c r="C1786" s="109">
        <f ca="1">IFERROR(__xludf.DUMMYFUNCTION("""COMPUTED_VALUE"""),11)</f>
        <v>11</v>
      </c>
      <c r="D1786" s="109" t="str">
        <f ca="1">IFERROR(__xludf.DUMMYFUNCTION("""COMPUTED_VALUE"""),"G")</f>
        <v>G</v>
      </c>
      <c r="E1786" s="110" t="str">
        <f ca="1">IFERROR(__xludf.DUMMYFUNCTION("""COMPUTED_VALUE"""),"J")</f>
        <v>J</v>
      </c>
      <c r="F1786" s="110" t="str">
        <f ca="1">IFERROR(__xludf.DUMMYFUNCTION("""COMPUTED_VALUE"""),"I")</f>
        <v>I</v>
      </c>
      <c r="G1786" s="110">
        <f ca="1">IFERROR(__xludf.DUMMYFUNCTION("""COMPUTED_VALUE"""),5)</f>
        <v>5</v>
      </c>
      <c r="H1786" s="112" t="str">
        <f ca="1"/>
        <v/>
      </c>
      <c r="I1786" s="81" t="str">
        <f ca="1"/>
        <v/>
      </c>
    </row>
    <row r="1787" spans="1:9" ht="13.2">
      <c r="A1787" s="109" t="str">
        <f ca="1">IFERROR(__xludf.DUMMYFUNCTION("""COMPUTED_VALUE"""),"RH")</f>
        <v>RH</v>
      </c>
      <c r="B1787" s="108" t="str">
        <f ca="1">IFERROR(__xludf.DUMMYFUNCTION("""COMPUTED_VALUE"""),"Jennifer Luk")</f>
        <v>Jennifer Luk</v>
      </c>
      <c r="C1787" s="109">
        <f ca="1">IFERROR(__xludf.DUMMYFUNCTION("""COMPUTED_VALUE"""),11)</f>
        <v>11</v>
      </c>
      <c r="D1787" s="109" t="str">
        <f ca="1">IFERROR(__xludf.DUMMYFUNCTION("""COMPUTED_VALUE"""),"G")</f>
        <v>G</v>
      </c>
      <c r="E1787" s="110" t="str">
        <f ca="1">IFERROR(__xludf.DUMMYFUNCTION("""COMPUTED_VALUE"""),"J")</f>
        <v>J</v>
      </c>
      <c r="F1787" s="110" t="str">
        <f ca="1">IFERROR(__xludf.DUMMYFUNCTION("""COMPUTED_VALUE"""),"I")</f>
        <v>I</v>
      </c>
      <c r="G1787" s="110">
        <f ca="1">IFERROR(__xludf.DUMMYFUNCTION("""COMPUTED_VALUE"""),5)</f>
        <v>5</v>
      </c>
      <c r="H1787" s="112" t="str">
        <f ca="1"/>
        <v/>
      </c>
      <c r="I1787" s="81" t="str">
        <f ca="1"/>
        <v/>
      </c>
    </row>
    <row r="1788" spans="1:9" ht="13.2">
      <c r="A1788" s="109" t="str">
        <f ca="1">IFERROR(__xludf.DUMMYFUNCTION("""COMPUTED_VALUE"""),"RH")</f>
        <v>RH</v>
      </c>
      <c r="B1788" s="108" t="str">
        <f ca="1">IFERROR(__xludf.DUMMYFUNCTION("""COMPUTED_VALUE"""),"Sophia Cain")</f>
        <v>Sophia Cain</v>
      </c>
      <c r="C1788" s="109">
        <f ca="1">IFERROR(__xludf.DUMMYFUNCTION("""COMPUTED_VALUE"""),11)</f>
        <v>11</v>
      </c>
      <c r="D1788" s="109" t="str">
        <f ca="1">IFERROR(__xludf.DUMMYFUNCTION("""COMPUTED_VALUE"""),"G")</f>
        <v>G</v>
      </c>
      <c r="E1788" s="110" t="str">
        <f ca="1">IFERROR(__xludf.DUMMYFUNCTION("""COMPUTED_VALUE"""),"J")</f>
        <v>J</v>
      </c>
      <c r="F1788" s="110" t="str">
        <f ca="1">IFERROR(__xludf.DUMMYFUNCTION("""COMPUTED_VALUE"""),"I")</f>
        <v>I</v>
      </c>
      <c r="G1788" s="110">
        <f ca="1">IFERROR(__xludf.DUMMYFUNCTION("""COMPUTED_VALUE"""),5)</f>
        <v>5</v>
      </c>
      <c r="H1788" s="112" t="str">
        <f ca="1"/>
        <v/>
      </c>
      <c r="I1788" s="81" t="str">
        <f ca="1"/>
        <v/>
      </c>
    </row>
    <row r="1789" spans="1:9" ht="13.2">
      <c r="A1789" s="109" t="str">
        <f ca="1">IFERROR(__xludf.DUMMYFUNCTION("""COMPUTED_VALUE"""),"RH")</f>
        <v>RH</v>
      </c>
      <c r="B1789" s="108" t="str">
        <f ca="1">IFERROR(__xludf.DUMMYFUNCTION("""COMPUTED_VALUE"""),"Sophia Newtson")</f>
        <v>Sophia Newtson</v>
      </c>
      <c r="C1789" s="109">
        <f ca="1">IFERROR(__xludf.DUMMYFUNCTION("""COMPUTED_VALUE"""),12)</f>
        <v>12</v>
      </c>
      <c r="D1789" s="109" t="str">
        <f ca="1">IFERROR(__xludf.DUMMYFUNCTION("""COMPUTED_VALUE"""),"G")</f>
        <v>G</v>
      </c>
      <c r="E1789" s="110" t="str">
        <f ca="1">IFERROR(__xludf.DUMMYFUNCTION("""COMPUTED_VALUE"""),"J")</f>
        <v>J</v>
      </c>
      <c r="F1789" s="110" t="str">
        <f ca="1">IFERROR(__xludf.DUMMYFUNCTION("""COMPUTED_VALUE"""),"I")</f>
        <v>I</v>
      </c>
      <c r="G1789" s="110">
        <f ca="1">IFERROR(__xludf.DUMMYFUNCTION("""COMPUTED_VALUE"""),5)</f>
        <v>5</v>
      </c>
      <c r="H1789" s="112" t="str">
        <f ca="1"/>
        <v>71.5</v>
      </c>
      <c r="I1789" s="81">
        <f ca="1"/>
        <v>71.5</v>
      </c>
    </row>
    <row r="1790" spans="1:9" ht="13.2">
      <c r="A1790" s="109" t="str">
        <f ca="1">IFERROR(__xludf.DUMMYFUNCTION("""COMPUTED_VALUE"""),"RH")</f>
        <v>RH</v>
      </c>
      <c r="B1790" s="108" t="str">
        <f ca="1">IFERROR(__xludf.DUMMYFUNCTION("""COMPUTED_VALUE"""),"Jadon Butler")</f>
        <v>Jadon Butler</v>
      </c>
      <c r="C1790" s="109">
        <f ca="1">IFERROR(__xludf.DUMMYFUNCTION("""COMPUTED_VALUE"""),16)</f>
        <v>16</v>
      </c>
      <c r="D1790" s="109" t="str">
        <f ca="1">IFERROR(__xludf.DUMMYFUNCTION("""COMPUTED_VALUE"""),"B")</f>
        <v>B</v>
      </c>
      <c r="E1790" s="110" t="str">
        <f ca="1">IFERROR(__xludf.DUMMYFUNCTION("""COMPUTED_VALUE"""),"S")</f>
        <v>S</v>
      </c>
      <c r="F1790" s="110" t="str">
        <f ca="1">IFERROR(__xludf.DUMMYFUNCTION("""COMPUTED_VALUE"""),"S")</f>
        <v>S</v>
      </c>
      <c r="G1790" s="110">
        <f ca="1">IFERROR(__xludf.DUMMYFUNCTION("""COMPUTED_VALUE"""),5)</f>
        <v>5</v>
      </c>
      <c r="H1790" s="112" t="str">
        <f ca="1"/>
        <v/>
      </c>
      <c r="I1790" s="81" t="str">
        <f ca="1"/>
        <v/>
      </c>
    </row>
    <row r="1791" spans="1:9" ht="13.2">
      <c r="A1791" s="109" t="str">
        <f ca="1">IFERROR(__xludf.DUMMYFUNCTION("""COMPUTED_VALUE"""),"RH")</f>
        <v>RH</v>
      </c>
      <c r="B1791" s="108" t="str">
        <f ca="1">IFERROR(__xludf.DUMMYFUNCTION("""COMPUTED_VALUE"""),"Kyleah Harbort")</f>
        <v>Kyleah Harbort</v>
      </c>
      <c r="C1791" s="109">
        <f ca="1">IFERROR(__xludf.DUMMYFUNCTION("""COMPUTED_VALUE"""),18)</f>
        <v>18</v>
      </c>
      <c r="D1791" s="109" t="str">
        <f ca="1">IFERROR(__xludf.DUMMYFUNCTION("""COMPUTED_VALUE"""),"G")</f>
        <v>G</v>
      </c>
      <c r="E1791" s="110" t="str">
        <f ca="1">IFERROR(__xludf.DUMMYFUNCTION("""COMPUTED_VALUE"""),"S")</f>
        <v>S</v>
      </c>
      <c r="F1791" s="110" t="str">
        <f ca="1">IFERROR(__xludf.DUMMYFUNCTION("""COMPUTED_VALUE"""),"S")</f>
        <v>S</v>
      </c>
      <c r="G1791" s="110">
        <f ca="1">IFERROR(__xludf.DUMMYFUNCTION("""COMPUTED_VALUE"""),5)</f>
        <v>5</v>
      </c>
      <c r="H1791" s="112" t="str">
        <f ca="1"/>
        <v/>
      </c>
      <c r="I1791" s="81" t="str">
        <f ca="1"/>
        <v/>
      </c>
    </row>
    <row r="1792" spans="1:9" ht="13.2">
      <c r="A1792" s="109" t="str">
        <f ca="1">IFERROR(__xludf.DUMMYFUNCTION("""COMPUTED_VALUE"""),"RH")</f>
        <v>RH</v>
      </c>
      <c r="B1792" s="108" t="str">
        <f ca="1">IFERROR(__xludf.DUMMYFUNCTION("""COMPUTED_VALUE"""),"Mary Callahan")</f>
        <v>Mary Callahan</v>
      </c>
      <c r="C1792" s="109">
        <f ca="1">IFERROR(__xludf.DUMMYFUNCTION("""COMPUTED_VALUE"""),16)</f>
        <v>16</v>
      </c>
      <c r="D1792" s="109" t="str">
        <f ca="1">IFERROR(__xludf.DUMMYFUNCTION("""COMPUTED_VALUE"""),"G")</f>
        <v>G</v>
      </c>
      <c r="E1792" s="110" t="str">
        <f ca="1">IFERROR(__xludf.DUMMYFUNCTION("""COMPUTED_VALUE"""),"S")</f>
        <v>S</v>
      </c>
      <c r="F1792" s="110" t="str">
        <f ca="1">IFERROR(__xludf.DUMMYFUNCTION("""COMPUTED_VALUE"""),"S")</f>
        <v>S</v>
      </c>
      <c r="G1792" s="110">
        <f ca="1">IFERROR(__xludf.DUMMYFUNCTION("""COMPUTED_VALUE"""),5)</f>
        <v>5</v>
      </c>
      <c r="H1792" s="112" t="str">
        <f ca="1"/>
        <v/>
      </c>
      <c r="I1792" s="81" t="str">
        <f ca="1"/>
        <v/>
      </c>
    </row>
    <row r="1793" spans="1:9" ht="13.2">
      <c r="A1793" s="109" t="str">
        <f ca="1">IFERROR(__xludf.DUMMYFUNCTION("""COMPUTED_VALUE"""),"RH")</f>
        <v>RH</v>
      </c>
      <c r="B1793" s="108" t="str">
        <f ca="1">IFERROR(__xludf.DUMMYFUNCTION("""COMPUTED_VALUE"""),"Nicole Perkins")</f>
        <v>Nicole Perkins</v>
      </c>
      <c r="C1793" s="109">
        <f ca="1">IFERROR(__xludf.DUMMYFUNCTION("""COMPUTED_VALUE"""),16)</f>
        <v>16</v>
      </c>
      <c r="D1793" s="109" t="str">
        <f ca="1">IFERROR(__xludf.DUMMYFUNCTION("""COMPUTED_VALUE"""),"G")</f>
        <v>G</v>
      </c>
      <c r="E1793" s="110" t="str">
        <f ca="1">IFERROR(__xludf.DUMMYFUNCTION("""COMPUTED_VALUE"""),"S")</f>
        <v>S</v>
      </c>
      <c r="F1793" s="110" t="str">
        <f ca="1">IFERROR(__xludf.DUMMYFUNCTION("""COMPUTED_VALUE"""),"S")</f>
        <v>S</v>
      </c>
      <c r="G1793" s="110">
        <f ca="1">IFERROR(__xludf.DUMMYFUNCTION("""COMPUTED_VALUE"""),5)</f>
        <v>5</v>
      </c>
      <c r="H1793" s="112" t="str">
        <f ca="1"/>
        <v/>
      </c>
      <c r="I1793" s="81" t="str">
        <f ca="1"/>
        <v/>
      </c>
    </row>
    <row r="1794" spans="1:9" ht="13.2">
      <c r="A1794" s="109" t="str">
        <f ca="1">IFERROR(__xludf.DUMMYFUNCTION("""COMPUTED_VALUE"""),"S")</f>
        <v>S</v>
      </c>
      <c r="B1794" s="108" t="str">
        <f ca="1">IFERROR(__xludf.DUMMYFUNCTION("""COMPUTED_VALUE"""),"Benjamin Dane")</f>
        <v>Benjamin Dane</v>
      </c>
      <c r="C1794" s="109">
        <f ca="1">IFERROR(__xludf.DUMMYFUNCTION("""COMPUTED_VALUE"""),9)</f>
        <v>9</v>
      </c>
      <c r="D1794" s="109" t="str">
        <f ca="1">IFERROR(__xludf.DUMMYFUNCTION("""COMPUTED_VALUE"""),"B")</f>
        <v>B</v>
      </c>
      <c r="E1794" s="110" t="str">
        <f ca="1">IFERROR(__xludf.DUMMYFUNCTION("""COMPUTED_VALUE"""),"F")</f>
        <v>F</v>
      </c>
      <c r="F1794" s="110" t="str">
        <f ca="1">IFERROR(__xludf.DUMMYFUNCTION("""COMPUTED_VALUE"""),"J")</f>
        <v>J</v>
      </c>
      <c r="G1794" s="110">
        <f ca="1">IFERROR(__xludf.DUMMYFUNCTION("""COMPUTED_VALUE"""),8)</f>
        <v>8</v>
      </c>
      <c r="H1794" s="112" t="str">
        <f ca="1"/>
        <v>18.6</v>
      </c>
      <c r="I1794" s="81">
        <f ca="1"/>
        <v>18.600000000000001</v>
      </c>
    </row>
    <row r="1795" spans="1:9" ht="13.2">
      <c r="A1795" s="109" t="str">
        <f ca="1">IFERROR(__xludf.DUMMYFUNCTION("""COMPUTED_VALUE"""),"S")</f>
        <v>S</v>
      </c>
      <c r="B1795" s="108" t="str">
        <f ca="1">IFERROR(__xludf.DUMMYFUNCTION("""COMPUTED_VALUE"""),"Brendan Castro")</f>
        <v>Brendan Castro</v>
      </c>
      <c r="C1795" s="109">
        <f ca="1">IFERROR(__xludf.DUMMYFUNCTION("""COMPUTED_VALUE"""),9)</f>
        <v>9</v>
      </c>
      <c r="D1795" s="109" t="str">
        <f ca="1">IFERROR(__xludf.DUMMYFUNCTION("""COMPUTED_VALUE"""),"B")</f>
        <v>B</v>
      </c>
      <c r="E1795" s="110" t="str">
        <f ca="1">IFERROR(__xludf.DUMMYFUNCTION("""COMPUTED_VALUE"""),"F")</f>
        <v>F</v>
      </c>
      <c r="F1795" s="110" t="str">
        <f ca="1">IFERROR(__xludf.DUMMYFUNCTION("""COMPUTED_VALUE"""),"J")</f>
        <v>J</v>
      </c>
      <c r="G1795" s="110">
        <f ca="1">IFERROR(__xludf.DUMMYFUNCTION("""COMPUTED_VALUE"""),8)</f>
        <v>8</v>
      </c>
      <c r="H1795" s="112" t="str">
        <f ca="1"/>
        <v/>
      </c>
      <c r="I1795" s="81" t="str">
        <f ca="1"/>
        <v/>
      </c>
    </row>
    <row r="1796" spans="1:9" ht="13.2">
      <c r="A1796" s="109" t="str">
        <f ca="1">IFERROR(__xludf.DUMMYFUNCTION("""COMPUTED_VALUE"""),"S")</f>
        <v>S</v>
      </c>
      <c r="B1796" s="108" t="str">
        <f ca="1">IFERROR(__xludf.DUMMYFUNCTION("""COMPUTED_VALUE"""),"Caiden Calhoun")</f>
        <v>Caiden Calhoun</v>
      </c>
      <c r="C1796" s="109">
        <f ca="1">IFERROR(__xludf.DUMMYFUNCTION("""COMPUTED_VALUE"""),10)</f>
        <v>10</v>
      </c>
      <c r="D1796" s="109" t="str">
        <f ca="1">IFERROR(__xludf.DUMMYFUNCTION("""COMPUTED_VALUE"""),"B")</f>
        <v>B</v>
      </c>
      <c r="E1796" s="110" t="str">
        <f ca="1">IFERROR(__xludf.DUMMYFUNCTION("""COMPUTED_VALUE"""),"F")</f>
        <v>F</v>
      </c>
      <c r="F1796" s="110" t="str">
        <f ca="1">IFERROR(__xludf.DUMMYFUNCTION("""COMPUTED_VALUE"""),"J")</f>
        <v>J</v>
      </c>
      <c r="G1796" s="110">
        <f ca="1">IFERROR(__xludf.DUMMYFUNCTION("""COMPUTED_VALUE"""),8)</f>
        <v>8</v>
      </c>
      <c r="H1796" s="112" t="str">
        <f ca="1"/>
        <v/>
      </c>
      <c r="I1796" s="81" t="str">
        <f ca="1"/>
        <v/>
      </c>
    </row>
    <row r="1797" spans="1:9" ht="13.2">
      <c r="A1797" s="109" t="str">
        <f ca="1">IFERROR(__xludf.DUMMYFUNCTION("""COMPUTED_VALUE"""),"S")</f>
        <v>S</v>
      </c>
      <c r="B1797" s="108" t="str">
        <f ca="1">IFERROR(__xludf.DUMMYFUNCTION("""COMPUTED_VALUE"""),"Caleb Orban")</f>
        <v>Caleb Orban</v>
      </c>
      <c r="C1797" s="109">
        <f ca="1">IFERROR(__xludf.DUMMYFUNCTION("""COMPUTED_VALUE"""),10)</f>
        <v>10</v>
      </c>
      <c r="D1797" s="109" t="str">
        <f ca="1">IFERROR(__xludf.DUMMYFUNCTION("""COMPUTED_VALUE"""),"B")</f>
        <v>B</v>
      </c>
      <c r="E1797" s="110" t="str">
        <f ca="1">IFERROR(__xludf.DUMMYFUNCTION("""COMPUTED_VALUE"""),"F")</f>
        <v>F</v>
      </c>
      <c r="F1797" s="110" t="str">
        <f ca="1">IFERROR(__xludf.DUMMYFUNCTION("""COMPUTED_VALUE"""),"J")</f>
        <v>J</v>
      </c>
      <c r="G1797" s="110">
        <f ca="1">IFERROR(__xludf.DUMMYFUNCTION("""COMPUTED_VALUE"""),8)</f>
        <v>8</v>
      </c>
      <c r="H1797" s="112" t="str">
        <f ca="1"/>
        <v/>
      </c>
      <c r="I1797" s="81" t="str">
        <f ca="1"/>
        <v/>
      </c>
    </row>
    <row r="1798" spans="1:9" ht="13.2">
      <c r="A1798" s="109" t="str">
        <f ca="1">IFERROR(__xludf.DUMMYFUNCTION("""COMPUTED_VALUE"""),"S")</f>
        <v>S</v>
      </c>
      <c r="B1798" s="108" t="str">
        <f ca="1">IFERROR(__xludf.DUMMYFUNCTION("""COMPUTED_VALUE"""),"Cristiano Garcia")</f>
        <v>Cristiano Garcia</v>
      </c>
      <c r="C1798" s="109">
        <f ca="1">IFERROR(__xludf.DUMMYFUNCTION("""COMPUTED_VALUE"""),10)</f>
        <v>10</v>
      </c>
      <c r="D1798" s="109" t="str">
        <f ca="1">IFERROR(__xludf.DUMMYFUNCTION("""COMPUTED_VALUE"""),"B")</f>
        <v>B</v>
      </c>
      <c r="E1798" s="110" t="str">
        <f ca="1">IFERROR(__xludf.DUMMYFUNCTION("""COMPUTED_VALUE"""),"F")</f>
        <v>F</v>
      </c>
      <c r="F1798" s="110" t="str">
        <f ca="1">IFERROR(__xludf.DUMMYFUNCTION("""COMPUTED_VALUE"""),"J")</f>
        <v>J</v>
      </c>
      <c r="G1798" s="110">
        <f ca="1">IFERROR(__xludf.DUMMYFUNCTION("""COMPUTED_VALUE"""),8)</f>
        <v>8</v>
      </c>
      <c r="H1798" s="112" t="str">
        <f ca="1"/>
        <v/>
      </c>
      <c r="I1798" s="81" t="str">
        <f ca="1"/>
        <v/>
      </c>
    </row>
    <row r="1799" spans="1:9" ht="13.2">
      <c r="A1799" s="109" t="str">
        <f ca="1">IFERROR(__xludf.DUMMYFUNCTION("""COMPUTED_VALUE"""),"S")</f>
        <v>S</v>
      </c>
      <c r="B1799" s="108" t="str">
        <f ca="1">IFERROR(__xludf.DUMMYFUNCTION("""COMPUTED_VALUE"""),"Felix Castro")</f>
        <v>Felix Castro</v>
      </c>
      <c r="C1799" s="109">
        <f ca="1">IFERROR(__xludf.DUMMYFUNCTION("""COMPUTED_VALUE"""),7)</f>
        <v>7</v>
      </c>
      <c r="D1799" s="109" t="str">
        <f ca="1">IFERROR(__xludf.DUMMYFUNCTION("""COMPUTED_VALUE"""),"B")</f>
        <v>B</v>
      </c>
      <c r="E1799" s="110" t="str">
        <f ca="1">IFERROR(__xludf.DUMMYFUNCTION("""COMPUTED_VALUE"""),"F")</f>
        <v>F</v>
      </c>
      <c r="F1799" s="110" t="str">
        <f ca="1">IFERROR(__xludf.DUMMYFUNCTION("""COMPUTED_VALUE"""),"J")</f>
        <v>J</v>
      </c>
      <c r="G1799" s="110">
        <f ca="1">IFERROR(__xludf.DUMMYFUNCTION("""COMPUTED_VALUE"""),8)</f>
        <v>8</v>
      </c>
      <c r="H1799" s="112" t="str">
        <f ca="1"/>
        <v>29.6</v>
      </c>
      <c r="I1799" s="81">
        <f ca="1"/>
        <v>29.6</v>
      </c>
    </row>
    <row r="1800" spans="1:9" ht="13.2">
      <c r="A1800" s="109" t="str">
        <f ca="1">IFERROR(__xludf.DUMMYFUNCTION("""COMPUTED_VALUE"""),"S")</f>
        <v>S</v>
      </c>
      <c r="B1800" s="108" t="str">
        <f ca="1">IFERROR(__xludf.DUMMYFUNCTION("""COMPUTED_VALUE"""),"Fionn Cahill")</f>
        <v>Fionn Cahill</v>
      </c>
      <c r="C1800" s="109">
        <f ca="1">IFERROR(__xludf.DUMMYFUNCTION("""COMPUTED_VALUE"""),6)</f>
        <v>6</v>
      </c>
      <c r="D1800" s="109" t="str">
        <f ca="1">IFERROR(__xludf.DUMMYFUNCTION("""COMPUTED_VALUE"""),"B")</f>
        <v>B</v>
      </c>
      <c r="E1800" s="110" t="str">
        <f ca="1">IFERROR(__xludf.DUMMYFUNCTION("""COMPUTED_VALUE"""),"F")</f>
        <v>F</v>
      </c>
      <c r="F1800" s="110" t="str">
        <f ca="1">IFERROR(__xludf.DUMMYFUNCTION("""COMPUTED_VALUE"""),"J")</f>
        <v>J</v>
      </c>
      <c r="G1800" s="110">
        <f ca="1">IFERROR(__xludf.DUMMYFUNCTION("""COMPUTED_VALUE"""),8)</f>
        <v>8</v>
      </c>
      <c r="H1800" s="112" t="str">
        <f ca="1"/>
        <v/>
      </c>
      <c r="I1800" s="81" t="str">
        <f ca="1"/>
        <v/>
      </c>
    </row>
    <row r="1801" spans="1:9" ht="13.2">
      <c r="A1801" s="109" t="str">
        <f ca="1">IFERROR(__xludf.DUMMYFUNCTION("""COMPUTED_VALUE"""),"S")</f>
        <v>S</v>
      </c>
      <c r="B1801" s="108" t="str">
        <f ca="1">IFERROR(__xludf.DUMMYFUNCTION("""COMPUTED_VALUE"""),"Henry Martin")</f>
        <v>Henry Martin</v>
      </c>
      <c r="C1801" s="109">
        <f ca="1">IFERROR(__xludf.DUMMYFUNCTION("""COMPUTED_VALUE"""),8)</f>
        <v>8</v>
      </c>
      <c r="D1801" s="109" t="str">
        <f ca="1">IFERROR(__xludf.DUMMYFUNCTION("""COMPUTED_VALUE"""),"B")</f>
        <v>B</v>
      </c>
      <c r="E1801" s="110" t="str">
        <f ca="1">IFERROR(__xludf.DUMMYFUNCTION("""COMPUTED_VALUE"""),"F")</f>
        <v>F</v>
      </c>
      <c r="F1801" s="110" t="str">
        <f ca="1">IFERROR(__xludf.DUMMYFUNCTION("""COMPUTED_VALUE"""),"J")</f>
        <v>J</v>
      </c>
      <c r="G1801" s="110">
        <f ca="1">IFERROR(__xludf.DUMMYFUNCTION("""COMPUTED_VALUE"""),8)</f>
        <v>8</v>
      </c>
      <c r="H1801" s="112" t="str">
        <f ca="1"/>
        <v/>
      </c>
      <c r="I1801" s="81" t="str">
        <f ca="1"/>
        <v/>
      </c>
    </row>
    <row r="1802" spans="1:9" ht="13.2">
      <c r="A1802" s="109" t="str">
        <f ca="1">IFERROR(__xludf.DUMMYFUNCTION("""COMPUTED_VALUE"""),"S")</f>
        <v>S</v>
      </c>
      <c r="B1802" s="108" t="str">
        <f ca="1">IFERROR(__xludf.DUMMYFUNCTION("""COMPUTED_VALUE"""),"Matthew Rempe")</f>
        <v>Matthew Rempe</v>
      </c>
      <c r="C1802" s="109">
        <f ca="1">IFERROR(__xludf.DUMMYFUNCTION("""COMPUTED_VALUE"""),7)</f>
        <v>7</v>
      </c>
      <c r="D1802" s="109" t="str">
        <f ca="1">IFERROR(__xludf.DUMMYFUNCTION("""COMPUTED_VALUE"""),"B")</f>
        <v>B</v>
      </c>
      <c r="E1802" s="110" t="str">
        <f ca="1">IFERROR(__xludf.DUMMYFUNCTION("""COMPUTED_VALUE"""),"F")</f>
        <v>F</v>
      </c>
      <c r="F1802" s="110" t="str">
        <f ca="1">IFERROR(__xludf.DUMMYFUNCTION("""COMPUTED_VALUE"""),"J")</f>
        <v>J</v>
      </c>
      <c r="G1802" s="110">
        <f ca="1">IFERROR(__xludf.DUMMYFUNCTION("""COMPUTED_VALUE"""),8)</f>
        <v>8</v>
      </c>
      <c r="H1802" s="112" t="str">
        <f ca="1"/>
        <v>50.25</v>
      </c>
      <c r="I1802" s="81">
        <f ca="1"/>
        <v>50.25</v>
      </c>
    </row>
    <row r="1803" spans="1:9" ht="13.2">
      <c r="A1803" s="109" t="str">
        <f ca="1">IFERROR(__xludf.DUMMYFUNCTION("""COMPUTED_VALUE"""),"S")</f>
        <v>S</v>
      </c>
      <c r="B1803" s="108" t="str">
        <f ca="1">IFERROR(__xludf.DUMMYFUNCTION("""COMPUTED_VALUE"""),"Ali Dane")</f>
        <v>Ali Dane</v>
      </c>
      <c r="C1803" s="109">
        <f ca="1">IFERROR(__xludf.DUMMYFUNCTION("""COMPUTED_VALUE"""),8)</f>
        <v>8</v>
      </c>
      <c r="D1803" s="109" t="str">
        <f ca="1">IFERROR(__xludf.DUMMYFUNCTION("""COMPUTED_VALUE"""),"G")</f>
        <v>G</v>
      </c>
      <c r="E1803" s="110" t="str">
        <f ca="1">IFERROR(__xludf.DUMMYFUNCTION("""COMPUTED_VALUE"""),"F")</f>
        <v>F</v>
      </c>
      <c r="F1803" s="110" t="str">
        <f ca="1">IFERROR(__xludf.DUMMYFUNCTION("""COMPUTED_VALUE"""),"J")</f>
        <v>J</v>
      </c>
      <c r="G1803" s="110">
        <f ca="1">IFERROR(__xludf.DUMMYFUNCTION("""COMPUTED_VALUE"""),8)</f>
        <v>8</v>
      </c>
      <c r="H1803" s="112" t="str">
        <f ca="1"/>
        <v>19.25</v>
      </c>
      <c r="I1803" s="81">
        <f ca="1"/>
        <v>19.25</v>
      </c>
    </row>
    <row r="1804" spans="1:9" ht="13.2">
      <c r="A1804" s="109" t="str">
        <f ca="1">IFERROR(__xludf.DUMMYFUNCTION("""COMPUTED_VALUE"""),"S")</f>
        <v>S</v>
      </c>
      <c r="B1804" s="108" t="str">
        <f ca="1">IFERROR(__xludf.DUMMYFUNCTION("""COMPUTED_VALUE"""),"Anna Silver")</f>
        <v>Anna Silver</v>
      </c>
      <c r="C1804" s="109">
        <f ca="1">IFERROR(__xludf.DUMMYFUNCTION("""COMPUTED_VALUE"""),7)</f>
        <v>7</v>
      </c>
      <c r="D1804" s="109" t="str">
        <f ca="1">IFERROR(__xludf.DUMMYFUNCTION("""COMPUTED_VALUE"""),"G")</f>
        <v>G</v>
      </c>
      <c r="E1804" s="110" t="str">
        <f ca="1">IFERROR(__xludf.DUMMYFUNCTION("""COMPUTED_VALUE"""),"F")</f>
        <v>F</v>
      </c>
      <c r="F1804" s="110" t="str">
        <f ca="1">IFERROR(__xludf.DUMMYFUNCTION("""COMPUTED_VALUE"""),"J")</f>
        <v>J</v>
      </c>
      <c r="G1804" s="110">
        <f ca="1">IFERROR(__xludf.DUMMYFUNCTION("""COMPUTED_VALUE"""),8)</f>
        <v>8</v>
      </c>
      <c r="H1804" s="112" t="str">
        <f ca="1"/>
        <v>23.4</v>
      </c>
      <c r="I1804" s="81">
        <f ca="1"/>
        <v>23.4</v>
      </c>
    </row>
    <row r="1805" spans="1:9" ht="13.2">
      <c r="A1805" s="109" t="str">
        <f ca="1">IFERROR(__xludf.DUMMYFUNCTION("""COMPUTED_VALUE"""),"S")</f>
        <v>S</v>
      </c>
      <c r="B1805" s="108" t="str">
        <f ca="1">IFERROR(__xludf.DUMMYFUNCTION("""COMPUTED_VALUE"""),"Avery Berg")</f>
        <v>Avery Berg</v>
      </c>
      <c r="C1805" s="109">
        <f ca="1">IFERROR(__xludf.DUMMYFUNCTION("""COMPUTED_VALUE"""),10)</f>
        <v>10</v>
      </c>
      <c r="D1805" s="109" t="str">
        <f ca="1">IFERROR(__xludf.DUMMYFUNCTION("""COMPUTED_VALUE"""),"G")</f>
        <v>G</v>
      </c>
      <c r="E1805" s="110" t="str">
        <f ca="1">IFERROR(__xludf.DUMMYFUNCTION("""COMPUTED_VALUE"""),"F")</f>
        <v>F</v>
      </c>
      <c r="F1805" s="110" t="str">
        <f ca="1">IFERROR(__xludf.DUMMYFUNCTION("""COMPUTED_VALUE"""),"J")</f>
        <v>J</v>
      </c>
      <c r="G1805" s="110">
        <f ca="1">IFERROR(__xludf.DUMMYFUNCTION("""COMPUTED_VALUE"""),8)</f>
        <v>8</v>
      </c>
      <c r="H1805" s="112" t="str">
        <f ca="1"/>
        <v>26.75</v>
      </c>
      <c r="I1805" s="81">
        <f ca="1"/>
        <v>26.75</v>
      </c>
    </row>
    <row r="1806" spans="1:9" ht="13.2">
      <c r="A1806" s="109" t="str">
        <f ca="1">IFERROR(__xludf.DUMMYFUNCTION("""COMPUTED_VALUE"""),"S")</f>
        <v>S</v>
      </c>
      <c r="B1806" s="108" t="str">
        <f ca="1">IFERROR(__xludf.DUMMYFUNCTION("""COMPUTED_VALUE"""),"Brigid Cahill")</f>
        <v>Brigid Cahill</v>
      </c>
      <c r="C1806" s="109">
        <f ca="1">IFERROR(__xludf.DUMMYFUNCTION("""COMPUTED_VALUE"""),8)</f>
        <v>8</v>
      </c>
      <c r="D1806" s="109" t="str">
        <f ca="1">IFERROR(__xludf.DUMMYFUNCTION("""COMPUTED_VALUE"""),"G")</f>
        <v>G</v>
      </c>
      <c r="E1806" s="110" t="str">
        <f ca="1">IFERROR(__xludf.DUMMYFUNCTION("""COMPUTED_VALUE"""),"F")</f>
        <v>F</v>
      </c>
      <c r="F1806" s="110" t="str">
        <f ca="1">IFERROR(__xludf.DUMMYFUNCTION("""COMPUTED_VALUE"""),"J")</f>
        <v>J</v>
      </c>
      <c r="G1806" s="110">
        <f ca="1">IFERROR(__xludf.DUMMYFUNCTION("""COMPUTED_VALUE"""),8)</f>
        <v>8</v>
      </c>
      <c r="H1806" s="112" t="str">
        <f ca="1"/>
        <v>37.5</v>
      </c>
      <c r="I1806" s="81">
        <f ca="1"/>
        <v>37.5</v>
      </c>
    </row>
    <row r="1807" spans="1:9" ht="13.2">
      <c r="A1807" s="109" t="str">
        <f ca="1">IFERROR(__xludf.DUMMYFUNCTION("""COMPUTED_VALUE"""),"S")</f>
        <v>S</v>
      </c>
      <c r="B1807" s="108" t="str">
        <f ca="1">IFERROR(__xludf.DUMMYFUNCTION("""COMPUTED_VALUE"""),"Isabella Darter")</f>
        <v>Isabella Darter</v>
      </c>
      <c r="C1807" s="109">
        <f ca="1">IFERROR(__xludf.DUMMYFUNCTION("""COMPUTED_VALUE"""),9)</f>
        <v>9</v>
      </c>
      <c r="D1807" s="109" t="str">
        <f ca="1">IFERROR(__xludf.DUMMYFUNCTION("""COMPUTED_VALUE"""),"G")</f>
        <v>G</v>
      </c>
      <c r="E1807" s="110" t="str">
        <f ca="1">IFERROR(__xludf.DUMMYFUNCTION("""COMPUTED_VALUE"""),"F")</f>
        <v>F</v>
      </c>
      <c r="F1807" s="110" t="str">
        <f ca="1">IFERROR(__xludf.DUMMYFUNCTION("""COMPUTED_VALUE"""),"J")</f>
        <v>J</v>
      </c>
      <c r="G1807" s="110">
        <f ca="1">IFERROR(__xludf.DUMMYFUNCTION("""COMPUTED_VALUE"""),8)</f>
        <v>8</v>
      </c>
      <c r="H1807" s="112" t="str">
        <f ca="1"/>
        <v/>
      </c>
      <c r="I1807" s="81" t="str">
        <f ca="1"/>
        <v/>
      </c>
    </row>
    <row r="1808" spans="1:9" ht="13.2">
      <c r="A1808" s="109" t="str">
        <f ca="1">IFERROR(__xludf.DUMMYFUNCTION("""COMPUTED_VALUE"""),"S")</f>
        <v>S</v>
      </c>
      <c r="B1808" s="108" t="str">
        <f ca="1">IFERROR(__xludf.DUMMYFUNCTION("""COMPUTED_VALUE"""),"Maeve Cahill")</f>
        <v>Maeve Cahill</v>
      </c>
      <c r="C1808" s="109">
        <f ca="1">IFERROR(__xludf.DUMMYFUNCTION("""COMPUTED_VALUE"""),6)</f>
        <v>6</v>
      </c>
      <c r="D1808" s="109" t="str">
        <f ca="1">IFERROR(__xludf.DUMMYFUNCTION("""COMPUTED_VALUE"""),"G")</f>
        <v>G</v>
      </c>
      <c r="E1808" s="110" t="str">
        <f ca="1">IFERROR(__xludf.DUMMYFUNCTION("""COMPUTED_VALUE"""),"F")</f>
        <v>F</v>
      </c>
      <c r="F1808" s="110" t="str">
        <f ca="1">IFERROR(__xludf.DUMMYFUNCTION("""COMPUTED_VALUE"""),"J")</f>
        <v>J</v>
      </c>
      <c r="G1808" s="110">
        <f ca="1">IFERROR(__xludf.DUMMYFUNCTION("""COMPUTED_VALUE"""),8)</f>
        <v>8</v>
      </c>
      <c r="H1808" s="112" t="str">
        <f ca="1"/>
        <v>17.75</v>
      </c>
      <c r="I1808" s="81">
        <f ca="1"/>
        <v>17.75</v>
      </c>
    </row>
    <row r="1809" spans="1:9" ht="13.2">
      <c r="A1809" s="109" t="str">
        <f ca="1">IFERROR(__xludf.DUMMYFUNCTION("""COMPUTED_VALUE"""),"S")</f>
        <v>S</v>
      </c>
      <c r="B1809" s="108" t="str">
        <f ca="1">IFERROR(__xludf.DUMMYFUNCTION("""COMPUTED_VALUE"""),"Viviana Del Campo")</f>
        <v>Viviana Del Campo</v>
      </c>
      <c r="C1809" s="109">
        <f ca="1">IFERROR(__xludf.DUMMYFUNCTION("""COMPUTED_VALUE"""),6)</f>
        <v>6</v>
      </c>
      <c r="D1809" s="109" t="str">
        <f ca="1">IFERROR(__xludf.DUMMYFUNCTION("""COMPUTED_VALUE"""),"G")</f>
        <v>G</v>
      </c>
      <c r="E1809" s="110" t="str">
        <f ca="1">IFERROR(__xludf.DUMMYFUNCTION("""COMPUTED_VALUE"""),"F")</f>
        <v>F</v>
      </c>
      <c r="F1809" s="110" t="str">
        <f ca="1">IFERROR(__xludf.DUMMYFUNCTION("""COMPUTED_VALUE"""),"J")</f>
        <v>J</v>
      </c>
      <c r="G1809" s="110">
        <f ca="1">IFERROR(__xludf.DUMMYFUNCTION("""COMPUTED_VALUE"""),8)</f>
        <v>8</v>
      </c>
      <c r="H1809" s="112" t="str">
        <f ca="1"/>
        <v>22.75</v>
      </c>
      <c r="I1809" s="81">
        <f ca="1"/>
        <v>22.75</v>
      </c>
    </row>
    <row r="1810" spans="1:9" ht="13.2">
      <c r="A1810" s="109" t="str">
        <f ca="1">IFERROR(__xludf.DUMMYFUNCTION("""COMPUTED_VALUE"""),"S")</f>
        <v>S</v>
      </c>
      <c r="B1810" s="108" t="str">
        <f ca="1">IFERROR(__xludf.DUMMYFUNCTION("""COMPUTED_VALUE"""),"Zoe Hudson")</f>
        <v>Zoe Hudson</v>
      </c>
      <c r="C1810" s="109">
        <f ca="1">IFERROR(__xludf.DUMMYFUNCTION("""COMPUTED_VALUE"""),8)</f>
        <v>8</v>
      </c>
      <c r="D1810" s="109" t="str">
        <f ca="1">IFERROR(__xludf.DUMMYFUNCTION("""COMPUTED_VALUE"""),"G")</f>
        <v>G</v>
      </c>
      <c r="E1810" s="110" t="str">
        <f ca="1">IFERROR(__xludf.DUMMYFUNCTION("""COMPUTED_VALUE"""),"F")</f>
        <v>F</v>
      </c>
      <c r="F1810" s="110" t="str">
        <f ca="1">IFERROR(__xludf.DUMMYFUNCTION("""COMPUTED_VALUE"""),"J")</f>
        <v>J</v>
      </c>
      <c r="G1810" s="110">
        <f ca="1">IFERROR(__xludf.DUMMYFUNCTION("""COMPUTED_VALUE"""),8)</f>
        <v>8</v>
      </c>
      <c r="H1810" s="112" t="str">
        <f ca="1"/>
        <v>14</v>
      </c>
      <c r="I1810" s="81">
        <f ca="1"/>
        <v>14</v>
      </c>
    </row>
    <row r="1811" spans="1:9" ht="13.2">
      <c r="A1811" s="109" t="str">
        <f ca="1">IFERROR(__xludf.DUMMYFUNCTION("""COMPUTED_VALUE"""),"S")</f>
        <v>S</v>
      </c>
      <c r="B1811" s="108" t="str">
        <f ca="1">IFERROR(__xludf.DUMMYFUNCTION("""COMPUTED_VALUE"""),"Nat O'Brien")</f>
        <v>Nat O'Brien</v>
      </c>
      <c r="C1811" s="109">
        <f ca="1">IFERROR(__xludf.DUMMYFUNCTION("""COMPUTED_VALUE"""),12)</f>
        <v>12</v>
      </c>
      <c r="D1811" s="109" t="str">
        <f ca="1">IFERROR(__xludf.DUMMYFUNCTION("""COMPUTED_VALUE"""),"B")</f>
        <v>B</v>
      </c>
      <c r="E1811" s="110" t="str">
        <f ca="1">IFERROR(__xludf.DUMMYFUNCTION("""COMPUTED_VALUE"""),"J")</f>
        <v>J</v>
      </c>
      <c r="F1811" s="110" t="str">
        <f ca="1">IFERROR(__xludf.DUMMYFUNCTION("""COMPUTED_VALUE"""),"I")</f>
        <v>I</v>
      </c>
      <c r="G1811" s="110">
        <f ca="1">IFERROR(__xludf.DUMMYFUNCTION("""COMPUTED_VALUE"""),8)</f>
        <v>8</v>
      </c>
      <c r="H1811" s="112" t="str">
        <f ca="1"/>
        <v/>
      </c>
      <c r="I1811" s="81" t="str">
        <f ca="1"/>
        <v/>
      </c>
    </row>
    <row r="1812" spans="1:9" ht="13.2">
      <c r="A1812" s="109" t="str">
        <f ca="1">IFERROR(__xludf.DUMMYFUNCTION("""COMPUTED_VALUE"""),"S")</f>
        <v>S</v>
      </c>
      <c r="B1812" s="108" t="str">
        <f ca="1">IFERROR(__xludf.DUMMYFUNCTION("""COMPUTED_VALUE"""),"Grace Rempe")</f>
        <v>Grace Rempe</v>
      </c>
      <c r="C1812" s="109">
        <f ca="1">IFERROR(__xludf.DUMMYFUNCTION("""COMPUTED_VALUE"""),11)</f>
        <v>11</v>
      </c>
      <c r="D1812" s="109" t="str">
        <f ca="1">IFERROR(__xludf.DUMMYFUNCTION("""COMPUTED_VALUE"""),"G")</f>
        <v>G</v>
      </c>
      <c r="E1812" s="110" t="str">
        <f ca="1">IFERROR(__xludf.DUMMYFUNCTION("""COMPUTED_VALUE"""),"J")</f>
        <v>J</v>
      </c>
      <c r="F1812" s="110" t="str">
        <f ca="1">IFERROR(__xludf.DUMMYFUNCTION("""COMPUTED_VALUE"""),"I")</f>
        <v>I</v>
      </c>
      <c r="G1812" s="110">
        <f ca="1">IFERROR(__xludf.DUMMYFUNCTION("""COMPUTED_VALUE"""),8)</f>
        <v>8</v>
      </c>
      <c r="H1812" s="112" t="str">
        <f ca="1"/>
        <v/>
      </c>
      <c r="I1812" s="81" t="str">
        <f ca="1"/>
        <v/>
      </c>
    </row>
    <row r="1813" spans="1:9" ht="13.2">
      <c r="A1813" s="109" t="str">
        <f ca="1">IFERROR(__xludf.DUMMYFUNCTION("""COMPUTED_VALUE"""),"S")</f>
        <v>S</v>
      </c>
      <c r="B1813" s="108" t="str">
        <f ca="1">IFERROR(__xludf.DUMMYFUNCTION("""COMPUTED_VALUE"""),"Kaia Clark")</f>
        <v>Kaia Clark</v>
      </c>
      <c r="C1813" s="109">
        <f ca="1">IFERROR(__xludf.DUMMYFUNCTION("""COMPUTED_VALUE"""),12)</f>
        <v>12</v>
      </c>
      <c r="D1813" s="109" t="str">
        <f ca="1">IFERROR(__xludf.DUMMYFUNCTION("""COMPUTED_VALUE"""),"G")</f>
        <v>G</v>
      </c>
      <c r="E1813" s="110" t="str">
        <f ca="1">IFERROR(__xludf.DUMMYFUNCTION("""COMPUTED_VALUE"""),"J")</f>
        <v>J</v>
      </c>
      <c r="F1813" s="110" t="str">
        <f ca="1">IFERROR(__xludf.DUMMYFUNCTION("""COMPUTED_VALUE"""),"I")</f>
        <v>I</v>
      </c>
      <c r="G1813" s="110">
        <f ca="1">IFERROR(__xludf.DUMMYFUNCTION("""COMPUTED_VALUE"""),8)</f>
        <v>8</v>
      </c>
      <c r="H1813" s="112" t="str">
        <f ca="1"/>
        <v/>
      </c>
      <c r="I1813" s="81" t="str">
        <f ca="1"/>
        <v/>
      </c>
    </row>
    <row r="1814" spans="1:9" ht="13.2">
      <c r="A1814" s="109" t="str">
        <f ca="1">IFERROR(__xludf.DUMMYFUNCTION("""COMPUTED_VALUE"""),"S")</f>
        <v>S</v>
      </c>
      <c r="B1814" s="108" t="str">
        <f ca="1">IFERROR(__xludf.DUMMYFUNCTION("""COMPUTED_VALUE"""),"Ari Snow")</f>
        <v>Ari Snow</v>
      </c>
      <c r="C1814" s="109">
        <f ca="1">IFERROR(__xludf.DUMMYFUNCTION("""COMPUTED_VALUE"""),18)</f>
        <v>18</v>
      </c>
      <c r="D1814" s="109" t="str">
        <f ca="1">IFERROR(__xludf.DUMMYFUNCTION("""COMPUTED_VALUE"""),"B")</f>
        <v>B</v>
      </c>
      <c r="E1814" s="110" t="str">
        <f ca="1">IFERROR(__xludf.DUMMYFUNCTION("""COMPUTED_VALUE"""),"S")</f>
        <v>S</v>
      </c>
      <c r="F1814" s="110" t="str">
        <f ca="1">IFERROR(__xludf.DUMMYFUNCTION("""COMPUTED_VALUE"""),"S")</f>
        <v>S</v>
      </c>
      <c r="G1814" s="110">
        <f ca="1">IFERROR(__xludf.DUMMYFUNCTION("""COMPUTED_VALUE"""),8)</f>
        <v>8</v>
      </c>
      <c r="H1814" s="112" t="str">
        <f ca="1"/>
        <v/>
      </c>
      <c r="I1814" s="81" t="str">
        <f ca="1"/>
        <v/>
      </c>
    </row>
    <row r="1815" spans="1:9" ht="13.2">
      <c r="A1815" s="109" t="str">
        <f ca="1">IFERROR(__xludf.DUMMYFUNCTION("""COMPUTED_VALUE"""),"S")</f>
        <v>S</v>
      </c>
      <c r="B1815" s="108" t="str">
        <f ca="1">IFERROR(__xludf.DUMMYFUNCTION("""COMPUTED_VALUE"""),"Tim Isenberg")</f>
        <v>Tim Isenberg</v>
      </c>
      <c r="C1815" s="109">
        <f ca="1">IFERROR(__xludf.DUMMYFUNCTION("""COMPUTED_VALUE"""),17)</f>
        <v>17</v>
      </c>
      <c r="D1815" s="109" t="str">
        <f ca="1">IFERROR(__xludf.DUMMYFUNCTION("""COMPUTED_VALUE"""),"B")</f>
        <v>B</v>
      </c>
      <c r="E1815" s="110" t="str">
        <f ca="1">IFERROR(__xludf.DUMMYFUNCTION("""COMPUTED_VALUE"""),"S")</f>
        <v>S</v>
      </c>
      <c r="F1815" s="110" t="str">
        <f ca="1">IFERROR(__xludf.DUMMYFUNCTION("""COMPUTED_VALUE"""),"S")</f>
        <v>S</v>
      </c>
      <c r="G1815" s="110">
        <f ca="1">IFERROR(__xludf.DUMMYFUNCTION("""COMPUTED_VALUE"""),8)</f>
        <v>8</v>
      </c>
      <c r="H1815" s="112" t="str">
        <f ca="1"/>
        <v/>
      </c>
      <c r="I1815" s="81" t="str">
        <f ca="1"/>
        <v/>
      </c>
    </row>
    <row r="1816" spans="1:9" ht="13.2">
      <c r="A1816" s="109" t="str">
        <f ca="1">IFERROR(__xludf.DUMMYFUNCTION("""COMPUTED_VALUE"""),"S")</f>
        <v>S</v>
      </c>
      <c r="B1816" s="108" t="str">
        <f ca="1">IFERROR(__xludf.DUMMYFUNCTION("""COMPUTED_VALUE"""),"Abby Bangs")</f>
        <v>Abby Bangs</v>
      </c>
      <c r="C1816" s="109">
        <f ca="1">IFERROR(__xludf.DUMMYFUNCTION("""COMPUTED_VALUE"""),17)</f>
        <v>17</v>
      </c>
      <c r="D1816" s="109" t="str">
        <f ca="1">IFERROR(__xludf.DUMMYFUNCTION("""COMPUTED_VALUE"""),"G")</f>
        <v>G</v>
      </c>
      <c r="E1816" s="110" t="str">
        <f ca="1">IFERROR(__xludf.DUMMYFUNCTION("""COMPUTED_VALUE"""),"S")</f>
        <v>S</v>
      </c>
      <c r="F1816" s="110" t="str">
        <f ca="1">IFERROR(__xludf.DUMMYFUNCTION("""COMPUTED_VALUE"""),"S")</f>
        <v>S</v>
      </c>
      <c r="G1816" s="110">
        <f ca="1">IFERROR(__xludf.DUMMYFUNCTION("""COMPUTED_VALUE"""),8)</f>
        <v>8</v>
      </c>
      <c r="H1816" s="112" t="str">
        <f ca="1"/>
        <v/>
      </c>
      <c r="I1816" s="81" t="str">
        <f ca="1"/>
        <v/>
      </c>
    </row>
    <row r="1817" spans="1:9" ht="13.2">
      <c r="A1817" s="109" t="str">
        <f ca="1">IFERROR(__xludf.DUMMYFUNCTION("""COMPUTED_VALUE"""),"S")</f>
        <v>S</v>
      </c>
      <c r="B1817" s="108" t="str">
        <f ca="1">IFERROR(__xludf.DUMMYFUNCTION("""COMPUTED_VALUE"""),"Grace Partain")</f>
        <v>Grace Partain</v>
      </c>
      <c r="C1817" s="109">
        <f ca="1">IFERROR(__xludf.DUMMYFUNCTION("""COMPUTED_VALUE"""),15)</f>
        <v>15</v>
      </c>
      <c r="D1817" s="109" t="str">
        <f ca="1">IFERROR(__xludf.DUMMYFUNCTION("""COMPUTED_VALUE"""),"G")</f>
        <v>G</v>
      </c>
      <c r="E1817" s="110" t="str">
        <f ca="1">IFERROR(__xludf.DUMMYFUNCTION("""COMPUTED_VALUE"""),"S")</f>
        <v>S</v>
      </c>
      <c r="F1817" s="110" t="str">
        <f ca="1">IFERROR(__xludf.DUMMYFUNCTION("""COMPUTED_VALUE"""),"S")</f>
        <v>S</v>
      </c>
      <c r="G1817" s="110">
        <f ca="1">IFERROR(__xludf.DUMMYFUNCTION("""COMPUTED_VALUE"""),8)</f>
        <v>8</v>
      </c>
      <c r="H1817" s="112" t="str">
        <f ca="1"/>
        <v/>
      </c>
      <c r="I1817" s="81" t="str">
        <f ca="1"/>
        <v/>
      </c>
    </row>
    <row r="1818" spans="1:9" ht="13.2">
      <c r="A1818" s="109" t="str">
        <f ca="1">IFERROR(__xludf.DUMMYFUNCTION("""COMPUTED_VALUE"""),"SB")</f>
        <v>SB</v>
      </c>
      <c r="B1818" s="108" t="str">
        <f ca="1">IFERROR(__xludf.DUMMYFUNCTION("""COMPUTED_VALUE"""),"Aiden Sutherland")</f>
        <v>Aiden Sutherland</v>
      </c>
      <c r="C1818" s="109">
        <f ca="1">IFERROR(__xludf.DUMMYFUNCTION("""COMPUTED_VALUE"""),8)</f>
        <v>8</v>
      </c>
      <c r="D1818" s="109" t="str">
        <f ca="1">IFERROR(__xludf.DUMMYFUNCTION("""COMPUTED_VALUE"""),"B")</f>
        <v>B</v>
      </c>
      <c r="E1818" s="110" t="str">
        <f ca="1">IFERROR(__xludf.DUMMYFUNCTION("""COMPUTED_VALUE"""),"F")</f>
        <v>F</v>
      </c>
      <c r="F1818" s="110" t="str">
        <f ca="1">IFERROR(__xludf.DUMMYFUNCTION("""COMPUTED_VALUE"""),"J")</f>
        <v>J</v>
      </c>
      <c r="G1818" s="110">
        <f ca="1">IFERROR(__xludf.DUMMYFUNCTION("""COMPUTED_VALUE"""),7)</f>
        <v>7</v>
      </c>
      <c r="H1818" s="112" t="str">
        <f ca="1"/>
        <v/>
      </c>
      <c r="I1818" s="81" t="str">
        <f ca="1"/>
        <v/>
      </c>
    </row>
    <row r="1819" spans="1:9" ht="13.2">
      <c r="A1819" s="109" t="str">
        <f ca="1">IFERROR(__xludf.DUMMYFUNCTION("""COMPUTED_VALUE"""),"SB")</f>
        <v>SB</v>
      </c>
      <c r="B1819" s="108" t="str">
        <f ca="1">IFERROR(__xludf.DUMMYFUNCTION("""COMPUTED_VALUE"""),"Jack Wahler")</f>
        <v>Jack Wahler</v>
      </c>
      <c r="C1819" s="109">
        <f ca="1">IFERROR(__xludf.DUMMYFUNCTION("""COMPUTED_VALUE"""),7)</f>
        <v>7</v>
      </c>
      <c r="D1819" s="109" t="str">
        <f ca="1">IFERROR(__xludf.DUMMYFUNCTION("""COMPUTED_VALUE"""),"B")</f>
        <v>B</v>
      </c>
      <c r="E1819" s="110" t="str">
        <f ca="1">IFERROR(__xludf.DUMMYFUNCTION("""COMPUTED_VALUE"""),"F")</f>
        <v>F</v>
      </c>
      <c r="F1819" s="110" t="str">
        <f ca="1">IFERROR(__xludf.DUMMYFUNCTION("""COMPUTED_VALUE"""),"J")</f>
        <v>J</v>
      </c>
      <c r="G1819" s="110">
        <f ca="1">IFERROR(__xludf.DUMMYFUNCTION("""COMPUTED_VALUE"""),7)</f>
        <v>7</v>
      </c>
      <c r="H1819" s="112" t="str">
        <f ca="1"/>
        <v/>
      </c>
      <c r="I1819" s="81" t="str">
        <f ca="1"/>
        <v/>
      </c>
    </row>
    <row r="1820" spans="1:9" ht="13.2">
      <c r="A1820" s="109" t="str">
        <f ca="1">IFERROR(__xludf.DUMMYFUNCTION("""COMPUTED_VALUE"""),"SB")</f>
        <v>SB</v>
      </c>
      <c r="B1820" s="108" t="str">
        <f ca="1">IFERROR(__xludf.DUMMYFUNCTION("""COMPUTED_VALUE"""),"Ronan Fuller")</f>
        <v>Ronan Fuller</v>
      </c>
      <c r="C1820" s="109">
        <f ca="1">IFERROR(__xludf.DUMMYFUNCTION("""COMPUTED_VALUE"""),10)</f>
        <v>10</v>
      </c>
      <c r="D1820" s="109" t="str">
        <f ca="1">IFERROR(__xludf.DUMMYFUNCTION("""COMPUTED_VALUE"""),"B")</f>
        <v>B</v>
      </c>
      <c r="E1820" s="110" t="str">
        <f ca="1">IFERROR(__xludf.DUMMYFUNCTION("""COMPUTED_VALUE"""),"F")</f>
        <v>F</v>
      </c>
      <c r="F1820" s="110" t="str">
        <f ca="1">IFERROR(__xludf.DUMMYFUNCTION("""COMPUTED_VALUE"""),"J")</f>
        <v>J</v>
      </c>
      <c r="G1820" s="110">
        <f ca="1">IFERROR(__xludf.DUMMYFUNCTION("""COMPUTED_VALUE"""),7)</f>
        <v>7</v>
      </c>
      <c r="H1820" s="112" t="str">
        <f ca="1"/>
        <v/>
      </c>
      <c r="I1820" s="81" t="str">
        <f ca="1"/>
        <v/>
      </c>
    </row>
    <row r="1821" spans="1:9" ht="13.2">
      <c r="A1821" s="109" t="str">
        <f ca="1">IFERROR(__xludf.DUMMYFUNCTION("""COMPUTED_VALUE"""),"SB")</f>
        <v>SB</v>
      </c>
      <c r="B1821" s="108" t="str">
        <f ca="1">IFERROR(__xludf.DUMMYFUNCTION("""COMPUTED_VALUE"""),"Sean McNamee")</f>
        <v>Sean McNamee</v>
      </c>
      <c r="C1821" s="109">
        <f ca="1">IFERROR(__xludf.DUMMYFUNCTION("""COMPUTED_VALUE"""),7)</f>
        <v>7</v>
      </c>
      <c r="D1821" s="109" t="str">
        <f ca="1">IFERROR(__xludf.DUMMYFUNCTION("""COMPUTED_VALUE"""),"B")</f>
        <v>B</v>
      </c>
      <c r="E1821" s="110" t="str">
        <f ca="1">IFERROR(__xludf.DUMMYFUNCTION("""COMPUTED_VALUE"""),"F")</f>
        <v>F</v>
      </c>
      <c r="F1821" s="110" t="str">
        <f ca="1">IFERROR(__xludf.DUMMYFUNCTION("""COMPUTED_VALUE"""),"J")</f>
        <v>J</v>
      </c>
      <c r="G1821" s="110">
        <f ca="1">IFERROR(__xludf.DUMMYFUNCTION("""COMPUTED_VALUE"""),7)</f>
        <v>7</v>
      </c>
      <c r="H1821" s="112" t="str">
        <f ca="1"/>
        <v/>
      </c>
      <c r="I1821" s="81" t="str">
        <f ca="1"/>
        <v/>
      </c>
    </row>
    <row r="1822" spans="1:9" ht="13.2">
      <c r="A1822" s="109" t="str">
        <f ca="1">IFERROR(__xludf.DUMMYFUNCTION("""COMPUTED_VALUE"""),"SB")</f>
        <v>SB</v>
      </c>
      <c r="B1822" s="108" t="str">
        <f ca="1">IFERROR(__xludf.DUMMYFUNCTION("""COMPUTED_VALUE"""),"Addison McNamee")</f>
        <v>Addison McNamee</v>
      </c>
      <c r="C1822" s="109">
        <f ca="1">IFERROR(__xludf.DUMMYFUNCTION("""COMPUTED_VALUE"""),9)</f>
        <v>9</v>
      </c>
      <c r="D1822" s="109" t="str">
        <f ca="1">IFERROR(__xludf.DUMMYFUNCTION("""COMPUTED_VALUE"""),"G")</f>
        <v>G</v>
      </c>
      <c r="E1822" s="110" t="str">
        <f ca="1">IFERROR(__xludf.DUMMYFUNCTION("""COMPUTED_VALUE"""),"F")</f>
        <v>F</v>
      </c>
      <c r="F1822" s="110" t="str">
        <f ca="1">IFERROR(__xludf.DUMMYFUNCTION("""COMPUTED_VALUE"""),"J")</f>
        <v>J</v>
      </c>
      <c r="G1822" s="110">
        <f ca="1">IFERROR(__xludf.DUMMYFUNCTION("""COMPUTED_VALUE"""),7)</f>
        <v>7</v>
      </c>
      <c r="H1822" s="112" t="str">
        <f ca="1"/>
        <v/>
      </c>
      <c r="I1822" s="81" t="str">
        <f ca="1"/>
        <v/>
      </c>
    </row>
    <row r="1823" spans="1:9" ht="13.2">
      <c r="A1823" s="109" t="str">
        <f ca="1">IFERROR(__xludf.DUMMYFUNCTION("""COMPUTED_VALUE"""),"SB")</f>
        <v>SB</v>
      </c>
      <c r="B1823" s="108" t="str">
        <f ca="1">IFERROR(__xludf.DUMMYFUNCTION("""COMPUTED_VALUE"""),"Anna Berriman")</f>
        <v>Anna Berriman</v>
      </c>
      <c r="C1823" s="109">
        <f ca="1">IFERROR(__xludf.DUMMYFUNCTION("""COMPUTED_VALUE"""),6)</f>
        <v>6</v>
      </c>
      <c r="D1823" s="109" t="str">
        <f ca="1">IFERROR(__xludf.DUMMYFUNCTION("""COMPUTED_VALUE"""),"G")</f>
        <v>G</v>
      </c>
      <c r="E1823" s="110" t="str">
        <f ca="1">IFERROR(__xludf.DUMMYFUNCTION("""COMPUTED_VALUE"""),"F")</f>
        <v>F</v>
      </c>
      <c r="F1823" s="110" t="str">
        <f ca="1">IFERROR(__xludf.DUMMYFUNCTION("""COMPUTED_VALUE"""),"J")</f>
        <v>J</v>
      </c>
      <c r="G1823" s="110">
        <f ca="1">IFERROR(__xludf.DUMMYFUNCTION("""COMPUTED_VALUE"""),7)</f>
        <v>7</v>
      </c>
      <c r="H1823" s="112" t="str">
        <f ca="1"/>
        <v/>
      </c>
      <c r="I1823" s="81" t="str">
        <f ca="1"/>
        <v/>
      </c>
    </row>
    <row r="1824" spans="1:9" ht="13.2">
      <c r="A1824" s="109" t="str">
        <f ca="1">IFERROR(__xludf.DUMMYFUNCTION("""COMPUTED_VALUE"""),"SB")</f>
        <v>SB</v>
      </c>
      <c r="B1824" s="108" t="str">
        <f ca="1">IFERROR(__xludf.DUMMYFUNCTION("""COMPUTED_VALUE"""),"Annabelle Van Pool")</f>
        <v>Annabelle Van Pool</v>
      </c>
      <c r="C1824" s="109">
        <f ca="1">IFERROR(__xludf.DUMMYFUNCTION("""COMPUTED_VALUE"""),8)</f>
        <v>8</v>
      </c>
      <c r="D1824" s="109" t="str">
        <f ca="1">IFERROR(__xludf.DUMMYFUNCTION("""COMPUTED_VALUE"""),"G")</f>
        <v>G</v>
      </c>
      <c r="E1824" s="110" t="str">
        <f ca="1">IFERROR(__xludf.DUMMYFUNCTION("""COMPUTED_VALUE"""),"F")</f>
        <v>F</v>
      </c>
      <c r="F1824" s="110" t="str">
        <f ca="1">IFERROR(__xludf.DUMMYFUNCTION("""COMPUTED_VALUE"""),"J")</f>
        <v>J</v>
      </c>
      <c r="G1824" s="110">
        <f ca="1">IFERROR(__xludf.DUMMYFUNCTION("""COMPUTED_VALUE"""),7)</f>
        <v>7</v>
      </c>
      <c r="H1824" s="112" t="str">
        <f ca="1"/>
        <v/>
      </c>
      <c r="I1824" s="81" t="str">
        <f ca="1"/>
        <v/>
      </c>
    </row>
    <row r="1825" spans="1:9" ht="13.2">
      <c r="A1825" s="109" t="str">
        <f ca="1">IFERROR(__xludf.DUMMYFUNCTION("""COMPUTED_VALUE"""),"SB")</f>
        <v>SB</v>
      </c>
      <c r="B1825" s="108" t="str">
        <f ca="1">IFERROR(__xludf.DUMMYFUNCTION("""COMPUTED_VALUE"""),"Bree Doss")</f>
        <v>Bree Doss</v>
      </c>
      <c r="C1825" s="109">
        <f ca="1">IFERROR(__xludf.DUMMYFUNCTION("""COMPUTED_VALUE"""),7)</f>
        <v>7</v>
      </c>
      <c r="D1825" s="109" t="str">
        <f ca="1">IFERROR(__xludf.DUMMYFUNCTION("""COMPUTED_VALUE"""),"G")</f>
        <v>G</v>
      </c>
      <c r="E1825" s="110" t="str">
        <f ca="1">IFERROR(__xludf.DUMMYFUNCTION("""COMPUTED_VALUE"""),"F")</f>
        <v>F</v>
      </c>
      <c r="F1825" s="110" t="str">
        <f ca="1">IFERROR(__xludf.DUMMYFUNCTION("""COMPUTED_VALUE"""),"J")</f>
        <v>J</v>
      </c>
      <c r="G1825" s="110">
        <f ca="1">IFERROR(__xludf.DUMMYFUNCTION("""COMPUTED_VALUE"""),7)</f>
        <v>7</v>
      </c>
      <c r="H1825" s="112" t="str">
        <f ca="1"/>
        <v/>
      </c>
      <c r="I1825" s="81" t="str">
        <f ca="1"/>
        <v/>
      </c>
    </row>
    <row r="1826" spans="1:9" ht="13.2">
      <c r="A1826" s="109" t="str">
        <f ca="1">IFERROR(__xludf.DUMMYFUNCTION("""COMPUTED_VALUE"""),"SB")</f>
        <v>SB</v>
      </c>
      <c r="B1826" s="108" t="str">
        <f ca="1">IFERROR(__xludf.DUMMYFUNCTION("""COMPUTED_VALUE"""),"Casey Lee")</f>
        <v>Casey Lee</v>
      </c>
      <c r="C1826" s="109">
        <f ca="1">IFERROR(__xludf.DUMMYFUNCTION("""COMPUTED_VALUE"""),8)</f>
        <v>8</v>
      </c>
      <c r="D1826" s="109" t="str">
        <f ca="1">IFERROR(__xludf.DUMMYFUNCTION("""COMPUTED_VALUE"""),"G")</f>
        <v>G</v>
      </c>
      <c r="E1826" s="110" t="str">
        <f ca="1">IFERROR(__xludf.DUMMYFUNCTION("""COMPUTED_VALUE"""),"F")</f>
        <v>F</v>
      </c>
      <c r="F1826" s="110" t="str">
        <f ca="1">IFERROR(__xludf.DUMMYFUNCTION("""COMPUTED_VALUE"""),"J")</f>
        <v>J</v>
      </c>
      <c r="G1826" s="110">
        <f ca="1">IFERROR(__xludf.DUMMYFUNCTION("""COMPUTED_VALUE"""),7)</f>
        <v>7</v>
      </c>
      <c r="H1826" s="112" t="str">
        <f ca="1"/>
        <v/>
      </c>
      <c r="I1826" s="81" t="str">
        <f ca="1"/>
        <v/>
      </c>
    </row>
    <row r="1827" spans="1:9" ht="13.2">
      <c r="A1827" s="109" t="str">
        <f ca="1">IFERROR(__xludf.DUMMYFUNCTION("""COMPUTED_VALUE"""),"SB")</f>
        <v>SB</v>
      </c>
      <c r="B1827" s="108" t="str">
        <f ca="1">IFERROR(__xludf.DUMMYFUNCTION("""COMPUTED_VALUE"""),"Jem Wahler")</f>
        <v>Jem Wahler</v>
      </c>
      <c r="C1827" s="109">
        <f ca="1">IFERROR(__xludf.DUMMYFUNCTION("""COMPUTED_VALUE"""),9)</f>
        <v>9</v>
      </c>
      <c r="D1827" s="109" t="str">
        <f ca="1">IFERROR(__xludf.DUMMYFUNCTION("""COMPUTED_VALUE"""),"G")</f>
        <v>G</v>
      </c>
      <c r="E1827" s="110" t="str">
        <f ca="1">IFERROR(__xludf.DUMMYFUNCTION("""COMPUTED_VALUE"""),"F")</f>
        <v>F</v>
      </c>
      <c r="F1827" s="110" t="str">
        <f ca="1">IFERROR(__xludf.DUMMYFUNCTION("""COMPUTED_VALUE"""),"J")</f>
        <v>J</v>
      </c>
      <c r="G1827" s="110">
        <f ca="1">IFERROR(__xludf.DUMMYFUNCTION("""COMPUTED_VALUE"""),7)</f>
        <v>7</v>
      </c>
      <c r="H1827" s="112" t="str">
        <f ca="1"/>
        <v/>
      </c>
      <c r="I1827" s="81" t="str">
        <f ca="1"/>
        <v/>
      </c>
    </row>
    <row r="1828" spans="1:9" ht="13.2">
      <c r="A1828" s="109" t="str">
        <f ca="1">IFERROR(__xludf.DUMMYFUNCTION("""COMPUTED_VALUE"""),"SB")</f>
        <v>SB</v>
      </c>
      <c r="B1828" s="108" t="str">
        <f ca="1">IFERROR(__xludf.DUMMYFUNCTION("""COMPUTED_VALUE"""),"Erik Cobb")</f>
        <v>Erik Cobb</v>
      </c>
      <c r="C1828" s="109">
        <f ca="1">IFERROR(__xludf.DUMMYFUNCTION("""COMPUTED_VALUE"""),14)</f>
        <v>14</v>
      </c>
      <c r="D1828" s="109" t="str">
        <f ca="1">IFERROR(__xludf.DUMMYFUNCTION("""COMPUTED_VALUE"""),"B")</f>
        <v>B</v>
      </c>
      <c r="E1828" s="110" t="str">
        <f ca="1">IFERROR(__xludf.DUMMYFUNCTION("""COMPUTED_VALUE"""),"I")</f>
        <v>I</v>
      </c>
      <c r="F1828" s="110" t="str">
        <f ca="1">IFERROR(__xludf.DUMMYFUNCTION("""COMPUTED_VALUE"""),"S")</f>
        <v>S</v>
      </c>
      <c r="G1828" s="110">
        <f ca="1">IFERROR(__xludf.DUMMYFUNCTION("""COMPUTED_VALUE"""),7)</f>
        <v>7</v>
      </c>
      <c r="H1828" s="112" t="str">
        <f ca="1"/>
        <v/>
      </c>
      <c r="I1828" s="81" t="str">
        <f ca="1"/>
        <v/>
      </c>
    </row>
    <row r="1829" spans="1:9" ht="13.2">
      <c r="A1829" s="109" t="str">
        <f ca="1">IFERROR(__xludf.DUMMYFUNCTION("""COMPUTED_VALUE"""),"SB")</f>
        <v>SB</v>
      </c>
      <c r="B1829" s="108" t="str">
        <f ca="1">IFERROR(__xludf.DUMMYFUNCTION("""COMPUTED_VALUE"""),"Grant McNamee")</f>
        <v>Grant McNamee</v>
      </c>
      <c r="C1829" s="109">
        <f ca="1">IFERROR(__xludf.DUMMYFUNCTION("""COMPUTED_VALUE"""),13)</f>
        <v>13</v>
      </c>
      <c r="D1829" s="109" t="str">
        <f ca="1">IFERROR(__xludf.DUMMYFUNCTION("""COMPUTED_VALUE"""),"B")</f>
        <v>B</v>
      </c>
      <c r="E1829" s="110" t="str">
        <f ca="1">IFERROR(__xludf.DUMMYFUNCTION("""COMPUTED_VALUE"""),"I")</f>
        <v>I</v>
      </c>
      <c r="F1829" s="110" t="str">
        <f ca="1">IFERROR(__xludf.DUMMYFUNCTION("""COMPUTED_VALUE"""),"S")</f>
        <v>S</v>
      </c>
      <c r="G1829" s="110">
        <f ca="1">IFERROR(__xludf.DUMMYFUNCTION("""COMPUTED_VALUE"""),7)</f>
        <v>7</v>
      </c>
      <c r="H1829" s="112" t="str">
        <f ca="1"/>
        <v/>
      </c>
      <c r="I1829" s="81" t="str">
        <f ca="1"/>
        <v/>
      </c>
    </row>
    <row r="1830" spans="1:9" ht="13.2">
      <c r="A1830" s="109" t="str">
        <f ca="1">IFERROR(__xludf.DUMMYFUNCTION("""COMPUTED_VALUE"""),"SB")</f>
        <v>SB</v>
      </c>
      <c r="B1830" s="108" t="str">
        <f ca="1">IFERROR(__xludf.DUMMYFUNCTION("""COMPUTED_VALUE"""),"Aubrie Burress")</f>
        <v>Aubrie Burress</v>
      </c>
      <c r="C1830" s="109">
        <f ca="1">IFERROR(__xludf.DUMMYFUNCTION("""COMPUTED_VALUE"""),13)</f>
        <v>13</v>
      </c>
      <c r="D1830" s="109" t="str">
        <f ca="1">IFERROR(__xludf.DUMMYFUNCTION("""COMPUTED_VALUE"""),"G")</f>
        <v>G</v>
      </c>
      <c r="E1830" s="110" t="str">
        <f ca="1">IFERROR(__xludf.DUMMYFUNCTION("""COMPUTED_VALUE"""),"I")</f>
        <v>I</v>
      </c>
      <c r="F1830" s="110" t="str">
        <f ca="1">IFERROR(__xludf.DUMMYFUNCTION("""COMPUTED_VALUE"""),"S")</f>
        <v>S</v>
      </c>
      <c r="G1830" s="110">
        <f ca="1">IFERROR(__xludf.DUMMYFUNCTION("""COMPUTED_VALUE"""),7)</f>
        <v>7</v>
      </c>
      <c r="H1830" s="112" t="str">
        <f ca="1"/>
        <v/>
      </c>
      <c r="I1830" s="81" t="str">
        <f ca="1"/>
        <v/>
      </c>
    </row>
    <row r="1831" spans="1:9" ht="13.2">
      <c r="A1831" s="109" t="str">
        <f ca="1">IFERROR(__xludf.DUMMYFUNCTION("""COMPUTED_VALUE"""),"SB")</f>
        <v>SB</v>
      </c>
      <c r="B1831" s="108" t="str">
        <f ca="1">IFERROR(__xludf.DUMMYFUNCTION("""COMPUTED_VALUE"""),"Jade Carey")</f>
        <v>Jade Carey</v>
      </c>
      <c r="C1831" s="109">
        <f ca="1">IFERROR(__xludf.DUMMYFUNCTION("""COMPUTED_VALUE"""),14)</f>
        <v>14</v>
      </c>
      <c r="D1831" s="109" t="str">
        <f ca="1">IFERROR(__xludf.DUMMYFUNCTION("""COMPUTED_VALUE"""),"G")</f>
        <v>G</v>
      </c>
      <c r="E1831" s="110" t="str">
        <f ca="1">IFERROR(__xludf.DUMMYFUNCTION("""COMPUTED_VALUE"""),"I")</f>
        <v>I</v>
      </c>
      <c r="F1831" s="110" t="str">
        <f ca="1">IFERROR(__xludf.DUMMYFUNCTION("""COMPUTED_VALUE"""),"S")</f>
        <v>S</v>
      </c>
      <c r="G1831" s="110">
        <f ca="1">IFERROR(__xludf.DUMMYFUNCTION("""COMPUTED_VALUE"""),7)</f>
        <v>7</v>
      </c>
      <c r="H1831" s="112" t="str">
        <f ca="1"/>
        <v/>
      </c>
      <c r="I1831" s="81" t="str">
        <f ca="1"/>
        <v/>
      </c>
    </row>
    <row r="1832" spans="1:9" ht="13.2">
      <c r="A1832" s="109" t="str">
        <f ca="1">IFERROR(__xludf.DUMMYFUNCTION("""COMPUTED_VALUE"""),"SB")</f>
        <v>SB</v>
      </c>
      <c r="B1832" s="108" t="str">
        <f ca="1">IFERROR(__xludf.DUMMYFUNCTION("""COMPUTED_VALUE"""),"Ash Burress")</f>
        <v>Ash Burress</v>
      </c>
      <c r="C1832" s="109">
        <f ca="1">IFERROR(__xludf.DUMMYFUNCTION("""COMPUTED_VALUE"""),11)</f>
        <v>11</v>
      </c>
      <c r="D1832" s="109" t="str">
        <f ca="1">IFERROR(__xludf.DUMMYFUNCTION("""COMPUTED_VALUE"""),"B")</f>
        <v>B</v>
      </c>
      <c r="E1832" s="110" t="str">
        <f ca="1">IFERROR(__xludf.DUMMYFUNCTION("""COMPUTED_VALUE"""),"J")</f>
        <v>J</v>
      </c>
      <c r="F1832" s="110" t="str">
        <f ca="1">IFERROR(__xludf.DUMMYFUNCTION("""COMPUTED_VALUE"""),"I")</f>
        <v>I</v>
      </c>
      <c r="G1832" s="110">
        <f ca="1">IFERROR(__xludf.DUMMYFUNCTION("""COMPUTED_VALUE"""),7)</f>
        <v>7</v>
      </c>
      <c r="H1832" s="112" t="str">
        <f ca="1"/>
        <v/>
      </c>
      <c r="I1832" s="81" t="str">
        <f ca="1"/>
        <v/>
      </c>
    </row>
    <row r="1833" spans="1:9" ht="13.2">
      <c r="A1833" s="109" t="str">
        <f ca="1">IFERROR(__xludf.DUMMYFUNCTION("""COMPUTED_VALUE"""),"SB")</f>
        <v>SB</v>
      </c>
      <c r="B1833" s="108" t="str">
        <f ca="1">IFERROR(__xludf.DUMMYFUNCTION("""COMPUTED_VALUE"""),"T'iyler Rothstein")</f>
        <v>T'iyler Rothstein</v>
      </c>
      <c r="C1833" s="109">
        <f ca="1">IFERROR(__xludf.DUMMYFUNCTION("""COMPUTED_VALUE"""),12)</f>
        <v>12</v>
      </c>
      <c r="D1833" s="109" t="str">
        <f ca="1">IFERROR(__xludf.DUMMYFUNCTION("""COMPUTED_VALUE"""),"B")</f>
        <v>B</v>
      </c>
      <c r="E1833" s="110" t="str">
        <f ca="1">IFERROR(__xludf.DUMMYFUNCTION("""COMPUTED_VALUE"""),"J")</f>
        <v>J</v>
      </c>
      <c r="F1833" s="110" t="str">
        <f ca="1">IFERROR(__xludf.DUMMYFUNCTION("""COMPUTED_VALUE"""),"I")</f>
        <v>I</v>
      </c>
      <c r="G1833" s="110">
        <f ca="1">IFERROR(__xludf.DUMMYFUNCTION("""COMPUTED_VALUE"""),7)</f>
        <v>7</v>
      </c>
      <c r="H1833" s="112" t="str">
        <f ca="1"/>
        <v/>
      </c>
      <c r="I1833" s="81" t="str">
        <f ca="1"/>
        <v/>
      </c>
    </row>
    <row r="1834" spans="1:9" ht="13.2">
      <c r="A1834" s="109" t="str">
        <f ca="1">IFERROR(__xludf.DUMMYFUNCTION("""COMPUTED_VALUE"""),"SB")</f>
        <v>SB</v>
      </c>
      <c r="B1834" s="108" t="str">
        <f ca="1">IFERROR(__xludf.DUMMYFUNCTION("""COMPUTED_VALUE"""),"Eliza Hunt")</f>
        <v>Eliza Hunt</v>
      </c>
      <c r="C1834" s="109">
        <f ca="1">IFERROR(__xludf.DUMMYFUNCTION("""COMPUTED_VALUE"""),12)</f>
        <v>12</v>
      </c>
      <c r="D1834" s="109" t="str">
        <f ca="1">IFERROR(__xludf.DUMMYFUNCTION("""COMPUTED_VALUE"""),"G")</f>
        <v>G</v>
      </c>
      <c r="E1834" s="110" t="str">
        <f ca="1">IFERROR(__xludf.DUMMYFUNCTION("""COMPUTED_VALUE"""),"J")</f>
        <v>J</v>
      </c>
      <c r="F1834" s="110" t="str">
        <f ca="1">IFERROR(__xludf.DUMMYFUNCTION("""COMPUTED_VALUE"""),"I")</f>
        <v>I</v>
      </c>
      <c r="G1834" s="110">
        <f ca="1">IFERROR(__xludf.DUMMYFUNCTION("""COMPUTED_VALUE"""),7)</f>
        <v>7</v>
      </c>
      <c r="H1834" s="112" t="str">
        <f ca="1"/>
        <v/>
      </c>
      <c r="I1834" s="81" t="str">
        <f ca="1"/>
        <v/>
      </c>
    </row>
    <row r="1835" spans="1:9" ht="13.2">
      <c r="A1835" s="109" t="str">
        <f ca="1">IFERROR(__xludf.DUMMYFUNCTION("""COMPUTED_VALUE"""),"SB")</f>
        <v>SB</v>
      </c>
      <c r="B1835" s="108" t="str">
        <f ca="1">IFERROR(__xludf.DUMMYFUNCTION("""COMPUTED_VALUE"""),"Hannah Wilson")</f>
        <v>Hannah Wilson</v>
      </c>
      <c r="C1835" s="109">
        <f ca="1">IFERROR(__xludf.DUMMYFUNCTION("""COMPUTED_VALUE"""),11)</f>
        <v>11</v>
      </c>
      <c r="D1835" s="109" t="str">
        <f ca="1">IFERROR(__xludf.DUMMYFUNCTION("""COMPUTED_VALUE"""),"G")</f>
        <v>G</v>
      </c>
      <c r="E1835" s="110" t="str">
        <f ca="1">IFERROR(__xludf.DUMMYFUNCTION("""COMPUTED_VALUE"""),"J")</f>
        <v>J</v>
      </c>
      <c r="F1835" s="110" t="str">
        <f ca="1">IFERROR(__xludf.DUMMYFUNCTION("""COMPUTED_VALUE"""),"I")</f>
        <v>I</v>
      </c>
      <c r="G1835" s="110">
        <f ca="1">IFERROR(__xludf.DUMMYFUNCTION("""COMPUTED_VALUE"""),7)</f>
        <v>7</v>
      </c>
      <c r="H1835" s="112" t="str">
        <f ca="1"/>
        <v/>
      </c>
      <c r="I1835" s="81" t="str">
        <f ca="1"/>
        <v/>
      </c>
    </row>
    <row r="1836" spans="1:9" ht="13.2">
      <c r="A1836" s="109" t="str">
        <f ca="1">IFERROR(__xludf.DUMMYFUNCTION("""COMPUTED_VALUE"""),"SB")</f>
        <v>SB</v>
      </c>
      <c r="B1836" s="108" t="str">
        <f ca="1">IFERROR(__xludf.DUMMYFUNCTION("""COMPUTED_VALUE"""),"Brendan Waterval")</f>
        <v>Brendan Waterval</v>
      </c>
      <c r="C1836" s="109">
        <f ca="1">IFERROR(__xludf.DUMMYFUNCTION("""COMPUTED_VALUE"""),17)</f>
        <v>17</v>
      </c>
      <c r="D1836" s="109" t="str">
        <f ca="1">IFERROR(__xludf.DUMMYFUNCTION("""COMPUTED_VALUE"""),"B")</f>
        <v>B</v>
      </c>
      <c r="E1836" s="110" t="str">
        <f ca="1">IFERROR(__xludf.DUMMYFUNCTION("""COMPUTED_VALUE"""),"S")</f>
        <v>S</v>
      </c>
      <c r="F1836" s="110" t="str">
        <f ca="1">IFERROR(__xludf.DUMMYFUNCTION("""COMPUTED_VALUE"""),"S")</f>
        <v>S</v>
      </c>
      <c r="G1836" s="110">
        <f ca="1">IFERROR(__xludf.DUMMYFUNCTION("""COMPUTED_VALUE"""),7)</f>
        <v>7</v>
      </c>
      <c r="H1836" s="112" t="str">
        <f ca="1"/>
        <v/>
      </c>
      <c r="I1836" s="81" t="str">
        <f ca="1"/>
        <v/>
      </c>
    </row>
    <row r="1837" spans="1:9" ht="13.2">
      <c r="A1837" s="109" t="str">
        <f ca="1">IFERROR(__xludf.DUMMYFUNCTION("""COMPUTED_VALUE"""),"SB")</f>
        <v>SB</v>
      </c>
      <c r="B1837" s="108" t="str">
        <f ca="1">IFERROR(__xludf.DUMMYFUNCTION("""COMPUTED_VALUE"""),"Makenna Aphrodite")</f>
        <v>Makenna Aphrodite</v>
      </c>
      <c r="C1837" s="109">
        <f ca="1">IFERROR(__xludf.DUMMYFUNCTION("""COMPUTED_VALUE"""),15)</f>
        <v>15</v>
      </c>
      <c r="D1837" s="109" t="str">
        <f ca="1">IFERROR(__xludf.DUMMYFUNCTION("""COMPUTED_VALUE"""),"G")</f>
        <v>G</v>
      </c>
      <c r="E1837" s="110" t="str">
        <f ca="1">IFERROR(__xludf.DUMMYFUNCTION("""COMPUTED_VALUE"""),"S")</f>
        <v>S</v>
      </c>
      <c r="F1837" s="110" t="str">
        <f ca="1">IFERROR(__xludf.DUMMYFUNCTION("""COMPUTED_VALUE"""),"S")</f>
        <v>S</v>
      </c>
      <c r="G1837" s="110">
        <f ca="1">IFERROR(__xludf.DUMMYFUNCTION("""COMPUTED_VALUE"""),7)</f>
        <v>7</v>
      </c>
      <c r="H1837" s="112" t="str">
        <f ca="1"/>
        <v/>
      </c>
      <c r="I1837" s="81" t="str">
        <f ca="1"/>
        <v/>
      </c>
    </row>
    <row r="1838" spans="1:9" ht="13.2">
      <c r="A1838" s="109" t="str">
        <f ca="1">IFERROR(__xludf.DUMMYFUNCTION("""COMPUTED_VALUE"""),"SB")</f>
        <v>SB</v>
      </c>
      <c r="B1838" s="108" t="str">
        <f ca="1">IFERROR(__xludf.DUMMYFUNCTION("""COMPUTED_VALUE"""),"Megan Cobb")</f>
        <v>Megan Cobb</v>
      </c>
      <c r="C1838" s="109">
        <f ca="1">IFERROR(__xludf.DUMMYFUNCTION("""COMPUTED_VALUE"""),16)</f>
        <v>16</v>
      </c>
      <c r="D1838" s="109" t="str">
        <f ca="1">IFERROR(__xludf.DUMMYFUNCTION("""COMPUTED_VALUE"""),"G")</f>
        <v>G</v>
      </c>
      <c r="E1838" s="110" t="str">
        <f ca="1">IFERROR(__xludf.DUMMYFUNCTION("""COMPUTED_VALUE"""),"S")</f>
        <v>S</v>
      </c>
      <c r="F1838" s="110" t="str">
        <f ca="1">IFERROR(__xludf.DUMMYFUNCTION("""COMPUTED_VALUE"""),"S")</f>
        <v>S</v>
      </c>
      <c r="G1838" s="110">
        <f ca="1">IFERROR(__xludf.DUMMYFUNCTION("""COMPUTED_VALUE"""),7)</f>
        <v>7</v>
      </c>
      <c r="H1838" s="112" t="str">
        <f ca="1"/>
        <v/>
      </c>
      <c r="I1838" s="81" t="str">
        <f ca="1"/>
        <v/>
      </c>
    </row>
    <row r="1839" spans="1:9" ht="13.2">
      <c r="A1839" s="109" t="str">
        <f ca="1">IFERROR(__xludf.DUMMYFUNCTION("""COMPUTED_VALUE"""),"SHB")</f>
        <v>SHB</v>
      </c>
      <c r="B1839" s="108" t="str">
        <f ca="1">IFERROR(__xludf.DUMMYFUNCTION("""COMPUTED_VALUE"""),"Asher Arnic")</f>
        <v>Asher Arnic</v>
      </c>
      <c r="C1839" s="109">
        <f ca="1">IFERROR(__xludf.DUMMYFUNCTION("""COMPUTED_VALUE"""),6)</f>
        <v>6</v>
      </c>
      <c r="D1839" s="109" t="str">
        <f ca="1">IFERROR(__xludf.DUMMYFUNCTION("""COMPUTED_VALUE"""),"B")</f>
        <v>B</v>
      </c>
      <c r="E1839" s="110" t="str">
        <f ca="1">IFERROR(__xludf.DUMMYFUNCTION("""COMPUTED_VALUE"""),"F")</f>
        <v>F</v>
      </c>
      <c r="F1839" s="110" t="str">
        <f ca="1">IFERROR(__xludf.DUMMYFUNCTION("""COMPUTED_VALUE"""),"J")</f>
        <v>J</v>
      </c>
      <c r="G1839" s="110">
        <f ca="1">IFERROR(__xludf.DUMMYFUNCTION("""COMPUTED_VALUE"""),5)</f>
        <v>5</v>
      </c>
      <c r="H1839" s="112" t="str">
        <f ca="1"/>
        <v/>
      </c>
      <c r="I1839" s="81" t="str">
        <f ca="1"/>
        <v/>
      </c>
    </row>
    <row r="1840" spans="1:9" ht="13.2">
      <c r="A1840" s="109" t="str">
        <f ca="1">IFERROR(__xludf.DUMMYFUNCTION("""COMPUTED_VALUE"""),"SHB")</f>
        <v>SHB</v>
      </c>
      <c r="B1840" s="108" t="str">
        <f ca="1">IFERROR(__xludf.DUMMYFUNCTION("""COMPUTED_VALUE"""),"Brody Kennedy")</f>
        <v>Brody Kennedy</v>
      </c>
      <c r="C1840" s="109">
        <f ca="1">IFERROR(__xludf.DUMMYFUNCTION("""COMPUTED_VALUE"""),7)</f>
        <v>7</v>
      </c>
      <c r="D1840" s="109" t="str">
        <f ca="1">IFERROR(__xludf.DUMMYFUNCTION("""COMPUTED_VALUE"""),"B")</f>
        <v>B</v>
      </c>
      <c r="E1840" s="110" t="str">
        <f ca="1">IFERROR(__xludf.DUMMYFUNCTION("""COMPUTED_VALUE"""),"F")</f>
        <v>F</v>
      </c>
      <c r="F1840" s="110" t="str">
        <f ca="1">IFERROR(__xludf.DUMMYFUNCTION("""COMPUTED_VALUE"""),"J")</f>
        <v>J</v>
      </c>
      <c r="G1840" s="110">
        <f ca="1">IFERROR(__xludf.DUMMYFUNCTION("""COMPUTED_VALUE"""),5)</f>
        <v>5</v>
      </c>
      <c r="H1840" s="112" t="str">
        <f ca="1"/>
        <v>22.85</v>
      </c>
      <c r="I1840" s="81">
        <f ca="1"/>
        <v>22.85</v>
      </c>
    </row>
    <row r="1841" spans="1:9" ht="13.2">
      <c r="A1841" s="109" t="str">
        <f ca="1">IFERROR(__xludf.DUMMYFUNCTION("""COMPUTED_VALUE"""),"SHB")</f>
        <v>SHB</v>
      </c>
      <c r="B1841" s="108" t="str">
        <f ca="1">IFERROR(__xludf.DUMMYFUNCTION("""COMPUTED_VALUE"""),"Connor Vorndran")</f>
        <v>Connor Vorndran</v>
      </c>
      <c r="C1841" s="109">
        <f ca="1">IFERROR(__xludf.DUMMYFUNCTION("""COMPUTED_VALUE"""),6)</f>
        <v>6</v>
      </c>
      <c r="D1841" s="109" t="str">
        <f ca="1">IFERROR(__xludf.DUMMYFUNCTION("""COMPUTED_VALUE"""),"B")</f>
        <v>B</v>
      </c>
      <c r="E1841" s="110" t="str">
        <f ca="1">IFERROR(__xludf.DUMMYFUNCTION("""COMPUTED_VALUE"""),"F")</f>
        <v>F</v>
      </c>
      <c r="F1841" s="110" t="str">
        <f ca="1">IFERROR(__xludf.DUMMYFUNCTION("""COMPUTED_VALUE"""),"J")</f>
        <v>J</v>
      </c>
      <c r="G1841" s="110">
        <f ca="1">IFERROR(__xludf.DUMMYFUNCTION("""COMPUTED_VALUE"""),5)</f>
        <v>5</v>
      </c>
      <c r="H1841" s="112" t="str">
        <f ca="1"/>
        <v/>
      </c>
      <c r="I1841" s="81" t="str">
        <f ca="1"/>
        <v/>
      </c>
    </row>
    <row r="1842" spans="1:9" ht="13.2">
      <c r="A1842" s="109" t="str">
        <f ca="1">IFERROR(__xludf.DUMMYFUNCTION("""COMPUTED_VALUE"""),"SHB")</f>
        <v>SHB</v>
      </c>
      <c r="B1842" s="108" t="str">
        <f ca="1">IFERROR(__xludf.DUMMYFUNCTION("""COMPUTED_VALUE"""),"Ethan Wence")</f>
        <v>Ethan Wence</v>
      </c>
      <c r="C1842" s="109">
        <f ca="1">IFERROR(__xludf.DUMMYFUNCTION("""COMPUTED_VALUE"""),8)</f>
        <v>8</v>
      </c>
      <c r="D1842" s="109" t="str">
        <f ca="1">IFERROR(__xludf.DUMMYFUNCTION("""COMPUTED_VALUE"""),"B")</f>
        <v>B</v>
      </c>
      <c r="E1842" s="110" t="str">
        <f ca="1">IFERROR(__xludf.DUMMYFUNCTION("""COMPUTED_VALUE"""),"F")</f>
        <v>F</v>
      </c>
      <c r="F1842" s="110" t="str">
        <f ca="1">IFERROR(__xludf.DUMMYFUNCTION("""COMPUTED_VALUE"""),"J")</f>
        <v>J</v>
      </c>
      <c r="G1842" s="110">
        <f ca="1">IFERROR(__xludf.DUMMYFUNCTION("""COMPUTED_VALUE"""),5)</f>
        <v>5</v>
      </c>
      <c r="H1842" s="112" t="str">
        <f ca="1"/>
        <v/>
      </c>
      <c r="I1842" s="81" t="str">
        <f ca="1"/>
        <v/>
      </c>
    </row>
    <row r="1843" spans="1:9" ht="13.2">
      <c r="A1843" s="109" t="str">
        <f ca="1">IFERROR(__xludf.DUMMYFUNCTION("""COMPUTED_VALUE"""),"SHB")</f>
        <v>SHB</v>
      </c>
      <c r="B1843" s="108" t="str">
        <f ca="1">IFERROR(__xludf.DUMMYFUNCTION("""COMPUTED_VALUE"""),"Han Lim")</f>
        <v>Han Lim</v>
      </c>
      <c r="C1843" s="109">
        <f ca="1">IFERROR(__xludf.DUMMYFUNCTION("""COMPUTED_VALUE"""),9)</f>
        <v>9</v>
      </c>
      <c r="D1843" s="109" t="str">
        <f ca="1">IFERROR(__xludf.DUMMYFUNCTION("""COMPUTED_VALUE"""),"B")</f>
        <v>B</v>
      </c>
      <c r="E1843" s="110" t="str">
        <f ca="1">IFERROR(__xludf.DUMMYFUNCTION("""COMPUTED_VALUE"""),"F")</f>
        <v>F</v>
      </c>
      <c r="F1843" s="110" t="str">
        <f ca="1">IFERROR(__xludf.DUMMYFUNCTION("""COMPUTED_VALUE"""),"J")</f>
        <v>J</v>
      </c>
      <c r="G1843" s="110">
        <f ca="1">IFERROR(__xludf.DUMMYFUNCTION("""COMPUTED_VALUE"""),5)</f>
        <v>5</v>
      </c>
      <c r="H1843" s="112" t="str">
        <f ca="1"/>
        <v/>
      </c>
      <c r="I1843" s="81" t="str">
        <f ca="1"/>
        <v/>
      </c>
    </row>
    <row r="1844" spans="1:9" ht="13.2">
      <c r="A1844" s="109" t="str">
        <f ca="1">IFERROR(__xludf.DUMMYFUNCTION("""COMPUTED_VALUE"""),"SHB")</f>
        <v>SHB</v>
      </c>
      <c r="B1844" s="108" t="str">
        <f ca="1">IFERROR(__xludf.DUMMYFUNCTION("""COMPUTED_VALUE"""),"Jack Devereux")</f>
        <v>Jack Devereux</v>
      </c>
      <c r="C1844" s="109">
        <f ca="1">IFERROR(__xludf.DUMMYFUNCTION("""COMPUTED_VALUE"""),8)</f>
        <v>8</v>
      </c>
      <c r="D1844" s="109" t="str">
        <f ca="1">IFERROR(__xludf.DUMMYFUNCTION("""COMPUTED_VALUE"""),"B")</f>
        <v>B</v>
      </c>
      <c r="E1844" s="110" t="str">
        <f ca="1">IFERROR(__xludf.DUMMYFUNCTION("""COMPUTED_VALUE"""),"F")</f>
        <v>F</v>
      </c>
      <c r="F1844" s="110" t="str">
        <f ca="1">IFERROR(__xludf.DUMMYFUNCTION("""COMPUTED_VALUE"""),"J")</f>
        <v>J</v>
      </c>
      <c r="G1844" s="110">
        <f ca="1">IFERROR(__xludf.DUMMYFUNCTION("""COMPUTED_VALUE"""),5)</f>
        <v>5</v>
      </c>
      <c r="H1844" s="112" t="str">
        <f ca="1"/>
        <v/>
      </c>
      <c r="I1844" s="81" t="str">
        <f ca="1"/>
        <v/>
      </c>
    </row>
    <row r="1845" spans="1:9" ht="13.2">
      <c r="A1845" s="109" t="str">
        <f ca="1">IFERROR(__xludf.DUMMYFUNCTION("""COMPUTED_VALUE"""),"SHB")</f>
        <v>SHB</v>
      </c>
      <c r="B1845" s="108" t="str">
        <f ca="1">IFERROR(__xludf.DUMMYFUNCTION("""COMPUTED_VALUE"""),"Jackson Braun")</f>
        <v>Jackson Braun</v>
      </c>
      <c r="C1845" s="109">
        <f ca="1">IFERROR(__xludf.DUMMYFUNCTION("""COMPUTED_VALUE"""),9)</f>
        <v>9</v>
      </c>
      <c r="D1845" s="109" t="str">
        <f ca="1">IFERROR(__xludf.DUMMYFUNCTION("""COMPUTED_VALUE"""),"B")</f>
        <v>B</v>
      </c>
      <c r="E1845" s="110" t="str">
        <f ca="1">IFERROR(__xludf.DUMMYFUNCTION("""COMPUTED_VALUE"""),"F")</f>
        <v>F</v>
      </c>
      <c r="F1845" s="110" t="str">
        <f ca="1">IFERROR(__xludf.DUMMYFUNCTION("""COMPUTED_VALUE"""),"J")</f>
        <v>J</v>
      </c>
      <c r="G1845" s="110">
        <f ca="1">IFERROR(__xludf.DUMMYFUNCTION("""COMPUTED_VALUE"""),5)</f>
        <v>5</v>
      </c>
      <c r="H1845" s="112" t="str">
        <f ca="1"/>
        <v/>
      </c>
      <c r="I1845" s="81" t="str">
        <f ca="1"/>
        <v/>
      </c>
    </row>
    <row r="1846" spans="1:9" ht="13.2">
      <c r="A1846" s="109" t="str">
        <f ca="1">IFERROR(__xludf.DUMMYFUNCTION("""COMPUTED_VALUE"""),"SHB")</f>
        <v>SHB</v>
      </c>
      <c r="B1846" s="108" t="str">
        <f ca="1">IFERROR(__xludf.DUMMYFUNCTION("""COMPUTED_VALUE"""),"Kyle Schutt")</f>
        <v>Kyle Schutt</v>
      </c>
      <c r="C1846" s="109">
        <f ca="1">IFERROR(__xludf.DUMMYFUNCTION("""COMPUTED_VALUE"""),9)</f>
        <v>9</v>
      </c>
      <c r="D1846" s="109" t="str">
        <f ca="1">IFERROR(__xludf.DUMMYFUNCTION("""COMPUTED_VALUE"""),"B")</f>
        <v>B</v>
      </c>
      <c r="E1846" s="110" t="str">
        <f ca="1">IFERROR(__xludf.DUMMYFUNCTION("""COMPUTED_VALUE"""),"F")</f>
        <v>F</v>
      </c>
      <c r="F1846" s="110" t="str">
        <f ca="1">IFERROR(__xludf.DUMMYFUNCTION("""COMPUTED_VALUE"""),"J")</f>
        <v>J</v>
      </c>
      <c r="G1846" s="110">
        <f ca="1">IFERROR(__xludf.DUMMYFUNCTION("""COMPUTED_VALUE"""),5)</f>
        <v>5</v>
      </c>
      <c r="H1846" s="112" t="str">
        <f ca="1"/>
        <v/>
      </c>
      <c r="I1846" s="81" t="str">
        <f ca="1"/>
        <v/>
      </c>
    </row>
    <row r="1847" spans="1:9" ht="13.2">
      <c r="A1847" s="109" t="str">
        <f ca="1">IFERROR(__xludf.DUMMYFUNCTION("""COMPUTED_VALUE"""),"SHB")</f>
        <v>SHB</v>
      </c>
      <c r="B1847" s="108" t="str">
        <f ca="1">IFERROR(__xludf.DUMMYFUNCTION("""COMPUTED_VALUE"""),"Luke Taggart")</f>
        <v>Luke Taggart</v>
      </c>
      <c r="C1847" s="109">
        <f ca="1">IFERROR(__xludf.DUMMYFUNCTION("""COMPUTED_VALUE"""),6)</f>
        <v>6</v>
      </c>
      <c r="D1847" s="109" t="str">
        <f ca="1">IFERROR(__xludf.DUMMYFUNCTION("""COMPUTED_VALUE"""),"B")</f>
        <v>B</v>
      </c>
      <c r="E1847" s="110" t="str">
        <f ca="1">IFERROR(__xludf.DUMMYFUNCTION("""COMPUTED_VALUE"""),"F")</f>
        <v>F</v>
      </c>
      <c r="F1847" s="110" t="str">
        <f ca="1">IFERROR(__xludf.DUMMYFUNCTION("""COMPUTED_VALUE"""),"J")</f>
        <v>J</v>
      </c>
      <c r="G1847" s="110">
        <f ca="1">IFERROR(__xludf.DUMMYFUNCTION("""COMPUTED_VALUE"""),5)</f>
        <v>5</v>
      </c>
      <c r="H1847" s="112" t="str">
        <f ca="1"/>
        <v>26</v>
      </c>
      <c r="I1847" s="81">
        <f ca="1"/>
        <v>26</v>
      </c>
    </row>
    <row r="1848" spans="1:9" ht="13.2">
      <c r="A1848" s="109" t="str">
        <f ca="1">IFERROR(__xludf.DUMMYFUNCTION("""COMPUTED_VALUE"""),"SHB")</f>
        <v>SHB</v>
      </c>
      <c r="B1848" s="108" t="str">
        <f ca="1">IFERROR(__xludf.DUMMYFUNCTION("""COMPUTED_VALUE"""),"Mason Chang")</f>
        <v>Mason Chang</v>
      </c>
      <c r="C1848" s="109">
        <f ca="1">IFERROR(__xludf.DUMMYFUNCTION("""COMPUTED_VALUE"""),8)</f>
        <v>8</v>
      </c>
      <c r="D1848" s="109" t="str">
        <f ca="1">IFERROR(__xludf.DUMMYFUNCTION("""COMPUTED_VALUE"""),"B")</f>
        <v>B</v>
      </c>
      <c r="E1848" s="110" t="str">
        <f ca="1">IFERROR(__xludf.DUMMYFUNCTION("""COMPUTED_VALUE"""),"F")</f>
        <v>F</v>
      </c>
      <c r="F1848" s="110" t="str">
        <f ca="1">IFERROR(__xludf.DUMMYFUNCTION("""COMPUTED_VALUE"""),"J")</f>
        <v>J</v>
      </c>
      <c r="G1848" s="110">
        <f ca="1">IFERROR(__xludf.DUMMYFUNCTION("""COMPUTED_VALUE"""),5)</f>
        <v>5</v>
      </c>
      <c r="H1848" s="112" t="str">
        <f ca="1"/>
        <v/>
      </c>
      <c r="I1848" s="81" t="str">
        <f ca="1"/>
        <v/>
      </c>
    </row>
    <row r="1849" spans="1:9" ht="13.2">
      <c r="A1849" s="109" t="str">
        <f ca="1">IFERROR(__xludf.DUMMYFUNCTION("""COMPUTED_VALUE"""),"SHB")</f>
        <v>SHB</v>
      </c>
      <c r="B1849" s="108" t="str">
        <f ca="1">IFERROR(__xludf.DUMMYFUNCTION("""COMPUTED_VALUE"""),"PD Lips")</f>
        <v>PD Lips</v>
      </c>
      <c r="C1849" s="109">
        <f ca="1">IFERROR(__xludf.DUMMYFUNCTION("""COMPUTED_VALUE"""),6)</f>
        <v>6</v>
      </c>
      <c r="D1849" s="109" t="str">
        <f ca="1">IFERROR(__xludf.DUMMYFUNCTION("""COMPUTED_VALUE"""),"B")</f>
        <v>B</v>
      </c>
      <c r="E1849" s="110" t="str">
        <f ca="1">IFERROR(__xludf.DUMMYFUNCTION("""COMPUTED_VALUE"""),"F")</f>
        <v>F</v>
      </c>
      <c r="F1849" s="110" t="str">
        <f ca="1">IFERROR(__xludf.DUMMYFUNCTION("""COMPUTED_VALUE"""),"J")</f>
        <v>J</v>
      </c>
      <c r="G1849" s="110">
        <f ca="1">IFERROR(__xludf.DUMMYFUNCTION("""COMPUTED_VALUE"""),5)</f>
        <v>5</v>
      </c>
      <c r="H1849" s="112" t="str">
        <f ca="1"/>
        <v/>
      </c>
      <c r="I1849" s="81" t="str">
        <f ca="1"/>
        <v/>
      </c>
    </row>
    <row r="1850" spans="1:9" ht="13.2">
      <c r="A1850" s="109" t="str">
        <f ca="1">IFERROR(__xludf.DUMMYFUNCTION("""COMPUTED_VALUE"""),"SHB")</f>
        <v>SHB</v>
      </c>
      <c r="B1850" s="108" t="str">
        <f ca="1">IFERROR(__xludf.DUMMYFUNCTION("""COMPUTED_VALUE"""),"Travis Sisson")</f>
        <v>Travis Sisson</v>
      </c>
      <c r="C1850" s="109">
        <f ca="1">IFERROR(__xludf.DUMMYFUNCTION("""COMPUTED_VALUE"""),9)</f>
        <v>9</v>
      </c>
      <c r="D1850" s="109" t="str">
        <f ca="1">IFERROR(__xludf.DUMMYFUNCTION("""COMPUTED_VALUE"""),"B")</f>
        <v>B</v>
      </c>
      <c r="E1850" s="110" t="str">
        <f ca="1">IFERROR(__xludf.DUMMYFUNCTION("""COMPUTED_VALUE"""),"F")</f>
        <v>F</v>
      </c>
      <c r="F1850" s="110" t="str">
        <f ca="1">IFERROR(__xludf.DUMMYFUNCTION("""COMPUTED_VALUE"""),"J")</f>
        <v>J</v>
      </c>
      <c r="G1850" s="110">
        <f ca="1">IFERROR(__xludf.DUMMYFUNCTION("""COMPUTED_VALUE"""),5)</f>
        <v>5</v>
      </c>
      <c r="H1850" s="112" t="str">
        <f ca="1"/>
        <v/>
      </c>
      <c r="I1850" s="81" t="str">
        <f ca="1"/>
        <v/>
      </c>
    </row>
    <row r="1851" spans="1:9" ht="13.2">
      <c r="A1851" s="109" t="str">
        <f ca="1">IFERROR(__xludf.DUMMYFUNCTION("""COMPUTED_VALUE"""),"SHB")</f>
        <v>SHB</v>
      </c>
      <c r="B1851" s="108" t="str">
        <f ca="1">IFERROR(__xludf.DUMMYFUNCTION("""COMPUTED_VALUE"""),"Abigail Sisson")</f>
        <v>Abigail Sisson</v>
      </c>
      <c r="C1851" s="109">
        <f ca="1">IFERROR(__xludf.DUMMYFUNCTION("""COMPUTED_VALUE"""),10)</f>
        <v>10</v>
      </c>
      <c r="D1851" s="109" t="str">
        <f ca="1">IFERROR(__xludf.DUMMYFUNCTION("""COMPUTED_VALUE"""),"G")</f>
        <v>G</v>
      </c>
      <c r="E1851" s="110" t="str">
        <f ca="1">IFERROR(__xludf.DUMMYFUNCTION("""COMPUTED_VALUE"""),"F")</f>
        <v>F</v>
      </c>
      <c r="F1851" s="110" t="str">
        <f ca="1">IFERROR(__xludf.DUMMYFUNCTION("""COMPUTED_VALUE"""),"J")</f>
        <v>J</v>
      </c>
      <c r="G1851" s="110">
        <f ca="1">IFERROR(__xludf.DUMMYFUNCTION("""COMPUTED_VALUE"""),5)</f>
        <v>5</v>
      </c>
      <c r="H1851" s="112" t="str">
        <f ca="1"/>
        <v/>
      </c>
      <c r="I1851" s="81" t="str">
        <f ca="1"/>
        <v/>
      </c>
    </row>
    <row r="1852" spans="1:9" ht="13.2">
      <c r="A1852" s="109" t="str">
        <f ca="1">IFERROR(__xludf.DUMMYFUNCTION("""COMPUTED_VALUE"""),"SHB")</f>
        <v>SHB</v>
      </c>
      <c r="B1852" s="108" t="str">
        <f ca="1">IFERROR(__xludf.DUMMYFUNCTION("""COMPUTED_VALUE"""),"Angelina katsas")</f>
        <v>Angelina katsas</v>
      </c>
      <c r="C1852" s="109">
        <f ca="1">IFERROR(__xludf.DUMMYFUNCTION("""COMPUTED_VALUE"""),8)</f>
        <v>8</v>
      </c>
      <c r="D1852" s="109" t="str">
        <f ca="1">IFERROR(__xludf.DUMMYFUNCTION("""COMPUTED_VALUE"""),"G")</f>
        <v>G</v>
      </c>
      <c r="E1852" s="110" t="str">
        <f ca="1">IFERROR(__xludf.DUMMYFUNCTION("""COMPUTED_VALUE"""),"F")</f>
        <v>F</v>
      </c>
      <c r="F1852" s="110" t="str">
        <f ca="1">IFERROR(__xludf.DUMMYFUNCTION("""COMPUTED_VALUE"""),"J")</f>
        <v>J</v>
      </c>
      <c r="G1852" s="110">
        <f ca="1">IFERROR(__xludf.DUMMYFUNCTION("""COMPUTED_VALUE"""),5)</f>
        <v>5</v>
      </c>
      <c r="H1852" s="112" t="str">
        <f ca="1"/>
        <v/>
      </c>
      <c r="I1852" s="81" t="str">
        <f ca="1"/>
        <v/>
      </c>
    </row>
    <row r="1853" spans="1:9" ht="13.2">
      <c r="A1853" s="109" t="str">
        <f ca="1">IFERROR(__xludf.DUMMYFUNCTION("""COMPUTED_VALUE"""),"SHB")</f>
        <v>SHB</v>
      </c>
      <c r="B1853" s="108" t="str">
        <f ca="1">IFERROR(__xludf.DUMMYFUNCTION("""COMPUTED_VALUE"""),"Avery Vorndran")</f>
        <v>Avery Vorndran</v>
      </c>
      <c r="C1853" s="109">
        <f ca="1">IFERROR(__xludf.DUMMYFUNCTION("""COMPUTED_VALUE"""),9)</f>
        <v>9</v>
      </c>
      <c r="D1853" s="109" t="str">
        <f ca="1">IFERROR(__xludf.DUMMYFUNCTION("""COMPUTED_VALUE"""),"G")</f>
        <v>G</v>
      </c>
      <c r="E1853" s="110" t="str">
        <f ca="1">IFERROR(__xludf.DUMMYFUNCTION("""COMPUTED_VALUE"""),"F")</f>
        <v>F</v>
      </c>
      <c r="F1853" s="110" t="str">
        <f ca="1">IFERROR(__xludf.DUMMYFUNCTION("""COMPUTED_VALUE"""),"J")</f>
        <v>J</v>
      </c>
      <c r="G1853" s="110">
        <f ca="1">IFERROR(__xludf.DUMMYFUNCTION("""COMPUTED_VALUE"""),5)</f>
        <v>5</v>
      </c>
      <c r="H1853" s="112" t="str">
        <f ca="1"/>
        <v/>
      </c>
      <c r="I1853" s="81" t="str">
        <f ca="1"/>
        <v/>
      </c>
    </row>
    <row r="1854" spans="1:9" ht="13.2">
      <c r="A1854" s="109" t="str">
        <f ca="1">IFERROR(__xludf.DUMMYFUNCTION("""COMPUTED_VALUE"""),"SHB")</f>
        <v>SHB</v>
      </c>
      <c r="B1854" s="108" t="str">
        <f ca="1">IFERROR(__xludf.DUMMYFUNCTION("""COMPUTED_VALUE"""),"Azeria ""ZZ"" Arnic")</f>
        <v>Azeria "ZZ" Arnic</v>
      </c>
      <c r="C1854" s="109">
        <f ca="1">IFERROR(__xludf.DUMMYFUNCTION("""COMPUTED_VALUE"""),8)</f>
        <v>8</v>
      </c>
      <c r="D1854" s="109" t="str">
        <f ca="1">IFERROR(__xludf.DUMMYFUNCTION("""COMPUTED_VALUE"""),"G")</f>
        <v>G</v>
      </c>
      <c r="E1854" s="110" t="str">
        <f ca="1">IFERROR(__xludf.DUMMYFUNCTION("""COMPUTED_VALUE"""),"F")</f>
        <v>F</v>
      </c>
      <c r="F1854" s="110" t="str">
        <f ca="1">IFERROR(__xludf.DUMMYFUNCTION("""COMPUTED_VALUE"""),"J")</f>
        <v>J</v>
      </c>
      <c r="G1854" s="110">
        <f ca="1">IFERROR(__xludf.DUMMYFUNCTION("""COMPUTED_VALUE"""),5)</f>
        <v>5</v>
      </c>
      <c r="H1854" s="112" t="str">
        <f ca="1"/>
        <v/>
      </c>
      <c r="I1854" s="81" t="str">
        <f ca="1"/>
        <v/>
      </c>
    </row>
    <row r="1855" spans="1:9" ht="13.2">
      <c r="A1855" s="109" t="str">
        <f ca="1">IFERROR(__xludf.DUMMYFUNCTION("""COMPUTED_VALUE"""),"SHB")</f>
        <v>SHB</v>
      </c>
      <c r="B1855" s="108" t="str">
        <f ca="1">IFERROR(__xludf.DUMMYFUNCTION("""COMPUTED_VALUE"""),"Elise Akpati")</f>
        <v>Elise Akpati</v>
      </c>
      <c r="C1855" s="109">
        <f ca="1">IFERROR(__xludf.DUMMYFUNCTION("""COMPUTED_VALUE"""),5)</f>
        <v>5</v>
      </c>
      <c r="D1855" s="109" t="str">
        <f ca="1">IFERROR(__xludf.DUMMYFUNCTION("""COMPUTED_VALUE"""),"G")</f>
        <v>G</v>
      </c>
      <c r="E1855" s="110" t="str">
        <f ca="1">IFERROR(__xludf.DUMMYFUNCTION("""COMPUTED_VALUE"""),"F")</f>
        <v>F</v>
      </c>
      <c r="F1855" s="110" t="str">
        <f ca="1">IFERROR(__xludf.DUMMYFUNCTION("""COMPUTED_VALUE"""),"J")</f>
        <v>J</v>
      </c>
      <c r="G1855" s="110">
        <f ca="1">IFERROR(__xludf.DUMMYFUNCTION("""COMPUTED_VALUE"""),5)</f>
        <v>5</v>
      </c>
      <c r="H1855" s="112" t="str">
        <f ca="1"/>
        <v/>
      </c>
      <c r="I1855" s="81" t="str">
        <f ca="1"/>
        <v/>
      </c>
    </row>
    <row r="1856" spans="1:9" ht="13.2">
      <c r="A1856" s="109" t="str">
        <f ca="1">IFERROR(__xludf.DUMMYFUNCTION("""COMPUTED_VALUE"""),"SHB")</f>
        <v>SHB</v>
      </c>
      <c r="B1856" s="108" t="str">
        <f ca="1">IFERROR(__xludf.DUMMYFUNCTION("""COMPUTED_VALUE"""),"Emerson Cayetano")</f>
        <v>Emerson Cayetano</v>
      </c>
      <c r="C1856" s="109">
        <f ca="1">IFERROR(__xludf.DUMMYFUNCTION("""COMPUTED_VALUE"""),6)</f>
        <v>6</v>
      </c>
      <c r="D1856" s="109" t="str">
        <f ca="1">IFERROR(__xludf.DUMMYFUNCTION("""COMPUTED_VALUE"""),"G")</f>
        <v>G</v>
      </c>
      <c r="E1856" s="110" t="str">
        <f ca="1">IFERROR(__xludf.DUMMYFUNCTION("""COMPUTED_VALUE"""),"F")</f>
        <v>F</v>
      </c>
      <c r="F1856" s="110" t="str">
        <f ca="1">IFERROR(__xludf.DUMMYFUNCTION("""COMPUTED_VALUE"""),"J")</f>
        <v>J</v>
      </c>
      <c r="G1856" s="110">
        <f ca="1">IFERROR(__xludf.DUMMYFUNCTION("""COMPUTED_VALUE"""),5)</f>
        <v>5</v>
      </c>
      <c r="H1856" s="112" t="str">
        <f ca="1"/>
        <v/>
      </c>
      <c r="I1856" s="81" t="str">
        <f ca="1"/>
        <v/>
      </c>
    </row>
    <row r="1857" spans="1:9" ht="13.2">
      <c r="A1857" s="109" t="str">
        <f ca="1">IFERROR(__xludf.DUMMYFUNCTION("""COMPUTED_VALUE"""),"SHB")</f>
        <v>SHB</v>
      </c>
      <c r="B1857" s="108" t="str">
        <f ca="1">IFERROR(__xludf.DUMMYFUNCTION("""COMPUTED_VALUE"""),"Emma Radich")</f>
        <v>Emma Radich</v>
      </c>
      <c r="C1857" s="109">
        <f ca="1">IFERROR(__xludf.DUMMYFUNCTION("""COMPUTED_VALUE"""),7)</f>
        <v>7</v>
      </c>
      <c r="D1857" s="109" t="str">
        <f ca="1">IFERROR(__xludf.DUMMYFUNCTION("""COMPUTED_VALUE"""),"G")</f>
        <v>G</v>
      </c>
      <c r="E1857" s="110" t="str">
        <f ca="1">IFERROR(__xludf.DUMMYFUNCTION("""COMPUTED_VALUE"""),"F")</f>
        <v>F</v>
      </c>
      <c r="F1857" s="110" t="str">
        <f ca="1">IFERROR(__xludf.DUMMYFUNCTION("""COMPUTED_VALUE"""),"J")</f>
        <v>J</v>
      </c>
      <c r="G1857" s="110">
        <f ca="1">IFERROR(__xludf.DUMMYFUNCTION("""COMPUTED_VALUE"""),5)</f>
        <v>5</v>
      </c>
      <c r="H1857" s="112" t="str">
        <f ca="1"/>
        <v>10.5</v>
      </c>
      <c r="I1857" s="81">
        <f ca="1"/>
        <v>10.5</v>
      </c>
    </row>
    <row r="1858" spans="1:9" ht="13.2">
      <c r="A1858" s="109" t="str">
        <f ca="1">IFERROR(__xludf.DUMMYFUNCTION("""COMPUTED_VALUE"""),"SHB")</f>
        <v>SHB</v>
      </c>
      <c r="B1858" s="108" t="str">
        <f ca="1">IFERROR(__xludf.DUMMYFUNCTION("""COMPUTED_VALUE"""),"Evelyn Akpati")</f>
        <v>Evelyn Akpati</v>
      </c>
      <c r="C1858" s="109">
        <f ca="1">IFERROR(__xludf.DUMMYFUNCTION("""COMPUTED_VALUE"""),7)</f>
        <v>7</v>
      </c>
      <c r="D1858" s="109" t="str">
        <f ca="1">IFERROR(__xludf.DUMMYFUNCTION("""COMPUTED_VALUE"""),"G")</f>
        <v>G</v>
      </c>
      <c r="E1858" s="110" t="str">
        <f ca="1">IFERROR(__xludf.DUMMYFUNCTION("""COMPUTED_VALUE"""),"F")</f>
        <v>F</v>
      </c>
      <c r="F1858" s="110" t="str">
        <f ca="1">IFERROR(__xludf.DUMMYFUNCTION("""COMPUTED_VALUE"""),"J")</f>
        <v>J</v>
      </c>
      <c r="G1858" s="110">
        <f ca="1">IFERROR(__xludf.DUMMYFUNCTION("""COMPUTED_VALUE"""),5)</f>
        <v>5</v>
      </c>
      <c r="H1858" s="112" t="str">
        <f ca="1"/>
        <v/>
      </c>
      <c r="I1858" s="81" t="str">
        <f ca="1"/>
        <v/>
      </c>
    </row>
    <row r="1859" spans="1:9" ht="13.2">
      <c r="A1859" s="109" t="str">
        <f ca="1">IFERROR(__xludf.DUMMYFUNCTION("""COMPUTED_VALUE"""),"SHB")</f>
        <v>SHB</v>
      </c>
      <c r="B1859" s="108" t="str">
        <f ca="1">IFERROR(__xludf.DUMMYFUNCTION("""COMPUTED_VALUE"""),"Hadley Chang")</f>
        <v>Hadley Chang</v>
      </c>
      <c r="C1859" s="109">
        <f ca="1">IFERROR(__xludf.DUMMYFUNCTION("""COMPUTED_VALUE"""),10)</f>
        <v>10</v>
      </c>
      <c r="D1859" s="109" t="str">
        <f ca="1">IFERROR(__xludf.DUMMYFUNCTION("""COMPUTED_VALUE"""),"G")</f>
        <v>G</v>
      </c>
      <c r="E1859" s="110" t="str">
        <f ca="1">IFERROR(__xludf.DUMMYFUNCTION("""COMPUTED_VALUE"""),"F")</f>
        <v>F</v>
      </c>
      <c r="F1859" s="110" t="str">
        <f ca="1">IFERROR(__xludf.DUMMYFUNCTION("""COMPUTED_VALUE"""),"J")</f>
        <v>J</v>
      </c>
      <c r="G1859" s="110">
        <f ca="1">IFERROR(__xludf.DUMMYFUNCTION("""COMPUTED_VALUE"""),5)</f>
        <v>5</v>
      </c>
      <c r="H1859" s="112" t="str">
        <f ca="1"/>
        <v/>
      </c>
      <c r="I1859" s="81" t="str">
        <f ca="1"/>
        <v/>
      </c>
    </row>
    <row r="1860" spans="1:9" ht="13.2">
      <c r="A1860" s="109" t="str">
        <f ca="1">IFERROR(__xludf.DUMMYFUNCTION("""COMPUTED_VALUE"""),"SHB")</f>
        <v>SHB</v>
      </c>
      <c r="B1860" s="108" t="str">
        <f ca="1">IFERROR(__xludf.DUMMYFUNCTION("""COMPUTED_VALUE"""),"Hannah Taggart")</f>
        <v>Hannah Taggart</v>
      </c>
      <c r="C1860" s="109">
        <f ca="1">IFERROR(__xludf.DUMMYFUNCTION("""COMPUTED_VALUE"""),8)</f>
        <v>8</v>
      </c>
      <c r="D1860" s="109" t="str">
        <f ca="1">IFERROR(__xludf.DUMMYFUNCTION("""COMPUTED_VALUE"""),"G")</f>
        <v>G</v>
      </c>
      <c r="E1860" s="110" t="str">
        <f ca="1">IFERROR(__xludf.DUMMYFUNCTION("""COMPUTED_VALUE"""),"F")</f>
        <v>F</v>
      </c>
      <c r="F1860" s="110" t="str">
        <f ca="1">IFERROR(__xludf.DUMMYFUNCTION("""COMPUTED_VALUE"""),"J")</f>
        <v>J</v>
      </c>
      <c r="G1860" s="110">
        <f ca="1">IFERROR(__xludf.DUMMYFUNCTION("""COMPUTED_VALUE"""),5)</f>
        <v>5</v>
      </c>
      <c r="H1860" s="112" t="str">
        <f ca="1"/>
        <v/>
      </c>
      <c r="I1860" s="81" t="str">
        <f ca="1"/>
        <v/>
      </c>
    </row>
    <row r="1861" spans="1:9" ht="13.2">
      <c r="A1861" s="109" t="str">
        <f ca="1">IFERROR(__xludf.DUMMYFUNCTION("""COMPUTED_VALUE"""),"SHB")</f>
        <v>SHB</v>
      </c>
      <c r="B1861" s="108" t="str">
        <f ca="1">IFERROR(__xludf.DUMMYFUNCTION("""COMPUTED_VALUE"""),"Harper Pham")</f>
        <v>Harper Pham</v>
      </c>
      <c r="C1861" s="109">
        <f ca="1">IFERROR(__xludf.DUMMYFUNCTION("""COMPUTED_VALUE"""),8)</f>
        <v>8</v>
      </c>
      <c r="D1861" s="109" t="str">
        <f ca="1">IFERROR(__xludf.DUMMYFUNCTION("""COMPUTED_VALUE"""),"G")</f>
        <v>G</v>
      </c>
      <c r="E1861" s="110" t="str">
        <f ca="1">IFERROR(__xludf.DUMMYFUNCTION("""COMPUTED_VALUE"""),"F")</f>
        <v>F</v>
      </c>
      <c r="F1861" s="110" t="str">
        <f ca="1">IFERROR(__xludf.DUMMYFUNCTION("""COMPUTED_VALUE"""),"J")</f>
        <v>J</v>
      </c>
      <c r="G1861" s="110">
        <f ca="1">IFERROR(__xludf.DUMMYFUNCTION("""COMPUTED_VALUE"""),5)</f>
        <v>5</v>
      </c>
      <c r="H1861" s="112" t="str">
        <f ca="1"/>
        <v>43.55</v>
      </c>
      <c r="I1861" s="81">
        <f ca="1"/>
        <v>43.55</v>
      </c>
    </row>
    <row r="1862" spans="1:9" ht="13.2">
      <c r="A1862" s="109" t="str">
        <f ca="1">IFERROR(__xludf.DUMMYFUNCTION("""COMPUTED_VALUE"""),"SHB")</f>
        <v>SHB</v>
      </c>
      <c r="B1862" s="108" t="str">
        <f ca="1">IFERROR(__xludf.DUMMYFUNCTION("""COMPUTED_VALUE"""),"Hillary Mitchell")</f>
        <v>Hillary Mitchell</v>
      </c>
      <c r="C1862" s="109">
        <f ca="1">IFERROR(__xludf.DUMMYFUNCTION("""COMPUTED_VALUE"""),9)</f>
        <v>9</v>
      </c>
      <c r="D1862" s="109" t="str">
        <f ca="1">IFERROR(__xludf.DUMMYFUNCTION("""COMPUTED_VALUE"""),"G")</f>
        <v>G</v>
      </c>
      <c r="E1862" s="110" t="str">
        <f ca="1">IFERROR(__xludf.DUMMYFUNCTION("""COMPUTED_VALUE"""),"F")</f>
        <v>F</v>
      </c>
      <c r="F1862" s="110" t="str">
        <f ca="1">IFERROR(__xludf.DUMMYFUNCTION("""COMPUTED_VALUE"""),"J")</f>
        <v>J</v>
      </c>
      <c r="G1862" s="110">
        <f ca="1">IFERROR(__xludf.DUMMYFUNCTION("""COMPUTED_VALUE"""),5)</f>
        <v>5</v>
      </c>
      <c r="H1862" s="112" t="str">
        <f ca="1"/>
        <v/>
      </c>
      <c r="I1862" s="81" t="str">
        <f ca="1"/>
        <v/>
      </c>
    </row>
    <row r="1863" spans="1:9" ht="13.2">
      <c r="A1863" s="109" t="str">
        <f ca="1">IFERROR(__xludf.DUMMYFUNCTION("""COMPUTED_VALUE"""),"SHB")</f>
        <v>SHB</v>
      </c>
      <c r="B1863" s="108" t="str">
        <f ca="1">IFERROR(__xludf.DUMMYFUNCTION("""COMPUTED_VALUE"""),"Isabel Compher")</f>
        <v>Isabel Compher</v>
      </c>
      <c r="C1863" s="109">
        <f ca="1">IFERROR(__xludf.DUMMYFUNCTION("""COMPUTED_VALUE"""),9)</f>
        <v>9</v>
      </c>
      <c r="D1863" s="109" t="str">
        <f ca="1">IFERROR(__xludf.DUMMYFUNCTION("""COMPUTED_VALUE"""),"G")</f>
        <v>G</v>
      </c>
      <c r="E1863" s="110" t="str">
        <f ca="1">IFERROR(__xludf.DUMMYFUNCTION("""COMPUTED_VALUE"""),"F")</f>
        <v>F</v>
      </c>
      <c r="F1863" s="110" t="str">
        <f ca="1">IFERROR(__xludf.DUMMYFUNCTION("""COMPUTED_VALUE"""),"J")</f>
        <v>J</v>
      </c>
      <c r="G1863" s="110">
        <f ca="1">IFERROR(__xludf.DUMMYFUNCTION("""COMPUTED_VALUE"""),5)</f>
        <v>5</v>
      </c>
      <c r="H1863" s="112" t="str">
        <f ca="1"/>
        <v/>
      </c>
      <c r="I1863" s="81" t="str">
        <f ca="1"/>
        <v/>
      </c>
    </row>
    <row r="1864" spans="1:9" ht="13.2">
      <c r="A1864" s="109" t="str">
        <f ca="1">IFERROR(__xludf.DUMMYFUNCTION("""COMPUTED_VALUE"""),"SHB")</f>
        <v>SHB</v>
      </c>
      <c r="B1864" s="108" t="str">
        <f ca="1">IFERROR(__xludf.DUMMYFUNCTION("""COMPUTED_VALUE"""),"Julie Rosenbaum")</f>
        <v>Julie Rosenbaum</v>
      </c>
      <c r="C1864" s="109">
        <f ca="1">IFERROR(__xludf.DUMMYFUNCTION("""COMPUTED_VALUE"""),7)</f>
        <v>7</v>
      </c>
      <c r="D1864" s="109" t="str">
        <f ca="1">IFERROR(__xludf.DUMMYFUNCTION("""COMPUTED_VALUE"""),"G")</f>
        <v>G</v>
      </c>
      <c r="E1864" s="110" t="str">
        <f ca="1">IFERROR(__xludf.DUMMYFUNCTION("""COMPUTED_VALUE"""),"F")</f>
        <v>F</v>
      </c>
      <c r="F1864" s="110" t="str">
        <f ca="1">IFERROR(__xludf.DUMMYFUNCTION("""COMPUTED_VALUE"""),"J")</f>
        <v>J</v>
      </c>
      <c r="G1864" s="110">
        <f ca="1">IFERROR(__xludf.DUMMYFUNCTION("""COMPUTED_VALUE"""),5)</f>
        <v>5</v>
      </c>
      <c r="H1864" s="112" t="str">
        <f ca="1"/>
        <v/>
      </c>
      <c r="I1864" s="81" t="str">
        <f ca="1"/>
        <v/>
      </c>
    </row>
    <row r="1865" spans="1:9" ht="13.2">
      <c r="A1865" s="109" t="str">
        <f ca="1">IFERROR(__xludf.DUMMYFUNCTION("""COMPUTED_VALUE"""),"SHB")</f>
        <v>SHB</v>
      </c>
      <c r="B1865" s="108" t="str">
        <f ca="1">IFERROR(__xludf.DUMMYFUNCTION("""COMPUTED_VALUE"""),"Maya Orlova")</f>
        <v>Maya Orlova</v>
      </c>
      <c r="C1865" s="109">
        <f ca="1">IFERROR(__xludf.DUMMYFUNCTION("""COMPUTED_VALUE"""),9)</f>
        <v>9</v>
      </c>
      <c r="D1865" s="109" t="str">
        <f ca="1">IFERROR(__xludf.DUMMYFUNCTION("""COMPUTED_VALUE"""),"G")</f>
        <v>G</v>
      </c>
      <c r="E1865" s="110" t="str">
        <f ca="1">IFERROR(__xludf.DUMMYFUNCTION("""COMPUTED_VALUE"""),"F")</f>
        <v>F</v>
      </c>
      <c r="F1865" s="110" t="str">
        <f ca="1">IFERROR(__xludf.DUMMYFUNCTION("""COMPUTED_VALUE"""),"J")</f>
        <v>J</v>
      </c>
      <c r="G1865" s="110">
        <f ca="1">IFERROR(__xludf.DUMMYFUNCTION("""COMPUTED_VALUE"""),5)</f>
        <v>5</v>
      </c>
      <c r="H1865" s="112" t="str">
        <f ca="1"/>
        <v/>
      </c>
      <c r="I1865" s="81" t="str">
        <f ca="1"/>
        <v/>
      </c>
    </row>
    <row r="1866" spans="1:9" ht="13.2">
      <c r="A1866" s="109" t="str">
        <f ca="1">IFERROR(__xludf.DUMMYFUNCTION("""COMPUTED_VALUE"""),"SHB")</f>
        <v>SHB</v>
      </c>
      <c r="B1866" s="108" t="str">
        <f ca="1">IFERROR(__xludf.DUMMYFUNCTION("""COMPUTED_VALUE"""),"Riley Cayetano")</f>
        <v>Riley Cayetano</v>
      </c>
      <c r="C1866" s="109">
        <f ca="1">IFERROR(__xludf.DUMMYFUNCTION("""COMPUTED_VALUE"""),6)</f>
        <v>6</v>
      </c>
      <c r="D1866" s="109" t="str">
        <f ca="1">IFERROR(__xludf.DUMMYFUNCTION("""COMPUTED_VALUE"""),"G")</f>
        <v>G</v>
      </c>
      <c r="E1866" s="110" t="str">
        <f ca="1">IFERROR(__xludf.DUMMYFUNCTION("""COMPUTED_VALUE"""),"F")</f>
        <v>F</v>
      </c>
      <c r="F1866" s="110" t="str">
        <f ca="1">IFERROR(__xludf.DUMMYFUNCTION("""COMPUTED_VALUE"""),"J")</f>
        <v>J</v>
      </c>
      <c r="G1866" s="110">
        <f ca="1">IFERROR(__xludf.DUMMYFUNCTION("""COMPUTED_VALUE"""),5)</f>
        <v>5</v>
      </c>
      <c r="H1866" s="112" t="str">
        <f ca="1"/>
        <v/>
      </c>
      <c r="I1866" s="81" t="str">
        <f ca="1"/>
        <v/>
      </c>
    </row>
    <row r="1867" spans="1:9" ht="13.2">
      <c r="A1867" s="109" t="str">
        <f ca="1">IFERROR(__xludf.DUMMYFUNCTION("""COMPUTED_VALUE"""),"SHB")</f>
        <v>SHB</v>
      </c>
      <c r="B1867" s="108" t="str">
        <f ca="1">IFERROR(__xludf.DUMMYFUNCTION("""COMPUTED_VALUE"""),"Sarah Chodos")</f>
        <v>Sarah Chodos</v>
      </c>
      <c r="C1867" s="109">
        <f ca="1">IFERROR(__xludf.DUMMYFUNCTION("""COMPUTED_VALUE"""),10)</f>
        <v>10</v>
      </c>
      <c r="D1867" s="109" t="str">
        <f ca="1">IFERROR(__xludf.DUMMYFUNCTION("""COMPUTED_VALUE"""),"G")</f>
        <v>G</v>
      </c>
      <c r="E1867" s="110" t="str">
        <f ca="1">IFERROR(__xludf.DUMMYFUNCTION("""COMPUTED_VALUE"""),"F")</f>
        <v>F</v>
      </c>
      <c r="F1867" s="110" t="str">
        <f ca="1">IFERROR(__xludf.DUMMYFUNCTION("""COMPUTED_VALUE"""),"J")</f>
        <v>J</v>
      </c>
      <c r="G1867" s="110">
        <f ca="1">IFERROR(__xludf.DUMMYFUNCTION("""COMPUTED_VALUE"""),5)</f>
        <v>5</v>
      </c>
      <c r="H1867" s="112" t="str">
        <f ca="1"/>
        <v/>
      </c>
      <c r="I1867" s="81" t="str">
        <f ca="1"/>
        <v/>
      </c>
    </row>
    <row r="1868" spans="1:9" ht="13.2">
      <c r="A1868" s="109" t="str">
        <f ca="1">IFERROR(__xludf.DUMMYFUNCTION("""COMPUTED_VALUE"""),"SHB")</f>
        <v>SHB</v>
      </c>
      <c r="B1868" s="108" t="str">
        <f ca="1">IFERROR(__xludf.DUMMYFUNCTION("""COMPUTED_VALUE"""),"David Caudillo")</f>
        <v>David Caudillo</v>
      </c>
      <c r="C1868" s="109">
        <f ca="1">IFERROR(__xludf.DUMMYFUNCTION("""COMPUTED_VALUE"""),13)</f>
        <v>13</v>
      </c>
      <c r="D1868" s="109" t="str">
        <f ca="1">IFERROR(__xludf.DUMMYFUNCTION("""COMPUTED_VALUE"""),"B")</f>
        <v>B</v>
      </c>
      <c r="E1868" s="110" t="str">
        <f ca="1">IFERROR(__xludf.DUMMYFUNCTION("""COMPUTED_VALUE"""),"I")</f>
        <v>I</v>
      </c>
      <c r="F1868" s="110" t="str">
        <f ca="1">IFERROR(__xludf.DUMMYFUNCTION("""COMPUTED_VALUE"""),"S")</f>
        <v>S</v>
      </c>
      <c r="G1868" s="110">
        <f ca="1">IFERROR(__xludf.DUMMYFUNCTION("""COMPUTED_VALUE"""),5)</f>
        <v>5</v>
      </c>
      <c r="H1868" s="112" t="str">
        <f ca="1"/>
        <v/>
      </c>
      <c r="I1868" s="81" t="str">
        <f ca="1"/>
        <v/>
      </c>
    </row>
    <row r="1869" spans="1:9" ht="13.2">
      <c r="A1869" s="109" t="str">
        <f ca="1">IFERROR(__xludf.DUMMYFUNCTION("""COMPUTED_VALUE"""),"SHB")</f>
        <v>SHB</v>
      </c>
      <c r="B1869" s="108" t="str">
        <f ca="1">IFERROR(__xludf.DUMMYFUNCTION("""COMPUTED_VALUE"""),"Donovan Lanoue-Chapman")</f>
        <v>Donovan Lanoue-Chapman</v>
      </c>
      <c r="C1869" s="109">
        <f ca="1">IFERROR(__xludf.DUMMYFUNCTION("""COMPUTED_VALUE"""),13)</f>
        <v>13</v>
      </c>
      <c r="D1869" s="109" t="str">
        <f ca="1">IFERROR(__xludf.DUMMYFUNCTION("""COMPUTED_VALUE"""),"B")</f>
        <v>B</v>
      </c>
      <c r="E1869" s="110" t="str">
        <f ca="1">IFERROR(__xludf.DUMMYFUNCTION("""COMPUTED_VALUE"""),"I")</f>
        <v>I</v>
      </c>
      <c r="F1869" s="110" t="str">
        <f ca="1">IFERROR(__xludf.DUMMYFUNCTION("""COMPUTED_VALUE"""),"S")</f>
        <v>S</v>
      </c>
      <c r="G1869" s="110">
        <f ca="1">IFERROR(__xludf.DUMMYFUNCTION("""COMPUTED_VALUE"""),5)</f>
        <v>5</v>
      </c>
      <c r="H1869" s="112" t="str">
        <f ca="1"/>
        <v/>
      </c>
      <c r="I1869" s="81" t="str">
        <f ca="1"/>
        <v/>
      </c>
    </row>
    <row r="1870" spans="1:9" ht="13.2">
      <c r="A1870" s="109" t="str">
        <f ca="1">IFERROR(__xludf.DUMMYFUNCTION("""COMPUTED_VALUE"""),"SHB")</f>
        <v>SHB</v>
      </c>
      <c r="B1870" s="108" t="str">
        <f ca="1">IFERROR(__xludf.DUMMYFUNCTION("""COMPUTED_VALUE"""),"Ethan Heim")</f>
        <v>Ethan Heim</v>
      </c>
      <c r="C1870" s="109">
        <f ca="1">IFERROR(__xludf.DUMMYFUNCTION("""COMPUTED_VALUE"""),14)</f>
        <v>14</v>
      </c>
      <c r="D1870" s="109" t="str">
        <f ca="1">IFERROR(__xludf.DUMMYFUNCTION("""COMPUTED_VALUE"""),"B")</f>
        <v>B</v>
      </c>
      <c r="E1870" s="110" t="str">
        <f ca="1">IFERROR(__xludf.DUMMYFUNCTION("""COMPUTED_VALUE"""),"I")</f>
        <v>I</v>
      </c>
      <c r="F1870" s="110" t="str">
        <f ca="1">IFERROR(__xludf.DUMMYFUNCTION("""COMPUTED_VALUE"""),"S")</f>
        <v>S</v>
      </c>
      <c r="G1870" s="110">
        <f ca="1">IFERROR(__xludf.DUMMYFUNCTION("""COMPUTED_VALUE"""),5)</f>
        <v>5</v>
      </c>
      <c r="H1870" s="112" t="str">
        <f ca="1"/>
        <v/>
      </c>
      <c r="I1870" s="81" t="str">
        <f ca="1"/>
        <v/>
      </c>
    </row>
    <row r="1871" spans="1:9" ht="13.2">
      <c r="A1871" s="109" t="str">
        <f ca="1">IFERROR(__xludf.DUMMYFUNCTION("""COMPUTED_VALUE"""),"SHB")</f>
        <v>SHB</v>
      </c>
      <c r="B1871" s="108" t="str">
        <f ca="1">IFERROR(__xludf.DUMMYFUNCTION("""COMPUTED_VALUE"""),"Gavin Goldstein")</f>
        <v>Gavin Goldstein</v>
      </c>
      <c r="C1871" s="109">
        <f ca="1">IFERROR(__xludf.DUMMYFUNCTION("""COMPUTED_VALUE"""),13)</f>
        <v>13</v>
      </c>
      <c r="D1871" s="109" t="str">
        <f ca="1">IFERROR(__xludf.DUMMYFUNCTION("""COMPUTED_VALUE"""),"B")</f>
        <v>B</v>
      </c>
      <c r="E1871" s="110" t="str">
        <f ca="1">IFERROR(__xludf.DUMMYFUNCTION("""COMPUTED_VALUE"""),"I")</f>
        <v>I</v>
      </c>
      <c r="F1871" s="110" t="str">
        <f ca="1">IFERROR(__xludf.DUMMYFUNCTION("""COMPUTED_VALUE"""),"S")</f>
        <v>S</v>
      </c>
      <c r="G1871" s="110">
        <f ca="1">IFERROR(__xludf.DUMMYFUNCTION("""COMPUTED_VALUE"""),5)</f>
        <v>5</v>
      </c>
      <c r="H1871" s="112" t="str">
        <f ca="1"/>
        <v/>
      </c>
      <c r="I1871" s="81" t="str">
        <f ca="1"/>
        <v/>
      </c>
    </row>
    <row r="1872" spans="1:9" ht="13.2">
      <c r="A1872" s="109" t="str">
        <f ca="1">IFERROR(__xludf.DUMMYFUNCTION("""COMPUTED_VALUE"""),"SHB")</f>
        <v>SHB</v>
      </c>
      <c r="B1872" s="108" t="str">
        <f ca="1">IFERROR(__xludf.DUMMYFUNCTION("""COMPUTED_VALUE"""),"Addie Bates")</f>
        <v>Addie Bates</v>
      </c>
      <c r="C1872" s="109">
        <f ca="1">IFERROR(__xludf.DUMMYFUNCTION("""COMPUTED_VALUE"""),13)</f>
        <v>13</v>
      </c>
      <c r="D1872" s="109" t="str">
        <f ca="1">IFERROR(__xludf.DUMMYFUNCTION("""COMPUTED_VALUE"""),"G")</f>
        <v>G</v>
      </c>
      <c r="E1872" s="110" t="str">
        <f ca="1">IFERROR(__xludf.DUMMYFUNCTION("""COMPUTED_VALUE"""),"I")</f>
        <v>I</v>
      </c>
      <c r="F1872" s="110" t="str">
        <f ca="1">IFERROR(__xludf.DUMMYFUNCTION("""COMPUTED_VALUE"""),"S")</f>
        <v>S</v>
      </c>
      <c r="G1872" s="110">
        <f ca="1">IFERROR(__xludf.DUMMYFUNCTION("""COMPUTED_VALUE"""),5)</f>
        <v>5</v>
      </c>
      <c r="H1872" s="112" t="str">
        <f ca="1"/>
        <v/>
      </c>
      <c r="I1872" s="81" t="str">
        <f ca="1"/>
        <v/>
      </c>
    </row>
    <row r="1873" spans="1:9" ht="13.2">
      <c r="A1873" s="109" t="str">
        <f ca="1">IFERROR(__xludf.DUMMYFUNCTION("""COMPUTED_VALUE"""),"SHB")</f>
        <v>SHB</v>
      </c>
      <c r="B1873" s="108" t="str">
        <f ca="1">IFERROR(__xludf.DUMMYFUNCTION("""COMPUTED_VALUE"""),"Breanne Graham")</f>
        <v>Breanne Graham</v>
      </c>
      <c r="C1873" s="109">
        <f ca="1">IFERROR(__xludf.DUMMYFUNCTION("""COMPUTED_VALUE"""),13)</f>
        <v>13</v>
      </c>
      <c r="D1873" s="109" t="str">
        <f ca="1">IFERROR(__xludf.DUMMYFUNCTION("""COMPUTED_VALUE"""),"G")</f>
        <v>G</v>
      </c>
      <c r="E1873" s="110" t="str">
        <f ca="1">IFERROR(__xludf.DUMMYFUNCTION("""COMPUTED_VALUE"""),"I")</f>
        <v>I</v>
      </c>
      <c r="F1873" s="110" t="str">
        <f ca="1">IFERROR(__xludf.DUMMYFUNCTION("""COMPUTED_VALUE"""),"S")</f>
        <v>S</v>
      </c>
      <c r="G1873" s="110">
        <f ca="1">IFERROR(__xludf.DUMMYFUNCTION("""COMPUTED_VALUE"""),5)</f>
        <v>5</v>
      </c>
      <c r="H1873" s="112" t="str">
        <f ca="1"/>
        <v/>
      </c>
      <c r="I1873" s="81" t="str">
        <f ca="1"/>
        <v/>
      </c>
    </row>
    <row r="1874" spans="1:9" ht="13.2">
      <c r="A1874" s="109" t="str">
        <f ca="1">IFERROR(__xludf.DUMMYFUNCTION("""COMPUTED_VALUE"""),"SHB")</f>
        <v>SHB</v>
      </c>
      <c r="B1874" s="108" t="str">
        <f ca="1">IFERROR(__xludf.DUMMYFUNCTION("""COMPUTED_VALUE"""),"Camryn Caughlin")</f>
        <v>Camryn Caughlin</v>
      </c>
      <c r="C1874" s="109">
        <f ca="1">IFERROR(__xludf.DUMMYFUNCTION("""COMPUTED_VALUE"""),13)</f>
        <v>13</v>
      </c>
      <c r="D1874" s="109" t="str">
        <f ca="1">IFERROR(__xludf.DUMMYFUNCTION("""COMPUTED_VALUE"""),"G")</f>
        <v>G</v>
      </c>
      <c r="E1874" s="110" t="str">
        <f ca="1">IFERROR(__xludf.DUMMYFUNCTION("""COMPUTED_VALUE"""),"I")</f>
        <v>I</v>
      </c>
      <c r="F1874" s="110" t="str">
        <f ca="1">IFERROR(__xludf.DUMMYFUNCTION("""COMPUTED_VALUE"""),"S")</f>
        <v>S</v>
      </c>
      <c r="G1874" s="110">
        <f ca="1">IFERROR(__xludf.DUMMYFUNCTION("""COMPUTED_VALUE"""),5)</f>
        <v>5</v>
      </c>
      <c r="H1874" s="112" t="str">
        <f ca="1"/>
        <v/>
      </c>
      <c r="I1874" s="81" t="str">
        <f ca="1"/>
        <v/>
      </c>
    </row>
    <row r="1875" spans="1:9" ht="13.2">
      <c r="A1875" s="109" t="str">
        <f ca="1">IFERROR(__xludf.DUMMYFUNCTION("""COMPUTED_VALUE"""),"SHB")</f>
        <v>SHB</v>
      </c>
      <c r="B1875" s="108" t="str">
        <f ca="1">IFERROR(__xludf.DUMMYFUNCTION("""COMPUTED_VALUE"""),"Olivia Sherman")</f>
        <v>Olivia Sherman</v>
      </c>
      <c r="C1875" s="109">
        <f ca="1">IFERROR(__xludf.DUMMYFUNCTION("""COMPUTED_VALUE"""),13)</f>
        <v>13</v>
      </c>
      <c r="D1875" s="109" t="str">
        <f ca="1">IFERROR(__xludf.DUMMYFUNCTION("""COMPUTED_VALUE"""),"G")</f>
        <v>G</v>
      </c>
      <c r="E1875" s="110" t="str">
        <f ca="1">IFERROR(__xludf.DUMMYFUNCTION("""COMPUTED_VALUE"""),"I")</f>
        <v>I</v>
      </c>
      <c r="F1875" s="110" t="str">
        <f ca="1">IFERROR(__xludf.DUMMYFUNCTION("""COMPUTED_VALUE"""),"S")</f>
        <v>S</v>
      </c>
      <c r="G1875" s="110">
        <f ca="1">IFERROR(__xludf.DUMMYFUNCTION("""COMPUTED_VALUE"""),5)</f>
        <v>5</v>
      </c>
      <c r="H1875" s="112" t="str">
        <f ca="1"/>
        <v/>
      </c>
      <c r="I1875" s="81" t="str">
        <f ca="1"/>
        <v/>
      </c>
    </row>
    <row r="1876" spans="1:9" ht="13.2">
      <c r="A1876" s="109" t="str">
        <f ca="1">IFERROR(__xludf.DUMMYFUNCTION("""COMPUTED_VALUE"""),"SHB")</f>
        <v>SHB</v>
      </c>
      <c r="B1876" s="108" t="str">
        <f ca="1">IFERROR(__xludf.DUMMYFUNCTION("""COMPUTED_VALUE"""),"Paisley Wilkins")</f>
        <v>Paisley Wilkins</v>
      </c>
      <c r="C1876" s="109">
        <f ca="1">IFERROR(__xludf.DUMMYFUNCTION("""COMPUTED_VALUE"""),14)</f>
        <v>14</v>
      </c>
      <c r="D1876" s="109" t="str">
        <f ca="1">IFERROR(__xludf.DUMMYFUNCTION("""COMPUTED_VALUE"""),"G")</f>
        <v>G</v>
      </c>
      <c r="E1876" s="110" t="str">
        <f ca="1">IFERROR(__xludf.DUMMYFUNCTION("""COMPUTED_VALUE"""),"I")</f>
        <v>I</v>
      </c>
      <c r="F1876" s="110" t="str">
        <f ca="1">IFERROR(__xludf.DUMMYFUNCTION("""COMPUTED_VALUE"""),"S")</f>
        <v>S</v>
      </c>
      <c r="G1876" s="110">
        <f ca="1">IFERROR(__xludf.DUMMYFUNCTION("""COMPUTED_VALUE"""),5)</f>
        <v>5</v>
      </c>
      <c r="H1876" s="112" t="str">
        <f ca="1"/>
        <v/>
      </c>
      <c r="I1876" s="81" t="str">
        <f ca="1"/>
        <v/>
      </c>
    </row>
    <row r="1877" spans="1:9" ht="13.2">
      <c r="A1877" s="109" t="str">
        <f ca="1">IFERROR(__xludf.DUMMYFUNCTION("""COMPUTED_VALUE"""),"SHB")</f>
        <v>SHB</v>
      </c>
      <c r="B1877" s="108" t="str">
        <f ca="1">IFERROR(__xludf.DUMMYFUNCTION("""COMPUTED_VALUE"""),"Samantha Shumaker")</f>
        <v>Samantha Shumaker</v>
      </c>
      <c r="C1877" s="109">
        <f ca="1">IFERROR(__xludf.DUMMYFUNCTION("""COMPUTED_VALUE"""),13)</f>
        <v>13</v>
      </c>
      <c r="D1877" s="109" t="str">
        <f ca="1">IFERROR(__xludf.DUMMYFUNCTION("""COMPUTED_VALUE"""),"G")</f>
        <v>G</v>
      </c>
      <c r="E1877" s="110" t="str">
        <f ca="1">IFERROR(__xludf.DUMMYFUNCTION("""COMPUTED_VALUE"""),"I")</f>
        <v>I</v>
      </c>
      <c r="F1877" s="110" t="str">
        <f ca="1">IFERROR(__xludf.DUMMYFUNCTION("""COMPUTED_VALUE"""),"S")</f>
        <v>S</v>
      </c>
      <c r="G1877" s="110">
        <f ca="1">IFERROR(__xludf.DUMMYFUNCTION("""COMPUTED_VALUE"""),5)</f>
        <v>5</v>
      </c>
      <c r="H1877" s="112" t="str">
        <f ca="1"/>
        <v/>
      </c>
      <c r="I1877" s="81" t="str">
        <f ca="1"/>
        <v/>
      </c>
    </row>
    <row r="1878" spans="1:9" ht="13.2">
      <c r="A1878" s="109" t="str">
        <f ca="1">IFERROR(__xludf.DUMMYFUNCTION("""COMPUTED_VALUE"""),"SHB")</f>
        <v>SHB</v>
      </c>
      <c r="B1878" s="108" t="str">
        <f ca="1">IFERROR(__xludf.DUMMYFUNCTION("""COMPUTED_VALUE"""),"Griffin Lanoue-Chapman")</f>
        <v>Griffin Lanoue-Chapman</v>
      </c>
      <c r="C1878" s="109">
        <f ca="1">IFERROR(__xludf.DUMMYFUNCTION("""COMPUTED_VALUE"""),12)</f>
        <v>12</v>
      </c>
      <c r="D1878" s="109" t="str">
        <f ca="1">IFERROR(__xludf.DUMMYFUNCTION("""COMPUTED_VALUE"""),"B")</f>
        <v>B</v>
      </c>
      <c r="E1878" s="110" t="str">
        <f ca="1">IFERROR(__xludf.DUMMYFUNCTION("""COMPUTED_VALUE"""),"J")</f>
        <v>J</v>
      </c>
      <c r="F1878" s="110" t="str">
        <f ca="1">IFERROR(__xludf.DUMMYFUNCTION("""COMPUTED_VALUE"""),"I")</f>
        <v>I</v>
      </c>
      <c r="G1878" s="110">
        <f ca="1">IFERROR(__xludf.DUMMYFUNCTION("""COMPUTED_VALUE"""),5)</f>
        <v>5</v>
      </c>
      <c r="H1878" s="112" t="str">
        <f ca="1"/>
        <v/>
      </c>
      <c r="I1878" s="81" t="str">
        <f ca="1"/>
        <v/>
      </c>
    </row>
    <row r="1879" spans="1:9" ht="13.2">
      <c r="A1879" s="109" t="str">
        <f ca="1">IFERROR(__xludf.DUMMYFUNCTION("""COMPUTED_VALUE"""),"SHB")</f>
        <v>SHB</v>
      </c>
      <c r="B1879" s="108" t="str">
        <f ca="1">IFERROR(__xludf.DUMMYFUNCTION("""COMPUTED_VALUE"""),"Jake Shumaker")</f>
        <v>Jake Shumaker</v>
      </c>
      <c r="C1879" s="109">
        <f ca="1">IFERROR(__xludf.DUMMYFUNCTION("""COMPUTED_VALUE"""),11)</f>
        <v>11</v>
      </c>
      <c r="D1879" s="109" t="str">
        <f ca="1">IFERROR(__xludf.DUMMYFUNCTION("""COMPUTED_VALUE"""),"B")</f>
        <v>B</v>
      </c>
      <c r="E1879" s="110" t="str">
        <f ca="1">IFERROR(__xludf.DUMMYFUNCTION("""COMPUTED_VALUE"""),"J")</f>
        <v>J</v>
      </c>
      <c r="F1879" s="110" t="str">
        <f ca="1">IFERROR(__xludf.DUMMYFUNCTION("""COMPUTED_VALUE"""),"I")</f>
        <v>I</v>
      </c>
      <c r="G1879" s="110">
        <f ca="1">IFERROR(__xludf.DUMMYFUNCTION("""COMPUTED_VALUE"""),5)</f>
        <v>5</v>
      </c>
      <c r="H1879" s="112" t="str">
        <f ca="1"/>
        <v/>
      </c>
      <c r="I1879" s="81" t="str">
        <f ca="1"/>
        <v/>
      </c>
    </row>
    <row r="1880" spans="1:9" ht="13.2">
      <c r="A1880" s="109" t="str">
        <f ca="1">IFERROR(__xludf.DUMMYFUNCTION("""COMPUTED_VALUE"""),"SHB")</f>
        <v>SHB</v>
      </c>
      <c r="B1880" s="108" t="str">
        <f ca="1">IFERROR(__xludf.DUMMYFUNCTION("""COMPUTED_VALUE"""),"Antoinette Katsas")</f>
        <v>Antoinette Katsas</v>
      </c>
      <c r="C1880" s="109">
        <f ca="1">IFERROR(__xludf.DUMMYFUNCTION("""COMPUTED_VALUE"""),11)</f>
        <v>11</v>
      </c>
      <c r="D1880" s="109" t="str">
        <f ca="1">IFERROR(__xludf.DUMMYFUNCTION("""COMPUTED_VALUE"""),"G")</f>
        <v>G</v>
      </c>
      <c r="E1880" s="110" t="str">
        <f ca="1">IFERROR(__xludf.DUMMYFUNCTION("""COMPUTED_VALUE"""),"J")</f>
        <v>J</v>
      </c>
      <c r="F1880" s="110" t="str">
        <f ca="1">IFERROR(__xludf.DUMMYFUNCTION("""COMPUTED_VALUE"""),"I")</f>
        <v>I</v>
      </c>
      <c r="G1880" s="110">
        <f ca="1">IFERROR(__xludf.DUMMYFUNCTION("""COMPUTED_VALUE"""),5)</f>
        <v>5</v>
      </c>
      <c r="H1880" s="112" t="str">
        <f ca="1"/>
        <v/>
      </c>
      <c r="I1880" s="81" t="str">
        <f ca="1"/>
        <v/>
      </c>
    </row>
    <row r="1881" spans="1:9" ht="13.2">
      <c r="A1881" s="109" t="str">
        <f ca="1">IFERROR(__xludf.DUMMYFUNCTION("""COMPUTED_VALUE"""),"SHB")</f>
        <v>SHB</v>
      </c>
      <c r="B1881" s="108" t="str">
        <f ca="1">IFERROR(__xludf.DUMMYFUNCTION("""COMPUTED_VALUE"""),"Lina Rosenbaum")</f>
        <v>Lina Rosenbaum</v>
      </c>
      <c r="C1881" s="109">
        <f ca="1">IFERROR(__xludf.DUMMYFUNCTION("""COMPUTED_VALUE"""),12)</f>
        <v>12</v>
      </c>
      <c r="D1881" s="109" t="str">
        <f ca="1">IFERROR(__xludf.DUMMYFUNCTION("""COMPUTED_VALUE"""),"G")</f>
        <v>G</v>
      </c>
      <c r="E1881" s="110" t="str">
        <f ca="1">IFERROR(__xludf.DUMMYFUNCTION("""COMPUTED_VALUE"""),"J")</f>
        <v>J</v>
      </c>
      <c r="F1881" s="110" t="str">
        <f ca="1">IFERROR(__xludf.DUMMYFUNCTION("""COMPUTED_VALUE"""),"I")</f>
        <v>I</v>
      </c>
      <c r="G1881" s="110">
        <f ca="1">IFERROR(__xludf.DUMMYFUNCTION("""COMPUTED_VALUE"""),5)</f>
        <v>5</v>
      </c>
      <c r="H1881" s="112" t="str">
        <f ca="1"/>
        <v/>
      </c>
      <c r="I1881" s="81" t="str">
        <f ca="1"/>
        <v/>
      </c>
    </row>
    <row r="1882" spans="1:9" ht="13.2">
      <c r="A1882" s="109" t="str">
        <f ca="1">IFERROR(__xludf.DUMMYFUNCTION("""COMPUTED_VALUE"""),"SHB")</f>
        <v>SHB</v>
      </c>
      <c r="B1882" s="108" t="str">
        <f ca="1">IFERROR(__xludf.DUMMYFUNCTION("""COMPUTED_VALUE"""),"Odessa Jansen")</f>
        <v>Odessa Jansen</v>
      </c>
      <c r="C1882" s="109">
        <f ca="1">IFERROR(__xludf.DUMMYFUNCTION("""COMPUTED_VALUE"""),12)</f>
        <v>12</v>
      </c>
      <c r="D1882" s="109" t="str">
        <f ca="1">IFERROR(__xludf.DUMMYFUNCTION("""COMPUTED_VALUE"""),"G")</f>
        <v>G</v>
      </c>
      <c r="E1882" s="110" t="str">
        <f ca="1">IFERROR(__xludf.DUMMYFUNCTION("""COMPUTED_VALUE"""),"J")</f>
        <v>J</v>
      </c>
      <c r="F1882" s="110" t="str">
        <f ca="1">IFERROR(__xludf.DUMMYFUNCTION("""COMPUTED_VALUE"""),"I")</f>
        <v>I</v>
      </c>
      <c r="G1882" s="110">
        <f ca="1">IFERROR(__xludf.DUMMYFUNCTION("""COMPUTED_VALUE"""),5)</f>
        <v>5</v>
      </c>
      <c r="H1882" s="112" t="str">
        <f ca="1"/>
        <v>28.85</v>
      </c>
      <c r="I1882" s="81">
        <f ca="1"/>
        <v>28.85</v>
      </c>
    </row>
    <row r="1883" spans="1:9" ht="13.2">
      <c r="A1883" s="109" t="str">
        <f ca="1">IFERROR(__xludf.DUMMYFUNCTION("""COMPUTED_VALUE"""),"SHB")</f>
        <v>SHB</v>
      </c>
      <c r="B1883" s="108" t="str">
        <f ca="1">IFERROR(__xludf.DUMMYFUNCTION("""COMPUTED_VALUE"""),"Petra Oleson")</f>
        <v>Petra Oleson</v>
      </c>
      <c r="C1883" s="109">
        <f ca="1">IFERROR(__xludf.DUMMYFUNCTION("""COMPUTED_VALUE"""),12)</f>
        <v>12</v>
      </c>
      <c r="D1883" s="109" t="str">
        <f ca="1">IFERROR(__xludf.DUMMYFUNCTION("""COMPUTED_VALUE"""),"G")</f>
        <v>G</v>
      </c>
      <c r="E1883" s="110" t="str">
        <f ca="1">IFERROR(__xludf.DUMMYFUNCTION("""COMPUTED_VALUE"""),"J")</f>
        <v>J</v>
      </c>
      <c r="F1883" s="110" t="str">
        <f ca="1">IFERROR(__xludf.DUMMYFUNCTION("""COMPUTED_VALUE"""),"I")</f>
        <v>I</v>
      </c>
      <c r="G1883" s="110">
        <f ca="1">IFERROR(__xludf.DUMMYFUNCTION("""COMPUTED_VALUE"""),5)</f>
        <v>5</v>
      </c>
      <c r="H1883" s="112" t="str">
        <f ca="1"/>
        <v/>
      </c>
      <c r="I1883" s="81" t="str">
        <f ca="1"/>
        <v/>
      </c>
    </row>
    <row r="1884" spans="1:9" ht="13.2">
      <c r="A1884" s="109" t="str">
        <f ca="1">IFERROR(__xludf.DUMMYFUNCTION("""COMPUTED_VALUE"""),"SHB")</f>
        <v>SHB</v>
      </c>
      <c r="B1884" s="108" t="str">
        <f ca="1">IFERROR(__xludf.DUMMYFUNCTION("""COMPUTED_VALUE"""),"Taeryn Graham")</f>
        <v>Taeryn Graham</v>
      </c>
      <c r="C1884" s="109">
        <f ca="1">IFERROR(__xludf.DUMMYFUNCTION("""COMPUTED_VALUE"""),11)</f>
        <v>11</v>
      </c>
      <c r="D1884" s="109" t="str">
        <f ca="1">IFERROR(__xludf.DUMMYFUNCTION("""COMPUTED_VALUE"""),"G")</f>
        <v>G</v>
      </c>
      <c r="E1884" s="110" t="str">
        <f ca="1">IFERROR(__xludf.DUMMYFUNCTION("""COMPUTED_VALUE"""),"J")</f>
        <v>J</v>
      </c>
      <c r="F1884" s="110" t="str">
        <f ca="1">IFERROR(__xludf.DUMMYFUNCTION("""COMPUTED_VALUE"""),"I")</f>
        <v>I</v>
      </c>
      <c r="G1884" s="110">
        <f ca="1">IFERROR(__xludf.DUMMYFUNCTION("""COMPUTED_VALUE"""),5)</f>
        <v>5</v>
      </c>
      <c r="H1884" s="112" t="str">
        <f ca="1"/>
        <v/>
      </c>
      <c r="I1884" s="81" t="str">
        <f ca="1"/>
        <v/>
      </c>
    </row>
    <row r="1885" spans="1:9" ht="13.2">
      <c r="A1885" s="109" t="str">
        <f ca="1">IFERROR(__xludf.DUMMYFUNCTION("""COMPUTED_VALUE"""),"SHB")</f>
        <v>SHB</v>
      </c>
      <c r="B1885" s="108" t="str">
        <f ca="1">IFERROR(__xludf.DUMMYFUNCTION("""COMPUTED_VALUE"""),"Joe Shumaker")</f>
        <v>Joe Shumaker</v>
      </c>
      <c r="C1885" s="109">
        <f ca="1">IFERROR(__xludf.DUMMYFUNCTION("""COMPUTED_VALUE"""),15)</f>
        <v>15</v>
      </c>
      <c r="D1885" s="109" t="str">
        <f ca="1">IFERROR(__xludf.DUMMYFUNCTION("""COMPUTED_VALUE"""),"B")</f>
        <v>B</v>
      </c>
      <c r="E1885" s="110" t="str">
        <f ca="1">IFERROR(__xludf.DUMMYFUNCTION("""COMPUTED_VALUE"""),"S")</f>
        <v>S</v>
      </c>
      <c r="F1885" s="110" t="str">
        <f ca="1">IFERROR(__xludf.DUMMYFUNCTION("""COMPUTED_VALUE"""),"S")</f>
        <v>S</v>
      </c>
      <c r="G1885" s="110">
        <f ca="1">IFERROR(__xludf.DUMMYFUNCTION("""COMPUTED_VALUE"""),5)</f>
        <v>5</v>
      </c>
      <c r="H1885" s="112" t="str">
        <f ca="1"/>
        <v/>
      </c>
      <c r="I1885" s="81" t="str">
        <f ca="1"/>
        <v/>
      </c>
    </row>
    <row r="1886" spans="1:9" ht="13.2">
      <c r="A1886" s="109" t="str">
        <f ca="1">IFERROR(__xludf.DUMMYFUNCTION("""COMPUTED_VALUE"""),"SHB")</f>
        <v>SHB</v>
      </c>
      <c r="B1886" s="108" t="str">
        <f ca="1">IFERROR(__xludf.DUMMYFUNCTION("""COMPUTED_VALUE"""),"Michael Hitchock")</f>
        <v>Michael Hitchock</v>
      </c>
      <c r="C1886" s="109">
        <f ca="1">IFERROR(__xludf.DUMMYFUNCTION("""COMPUTED_VALUE"""),17)</f>
        <v>17</v>
      </c>
      <c r="D1886" s="109" t="str">
        <f ca="1">IFERROR(__xludf.DUMMYFUNCTION("""COMPUTED_VALUE"""),"B")</f>
        <v>B</v>
      </c>
      <c r="E1886" s="110" t="str">
        <f ca="1">IFERROR(__xludf.DUMMYFUNCTION("""COMPUTED_VALUE"""),"S")</f>
        <v>S</v>
      </c>
      <c r="F1886" s="110" t="str">
        <f ca="1">IFERROR(__xludf.DUMMYFUNCTION("""COMPUTED_VALUE"""),"S")</f>
        <v>S</v>
      </c>
      <c r="G1886" s="110">
        <f ca="1">IFERROR(__xludf.DUMMYFUNCTION("""COMPUTED_VALUE"""),5)</f>
        <v>5</v>
      </c>
      <c r="H1886" s="112" t="str">
        <f ca="1"/>
        <v/>
      </c>
      <c r="I1886" s="81" t="str">
        <f ca="1"/>
        <v/>
      </c>
    </row>
    <row r="1887" spans="1:9" ht="13.2">
      <c r="A1887" s="109" t="str">
        <f ca="1">IFERROR(__xludf.DUMMYFUNCTION("""COMPUTED_VALUE"""),"SHB")</f>
        <v>SHB</v>
      </c>
      <c r="B1887" s="108" t="str">
        <f ca="1">IFERROR(__xludf.DUMMYFUNCTION("""COMPUTED_VALUE"""),"Peter Cullather")</f>
        <v>Peter Cullather</v>
      </c>
      <c r="C1887" s="109">
        <f ca="1">IFERROR(__xludf.DUMMYFUNCTION("""COMPUTED_VALUE"""),15)</f>
        <v>15</v>
      </c>
      <c r="D1887" s="109" t="str">
        <f ca="1">IFERROR(__xludf.DUMMYFUNCTION("""COMPUTED_VALUE"""),"B")</f>
        <v>B</v>
      </c>
      <c r="E1887" s="110" t="str">
        <f ca="1">IFERROR(__xludf.DUMMYFUNCTION("""COMPUTED_VALUE"""),"S")</f>
        <v>S</v>
      </c>
      <c r="F1887" s="110" t="str">
        <f ca="1">IFERROR(__xludf.DUMMYFUNCTION("""COMPUTED_VALUE"""),"S")</f>
        <v>S</v>
      </c>
      <c r="G1887" s="110">
        <f ca="1">IFERROR(__xludf.DUMMYFUNCTION("""COMPUTED_VALUE"""),5)</f>
        <v>5</v>
      </c>
      <c r="H1887" s="112" t="str">
        <f ca="1"/>
        <v/>
      </c>
      <c r="I1887" s="81" t="str">
        <f ca="1"/>
        <v/>
      </c>
    </row>
    <row r="1888" spans="1:9" ht="13.2">
      <c r="A1888" s="109" t="str">
        <f ca="1">IFERROR(__xludf.DUMMYFUNCTION("""COMPUTED_VALUE"""),"SHB")</f>
        <v>SHB</v>
      </c>
      <c r="B1888" s="108" t="str">
        <f ca="1">IFERROR(__xludf.DUMMYFUNCTION("""COMPUTED_VALUE"""),"Ryan Caughey")</f>
        <v>Ryan Caughey</v>
      </c>
      <c r="C1888" s="109">
        <f ca="1">IFERROR(__xludf.DUMMYFUNCTION("""COMPUTED_VALUE"""),15)</f>
        <v>15</v>
      </c>
      <c r="D1888" s="109" t="str">
        <f ca="1">IFERROR(__xludf.DUMMYFUNCTION("""COMPUTED_VALUE"""),"B")</f>
        <v>B</v>
      </c>
      <c r="E1888" s="110" t="str">
        <f ca="1">IFERROR(__xludf.DUMMYFUNCTION("""COMPUTED_VALUE"""),"S")</f>
        <v>S</v>
      </c>
      <c r="F1888" s="110" t="str">
        <f ca="1">IFERROR(__xludf.DUMMYFUNCTION("""COMPUTED_VALUE"""),"S")</f>
        <v>S</v>
      </c>
      <c r="G1888" s="110">
        <f ca="1">IFERROR(__xludf.DUMMYFUNCTION("""COMPUTED_VALUE"""),5)</f>
        <v>5</v>
      </c>
      <c r="H1888" s="112" t="str">
        <f ca="1"/>
        <v/>
      </c>
      <c r="I1888" s="81" t="str">
        <f ca="1"/>
        <v/>
      </c>
    </row>
    <row r="1889" spans="1:9" ht="13.2">
      <c r="A1889" s="109" t="str">
        <f ca="1">IFERROR(__xludf.DUMMYFUNCTION("""COMPUTED_VALUE"""),"SHB")</f>
        <v>SHB</v>
      </c>
      <c r="B1889" s="108" t="str">
        <f ca="1">IFERROR(__xludf.DUMMYFUNCTION("""COMPUTED_VALUE"""),"Sam Martin")</f>
        <v>Sam Martin</v>
      </c>
      <c r="C1889" s="109">
        <f ca="1">IFERROR(__xludf.DUMMYFUNCTION("""COMPUTED_VALUE"""),15)</f>
        <v>15</v>
      </c>
      <c r="D1889" s="109" t="str">
        <f ca="1">IFERROR(__xludf.DUMMYFUNCTION("""COMPUTED_VALUE"""),"B")</f>
        <v>B</v>
      </c>
      <c r="E1889" s="110" t="str">
        <f ca="1">IFERROR(__xludf.DUMMYFUNCTION("""COMPUTED_VALUE"""),"S")</f>
        <v>S</v>
      </c>
      <c r="F1889" s="110" t="str">
        <f ca="1">IFERROR(__xludf.DUMMYFUNCTION("""COMPUTED_VALUE"""),"S")</f>
        <v>S</v>
      </c>
      <c r="G1889" s="110">
        <f ca="1">IFERROR(__xludf.DUMMYFUNCTION("""COMPUTED_VALUE"""),5)</f>
        <v>5</v>
      </c>
      <c r="H1889" s="112" t="str">
        <f ca="1"/>
        <v/>
      </c>
      <c r="I1889" s="81" t="str">
        <f ca="1"/>
        <v/>
      </c>
    </row>
    <row r="1890" spans="1:9" ht="13.2">
      <c r="A1890" s="109" t="str">
        <f ca="1">IFERROR(__xludf.DUMMYFUNCTION("""COMPUTED_VALUE"""),"SHB")</f>
        <v>SHB</v>
      </c>
      <c r="B1890" s="108" t="str">
        <f ca="1">IFERROR(__xludf.DUMMYFUNCTION("""COMPUTED_VALUE"""),"Claire Coughlin")</f>
        <v>Claire Coughlin</v>
      </c>
      <c r="C1890" s="109">
        <f ca="1">IFERROR(__xludf.DUMMYFUNCTION("""COMPUTED_VALUE"""),15)</f>
        <v>15</v>
      </c>
      <c r="D1890" s="109" t="str">
        <f ca="1">IFERROR(__xludf.DUMMYFUNCTION("""COMPUTED_VALUE"""),"G")</f>
        <v>G</v>
      </c>
      <c r="E1890" s="110" t="str">
        <f ca="1">IFERROR(__xludf.DUMMYFUNCTION("""COMPUTED_VALUE"""),"S")</f>
        <v>S</v>
      </c>
      <c r="F1890" s="110" t="str">
        <f ca="1">IFERROR(__xludf.DUMMYFUNCTION("""COMPUTED_VALUE"""),"S")</f>
        <v>S</v>
      </c>
      <c r="G1890" s="110">
        <f ca="1">IFERROR(__xludf.DUMMYFUNCTION("""COMPUTED_VALUE"""),5)</f>
        <v>5</v>
      </c>
      <c r="H1890" s="112" t="str">
        <f ca="1"/>
        <v/>
      </c>
      <c r="I1890" s="81" t="str">
        <f ca="1"/>
        <v/>
      </c>
    </row>
    <row r="1891" spans="1:9" ht="13.2">
      <c r="A1891" s="109" t="str">
        <f ca="1">IFERROR(__xludf.DUMMYFUNCTION("""COMPUTED_VALUE"""),"SHB")</f>
        <v>SHB</v>
      </c>
      <c r="B1891" s="108" t="str">
        <f ca="1">IFERROR(__xludf.DUMMYFUNCTION("""COMPUTED_VALUE"""),"Erica Schroeder")</f>
        <v>Erica Schroeder</v>
      </c>
      <c r="C1891" s="109">
        <f ca="1">IFERROR(__xludf.DUMMYFUNCTION("""COMPUTED_VALUE"""),17)</f>
        <v>17</v>
      </c>
      <c r="D1891" s="109" t="str">
        <f ca="1">IFERROR(__xludf.DUMMYFUNCTION("""COMPUTED_VALUE"""),"G")</f>
        <v>G</v>
      </c>
      <c r="E1891" s="110" t="str">
        <f ca="1">IFERROR(__xludf.DUMMYFUNCTION("""COMPUTED_VALUE"""),"S")</f>
        <v>S</v>
      </c>
      <c r="F1891" s="110" t="str">
        <f ca="1">IFERROR(__xludf.DUMMYFUNCTION("""COMPUTED_VALUE"""),"S")</f>
        <v>S</v>
      </c>
      <c r="G1891" s="110">
        <f ca="1">IFERROR(__xludf.DUMMYFUNCTION("""COMPUTED_VALUE"""),5)</f>
        <v>5</v>
      </c>
      <c r="H1891" s="112" t="str">
        <f ca="1"/>
        <v/>
      </c>
      <c r="I1891" s="81" t="str">
        <f ca="1"/>
        <v/>
      </c>
    </row>
    <row r="1892" spans="1:9" ht="13.2">
      <c r="A1892" s="109" t="str">
        <f ca="1">IFERROR(__xludf.DUMMYFUNCTION("""COMPUTED_VALUE"""),"SHB")</f>
        <v>SHB</v>
      </c>
      <c r="B1892" s="108" t="str">
        <f ca="1">IFERROR(__xludf.DUMMYFUNCTION("""COMPUTED_VALUE"""),"Grace Martin")</f>
        <v>Grace Martin</v>
      </c>
      <c r="C1892" s="109">
        <f ca="1">IFERROR(__xludf.DUMMYFUNCTION("""COMPUTED_VALUE"""),17)</f>
        <v>17</v>
      </c>
      <c r="D1892" s="109" t="str">
        <f ca="1">IFERROR(__xludf.DUMMYFUNCTION("""COMPUTED_VALUE"""),"G")</f>
        <v>G</v>
      </c>
      <c r="E1892" s="110" t="str">
        <f ca="1">IFERROR(__xludf.DUMMYFUNCTION("""COMPUTED_VALUE"""),"S")</f>
        <v>S</v>
      </c>
      <c r="F1892" s="110" t="str">
        <f ca="1">IFERROR(__xludf.DUMMYFUNCTION("""COMPUTED_VALUE"""),"S")</f>
        <v>S</v>
      </c>
      <c r="G1892" s="110">
        <f ca="1">IFERROR(__xludf.DUMMYFUNCTION("""COMPUTED_VALUE"""),5)</f>
        <v>5</v>
      </c>
      <c r="H1892" s="112" t="str">
        <f ca="1"/>
        <v/>
      </c>
      <c r="I1892" s="81" t="str">
        <f ca="1"/>
        <v/>
      </c>
    </row>
    <row r="1893" spans="1:9" ht="13.2">
      <c r="A1893" s="109" t="str">
        <f ca="1">IFERROR(__xludf.DUMMYFUNCTION("""COMPUTED_VALUE"""),"SHB")</f>
        <v>SHB</v>
      </c>
      <c r="B1893" s="108" t="str">
        <f ca="1">IFERROR(__xludf.DUMMYFUNCTION("""COMPUTED_VALUE"""),"Sophia Schroeder")</f>
        <v>Sophia Schroeder</v>
      </c>
      <c r="C1893" s="109">
        <f ca="1">IFERROR(__xludf.DUMMYFUNCTION("""COMPUTED_VALUE"""),17)</f>
        <v>17</v>
      </c>
      <c r="D1893" s="109" t="str">
        <f ca="1">IFERROR(__xludf.DUMMYFUNCTION("""COMPUTED_VALUE"""),"G")</f>
        <v>G</v>
      </c>
      <c r="E1893" s="110" t="str">
        <f ca="1">IFERROR(__xludf.DUMMYFUNCTION("""COMPUTED_VALUE"""),"S")</f>
        <v>S</v>
      </c>
      <c r="F1893" s="110" t="str">
        <f ca="1">IFERROR(__xludf.DUMMYFUNCTION("""COMPUTED_VALUE"""),"S")</f>
        <v>S</v>
      </c>
      <c r="G1893" s="110">
        <f ca="1">IFERROR(__xludf.DUMMYFUNCTION("""COMPUTED_VALUE"""),5)</f>
        <v>5</v>
      </c>
      <c r="H1893" s="112" t="str">
        <f ca="1"/>
        <v/>
      </c>
      <c r="I1893" s="81" t="str">
        <f ca="1"/>
        <v/>
      </c>
    </row>
    <row r="1894" spans="1:9" ht="13.2">
      <c r="A1894" s="109" t="str">
        <f ca="1">IFERROR(__xludf.DUMMYFUNCTION("""COMPUTED_VALUE"""),"SHB")</f>
        <v>SHB</v>
      </c>
      <c r="B1894" s="108" t="str">
        <f ca="1">IFERROR(__xludf.DUMMYFUNCTION("""COMPUTED_VALUE"""),"Zoe London")</f>
        <v>Zoe London</v>
      </c>
      <c r="C1894" s="109">
        <f ca="1">IFERROR(__xludf.DUMMYFUNCTION("""COMPUTED_VALUE"""),17)</f>
        <v>17</v>
      </c>
      <c r="D1894" s="109" t="str">
        <f ca="1">IFERROR(__xludf.DUMMYFUNCTION("""COMPUTED_VALUE"""),"G")</f>
        <v>G</v>
      </c>
      <c r="E1894" s="110" t="str">
        <f ca="1">IFERROR(__xludf.DUMMYFUNCTION("""COMPUTED_VALUE"""),"S")</f>
        <v>S</v>
      </c>
      <c r="F1894" s="110" t="str">
        <f ca="1">IFERROR(__xludf.DUMMYFUNCTION("""COMPUTED_VALUE"""),"S")</f>
        <v>S</v>
      </c>
      <c r="G1894" s="110">
        <f ca="1">IFERROR(__xludf.DUMMYFUNCTION("""COMPUTED_VALUE"""),5)</f>
        <v>5</v>
      </c>
      <c r="H1894" s="112" t="str">
        <f ca="1"/>
        <v/>
      </c>
      <c r="I1894" s="81" t="str">
        <f ca="1"/>
        <v/>
      </c>
    </row>
    <row r="1895" spans="1:9" ht="13.2">
      <c r="A1895" s="109" t="str">
        <f ca="1">IFERROR(__xludf.DUMMYFUNCTION("""COMPUTED_VALUE"""),"SHR")</f>
        <v>SHR</v>
      </c>
      <c r="B1895" s="108" t="str">
        <f ca="1">IFERROR(__xludf.DUMMYFUNCTION("""COMPUTED_VALUE"""),"Aidan Ross")</f>
        <v>Aidan Ross</v>
      </c>
      <c r="C1895" s="109">
        <f ca="1">IFERROR(__xludf.DUMMYFUNCTION("""COMPUTED_VALUE"""),9)</f>
        <v>9</v>
      </c>
      <c r="D1895" s="109" t="str">
        <f ca="1">IFERROR(__xludf.DUMMYFUNCTION("""COMPUTED_VALUE"""),"B")</f>
        <v>B</v>
      </c>
      <c r="E1895" s="110" t="str">
        <f ca="1">IFERROR(__xludf.DUMMYFUNCTION("""COMPUTED_VALUE"""),"F")</f>
        <v>F</v>
      </c>
      <c r="F1895" s="110" t="str">
        <f ca="1">IFERROR(__xludf.DUMMYFUNCTION("""COMPUTED_VALUE"""),"J")</f>
        <v>J</v>
      </c>
      <c r="G1895" s="110">
        <f ca="1">IFERROR(__xludf.DUMMYFUNCTION("""COMPUTED_VALUE"""),3)</f>
        <v>3</v>
      </c>
      <c r="H1895" s="112" t="str">
        <f ca="1"/>
        <v>40.55</v>
      </c>
      <c r="I1895" s="81">
        <f ca="1"/>
        <v>40.549999999999997</v>
      </c>
    </row>
    <row r="1896" spans="1:9" ht="13.2">
      <c r="A1896" s="109" t="str">
        <f ca="1">IFERROR(__xludf.DUMMYFUNCTION("""COMPUTED_VALUE"""),"SHR")</f>
        <v>SHR</v>
      </c>
      <c r="B1896" s="108" t="str">
        <f ca="1">IFERROR(__xludf.DUMMYFUNCTION("""COMPUTED_VALUE"""),"David Marra")</f>
        <v>David Marra</v>
      </c>
      <c r="C1896" s="109">
        <f ca="1">IFERROR(__xludf.DUMMYFUNCTION("""COMPUTED_VALUE"""),6)</f>
        <v>6</v>
      </c>
      <c r="D1896" s="109" t="str">
        <f ca="1">IFERROR(__xludf.DUMMYFUNCTION("""COMPUTED_VALUE"""),"B")</f>
        <v>B</v>
      </c>
      <c r="E1896" s="110" t="str">
        <f ca="1">IFERROR(__xludf.DUMMYFUNCTION("""COMPUTED_VALUE"""),"F")</f>
        <v>F</v>
      </c>
      <c r="F1896" s="110" t="str">
        <f ca="1">IFERROR(__xludf.DUMMYFUNCTION("""COMPUTED_VALUE"""),"J")</f>
        <v>J</v>
      </c>
      <c r="G1896" s="110">
        <f ca="1">IFERROR(__xludf.DUMMYFUNCTION("""COMPUTED_VALUE"""),3)</f>
        <v>3</v>
      </c>
      <c r="H1896" s="112" t="str">
        <f ca="1"/>
        <v/>
      </c>
      <c r="I1896" s="81" t="str">
        <f ca="1"/>
        <v/>
      </c>
    </row>
    <row r="1897" spans="1:9" ht="13.2">
      <c r="A1897" s="109" t="str">
        <f ca="1">IFERROR(__xludf.DUMMYFUNCTION("""COMPUTED_VALUE"""),"SHR")</f>
        <v>SHR</v>
      </c>
      <c r="B1897" s="108" t="str">
        <f ca="1">IFERROR(__xludf.DUMMYFUNCTION("""COMPUTED_VALUE"""),"Finn Feeley")</f>
        <v>Finn Feeley</v>
      </c>
      <c r="C1897" s="109">
        <f ca="1">IFERROR(__xludf.DUMMYFUNCTION("""COMPUTED_VALUE"""),8)</f>
        <v>8</v>
      </c>
      <c r="D1897" s="109" t="str">
        <f ca="1">IFERROR(__xludf.DUMMYFUNCTION("""COMPUTED_VALUE"""),"B")</f>
        <v>B</v>
      </c>
      <c r="E1897" s="110" t="str">
        <f ca="1">IFERROR(__xludf.DUMMYFUNCTION("""COMPUTED_VALUE"""),"F")</f>
        <v>F</v>
      </c>
      <c r="F1897" s="110" t="str">
        <f ca="1">IFERROR(__xludf.DUMMYFUNCTION("""COMPUTED_VALUE"""),"J")</f>
        <v>J</v>
      </c>
      <c r="G1897" s="110">
        <f ca="1">IFERROR(__xludf.DUMMYFUNCTION("""COMPUTED_VALUE"""),3)</f>
        <v>3</v>
      </c>
      <c r="H1897" s="112" t="str">
        <f ca="1"/>
        <v>52.95</v>
      </c>
      <c r="I1897" s="81">
        <f ca="1"/>
        <v>52.95</v>
      </c>
    </row>
    <row r="1898" spans="1:9" ht="13.2">
      <c r="A1898" s="109" t="str">
        <f ca="1">IFERROR(__xludf.DUMMYFUNCTION("""COMPUTED_VALUE"""),"SHR")</f>
        <v>SHR</v>
      </c>
      <c r="B1898" s="108" t="str">
        <f ca="1">IFERROR(__xludf.DUMMYFUNCTION("""COMPUTED_VALUE"""),"Harrison Owens")</f>
        <v>Harrison Owens</v>
      </c>
      <c r="C1898" s="109">
        <f ca="1">IFERROR(__xludf.DUMMYFUNCTION("""COMPUTED_VALUE"""),8)</f>
        <v>8</v>
      </c>
      <c r="D1898" s="109" t="str">
        <f ca="1">IFERROR(__xludf.DUMMYFUNCTION("""COMPUTED_VALUE"""),"B")</f>
        <v>B</v>
      </c>
      <c r="E1898" s="110" t="str">
        <f ca="1">IFERROR(__xludf.DUMMYFUNCTION("""COMPUTED_VALUE"""),"F")</f>
        <v>F</v>
      </c>
      <c r="F1898" s="110" t="str">
        <f ca="1">IFERROR(__xludf.DUMMYFUNCTION("""COMPUTED_VALUE"""),"J")</f>
        <v>J</v>
      </c>
      <c r="G1898" s="110">
        <f ca="1">IFERROR(__xludf.DUMMYFUNCTION("""COMPUTED_VALUE"""),3)</f>
        <v>3</v>
      </c>
      <c r="H1898" s="112" t="str">
        <f ca="1"/>
        <v/>
      </c>
      <c r="I1898" s="81" t="str">
        <f ca="1"/>
        <v/>
      </c>
    </row>
    <row r="1899" spans="1:9" ht="13.2">
      <c r="A1899" s="109" t="str">
        <f ca="1">IFERROR(__xludf.DUMMYFUNCTION("""COMPUTED_VALUE"""),"SHR")</f>
        <v>SHR</v>
      </c>
      <c r="B1899" s="108" t="str">
        <f ca="1">IFERROR(__xludf.DUMMYFUNCTION("""COMPUTED_VALUE"""),"Jack Fenwick")</f>
        <v>Jack Fenwick</v>
      </c>
      <c r="C1899" s="109">
        <f ca="1">IFERROR(__xludf.DUMMYFUNCTION("""COMPUTED_VALUE"""),8)</f>
        <v>8</v>
      </c>
      <c r="D1899" s="109" t="str">
        <f ca="1">IFERROR(__xludf.DUMMYFUNCTION("""COMPUTED_VALUE"""),"B")</f>
        <v>B</v>
      </c>
      <c r="E1899" s="110" t="str">
        <f ca="1">IFERROR(__xludf.DUMMYFUNCTION("""COMPUTED_VALUE"""),"F")</f>
        <v>F</v>
      </c>
      <c r="F1899" s="110" t="str">
        <f ca="1">IFERROR(__xludf.DUMMYFUNCTION("""COMPUTED_VALUE"""),"J")</f>
        <v>J</v>
      </c>
      <c r="G1899" s="110">
        <f ca="1">IFERROR(__xludf.DUMMYFUNCTION("""COMPUTED_VALUE"""),3)</f>
        <v>3</v>
      </c>
      <c r="H1899" s="112" t="str">
        <f ca="1"/>
        <v/>
      </c>
      <c r="I1899" s="81" t="str">
        <f ca="1"/>
        <v/>
      </c>
    </row>
    <row r="1900" spans="1:9" ht="13.2">
      <c r="A1900" s="109" t="str">
        <f ca="1">IFERROR(__xludf.DUMMYFUNCTION("""COMPUTED_VALUE"""),"SHR")</f>
        <v>SHR</v>
      </c>
      <c r="B1900" s="108" t="str">
        <f ca="1">IFERROR(__xludf.DUMMYFUNCTION("""COMPUTED_VALUE"""),"Jack Ross")</f>
        <v>Jack Ross</v>
      </c>
      <c r="C1900" s="109">
        <f ca="1">IFERROR(__xludf.DUMMYFUNCTION("""COMPUTED_VALUE"""),5)</f>
        <v>5</v>
      </c>
      <c r="D1900" s="109" t="str">
        <f ca="1">IFERROR(__xludf.DUMMYFUNCTION("""COMPUTED_VALUE"""),"B")</f>
        <v>B</v>
      </c>
      <c r="E1900" s="110" t="str">
        <f ca="1">IFERROR(__xludf.DUMMYFUNCTION("""COMPUTED_VALUE"""),"F")</f>
        <v>F</v>
      </c>
      <c r="F1900" s="110" t="str">
        <f ca="1">IFERROR(__xludf.DUMMYFUNCTION("""COMPUTED_VALUE"""),"J")</f>
        <v>J</v>
      </c>
      <c r="G1900" s="110">
        <f ca="1">IFERROR(__xludf.DUMMYFUNCTION("""COMPUTED_VALUE"""),3)</f>
        <v>3</v>
      </c>
      <c r="H1900" s="112" t="str">
        <f ca="1"/>
        <v>16.25</v>
      </c>
      <c r="I1900" s="81">
        <f ca="1"/>
        <v>16.25</v>
      </c>
    </row>
    <row r="1901" spans="1:9" ht="13.2">
      <c r="A1901" s="109" t="str">
        <f ca="1">IFERROR(__xludf.DUMMYFUNCTION("""COMPUTED_VALUE"""),"SHR")</f>
        <v>SHR</v>
      </c>
      <c r="B1901" s="108" t="str">
        <f ca="1">IFERROR(__xludf.DUMMYFUNCTION("""COMPUTED_VALUE"""),"John Waibel")</f>
        <v>John Waibel</v>
      </c>
      <c r="C1901" s="109">
        <f ca="1">IFERROR(__xludf.DUMMYFUNCTION("""COMPUTED_VALUE"""),7)</f>
        <v>7</v>
      </c>
      <c r="D1901" s="109" t="str">
        <f ca="1">IFERROR(__xludf.DUMMYFUNCTION("""COMPUTED_VALUE"""),"B")</f>
        <v>B</v>
      </c>
      <c r="E1901" s="110" t="str">
        <f ca="1">IFERROR(__xludf.DUMMYFUNCTION("""COMPUTED_VALUE"""),"F")</f>
        <v>F</v>
      </c>
      <c r="F1901" s="114" t="str">
        <f ca="1">IFERROR(__xludf.DUMMYFUNCTION("""COMPUTED_VALUE"""),"J")</f>
        <v>J</v>
      </c>
      <c r="G1901" s="114">
        <f ca="1">IFERROR(__xludf.DUMMYFUNCTION("""COMPUTED_VALUE"""),3)</f>
        <v>3</v>
      </c>
      <c r="H1901" s="112" t="str">
        <f ca="1"/>
        <v>43.2</v>
      </c>
      <c r="I1901" s="112">
        <f ca="1"/>
        <v>43.2</v>
      </c>
    </row>
    <row r="1902" spans="1:9" ht="13.2">
      <c r="A1902" s="109" t="str">
        <f ca="1">IFERROR(__xludf.DUMMYFUNCTION("""COMPUTED_VALUE"""),"SHR")</f>
        <v>SHR</v>
      </c>
      <c r="B1902" s="108" t="str">
        <f ca="1">IFERROR(__xludf.DUMMYFUNCTION("""COMPUTED_VALUE"""),"Kai Sheriff")</f>
        <v>Kai Sheriff</v>
      </c>
      <c r="C1902" s="109">
        <f ca="1">IFERROR(__xludf.DUMMYFUNCTION("""COMPUTED_VALUE"""),8)</f>
        <v>8</v>
      </c>
      <c r="D1902" s="109" t="str">
        <f ca="1">IFERROR(__xludf.DUMMYFUNCTION("""COMPUTED_VALUE"""),"B")</f>
        <v>B</v>
      </c>
      <c r="E1902" s="110" t="str">
        <f ca="1">IFERROR(__xludf.DUMMYFUNCTION("""COMPUTED_VALUE"""),"F")</f>
        <v>F</v>
      </c>
      <c r="F1902" s="114" t="str">
        <f ca="1">IFERROR(__xludf.DUMMYFUNCTION("""COMPUTED_VALUE"""),"J")</f>
        <v>J</v>
      </c>
      <c r="G1902" s="114">
        <f ca="1">IFERROR(__xludf.DUMMYFUNCTION("""COMPUTED_VALUE"""),3)</f>
        <v>3</v>
      </c>
      <c r="H1902" s="112" t="str">
        <f ca="1"/>
        <v>48.5</v>
      </c>
      <c r="I1902" s="112">
        <f ca="1"/>
        <v>48.5</v>
      </c>
    </row>
    <row r="1903" spans="1:9" ht="13.2">
      <c r="A1903" s="109" t="str">
        <f ca="1">IFERROR(__xludf.DUMMYFUNCTION("""COMPUTED_VALUE"""),"SHR")</f>
        <v>SHR</v>
      </c>
      <c r="B1903" s="108" t="str">
        <f ca="1">IFERROR(__xludf.DUMMYFUNCTION("""COMPUTED_VALUE"""),"Liam Ross")</f>
        <v>Liam Ross</v>
      </c>
      <c r="C1903" s="109">
        <f ca="1">IFERROR(__xludf.DUMMYFUNCTION("""COMPUTED_VALUE"""),7)</f>
        <v>7</v>
      </c>
      <c r="D1903" s="109" t="str">
        <f ca="1">IFERROR(__xludf.DUMMYFUNCTION("""COMPUTED_VALUE"""),"B")</f>
        <v>B</v>
      </c>
      <c r="E1903" s="110" t="str">
        <f ca="1">IFERROR(__xludf.DUMMYFUNCTION("""COMPUTED_VALUE"""),"F")</f>
        <v>F</v>
      </c>
      <c r="F1903" s="114" t="str">
        <f ca="1">IFERROR(__xludf.DUMMYFUNCTION("""COMPUTED_VALUE"""),"J")</f>
        <v>J</v>
      </c>
      <c r="G1903" s="114">
        <f ca="1">IFERROR(__xludf.DUMMYFUNCTION("""COMPUTED_VALUE"""),3)</f>
        <v>3</v>
      </c>
      <c r="H1903" s="112" t="str">
        <f ca="1"/>
        <v/>
      </c>
      <c r="I1903" s="112" t="str">
        <f ca="1"/>
        <v/>
      </c>
    </row>
    <row r="1904" spans="1:9" ht="13.2">
      <c r="A1904" s="109" t="str">
        <f ca="1">IFERROR(__xludf.DUMMYFUNCTION("""COMPUTED_VALUE"""),"SHR")</f>
        <v>SHR</v>
      </c>
      <c r="B1904" s="108" t="str">
        <f ca="1">IFERROR(__xludf.DUMMYFUNCTION("""COMPUTED_VALUE"""),"Lucas Vida")</f>
        <v>Lucas Vida</v>
      </c>
      <c r="C1904" s="109">
        <f ca="1">IFERROR(__xludf.DUMMYFUNCTION("""COMPUTED_VALUE"""),8)</f>
        <v>8</v>
      </c>
      <c r="D1904" s="109" t="str">
        <f ca="1">IFERROR(__xludf.DUMMYFUNCTION("""COMPUTED_VALUE"""),"B")</f>
        <v>B</v>
      </c>
      <c r="E1904" s="110" t="str">
        <f ca="1">IFERROR(__xludf.DUMMYFUNCTION("""COMPUTED_VALUE"""),"F")</f>
        <v>F</v>
      </c>
      <c r="F1904" s="114" t="str">
        <f ca="1">IFERROR(__xludf.DUMMYFUNCTION("""COMPUTED_VALUE"""),"J")</f>
        <v>J</v>
      </c>
      <c r="G1904" s="114">
        <f ca="1">IFERROR(__xludf.DUMMYFUNCTION("""COMPUTED_VALUE"""),3)</f>
        <v>3</v>
      </c>
      <c r="H1904" s="112" t="str">
        <f ca="1"/>
        <v>35.6</v>
      </c>
      <c r="I1904" s="112">
        <f ca="1"/>
        <v>35.6</v>
      </c>
    </row>
    <row r="1905" spans="1:9" ht="13.2">
      <c r="A1905" s="109" t="str">
        <f ca="1">IFERROR(__xludf.DUMMYFUNCTION("""COMPUTED_VALUE"""),"SHR")</f>
        <v>SHR</v>
      </c>
      <c r="B1905" s="108" t="str">
        <f ca="1">IFERROR(__xludf.DUMMYFUNCTION("""COMPUTED_VALUE"""),"Quinn Lefbom")</f>
        <v>Quinn Lefbom</v>
      </c>
      <c r="C1905" s="109">
        <f ca="1">IFERROR(__xludf.DUMMYFUNCTION("""COMPUTED_VALUE"""),6)</f>
        <v>6</v>
      </c>
      <c r="D1905" s="109" t="str">
        <f ca="1">IFERROR(__xludf.DUMMYFUNCTION("""COMPUTED_VALUE"""),"B")</f>
        <v>B</v>
      </c>
      <c r="E1905" s="110" t="str">
        <f ca="1">IFERROR(__xludf.DUMMYFUNCTION("""COMPUTED_VALUE"""),"F")</f>
        <v>F</v>
      </c>
      <c r="F1905" s="114" t="str">
        <f ca="1">IFERROR(__xludf.DUMMYFUNCTION("""COMPUTED_VALUE"""),"J")</f>
        <v>J</v>
      </c>
      <c r="G1905" s="114">
        <f ca="1">IFERROR(__xludf.DUMMYFUNCTION("""COMPUTED_VALUE"""),3)</f>
        <v>3</v>
      </c>
      <c r="H1905" s="112" t="str">
        <f ca="1"/>
        <v/>
      </c>
      <c r="I1905" s="112" t="str">
        <f ca="1"/>
        <v/>
      </c>
    </row>
    <row r="1906" spans="1:9" ht="13.2">
      <c r="A1906" s="109" t="str">
        <f ca="1">IFERROR(__xludf.DUMMYFUNCTION("""COMPUTED_VALUE"""),"SHR")</f>
        <v>SHR</v>
      </c>
      <c r="B1906" s="108" t="str">
        <f ca="1">IFERROR(__xludf.DUMMYFUNCTION("""COMPUTED_VALUE"""),"Tobias Evans-Reinke")</f>
        <v>Tobias Evans-Reinke</v>
      </c>
      <c r="C1906" s="109">
        <f ca="1">IFERROR(__xludf.DUMMYFUNCTION("""COMPUTED_VALUE"""),9)</f>
        <v>9</v>
      </c>
      <c r="D1906" s="109" t="str">
        <f ca="1">IFERROR(__xludf.DUMMYFUNCTION("""COMPUTED_VALUE"""),"B")</f>
        <v>B</v>
      </c>
      <c r="E1906" s="110" t="str">
        <f ca="1">IFERROR(__xludf.DUMMYFUNCTION("""COMPUTED_VALUE"""),"F")</f>
        <v>F</v>
      </c>
      <c r="F1906" s="114" t="str">
        <f ca="1">IFERROR(__xludf.DUMMYFUNCTION("""COMPUTED_VALUE"""),"J")</f>
        <v>J</v>
      </c>
      <c r="G1906" s="114">
        <f ca="1">IFERROR(__xludf.DUMMYFUNCTION("""COMPUTED_VALUE"""),3)</f>
        <v>3</v>
      </c>
      <c r="H1906" s="112" t="str">
        <f ca="1"/>
        <v/>
      </c>
      <c r="I1906" s="112" t="str">
        <f ca="1"/>
        <v/>
      </c>
    </row>
    <row r="1907" spans="1:9" ht="13.2">
      <c r="A1907" s="109" t="str">
        <f ca="1">IFERROR(__xludf.DUMMYFUNCTION("""COMPUTED_VALUE"""),"SHR")</f>
        <v>SHR</v>
      </c>
      <c r="B1907" s="108" t="str">
        <f ca="1">IFERROR(__xludf.DUMMYFUNCTION("""COMPUTED_VALUE"""),"Tripp Walter")</f>
        <v>Tripp Walter</v>
      </c>
      <c r="C1907" s="109">
        <f ca="1">IFERROR(__xludf.DUMMYFUNCTION("""COMPUTED_VALUE"""),6)</f>
        <v>6</v>
      </c>
      <c r="D1907" s="109" t="str">
        <f ca="1">IFERROR(__xludf.DUMMYFUNCTION("""COMPUTED_VALUE"""),"B")</f>
        <v>B</v>
      </c>
      <c r="E1907" s="110" t="str">
        <f ca="1">IFERROR(__xludf.DUMMYFUNCTION("""COMPUTED_VALUE"""),"F")</f>
        <v>F</v>
      </c>
      <c r="F1907" s="114" t="str">
        <f ca="1">IFERROR(__xludf.DUMMYFUNCTION("""COMPUTED_VALUE"""),"J")</f>
        <v>J</v>
      </c>
      <c r="G1907" s="114">
        <f ca="1">IFERROR(__xludf.DUMMYFUNCTION("""COMPUTED_VALUE"""),3)</f>
        <v>3</v>
      </c>
      <c r="H1907" s="112" t="str">
        <f ca="1"/>
        <v>34.3</v>
      </c>
      <c r="I1907" s="112">
        <f ca="1"/>
        <v>34.299999999999997</v>
      </c>
    </row>
    <row r="1908" spans="1:9" ht="13.2">
      <c r="A1908" s="109" t="str">
        <f ca="1">IFERROR(__xludf.DUMMYFUNCTION("""COMPUTED_VALUE"""),"SHR")</f>
        <v>SHR</v>
      </c>
      <c r="B1908" s="108" t="str">
        <f ca="1">IFERROR(__xludf.DUMMYFUNCTION("""COMPUTED_VALUE"""),"Alexandra Bailey")</f>
        <v>Alexandra Bailey</v>
      </c>
      <c r="C1908" s="109">
        <f ca="1">IFERROR(__xludf.DUMMYFUNCTION("""COMPUTED_VALUE"""),7)</f>
        <v>7</v>
      </c>
      <c r="D1908" s="109" t="str">
        <f ca="1">IFERROR(__xludf.DUMMYFUNCTION("""COMPUTED_VALUE"""),"G")</f>
        <v>G</v>
      </c>
      <c r="E1908" s="110" t="str">
        <f ca="1">IFERROR(__xludf.DUMMYFUNCTION("""COMPUTED_VALUE"""),"F")</f>
        <v>F</v>
      </c>
      <c r="F1908" s="114" t="str">
        <f ca="1">IFERROR(__xludf.DUMMYFUNCTION("""COMPUTED_VALUE"""),"J")</f>
        <v>J</v>
      </c>
      <c r="G1908" s="114">
        <f ca="1">IFERROR(__xludf.DUMMYFUNCTION("""COMPUTED_VALUE"""),3)</f>
        <v>3</v>
      </c>
      <c r="H1908" s="112" t="str">
        <f ca="1"/>
        <v/>
      </c>
      <c r="I1908" s="112" t="str">
        <f ca="1"/>
        <v/>
      </c>
    </row>
    <row r="1909" spans="1:9" ht="13.2">
      <c r="A1909" s="109" t="str">
        <f ca="1">IFERROR(__xludf.DUMMYFUNCTION("""COMPUTED_VALUE"""),"SHR")</f>
        <v>SHR</v>
      </c>
      <c r="B1909" s="108" t="str">
        <f ca="1">IFERROR(__xludf.DUMMYFUNCTION("""COMPUTED_VALUE"""),"Avery Swanson")</f>
        <v>Avery Swanson</v>
      </c>
      <c r="C1909" s="109">
        <f ca="1">IFERROR(__xludf.DUMMYFUNCTION("""COMPUTED_VALUE"""),8)</f>
        <v>8</v>
      </c>
      <c r="D1909" s="109" t="str">
        <f ca="1">IFERROR(__xludf.DUMMYFUNCTION("""COMPUTED_VALUE"""),"G")</f>
        <v>G</v>
      </c>
      <c r="E1909" s="110" t="str">
        <f ca="1">IFERROR(__xludf.DUMMYFUNCTION("""COMPUTED_VALUE"""),"F")</f>
        <v>F</v>
      </c>
      <c r="F1909" s="114" t="str">
        <f ca="1">IFERROR(__xludf.DUMMYFUNCTION("""COMPUTED_VALUE"""),"J")</f>
        <v>J</v>
      </c>
      <c r="G1909" s="114">
        <f ca="1">IFERROR(__xludf.DUMMYFUNCTION("""COMPUTED_VALUE"""),3)</f>
        <v>3</v>
      </c>
      <c r="H1909" s="112" t="str">
        <f ca="1"/>
        <v/>
      </c>
      <c r="I1909" s="112" t="str">
        <f ca="1"/>
        <v/>
      </c>
    </row>
    <row r="1910" spans="1:9" ht="13.2">
      <c r="A1910" s="109" t="str">
        <f ca="1">IFERROR(__xludf.DUMMYFUNCTION("""COMPUTED_VALUE"""),"SHR")</f>
        <v>SHR</v>
      </c>
      <c r="B1910" s="108" t="str">
        <f ca="1">IFERROR(__xludf.DUMMYFUNCTION("""COMPUTED_VALUE"""),"Callie Swanson")</f>
        <v>Callie Swanson</v>
      </c>
      <c r="C1910" s="109">
        <f ca="1">IFERROR(__xludf.DUMMYFUNCTION("""COMPUTED_VALUE"""),5)</f>
        <v>5</v>
      </c>
      <c r="D1910" s="109" t="str">
        <f ca="1">IFERROR(__xludf.DUMMYFUNCTION("""COMPUTED_VALUE"""),"G")</f>
        <v>G</v>
      </c>
      <c r="E1910" s="110" t="str">
        <f ca="1">IFERROR(__xludf.DUMMYFUNCTION("""COMPUTED_VALUE"""),"F")</f>
        <v>F</v>
      </c>
      <c r="F1910" s="114" t="str">
        <f ca="1">IFERROR(__xludf.DUMMYFUNCTION("""COMPUTED_VALUE"""),"J")</f>
        <v>J</v>
      </c>
      <c r="G1910" s="114">
        <f ca="1">IFERROR(__xludf.DUMMYFUNCTION("""COMPUTED_VALUE"""),3)</f>
        <v>3</v>
      </c>
      <c r="H1910" s="112" t="str">
        <f ca="1"/>
        <v/>
      </c>
      <c r="I1910" s="112" t="str">
        <f ca="1"/>
        <v/>
      </c>
    </row>
    <row r="1911" spans="1:9" ht="13.2">
      <c r="A1911" s="109" t="str">
        <f ca="1">IFERROR(__xludf.DUMMYFUNCTION("""COMPUTED_VALUE"""),"SHR")</f>
        <v>SHR</v>
      </c>
      <c r="B1911" s="108" t="str">
        <f ca="1">IFERROR(__xludf.DUMMYFUNCTION("""COMPUTED_VALUE"""),"Charlotte Rice")</f>
        <v>Charlotte Rice</v>
      </c>
      <c r="C1911" s="109">
        <f ca="1">IFERROR(__xludf.DUMMYFUNCTION("""COMPUTED_VALUE"""),4)</f>
        <v>4</v>
      </c>
      <c r="D1911" s="109" t="str">
        <f ca="1">IFERROR(__xludf.DUMMYFUNCTION("""COMPUTED_VALUE"""),"G")</f>
        <v>G</v>
      </c>
      <c r="E1911" s="110" t="str">
        <f ca="1">IFERROR(__xludf.DUMMYFUNCTION("""COMPUTED_VALUE"""),"F")</f>
        <v>F</v>
      </c>
      <c r="F1911" s="114" t="str">
        <f ca="1">IFERROR(__xludf.DUMMYFUNCTION("""COMPUTED_VALUE"""),"J")</f>
        <v>J</v>
      </c>
      <c r="G1911" s="114">
        <f ca="1">IFERROR(__xludf.DUMMYFUNCTION("""COMPUTED_VALUE"""),3)</f>
        <v>3</v>
      </c>
      <c r="H1911" s="112" t="str">
        <f ca="1"/>
        <v>12</v>
      </c>
      <c r="I1911" s="112">
        <f ca="1"/>
        <v>12</v>
      </c>
    </row>
    <row r="1912" spans="1:9" ht="13.2">
      <c r="A1912" s="109" t="str">
        <f ca="1">IFERROR(__xludf.DUMMYFUNCTION("""COMPUTED_VALUE"""),"SHR")</f>
        <v>SHR</v>
      </c>
      <c r="B1912" s="108" t="str">
        <f ca="1">IFERROR(__xludf.DUMMYFUNCTION("""COMPUTED_VALUE"""),"Colette Marra")</f>
        <v>Colette Marra</v>
      </c>
      <c r="C1912" s="109">
        <f ca="1">IFERROR(__xludf.DUMMYFUNCTION("""COMPUTED_VALUE"""),8)</f>
        <v>8</v>
      </c>
      <c r="D1912" s="109" t="str">
        <f ca="1">IFERROR(__xludf.DUMMYFUNCTION("""COMPUTED_VALUE"""),"G")</f>
        <v>G</v>
      </c>
      <c r="E1912" s="110" t="str">
        <f ca="1">IFERROR(__xludf.DUMMYFUNCTION("""COMPUTED_VALUE"""),"F")</f>
        <v>F</v>
      </c>
      <c r="F1912" s="114" t="str">
        <f ca="1">IFERROR(__xludf.DUMMYFUNCTION("""COMPUTED_VALUE"""),"J")</f>
        <v>J</v>
      </c>
      <c r="G1912" s="114">
        <f ca="1">IFERROR(__xludf.DUMMYFUNCTION("""COMPUTED_VALUE"""),3)</f>
        <v>3</v>
      </c>
      <c r="H1912" s="112" t="str">
        <f ca="1"/>
        <v>24.95</v>
      </c>
      <c r="I1912" s="112">
        <f ca="1"/>
        <v>24.95</v>
      </c>
    </row>
    <row r="1913" spans="1:9" ht="13.2">
      <c r="A1913" s="109" t="str">
        <f ca="1">IFERROR(__xludf.DUMMYFUNCTION("""COMPUTED_VALUE"""),"SHR")</f>
        <v>SHR</v>
      </c>
      <c r="B1913" s="108" t="str">
        <f ca="1">IFERROR(__xludf.DUMMYFUNCTION("""COMPUTED_VALUE"""),"Elizabeth Heim")</f>
        <v>Elizabeth Heim</v>
      </c>
      <c r="C1913" s="109">
        <f ca="1">IFERROR(__xludf.DUMMYFUNCTION("""COMPUTED_VALUE"""),10)</f>
        <v>10</v>
      </c>
      <c r="D1913" s="109" t="str">
        <f ca="1">IFERROR(__xludf.DUMMYFUNCTION("""COMPUTED_VALUE"""),"G")</f>
        <v>G</v>
      </c>
      <c r="E1913" s="110" t="str">
        <f ca="1">IFERROR(__xludf.DUMMYFUNCTION("""COMPUTED_VALUE"""),"F")</f>
        <v>F</v>
      </c>
      <c r="F1913" s="114" t="str">
        <f ca="1">IFERROR(__xludf.DUMMYFUNCTION("""COMPUTED_VALUE"""),"J")</f>
        <v>J</v>
      </c>
      <c r="G1913" s="114">
        <f ca="1">IFERROR(__xludf.DUMMYFUNCTION("""COMPUTED_VALUE"""),3)</f>
        <v>3</v>
      </c>
      <c r="H1913" s="112" t="str">
        <f ca="1"/>
        <v>37.7</v>
      </c>
      <c r="I1913" s="112">
        <f ca="1"/>
        <v>37.700000000000003</v>
      </c>
    </row>
    <row r="1914" spans="1:9" ht="13.2">
      <c r="A1914" s="109" t="str">
        <f ca="1">IFERROR(__xludf.DUMMYFUNCTION("""COMPUTED_VALUE"""),"SHR")</f>
        <v>SHR</v>
      </c>
      <c r="B1914" s="108" t="str">
        <f ca="1">IFERROR(__xludf.DUMMYFUNCTION("""COMPUTED_VALUE"""),"Elle Feeley")</f>
        <v>Elle Feeley</v>
      </c>
      <c r="C1914" s="109">
        <f ca="1">IFERROR(__xludf.DUMMYFUNCTION("""COMPUTED_VALUE"""),8)</f>
        <v>8</v>
      </c>
      <c r="D1914" s="109" t="str">
        <f ca="1">IFERROR(__xludf.DUMMYFUNCTION("""COMPUTED_VALUE"""),"G")</f>
        <v>G</v>
      </c>
      <c r="E1914" s="110" t="str">
        <f ca="1">IFERROR(__xludf.DUMMYFUNCTION("""COMPUTED_VALUE"""),"F")</f>
        <v>F</v>
      </c>
      <c r="F1914" s="114" t="str">
        <f ca="1">IFERROR(__xludf.DUMMYFUNCTION("""COMPUTED_VALUE"""),"J")</f>
        <v>J</v>
      </c>
      <c r="G1914" s="114">
        <f ca="1">IFERROR(__xludf.DUMMYFUNCTION("""COMPUTED_VALUE"""),3)</f>
        <v>3</v>
      </c>
      <c r="H1914" s="112" t="str">
        <f ca="1"/>
        <v/>
      </c>
      <c r="I1914" s="112" t="str">
        <f ca="1"/>
        <v/>
      </c>
    </row>
    <row r="1915" spans="1:9" ht="13.2">
      <c r="A1915" s="109" t="str">
        <f ca="1">IFERROR(__xludf.DUMMYFUNCTION("""COMPUTED_VALUE"""),"SHR")</f>
        <v>SHR</v>
      </c>
      <c r="B1915" s="108" t="str">
        <f ca="1">IFERROR(__xludf.DUMMYFUNCTION("""COMPUTED_VALUE"""),"Emerson Crawford")</f>
        <v>Emerson Crawford</v>
      </c>
      <c r="C1915" s="109">
        <f ca="1">IFERROR(__xludf.DUMMYFUNCTION("""COMPUTED_VALUE"""),8)</f>
        <v>8</v>
      </c>
      <c r="D1915" s="109" t="str">
        <f ca="1">IFERROR(__xludf.DUMMYFUNCTION("""COMPUTED_VALUE"""),"G")</f>
        <v>G</v>
      </c>
      <c r="E1915" s="110" t="str">
        <f ca="1">IFERROR(__xludf.DUMMYFUNCTION("""COMPUTED_VALUE"""),"F")</f>
        <v>F</v>
      </c>
      <c r="F1915" s="114" t="str">
        <f ca="1">IFERROR(__xludf.DUMMYFUNCTION("""COMPUTED_VALUE"""),"J")</f>
        <v>J</v>
      </c>
      <c r="G1915" s="114">
        <f ca="1">IFERROR(__xludf.DUMMYFUNCTION("""COMPUTED_VALUE"""),3)</f>
        <v>3</v>
      </c>
      <c r="H1915" s="112" t="str">
        <f ca="1"/>
        <v>29.8</v>
      </c>
      <c r="I1915" s="112">
        <f ca="1"/>
        <v>29.8</v>
      </c>
    </row>
    <row r="1916" spans="1:9" ht="13.2">
      <c r="A1916" s="109" t="str">
        <f ca="1">IFERROR(__xludf.DUMMYFUNCTION("""COMPUTED_VALUE"""),"SHR")</f>
        <v>SHR</v>
      </c>
      <c r="B1916" s="108" t="str">
        <f ca="1">IFERROR(__xludf.DUMMYFUNCTION("""COMPUTED_VALUE"""),"Hannah Brubeck")</f>
        <v>Hannah Brubeck</v>
      </c>
      <c r="C1916" s="109">
        <f ca="1">IFERROR(__xludf.DUMMYFUNCTION("""COMPUTED_VALUE"""),8)</f>
        <v>8</v>
      </c>
      <c r="D1916" s="109" t="str">
        <f ca="1">IFERROR(__xludf.DUMMYFUNCTION("""COMPUTED_VALUE"""),"G")</f>
        <v>G</v>
      </c>
      <c r="E1916" s="110" t="str">
        <f ca="1">IFERROR(__xludf.DUMMYFUNCTION("""COMPUTED_VALUE"""),"F")</f>
        <v>F</v>
      </c>
      <c r="F1916" s="114" t="str">
        <f ca="1">IFERROR(__xludf.DUMMYFUNCTION("""COMPUTED_VALUE"""),"J")</f>
        <v>J</v>
      </c>
      <c r="G1916" s="114">
        <f ca="1">IFERROR(__xludf.DUMMYFUNCTION("""COMPUTED_VALUE"""),3)</f>
        <v>3</v>
      </c>
      <c r="H1916" s="112" t="str">
        <f ca="1"/>
        <v/>
      </c>
      <c r="I1916" s="112" t="str">
        <f ca="1"/>
        <v/>
      </c>
    </row>
    <row r="1917" spans="1:9" ht="13.2">
      <c r="A1917" s="109" t="str">
        <f ca="1">IFERROR(__xludf.DUMMYFUNCTION("""COMPUTED_VALUE"""),"SHR")</f>
        <v>SHR</v>
      </c>
      <c r="B1917" s="108" t="str">
        <f ca="1">IFERROR(__xludf.DUMMYFUNCTION("""COMPUTED_VALUE"""),"Harper Vida")</f>
        <v>Harper Vida</v>
      </c>
      <c r="C1917" s="109">
        <f ca="1">IFERROR(__xludf.DUMMYFUNCTION("""COMPUTED_VALUE"""),6)</f>
        <v>6</v>
      </c>
      <c r="D1917" s="109" t="str">
        <f ca="1">IFERROR(__xludf.DUMMYFUNCTION("""COMPUTED_VALUE"""),"G")</f>
        <v>G</v>
      </c>
      <c r="E1917" s="110" t="str">
        <f ca="1">IFERROR(__xludf.DUMMYFUNCTION("""COMPUTED_VALUE"""),"F")</f>
        <v>F</v>
      </c>
      <c r="F1917" s="114" t="str">
        <f ca="1">IFERROR(__xludf.DUMMYFUNCTION("""COMPUTED_VALUE"""),"J")</f>
        <v>J</v>
      </c>
      <c r="G1917" s="114">
        <f ca="1">IFERROR(__xludf.DUMMYFUNCTION("""COMPUTED_VALUE"""),3)</f>
        <v>3</v>
      </c>
      <c r="H1917" s="112" t="str">
        <f ca="1"/>
        <v/>
      </c>
      <c r="I1917" s="112" t="str">
        <f ca="1"/>
        <v/>
      </c>
    </row>
    <row r="1918" spans="1:9" ht="13.2">
      <c r="A1918" s="109" t="str">
        <f ca="1">IFERROR(__xludf.DUMMYFUNCTION("""COMPUTED_VALUE"""),"SHR")</f>
        <v>SHR</v>
      </c>
      <c r="B1918" s="108" t="str">
        <f ca="1">IFERROR(__xludf.DUMMYFUNCTION("""COMPUTED_VALUE"""),"Isla Cannon")</f>
        <v>Isla Cannon</v>
      </c>
      <c r="C1918" s="109">
        <f ca="1">IFERROR(__xludf.DUMMYFUNCTION("""COMPUTED_VALUE"""),8)</f>
        <v>8</v>
      </c>
      <c r="D1918" s="109" t="str">
        <f ca="1">IFERROR(__xludf.DUMMYFUNCTION("""COMPUTED_VALUE"""),"G")</f>
        <v>G</v>
      </c>
      <c r="E1918" s="110" t="str">
        <f ca="1">IFERROR(__xludf.DUMMYFUNCTION("""COMPUTED_VALUE"""),"F")</f>
        <v>F</v>
      </c>
      <c r="F1918" s="114" t="str">
        <f ca="1">IFERROR(__xludf.DUMMYFUNCTION("""COMPUTED_VALUE"""),"J")</f>
        <v>J</v>
      </c>
      <c r="G1918" s="114">
        <f ca="1">IFERROR(__xludf.DUMMYFUNCTION("""COMPUTED_VALUE"""),3)</f>
        <v>3</v>
      </c>
      <c r="H1918" s="112" t="str">
        <f ca="1"/>
        <v/>
      </c>
      <c r="I1918" s="112" t="str">
        <f ca="1"/>
        <v/>
      </c>
    </row>
    <row r="1919" spans="1:9" ht="13.2">
      <c r="A1919" s="109" t="str">
        <f ca="1">IFERROR(__xludf.DUMMYFUNCTION("""COMPUTED_VALUE"""),"SHR")</f>
        <v>SHR</v>
      </c>
      <c r="B1919" s="108" t="str">
        <f ca="1">IFERROR(__xludf.DUMMYFUNCTION("""COMPUTED_VALUE"""),"Kiersten Crawford")</f>
        <v>Kiersten Crawford</v>
      </c>
      <c r="C1919" s="109">
        <f ca="1">IFERROR(__xludf.DUMMYFUNCTION("""COMPUTED_VALUE"""),6)</f>
        <v>6</v>
      </c>
      <c r="D1919" s="109" t="str">
        <f ca="1">IFERROR(__xludf.DUMMYFUNCTION("""COMPUTED_VALUE"""),"G")</f>
        <v>G</v>
      </c>
      <c r="E1919" s="110" t="str">
        <f ca="1">IFERROR(__xludf.DUMMYFUNCTION("""COMPUTED_VALUE"""),"F")</f>
        <v>F</v>
      </c>
      <c r="F1919" s="114" t="str">
        <f ca="1">IFERROR(__xludf.DUMMYFUNCTION("""COMPUTED_VALUE"""),"J")</f>
        <v>J</v>
      </c>
      <c r="G1919" s="114">
        <f ca="1">IFERROR(__xludf.DUMMYFUNCTION("""COMPUTED_VALUE"""),3)</f>
        <v>3</v>
      </c>
      <c r="H1919" s="112" t="str">
        <f ca="1"/>
        <v>12.25</v>
      </c>
      <c r="I1919" s="112">
        <f ca="1"/>
        <v>12.25</v>
      </c>
    </row>
    <row r="1920" spans="1:9" ht="13.2">
      <c r="A1920" s="109" t="str">
        <f ca="1">IFERROR(__xludf.DUMMYFUNCTION("""COMPUTED_VALUE"""),"SHR")</f>
        <v>SHR</v>
      </c>
      <c r="B1920" s="108" t="str">
        <f ca="1">IFERROR(__xludf.DUMMYFUNCTION("""COMPUTED_VALUE"""),"Lily Scherer")</f>
        <v>Lily Scherer</v>
      </c>
      <c r="C1920" s="109">
        <f ca="1">IFERROR(__xludf.DUMMYFUNCTION("""COMPUTED_VALUE"""),10)</f>
        <v>10</v>
      </c>
      <c r="D1920" s="109" t="str">
        <f ca="1">IFERROR(__xludf.DUMMYFUNCTION("""COMPUTED_VALUE"""),"G")</f>
        <v>G</v>
      </c>
      <c r="E1920" s="110" t="str">
        <f ca="1">IFERROR(__xludf.DUMMYFUNCTION("""COMPUTED_VALUE"""),"F")</f>
        <v>F</v>
      </c>
      <c r="F1920" s="114" t="str">
        <f ca="1">IFERROR(__xludf.DUMMYFUNCTION("""COMPUTED_VALUE"""),"J")</f>
        <v>J</v>
      </c>
      <c r="G1920" s="114">
        <f ca="1">IFERROR(__xludf.DUMMYFUNCTION("""COMPUTED_VALUE"""),3)</f>
        <v>3</v>
      </c>
      <c r="H1920" s="112" t="str">
        <f ca="1"/>
        <v>20.55</v>
      </c>
      <c r="I1920" s="112">
        <f ca="1"/>
        <v>20.55</v>
      </c>
    </row>
    <row r="1921" spans="1:9" ht="13.2">
      <c r="A1921" s="109" t="str">
        <f ca="1">IFERROR(__xludf.DUMMYFUNCTION("""COMPUTED_VALUE"""),"SHR")</f>
        <v>SHR</v>
      </c>
      <c r="B1921" s="108" t="str">
        <f ca="1">IFERROR(__xludf.DUMMYFUNCTION("""COMPUTED_VALUE"""),"Maggie Barker")</f>
        <v>Maggie Barker</v>
      </c>
      <c r="C1921" s="109">
        <f ca="1">IFERROR(__xludf.DUMMYFUNCTION("""COMPUTED_VALUE"""),7)</f>
        <v>7</v>
      </c>
      <c r="D1921" s="109" t="str">
        <f ca="1">IFERROR(__xludf.DUMMYFUNCTION("""COMPUTED_VALUE"""),"G")</f>
        <v>G</v>
      </c>
      <c r="E1921" s="110" t="str">
        <f ca="1">IFERROR(__xludf.DUMMYFUNCTION("""COMPUTED_VALUE"""),"F")</f>
        <v>F</v>
      </c>
      <c r="F1921" s="114" t="str">
        <f ca="1">IFERROR(__xludf.DUMMYFUNCTION("""COMPUTED_VALUE"""),"J")</f>
        <v>J</v>
      </c>
      <c r="G1921" s="114">
        <f ca="1">IFERROR(__xludf.DUMMYFUNCTION("""COMPUTED_VALUE"""),3)</f>
        <v>3</v>
      </c>
      <c r="H1921" s="112" t="str">
        <f ca="1"/>
        <v>14</v>
      </c>
      <c r="I1921" s="112">
        <f ca="1"/>
        <v>14</v>
      </c>
    </row>
    <row r="1922" spans="1:9" ht="13.2">
      <c r="A1922" s="109" t="str">
        <f ca="1">IFERROR(__xludf.DUMMYFUNCTION("""COMPUTED_VALUE"""),"SHR")</f>
        <v>SHR</v>
      </c>
      <c r="B1922" s="108" t="str">
        <f ca="1">IFERROR(__xludf.DUMMYFUNCTION("""COMPUTED_VALUE"""),"Molly Hamill")</f>
        <v>Molly Hamill</v>
      </c>
      <c r="C1922" s="109">
        <f ca="1">IFERROR(__xludf.DUMMYFUNCTION("""COMPUTED_VALUE"""),8)</f>
        <v>8</v>
      </c>
      <c r="D1922" s="109" t="str">
        <f ca="1">IFERROR(__xludf.DUMMYFUNCTION("""COMPUTED_VALUE"""),"G")</f>
        <v>G</v>
      </c>
      <c r="E1922" s="110" t="str">
        <f ca="1">IFERROR(__xludf.DUMMYFUNCTION("""COMPUTED_VALUE"""),"F")</f>
        <v>F</v>
      </c>
      <c r="F1922" s="114" t="str">
        <f ca="1">IFERROR(__xludf.DUMMYFUNCTION("""COMPUTED_VALUE"""),"J")</f>
        <v>J</v>
      </c>
      <c r="G1922" s="114">
        <f ca="1">IFERROR(__xludf.DUMMYFUNCTION("""COMPUTED_VALUE"""),3)</f>
        <v>3</v>
      </c>
      <c r="H1922" s="112" t="str">
        <f ca="1"/>
        <v/>
      </c>
      <c r="I1922" s="112" t="str">
        <f ca="1"/>
        <v/>
      </c>
    </row>
    <row r="1923" spans="1:9" ht="13.2">
      <c r="A1923" s="109" t="str">
        <f ca="1">IFERROR(__xludf.DUMMYFUNCTION("""COMPUTED_VALUE"""),"SHR")</f>
        <v>SHR</v>
      </c>
      <c r="B1923" s="108" t="str">
        <f ca="1">IFERROR(__xludf.DUMMYFUNCTION("""COMPUTED_VALUE"""),"Kyle Aylward")</f>
        <v>Kyle Aylward</v>
      </c>
      <c r="C1923" s="109">
        <f ca="1">IFERROR(__xludf.DUMMYFUNCTION("""COMPUTED_VALUE"""),13)</f>
        <v>13</v>
      </c>
      <c r="D1923" s="109" t="str">
        <f ca="1">IFERROR(__xludf.DUMMYFUNCTION("""COMPUTED_VALUE"""),"B")</f>
        <v>B</v>
      </c>
      <c r="E1923" s="110" t="str">
        <f ca="1">IFERROR(__xludf.DUMMYFUNCTION("""COMPUTED_VALUE"""),"I")</f>
        <v>I</v>
      </c>
      <c r="F1923" s="114" t="str">
        <f ca="1">IFERROR(__xludf.DUMMYFUNCTION("""COMPUTED_VALUE"""),"S")</f>
        <v>S</v>
      </c>
      <c r="G1923" s="114">
        <f ca="1">IFERROR(__xludf.DUMMYFUNCTION("""COMPUTED_VALUE"""),3)</f>
        <v>3</v>
      </c>
      <c r="H1923" s="112" t="str">
        <f ca="1"/>
        <v>73.55</v>
      </c>
      <c r="I1923" s="112">
        <f ca="1"/>
        <v>73.55</v>
      </c>
    </row>
    <row r="1924" spans="1:9" ht="13.2">
      <c r="A1924" s="109" t="str">
        <f ca="1">IFERROR(__xludf.DUMMYFUNCTION("""COMPUTED_VALUE"""),"SHR")</f>
        <v>SHR</v>
      </c>
      <c r="B1924" s="108" t="str">
        <f ca="1">IFERROR(__xludf.DUMMYFUNCTION("""COMPUTED_VALUE"""),"Matthew Heim")</f>
        <v>Matthew Heim</v>
      </c>
      <c r="C1924" s="109">
        <f ca="1">IFERROR(__xludf.DUMMYFUNCTION("""COMPUTED_VALUE"""),13)</f>
        <v>13</v>
      </c>
      <c r="D1924" s="109" t="str">
        <f ca="1">IFERROR(__xludf.DUMMYFUNCTION("""COMPUTED_VALUE"""),"B")</f>
        <v>B</v>
      </c>
      <c r="E1924" s="110" t="str">
        <f ca="1">IFERROR(__xludf.DUMMYFUNCTION("""COMPUTED_VALUE"""),"I")</f>
        <v>I</v>
      </c>
      <c r="F1924" s="114" t="str">
        <f ca="1">IFERROR(__xludf.DUMMYFUNCTION("""COMPUTED_VALUE"""),"S")</f>
        <v>S</v>
      </c>
      <c r="G1924" s="114">
        <f ca="1">IFERROR(__xludf.DUMMYFUNCTION("""COMPUTED_VALUE"""),3)</f>
        <v>3</v>
      </c>
      <c r="H1924" s="112" t="str">
        <f ca="1"/>
        <v/>
      </c>
      <c r="I1924" s="112" t="str">
        <f ca="1"/>
        <v/>
      </c>
    </row>
    <row r="1925" spans="1:9" ht="13.2">
      <c r="A1925" s="109" t="str">
        <f ca="1">IFERROR(__xludf.DUMMYFUNCTION("""COMPUTED_VALUE"""),"SHR")</f>
        <v>SHR</v>
      </c>
      <c r="B1925" s="108" t="str">
        <f ca="1">IFERROR(__xludf.DUMMYFUNCTION("""COMPUTED_VALUE"""),"Caeli McIntosh")</f>
        <v>Caeli McIntosh</v>
      </c>
      <c r="C1925" s="109">
        <f ca="1">IFERROR(__xludf.DUMMYFUNCTION("""COMPUTED_VALUE"""),13)</f>
        <v>13</v>
      </c>
      <c r="D1925" s="109" t="str">
        <f ca="1">IFERROR(__xludf.DUMMYFUNCTION("""COMPUTED_VALUE"""),"G")</f>
        <v>G</v>
      </c>
      <c r="E1925" s="110" t="str">
        <f ca="1">IFERROR(__xludf.DUMMYFUNCTION("""COMPUTED_VALUE"""),"I")</f>
        <v>I</v>
      </c>
      <c r="F1925" s="114" t="str">
        <f ca="1">IFERROR(__xludf.DUMMYFUNCTION("""COMPUTED_VALUE"""),"S")</f>
        <v>S</v>
      </c>
      <c r="G1925" s="114">
        <f ca="1">IFERROR(__xludf.DUMMYFUNCTION("""COMPUTED_VALUE"""),3)</f>
        <v>3</v>
      </c>
      <c r="H1925" s="112" t="str">
        <f ca="1"/>
        <v>77.75</v>
      </c>
      <c r="I1925" s="112">
        <f ca="1"/>
        <v>77.75</v>
      </c>
    </row>
    <row r="1926" spans="1:9" ht="13.2">
      <c r="A1926" s="109" t="str">
        <f ca="1">IFERROR(__xludf.DUMMYFUNCTION("""COMPUTED_VALUE"""),"SHR")</f>
        <v>SHR</v>
      </c>
      <c r="B1926" s="108" t="str">
        <f ca="1">IFERROR(__xludf.DUMMYFUNCTION("""COMPUTED_VALUE"""),"Chloe Kowalczyk")</f>
        <v>Chloe Kowalczyk</v>
      </c>
      <c r="C1926" s="109">
        <f ca="1">IFERROR(__xludf.DUMMYFUNCTION("""COMPUTED_VALUE"""),14)</f>
        <v>14</v>
      </c>
      <c r="D1926" s="109" t="str">
        <f ca="1">IFERROR(__xludf.DUMMYFUNCTION("""COMPUTED_VALUE"""),"G")</f>
        <v>G</v>
      </c>
      <c r="E1926" s="110" t="str">
        <f ca="1">IFERROR(__xludf.DUMMYFUNCTION("""COMPUTED_VALUE"""),"I")</f>
        <v>I</v>
      </c>
      <c r="F1926" s="114" t="str">
        <f ca="1">IFERROR(__xludf.DUMMYFUNCTION("""COMPUTED_VALUE"""),"S")</f>
        <v>S</v>
      </c>
      <c r="G1926" s="114">
        <f ca="1">IFERROR(__xludf.DUMMYFUNCTION("""COMPUTED_VALUE"""),3)</f>
        <v>3</v>
      </c>
      <c r="H1926" s="112" t="str">
        <f ca="1"/>
        <v/>
      </c>
      <c r="I1926" s="112" t="str">
        <f ca="1"/>
        <v/>
      </c>
    </row>
    <row r="1927" spans="1:9" ht="13.2">
      <c r="A1927" s="109" t="str">
        <f ca="1">IFERROR(__xludf.DUMMYFUNCTION("""COMPUTED_VALUE"""),"SHR")</f>
        <v>SHR</v>
      </c>
      <c r="B1927" s="108" t="str">
        <f ca="1">IFERROR(__xludf.DUMMYFUNCTION("""COMPUTED_VALUE"""),"Chloe Richards")</f>
        <v>Chloe Richards</v>
      </c>
      <c r="C1927" s="109">
        <f ca="1">IFERROR(__xludf.DUMMYFUNCTION("""COMPUTED_VALUE"""),14)</f>
        <v>14</v>
      </c>
      <c r="D1927" s="109" t="str">
        <f ca="1">IFERROR(__xludf.DUMMYFUNCTION("""COMPUTED_VALUE"""),"G")</f>
        <v>G</v>
      </c>
      <c r="E1927" s="110" t="str">
        <f ca="1">IFERROR(__xludf.DUMMYFUNCTION("""COMPUTED_VALUE"""),"I")</f>
        <v>I</v>
      </c>
      <c r="F1927" s="114" t="str">
        <f ca="1">IFERROR(__xludf.DUMMYFUNCTION("""COMPUTED_VALUE"""),"S")</f>
        <v>S</v>
      </c>
      <c r="G1927" s="114">
        <f ca="1">IFERROR(__xludf.DUMMYFUNCTION("""COMPUTED_VALUE"""),3)</f>
        <v>3</v>
      </c>
      <c r="H1927" s="112" t="str">
        <f ca="1"/>
        <v/>
      </c>
      <c r="I1927" s="112" t="str">
        <f ca="1"/>
        <v/>
      </c>
    </row>
    <row r="1928" spans="1:9" ht="13.2">
      <c r="A1928" s="109" t="str">
        <f ca="1">IFERROR(__xludf.DUMMYFUNCTION("""COMPUTED_VALUE"""),"SHR")</f>
        <v>SHR</v>
      </c>
      <c r="B1928" s="108" t="str">
        <f ca="1">IFERROR(__xludf.DUMMYFUNCTION("""COMPUTED_VALUE"""),"Courtney Weldon")</f>
        <v>Courtney Weldon</v>
      </c>
      <c r="C1928" s="109">
        <f ca="1">IFERROR(__xludf.DUMMYFUNCTION("""COMPUTED_VALUE"""),13)</f>
        <v>13</v>
      </c>
      <c r="D1928" s="109" t="str">
        <f ca="1">IFERROR(__xludf.DUMMYFUNCTION("""COMPUTED_VALUE"""),"G")</f>
        <v>G</v>
      </c>
      <c r="E1928" s="110" t="str">
        <f ca="1">IFERROR(__xludf.DUMMYFUNCTION("""COMPUTED_VALUE"""),"I")</f>
        <v>I</v>
      </c>
      <c r="F1928" s="114" t="str">
        <f ca="1">IFERROR(__xludf.DUMMYFUNCTION("""COMPUTED_VALUE"""),"S")</f>
        <v>S</v>
      </c>
      <c r="G1928" s="114">
        <f ca="1">IFERROR(__xludf.DUMMYFUNCTION("""COMPUTED_VALUE"""),3)</f>
        <v>3</v>
      </c>
      <c r="H1928" s="112" t="str">
        <f ca="1"/>
        <v>68.9</v>
      </c>
      <c r="I1928" s="112">
        <f ca="1"/>
        <v>68.900000000000006</v>
      </c>
    </row>
    <row r="1929" spans="1:9" ht="13.2">
      <c r="A1929" s="109" t="str">
        <f ca="1">IFERROR(__xludf.DUMMYFUNCTION("""COMPUTED_VALUE"""),"SHR")</f>
        <v>SHR</v>
      </c>
      <c r="B1929" s="108" t="str">
        <f ca="1">IFERROR(__xludf.DUMMYFUNCTION("""COMPUTED_VALUE"""),"Emerson Feeley")</f>
        <v>Emerson Feeley</v>
      </c>
      <c r="C1929" s="109">
        <f ca="1">IFERROR(__xludf.DUMMYFUNCTION("""COMPUTED_VALUE"""),13)</f>
        <v>13</v>
      </c>
      <c r="D1929" s="109" t="str">
        <f ca="1">IFERROR(__xludf.DUMMYFUNCTION("""COMPUTED_VALUE"""),"G")</f>
        <v>G</v>
      </c>
      <c r="E1929" s="110" t="str">
        <f ca="1">IFERROR(__xludf.DUMMYFUNCTION("""COMPUTED_VALUE"""),"I")</f>
        <v>I</v>
      </c>
      <c r="F1929" s="114" t="str">
        <f ca="1">IFERROR(__xludf.DUMMYFUNCTION("""COMPUTED_VALUE"""),"S")</f>
        <v>S</v>
      </c>
      <c r="G1929" s="114">
        <f ca="1">IFERROR(__xludf.DUMMYFUNCTION("""COMPUTED_VALUE"""),3)</f>
        <v>3</v>
      </c>
      <c r="H1929" s="112" t="str">
        <f ca="1"/>
        <v>50.7</v>
      </c>
      <c r="I1929" s="112">
        <f ca="1"/>
        <v>50.7</v>
      </c>
    </row>
    <row r="1930" spans="1:9" ht="13.2">
      <c r="A1930" s="109" t="str">
        <f ca="1">IFERROR(__xludf.DUMMYFUNCTION("""COMPUTED_VALUE"""),"SHR")</f>
        <v>SHR</v>
      </c>
      <c r="B1930" s="108" t="str">
        <f ca="1">IFERROR(__xludf.DUMMYFUNCTION("""COMPUTED_VALUE"""),"Emma Redman")</f>
        <v>Emma Redman</v>
      </c>
      <c r="C1930" s="109">
        <f ca="1">IFERROR(__xludf.DUMMYFUNCTION("""COMPUTED_VALUE"""),14)</f>
        <v>14</v>
      </c>
      <c r="D1930" s="109" t="str">
        <f ca="1">IFERROR(__xludf.DUMMYFUNCTION("""COMPUTED_VALUE"""),"G")</f>
        <v>G</v>
      </c>
      <c r="E1930" s="110" t="str">
        <f ca="1">IFERROR(__xludf.DUMMYFUNCTION("""COMPUTED_VALUE"""),"I")</f>
        <v>I</v>
      </c>
      <c r="F1930" s="114" t="str">
        <f ca="1">IFERROR(__xludf.DUMMYFUNCTION("""COMPUTED_VALUE"""),"S")</f>
        <v>S</v>
      </c>
      <c r="G1930" s="114">
        <f ca="1">IFERROR(__xludf.DUMMYFUNCTION("""COMPUTED_VALUE"""),3)</f>
        <v>3</v>
      </c>
      <c r="H1930" s="112" t="str">
        <f ca="1"/>
        <v/>
      </c>
      <c r="I1930" s="112" t="str">
        <f ca="1"/>
        <v/>
      </c>
    </row>
    <row r="1931" spans="1:9" ht="13.2">
      <c r="A1931" s="109" t="str">
        <f ca="1">IFERROR(__xludf.DUMMYFUNCTION("""COMPUTED_VALUE"""),"SHR")</f>
        <v>SHR</v>
      </c>
      <c r="B1931" s="108" t="str">
        <f ca="1">IFERROR(__xludf.DUMMYFUNCTION("""COMPUTED_VALUE"""),"Brody Schrecker")</f>
        <v>Brody Schrecker</v>
      </c>
      <c r="C1931" s="109">
        <f ca="1">IFERROR(__xludf.DUMMYFUNCTION("""COMPUTED_VALUE"""),12)</f>
        <v>12</v>
      </c>
      <c r="D1931" s="109" t="str">
        <f ca="1">IFERROR(__xludf.DUMMYFUNCTION("""COMPUTED_VALUE"""),"B")</f>
        <v>B</v>
      </c>
      <c r="E1931" s="110" t="str">
        <f ca="1">IFERROR(__xludf.DUMMYFUNCTION("""COMPUTED_VALUE"""),"J")</f>
        <v>J</v>
      </c>
      <c r="F1931" s="114" t="str">
        <f ca="1">IFERROR(__xludf.DUMMYFUNCTION("""COMPUTED_VALUE"""),"I")</f>
        <v>I</v>
      </c>
      <c r="G1931" s="114">
        <f ca="1">IFERROR(__xludf.DUMMYFUNCTION("""COMPUTED_VALUE"""),3)</f>
        <v>3</v>
      </c>
      <c r="H1931" s="112" t="str">
        <f ca="1"/>
        <v/>
      </c>
      <c r="I1931" s="112" t="str">
        <f ca="1"/>
        <v/>
      </c>
    </row>
    <row r="1932" spans="1:9" ht="13.2">
      <c r="A1932" s="109" t="str">
        <f ca="1">IFERROR(__xludf.DUMMYFUNCTION("""COMPUTED_VALUE"""),"SHR")</f>
        <v>SHR</v>
      </c>
      <c r="B1932" s="108" t="str">
        <f ca="1">IFERROR(__xludf.DUMMYFUNCTION("""COMPUTED_VALUE"""),"CJ Silva")</f>
        <v>CJ Silva</v>
      </c>
      <c r="C1932" s="109">
        <f ca="1">IFERROR(__xludf.DUMMYFUNCTION("""COMPUTED_VALUE"""),11)</f>
        <v>11</v>
      </c>
      <c r="D1932" s="109" t="str">
        <f ca="1">IFERROR(__xludf.DUMMYFUNCTION("""COMPUTED_VALUE"""),"B")</f>
        <v>B</v>
      </c>
      <c r="E1932" s="110" t="str">
        <f ca="1">IFERROR(__xludf.DUMMYFUNCTION("""COMPUTED_VALUE"""),"J")</f>
        <v>J</v>
      </c>
      <c r="F1932" s="114" t="str">
        <f ca="1">IFERROR(__xludf.DUMMYFUNCTION("""COMPUTED_VALUE"""),"I")</f>
        <v>I</v>
      </c>
      <c r="G1932" s="114">
        <f ca="1">IFERROR(__xludf.DUMMYFUNCTION("""COMPUTED_VALUE"""),3)</f>
        <v>3</v>
      </c>
      <c r="H1932" s="112" t="str">
        <f ca="1"/>
        <v/>
      </c>
      <c r="I1932" s="112" t="str">
        <f ca="1"/>
        <v/>
      </c>
    </row>
    <row r="1933" spans="1:9" ht="13.2">
      <c r="A1933" s="109" t="str">
        <f ca="1">IFERROR(__xludf.DUMMYFUNCTION("""COMPUTED_VALUE"""),"SHR")</f>
        <v>SHR</v>
      </c>
      <c r="B1933" s="108" t="str">
        <f ca="1">IFERROR(__xludf.DUMMYFUNCTION("""COMPUTED_VALUE"""),"Diego Syar")</f>
        <v>Diego Syar</v>
      </c>
      <c r="C1933" s="109">
        <f ca="1">IFERROR(__xludf.DUMMYFUNCTION("""COMPUTED_VALUE"""),12)</f>
        <v>12</v>
      </c>
      <c r="D1933" s="109" t="str">
        <f ca="1">IFERROR(__xludf.DUMMYFUNCTION("""COMPUTED_VALUE"""),"B")</f>
        <v>B</v>
      </c>
      <c r="E1933" s="110" t="str">
        <f ca="1">IFERROR(__xludf.DUMMYFUNCTION("""COMPUTED_VALUE"""),"J")</f>
        <v>J</v>
      </c>
      <c r="F1933" s="114" t="str">
        <f ca="1">IFERROR(__xludf.DUMMYFUNCTION("""COMPUTED_VALUE"""),"I")</f>
        <v>I</v>
      </c>
      <c r="G1933" s="114">
        <f ca="1">IFERROR(__xludf.DUMMYFUNCTION("""COMPUTED_VALUE"""),3)</f>
        <v>3</v>
      </c>
      <c r="H1933" s="112" t="str">
        <f ca="1"/>
        <v/>
      </c>
      <c r="I1933" s="112" t="str">
        <f ca="1"/>
        <v/>
      </c>
    </row>
    <row r="1934" spans="1:9" ht="13.2">
      <c r="A1934" s="109" t="str">
        <f ca="1">IFERROR(__xludf.DUMMYFUNCTION("""COMPUTED_VALUE"""),"SHR")</f>
        <v>SHR</v>
      </c>
      <c r="B1934" s="108" t="str">
        <f ca="1">IFERROR(__xludf.DUMMYFUNCTION("""COMPUTED_VALUE"""),"Elijah Garces-Foley")</f>
        <v>Elijah Garces-Foley</v>
      </c>
      <c r="C1934" s="109">
        <f ca="1">IFERROR(__xludf.DUMMYFUNCTION("""COMPUTED_VALUE"""),12)</f>
        <v>12</v>
      </c>
      <c r="D1934" s="109" t="str">
        <f ca="1">IFERROR(__xludf.DUMMYFUNCTION("""COMPUTED_VALUE"""),"B")</f>
        <v>B</v>
      </c>
      <c r="E1934" s="110" t="str">
        <f ca="1">IFERROR(__xludf.DUMMYFUNCTION("""COMPUTED_VALUE"""),"J")</f>
        <v>J</v>
      </c>
      <c r="F1934" s="114" t="str">
        <f ca="1">IFERROR(__xludf.DUMMYFUNCTION("""COMPUTED_VALUE"""),"I")</f>
        <v>I</v>
      </c>
      <c r="G1934" s="114">
        <f ca="1">IFERROR(__xludf.DUMMYFUNCTION("""COMPUTED_VALUE"""),3)</f>
        <v>3</v>
      </c>
      <c r="H1934" s="112" t="str">
        <f ca="1"/>
        <v/>
      </c>
      <c r="I1934" s="112" t="str">
        <f ca="1"/>
        <v/>
      </c>
    </row>
    <row r="1935" spans="1:9" ht="13.2">
      <c r="A1935" s="109" t="str">
        <f ca="1">IFERROR(__xludf.DUMMYFUNCTION("""COMPUTED_VALUE"""),"SHR")</f>
        <v>SHR</v>
      </c>
      <c r="B1935" s="108" t="str">
        <f ca="1">IFERROR(__xludf.DUMMYFUNCTION("""COMPUTED_VALUE"""),"Forest Archambault")</f>
        <v>Forest Archambault</v>
      </c>
      <c r="C1935" s="109">
        <f ca="1">IFERROR(__xludf.DUMMYFUNCTION("""COMPUTED_VALUE"""),12)</f>
        <v>12</v>
      </c>
      <c r="D1935" s="109" t="str">
        <f ca="1">IFERROR(__xludf.DUMMYFUNCTION("""COMPUTED_VALUE"""),"B")</f>
        <v>B</v>
      </c>
      <c r="E1935" s="110" t="str">
        <f ca="1">IFERROR(__xludf.DUMMYFUNCTION("""COMPUTED_VALUE"""),"J")</f>
        <v>J</v>
      </c>
      <c r="F1935" s="114" t="str">
        <f ca="1">IFERROR(__xludf.DUMMYFUNCTION("""COMPUTED_VALUE"""),"I")</f>
        <v>I</v>
      </c>
      <c r="G1935" s="114">
        <f ca="1">IFERROR(__xludf.DUMMYFUNCTION("""COMPUTED_VALUE"""),3)</f>
        <v>3</v>
      </c>
      <c r="H1935" s="112" t="str">
        <f ca="1"/>
        <v/>
      </c>
      <c r="I1935" s="112" t="str">
        <f ca="1"/>
        <v/>
      </c>
    </row>
    <row r="1936" spans="1:9" ht="13.2">
      <c r="A1936" s="109" t="str">
        <f ca="1">IFERROR(__xludf.DUMMYFUNCTION("""COMPUTED_VALUE"""),"SHR")</f>
        <v>SHR</v>
      </c>
      <c r="B1936" s="108" t="str">
        <f ca="1">IFERROR(__xludf.DUMMYFUNCTION("""COMPUTED_VALUE"""),"Rhys Kowalczyk")</f>
        <v>Rhys Kowalczyk</v>
      </c>
      <c r="C1936" s="109">
        <f ca="1">IFERROR(__xludf.DUMMYFUNCTION("""COMPUTED_VALUE"""),12)</f>
        <v>12</v>
      </c>
      <c r="D1936" s="109" t="str">
        <f ca="1">IFERROR(__xludf.DUMMYFUNCTION("""COMPUTED_VALUE"""),"B")</f>
        <v>B</v>
      </c>
      <c r="E1936" s="110" t="str">
        <f ca="1">IFERROR(__xludf.DUMMYFUNCTION("""COMPUTED_VALUE"""),"J")</f>
        <v>J</v>
      </c>
      <c r="F1936" s="114" t="str">
        <f ca="1">IFERROR(__xludf.DUMMYFUNCTION("""COMPUTED_VALUE"""),"I")</f>
        <v>I</v>
      </c>
      <c r="G1936" s="114">
        <f ca="1">IFERROR(__xludf.DUMMYFUNCTION("""COMPUTED_VALUE"""),3)</f>
        <v>3</v>
      </c>
      <c r="H1936" s="112" t="str">
        <f ca="1"/>
        <v/>
      </c>
      <c r="I1936" s="112" t="str">
        <f ca="1"/>
        <v/>
      </c>
    </row>
    <row r="1937" spans="1:9" ht="13.2">
      <c r="A1937" s="109" t="str">
        <f ca="1">IFERROR(__xludf.DUMMYFUNCTION("""COMPUTED_VALUE"""),"SHR")</f>
        <v>SHR</v>
      </c>
      <c r="B1937" s="108" t="str">
        <f ca="1">IFERROR(__xludf.DUMMYFUNCTION("""COMPUTED_VALUE"""),"Anna Fitzgerald")</f>
        <v>Anna Fitzgerald</v>
      </c>
      <c r="C1937" s="109">
        <f ca="1">IFERROR(__xludf.DUMMYFUNCTION("""COMPUTED_VALUE"""),12)</f>
        <v>12</v>
      </c>
      <c r="D1937" s="109" t="str">
        <f ca="1">IFERROR(__xludf.DUMMYFUNCTION("""COMPUTED_VALUE"""),"G")</f>
        <v>G</v>
      </c>
      <c r="E1937" s="110" t="str">
        <f ca="1">IFERROR(__xludf.DUMMYFUNCTION("""COMPUTED_VALUE"""),"J")</f>
        <v>J</v>
      </c>
      <c r="F1937" s="114" t="str">
        <f ca="1">IFERROR(__xludf.DUMMYFUNCTION("""COMPUTED_VALUE"""),"I")</f>
        <v>I</v>
      </c>
      <c r="G1937" s="114">
        <f ca="1">IFERROR(__xludf.DUMMYFUNCTION("""COMPUTED_VALUE"""),3)</f>
        <v>3</v>
      </c>
      <c r="H1937" s="112" t="str">
        <f ca="1"/>
        <v/>
      </c>
      <c r="I1937" s="112" t="str">
        <f ca="1"/>
        <v/>
      </c>
    </row>
    <row r="1938" spans="1:9" ht="13.2">
      <c r="A1938" s="109" t="str">
        <f ca="1">IFERROR(__xludf.DUMMYFUNCTION("""COMPUTED_VALUE"""),"SHR")</f>
        <v>SHR</v>
      </c>
      <c r="B1938" s="108" t="str">
        <f ca="1">IFERROR(__xludf.DUMMYFUNCTION("""COMPUTED_VALUE"""),"Charlotte Smith")</f>
        <v>Charlotte Smith</v>
      </c>
      <c r="C1938" s="109">
        <f ca="1">IFERROR(__xludf.DUMMYFUNCTION("""COMPUTED_VALUE"""),11)</f>
        <v>11</v>
      </c>
      <c r="D1938" s="109" t="str">
        <f ca="1">IFERROR(__xludf.DUMMYFUNCTION("""COMPUTED_VALUE"""),"G")</f>
        <v>G</v>
      </c>
      <c r="E1938" s="110" t="str">
        <f ca="1">IFERROR(__xludf.DUMMYFUNCTION("""COMPUTED_VALUE"""),"J")</f>
        <v>J</v>
      </c>
      <c r="F1938" s="114" t="str">
        <f ca="1">IFERROR(__xludf.DUMMYFUNCTION("""COMPUTED_VALUE"""),"I")</f>
        <v>I</v>
      </c>
      <c r="G1938" s="114">
        <f ca="1">IFERROR(__xludf.DUMMYFUNCTION("""COMPUTED_VALUE"""),3)</f>
        <v>3</v>
      </c>
      <c r="H1938" s="112" t="str">
        <f ca="1"/>
        <v/>
      </c>
      <c r="I1938" s="112" t="str">
        <f ca="1"/>
        <v/>
      </c>
    </row>
    <row r="1939" spans="1:9" ht="13.2">
      <c r="A1939" s="109" t="str">
        <f ca="1">IFERROR(__xludf.DUMMYFUNCTION("""COMPUTED_VALUE"""),"SHR")</f>
        <v>SHR</v>
      </c>
      <c r="B1939" s="108" t="str">
        <f ca="1">IFERROR(__xludf.DUMMYFUNCTION("""COMPUTED_VALUE"""),"Juliet Adye")</f>
        <v>Juliet Adye</v>
      </c>
      <c r="C1939" s="109">
        <f ca="1">IFERROR(__xludf.DUMMYFUNCTION("""COMPUTED_VALUE"""),12)</f>
        <v>12</v>
      </c>
      <c r="D1939" s="109" t="str">
        <f ca="1">IFERROR(__xludf.DUMMYFUNCTION("""COMPUTED_VALUE"""),"G")</f>
        <v>G</v>
      </c>
      <c r="E1939" s="110" t="str">
        <f ca="1">IFERROR(__xludf.DUMMYFUNCTION("""COMPUTED_VALUE"""),"J")</f>
        <v>J</v>
      </c>
      <c r="F1939" s="114" t="str">
        <f ca="1">IFERROR(__xludf.DUMMYFUNCTION("""COMPUTED_VALUE"""),"I")</f>
        <v>I</v>
      </c>
      <c r="G1939" s="114">
        <f ca="1">IFERROR(__xludf.DUMMYFUNCTION("""COMPUTED_VALUE"""),3)</f>
        <v>3</v>
      </c>
      <c r="H1939" s="112" t="str">
        <f ca="1"/>
        <v/>
      </c>
      <c r="I1939" s="112" t="str">
        <f ca="1"/>
        <v/>
      </c>
    </row>
    <row r="1940" spans="1:9" ht="13.2">
      <c r="A1940" s="109" t="str">
        <f ca="1">IFERROR(__xludf.DUMMYFUNCTION("""COMPUTED_VALUE"""),"SHR")</f>
        <v>SHR</v>
      </c>
      <c r="B1940" s="108" t="str">
        <f ca="1">IFERROR(__xludf.DUMMYFUNCTION("""COMPUTED_VALUE"""),"Kalyn O'Hara")</f>
        <v>Kalyn O'Hara</v>
      </c>
      <c r="C1940" s="109">
        <f ca="1">IFERROR(__xludf.DUMMYFUNCTION("""COMPUTED_VALUE"""),11)</f>
        <v>11</v>
      </c>
      <c r="D1940" s="109" t="str">
        <f ca="1">IFERROR(__xludf.DUMMYFUNCTION("""COMPUTED_VALUE"""),"G")</f>
        <v>G</v>
      </c>
      <c r="E1940" s="110" t="str">
        <f ca="1">IFERROR(__xludf.DUMMYFUNCTION("""COMPUTED_VALUE"""),"J")</f>
        <v>J</v>
      </c>
      <c r="F1940" s="114" t="str">
        <f ca="1">IFERROR(__xludf.DUMMYFUNCTION("""COMPUTED_VALUE"""),"I")</f>
        <v>I</v>
      </c>
      <c r="G1940" s="114">
        <f ca="1">IFERROR(__xludf.DUMMYFUNCTION("""COMPUTED_VALUE"""),3)</f>
        <v>3</v>
      </c>
      <c r="H1940" s="112" t="str">
        <f ca="1"/>
        <v/>
      </c>
      <c r="I1940" s="112" t="str">
        <f ca="1"/>
        <v/>
      </c>
    </row>
    <row r="1941" spans="1:9" ht="13.2">
      <c r="A1941" s="109" t="str">
        <f ca="1">IFERROR(__xludf.DUMMYFUNCTION("""COMPUTED_VALUE"""),"SHR")</f>
        <v>SHR</v>
      </c>
      <c r="B1941" s="108" t="str">
        <f ca="1">IFERROR(__xludf.DUMMYFUNCTION("""COMPUTED_VALUE"""),"Louise Fitzgerald")</f>
        <v>Louise Fitzgerald</v>
      </c>
      <c r="C1941" s="109">
        <f ca="1">IFERROR(__xludf.DUMMYFUNCTION("""COMPUTED_VALUE"""),12)</f>
        <v>12</v>
      </c>
      <c r="D1941" s="109" t="str">
        <f ca="1">IFERROR(__xludf.DUMMYFUNCTION("""COMPUTED_VALUE"""),"G")</f>
        <v>G</v>
      </c>
      <c r="E1941" s="110" t="str">
        <f ca="1">IFERROR(__xludf.DUMMYFUNCTION("""COMPUTED_VALUE"""),"J")</f>
        <v>J</v>
      </c>
      <c r="F1941" s="114" t="str">
        <f ca="1">IFERROR(__xludf.DUMMYFUNCTION("""COMPUTED_VALUE"""),"I")</f>
        <v>I</v>
      </c>
      <c r="G1941" s="114">
        <f ca="1">IFERROR(__xludf.DUMMYFUNCTION("""COMPUTED_VALUE"""),3)</f>
        <v>3</v>
      </c>
      <c r="H1941" s="112" t="str">
        <f ca="1"/>
        <v>58.3</v>
      </c>
      <c r="I1941" s="112">
        <f ca="1"/>
        <v>58.3</v>
      </c>
    </row>
    <row r="1942" spans="1:9" ht="13.2">
      <c r="A1942" s="109" t="str">
        <f ca="1">IFERROR(__xludf.DUMMYFUNCTION("""COMPUTED_VALUE"""),"SHR")</f>
        <v>SHR</v>
      </c>
      <c r="B1942" s="108" t="str">
        <f ca="1">IFERROR(__xludf.DUMMYFUNCTION("""COMPUTED_VALUE"""),"Lucy Barker")</f>
        <v>Lucy Barker</v>
      </c>
      <c r="C1942" s="109">
        <f ca="1">IFERROR(__xludf.DUMMYFUNCTION("""COMPUTED_VALUE"""),11)</f>
        <v>11</v>
      </c>
      <c r="D1942" s="109" t="str">
        <f ca="1">IFERROR(__xludf.DUMMYFUNCTION("""COMPUTED_VALUE"""),"G")</f>
        <v>G</v>
      </c>
      <c r="E1942" s="110" t="str">
        <f ca="1">IFERROR(__xludf.DUMMYFUNCTION("""COMPUTED_VALUE"""),"J")</f>
        <v>J</v>
      </c>
      <c r="F1942" s="114" t="str">
        <f ca="1">IFERROR(__xludf.DUMMYFUNCTION("""COMPUTED_VALUE"""),"I")</f>
        <v>I</v>
      </c>
      <c r="G1942" s="114">
        <f ca="1">IFERROR(__xludf.DUMMYFUNCTION("""COMPUTED_VALUE"""),3)</f>
        <v>3</v>
      </c>
      <c r="H1942" s="112" t="str">
        <f ca="1"/>
        <v/>
      </c>
      <c r="I1942" s="112" t="str">
        <f ca="1"/>
        <v/>
      </c>
    </row>
    <row r="1943" spans="1:9" ht="13.2">
      <c r="A1943" s="109" t="str">
        <f ca="1">IFERROR(__xludf.DUMMYFUNCTION("""COMPUTED_VALUE"""),"SHR")</f>
        <v>SHR</v>
      </c>
      <c r="B1943" s="108" t="str">
        <f ca="1">IFERROR(__xludf.DUMMYFUNCTION("""COMPUTED_VALUE"""),"Parker Rice")</f>
        <v>Parker Rice</v>
      </c>
      <c r="C1943" s="109">
        <f ca="1">IFERROR(__xludf.DUMMYFUNCTION("""COMPUTED_VALUE"""),15)</f>
        <v>15</v>
      </c>
      <c r="D1943" s="109" t="str">
        <f ca="1">IFERROR(__xludf.DUMMYFUNCTION("""COMPUTED_VALUE"""),"B")</f>
        <v>B</v>
      </c>
      <c r="E1943" s="110" t="str">
        <f ca="1">IFERROR(__xludf.DUMMYFUNCTION("""COMPUTED_VALUE"""),"S")</f>
        <v>S</v>
      </c>
      <c r="F1943" s="114" t="str">
        <f ca="1">IFERROR(__xludf.DUMMYFUNCTION("""COMPUTED_VALUE"""),"S")</f>
        <v>S</v>
      </c>
      <c r="G1943" s="114">
        <f ca="1">IFERROR(__xludf.DUMMYFUNCTION("""COMPUTED_VALUE"""),3)</f>
        <v>3</v>
      </c>
      <c r="H1943" s="112" t="str">
        <f ca="1"/>
        <v/>
      </c>
      <c r="I1943" s="112" t="str">
        <f ca="1"/>
        <v/>
      </c>
    </row>
    <row r="1944" spans="1:9" ht="13.2">
      <c r="A1944" s="109" t="str">
        <f ca="1">IFERROR(__xludf.DUMMYFUNCTION("""COMPUTED_VALUE"""),"SHR")</f>
        <v>SHR</v>
      </c>
      <c r="B1944" s="108" t="str">
        <f ca="1">IFERROR(__xludf.DUMMYFUNCTION("""COMPUTED_VALUE"""),"Ginger Richards")</f>
        <v>Ginger Richards</v>
      </c>
      <c r="C1944" s="109">
        <f ca="1">IFERROR(__xludf.DUMMYFUNCTION("""COMPUTED_VALUE"""),16)</f>
        <v>16</v>
      </c>
      <c r="D1944" s="109" t="str">
        <f ca="1">IFERROR(__xludf.DUMMYFUNCTION("""COMPUTED_VALUE"""),"G")</f>
        <v>G</v>
      </c>
      <c r="E1944" s="110" t="str">
        <f ca="1">IFERROR(__xludf.DUMMYFUNCTION("""COMPUTED_VALUE"""),"S")</f>
        <v>S</v>
      </c>
      <c r="F1944" s="114" t="str">
        <f ca="1">IFERROR(__xludf.DUMMYFUNCTION("""COMPUTED_VALUE"""),"S")</f>
        <v>S</v>
      </c>
      <c r="G1944" s="114">
        <f ca="1">IFERROR(__xludf.DUMMYFUNCTION("""COMPUTED_VALUE"""),3)</f>
        <v>3</v>
      </c>
      <c r="H1944" s="112" t="str">
        <f ca="1"/>
        <v/>
      </c>
      <c r="I1944" s="112" t="str">
        <f ca="1"/>
        <v/>
      </c>
    </row>
    <row r="1945" spans="1:9" ht="13.2">
      <c r="A1945" s="109" t="str">
        <f ca="1">IFERROR(__xludf.DUMMYFUNCTION("""COMPUTED_VALUE"""),"SHR")</f>
        <v>SHR</v>
      </c>
      <c r="B1945" s="108" t="str">
        <f ca="1">IFERROR(__xludf.DUMMYFUNCTION("""COMPUTED_VALUE"""),"Mia Korin")</f>
        <v>Mia Korin</v>
      </c>
      <c r="C1945" s="109">
        <f ca="1">IFERROR(__xludf.DUMMYFUNCTION("""COMPUTED_VALUE"""),15)</f>
        <v>15</v>
      </c>
      <c r="D1945" s="109" t="str">
        <f ca="1">IFERROR(__xludf.DUMMYFUNCTION("""COMPUTED_VALUE"""),"G")</f>
        <v>G</v>
      </c>
      <c r="E1945" s="110" t="str">
        <f ca="1">IFERROR(__xludf.DUMMYFUNCTION("""COMPUTED_VALUE"""),"S")</f>
        <v>S</v>
      </c>
      <c r="F1945" s="114" t="str">
        <f ca="1">IFERROR(__xludf.DUMMYFUNCTION("""COMPUTED_VALUE"""),"S")</f>
        <v>S</v>
      </c>
      <c r="G1945" s="114">
        <f ca="1">IFERROR(__xludf.DUMMYFUNCTION("""COMPUTED_VALUE"""),3)</f>
        <v>3</v>
      </c>
      <c r="H1945" s="112" t="str">
        <f ca="1"/>
        <v/>
      </c>
      <c r="I1945" s="112" t="str">
        <f ca="1"/>
        <v/>
      </c>
    </row>
    <row r="1946" spans="1:9" ht="13.2">
      <c r="A1946" s="109" t="str">
        <f ca="1">IFERROR(__xludf.DUMMYFUNCTION("""COMPUTED_VALUE"""),"SHR")</f>
        <v>SHR</v>
      </c>
      <c r="B1946" s="108" t="str">
        <f ca="1">IFERROR(__xludf.DUMMYFUNCTION("""COMPUTED_VALUE"""),"Ocean Archambault")</f>
        <v>Ocean Archambault</v>
      </c>
      <c r="C1946" s="109">
        <f ca="1">IFERROR(__xludf.DUMMYFUNCTION("""COMPUTED_VALUE"""),15)</f>
        <v>15</v>
      </c>
      <c r="D1946" s="109" t="str">
        <f ca="1">IFERROR(__xludf.DUMMYFUNCTION("""COMPUTED_VALUE"""),"G")</f>
        <v>G</v>
      </c>
      <c r="E1946" s="110" t="str">
        <f ca="1">IFERROR(__xludf.DUMMYFUNCTION("""COMPUTED_VALUE"""),"S")</f>
        <v>S</v>
      </c>
      <c r="F1946" s="114" t="str">
        <f ca="1">IFERROR(__xludf.DUMMYFUNCTION("""COMPUTED_VALUE"""),"S")</f>
        <v>S</v>
      </c>
      <c r="G1946" s="114">
        <f ca="1">IFERROR(__xludf.DUMMYFUNCTION("""COMPUTED_VALUE"""),3)</f>
        <v>3</v>
      </c>
      <c r="H1946" s="112" t="str">
        <f ca="1"/>
        <v/>
      </c>
      <c r="I1946" s="112" t="str">
        <f ca="1"/>
        <v/>
      </c>
    </row>
    <row r="1947" spans="1:9" ht="13.2">
      <c r="A1947" s="109" t="str">
        <f ca="1">IFERROR(__xludf.DUMMYFUNCTION("""COMPUTED_VALUE"""),"SR")</f>
        <v>SR</v>
      </c>
      <c r="B1947" s="108" t="str">
        <f ca="1">IFERROR(__xludf.DUMMYFUNCTION("""COMPUTED_VALUE"""),"Alden Meholic")</f>
        <v>Alden Meholic</v>
      </c>
      <c r="C1947" s="109">
        <f ca="1">IFERROR(__xludf.DUMMYFUNCTION("""COMPUTED_VALUE"""),10)</f>
        <v>10</v>
      </c>
      <c r="D1947" s="109" t="str">
        <f ca="1">IFERROR(__xludf.DUMMYFUNCTION("""COMPUTED_VALUE"""),"B")</f>
        <v>B</v>
      </c>
      <c r="E1947" s="110" t="str">
        <f ca="1">IFERROR(__xludf.DUMMYFUNCTION("""COMPUTED_VALUE"""),"F")</f>
        <v>F</v>
      </c>
      <c r="F1947" s="114" t="str">
        <f ca="1">IFERROR(__xludf.DUMMYFUNCTION("""COMPUTED_VALUE"""),"J")</f>
        <v>J</v>
      </c>
      <c r="G1947" s="114">
        <f ca="1">IFERROR(__xludf.DUMMYFUNCTION("""COMPUTED_VALUE"""),1)</f>
        <v>1</v>
      </c>
      <c r="H1947" s="112" t="str">
        <f ca="1"/>
        <v/>
      </c>
      <c r="I1947" s="112" t="str">
        <f ca="1"/>
        <v/>
      </c>
    </row>
    <row r="1948" spans="1:9" ht="13.2">
      <c r="A1948" s="109" t="str">
        <f ca="1">IFERROR(__xludf.DUMMYFUNCTION("""COMPUTED_VALUE"""),"SR")</f>
        <v>SR</v>
      </c>
      <c r="B1948" s="108" t="str">
        <f ca="1">IFERROR(__xludf.DUMMYFUNCTION("""COMPUTED_VALUE"""),"Bryan Markey")</f>
        <v>Bryan Markey</v>
      </c>
      <c r="C1948" s="109">
        <f ca="1">IFERROR(__xludf.DUMMYFUNCTION("""COMPUTED_VALUE"""),10)</f>
        <v>10</v>
      </c>
      <c r="D1948" s="109" t="str">
        <f ca="1">IFERROR(__xludf.DUMMYFUNCTION("""COMPUTED_VALUE"""),"B")</f>
        <v>B</v>
      </c>
      <c r="E1948" s="110" t="str">
        <f ca="1">IFERROR(__xludf.DUMMYFUNCTION("""COMPUTED_VALUE"""),"F")</f>
        <v>F</v>
      </c>
      <c r="F1948" s="114" t="str">
        <f ca="1">IFERROR(__xludf.DUMMYFUNCTION("""COMPUTED_VALUE"""),"J")</f>
        <v>J</v>
      </c>
      <c r="G1948" s="114">
        <f ca="1">IFERROR(__xludf.DUMMYFUNCTION("""COMPUTED_VALUE"""),1)</f>
        <v>1</v>
      </c>
      <c r="H1948" s="112" t="str">
        <f ca="1"/>
        <v/>
      </c>
      <c r="I1948" s="112" t="str">
        <f ca="1"/>
        <v/>
      </c>
    </row>
    <row r="1949" spans="1:9" ht="13.2">
      <c r="A1949" s="109" t="str">
        <f ca="1">IFERROR(__xludf.DUMMYFUNCTION("""COMPUTED_VALUE"""),"SR")</f>
        <v>SR</v>
      </c>
      <c r="B1949" s="108" t="str">
        <f ca="1">IFERROR(__xludf.DUMMYFUNCTION("""COMPUTED_VALUE"""),"Dylan Wilson")</f>
        <v>Dylan Wilson</v>
      </c>
      <c r="C1949" s="109">
        <f ca="1">IFERROR(__xludf.DUMMYFUNCTION("""COMPUTED_VALUE"""),10)</f>
        <v>10</v>
      </c>
      <c r="D1949" s="109" t="str">
        <f ca="1">IFERROR(__xludf.DUMMYFUNCTION("""COMPUTED_VALUE"""),"B")</f>
        <v>B</v>
      </c>
      <c r="E1949" s="110" t="str">
        <f ca="1">IFERROR(__xludf.DUMMYFUNCTION("""COMPUTED_VALUE"""),"F")</f>
        <v>F</v>
      </c>
      <c r="F1949" s="114" t="str">
        <f ca="1">IFERROR(__xludf.DUMMYFUNCTION("""COMPUTED_VALUE"""),"J")</f>
        <v>J</v>
      </c>
      <c r="G1949" s="114">
        <f ca="1">IFERROR(__xludf.DUMMYFUNCTION("""COMPUTED_VALUE"""),1)</f>
        <v>1</v>
      </c>
      <c r="H1949" s="112" t="str">
        <f ca="1"/>
        <v/>
      </c>
      <c r="I1949" s="112" t="str">
        <f ca="1"/>
        <v/>
      </c>
    </row>
    <row r="1950" spans="1:9" ht="13.2">
      <c r="A1950" s="109" t="str">
        <f ca="1">IFERROR(__xludf.DUMMYFUNCTION("""COMPUTED_VALUE"""),"SR")</f>
        <v>SR</v>
      </c>
      <c r="B1950" s="108" t="str">
        <f ca="1">IFERROR(__xludf.DUMMYFUNCTION("""COMPUTED_VALUE"""),"Jackson Markey")</f>
        <v>Jackson Markey</v>
      </c>
      <c r="C1950" s="109">
        <f ca="1">IFERROR(__xludf.DUMMYFUNCTION("""COMPUTED_VALUE"""),6)</f>
        <v>6</v>
      </c>
      <c r="D1950" s="109" t="str">
        <f ca="1">IFERROR(__xludf.DUMMYFUNCTION("""COMPUTED_VALUE"""),"B")</f>
        <v>B</v>
      </c>
      <c r="E1950" s="110" t="str">
        <f ca="1">IFERROR(__xludf.DUMMYFUNCTION("""COMPUTED_VALUE"""),"F")</f>
        <v>F</v>
      </c>
      <c r="F1950" s="114" t="str">
        <f ca="1">IFERROR(__xludf.DUMMYFUNCTION("""COMPUTED_VALUE"""),"J")</f>
        <v>J</v>
      </c>
      <c r="G1950" s="114">
        <f ca="1">IFERROR(__xludf.DUMMYFUNCTION("""COMPUTED_VALUE"""),1)</f>
        <v>1</v>
      </c>
      <c r="H1950" s="112" t="str">
        <f ca="1"/>
        <v/>
      </c>
      <c r="I1950" s="112" t="str">
        <f ca="1"/>
        <v/>
      </c>
    </row>
    <row r="1951" spans="1:9" ht="13.2">
      <c r="A1951" s="109" t="str">
        <f ca="1">IFERROR(__xludf.DUMMYFUNCTION("""COMPUTED_VALUE"""),"SR")</f>
        <v>SR</v>
      </c>
      <c r="B1951" s="108" t="str">
        <f ca="1">IFERROR(__xludf.DUMMYFUNCTION("""COMPUTED_VALUE"""),"William Cummings")</f>
        <v>William Cummings</v>
      </c>
      <c r="C1951" s="109">
        <f ca="1">IFERROR(__xludf.DUMMYFUNCTION("""COMPUTED_VALUE"""),10)</f>
        <v>10</v>
      </c>
      <c r="D1951" s="109" t="str">
        <f ca="1">IFERROR(__xludf.DUMMYFUNCTION("""COMPUTED_VALUE"""),"B")</f>
        <v>B</v>
      </c>
      <c r="E1951" s="110" t="str">
        <f ca="1">IFERROR(__xludf.DUMMYFUNCTION("""COMPUTED_VALUE"""),"F")</f>
        <v>F</v>
      </c>
      <c r="F1951" s="114" t="str">
        <f ca="1">IFERROR(__xludf.DUMMYFUNCTION("""COMPUTED_VALUE"""),"J")</f>
        <v>J</v>
      </c>
      <c r="G1951" s="114">
        <f ca="1">IFERROR(__xludf.DUMMYFUNCTION("""COMPUTED_VALUE"""),1)</f>
        <v>1</v>
      </c>
      <c r="H1951" s="112" t="str">
        <f ca="1"/>
        <v>28.3</v>
      </c>
      <c r="I1951" s="112">
        <f ca="1"/>
        <v>28.3</v>
      </c>
    </row>
    <row r="1952" spans="1:9" ht="13.2">
      <c r="A1952" s="109" t="str">
        <f ca="1">IFERROR(__xludf.DUMMYFUNCTION("""COMPUTED_VALUE"""),"SR")</f>
        <v>SR</v>
      </c>
      <c r="B1952" s="108" t="str">
        <f ca="1">IFERROR(__xludf.DUMMYFUNCTION("""COMPUTED_VALUE"""),"Caroline Markey")</f>
        <v>Caroline Markey</v>
      </c>
      <c r="C1952" s="109">
        <f ca="1">IFERROR(__xludf.DUMMYFUNCTION("""COMPUTED_VALUE"""),7)</f>
        <v>7</v>
      </c>
      <c r="D1952" s="109" t="str">
        <f ca="1">IFERROR(__xludf.DUMMYFUNCTION("""COMPUTED_VALUE"""),"G")</f>
        <v>G</v>
      </c>
      <c r="E1952" s="110" t="str">
        <f ca="1">IFERROR(__xludf.DUMMYFUNCTION("""COMPUTED_VALUE"""),"F")</f>
        <v>F</v>
      </c>
      <c r="F1952" s="114" t="str">
        <f ca="1">IFERROR(__xludf.DUMMYFUNCTION("""COMPUTED_VALUE"""),"J")</f>
        <v>J</v>
      </c>
      <c r="G1952" s="114">
        <f ca="1">IFERROR(__xludf.DUMMYFUNCTION("""COMPUTED_VALUE"""),1)</f>
        <v>1</v>
      </c>
      <c r="H1952" s="112" t="str">
        <f ca="1"/>
        <v>23.45</v>
      </c>
      <c r="I1952" s="112">
        <f ca="1"/>
        <v>23.45</v>
      </c>
    </row>
    <row r="1953" spans="1:9" ht="13.2">
      <c r="A1953" s="109" t="str">
        <f ca="1">IFERROR(__xludf.DUMMYFUNCTION("""COMPUTED_VALUE"""),"SR")</f>
        <v>SR</v>
      </c>
      <c r="B1953" s="108" t="str">
        <f ca="1">IFERROR(__xludf.DUMMYFUNCTION("""COMPUTED_VALUE"""),"Caroline Wilson")</f>
        <v>Caroline Wilson</v>
      </c>
      <c r="C1953" s="109">
        <f ca="1">IFERROR(__xludf.DUMMYFUNCTION("""COMPUTED_VALUE"""),6)</f>
        <v>6</v>
      </c>
      <c r="D1953" s="109" t="str">
        <f ca="1">IFERROR(__xludf.DUMMYFUNCTION("""COMPUTED_VALUE"""),"G")</f>
        <v>G</v>
      </c>
      <c r="E1953" s="110" t="str">
        <f ca="1">IFERROR(__xludf.DUMMYFUNCTION("""COMPUTED_VALUE"""),"F")</f>
        <v>F</v>
      </c>
      <c r="F1953" s="114" t="str">
        <f ca="1">IFERROR(__xludf.DUMMYFUNCTION("""COMPUTED_VALUE"""),"J")</f>
        <v>J</v>
      </c>
      <c r="G1953" s="114">
        <f ca="1">IFERROR(__xludf.DUMMYFUNCTION("""COMPUTED_VALUE"""),1)</f>
        <v>1</v>
      </c>
      <c r="H1953" s="112" t="str">
        <f ca="1"/>
        <v/>
      </c>
      <c r="I1953" s="112" t="str">
        <f ca="1"/>
        <v/>
      </c>
    </row>
    <row r="1954" spans="1:9" ht="13.2">
      <c r="A1954" s="109" t="str">
        <f ca="1">IFERROR(__xludf.DUMMYFUNCTION("""COMPUTED_VALUE"""),"SR")</f>
        <v>SR</v>
      </c>
      <c r="B1954" s="108" t="str">
        <f ca="1">IFERROR(__xludf.DUMMYFUNCTION("""COMPUTED_VALUE"""),"Cora Bellomo")</f>
        <v>Cora Bellomo</v>
      </c>
      <c r="C1954" s="109">
        <f ca="1">IFERROR(__xludf.DUMMYFUNCTION("""COMPUTED_VALUE"""),8)</f>
        <v>8</v>
      </c>
      <c r="D1954" s="109" t="str">
        <f ca="1">IFERROR(__xludf.DUMMYFUNCTION("""COMPUTED_VALUE"""),"G")</f>
        <v>G</v>
      </c>
      <c r="E1954" s="110" t="str">
        <f ca="1">IFERROR(__xludf.DUMMYFUNCTION("""COMPUTED_VALUE"""),"F")</f>
        <v>F</v>
      </c>
      <c r="F1954" s="114" t="str">
        <f ca="1">IFERROR(__xludf.DUMMYFUNCTION("""COMPUTED_VALUE"""),"J")</f>
        <v>J</v>
      </c>
      <c r="G1954" s="114">
        <f ca="1">IFERROR(__xludf.DUMMYFUNCTION("""COMPUTED_VALUE"""),1)</f>
        <v>1</v>
      </c>
      <c r="H1954" s="112" t="str">
        <f ca="1"/>
        <v/>
      </c>
      <c r="I1954" s="112" t="str">
        <f ca="1"/>
        <v/>
      </c>
    </row>
    <row r="1955" spans="1:9" ht="13.2">
      <c r="A1955" s="109" t="str">
        <f ca="1">IFERROR(__xludf.DUMMYFUNCTION("""COMPUTED_VALUE"""),"SR")</f>
        <v>SR</v>
      </c>
      <c r="B1955" s="108" t="str">
        <f ca="1">IFERROR(__xludf.DUMMYFUNCTION("""COMPUTED_VALUE"""),"Kendall Wilson")</f>
        <v>Kendall Wilson</v>
      </c>
      <c r="C1955" s="109">
        <f ca="1">IFERROR(__xludf.DUMMYFUNCTION("""COMPUTED_VALUE"""),8)</f>
        <v>8</v>
      </c>
      <c r="D1955" s="109" t="str">
        <f ca="1">IFERROR(__xludf.DUMMYFUNCTION("""COMPUTED_VALUE"""),"G")</f>
        <v>G</v>
      </c>
      <c r="E1955" s="110" t="str">
        <f ca="1">IFERROR(__xludf.DUMMYFUNCTION("""COMPUTED_VALUE"""),"F")</f>
        <v>F</v>
      </c>
      <c r="F1955" s="114" t="str">
        <f ca="1">IFERROR(__xludf.DUMMYFUNCTION("""COMPUTED_VALUE"""),"J")</f>
        <v>J</v>
      </c>
      <c r="G1955" s="114">
        <f ca="1">IFERROR(__xludf.DUMMYFUNCTION("""COMPUTED_VALUE"""),1)</f>
        <v>1</v>
      </c>
      <c r="H1955" s="112" t="str">
        <f ca="1"/>
        <v/>
      </c>
      <c r="I1955" s="112" t="str">
        <f ca="1"/>
        <v/>
      </c>
    </row>
    <row r="1956" spans="1:9" ht="13.2">
      <c r="A1956" s="109" t="str">
        <f ca="1">IFERROR(__xludf.DUMMYFUNCTION("""COMPUTED_VALUE"""),"SR")</f>
        <v>SR</v>
      </c>
      <c r="B1956" s="108" t="str">
        <f ca="1">IFERROR(__xludf.DUMMYFUNCTION("""COMPUTED_VALUE"""),"Lydia Danielsen")</f>
        <v>Lydia Danielsen</v>
      </c>
      <c r="C1956" s="109">
        <f ca="1">IFERROR(__xludf.DUMMYFUNCTION("""COMPUTED_VALUE"""),7)</f>
        <v>7</v>
      </c>
      <c r="D1956" s="109" t="str">
        <f ca="1">IFERROR(__xludf.DUMMYFUNCTION("""COMPUTED_VALUE"""),"G")</f>
        <v>G</v>
      </c>
      <c r="E1956" s="110" t="str">
        <f ca="1">IFERROR(__xludf.DUMMYFUNCTION("""COMPUTED_VALUE"""),"F")</f>
        <v>F</v>
      </c>
      <c r="F1956" s="114" t="str">
        <f ca="1">IFERROR(__xludf.DUMMYFUNCTION("""COMPUTED_VALUE"""),"J")</f>
        <v>J</v>
      </c>
      <c r="G1956" s="114">
        <f ca="1">IFERROR(__xludf.DUMMYFUNCTION("""COMPUTED_VALUE"""),1)</f>
        <v>1</v>
      </c>
      <c r="H1956" s="112" t="str">
        <f ca="1"/>
        <v/>
      </c>
      <c r="I1956" s="112" t="str">
        <f ca="1"/>
        <v/>
      </c>
    </row>
    <row r="1957" spans="1:9" ht="13.2">
      <c r="A1957" s="109" t="str">
        <f ca="1">IFERROR(__xludf.DUMMYFUNCTION("""COMPUTED_VALUE"""),"SR")</f>
        <v>SR</v>
      </c>
      <c r="B1957" s="108" t="str">
        <f ca="1">IFERROR(__xludf.DUMMYFUNCTION("""COMPUTED_VALUE"""),"Sarah Beth Cummings")</f>
        <v>Sarah Beth Cummings</v>
      </c>
      <c r="C1957" s="109">
        <f ca="1">IFERROR(__xludf.DUMMYFUNCTION("""COMPUTED_VALUE"""),8)</f>
        <v>8</v>
      </c>
      <c r="D1957" s="109" t="str">
        <f ca="1">IFERROR(__xludf.DUMMYFUNCTION("""COMPUTED_VALUE"""),"G")</f>
        <v>G</v>
      </c>
      <c r="E1957" s="110" t="str">
        <f ca="1">IFERROR(__xludf.DUMMYFUNCTION("""COMPUTED_VALUE"""),"F")</f>
        <v>F</v>
      </c>
      <c r="F1957" s="114" t="str">
        <f ca="1">IFERROR(__xludf.DUMMYFUNCTION("""COMPUTED_VALUE"""),"J")</f>
        <v>J</v>
      </c>
      <c r="G1957" s="114">
        <f ca="1">IFERROR(__xludf.DUMMYFUNCTION("""COMPUTED_VALUE"""),1)</f>
        <v>1</v>
      </c>
      <c r="H1957" s="112" t="str">
        <f ca="1"/>
        <v>24.5</v>
      </c>
      <c r="I1957" s="112">
        <f ca="1"/>
        <v>24.5</v>
      </c>
    </row>
    <row r="1958" spans="1:9" ht="13.2">
      <c r="A1958" s="109" t="str">
        <f ca="1">IFERROR(__xludf.DUMMYFUNCTION("""COMPUTED_VALUE"""),"SR")</f>
        <v>SR</v>
      </c>
      <c r="B1958" s="108" t="str">
        <f ca="1">IFERROR(__xludf.DUMMYFUNCTION("""COMPUTED_VALUE"""),"Joseph Markey")</f>
        <v>Joseph Markey</v>
      </c>
      <c r="C1958" s="109">
        <f ca="1">IFERROR(__xludf.DUMMYFUNCTION("""COMPUTED_VALUE"""),13)</f>
        <v>13</v>
      </c>
      <c r="D1958" s="109" t="str">
        <f ca="1">IFERROR(__xludf.DUMMYFUNCTION("""COMPUTED_VALUE"""),"B")</f>
        <v>B</v>
      </c>
      <c r="E1958" s="110" t="str">
        <f ca="1">IFERROR(__xludf.DUMMYFUNCTION("""COMPUTED_VALUE"""),"I")</f>
        <v>I</v>
      </c>
      <c r="F1958" s="114" t="str">
        <f ca="1">IFERROR(__xludf.DUMMYFUNCTION("""COMPUTED_VALUE"""),"S")</f>
        <v>S</v>
      </c>
      <c r="G1958" s="114">
        <f ca="1">IFERROR(__xludf.DUMMYFUNCTION("""COMPUTED_VALUE"""),1)</f>
        <v>1</v>
      </c>
      <c r="H1958" s="112" t="str">
        <f ca="1"/>
        <v/>
      </c>
      <c r="I1958" s="112" t="str">
        <f ca="1"/>
        <v/>
      </c>
    </row>
    <row r="1959" spans="1:9" ht="13.2">
      <c r="A1959" s="109" t="str">
        <f ca="1">IFERROR(__xludf.DUMMYFUNCTION("""COMPUTED_VALUE"""),"SR")</f>
        <v>SR</v>
      </c>
      <c r="B1959" s="108" t="str">
        <f ca="1">IFERROR(__xludf.DUMMYFUNCTION("""COMPUTED_VALUE"""),"Nicholas Shivik")</f>
        <v>Nicholas Shivik</v>
      </c>
      <c r="C1959" s="109">
        <f ca="1">IFERROR(__xludf.DUMMYFUNCTION("""COMPUTED_VALUE"""),13)</f>
        <v>13</v>
      </c>
      <c r="D1959" s="109" t="str">
        <f ca="1">IFERROR(__xludf.DUMMYFUNCTION("""COMPUTED_VALUE"""),"B")</f>
        <v>B</v>
      </c>
      <c r="E1959" s="110" t="str">
        <f ca="1">IFERROR(__xludf.DUMMYFUNCTION("""COMPUTED_VALUE"""),"I")</f>
        <v>I</v>
      </c>
      <c r="F1959" s="114" t="str">
        <f ca="1">IFERROR(__xludf.DUMMYFUNCTION("""COMPUTED_VALUE"""),"S")</f>
        <v>S</v>
      </c>
      <c r="G1959" s="114">
        <f ca="1">IFERROR(__xludf.DUMMYFUNCTION("""COMPUTED_VALUE"""),1)</f>
        <v>1</v>
      </c>
      <c r="H1959" s="112" t="str">
        <f ca="1"/>
        <v/>
      </c>
      <c r="I1959" s="112" t="str">
        <f ca="1"/>
        <v/>
      </c>
    </row>
    <row r="1960" spans="1:9" ht="13.2">
      <c r="A1960" s="109" t="str">
        <f ca="1">IFERROR(__xludf.DUMMYFUNCTION("""COMPUTED_VALUE"""),"SR")</f>
        <v>SR</v>
      </c>
      <c r="B1960" s="108" t="str">
        <f ca="1">IFERROR(__xludf.DUMMYFUNCTION("""COMPUTED_VALUE"""),"Sean Walter")</f>
        <v>Sean Walter</v>
      </c>
      <c r="C1960" s="109">
        <f ca="1">IFERROR(__xludf.DUMMYFUNCTION("""COMPUTED_VALUE"""),14)</f>
        <v>14</v>
      </c>
      <c r="D1960" s="109" t="str">
        <f ca="1">IFERROR(__xludf.DUMMYFUNCTION("""COMPUTED_VALUE"""),"B")</f>
        <v>B</v>
      </c>
      <c r="E1960" s="110" t="str">
        <f ca="1">IFERROR(__xludf.DUMMYFUNCTION("""COMPUTED_VALUE"""),"I")</f>
        <v>I</v>
      </c>
      <c r="F1960" s="114" t="str">
        <f ca="1">IFERROR(__xludf.DUMMYFUNCTION("""COMPUTED_VALUE"""),"S")</f>
        <v>S</v>
      </c>
      <c r="G1960" s="114">
        <f ca="1">IFERROR(__xludf.DUMMYFUNCTION("""COMPUTED_VALUE"""),1)</f>
        <v>1</v>
      </c>
      <c r="H1960" s="112" t="str">
        <f ca="1"/>
        <v/>
      </c>
      <c r="I1960" s="112" t="str">
        <f ca="1"/>
        <v/>
      </c>
    </row>
    <row r="1961" spans="1:9" ht="13.2">
      <c r="A1961" s="109" t="str">
        <f ca="1">IFERROR(__xludf.DUMMYFUNCTION("""COMPUTED_VALUE"""),"SR")</f>
        <v>SR</v>
      </c>
      <c r="B1961" s="108" t="str">
        <f ca="1">IFERROR(__xludf.DUMMYFUNCTION("""COMPUTED_VALUE"""),"Tyler Nelson")</f>
        <v>Tyler Nelson</v>
      </c>
      <c r="C1961" s="109">
        <f ca="1">IFERROR(__xludf.DUMMYFUNCTION("""COMPUTED_VALUE"""),14)</f>
        <v>14</v>
      </c>
      <c r="D1961" s="109" t="str">
        <f ca="1">IFERROR(__xludf.DUMMYFUNCTION("""COMPUTED_VALUE"""),"B")</f>
        <v>B</v>
      </c>
      <c r="E1961" s="110" t="str">
        <f ca="1">IFERROR(__xludf.DUMMYFUNCTION("""COMPUTED_VALUE"""),"I")</f>
        <v>I</v>
      </c>
      <c r="F1961" s="114" t="str">
        <f ca="1">IFERROR(__xludf.DUMMYFUNCTION("""COMPUTED_VALUE"""),"S")</f>
        <v>S</v>
      </c>
      <c r="G1961" s="114">
        <f ca="1">IFERROR(__xludf.DUMMYFUNCTION("""COMPUTED_VALUE"""),1)</f>
        <v>1</v>
      </c>
      <c r="H1961" s="112" t="str">
        <f ca="1"/>
        <v/>
      </c>
      <c r="I1961" s="112" t="str">
        <f ca="1"/>
        <v/>
      </c>
    </row>
    <row r="1962" spans="1:9" ht="13.2">
      <c r="A1962" s="109" t="str">
        <f ca="1">IFERROR(__xludf.DUMMYFUNCTION("""COMPUTED_VALUE"""),"SR")</f>
        <v>SR</v>
      </c>
      <c r="B1962" s="108" t="str">
        <f ca="1">IFERROR(__xludf.DUMMYFUNCTION("""COMPUTED_VALUE"""),"Walker Littleton")</f>
        <v>Walker Littleton</v>
      </c>
      <c r="C1962" s="109">
        <f ca="1">IFERROR(__xludf.DUMMYFUNCTION("""COMPUTED_VALUE"""),13)</f>
        <v>13</v>
      </c>
      <c r="D1962" s="109" t="str">
        <f ca="1">IFERROR(__xludf.DUMMYFUNCTION("""COMPUTED_VALUE"""),"B")</f>
        <v>B</v>
      </c>
      <c r="E1962" s="110" t="str">
        <f ca="1">IFERROR(__xludf.DUMMYFUNCTION("""COMPUTED_VALUE"""),"I")</f>
        <v>I</v>
      </c>
      <c r="F1962" s="114" t="str">
        <f ca="1">IFERROR(__xludf.DUMMYFUNCTION("""COMPUTED_VALUE"""),"S")</f>
        <v>S</v>
      </c>
      <c r="G1962" s="114">
        <f ca="1">IFERROR(__xludf.DUMMYFUNCTION("""COMPUTED_VALUE"""),1)</f>
        <v>1</v>
      </c>
      <c r="H1962" s="112" t="str">
        <f ca="1"/>
        <v/>
      </c>
      <c r="I1962" s="112" t="str">
        <f ca="1"/>
        <v/>
      </c>
    </row>
    <row r="1963" spans="1:9" ht="13.2">
      <c r="A1963" s="109" t="str">
        <f ca="1">IFERROR(__xludf.DUMMYFUNCTION("""COMPUTED_VALUE"""),"SR")</f>
        <v>SR</v>
      </c>
      <c r="B1963" s="108" t="str">
        <f ca="1">IFERROR(__xludf.DUMMYFUNCTION("""COMPUTED_VALUE"""),"Alyssa Proulx")</f>
        <v>Alyssa Proulx</v>
      </c>
      <c r="C1963" s="109">
        <f ca="1">IFERROR(__xludf.DUMMYFUNCTION("""COMPUTED_VALUE"""),14)</f>
        <v>14</v>
      </c>
      <c r="D1963" s="109" t="str">
        <f ca="1">IFERROR(__xludf.DUMMYFUNCTION("""COMPUTED_VALUE"""),"G")</f>
        <v>G</v>
      </c>
      <c r="E1963" s="110" t="str">
        <f ca="1">IFERROR(__xludf.DUMMYFUNCTION("""COMPUTED_VALUE"""),"I")</f>
        <v>I</v>
      </c>
      <c r="F1963" s="114" t="str">
        <f ca="1">IFERROR(__xludf.DUMMYFUNCTION("""COMPUTED_VALUE"""),"S")</f>
        <v>S</v>
      </c>
      <c r="G1963" s="114">
        <f ca="1">IFERROR(__xludf.DUMMYFUNCTION("""COMPUTED_VALUE"""),1)</f>
        <v>1</v>
      </c>
      <c r="H1963" s="112" t="str">
        <f ca="1"/>
        <v/>
      </c>
      <c r="I1963" s="112" t="str">
        <f ca="1"/>
        <v/>
      </c>
    </row>
    <row r="1964" spans="1:9" ht="13.2">
      <c r="A1964" s="109" t="str">
        <f ca="1">IFERROR(__xludf.DUMMYFUNCTION("""COMPUTED_VALUE"""),"SR")</f>
        <v>SR</v>
      </c>
      <c r="B1964" s="108" t="str">
        <f ca="1">IFERROR(__xludf.DUMMYFUNCTION("""COMPUTED_VALUE"""),"Lincoln Novy")</f>
        <v>Lincoln Novy</v>
      </c>
      <c r="C1964" s="109">
        <f ca="1">IFERROR(__xludf.DUMMYFUNCTION("""COMPUTED_VALUE"""),12)</f>
        <v>12</v>
      </c>
      <c r="D1964" s="109" t="str">
        <f ca="1">IFERROR(__xludf.DUMMYFUNCTION("""COMPUTED_VALUE"""),"B")</f>
        <v>B</v>
      </c>
      <c r="E1964" s="110" t="str">
        <f ca="1">IFERROR(__xludf.DUMMYFUNCTION("""COMPUTED_VALUE"""),"J")</f>
        <v>J</v>
      </c>
      <c r="F1964" s="114" t="str">
        <f ca="1">IFERROR(__xludf.DUMMYFUNCTION("""COMPUTED_VALUE"""),"I")</f>
        <v>I</v>
      </c>
      <c r="G1964" s="114">
        <f ca="1">IFERROR(__xludf.DUMMYFUNCTION("""COMPUTED_VALUE"""),1)</f>
        <v>1</v>
      </c>
      <c r="H1964" s="112" t="str">
        <f ca="1"/>
        <v/>
      </c>
      <c r="I1964" s="112" t="str">
        <f ca="1"/>
        <v/>
      </c>
    </row>
    <row r="1965" spans="1:9" ht="13.2">
      <c r="A1965" s="109" t="str">
        <f ca="1">IFERROR(__xludf.DUMMYFUNCTION("""COMPUTED_VALUE"""),"SR")</f>
        <v>SR</v>
      </c>
      <c r="B1965" s="108" t="str">
        <f ca="1">IFERROR(__xludf.DUMMYFUNCTION("""COMPUTED_VALUE"""),"Annie Keller")</f>
        <v>Annie Keller</v>
      </c>
      <c r="C1965" s="109">
        <f ca="1">IFERROR(__xludf.DUMMYFUNCTION("""COMPUTED_VALUE"""),12)</f>
        <v>12</v>
      </c>
      <c r="D1965" s="109" t="str">
        <f ca="1">IFERROR(__xludf.DUMMYFUNCTION("""COMPUTED_VALUE"""),"G")</f>
        <v>G</v>
      </c>
      <c r="E1965" s="110" t="str">
        <f ca="1">IFERROR(__xludf.DUMMYFUNCTION("""COMPUTED_VALUE"""),"J")</f>
        <v>J</v>
      </c>
      <c r="F1965" s="114" t="str">
        <f ca="1">IFERROR(__xludf.DUMMYFUNCTION("""COMPUTED_VALUE"""),"I")</f>
        <v>I</v>
      </c>
      <c r="G1965" s="114">
        <f ca="1">IFERROR(__xludf.DUMMYFUNCTION("""COMPUTED_VALUE"""),1)</f>
        <v>1</v>
      </c>
      <c r="H1965" s="112" t="str">
        <f ca="1"/>
        <v/>
      </c>
      <c r="I1965" s="112" t="str">
        <f ca="1"/>
        <v/>
      </c>
    </row>
    <row r="1966" spans="1:9" ht="13.2">
      <c r="A1966" s="109" t="str">
        <f ca="1">IFERROR(__xludf.DUMMYFUNCTION("""COMPUTED_VALUE"""),"SR")</f>
        <v>SR</v>
      </c>
      <c r="B1966" s="108" t="str">
        <f ca="1">IFERROR(__xludf.DUMMYFUNCTION("""COMPUTED_VALUE"""),"Karly Proulx")</f>
        <v>Karly Proulx</v>
      </c>
      <c r="C1966" s="109">
        <f ca="1">IFERROR(__xludf.DUMMYFUNCTION("""COMPUTED_VALUE"""),12)</f>
        <v>12</v>
      </c>
      <c r="D1966" s="109" t="str">
        <f ca="1">IFERROR(__xludf.DUMMYFUNCTION("""COMPUTED_VALUE"""),"G")</f>
        <v>G</v>
      </c>
      <c r="E1966" s="110" t="str">
        <f ca="1">IFERROR(__xludf.DUMMYFUNCTION("""COMPUTED_VALUE"""),"J")</f>
        <v>J</v>
      </c>
      <c r="F1966" s="114" t="str">
        <f ca="1">IFERROR(__xludf.DUMMYFUNCTION("""COMPUTED_VALUE"""),"I")</f>
        <v>I</v>
      </c>
      <c r="G1966" s="114">
        <f ca="1">IFERROR(__xludf.DUMMYFUNCTION("""COMPUTED_VALUE"""),1)</f>
        <v>1</v>
      </c>
      <c r="H1966" s="112" t="str">
        <f ca="1"/>
        <v/>
      </c>
      <c r="I1966" s="112" t="str">
        <f ca="1"/>
        <v/>
      </c>
    </row>
    <row r="1967" spans="1:9" ht="13.2">
      <c r="A1967" s="109" t="str">
        <f ca="1">IFERROR(__xludf.DUMMYFUNCTION("""COMPUTED_VALUE"""),"SR")</f>
        <v>SR</v>
      </c>
      <c r="B1967" s="108" t="str">
        <f ca="1">IFERROR(__xludf.DUMMYFUNCTION("""COMPUTED_VALUE"""),"Chris Suppa")</f>
        <v>Chris Suppa</v>
      </c>
      <c r="C1967" s="109">
        <f ca="1">IFERROR(__xludf.DUMMYFUNCTION("""COMPUTED_VALUE"""),19)</f>
        <v>19</v>
      </c>
      <c r="D1967" s="109" t="str">
        <f ca="1">IFERROR(__xludf.DUMMYFUNCTION("""COMPUTED_VALUE"""),"B")</f>
        <v>B</v>
      </c>
      <c r="E1967" s="110" t="str">
        <f ca="1">IFERROR(__xludf.DUMMYFUNCTION("""COMPUTED_VALUE"""),"S")</f>
        <v>S</v>
      </c>
      <c r="F1967" s="114" t="str">
        <f ca="1">IFERROR(__xludf.DUMMYFUNCTION("""COMPUTED_VALUE"""),"S")</f>
        <v>S</v>
      </c>
      <c r="G1967" s="114">
        <f ca="1">IFERROR(__xludf.DUMMYFUNCTION("""COMPUTED_VALUE"""),1)</f>
        <v>1</v>
      </c>
      <c r="H1967" s="112" t="str">
        <f ca="1"/>
        <v/>
      </c>
      <c r="I1967" s="112" t="str">
        <f ca="1"/>
        <v/>
      </c>
    </row>
    <row r="1968" spans="1:9" ht="13.2">
      <c r="A1968" s="109" t="str">
        <f ca="1">IFERROR(__xludf.DUMMYFUNCTION("""COMPUTED_VALUE"""),"SR")</f>
        <v>SR</v>
      </c>
      <c r="B1968" s="108" t="str">
        <f ca="1">IFERROR(__xludf.DUMMYFUNCTION("""COMPUTED_VALUE"""),"Luke Shivik")</f>
        <v>Luke Shivik</v>
      </c>
      <c r="C1968" s="109">
        <f ca="1">IFERROR(__xludf.DUMMYFUNCTION("""COMPUTED_VALUE"""),17)</f>
        <v>17</v>
      </c>
      <c r="D1968" s="109" t="str">
        <f ca="1">IFERROR(__xludf.DUMMYFUNCTION("""COMPUTED_VALUE"""),"B")</f>
        <v>B</v>
      </c>
      <c r="E1968" s="110" t="str">
        <f ca="1">IFERROR(__xludf.DUMMYFUNCTION("""COMPUTED_VALUE"""),"S")</f>
        <v>S</v>
      </c>
      <c r="F1968" s="114" t="str">
        <f ca="1">IFERROR(__xludf.DUMMYFUNCTION("""COMPUTED_VALUE"""),"S")</f>
        <v>S</v>
      </c>
      <c r="G1968" s="114">
        <f ca="1">IFERROR(__xludf.DUMMYFUNCTION("""COMPUTED_VALUE"""),1)</f>
        <v>1</v>
      </c>
      <c r="H1968" s="112" t="str">
        <f ca="1"/>
        <v/>
      </c>
      <c r="I1968" s="112" t="str">
        <f ca="1"/>
        <v/>
      </c>
    </row>
    <row r="1969" spans="1:9" ht="13.2">
      <c r="A1969" s="109" t="str">
        <f ca="1">IFERROR(__xludf.DUMMYFUNCTION("""COMPUTED_VALUE"""),"SR")</f>
        <v>SR</v>
      </c>
      <c r="B1969" s="108" t="str">
        <f ca="1">IFERROR(__xludf.DUMMYFUNCTION("""COMPUTED_VALUE"""),"Matthew Gelles")</f>
        <v>Matthew Gelles</v>
      </c>
      <c r="C1969" s="109">
        <f ca="1">IFERROR(__xludf.DUMMYFUNCTION("""COMPUTED_VALUE"""),17)</f>
        <v>17</v>
      </c>
      <c r="D1969" s="109" t="str">
        <f ca="1">IFERROR(__xludf.DUMMYFUNCTION("""COMPUTED_VALUE"""),"B")</f>
        <v>B</v>
      </c>
      <c r="E1969" s="110" t="str">
        <f ca="1">IFERROR(__xludf.DUMMYFUNCTION("""COMPUTED_VALUE"""),"S")</f>
        <v>S</v>
      </c>
      <c r="F1969" s="114" t="str">
        <f ca="1">IFERROR(__xludf.DUMMYFUNCTION("""COMPUTED_VALUE"""),"S")</f>
        <v>S</v>
      </c>
      <c r="G1969" s="114">
        <f ca="1">IFERROR(__xludf.DUMMYFUNCTION("""COMPUTED_VALUE"""),1)</f>
        <v>1</v>
      </c>
      <c r="H1969" s="112" t="str">
        <f ca="1"/>
        <v/>
      </c>
      <c r="I1969" s="112" t="str">
        <f ca="1"/>
        <v/>
      </c>
    </row>
    <row r="1970" spans="1:9" ht="13.2">
      <c r="A1970" s="109" t="str">
        <f ca="1">IFERROR(__xludf.DUMMYFUNCTION("""COMPUTED_VALUE"""),"SR")</f>
        <v>SR</v>
      </c>
      <c r="B1970" s="108" t="str">
        <f ca="1">IFERROR(__xludf.DUMMYFUNCTION("""COMPUTED_VALUE"""),"Matthew Mitros")</f>
        <v>Matthew Mitros</v>
      </c>
      <c r="C1970" s="109">
        <f ca="1">IFERROR(__xludf.DUMMYFUNCTION("""COMPUTED_VALUE"""),18)</f>
        <v>18</v>
      </c>
      <c r="D1970" s="109" t="str">
        <f ca="1">IFERROR(__xludf.DUMMYFUNCTION("""COMPUTED_VALUE"""),"B")</f>
        <v>B</v>
      </c>
      <c r="E1970" s="110" t="str">
        <f ca="1">IFERROR(__xludf.DUMMYFUNCTION("""COMPUTED_VALUE"""),"S")</f>
        <v>S</v>
      </c>
      <c r="F1970" s="114" t="str">
        <f ca="1">IFERROR(__xludf.DUMMYFUNCTION("""COMPUTED_VALUE"""),"S")</f>
        <v>S</v>
      </c>
      <c r="G1970" s="114">
        <f ca="1">IFERROR(__xludf.DUMMYFUNCTION("""COMPUTED_VALUE"""),1)</f>
        <v>1</v>
      </c>
      <c r="H1970" s="112" t="str">
        <f ca="1"/>
        <v/>
      </c>
      <c r="I1970" s="112" t="str">
        <f ca="1"/>
        <v/>
      </c>
    </row>
    <row r="1971" spans="1:9" ht="13.2">
      <c r="A1971" s="109" t="str">
        <f ca="1">IFERROR(__xludf.DUMMYFUNCTION("""COMPUTED_VALUE"""),"SR")</f>
        <v>SR</v>
      </c>
      <c r="B1971" s="108" t="str">
        <f ca="1">IFERROR(__xludf.DUMMYFUNCTION("""COMPUTED_VALUE"""),"Sam Flory")</f>
        <v>Sam Flory</v>
      </c>
      <c r="C1971" s="109">
        <f ca="1">IFERROR(__xludf.DUMMYFUNCTION("""COMPUTED_VALUE"""),18)</f>
        <v>18</v>
      </c>
      <c r="D1971" s="109" t="str">
        <f ca="1">IFERROR(__xludf.DUMMYFUNCTION("""COMPUTED_VALUE"""),"B")</f>
        <v>B</v>
      </c>
      <c r="E1971" s="110" t="str">
        <f ca="1">IFERROR(__xludf.DUMMYFUNCTION("""COMPUTED_VALUE"""),"S")</f>
        <v>S</v>
      </c>
      <c r="F1971" s="114" t="str">
        <f ca="1">IFERROR(__xludf.DUMMYFUNCTION("""COMPUTED_VALUE"""),"S")</f>
        <v>S</v>
      </c>
      <c r="G1971" s="114">
        <f ca="1">IFERROR(__xludf.DUMMYFUNCTION("""COMPUTED_VALUE"""),1)</f>
        <v>1</v>
      </c>
      <c r="H1971" s="112" t="str">
        <f ca="1"/>
        <v/>
      </c>
      <c r="I1971" s="112" t="str">
        <f ca="1"/>
        <v/>
      </c>
    </row>
    <row r="1972" spans="1:9" ht="13.2">
      <c r="A1972" s="109" t="str">
        <f ca="1">IFERROR(__xludf.DUMMYFUNCTION("""COMPUTED_VALUE"""),"SR")</f>
        <v>SR</v>
      </c>
      <c r="B1972" s="108" t="str">
        <f ca="1">IFERROR(__xludf.DUMMYFUNCTION("""COMPUTED_VALUE"""),"Amanda Stalfort")</f>
        <v>Amanda Stalfort</v>
      </c>
      <c r="C1972" s="109">
        <f ca="1">IFERROR(__xludf.DUMMYFUNCTION("""COMPUTED_VALUE"""),16)</f>
        <v>16</v>
      </c>
      <c r="D1972" s="109" t="str">
        <f ca="1">IFERROR(__xludf.DUMMYFUNCTION("""COMPUTED_VALUE"""),"G")</f>
        <v>G</v>
      </c>
      <c r="E1972" s="110" t="str">
        <f ca="1">IFERROR(__xludf.DUMMYFUNCTION("""COMPUTED_VALUE"""),"S")</f>
        <v>S</v>
      </c>
      <c r="F1972" s="114" t="str">
        <f ca="1">IFERROR(__xludf.DUMMYFUNCTION("""COMPUTED_VALUE"""),"S")</f>
        <v>S</v>
      </c>
      <c r="G1972" s="114">
        <f ca="1">IFERROR(__xludf.DUMMYFUNCTION("""COMPUTED_VALUE"""),1)</f>
        <v>1</v>
      </c>
      <c r="H1972" s="112" t="str">
        <f ca="1"/>
        <v/>
      </c>
      <c r="I1972" s="112" t="str">
        <f ca="1"/>
        <v/>
      </c>
    </row>
    <row r="1973" spans="1:9" ht="13.2">
      <c r="A1973" s="109" t="str">
        <f ca="1">IFERROR(__xludf.DUMMYFUNCTION("""COMPUTED_VALUE"""),"SR")</f>
        <v>SR</v>
      </c>
      <c r="B1973" s="108" t="str">
        <f ca="1">IFERROR(__xludf.DUMMYFUNCTION("""COMPUTED_VALUE"""),"Anna Littleton")</f>
        <v>Anna Littleton</v>
      </c>
      <c r="C1973" s="109">
        <f ca="1">IFERROR(__xludf.DUMMYFUNCTION("""COMPUTED_VALUE"""),15)</f>
        <v>15</v>
      </c>
      <c r="D1973" s="109" t="str">
        <f ca="1">IFERROR(__xludf.DUMMYFUNCTION("""COMPUTED_VALUE"""),"G")</f>
        <v>G</v>
      </c>
      <c r="E1973" s="110" t="str">
        <f ca="1">IFERROR(__xludf.DUMMYFUNCTION("""COMPUTED_VALUE"""),"S")</f>
        <v>S</v>
      </c>
      <c r="F1973" s="114" t="str">
        <f ca="1">IFERROR(__xludf.DUMMYFUNCTION("""COMPUTED_VALUE"""),"S")</f>
        <v>S</v>
      </c>
      <c r="G1973" s="114">
        <f ca="1">IFERROR(__xludf.DUMMYFUNCTION("""COMPUTED_VALUE"""),1)</f>
        <v>1</v>
      </c>
      <c r="H1973" s="112" t="str">
        <f ca="1"/>
        <v/>
      </c>
      <c r="I1973" s="112" t="str">
        <f ca="1"/>
        <v/>
      </c>
    </row>
    <row r="1974" spans="1:9" ht="13.2">
      <c r="A1974" s="109" t="str">
        <f ca="1">IFERROR(__xludf.DUMMYFUNCTION("""COMPUTED_VALUE"""),"SR")</f>
        <v>SR</v>
      </c>
      <c r="B1974" s="108" t="str">
        <f ca="1">IFERROR(__xludf.DUMMYFUNCTION("""COMPUTED_VALUE"""),"Claire Scadron")</f>
        <v>Claire Scadron</v>
      </c>
      <c r="C1974" s="109">
        <f ca="1">IFERROR(__xludf.DUMMYFUNCTION("""COMPUTED_VALUE"""),18)</f>
        <v>18</v>
      </c>
      <c r="D1974" s="109" t="str">
        <f ca="1">IFERROR(__xludf.DUMMYFUNCTION("""COMPUTED_VALUE"""),"G")</f>
        <v>G</v>
      </c>
      <c r="E1974" s="110" t="str">
        <f ca="1">IFERROR(__xludf.DUMMYFUNCTION("""COMPUTED_VALUE"""),"S")</f>
        <v>S</v>
      </c>
      <c r="F1974" s="114" t="str">
        <f ca="1">IFERROR(__xludf.DUMMYFUNCTION("""COMPUTED_VALUE"""),"S")</f>
        <v>S</v>
      </c>
      <c r="G1974" s="114">
        <f ca="1">IFERROR(__xludf.DUMMYFUNCTION("""COMPUTED_VALUE"""),1)</f>
        <v>1</v>
      </c>
      <c r="H1974" s="112" t="str">
        <f ca="1"/>
        <v/>
      </c>
      <c r="I1974" s="112" t="str">
        <f ca="1"/>
        <v/>
      </c>
    </row>
    <row r="1975" spans="1:9" ht="13.2">
      <c r="A1975" s="109" t="str">
        <f ca="1">IFERROR(__xludf.DUMMYFUNCTION("""COMPUTED_VALUE"""),"SR")</f>
        <v>SR</v>
      </c>
      <c r="B1975" s="108" t="str">
        <f ca="1">IFERROR(__xludf.DUMMYFUNCTION("""COMPUTED_VALUE"""),"Madeline Hitchcock")</f>
        <v>Madeline Hitchcock</v>
      </c>
      <c r="C1975" s="109">
        <f ca="1">IFERROR(__xludf.DUMMYFUNCTION("""COMPUTED_VALUE"""),17)</f>
        <v>17</v>
      </c>
      <c r="D1975" s="109" t="str">
        <f ca="1">IFERROR(__xludf.DUMMYFUNCTION("""COMPUTED_VALUE"""),"G")</f>
        <v>G</v>
      </c>
      <c r="E1975" s="110" t="str">
        <f ca="1">IFERROR(__xludf.DUMMYFUNCTION("""COMPUTED_VALUE"""),"S")</f>
        <v>S</v>
      </c>
      <c r="F1975" s="114" t="str">
        <f ca="1">IFERROR(__xludf.DUMMYFUNCTION("""COMPUTED_VALUE"""),"S")</f>
        <v>S</v>
      </c>
      <c r="G1975" s="114">
        <f ca="1">IFERROR(__xludf.DUMMYFUNCTION("""COMPUTED_VALUE"""),1)</f>
        <v>1</v>
      </c>
      <c r="H1975" s="112" t="str">
        <f ca="1"/>
        <v/>
      </c>
      <c r="I1975" s="112" t="str">
        <f ca="1"/>
        <v/>
      </c>
    </row>
    <row r="1976" spans="1:9" ht="13.2">
      <c r="A1976" s="109" t="str">
        <f ca="1">IFERROR(__xludf.DUMMYFUNCTION("""COMPUTED_VALUE"""),"SR")</f>
        <v>SR</v>
      </c>
      <c r="B1976" s="108" t="str">
        <f ca="1">IFERROR(__xludf.DUMMYFUNCTION("""COMPUTED_VALUE"""),"Meghan Shivik")</f>
        <v>Meghan Shivik</v>
      </c>
      <c r="C1976" s="109">
        <f ca="1">IFERROR(__xludf.DUMMYFUNCTION("""COMPUTED_VALUE"""),15)</f>
        <v>15</v>
      </c>
      <c r="D1976" s="109" t="str">
        <f ca="1">IFERROR(__xludf.DUMMYFUNCTION("""COMPUTED_VALUE"""),"G")</f>
        <v>G</v>
      </c>
      <c r="E1976" s="110" t="str">
        <f ca="1">IFERROR(__xludf.DUMMYFUNCTION("""COMPUTED_VALUE"""),"S")</f>
        <v>S</v>
      </c>
      <c r="F1976" s="114" t="str">
        <f ca="1">IFERROR(__xludf.DUMMYFUNCTION("""COMPUTED_VALUE"""),"S")</f>
        <v>S</v>
      </c>
      <c r="G1976" s="114">
        <f ca="1">IFERROR(__xludf.DUMMYFUNCTION("""COMPUTED_VALUE"""),1)</f>
        <v>1</v>
      </c>
      <c r="H1976" s="112" t="str">
        <f ca="1"/>
        <v/>
      </c>
      <c r="I1976" s="112" t="str">
        <f ca="1"/>
        <v/>
      </c>
    </row>
    <row r="1977" spans="1:9" ht="13.2">
      <c r="A1977" s="109" t="str">
        <f ca="1">IFERROR(__xludf.DUMMYFUNCTION("""COMPUTED_VALUE"""),"SR")</f>
        <v>SR</v>
      </c>
      <c r="B1977" s="108" t="str">
        <f ca="1">IFERROR(__xludf.DUMMYFUNCTION("""COMPUTED_VALUE"""),"Reagan McHugh")</f>
        <v>Reagan McHugh</v>
      </c>
      <c r="C1977" s="109">
        <f ca="1">IFERROR(__xludf.DUMMYFUNCTION("""COMPUTED_VALUE"""),19)</f>
        <v>19</v>
      </c>
      <c r="D1977" s="109" t="str">
        <f ca="1">IFERROR(__xludf.DUMMYFUNCTION("""COMPUTED_VALUE"""),"G")</f>
        <v>G</v>
      </c>
      <c r="E1977" s="110" t="str">
        <f ca="1">IFERROR(__xludf.DUMMYFUNCTION("""COMPUTED_VALUE"""),"S")</f>
        <v>S</v>
      </c>
      <c r="F1977" s="114" t="str">
        <f ca="1">IFERROR(__xludf.DUMMYFUNCTION("""COMPUTED_VALUE"""),"S")</f>
        <v>S</v>
      </c>
      <c r="G1977" s="114">
        <f ca="1">IFERROR(__xludf.DUMMYFUNCTION("""COMPUTED_VALUE"""),1)</f>
        <v>1</v>
      </c>
      <c r="H1977" s="112" t="str">
        <f ca="1"/>
        <v/>
      </c>
      <c r="I1977" s="112" t="str">
        <f ca="1"/>
        <v/>
      </c>
    </row>
    <row r="1978" spans="1:9" ht="13.2">
      <c r="A1978" s="109" t="str">
        <f ca="1">IFERROR(__xludf.DUMMYFUNCTION("""COMPUTED_VALUE"""),"SRA")</f>
        <v>SRA</v>
      </c>
      <c r="B1978" s="108" t="str">
        <f ca="1">IFERROR(__xludf.DUMMYFUNCTION("""COMPUTED_VALUE"""),"Collin Christ")</f>
        <v>Collin Christ</v>
      </c>
      <c r="C1978" s="109">
        <f ca="1">IFERROR(__xludf.DUMMYFUNCTION("""COMPUTED_VALUE"""),8)</f>
        <v>8</v>
      </c>
      <c r="D1978" s="109" t="str">
        <f ca="1">IFERROR(__xludf.DUMMYFUNCTION("""COMPUTED_VALUE"""),"B")</f>
        <v>B</v>
      </c>
      <c r="E1978" s="110" t="str">
        <f ca="1">IFERROR(__xludf.DUMMYFUNCTION("""COMPUTED_VALUE"""),"F")</f>
        <v>F</v>
      </c>
      <c r="F1978" s="114" t="str">
        <f ca="1">IFERROR(__xludf.DUMMYFUNCTION("""COMPUTED_VALUE"""),"J")</f>
        <v>J</v>
      </c>
      <c r="G1978" s="114">
        <f ca="1">IFERROR(__xludf.DUMMYFUNCTION("""COMPUTED_VALUE"""),7)</f>
        <v>7</v>
      </c>
      <c r="H1978" s="112" t="str">
        <f ca="1"/>
        <v/>
      </c>
      <c r="I1978" s="112" t="str">
        <f ca="1"/>
        <v/>
      </c>
    </row>
    <row r="1979" spans="1:9" ht="13.2">
      <c r="A1979" s="109" t="str">
        <f ca="1">IFERROR(__xludf.DUMMYFUNCTION("""COMPUTED_VALUE"""),"SRA")</f>
        <v>SRA</v>
      </c>
      <c r="B1979" s="108" t="str">
        <f ca="1">IFERROR(__xludf.DUMMYFUNCTION("""COMPUTED_VALUE"""),"Finn Jackson")</f>
        <v>Finn Jackson</v>
      </c>
      <c r="C1979" s="109">
        <f ca="1">IFERROR(__xludf.DUMMYFUNCTION("""COMPUTED_VALUE"""),6)</f>
        <v>6</v>
      </c>
      <c r="D1979" s="109" t="str">
        <f ca="1">IFERROR(__xludf.DUMMYFUNCTION("""COMPUTED_VALUE"""),"B")</f>
        <v>B</v>
      </c>
      <c r="E1979" s="110" t="str">
        <f ca="1">IFERROR(__xludf.DUMMYFUNCTION("""COMPUTED_VALUE"""),"F")</f>
        <v>F</v>
      </c>
      <c r="F1979" s="114" t="str">
        <f ca="1">IFERROR(__xludf.DUMMYFUNCTION("""COMPUTED_VALUE"""),"J")</f>
        <v>J</v>
      </c>
      <c r="G1979" s="114">
        <f ca="1">IFERROR(__xludf.DUMMYFUNCTION("""COMPUTED_VALUE"""),7)</f>
        <v>7</v>
      </c>
      <c r="H1979" s="112" t="str">
        <f ca="1"/>
        <v>27.55</v>
      </c>
      <c r="I1979" s="112">
        <f ca="1"/>
        <v>27.55</v>
      </c>
    </row>
    <row r="1980" spans="1:9" ht="13.2">
      <c r="A1980" s="109" t="str">
        <f ca="1">IFERROR(__xludf.DUMMYFUNCTION("""COMPUTED_VALUE"""),"SRA")</f>
        <v>SRA</v>
      </c>
      <c r="B1980" s="108" t="str">
        <f ca="1">IFERROR(__xludf.DUMMYFUNCTION("""COMPUTED_VALUE"""),"Finn Price")</f>
        <v>Finn Price</v>
      </c>
      <c r="C1980" s="109">
        <f ca="1">IFERROR(__xludf.DUMMYFUNCTION("""COMPUTED_VALUE"""),7)</f>
        <v>7</v>
      </c>
      <c r="D1980" s="109" t="str">
        <f ca="1">IFERROR(__xludf.DUMMYFUNCTION("""COMPUTED_VALUE"""),"B")</f>
        <v>B</v>
      </c>
      <c r="E1980" s="110" t="str">
        <f ca="1">IFERROR(__xludf.DUMMYFUNCTION("""COMPUTED_VALUE"""),"F")</f>
        <v>F</v>
      </c>
      <c r="F1980" s="114" t="str">
        <f ca="1">IFERROR(__xludf.DUMMYFUNCTION("""COMPUTED_VALUE"""),"J")</f>
        <v>J</v>
      </c>
      <c r="G1980" s="114">
        <f ca="1">IFERROR(__xludf.DUMMYFUNCTION("""COMPUTED_VALUE"""),7)</f>
        <v>7</v>
      </c>
      <c r="H1980" s="112" t="str">
        <f ca="1"/>
        <v/>
      </c>
      <c r="I1980" s="112" t="str">
        <f ca="1"/>
        <v/>
      </c>
    </row>
    <row r="1981" spans="1:9" ht="13.2">
      <c r="A1981" s="109" t="str">
        <f ca="1">IFERROR(__xludf.DUMMYFUNCTION("""COMPUTED_VALUE"""),"SRA")</f>
        <v>SRA</v>
      </c>
      <c r="B1981" s="108" t="str">
        <f ca="1">IFERROR(__xludf.DUMMYFUNCTION("""COMPUTED_VALUE"""),"Grayson Morrisette")</f>
        <v>Grayson Morrisette</v>
      </c>
      <c r="C1981" s="109">
        <f ca="1">IFERROR(__xludf.DUMMYFUNCTION("""COMPUTED_VALUE"""),10)</f>
        <v>10</v>
      </c>
      <c r="D1981" s="109" t="str">
        <f ca="1">IFERROR(__xludf.DUMMYFUNCTION("""COMPUTED_VALUE"""),"B")</f>
        <v>B</v>
      </c>
      <c r="E1981" s="110" t="str">
        <f ca="1">IFERROR(__xludf.DUMMYFUNCTION("""COMPUTED_VALUE"""),"F")</f>
        <v>F</v>
      </c>
      <c r="F1981" s="114" t="str">
        <f ca="1">IFERROR(__xludf.DUMMYFUNCTION("""COMPUTED_VALUE"""),"J")</f>
        <v>J</v>
      </c>
      <c r="G1981" s="114">
        <f ca="1">IFERROR(__xludf.DUMMYFUNCTION("""COMPUTED_VALUE"""),7)</f>
        <v>7</v>
      </c>
      <c r="H1981" s="112" t="str">
        <f ca="1"/>
        <v/>
      </c>
      <c r="I1981" s="112" t="str">
        <f ca="1"/>
        <v/>
      </c>
    </row>
    <row r="1982" spans="1:9" ht="13.2">
      <c r="A1982" s="109" t="str">
        <f ca="1">IFERROR(__xludf.DUMMYFUNCTION("""COMPUTED_VALUE"""),"SRA")</f>
        <v>SRA</v>
      </c>
      <c r="B1982" s="108" t="str">
        <f ca="1">IFERROR(__xludf.DUMMYFUNCTION("""COMPUTED_VALUE"""),"Henry Foote")</f>
        <v>Henry Foote</v>
      </c>
      <c r="C1982" s="109">
        <f ca="1">IFERROR(__xludf.DUMMYFUNCTION("""COMPUTED_VALUE"""),10)</f>
        <v>10</v>
      </c>
      <c r="D1982" s="109" t="str">
        <f ca="1">IFERROR(__xludf.DUMMYFUNCTION("""COMPUTED_VALUE"""),"B")</f>
        <v>B</v>
      </c>
      <c r="E1982" s="110" t="str">
        <f ca="1">IFERROR(__xludf.DUMMYFUNCTION("""COMPUTED_VALUE"""),"F")</f>
        <v>F</v>
      </c>
      <c r="F1982" s="114" t="str">
        <f ca="1">IFERROR(__xludf.DUMMYFUNCTION("""COMPUTED_VALUE"""),"J")</f>
        <v>J</v>
      </c>
      <c r="G1982" s="114">
        <f ca="1">IFERROR(__xludf.DUMMYFUNCTION("""COMPUTED_VALUE"""),7)</f>
        <v>7</v>
      </c>
      <c r="H1982" s="112" t="str">
        <f ca="1"/>
        <v/>
      </c>
      <c r="I1982" s="112" t="str">
        <f ca="1"/>
        <v/>
      </c>
    </row>
    <row r="1983" spans="1:9" ht="13.2">
      <c r="A1983" s="109" t="str">
        <f ca="1">IFERROR(__xludf.DUMMYFUNCTION("""COMPUTED_VALUE"""),"SRA")</f>
        <v>SRA</v>
      </c>
      <c r="B1983" s="108" t="str">
        <f ca="1">IFERROR(__xludf.DUMMYFUNCTION("""COMPUTED_VALUE"""),"Jacob Cheney")</f>
        <v>Jacob Cheney</v>
      </c>
      <c r="C1983" s="109">
        <f ca="1">IFERROR(__xludf.DUMMYFUNCTION("""COMPUTED_VALUE"""),7)</f>
        <v>7</v>
      </c>
      <c r="D1983" s="109" t="str">
        <f ca="1">IFERROR(__xludf.DUMMYFUNCTION("""COMPUTED_VALUE"""),"B")</f>
        <v>B</v>
      </c>
      <c r="E1983" s="110" t="str">
        <f ca="1">IFERROR(__xludf.DUMMYFUNCTION("""COMPUTED_VALUE"""),"F")</f>
        <v>F</v>
      </c>
      <c r="F1983" s="114" t="str">
        <f ca="1">IFERROR(__xludf.DUMMYFUNCTION("""COMPUTED_VALUE"""),"J")</f>
        <v>J</v>
      </c>
      <c r="G1983" s="114">
        <f ca="1">IFERROR(__xludf.DUMMYFUNCTION("""COMPUTED_VALUE"""),7)</f>
        <v>7</v>
      </c>
      <c r="H1983" s="112" t="str">
        <f ca="1"/>
        <v/>
      </c>
      <c r="I1983" s="112" t="str">
        <f ca="1"/>
        <v/>
      </c>
    </row>
    <row r="1984" spans="1:9" ht="13.2">
      <c r="A1984" s="109" t="str">
        <f ca="1">IFERROR(__xludf.DUMMYFUNCTION("""COMPUTED_VALUE"""),"SRA")</f>
        <v>SRA</v>
      </c>
      <c r="B1984" s="108" t="str">
        <f ca="1">IFERROR(__xludf.DUMMYFUNCTION("""COMPUTED_VALUE"""),"JJ Froemke")</f>
        <v>JJ Froemke</v>
      </c>
      <c r="C1984" s="109">
        <f ca="1">IFERROR(__xludf.DUMMYFUNCTION("""COMPUTED_VALUE"""),10)</f>
        <v>10</v>
      </c>
      <c r="D1984" s="109" t="str">
        <f ca="1">IFERROR(__xludf.DUMMYFUNCTION("""COMPUTED_VALUE"""),"B")</f>
        <v>B</v>
      </c>
      <c r="E1984" s="110" t="str">
        <f ca="1">IFERROR(__xludf.DUMMYFUNCTION("""COMPUTED_VALUE"""),"F")</f>
        <v>F</v>
      </c>
      <c r="F1984" s="114" t="str">
        <f ca="1">IFERROR(__xludf.DUMMYFUNCTION("""COMPUTED_VALUE"""),"J")</f>
        <v>J</v>
      </c>
      <c r="G1984" s="114">
        <f ca="1">IFERROR(__xludf.DUMMYFUNCTION("""COMPUTED_VALUE"""),7)</f>
        <v>7</v>
      </c>
      <c r="H1984" s="112" t="str">
        <f ca="1"/>
        <v/>
      </c>
      <c r="I1984" s="112" t="str">
        <f ca="1"/>
        <v/>
      </c>
    </row>
    <row r="1985" spans="1:9" ht="13.2">
      <c r="A1985" s="109" t="str">
        <f ca="1">IFERROR(__xludf.DUMMYFUNCTION("""COMPUTED_VALUE"""),"SRA")</f>
        <v>SRA</v>
      </c>
      <c r="B1985" s="108" t="str">
        <f ca="1">IFERROR(__xludf.DUMMYFUNCTION("""COMPUTED_VALUE"""),"John Hawkins")</f>
        <v>John Hawkins</v>
      </c>
      <c r="C1985" s="109">
        <f ca="1">IFERROR(__xludf.DUMMYFUNCTION("""COMPUTED_VALUE"""),7)</f>
        <v>7</v>
      </c>
      <c r="D1985" s="109" t="str">
        <f ca="1">IFERROR(__xludf.DUMMYFUNCTION("""COMPUTED_VALUE"""),"B")</f>
        <v>B</v>
      </c>
      <c r="E1985" s="110" t="str">
        <f ca="1">IFERROR(__xludf.DUMMYFUNCTION("""COMPUTED_VALUE"""),"F")</f>
        <v>F</v>
      </c>
      <c r="F1985" s="114" t="str">
        <f ca="1">IFERROR(__xludf.DUMMYFUNCTION("""COMPUTED_VALUE"""),"J")</f>
        <v>J</v>
      </c>
      <c r="G1985" s="114">
        <f ca="1">IFERROR(__xludf.DUMMYFUNCTION("""COMPUTED_VALUE"""),7)</f>
        <v>7</v>
      </c>
      <c r="H1985" s="112" t="str">
        <f ca="1"/>
        <v>10</v>
      </c>
      <c r="I1985" s="112">
        <f ca="1"/>
        <v>10</v>
      </c>
    </row>
    <row r="1986" spans="1:9" ht="13.2">
      <c r="A1986" s="109" t="str">
        <f ca="1">IFERROR(__xludf.DUMMYFUNCTION("""COMPUTED_VALUE"""),"SRA")</f>
        <v>SRA</v>
      </c>
      <c r="B1986" s="108" t="str">
        <f ca="1">IFERROR(__xludf.DUMMYFUNCTION("""COMPUTED_VALUE"""),"Liam Ganci")</f>
        <v>Liam Ganci</v>
      </c>
      <c r="C1986" s="109">
        <f ca="1">IFERROR(__xludf.DUMMYFUNCTION("""COMPUTED_VALUE"""),9)</f>
        <v>9</v>
      </c>
      <c r="D1986" s="109" t="str">
        <f ca="1">IFERROR(__xludf.DUMMYFUNCTION("""COMPUTED_VALUE"""),"B")</f>
        <v>B</v>
      </c>
      <c r="E1986" s="110" t="str">
        <f ca="1">IFERROR(__xludf.DUMMYFUNCTION("""COMPUTED_VALUE"""),"F")</f>
        <v>F</v>
      </c>
      <c r="F1986" s="114" t="str">
        <f ca="1">IFERROR(__xludf.DUMMYFUNCTION("""COMPUTED_VALUE"""),"J")</f>
        <v>J</v>
      </c>
      <c r="G1986" s="114">
        <f ca="1">IFERROR(__xludf.DUMMYFUNCTION("""COMPUTED_VALUE"""),7)</f>
        <v>7</v>
      </c>
      <c r="H1986" s="112" t="str">
        <f ca="1"/>
        <v/>
      </c>
      <c r="I1986" s="112" t="str">
        <f ca="1"/>
        <v/>
      </c>
    </row>
    <row r="1987" spans="1:9" ht="13.2">
      <c r="A1987" s="109" t="str">
        <f ca="1">IFERROR(__xludf.DUMMYFUNCTION("""COMPUTED_VALUE"""),"SRA")</f>
        <v>SRA</v>
      </c>
      <c r="B1987" s="108" t="str">
        <f ca="1">IFERROR(__xludf.DUMMYFUNCTION("""COMPUTED_VALUE"""),"Liam Hoffman")</f>
        <v>Liam Hoffman</v>
      </c>
      <c r="C1987" s="109">
        <f ca="1">IFERROR(__xludf.DUMMYFUNCTION("""COMPUTED_VALUE"""),10)</f>
        <v>10</v>
      </c>
      <c r="D1987" s="109" t="str">
        <f ca="1">IFERROR(__xludf.DUMMYFUNCTION("""COMPUTED_VALUE"""),"B")</f>
        <v>B</v>
      </c>
      <c r="E1987" s="110" t="str">
        <f ca="1">IFERROR(__xludf.DUMMYFUNCTION("""COMPUTED_VALUE"""),"F")</f>
        <v>F</v>
      </c>
      <c r="F1987" s="114" t="str">
        <f ca="1">IFERROR(__xludf.DUMMYFUNCTION("""COMPUTED_VALUE"""),"J")</f>
        <v>J</v>
      </c>
      <c r="G1987" s="114">
        <f ca="1">IFERROR(__xludf.DUMMYFUNCTION("""COMPUTED_VALUE"""),7)</f>
        <v>7</v>
      </c>
      <c r="H1987" s="112" t="str">
        <f ca="1"/>
        <v/>
      </c>
      <c r="I1987" s="112" t="str">
        <f ca="1"/>
        <v/>
      </c>
    </row>
    <row r="1988" spans="1:9" ht="13.2">
      <c r="A1988" s="109" t="str">
        <f ca="1">IFERROR(__xludf.DUMMYFUNCTION("""COMPUTED_VALUE"""),"SRA")</f>
        <v>SRA</v>
      </c>
      <c r="B1988" s="108" t="str">
        <f ca="1">IFERROR(__xludf.DUMMYFUNCTION("""COMPUTED_VALUE"""),"Luke Bauer")</f>
        <v>Luke Bauer</v>
      </c>
      <c r="C1988" s="109">
        <f ca="1">IFERROR(__xludf.DUMMYFUNCTION("""COMPUTED_VALUE"""),7)</f>
        <v>7</v>
      </c>
      <c r="D1988" s="109" t="str">
        <f ca="1">IFERROR(__xludf.DUMMYFUNCTION("""COMPUTED_VALUE"""),"B")</f>
        <v>B</v>
      </c>
      <c r="E1988" s="110" t="str">
        <f ca="1">IFERROR(__xludf.DUMMYFUNCTION("""COMPUTED_VALUE"""),"F")</f>
        <v>F</v>
      </c>
      <c r="F1988" s="114" t="str">
        <f ca="1">IFERROR(__xludf.DUMMYFUNCTION("""COMPUTED_VALUE"""),"J")</f>
        <v>J</v>
      </c>
      <c r="G1988" s="114">
        <f ca="1">IFERROR(__xludf.DUMMYFUNCTION("""COMPUTED_VALUE"""),7)</f>
        <v>7</v>
      </c>
      <c r="H1988" s="112" t="str">
        <f ca="1"/>
        <v/>
      </c>
      <c r="I1988" s="112" t="str">
        <f ca="1"/>
        <v/>
      </c>
    </row>
    <row r="1989" spans="1:9" ht="13.2">
      <c r="A1989" s="109" t="str">
        <f ca="1">IFERROR(__xludf.DUMMYFUNCTION("""COMPUTED_VALUE"""),"SRA")</f>
        <v>SRA</v>
      </c>
      <c r="B1989" s="108" t="str">
        <f ca="1">IFERROR(__xludf.DUMMYFUNCTION("""COMPUTED_VALUE"""),"Marco Fazio")</f>
        <v>Marco Fazio</v>
      </c>
      <c r="C1989" s="109">
        <f ca="1">IFERROR(__xludf.DUMMYFUNCTION("""COMPUTED_VALUE"""),6)</f>
        <v>6</v>
      </c>
      <c r="D1989" s="109" t="str">
        <f ca="1">IFERROR(__xludf.DUMMYFUNCTION("""COMPUTED_VALUE"""),"B")</f>
        <v>B</v>
      </c>
      <c r="E1989" s="110" t="str">
        <f ca="1">IFERROR(__xludf.DUMMYFUNCTION("""COMPUTED_VALUE"""),"F")</f>
        <v>F</v>
      </c>
      <c r="F1989" s="114" t="str">
        <f ca="1">IFERROR(__xludf.DUMMYFUNCTION("""COMPUTED_VALUE"""),"J")</f>
        <v>J</v>
      </c>
      <c r="G1989" s="114">
        <f ca="1">IFERROR(__xludf.DUMMYFUNCTION("""COMPUTED_VALUE"""),7)</f>
        <v>7</v>
      </c>
      <c r="H1989" s="112" t="str">
        <f ca="1"/>
        <v/>
      </c>
      <c r="I1989" s="112" t="str">
        <f ca="1"/>
        <v/>
      </c>
    </row>
    <row r="1990" spans="1:9" ht="13.2">
      <c r="A1990" s="109" t="str">
        <f ca="1">IFERROR(__xludf.DUMMYFUNCTION("""COMPUTED_VALUE"""),"SRA")</f>
        <v>SRA</v>
      </c>
      <c r="B1990" s="108" t="str">
        <f ca="1">IFERROR(__xludf.DUMMYFUNCTION("""COMPUTED_VALUE"""),"Matteo Fazio")</f>
        <v>Matteo Fazio</v>
      </c>
      <c r="C1990" s="109">
        <f ca="1">IFERROR(__xludf.DUMMYFUNCTION("""COMPUTED_VALUE"""),10)</f>
        <v>10</v>
      </c>
      <c r="D1990" s="109" t="str">
        <f ca="1">IFERROR(__xludf.DUMMYFUNCTION("""COMPUTED_VALUE"""),"B")</f>
        <v>B</v>
      </c>
      <c r="E1990" s="110" t="str">
        <f ca="1">IFERROR(__xludf.DUMMYFUNCTION("""COMPUTED_VALUE"""),"F")</f>
        <v>F</v>
      </c>
      <c r="F1990" s="114" t="str">
        <f ca="1">IFERROR(__xludf.DUMMYFUNCTION("""COMPUTED_VALUE"""),"J")</f>
        <v>J</v>
      </c>
      <c r="G1990" s="114">
        <f ca="1">IFERROR(__xludf.DUMMYFUNCTION("""COMPUTED_VALUE"""),7)</f>
        <v>7</v>
      </c>
      <c r="H1990" s="112" t="str">
        <f ca="1"/>
        <v/>
      </c>
      <c r="I1990" s="112" t="str">
        <f ca="1"/>
        <v/>
      </c>
    </row>
    <row r="1991" spans="1:9" ht="13.2">
      <c r="A1991" s="109" t="str">
        <f ca="1">IFERROR(__xludf.DUMMYFUNCTION("""COMPUTED_VALUE"""),"SRA")</f>
        <v>SRA</v>
      </c>
      <c r="B1991" s="108" t="str">
        <f ca="1">IFERROR(__xludf.DUMMYFUNCTION("""COMPUTED_VALUE"""),"McKay Boyer")</f>
        <v>McKay Boyer</v>
      </c>
      <c r="C1991" s="109">
        <f ca="1">IFERROR(__xludf.DUMMYFUNCTION("""COMPUTED_VALUE"""),8)</f>
        <v>8</v>
      </c>
      <c r="D1991" s="109" t="str">
        <f ca="1">IFERROR(__xludf.DUMMYFUNCTION("""COMPUTED_VALUE"""),"B")</f>
        <v>B</v>
      </c>
      <c r="E1991" s="110" t="str">
        <f ca="1">IFERROR(__xludf.DUMMYFUNCTION("""COMPUTED_VALUE"""),"F")</f>
        <v>F</v>
      </c>
      <c r="F1991" s="114" t="str">
        <f ca="1">IFERROR(__xludf.DUMMYFUNCTION("""COMPUTED_VALUE"""),"J")</f>
        <v>J</v>
      </c>
      <c r="G1991" s="114">
        <f ca="1">IFERROR(__xludf.DUMMYFUNCTION("""COMPUTED_VALUE"""),7)</f>
        <v>7</v>
      </c>
      <c r="H1991" s="112" t="str">
        <f ca="1"/>
        <v/>
      </c>
      <c r="I1991" s="112" t="str">
        <f ca="1"/>
        <v/>
      </c>
    </row>
    <row r="1992" spans="1:9" ht="13.2">
      <c r="A1992" s="109" t="str">
        <f ca="1">IFERROR(__xludf.DUMMYFUNCTION("""COMPUTED_VALUE"""),"SRA")</f>
        <v>SRA</v>
      </c>
      <c r="B1992" s="108" t="str">
        <f ca="1">IFERROR(__xludf.DUMMYFUNCTION("""COMPUTED_VALUE"""),"Noah Moller")</f>
        <v>Noah Moller</v>
      </c>
      <c r="C1992" s="109">
        <f ca="1">IFERROR(__xludf.DUMMYFUNCTION("""COMPUTED_VALUE"""),7)</f>
        <v>7</v>
      </c>
      <c r="D1992" s="109" t="str">
        <f ca="1">IFERROR(__xludf.DUMMYFUNCTION("""COMPUTED_VALUE"""),"B")</f>
        <v>B</v>
      </c>
      <c r="E1992" s="110" t="str">
        <f ca="1">IFERROR(__xludf.DUMMYFUNCTION("""COMPUTED_VALUE"""),"F")</f>
        <v>F</v>
      </c>
      <c r="F1992" s="114" t="str">
        <f ca="1">IFERROR(__xludf.DUMMYFUNCTION("""COMPUTED_VALUE"""),"J")</f>
        <v>J</v>
      </c>
      <c r="G1992" s="114">
        <f ca="1">IFERROR(__xludf.DUMMYFUNCTION("""COMPUTED_VALUE"""),7)</f>
        <v>7</v>
      </c>
      <c r="H1992" s="112" t="str">
        <f ca="1"/>
        <v/>
      </c>
      <c r="I1992" s="112" t="str">
        <f ca="1"/>
        <v/>
      </c>
    </row>
    <row r="1993" spans="1:9" ht="13.2">
      <c r="A1993" s="109" t="str">
        <f ca="1">IFERROR(__xludf.DUMMYFUNCTION("""COMPUTED_VALUE"""),"SRA")</f>
        <v>SRA</v>
      </c>
      <c r="B1993" s="108" t="str">
        <f ca="1">IFERROR(__xludf.DUMMYFUNCTION("""COMPUTED_VALUE"""),"Samuel Kenneally")</f>
        <v>Samuel Kenneally</v>
      </c>
      <c r="C1993" s="109">
        <f ca="1">IFERROR(__xludf.DUMMYFUNCTION("""COMPUTED_VALUE"""),6)</f>
        <v>6</v>
      </c>
      <c r="D1993" s="109" t="str">
        <f ca="1">IFERROR(__xludf.DUMMYFUNCTION("""COMPUTED_VALUE"""),"B")</f>
        <v>B</v>
      </c>
      <c r="E1993" s="110" t="str">
        <f ca="1">IFERROR(__xludf.DUMMYFUNCTION("""COMPUTED_VALUE"""),"F")</f>
        <v>F</v>
      </c>
      <c r="F1993" s="114" t="str">
        <f ca="1">IFERROR(__xludf.DUMMYFUNCTION("""COMPUTED_VALUE"""),"J")</f>
        <v>J</v>
      </c>
      <c r="G1993" s="114">
        <f ca="1">IFERROR(__xludf.DUMMYFUNCTION("""COMPUTED_VALUE"""),7)</f>
        <v>7</v>
      </c>
      <c r="H1993" s="112" t="str">
        <f ca="1"/>
        <v/>
      </c>
      <c r="I1993" s="112" t="str">
        <f ca="1"/>
        <v/>
      </c>
    </row>
    <row r="1994" spans="1:9" ht="13.2">
      <c r="A1994" s="109" t="str">
        <f ca="1">IFERROR(__xludf.DUMMYFUNCTION("""COMPUTED_VALUE"""),"SRA")</f>
        <v>SRA</v>
      </c>
      <c r="B1994" s="108" t="str">
        <f ca="1">IFERROR(__xludf.DUMMYFUNCTION("""COMPUTED_VALUE"""),"Stuart Cox")</f>
        <v>Stuart Cox</v>
      </c>
      <c r="C1994" s="109">
        <f ca="1">IFERROR(__xludf.DUMMYFUNCTION("""COMPUTED_VALUE"""),8)</f>
        <v>8</v>
      </c>
      <c r="D1994" s="109" t="str">
        <f ca="1">IFERROR(__xludf.DUMMYFUNCTION("""COMPUTED_VALUE"""),"B")</f>
        <v>B</v>
      </c>
      <c r="E1994" s="110" t="str">
        <f ca="1">IFERROR(__xludf.DUMMYFUNCTION("""COMPUTED_VALUE"""),"F")</f>
        <v>F</v>
      </c>
      <c r="F1994" s="114" t="str">
        <f ca="1">IFERROR(__xludf.DUMMYFUNCTION("""COMPUTED_VALUE"""),"J")</f>
        <v>J</v>
      </c>
      <c r="G1994" s="114">
        <f ca="1">IFERROR(__xludf.DUMMYFUNCTION("""COMPUTED_VALUE"""),7)</f>
        <v>7</v>
      </c>
      <c r="H1994" s="112" t="str">
        <f ca="1"/>
        <v/>
      </c>
      <c r="I1994" s="112" t="str">
        <f ca="1"/>
        <v/>
      </c>
    </row>
    <row r="1995" spans="1:9" ht="13.2">
      <c r="A1995" s="109" t="str">
        <f ca="1">IFERROR(__xludf.DUMMYFUNCTION("""COMPUTED_VALUE"""),"SRA")</f>
        <v>SRA</v>
      </c>
      <c r="B1995" s="108" t="str">
        <f ca="1">IFERROR(__xludf.DUMMYFUNCTION("""COMPUTED_VALUE"""),"William Lang")</f>
        <v>William Lang</v>
      </c>
      <c r="C1995" s="109">
        <f ca="1">IFERROR(__xludf.DUMMYFUNCTION("""COMPUTED_VALUE"""),10)</f>
        <v>10</v>
      </c>
      <c r="D1995" s="109" t="str">
        <f ca="1">IFERROR(__xludf.DUMMYFUNCTION("""COMPUTED_VALUE"""),"B")</f>
        <v>B</v>
      </c>
      <c r="E1995" s="110" t="str">
        <f ca="1">IFERROR(__xludf.DUMMYFUNCTION("""COMPUTED_VALUE"""),"F")</f>
        <v>F</v>
      </c>
      <c r="F1995" s="114" t="str">
        <f ca="1">IFERROR(__xludf.DUMMYFUNCTION("""COMPUTED_VALUE"""),"J")</f>
        <v>J</v>
      </c>
      <c r="G1995" s="114">
        <f ca="1">IFERROR(__xludf.DUMMYFUNCTION("""COMPUTED_VALUE"""),7)</f>
        <v>7</v>
      </c>
      <c r="H1995" s="112" t="str">
        <f ca="1"/>
        <v/>
      </c>
      <c r="I1995" s="112" t="str">
        <f ca="1"/>
        <v/>
      </c>
    </row>
    <row r="1996" spans="1:9" ht="13.2">
      <c r="A1996" s="109" t="str">
        <f ca="1">IFERROR(__xludf.DUMMYFUNCTION("""COMPUTED_VALUE"""),"SRA")</f>
        <v>SRA</v>
      </c>
      <c r="B1996" s="108" t="str">
        <f ca="1">IFERROR(__xludf.DUMMYFUNCTION("""COMPUTED_VALUE"""),"Brooke Hanig")</f>
        <v>Brooke Hanig</v>
      </c>
      <c r="C1996" s="109">
        <f ca="1">IFERROR(__xludf.DUMMYFUNCTION("""COMPUTED_VALUE"""),6)</f>
        <v>6</v>
      </c>
      <c r="D1996" s="109" t="str">
        <f ca="1">IFERROR(__xludf.DUMMYFUNCTION("""COMPUTED_VALUE"""),"G")</f>
        <v>G</v>
      </c>
      <c r="E1996" s="110" t="str">
        <f ca="1">IFERROR(__xludf.DUMMYFUNCTION("""COMPUTED_VALUE"""),"F")</f>
        <v>F</v>
      </c>
      <c r="F1996" s="114" t="str">
        <f ca="1">IFERROR(__xludf.DUMMYFUNCTION("""COMPUTED_VALUE"""),"J")</f>
        <v>J</v>
      </c>
      <c r="G1996" s="114">
        <f ca="1">IFERROR(__xludf.DUMMYFUNCTION("""COMPUTED_VALUE"""),7)</f>
        <v>7</v>
      </c>
      <c r="H1996" s="112" t="str">
        <f ca="1"/>
        <v/>
      </c>
      <c r="I1996" s="112" t="str">
        <f ca="1"/>
        <v/>
      </c>
    </row>
    <row r="1997" spans="1:9" ht="13.2">
      <c r="A1997" s="109" t="str">
        <f ca="1">IFERROR(__xludf.DUMMYFUNCTION("""COMPUTED_VALUE"""),"SRA")</f>
        <v>SRA</v>
      </c>
      <c r="B1997" s="108" t="str">
        <f ca="1">IFERROR(__xludf.DUMMYFUNCTION("""COMPUTED_VALUE"""),"Camille Upton")</f>
        <v>Camille Upton</v>
      </c>
      <c r="C1997" s="109">
        <f ca="1">IFERROR(__xludf.DUMMYFUNCTION("""COMPUTED_VALUE"""),8)</f>
        <v>8</v>
      </c>
      <c r="D1997" s="109" t="str">
        <f ca="1">IFERROR(__xludf.DUMMYFUNCTION("""COMPUTED_VALUE"""),"G")</f>
        <v>G</v>
      </c>
      <c r="E1997" s="110" t="str">
        <f ca="1">IFERROR(__xludf.DUMMYFUNCTION("""COMPUTED_VALUE"""),"F")</f>
        <v>F</v>
      </c>
      <c r="F1997" s="114" t="str">
        <f ca="1">IFERROR(__xludf.DUMMYFUNCTION("""COMPUTED_VALUE"""),"J")</f>
        <v>J</v>
      </c>
      <c r="G1997" s="114">
        <f ca="1">IFERROR(__xludf.DUMMYFUNCTION("""COMPUTED_VALUE"""),7)</f>
        <v>7</v>
      </c>
      <c r="H1997" s="112" t="str">
        <f ca="1"/>
        <v/>
      </c>
      <c r="I1997" s="112" t="str">
        <f ca="1"/>
        <v/>
      </c>
    </row>
    <row r="1998" spans="1:9" ht="13.2">
      <c r="A1998" s="109" t="str">
        <f ca="1">IFERROR(__xludf.DUMMYFUNCTION("""COMPUTED_VALUE"""),"SRA")</f>
        <v>SRA</v>
      </c>
      <c r="B1998" s="108" t="str">
        <f ca="1">IFERROR(__xludf.DUMMYFUNCTION("""COMPUTED_VALUE"""),"Caroline Baker")</f>
        <v>Caroline Baker</v>
      </c>
      <c r="C1998" s="109">
        <f ca="1">IFERROR(__xludf.DUMMYFUNCTION("""COMPUTED_VALUE"""),6)</f>
        <v>6</v>
      </c>
      <c r="D1998" s="109" t="str">
        <f ca="1">IFERROR(__xludf.DUMMYFUNCTION("""COMPUTED_VALUE"""),"G")</f>
        <v>G</v>
      </c>
      <c r="E1998" s="110" t="str">
        <f ca="1">IFERROR(__xludf.DUMMYFUNCTION("""COMPUTED_VALUE"""),"F")</f>
        <v>F</v>
      </c>
      <c r="F1998" s="114" t="str">
        <f ca="1">IFERROR(__xludf.DUMMYFUNCTION("""COMPUTED_VALUE"""),"J")</f>
        <v>J</v>
      </c>
      <c r="G1998" s="114">
        <f ca="1">IFERROR(__xludf.DUMMYFUNCTION("""COMPUTED_VALUE"""),7)</f>
        <v>7</v>
      </c>
      <c r="H1998" s="112" t="str">
        <f ca="1"/>
        <v>15.75</v>
      </c>
      <c r="I1998" s="112">
        <f ca="1"/>
        <v>15.75</v>
      </c>
    </row>
    <row r="1999" spans="1:9" ht="13.2">
      <c r="A1999" s="109" t="str">
        <f ca="1">IFERROR(__xludf.DUMMYFUNCTION("""COMPUTED_VALUE"""),"SRA")</f>
        <v>SRA</v>
      </c>
      <c r="B1999" s="108" t="str">
        <f ca="1">IFERROR(__xludf.DUMMYFUNCTION("""COMPUTED_VALUE"""),"Claire Cheney")</f>
        <v>Claire Cheney</v>
      </c>
      <c r="C1999" s="109">
        <f ca="1">IFERROR(__xludf.DUMMYFUNCTION("""COMPUTED_VALUE"""),10)</f>
        <v>10</v>
      </c>
      <c r="D1999" s="109" t="str">
        <f ca="1">IFERROR(__xludf.DUMMYFUNCTION("""COMPUTED_VALUE"""),"G")</f>
        <v>G</v>
      </c>
      <c r="E1999" s="110" t="str">
        <f ca="1">IFERROR(__xludf.DUMMYFUNCTION("""COMPUTED_VALUE"""),"F")</f>
        <v>F</v>
      </c>
      <c r="F1999" s="114" t="str">
        <f ca="1">IFERROR(__xludf.DUMMYFUNCTION("""COMPUTED_VALUE"""),"J")</f>
        <v>J</v>
      </c>
      <c r="G1999" s="114">
        <f ca="1">IFERROR(__xludf.DUMMYFUNCTION("""COMPUTED_VALUE"""),7)</f>
        <v>7</v>
      </c>
      <c r="H1999" s="112" t="str">
        <f ca="1"/>
        <v/>
      </c>
      <c r="I1999" s="112" t="str">
        <f ca="1"/>
        <v/>
      </c>
    </row>
    <row r="2000" spans="1:9" ht="13.2">
      <c r="A2000" s="109" t="str">
        <f ca="1">IFERROR(__xludf.DUMMYFUNCTION("""COMPUTED_VALUE"""),"SRA")</f>
        <v>SRA</v>
      </c>
      <c r="B2000" s="108" t="str">
        <f ca="1">IFERROR(__xludf.DUMMYFUNCTION("""COMPUTED_VALUE"""),"Ellie Clark")</f>
        <v>Ellie Clark</v>
      </c>
      <c r="C2000" s="109">
        <f ca="1">IFERROR(__xludf.DUMMYFUNCTION("""COMPUTED_VALUE"""),7)</f>
        <v>7</v>
      </c>
      <c r="D2000" s="109" t="str">
        <f ca="1">IFERROR(__xludf.DUMMYFUNCTION("""COMPUTED_VALUE"""),"G")</f>
        <v>G</v>
      </c>
      <c r="E2000" s="110" t="str">
        <f ca="1">IFERROR(__xludf.DUMMYFUNCTION("""COMPUTED_VALUE"""),"F")</f>
        <v>F</v>
      </c>
      <c r="F2000" s="114" t="str">
        <f ca="1">IFERROR(__xludf.DUMMYFUNCTION("""COMPUTED_VALUE"""),"J")</f>
        <v>J</v>
      </c>
      <c r="G2000" s="114">
        <f ca="1">IFERROR(__xludf.DUMMYFUNCTION("""COMPUTED_VALUE"""),7)</f>
        <v>7</v>
      </c>
      <c r="H2000" s="112" t="str">
        <f ca="1"/>
        <v/>
      </c>
      <c r="I2000" s="112" t="str">
        <f ca="1"/>
        <v/>
      </c>
    </row>
    <row r="2001" spans="1:9" ht="13.2">
      <c r="A2001" s="109" t="str">
        <f ca="1">IFERROR(__xludf.DUMMYFUNCTION("""COMPUTED_VALUE"""),"SRA")</f>
        <v>SRA</v>
      </c>
      <c r="B2001" s="108" t="str">
        <f ca="1">IFERROR(__xludf.DUMMYFUNCTION("""COMPUTED_VALUE"""),"Ellie Elder")</f>
        <v>Ellie Elder</v>
      </c>
      <c r="C2001" s="109">
        <f ca="1">IFERROR(__xludf.DUMMYFUNCTION("""COMPUTED_VALUE"""),9)</f>
        <v>9</v>
      </c>
      <c r="D2001" s="109" t="str">
        <f ca="1">IFERROR(__xludf.DUMMYFUNCTION("""COMPUTED_VALUE"""),"G")</f>
        <v>G</v>
      </c>
      <c r="E2001" s="110" t="str">
        <f ca="1">IFERROR(__xludf.DUMMYFUNCTION("""COMPUTED_VALUE"""),"F")</f>
        <v>F</v>
      </c>
      <c r="F2001" s="114" t="str">
        <f ca="1">IFERROR(__xludf.DUMMYFUNCTION("""COMPUTED_VALUE"""),"J")</f>
        <v>J</v>
      </c>
      <c r="G2001" s="114">
        <f ca="1">IFERROR(__xludf.DUMMYFUNCTION("""COMPUTED_VALUE"""),7)</f>
        <v>7</v>
      </c>
      <c r="H2001" s="112" t="str">
        <f ca="1"/>
        <v/>
      </c>
      <c r="I2001" s="112" t="str">
        <f ca="1"/>
        <v/>
      </c>
    </row>
    <row r="2002" spans="1:9" ht="13.2">
      <c r="A2002" s="109" t="str">
        <f ca="1">IFERROR(__xludf.DUMMYFUNCTION("""COMPUTED_VALUE"""),"SRA")</f>
        <v>SRA</v>
      </c>
      <c r="B2002" s="108" t="str">
        <f ca="1">IFERROR(__xludf.DUMMYFUNCTION("""COMPUTED_VALUE"""),"Evie Ferguson")</f>
        <v>Evie Ferguson</v>
      </c>
      <c r="C2002" s="109">
        <f ca="1">IFERROR(__xludf.DUMMYFUNCTION("""COMPUTED_VALUE"""),7)</f>
        <v>7</v>
      </c>
      <c r="D2002" s="109" t="str">
        <f ca="1">IFERROR(__xludf.DUMMYFUNCTION("""COMPUTED_VALUE"""),"G")</f>
        <v>G</v>
      </c>
      <c r="E2002" s="110" t="str">
        <f ca="1">IFERROR(__xludf.DUMMYFUNCTION("""COMPUTED_VALUE"""),"F")</f>
        <v>F</v>
      </c>
      <c r="F2002" s="114" t="str">
        <f ca="1">IFERROR(__xludf.DUMMYFUNCTION("""COMPUTED_VALUE"""),"J")</f>
        <v>J</v>
      </c>
      <c r="G2002" s="114">
        <f ca="1">IFERROR(__xludf.DUMMYFUNCTION("""COMPUTED_VALUE"""),7)</f>
        <v>7</v>
      </c>
      <c r="H2002" s="112" t="str">
        <f ca="1"/>
        <v>18.3</v>
      </c>
      <c r="I2002" s="112">
        <f ca="1"/>
        <v>18.3</v>
      </c>
    </row>
    <row r="2003" spans="1:9" ht="13.2">
      <c r="A2003" s="109" t="str">
        <f ca="1">IFERROR(__xludf.DUMMYFUNCTION("""COMPUTED_VALUE"""),"SRA")</f>
        <v>SRA</v>
      </c>
      <c r="B2003" s="108" t="str">
        <f ca="1">IFERROR(__xludf.DUMMYFUNCTION("""COMPUTED_VALUE"""),"Julia Rudolph")</f>
        <v>Julia Rudolph</v>
      </c>
      <c r="C2003" s="109">
        <f ca="1">IFERROR(__xludf.DUMMYFUNCTION("""COMPUTED_VALUE"""),6)</f>
        <v>6</v>
      </c>
      <c r="D2003" s="109" t="str">
        <f ca="1">IFERROR(__xludf.DUMMYFUNCTION("""COMPUTED_VALUE"""),"G")</f>
        <v>G</v>
      </c>
      <c r="E2003" s="110" t="str">
        <f ca="1">IFERROR(__xludf.DUMMYFUNCTION("""COMPUTED_VALUE"""),"F")</f>
        <v>F</v>
      </c>
      <c r="F2003" s="114" t="str">
        <f ca="1">IFERROR(__xludf.DUMMYFUNCTION("""COMPUTED_VALUE"""),"J")</f>
        <v>J</v>
      </c>
      <c r="G2003" s="114">
        <f ca="1">IFERROR(__xludf.DUMMYFUNCTION("""COMPUTED_VALUE"""),7)</f>
        <v>7</v>
      </c>
      <c r="H2003" s="112" t="str">
        <f ca="1"/>
        <v>15.75</v>
      </c>
      <c r="I2003" s="112">
        <f ca="1"/>
        <v>15.75</v>
      </c>
    </row>
    <row r="2004" spans="1:9" ht="13.2">
      <c r="A2004" s="109" t="str">
        <f ca="1">IFERROR(__xludf.DUMMYFUNCTION("""COMPUTED_VALUE"""),"SRA")</f>
        <v>SRA</v>
      </c>
      <c r="B2004" s="108" t="str">
        <f ca="1">IFERROR(__xludf.DUMMYFUNCTION("""COMPUTED_VALUE"""),"Leah Staley")</f>
        <v>Leah Staley</v>
      </c>
      <c r="C2004" s="109">
        <f ca="1">IFERROR(__xludf.DUMMYFUNCTION("""COMPUTED_VALUE"""),9)</f>
        <v>9</v>
      </c>
      <c r="D2004" s="109" t="str">
        <f ca="1">IFERROR(__xludf.DUMMYFUNCTION("""COMPUTED_VALUE"""),"G")</f>
        <v>G</v>
      </c>
      <c r="E2004" s="110" t="str">
        <f ca="1">IFERROR(__xludf.DUMMYFUNCTION("""COMPUTED_VALUE"""),"F")</f>
        <v>F</v>
      </c>
      <c r="F2004" s="114" t="str">
        <f ca="1">IFERROR(__xludf.DUMMYFUNCTION("""COMPUTED_VALUE"""),"J")</f>
        <v>J</v>
      </c>
      <c r="G2004" s="114">
        <f ca="1">IFERROR(__xludf.DUMMYFUNCTION("""COMPUTED_VALUE"""),7)</f>
        <v>7</v>
      </c>
      <c r="H2004" s="112" t="str">
        <f ca="1"/>
        <v>18.15</v>
      </c>
      <c r="I2004" s="112">
        <f ca="1"/>
        <v>18.149999999999999</v>
      </c>
    </row>
    <row r="2005" spans="1:9" ht="13.2">
      <c r="A2005" s="109" t="str">
        <f ca="1">IFERROR(__xludf.DUMMYFUNCTION("""COMPUTED_VALUE"""),"SRA")</f>
        <v>SRA</v>
      </c>
      <c r="B2005" s="108" t="str">
        <f ca="1">IFERROR(__xludf.DUMMYFUNCTION("""COMPUTED_VALUE"""),"Lena Berry")</f>
        <v>Lena Berry</v>
      </c>
      <c r="C2005" s="109">
        <f ca="1">IFERROR(__xludf.DUMMYFUNCTION("""COMPUTED_VALUE"""),10)</f>
        <v>10</v>
      </c>
      <c r="D2005" s="109" t="str">
        <f ca="1">IFERROR(__xludf.DUMMYFUNCTION("""COMPUTED_VALUE"""),"G")</f>
        <v>G</v>
      </c>
      <c r="E2005" s="110" t="str">
        <f ca="1">IFERROR(__xludf.DUMMYFUNCTION("""COMPUTED_VALUE"""),"F")</f>
        <v>F</v>
      </c>
      <c r="F2005" s="114" t="str">
        <f ca="1">IFERROR(__xludf.DUMMYFUNCTION("""COMPUTED_VALUE"""),"J")</f>
        <v>J</v>
      </c>
      <c r="G2005" s="114">
        <f ca="1">IFERROR(__xludf.DUMMYFUNCTION("""COMPUTED_VALUE"""),7)</f>
        <v>7</v>
      </c>
      <c r="H2005" s="112" t="str">
        <f ca="1"/>
        <v/>
      </c>
      <c r="I2005" s="112" t="str">
        <f ca="1"/>
        <v/>
      </c>
    </row>
    <row r="2006" spans="1:9" ht="13.2">
      <c r="A2006" s="109" t="str">
        <f ca="1">IFERROR(__xludf.DUMMYFUNCTION("""COMPUTED_VALUE"""),"SRA")</f>
        <v>SRA</v>
      </c>
      <c r="B2006" s="108" t="str">
        <f ca="1">IFERROR(__xludf.DUMMYFUNCTION("""COMPUTED_VALUE"""),"Paige Finley")</f>
        <v>Paige Finley</v>
      </c>
      <c r="C2006" s="109">
        <f ca="1">IFERROR(__xludf.DUMMYFUNCTION("""COMPUTED_VALUE"""),10)</f>
        <v>10</v>
      </c>
      <c r="D2006" s="109" t="str">
        <f ca="1">IFERROR(__xludf.DUMMYFUNCTION("""COMPUTED_VALUE"""),"G")</f>
        <v>G</v>
      </c>
      <c r="E2006" s="110" t="str">
        <f ca="1">IFERROR(__xludf.DUMMYFUNCTION("""COMPUTED_VALUE"""),"F")</f>
        <v>F</v>
      </c>
      <c r="F2006" s="114" t="str">
        <f ca="1">IFERROR(__xludf.DUMMYFUNCTION("""COMPUTED_VALUE"""),"J")</f>
        <v>J</v>
      </c>
      <c r="G2006" s="114">
        <f ca="1">IFERROR(__xludf.DUMMYFUNCTION("""COMPUTED_VALUE"""),7)</f>
        <v>7</v>
      </c>
      <c r="H2006" s="112" t="str">
        <f ca="1"/>
        <v/>
      </c>
      <c r="I2006" s="112" t="str">
        <f ca="1"/>
        <v/>
      </c>
    </row>
    <row r="2007" spans="1:9" ht="13.2">
      <c r="A2007" s="109" t="str">
        <f ca="1">IFERROR(__xludf.DUMMYFUNCTION("""COMPUTED_VALUE"""),"SRA")</f>
        <v>SRA</v>
      </c>
      <c r="B2007" s="108" t="str">
        <f ca="1">IFERROR(__xludf.DUMMYFUNCTION("""COMPUTED_VALUE"""),"Penny Cotter")</f>
        <v>Penny Cotter</v>
      </c>
      <c r="C2007" s="109">
        <f ca="1">IFERROR(__xludf.DUMMYFUNCTION("""COMPUTED_VALUE"""),7)</f>
        <v>7</v>
      </c>
      <c r="D2007" s="109" t="str">
        <f ca="1">IFERROR(__xludf.DUMMYFUNCTION("""COMPUTED_VALUE"""),"G")</f>
        <v>G</v>
      </c>
      <c r="E2007" s="110" t="str">
        <f ca="1">IFERROR(__xludf.DUMMYFUNCTION("""COMPUTED_VALUE"""),"F")</f>
        <v>F</v>
      </c>
      <c r="F2007" s="114" t="str">
        <f ca="1">IFERROR(__xludf.DUMMYFUNCTION("""COMPUTED_VALUE"""),"J")</f>
        <v>J</v>
      </c>
      <c r="G2007" s="114">
        <f ca="1">IFERROR(__xludf.DUMMYFUNCTION("""COMPUTED_VALUE"""),7)</f>
        <v>7</v>
      </c>
      <c r="H2007" s="112" t="str">
        <f ca="1"/>
        <v>28.05</v>
      </c>
      <c r="I2007" s="112">
        <f ca="1"/>
        <v>28.05</v>
      </c>
    </row>
    <row r="2008" spans="1:9" ht="13.2">
      <c r="A2008" s="109" t="str">
        <f ca="1">IFERROR(__xludf.DUMMYFUNCTION("""COMPUTED_VALUE"""),"SRA")</f>
        <v>SRA</v>
      </c>
      <c r="B2008" s="108" t="str">
        <f ca="1">IFERROR(__xludf.DUMMYFUNCTION("""COMPUTED_VALUE"""),"Ryan Calligaro")</f>
        <v>Ryan Calligaro</v>
      </c>
      <c r="C2008" s="109">
        <f ca="1">IFERROR(__xludf.DUMMYFUNCTION("""COMPUTED_VALUE"""),13)</f>
        <v>13</v>
      </c>
      <c r="D2008" s="109" t="str">
        <f ca="1">IFERROR(__xludf.DUMMYFUNCTION("""COMPUTED_VALUE"""),"B")</f>
        <v>B</v>
      </c>
      <c r="E2008" s="110" t="str">
        <f ca="1">IFERROR(__xludf.DUMMYFUNCTION("""COMPUTED_VALUE"""),"I")</f>
        <v>I</v>
      </c>
      <c r="F2008" s="114" t="str">
        <f ca="1">IFERROR(__xludf.DUMMYFUNCTION("""COMPUTED_VALUE"""),"S")</f>
        <v>S</v>
      </c>
      <c r="G2008" s="114">
        <f ca="1">IFERROR(__xludf.DUMMYFUNCTION("""COMPUTED_VALUE"""),7)</f>
        <v>7</v>
      </c>
      <c r="H2008" s="112" t="str">
        <f ca="1"/>
        <v/>
      </c>
      <c r="I2008" s="112" t="str">
        <f ca="1"/>
        <v/>
      </c>
    </row>
    <row r="2009" spans="1:9" ht="13.2">
      <c r="A2009" s="109" t="str">
        <f ca="1">IFERROR(__xludf.DUMMYFUNCTION("""COMPUTED_VALUE"""),"SRA")</f>
        <v>SRA</v>
      </c>
      <c r="B2009" s="108" t="str">
        <f ca="1">IFERROR(__xludf.DUMMYFUNCTION("""COMPUTED_VALUE"""),"Analia Boyer")</f>
        <v>Analia Boyer</v>
      </c>
      <c r="C2009" s="109">
        <f ca="1">IFERROR(__xludf.DUMMYFUNCTION("""COMPUTED_VALUE"""),14)</f>
        <v>14</v>
      </c>
      <c r="D2009" s="109" t="str">
        <f ca="1">IFERROR(__xludf.DUMMYFUNCTION("""COMPUTED_VALUE"""),"G")</f>
        <v>G</v>
      </c>
      <c r="E2009" s="110" t="str">
        <f ca="1">IFERROR(__xludf.DUMMYFUNCTION("""COMPUTED_VALUE"""),"I")</f>
        <v>I</v>
      </c>
      <c r="F2009" s="114" t="str">
        <f ca="1">IFERROR(__xludf.DUMMYFUNCTION("""COMPUTED_VALUE"""),"S")</f>
        <v>S</v>
      </c>
      <c r="G2009" s="114">
        <f ca="1">IFERROR(__xludf.DUMMYFUNCTION("""COMPUTED_VALUE"""),7)</f>
        <v>7</v>
      </c>
      <c r="H2009" s="112" t="str">
        <f ca="1"/>
        <v/>
      </c>
      <c r="I2009" s="112" t="str">
        <f ca="1"/>
        <v/>
      </c>
    </row>
    <row r="2010" spans="1:9" ht="13.2">
      <c r="A2010" s="109" t="str">
        <f ca="1">IFERROR(__xludf.DUMMYFUNCTION("""COMPUTED_VALUE"""),"SRA")</f>
        <v>SRA</v>
      </c>
      <c r="B2010" s="108" t="str">
        <f ca="1">IFERROR(__xludf.DUMMYFUNCTION("""COMPUTED_VALUE"""),"Avery Garr")</f>
        <v>Avery Garr</v>
      </c>
      <c r="C2010" s="109">
        <f ca="1">IFERROR(__xludf.DUMMYFUNCTION("""COMPUTED_VALUE"""),13)</f>
        <v>13</v>
      </c>
      <c r="D2010" s="109" t="str">
        <f ca="1">IFERROR(__xludf.DUMMYFUNCTION("""COMPUTED_VALUE"""),"G")</f>
        <v>G</v>
      </c>
      <c r="E2010" s="110" t="str">
        <f ca="1">IFERROR(__xludf.DUMMYFUNCTION("""COMPUTED_VALUE"""),"I")</f>
        <v>I</v>
      </c>
      <c r="F2010" s="114" t="str">
        <f ca="1">IFERROR(__xludf.DUMMYFUNCTION("""COMPUTED_VALUE"""),"S")</f>
        <v>S</v>
      </c>
      <c r="G2010" s="114">
        <f ca="1">IFERROR(__xludf.DUMMYFUNCTION("""COMPUTED_VALUE"""),7)</f>
        <v>7</v>
      </c>
      <c r="H2010" s="112" t="str">
        <f ca="1"/>
        <v/>
      </c>
      <c r="I2010" s="112" t="str">
        <f ca="1"/>
        <v/>
      </c>
    </row>
    <row r="2011" spans="1:9" ht="13.2">
      <c r="A2011" s="109" t="str">
        <f ca="1">IFERROR(__xludf.DUMMYFUNCTION("""COMPUTED_VALUE"""),"SRA")</f>
        <v>SRA</v>
      </c>
      <c r="B2011" s="108" t="str">
        <f ca="1">IFERROR(__xludf.DUMMYFUNCTION("""COMPUTED_VALUE"""),"Isabelle Fazio")</f>
        <v>Isabelle Fazio</v>
      </c>
      <c r="C2011" s="109">
        <f ca="1">IFERROR(__xludf.DUMMYFUNCTION("""COMPUTED_VALUE"""),13)</f>
        <v>13</v>
      </c>
      <c r="D2011" s="109" t="str">
        <f ca="1">IFERROR(__xludf.DUMMYFUNCTION("""COMPUTED_VALUE"""),"G")</f>
        <v>G</v>
      </c>
      <c r="E2011" s="110" t="str">
        <f ca="1">IFERROR(__xludf.DUMMYFUNCTION("""COMPUTED_VALUE"""),"I")</f>
        <v>I</v>
      </c>
      <c r="F2011" s="114" t="str">
        <f ca="1">IFERROR(__xludf.DUMMYFUNCTION("""COMPUTED_VALUE"""),"S")</f>
        <v>S</v>
      </c>
      <c r="G2011" s="114">
        <f ca="1">IFERROR(__xludf.DUMMYFUNCTION("""COMPUTED_VALUE"""),7)</f>
        <v>7</v>
      </c>
      <c r="H2011" s="112" t="str">
        <f ca="1"/>
        <v/>
      </c>
      <c r="I2011" s="112" t="str">
        <f ca="1"/>
        <v/>
      </c>
    </row>
    <row r="2012" spans="1:9" ht="13.2">
      <c r="A2012" s="109" t="str">
        <f ca="1">IFERROR(__xludf.DUMMYFUNCTION("""COMPUTED_VALUE"""),"SRA")</f>
        <v>SRA</v>
      </c>
      <c r="B2012" s="108" t="str">
        <f ca="1">IFERROR(__xludf.DUMMYFUNCTION("""COMPUTED_VALUE"""),"Lily Ross")</f>
        <v>Lily Ross</v>
      </c>
      <c r="C2012" s="109">
        <f ca="1">IFERROR(__xludf.DUMMYFUNCTION("""COMPUTED_VALUE"""),13)</f>
        <v>13</v>
      </c>
      <c r="D2012" s="109" t="str">
        <f ca="1">IFERROR(__xludf.DUMMYFUNCTION("""COMPUTED_VALUE"""),"G")</f>
        <v>G</v>
      </c>
      <c r="E2012" s="110" t="str">
        <f ca="1">IFERROR(__xludf.DUMMYFUNCTION("""COMPUTED_VALUE"""),"I")</f>
        <v>I</v>
      </c>
      <c r="F2012" s="114" t="str">
        <f ca="1">IFERROR(__xludf.DUMMYFUNCTION("""COMPUTED_VALUE"""),"S")</f>
        <v>S</v>
      </c>
      <c r="G2012" s="114">
        <f ca="1">IFERROR(__xludf.DUMMYFUNCTION("""COMPUTED_VALUE"""),7)</f>
        <v>7</v>
      </c>
      <c r="H2012" s="112" t="str">
        <f ca="1"/>
        <v/>
      </c>
      <c r="I2012" s="112" t="str">
        <f ca="1"/>
        <v/>
      </c>
    </row>
    <row r="2013" spans="1:9" ht="13.2">
      <c r="A2013" s="109" t="str">
        <f ca="1">IFERROR(__xludf.DUMMYFUNCTION("""COMPUTED_VALUE"""),"SRA")</f>
        <v>SRA</v>
      </c>
      <c r="B2013" s="108" t="str">
        <f ca="1">IFERROR(__xludf.DUMMYFUNCTION("""COMPUTED_VALUE"""),"Maya Boyer")</f>
        <v>Maya Boyer</v>
      </c>
      <c r="C2013" s="109">
        <f ca="1">IFERROR(__xludf.DUMMYFUNCTION("""COMPUTED_VALUE"""),13)</f>
        <v>13</v>
      </c>
      <c r="D2013" s="109" t="str">
        <f ca="1">IFERROR(__xludf.DUMMYFUNCTION("""COMPUTED_VALUE"""),"G")</f>
        <v>G</v>
      </c>
      <c r="E2013" s="110" t="str">
        <f ca="1">IFERROR(__xludf.DUMMYFUNCTION("""COMPUTED_VALUE"""),"I")</f>
        <v>I</v>
      </c>
      <c r="F2013" s="114" t="str">
        <f ca="1">IFERROR(__xludf.DUMMYFUNCTION("""COMPUTED_VALUE"""),"S")</f>
        <v>S</v>
      </c>
      <c r="G2013" s="114">
        <f ca="1">IFERROR(__xludf.DUMMYFUNCTION("""COMPUTED_VALUE"""),7)</f>
        <v>7</v>
      </c>
      <c r="H2013" s="112" t="str">
        <f ca="1"/>
        <v/>
      </c>
      <c r="I2013" s="112" t="str">
        <f ca="1"/>
        <v/>
      </c>
    </row>
    <row r="2014" spans="1:9" ht="13.2">
      <c r="A2014" s="109" t="str">
        <f ca="1">IFERROR(__xludf.DUMMYFUNCTION("""COMPUTED_VALUE"""),"SRA")</f>
        <v>SRA</v>
      </c>
      <c r="B2014" s="108" t="str">
        <f ca="1">IFERROR(__xludf.DUMMYFUNCTION("""COMPUTED_VALUE"""),"Sophia Ary")</f>
        <v>Sophia Ary</v>
      </c>
      <c r="C2014" s="109">
        <f ca="1">IFERROR(__xludf.DUMMYFUNCTION("""COMPUTED_VALUE"""),13)</f>
        <v>13</v>
      </c>
      <c r="D2014" s="109" t="str">
        <f ca="1">IFERROR(__xludf.DUMMYFUNCTION("""COMPUTED_VALUE"""),"G")</f>
        <v>G</v>
      </c>
      <c r="E2014" s="110" t="str">
        <f ca="1">IFERROR(__xludf.DUMMYFUNCTION("""COMPUTED_VALUE"""),"I")</f>
        <v>I</v>
      </c>
      <c r="F2014" s="114" t="str">
        <f ca="1">IFERROR(__xludf.DUMMYFUNCTION("""COMPUTED_VALUE"""),"S")</f>
        <v>S</v>
      </c>
      <c r="G2014" s="114">
        <f ca="1">IFERROR(__xludf.DUMMYFUNCTION("""COMPUTED_VALUE"""),7)</f>
        <v>7</v>
      </c>
      <c r="H2014" s="112" t="str">
        <f ca="1"/>
        <v/>
      </c>
      <c r="I2014" s="112" t="str">
        <f ca="1"/>
        <v/>
      </c>
    </row>
    <row r="2015" spans="1:9" ht="13.2">
      <c r="A2015" s="109" t="str">
        <f ca="1">IFERROR(__xludf.DUMMYFUNCTION("""COMPUTED_VALUE"""),"SRA")</f>
        <v>SRA</v>
      </c>
      <c r="B2015" s="108" t="str">
        <f ca="1">IFERROR(__xludf.DUMMYFUNCTION("""COMPUTED_VALUE"""),"Aelan Elder")</f>
        <v>Aelan Elder</v>
      </c>
      <c r="C2015" s="109">
        <f ca="1">IFERROR(__xludf.DUMMYFUNCTION("""COMPUTED_VALUE"""),12)</f>
        <v>12</v>
      </c>
      <c r="D2015" s="109" t="str">
        <f ca="1">IFERROR(__xludf.DUMMYFUNCTION("""COMPUTED_VALUE"""),"B")</f>
        <v>B</v>
      </c>
      <c r="E2015" s="110" t="str">
        <f ca="1">IFERROR(__xludf.DUMMYFUNCTION("""COMPUTED_VALUE"""),"J")</f>
        <v>J</v>
      </c>
      <c r="F2015" s="114" t="str">
        <f ca="1">IFERROR(__xludf.DUMMYFUNCTION("""COMPUTED_VALUE"""),"I")</f>
        <v>I</v>
      </c>
      <c r="G2015" s="114">
        <f ca="1">IFERROR(__xludf.DUMMYFUNCTION("""COMPUTED_VALUE"""),7)</f>
        <v>7</v>
      </c>
      <c r="H2015" s="112" t="str">
        <f ca="1"/>
        <v/>
      </c>
      <c r="I2015" s="112" t="str">
        <f ca="1"/>
        <v/>
      </c>
    </row>
    <row r="2016" spans="1:9" ht="13.2">
      <c r="A2016" s="109" t="str">
        <f ca="1">IFERROR(__xludf.DUMMYFUNCTION("""COMPUTED_VALUE"""),"SRA")</f>
        <v>SRA</v>
      </c>
      <c r="B2016" s="108" t="str">
        <f ca="1">IFERROR(__xludf.DUMMYFUNCTION("""COMPUTED_VALUE"""),"Andrew O'Dea")</f>
        <v>Andrew O'Dea</v>
      </c>
      <c r="C2016" s="109">
        <f ca="1">IFERROR(__xludf.DUMMYFUNCTION("""COMPUTED_VALUE"""),11)</f>
        <v>11</v>
      </c>
      <c r="D2016" s="109" t="str">
        <f ca="1">IFERROR(__xludf.DUMMYFUNCTION("""COMPUTED_VALUE"""),"B")</f>
        <v>B</v>
      </c>
      <c r="E2016" s="110" t="str">
        <f ca="1">IFERROR(__xludf.DUMMYFUNCTION("""COMPUTED_VALUE"""),"J")</f>
        <v>J</v>
      </c>
      <c r="F2016" s="114" t="str">
        <f ca="1">IFERROR(__xludf.DUMMYFUNCTION("""COMPUTED_VALUE"""),"I")</f>
        <v>I</v>
      </c>
      <c r="G2016" s="114">
        <f ca="1">IFERROR(__xludf.DUMMYFUNCTION("""COMPUTED_VALUE"""),7)</f>
        <v>7</v>
      </c>
      <c r="H2016" s="112" t="str">
        <f ca="1"/>
        <v/>
      </c>
      <c r="I2016" s="112" t="str">
        <f ca="1"/>
        <v/>
      </c>
    </row>
    <row r="2017" spans="1:9" ht="13.2">
      <c r="A2017" s="109" t="str">
        <f ca="1">IFERROR(__xludf.DUMMYFUNCTION("""COMPUTED_VALUE"""),"SRA")</f>
        <v>SRA</v>
      </c>
      <c r="B2017" s="108" t="str">
        <f ca="1">IFERROR(__xludf.DUMMYFUNCTION("""COMPUTED_VALUE"""),"Kayden Deitchman")</f>
        <v>Kayden Deitchman</v>
      </c>
      <c r="C2017" s="109">
        <f ca="1">IFERROR(__xludf.DUMMYFUNCTION("""COMPUTED_VALUE"""),12)</f>
        <v>12</v>
      </c>
      <c r="D2017" s="109" t="str">
        <f ca="1">IFERROR(__xludf.DUMMYFUNCTION("""COMPUTED_VALUE"""),"B")</f>
        <v>B</v>
      </c>
      <c r="E2017" s="110" t="str">
        <f ca="1">IFERROR(__xludf.DUMMYFUNCTION("""COMPUTED_VALUE"""),"J")</f>
        <v>J</v>
      </c>
      <c r="F2017" s="114" t="str">
        <f ca="1">IFERROR(__xludf.DUMMYFUNCTION("""COMPUTED_VALUE"""),"I")</f>
        <v>I</v>
      </c>
      <c r="G2017" s="114">
        <f ca="1">IFERROR(__xludf.DUMMYFUNCTION("""COMPUTED_VALUE"""),7)</f>
        <v>7</v>
      </c>
      <c r="H2017" s="112" t="str">
        <f ca="1"/>
        <v/>
      </c>
      <c r="I2017" s="112" t="str">
        <f ca="1"/>
        <v/>
      </c>
    </row>
    <row r="2018" spans="1:9" ht="13.2">
      <c r="A2018" s="109" t="str">
        <f ca="1">IFERROR(__xludf.DUMMYFUNCTION("""COMPUTED_VALUE"""),"SRA")</f>
        <v>SRA</v>
      </c>
      <c r="B2018" s="108" t="str">
        <f ca="1">IFERROR(__xludf.DUMMYFUNCTION("""COMPUTED_VALUE"""),"Wesley Ferguson")</f>
        <v>Wesley Ferguson</v>
      </c>
      <c r="C2018" s="109">
        <f ca="1">IFERROR(__xludf.DUMMYFUNCTION("""COMPUTED_VALUE"""),12)</f>
        <v>12</v>
      </c>
      <c r="D2018" s="109" t="str">
        <f ca="1">IFERROR(__xludf.DUMMYFUNCTION("""COMPUTED_VALUE"""),"B")</f>
        <v>B</v>
      </c>
      <c r="E2018" s="110" t="str">
        <f ca="1">IFERROR(__xludf.DUMMYFUNCTION("""COMPUTED_VALUE"""),"J")</f>
        <v>J</v>
      </c>
      <c r="F2018" s="114" t="str">
        <f ca="1">IFERROR(__xludf.DUMMYFUNCTION("""COMPUTED_VALUE"""),"I")</f>
        <v>I</v>
      </c>
      <c r="G2018" s="114">
        <f ca="1">IFERROR(__xludf.DUMMYFUNCTION("""COMPUTED_VALUE"""),7)</f>
        <v>7</v>
      </c>
      <c r="H2018" s="112" t="str">
        <f ca="1"/>
        <v>53.25</v>
      </c>
      <c r="I2018" s="112">
        <f ca="1"/>
        <v>53.25</v>
      </c>
    </row>
    <row r="2019" spans="1:9" ht="13.2">
      <c r="A2019" s="109" t="str">
        <f ca="1">IFERROR(__xludf.DUMMYFUNCTION("""COMPUTED_VALUE"""),"SRA")</f>
        <v>SRA</v>
      </c>
      <c r="B2019" s="108" t="str">
        <f ca="1">IFERROR(__xludf.DUMMYFUNCTION("""COMPUTED_VALUE"""),"Aysel El Bourini")</f>
        <v>Aysel El Bourini</v>
      </c>
      <c r="C2019" s="109">
        <f ca="1">IFERROR(__xludf.DUMMYFUNCTION("""COMPUTED_VALUE"""),11)</f>
        <v>11</v>
      </c>
      <c r="D2019" s="109" t="str">
        <f ca="1">IFERROR(__xludf.DUMMYFUNCTION("""COMPUTED_VALUE"""),"G")</f>
        <v>G</v>
      </c>
      <c r="E2019" s="110" t="str">
        <f ca="1">IFERROR(__xludf.DUMMYFUNCTION("""COMPUTED_VALUE"""),"J")</f>
        <v>J</v>
      </c>
      <c r="F2019" s="114" t="str">
        <f ca="1">IFERROR(__xludf.DUMMYFUNCTION("""COMPUTED_VALUE"""),"I")</f>
        <v>I</v>
      </c>
      <c r="G2019" s="114">
        <f ca="1">IFERROR(__xludf.DUMMYFUNCTION("""COMPUTED_VALUE"""),7)</f>
        <v>7</v>
      </c>
      <c r="H2019" s="112" t="str">
        <f ca="1"/>
        <v/>
      </c>
      <c r="I2019" s="112" t="str">
        <f ca="1"/>
        <v/>
      </c>
    </row>
    <row r="2020" spans="1:9" ht="13.2">
      <c r="A2020" s="109" t="str">
        <f ca="1">IFERROR(__xludf.DUMMYFUNCTION("""COMPUTED_VALUE"""),"SRA")</f>
        <v>SRA</v>
      </c>
      <c r="B2020" s="108" t="str">
        <f ca="1">IFERROR(__xludf.DUMMYFUNCTION("""COMPUTED_VALUE"""),"Charlotte Garr")</f>
        <v>Charlotte Garr</v>
      </c>
      <c r="C2020" s="109">
        <f ca="1">IFERROR(__xludf.DUMMYFUNCTION("""COMPUTED_VALUE"""),11)</f>
        <v>11</v>
      </c>
      <c r="D2020" s="109" t="str">
        <f ca="1">IFERROR(__xludf.DUMMYFUNCTION("""COMPUTED_VALUE"""),"G")</f>
        <v>G</v>
      </c>
      <c r="E2020" s="110" t="str">
        <f ca="1">IFERROR(__xludf.DUMMYFUNCTION("""COMPUTED_VALUE"""),"J")</f>
        <v>J</v>
      </c>
      <c r="F2020" s="114" t="str">
        <f ca="1">IFERROR(__xludf.DUMMYFUNCTION("""COMPUTED_VALUE"""),"I")</f>
        <v>I</v>
      </c>
      <c r="G2020" s="114">
        <f ca="1">IFERROR(__xludf.DUMMYFUNCTION("""COMPUTED_VALUE"""),7)</f>
        <v>7</v>
      </c>
      <c r="H2020" s="112" t="str">
        <f ca="1"/>
        <v/>
      </c>
      <c r="I2020" s="112" t="str">
        <f ca="1"/>
        <v/>
      </c>
    </row>
    <row r="2021" spans="1:9" ht="13.2">
      <c r="A2021" s="109" t="str">
        <f ca="1">IFERROR(__xludf.DUMMYFUNCTION("""COMPUTED_VALUE"""),"SRA")</f>
        <v>SRA</v>
      </c>
      <c r="B2021" s="108" t="str">
        <f ca="1">IFERROR(__xludf.DUMMYFUNCTION("""COMPUTED_VALUE"""),"Debbie Burke")</f>
        <v>Debbie Burke</v>
      </c>
      <c r="C2021" s="109">
        <f ca="1">IFERROR(__xludf.DUMMYFUNCTION("""COMPUTED_VALUE"""),12)</f>
        <v>12</v>
      </c>
      <c r="D2021" s="109" t="str">
        <f ca="1">IFERROR(__xludf.DUMMYFUNCTION("""COMPUTED_VALUE"""),"G")</f>
        <v>G</v>
      </c>
      <c r="E2021" s="110" t="str">
        <f ca="1">IFERROR(__xludf.DUMMYFUNCTION("""COMPUTED_VALUE"""),"J")</f>
        <v>J</v>
      </c>
      <c r="F2021" s="114" t="str">
        <f ca="1">IFERROR(__xludf.DUMMYFUNCTION("""COMPUTED_VALUE"""),"I")</f>
        <v>I</v>
      </c>
      <c r="G2021" s="114">
        <f ca="1">IFERROR(__xludf.DUMMYFUNCTION("""COMPUTED_VALUE"""),7)</f>
        <v>7</v>
      </c>
      <c r="H2021" s="112" t="str">
        <f ca="1"/>
        <v/>
      </c>
      <c r="I2021" s="112" t="str">
        <f ca="1"/>
        <v/>
      </c>
    </row>
    <row r="2022" spans="1:9" ht="13.2">
      <c r="A2022" s="109" t="str">
        <f ca="1">IFERROR(__xludf.DUMMYFUNCTION("""COMPUTED_VALUE"""),"SRA")</f>
        <v>SRA</v>
      </c>
      <c r="B2022" s="108" t="str">
        <f ca="1">IFERROR(__xludf.DUMMYFUNCTION("""COMPUTED_VALUE"""),"Delaney Dean")</f>
        <v>Delaney Dean</v>
      </c>
      <c r="C2022" s="109">
        <f ca="1">IFERROR(__xludf.DUMMYFUNCTION("""COMPUTED_VALUE"""),12)</f>
        <v>12</v>
      </c>
      <c r="D2022" s="109" t="str">
        <f ca="1">IFERROR(__xludf.DUMMYFUNCTION("""COMPUTED_VALUE"""),"G")</f>
        <v>G</v>
      </c>
      <c r="E2022" s="110" t="str">
        <f ca="1">IFERROR(__xludf.DUMMYFUNCTION("""COMPUTED_VALUE"""),"J")</f>
        <v>J</v>
      </c>
      <c r="F2022" s="114" t="str">
        <f ca="1">IFERROR(__xludf.DUMMYFUNCTION("""COMPUTED_VALUE"""),"I")</f>
        <v>I</v>
      </c>
      <c r="G2022" s="114">
        <f ca="1">IFERROR(__xludf.DUMMYFUNCTION("""COMPUTED_VALUE"""),7)</f>
        <v>7</v>
      </c>
      <c r="H2022" s="112" t="str">
        <f ca="1"/>
        <v/>
      </c>
      <c r="I2022" s="112" t="str">
        <f ca="1"/>
        <v/>
      </c>
    </row>
    <row r="2023" spans="1:9" ht="13.2">
      <c r="A2023" s="109" t="str">
        <f ca="1">IFERROR(__xludf.DUMMYFUNCTION("""COMPUTED_VALUE"""),"SRA")</f>
        <v>SRA</v>
      </c>
      <c r="B2023" s="108" t="str">
        <f ca="1">IFERROR(__xludf.DUMMYFUNCTION("""COMPUTED_VALUE"""),"Ellery Fjeld")</f>
        <v>Ellery Fjeld</v>
      </c>
      <c r="C2023" s="109">
        <f ca="1">IFERROR(__xludf.DUMMYFUNCTION("""COMPUTED_VALUE"""),11)</f>
        <v>11</v>
      </c>
      <c r="D2023" s="109" t="str">
        <f ca="1">IFERROR(__xludf.DUMMYFUNCTION("""COMPUTED_VALUE"""),"G")</f>
        <v>G</v>
      </c>
      <c r="E2023" s="110" t="str">
        <f ca="1">IFERROR(__xludf.DUMMYFUNCTION("""COMPUTED_VALUE"""),"J")</f>
        <v>J</v>
      </c>
      <c r="F2023" s="114" t="str">
        <f ca="1">IFERROR(__xludf.DUMMYFUNCTION("""COMPUTED_VALUE"""),"I")</f>
        <v>I</v>
      </c>
      <c r="G2023" s="114">
        <f ca="1">IFERROR(__xludf.DUMMYFUNCTION("""COMPUTED_VALUE"""),7)</f>
        <v>7</v>
      </c>
      <c r="H2023" s="112" t="str">
        <f ca="1"/>
        <v>47.9</v>
      </c>
      <c r="I2023" s="112">
        <f ca="1"/>
        <v>47.9</v>
      </c>
    </row>
    <row r="2024" spans="1:9" ht="13.2">
      <c r="A2024" s="109" t="str">
        <f ca="1">IFERROR(__xludf.DUMMYFUNCTION("""COMPUTED_VALUE"""),"SRA")</f>
        <v>SRA</v>
      </c>
      <c r="B2024" s="108" t="str">
        <f ca="1">IFERROR(__xludf.DUMMYFUNCTION("""COMPUTED_VALUE"""),"Mackenzie Garr")</f>
        <v>Mackenzie Garr</v>
      </c>
      <c r="C2024" s="109">
        <f ca="1">IFERROR(__xludf.DUMMYFUNCTION("""COMPUTED_VALUE"""),11)</f>
        <v>11</v>
      </c>
      <c r="D2024" s="109" t="str">
        <f ca="1">IFERROR(__xludf.DUMMYFUNCTION("""COMPUTED_VALUE"""),"G")</f>
        <v>G</v>
      </c>
      <c r="E2024" s="110" t="str">
        <f ca="1">IFERROR(__xludf.DUMMYFUNCTION("""COMPUTED_VALUE"""),"J")</f>
        <v>J</v>
      </c>
      <c r="F2024" s="114" t="str">
        <f ca="1">IFERROR(__xludf.DUMMYFUNCTION("""COMPUTED_VALUE"""),"I")</f>
        <v>I</v>
      </c>
      <c r="G2024" s="114">
        <f ca="1">IFERROR(__xludf.DUMMYFUNCTION("""COMPUTED_VALUE"""),7)</f>
        <v>7</v>
      </c>
      <c r="H2024" s="112" t="str">
        <f ca="1"/>
        <v/>
      </c>
      <c r="I2024" s="112" t="str">
        <f ca="1"/>
        <v/>
      </c>
    </row>
    <row r="2025" spans="1:9" ht="13.2">
      <c r="A2025" s="109" t="str">
        <f ca="1">IFERROR(__xludf.DUMMYFUNCTION("""COMPUTED_VALUE"""),"SRA")</f>
        <v>SRA</v>
      </c>
      <c r="B2025" s="108" t="str">
        <f ca="1">IFERROR(__xludf.DUMMYFUNCTION("""COMPUTED_VALUE"""),"Maggie Burke")</f>
        <v>Maggie Burke</v>
      </c>
      <c r="C2025" s="109">
        <f ca="1">IFERROR(__xludf.DUMMYFUNCTION("""COMPUTED_VALUE"""),11)</f>
        <v>11</v>
      </c>
      <c r="D2025" s="109" t="str">
        <f ca="1">IFERROR(__xludf.DUMMYFUNCTION("""COMPUTED_VALUE"""),"G")</f>
        <v>G</v>
      </c>
      <c r="E2025" s="110" t="str">
        <f ca="1">IFERROR(__xludf.DUMMYFUNCTION("""COMPUTED_VALUE"""),"J")</f>
        <v>J</v>
      </c>
      <c r="F2025" s="114" t="str">
        <f ca="1">IFERROR(__xludf.DUMMYFUNCTION("""COMPUTED_VALUE"""),"I")</f>
        <v>I</v>
      </c>
      <c r="G2025" s="114">
        <f ca="1">IFERROR(__xludf.DUMMYFUNCTION("""COMPUTED_VALUE"""),7)</f>
        <v>7</v>
      </c>
      <c r="H2025" s="112" t="str">
        <f ca="1"/>
        <v>62</v>
      </c>
      <c r="I2025" s="112">
        <f ca="1"/>
        <v>62</v>
      </c>
    </row>
    <row r="2026" spans="1:9" ht="13.2">
      <c r="A2026" s="109" t="str">
        <f ca="1">IFERROR(__xludf.DUMMYFUNCTION("""COMPUTED_VALUE"""),"SRA")</f>
        <v>SRA</v>
      </c>
      <c r="B2026" s="108" t="str">
        <f ca="1">IFERROR(__xludf.DUMMYFUNCTION("""COMPUTED_VALUE"""),"Megan O'Dea")</f>
        <v>Megan O'Dea</v>
      </c>
      <c r="C2026" s="109">
        <f ca="1">IFERROR(__xludf.DUMMYFUNCTION("""COMPUTED_VALUE"""),12)</f>
        <v>12</v>
      </c>
      <c r="D2026" s="109" t="str">
        <f ca="1">IFERROR(__xludf.DUMMYFUNCTION("""COMPUTED_VALUE"""),"G")</f>
        <v>G</v>
      </c>
      <c r="E2026" s="110" t="str">
        <f ca="1">IFERROR(__xludf.DUMMYFUNCTION("""COMPUTED_VALUE"""),"J")</f>
        <v>J</v>
      </c>
      <c r="F2026" s="114" t="str">
        <f ca="1">IFERROR(__xludf.DUMMYFUNCTION("""COMPUTED_VALUE"""),"I")</f>
        <v>I</v>
      </c>
      <c r="G2026" s="114">
        <f ca="1">IFERROR(__xludf.DUMMYFUNCTION("""COMPUTED_VALUE"""),7)</f>
        <v>7</v>
      </c>
      <c r="H2026" s="112" t="str">
        <f ca="1"/>
        <v/>
      </c>
      <c r="I2026" s="112" t="str">
        <f ca="1"/>
        <v/>
      </c>
    </row>
    <row r="2027" spans="1:9" ht="13.2">
      <c r="A2027" s="109" t="str">
        <f ca="1">IFERROR(__xludf.DUMMYFUNCTION("""COMPUTED_VALUE"""),"SRA")</f>
        <v>SRA</v>
      </c>
      <c r="B2027" s="108" t="str">
        <f ca="1">IFERROR(__xludf.DUMMYFUNCTION("""COMPUTED_VALUE"""),"Boede Offringa")</f>
        <v>Boede Offringa</v>
      </c>
      <c r="C2027" s="109">
        <f ca="1">IFERROR(__xludf.DUMMYFUNCTION("""COMPUTED_VALUE"""),17)</f>
        <v>17</v>
      </c>
      <c r="D2027" s="109" t="str">
        <f ca="1">IFERROR(__xludf.DUMMYFUNCTION("""COMPUTED_VALUE"""),"B")</f>
        <v>B</v>
      </c>
      <c r="E2027" s="110" t="str">
        <f ca="1">IFERROR(__xludf.DUMMYFUNCTION("""COMPUTED_VALUE"""),"S")</f>
        <v>S</v>
      </c>
      <c r="F2027" s="114" t="str">
        <f ca="1">IFERROR(__xludf.DUMMYFUNCTION("""COMPUTED_VALUE"""),"S")</f>
        <v>S</v>
      </c>
      <c r="G2027" s="114">
        <f ca="1">IFERROR(__xludf.DUMMYFUNCTION("""COMPUTED_VALUE"""),7)</f>
        <v>7</v>
      </c>
      <c r="H2027" s="112" t="str">
        <f ca="1"/>
        <v/>
      </c>
      <c r="I2027" s="112" t="str">
        <f ca="1"/>
        <v/>
      </c>
    </row>
    <row r="2028" spans="1:9" ht="13.2">
      <c r="A2028" s="109" t="str">
        <f ca="1">IFERROR(__xludf.DUMMYFUNCTION("""COMPUTED_VALUE"""),"SRA")</f>
        <v>SRA</v>
      </c>
      <c r="B2028" s="108" t="str">
        <f ca="1">IFERROR(__xludf.DUMMYFUNCTION("""COMPUTED_VALUE"""),"Dillon Wirth")</f>
        <v>Dillon Wirth</v>
      </c>
      <c r="C2028" s="109">
        <f ca="1">IFERROR(__xludf.DUMMYFUNCTION("""COMPUTED_VALUE"""),18)</f>
        <v>18</v>
      </c>
      <c r="D2028" s="109" t="str">
        <f ca="1">IFERROR(__xludf.DUMMYFUNCTION("""COMPUTED_VALUE"""),"B")</f>
        <v>B</v>
      </c>
      <c r="E2028" s="110" t="str">
        <f ca="1">IFERROR(__xludf.DUMMYFUNCTION("""COMPUTED_VALUE"""),"S")</f>
        <v>S</v>
      </c>
      <c r="F2028" s="114" t="str">
        <f ca="1">IFERROR(__xludf.DUMMYFUNCTION("""COMPUTED_VALUE"""),"S")</f>
        <v>S</v>
      </c>
      <c r="G2028" s="114">
        <f ca="1">IFERROR(__xludf.DUMMYFUNCTION("""COMPUTED_VALUE"""),7)</f>
        <v>7</v>
      </c>
      <c r="H2028" s="112" t="str">
        <f ca="1"/>
        <v/>
      </c>
      <c r="I2028" s="112" t="str">
        <f ca="1"/>
        <v/>
      </c>
    </row>
    <row r="2029" spans="1:9" ht="13.2">
      <c r="A2029" s="109" t="str">
        <f ca="1">IFERROR(__xludf.DUMMYFUNCTION("""COMPUTED_VALUE"""),"SRA")</f>
        <v>SRA</v>
      </c>
      <c r="B2029" s="108" t="str">
        <f ca="1">IFERROR(__xludf.DUMMYFUNCTION("""COMPUTED_VALUE"""),"John Dinkel")</f>
        <v>John Dinkel</v>
      </c>
      <c r="C2029" s="109">
        <f ca="1">IFERROR(__xludf.DUMMYFUNCTION("""COMPUTED_VALUE"""),18)</f>
        <v>18</v>
      </c>
      <c r="D2029" s="109" t="str">
        <f ca="1">IFERROR(__xludf.DUMMYFUNCTION("""COMPUTED_VALUE"""),"B")</f>
        <v>B</v>
      </c>
      <c r="E2029" s="110" t="str">
        <f ca="1">IFERROR(__xludf.DUMMYFUNCTION("""COMPUTED_VALUE"""),"S")</f>
        <v>S</v>
      </c>
      <c r="F2029" s="114" t="str">
        <f ca="1">IFERROR(__xludf.DUMMYFUNCTION("""COMPUTED_VALUE"""),"S")</f>
        <v>S</v>
      </c>
      <c r="G2029" s="114">
        <f ca="1">IFERROR(__xludf.DUMMYFUNCTION("""COMPUTED_VALUE"""),7)</f>
        <v>7</v>
      </c>
      <c r="H2029" s="112" t="str">
        <f ca="1"/>
        <v/>
      </c>
      <c r="I2029" s="112" t="str">
        <f ca="1"/>
        <v/>
      </c>
    </row>
    <row r="2030" spans="1:9" ht="13.2">
      <c r="A2030" s="109" t="str">
        <f ca="1">IFERROR(__xludf.DUMMYFUNCTION("""COMPUTED_VALUE"""),"SRA")</f>
        <v>SRA</v>
      </c>
      <c r="B2030" s="108" t="str">
        <f ca="1">IFERROR(__xludf.DUMMYFUNCTION("""COMPUTED_VALUE"""),"Kevin Dinkel")</f>
        <v>Kevin Dinkel</v>
      </c>
      <c r="C2030" s="109">
        <f ca="1">IFERROR(__xludf.DUMMYFUNCTION("""COMPUTED_VALUE"""),18)</f>
        <v>18</v>
      </c>
      <c r="D2030" s="109" t="str">
        <f ca="1">IFERROR(__xludf.DUMMYFUNCTION("""COMPUTED_VALUE"""),"B")</f>
        <v>B</v>
      </c>
      <c r="E2030" s="110" t="str">
        <f ca="1">IFERROR(__xludf.DUMMYFUNCTION("""COMPUTED_VALUE"""),"S")</f>
        <v>S</v>
      </c>
      <c r="F2030" s="114" t="str">
        <f ca="1">IFERROR(__xludf.DUMMYFUNCTION("""COMPUTED_VALUE"""),"S")</f>
        <v>S</v>
      </c>
      <c r="G2030" s="114">
        <f ca="1">IFERROR(__xludf.DUMMYFUNCTION("""COMPUTED_VALUE"""),7)</f>
        <v>7</v>
      </c>
      <c r="H2030" s="112" t="str">
        <f ca="1"/>
        <v/>
      </c>
      <c r="I2030" s="112" t="str">
        <f ca="1"/>
        <v/>
      </c>
    </row>
    <row r="2031" spans="1:9" ht="13.2">
      <c r="A2031" s="109" t="str">
        <f ca="1">IFERROR(__xludf.DUMMYFUNCTION("""COMPUTED_VALUE"""),"SRA")</f>
        <v>SRA</v>
      </c>
      <c r="B2031" s="108" t="str">
        <f ca="1">IFERROR(__xludf.DUMMYFUNCTION("""COMPUTED_VALUE"""),"Allison Ary")</f>
        <v>Allison Ary</v>
      </c>
      <c r="C2031" s="109">
        <f ca="1">IFERROR(__xludf.DUMMYFUNCTION("""COMPUTED_VALUE"""),15)</f>
        <v>15</v>
      </c>
      <c r="D2031" s="109" t="str">
        <f ca="1">IFERROR(__xludf.DUMMYFUNCTION("""COMPUTED_VALUE"""),"G")</f>
        <v>G</v>
      </c>
      <c r="E2031" s="110" t="str">
        <f ca="1">IFERROR(__xludf.DUMMYFUNCTION("""COMPUTED_VALUE"""),"S")</f>
        <v>S</v>
      </c>
      <c r="F2031" s="114" t="str">
        <f ca="1">IFERROR(__xludf.DUMMYFUNCTION("""COMPUTED_VALUE"""),"S")</f>
        <v>S</v>
      </c>
      <c r="G2031" s="114">
        <f ca="1">IFERROR(__xludf.DUMMYFUNCTION("""COMPUTED_VALUE"""),7)</f>
        <v>7</v>
      </c>
      <c r="H2031" s="112" t="str">
        <f ca="1"/>
        <v/>
      </c>
      <c r="I2031" s="112" t="str">
        <f ca="1"/>
        <v/>
      </c>
    </row>
    <row r="2032" spans="1:9" ht="13.2">
      <c r="A2032" s="109" t="str">
        <f ca="1">IFERROR(__xludf.DUMMYFUNCTION("""COMPUTED_VALUE"""),"SRA")</f>
        <v>SRA</v>
      </c>
      <c r="B2032" s="108" t="str">
        <f ca="1">IFERROR(__xludf.DUMMYFUNCTION("""COMPUTED_VALUE"""),"Amanda Kendrick")</f>
        <v>Amanda Kendrick</v>
      </c>
      <c r="C2032" s="109">
        <f ca="1">IFERROR(__xludf.DUMMYFUNCTION("""COMPUTED_VALUE"""),17)</f>
        <v>17</v>
      </c>
      <c r="D2032" s="109" t="str">
        <f ca="1">IFERROR(__xludf.DUMMYFUNCTION("""COMPUTED_VALUE"""),"G")</f>
        <v>G</v>
      </c>
      <c r="E2032" s="110" t="str">
        <f ca="1">IFERROR(__xludf.DUMMYFUNCTION("""COMPUTED_VALUE"""),"S")</f>
        <v>S</v>
      </c>
      <c r="F2032" s="114" t="str">
        <f ca="1">IFERROR(__xludf.DUMMYFUNCTION("""COMPUTED_VALUE"""),"S")</f>
        <v>S</v>
      </c>
      <c r="G2032" s="114">
        <f ca="1">IFERROR(__xludf.DUMMYFUNCTION("""COMPUTED_VALUE"""),7)</f>
        <v>7</v>
      </c>
      <c r="H2032" s="112" t="str">
        <f ca="1"/>
        <v/>
      </c>
      <c r="I2032" s="112" t="str">
        <f ca="1"/>
        <v/>
      </c>
    </row>
    <row r="2033" spans="1:9" ht="13.2">
      <c r="A2033" s="109" t="str">
        <f ca="1">IFERROR(__xludf.DUMMYFUNCTION("""COMPUTED_VALUE"""),"SRA")</f>
        <v>SRA</v>
      </c>
      <c r="B2033" s="108" t="str">
        <f ca="1">IFERROR(__xludf.DUMMYFUNCTION("""COMPUTED_VALUE"""),"Maddi Ross")</f>
        <v>Maddi Ross</v>
      </c>
      <c r="C2033" s="109">
        <f ca="1">IFERROR(__xludf.DUMMYFUNCTION("""COMPUTED_VALUE"""),16)</f>
        <v>16</v>
      </c>
      <c r="D2033" s="109" t="str">
        <f ca="1">IFERROR(__xludf.DUMMYFUNCTION("""COMPUTED_VALUE"""),"G")</f>
        <v>G</v>
      </c>
      <c r="E2033" s="110" t="str">
        <f ca="1">IFERROR(__xludf.DUMMYFUNCTION("""COMPUTED_VALUE"""),"S")</f>
        <v>S</v>
      </c>
      <c r="F2033" s="114" t="str">
        <f ca="1">IFERROR(__xludf.DUMMYFUNCTION("""COMPUTED_VALUE"""),"S")</f>
        <v>S</v>
      </c>
      <c r="G2033" s="114">
        <f ca="1">IFERROR(__xludf.DUMMYFUNCTION("""COMPUTED_VALUE"""),7)</f>
        <v>7</v>
      </c>
      <c r="H2033" s="112" t="str">
        <f ca="1"/>
        <v/>
      </c>
      <c r="I2033" s="112" t="str">
        <f ca="1"/>
        <v/>
      </c>
    </row>
    <row r="2034" spans="1:9" ht="13.2">
      <c r="A2034" s="109" t="str">
        <f ca="1">IFERROR(__xludf.DUMMYFUNCTION("""COMPUTED_VALUE"""),"SRA")</f>
        <v>SRA</v>
      </c>
      <c r="B2034" s="108" t="str">
        <f ca="1">IFERROR(__xludf.DUMMYFUNCTION("""COMPUTED_VALUE"""),"Sarah Fleming")</f>
        <v>Sarah Fleming</v>
      </c>
      <c r="C2034" s="109">
        <f ca="1">IFERROR(__xludf.DUMMYFUNCTION("""COMPUTED_VALUE"""),17)</f>
        <v>17</v>
      </c>
      <c r="D2034" s="109" t="str">
        <f ca="1">IFERROR(__xludf.DUMMYFUNCTION("""COMPUTED_VALUE"""),"G")</f>
        <v>G</v>
      </c>
      <c r="E2034" s="110" t="str">
        <f ca="1">IFERROR(__xludf.DUMMYFUNCTION("""COMPUTED_VALUE"""),"S")</f>
        <v>S</v>
      </c>
      <c r="F2034" s="114" t="str">
        <f ca="1">IFERROR(__xludf.DUMMYFUNCTION("""COMPUTED_VALUE"""),"S")</f>
        <v>S</v>
      </c>
      <c r="G2034" s="114">
        <f ca="1">IFERROR(__xludf.DUMMYFUNCTION("""COMPUTED_VALUE"""),7)</f>
        <v>7</v>
      </c>
      <c r="H2034" s="112" t="str">
        <f ca="1"/>
        <v/>
      </c>
      <c r="I2034" s="112" t="str">
        <f ca="1"/>
        <v/>
      </c>
    </row>
    <row r="2035" spans="1:9" ht="13.2">
      <c r="A2035" s="109" t="str">
        <f ca="1">IFERROR(__xludf.DUMMYFUNCTION("""COMPUTED_VALUE"""),"T")</f>
        <v>T</v>
      </c>
      <c r="B2035" s="108" t="str">
        <f ca="1">IFERROR(__xludf.DUMMYFUNCTION("""COMPUTED_VALUE"""),"Aaron Howery")</f>
        <v>Aaron Howery</v>
      </c>
      <c r="C2035" s="109">
        <f ca="1">IFERROR(__xludf.DUMMYFUNCTION("""COMPUTED_VALUE"""),6)</f>
        <v>6</v>
      </c>
      <c r="D2035" s="109" t="str">
        <f ca="1">IFERROR(__xludf.DUMMYFUNCTION("""COMPUTED_VALUE"""),"B")</f>
        <v>B</v>
      </c>
      <c r="E2035" s="110" t="str">
        <f ca="1">IFERROR(__xludf.DUMMYFUNCTION("""COMPUTED_VALUE"""),"F")</f>
        <v>F</v>
      </c>
      <c r="F2035" s="114" t="str">
        <f ca="1">IFERROR(__xludf.DUMMYFUNCTION("""COMPUTED_VALUE"""),"J")</f>
        <v>J</v>
      </c>
      <c r="G2035" s="114">
        <f ca="1">IFERROR(__xludf.DUMMYFUNCTION("""COMPUTED_VALUE"""),4)</f>
        <v>4</v>
      </c>
      <c r="H2035" s="112" t="str">
        <f ca="1"/>
        <v/>
      </c>
      <c r="I2035" s="112" t="str">
        <f ca="1"/>
        <v/>
      </c>
    </row>
    <row r="2036" spans="1:9" ht="13.2">
      <c r="A2036" s="109" t="str">
        <f ca="1">IFERROR(__xludf.DUMMYFUNCTION("""COMPUTED_VALUE"""),"T")</f>
        <v>T</v>
      </c>
      <c r="B2036" s="108" t="str">
        <f ca="1">IFERROR(__xludf.DUMMYFUNCTION("""COMPUTED_VALUE"""),"Aidan Eagan")</f>
        <v>Aidan Eagan</v>
      </c>
      <c r="C2036" s="109">
        <f ca="1">IFERROR(__xludf.DUMMYFUNCTION("""COMPUTED_VALUE"""),9)</f>
        <v>9</v>
      </c>
      <c r="D2036" s="109" t="str">
        <f ca="1">IFERROR(__xludf.DUMMYFUNCTION("""COMPUTED_VALUE"""),"B")</f>
        <v>B</v>
      </c>
      <c r="E2036" s="110" t="str">
        <f ca="1">IFERROR(__xludf.DUMMYFUNCTION("""COMPUTED_VALUE"""),"F")</f>
        <v>F</v>
      </c>
      <c r="F2036" s="114" t="str">
        <f ca="1">IFERROR(__xludf.DUMMYFUNCTION("""COMPUTED_VALUE"""),"J")</f>
        <v>J</v>
      </c>
      <c r="G2036" s="114">
        <f ca="1">IFERROR(__xludf.DUMMYFUNCTION("""COMPUTED_VALUE"""),4)</f>
        <v>4</v>
      </c>
      <c r="H2036" s="112" t="str">
        <f ca="1"/>
        <v/>
      </c>
      <c r="I2036" s="112" t="str">
        <f ca="1"/>
        <v/>
      </c>
    </row>
    <row r="2037" spans="1:9" ht="13.2">
      <c r="A2037" s="109" t="str">
        <f ca="1">IFERROR(__xludf.DUMMYFUNCTION("""COMPUTED_VALUE"""),"T")</f>
        <v>T</v>
      </c>
      <c r="B2037" s="108" t="str">
        <f ca="1">IFERROR(__xludf.DUMMYFUNCTION("""COMPUTED_VALUE"""),"Aiden McFeely")</f>
        <v>Aiden McFeely</v>
      </c>
      <c r="C2037" s="109">
        <f ca="1">IFERROR(__xludf.DUMMYFUNCTION("""COMPUTED_VALUE"""),5)</f>
        <v>5</v>
      </c>
      <c r="D2037" s="109" t="str">
        <f ca="1">IFERROR(__xludf.DUMMYFUNCTION("""COMPUTED_VALUE"""),"B")</f>
        <v>B</v>
      </c>
      <c r="E2037" s="110" t="str">
        <f ca="1">IFERROR(__xludf.DUMMYFUNCTION("""COMPUTED_VALUE"""),"F")</f>
        <v>F</v>
      </c>
      <c r="F2037" s="114" t="str">
        <f ca="1">IFERROR(__xludf.DUMMYFUNCTION("""COMPUTED_VALUE"""),"J")</f>
        <v>J</v>
      </c>
      <c r="G2037" s="114">
        <f ca="1">IFERROR(__xludf.DUMMYFUNCTION("""COMPUTED_VALUE"""),4)</f>
        <v>4</v>
      </c>
      <c r="H2037" s="112" t="str">
        <f ca="1"/>
        <v/>
      </c>
      <c r="I2037" s="112" t="str">
        <f ca="1"/>
        <v/>
      </c>
    </row>
    <row r="2038" spans="1:9" ht="13.2">
      <c r="A2038" s="109" t="str">
        <f ca="1">IFERROR(__xludf.DUMMYFUNCTION("""COMPUTED_VALUE"""),"T")</f>
        <v>T</v>
      </c>
      <c r="B2038" s="108" t="str">
        <f ca="1">IFERROR(__xludf.DUMMYFUNCTION("""COMPUTED_VALUE"""),"Aleko Misitzis")</f>
        <v>Aleko Misitzis</v>
      </c>
      <c r="C2038" s="109">
        <f ca="1">IFERROR(__xludf.DUMMYFUNCTION("""COMPUTED_VALUE"""),7)</f>
        <v>7</v>
      </c>
      <c r="D2038" s="109" t="str">
        <f ca="1">IFERROR(__xludf.DUMMYFUNCTION("""COMPUTED_VALUE"""),"B")</f>
        <v>B</v>
      </c>
      <c r="E2038" s="110" t="str">
        <f ca="1">IFERROR(__xludf.DUMMYFUNCTION("""COMPUTED_VALUE"""),"F")</f>
        <v>F</v>
      </c>
      <c r="F2038" s="114" t="str">
        <f ca="1">IFERROR(__xludf.DUMMYFUNCTION("""COMPUTED_VALUE"""),"J")</f>
        <v>J</v>
      </c>
      <c r="G2038" s="114">
        <f ca="1">IFERROR(__xludf.DUMMYFUNCTION("""COMPUTED_VALUE"""),4)</f>
        <v>4</v>
      </c>
      <c r="H2038" s="112" t="str">
        <f ca="1"/>
        <v/>
      </c>
      <c r="I2038" s="112" t="str">
        <f ca="1"/>
        <v/>
      </c>
    </row>
    <row r="2039" spans="1:9" ht="13.2">
      <c r="A2039" s="109" t="str">
        <f ca="1">IFERROR(__xludf.DUMMYFUNCTION("""COMPUTED_VALUE"""),"T")</f>
        <v>T</v>
      </c>
      <c r="B2039" s="108" t="str">
        <f ca="1">IFERROR(__xludf.DUMMYFUNCTION("""COMPUTED_VALUE"""),"Artemiy Hartingh")</f>
        <v>Artemiy Hartingh</v>
      </c>
      <c r="C2039" s="109">
        <f ca="1">IFERROR(__xludf.DUMMYFUNCTION("""COMPUTED_VALUE"""),10)</f>
        <v>10</v>
      </c>
      <c r="D2039" s="109" t="str">
        <f ca="1">IFERROR(__xludf.DUMMYFUNCTION("""COMPUTED_VALUE"""),"B")</f>
        <v>B</v>
      </c>
      <c r="E2039" s="110" t="str">
        <f ca="1">IFERROR(__xludf.DUMMYFUNCTION("""COMPUTED_VALUE"""),"F")</f>
        <v>F</v>
      </c>
      <c r="F2039" s="114" t="str">
        <f ca="1">IFERROR(__xludf.DUMMYFUNCTION("""COMPUTED_VALUE"""),"J")</f>
        <v>J</v>
      </c>
      <c r="G2039" s="114">
        <f ca="1">IFERROR(__xludf.DUMMYFUNCTION("""COMPUTED_VALUE"""),4)</f>
        <v>4</v>
      </c>
      <c r="H2039" s="112" t="str">
        <f ca="1"/>
        <v/>
      </c>
      <c r="I2039" s="112" t="str">
        <f ca="1"/>
        <v/>
      </c>
    </row>
    <row r="2040" spans="1:9" ht="13.2">
      <c r="A2040" s="109" t="str">
        <f ca="1">IFERROR(__xludf.DUMMYFUNCTION("""COMPUTED_VALUE"""),"T")</f>
        <v>T</v>
      </c>
      <c r="B2040" s="108" t="str">
        <f ca="1">IFERROR(__xludf.DUMMYFUNCTION("""COMPUTED_VALUE"""),"Ben Engola")</f>
        <v>Ben Engola</v>
      </c>
      <c r="C2040" s="109">
        <f ca="1">IFERROR(__xludf.DUMMYFUNCTION("""COMPUTED_VALUE"""),10)</f>
        <v>10</v>
      </c>
      <c r="D2040" s="109" t="str">
        <f ca="1">IFERROR(__xludf.DUMMYFUNCTION("""COMPUTED_VALUE"""),"B")</f>
        <v>B</v>
      </c>
      <c r="E2040" s="110" t="str">
        <f ca="1">IFERROR(__xludf.DUMMYFUNCTION("""COMPUTED_VALUE"""),"F")</f>
        <v>F</v>
      </c>
      <c r="F2040" s="114" t="str">
        <f ca="1">IFERROR(__xludf.DUMMYFUNCTION("""COMPUTED_VALUE"""),"J")</f>
        <v>J</v>
      </c>
      <c r="G2040" s="114">
        <f ca="1">IFERROR(__xludf.DUMMYFUNCTION("""COMPUTED_VALUE"""),4)</f>
        <v>4</v>
      </c>
      <c r="H2040" s="112" t="str">
        <f ca="1"/>
        <v/>
      </c>
      <c r="I2040" s="112" t="str">
        <f ca="1"/>
        <v/>
      </c>
    </row>
    <row r="2041" spans="1:9" ht="13.2">
      <c r="A2041" s="109" t="str">
        <f ca="1">IFERROR(__xludf.DUMMYFUNCTION("""COMPUTED_VALUE"""),"T")</f>
        <v>T</v>
      </c>
      <c r="B2041" s="108" t="str">
        <f ca="1">IFERROR(__xludf.DUMMYFUNCTION("""COMPUTED_VALUE"""),"Benny Edelson")</f>
        <v>Benny Edelson</v>
      </c>
      <c r="C2041" s="109">
        <f ca="1">IFERROR(__xludf.DUMMYFUNCTION("""COMPUTED_VALUE"""),7)</f>
        <v>7</v>
      </c>
      <c r="D2041" s="109" t="str">
        <f ca="1">IFERROR(__xludf.DUMMYFUNCTION("""COMPUTED_VALUE"""),"B")</f>
        <v>B</v>
      </c>
      <c r="E2041" s="110" t="str">
        <f ca="1">IFERROR(__xludf.DUMMYFUNCTION("""COMPUTED_VALUE"""),"F")</f>
        <v>F</v>
      </c>
      <c r="F2041" s="114" t="str">
        <f ca="1">IFERROR(__xludf.DUMMYFUNCTION("""COMPUTED_VALUE"""),"J")</f>
        <v>J</v>
      </c>
      <c r="G2041" s="114">
        <f ca="1">IFERROR(__xludf.DUMMYFUNCTION("""COMPUTED_VALUE"""),4)</f>
        <v>4</v>
      </c>
      <c r="H2041" s="112" t="str">
        <f ca="1"/>
        <v/>
      </c>
      <c r="I2041" s="112" t="str">
        <f ca="1"/>
        <v/>
      </c>
    </row>
    <row r="2042" spans="1:9" ht="13.2">
      <c r="A2042" s="109" t="str">
        <f ca="1">IFERROR(__xludf.DUMMYFUNCTION("""COMPUTED_VALUE"""),"T")</f>
        <v>T</v>
      </c>
      <c r="B2042" s="108" t="str">
        <f ca="1">IFERROR(__xludf.DUMMYFUNCTION("""COMPUTED_VALUE"""),"Bo Shinskie")</f>
        <v>Bo Shinskie</v>
      </c>
      <c r="C2042" s="109">
        <f ca="1">IFERROR(__xludf.DUMMYFUNCTION("""COMPUTED_VALUE"""),6)</f>
        <v>6</v>
      </c>
      <c r="D2042" s="109" t="str">
        <f ca="1">IFERROR(__xludf.DUMMYFUNCTION("""COMPUTED_VALUE"""),"B")</f>
        <v>B</v>
      </c>
      <c r="E2042" s="110" t="str">
        <f ca="1">IFERROR(__xludf.DUMMYFUNCTION("""COMPUTED_VALUE"""),"F")</f>
        <v>F</v>
      </c>
      <c r="F2042" s="114" t="str">
        <f ca="1">IFERROR(__xludf.DUMMYFUNCTION("""COMPUTED_VALUE"""),"J")</f>
        <v>J</v>
      </c>
      <c r="G2042" s="114">
        <f ca="1">IFERROR(__xludf.DUMMYFUNCTION("""COMPUTED_VALUE"""),4)</f>
        <v>4</v>
      </c>
      <c r="H2042" s="112" t="str">
        <f ca="1"/>
        <v/>
      </c>
      <c r="I2042" s="112" t="str">
        <f ca="1"/>
        <v/>
      </c>
    </row>
    <row r="2043" spans="1:9" ht="13.2">
      <c r="A2043" s="109" t="str">
        <f ca="1">IFERROR(__xludf.DUMMYFUNCTION("""COMPUTED_VALUE"""),"T")</f>
        <v>T</v>
      </c>
      <c r="B2043" s="108" t="str">
        <f ca="1">IFERROR(__xludf.DUMMYFUNCTION("""COMPUTED_VALUE"""),"Calian Johnson")</f>
        <v>Calian Johnson</v>
      </c>
      <c r="C2043" s="109">
        <f ca="1">IFERROR(__xludf.DUMMYFUNCTION("""COMPUTED_VALUE"""),9)</f>
        <v>9</v>
      </c>
      <c r="D2043" s="109" t="str">
        <f ca="1">IFERROR(__xludf.DUMMYFUNCTION("""COMPUTED_VALUE"""),"B")</f>
        <v>B</v>
      </c>
      <c r="E2043" s="110" t="str">
        <f ca="1">IFERROR(__xludf.DUMMYFUNCTION("""COMPUTED_VALUE"""),"F")</f>
        <v>F</v>
      </c>
      <c r="F2043" s="114" t="str">
        <f ca="1">IFERROR(__xludf.DUMMYFUNCTION("""COMPUTED_VALUE"""),"J")</f>
        <v>J</v>
      </c>
      <c r="G2043" s="114">
        <f ca="1">IFERROR(__xludf.DUMMYFUNCTION("""COMPUTED_VALUE"""),4)</f>
        <v>4</v>
      </c>
      <c r="H2043" s="112" t="str">
        <f ca="1"/>
        <v/>
      </c>
      <c r="I2043" s="112" t="str">
        <f ca="1"/>
        <v/>
      </c>
    </row>
    <row r="2044" spans="1:9" ht="13.2">
      <c r="A2044" s="109" t="str">
        <f ca="1">IFERROR(__xludf.DUMMYFUNCTION("""COMPUTED_VALUE"""),"T")</f>
        <v>T</v>
      </c>
      <c r="B2044" s="108" t="str">
        <f ca="1">IFERROR(__xludf.DUMMYFUNCTION("""COMPUTED_VALUE"""),"Duncan Kimmett")</f>
        <v>Duncan Kimmett</v>
      </c>
      <c r="C2044" s="109">
        <f ca="1">IFERROR(__xludf.DUMMYFUNCTION("""COMPUTED_VALUE"""),9)</f>
        <v>9</v>
      </c>
      <c r="D2044" s="109" t="str">
        <f ca="1">IFERROR(__xludf.DUMMYFUNCTION("""COMPUTED_VALUE"""),"B")</f>
        <v>B</v>
      </c>
      <c r="E2044" s="110" t="str">
        <f ca="1">IFERROR(__xludf.DUMMYFUNCTION("""COMPUTED_VALUE"""),"F")</f>
        <v>F</v>
      </c>
      <c r="F2044" s="114" t="str">
        <f ca="1">IFERROR(__xludf.DUMMYFUNCTION("""COMPUTED_VALUE"""),"J")</f>
        <v>J</v>
      </c>
      <c r="G2044" s="114">
        <f ca="1">IFERROR(__xludf.DUMMYFUNCTION("""COMPUTED_VALUE"""),4)</f>
        <v>4</v>
      </c>
      <c r="H2044" s="112" t="str">
        <f ca="1"/>
        <v/>
      </c>
      <c r="I2044" s="112" t="str">
        <f ca="1"/>
        <v/>
      </c>
    </row>
    <row r="2045" spans="1:9" ht="13.2">
      <c r="A2045" s="109" t="str">
        <f ca="1">IFERROR(__xludf.DUMMYFUNCTION("""COMPUTED_VALUE"""),"T")</f>
        <v>T</v>
      </c>
      <c r="B2045" s="108" t="str">
        <f ca="1">IFERROR(__xludf.DUMMYFUNCTION("""COMPUTED_VALUE"""),"Isaac Fonner")</f>
        <v>Isaac Fonner</v>
      </c>
      <c r="C2045" s="109">
        <f ca="1">IFERROR(__xludf.DUMMYFUNCTION("""COMPUTED_VALUE"""),10)</f>
        <v>10</v>
      </c>
      <c r="D2045" s="109" t="str">
        <f ca="1">IFERROR(__xludf.DUMMYFUNCTION("""COMPUTED_VALUE"""),"B")</f>
        <v>B</v>
      </c>
      <c r="E2045" s="110" t="str">
        <f ca="1">IFERROR(__xludf.DUMMYFUNCTION("""COMPUTED_VALUE"""),"F")</f>
        <v>F</v>
      </c>
      <c r="F2045" s="114" t="str">
        <f ca="1">IFERROR(__xludf.DUMMYFUNCTION("""COMPUTED_VALUE"""),"J")</f>
        <v>J</v>
      </c>
      <c r="G2045" s="114">
        <f ca="1">IFERROR(__xludf.DUMMYFUNCTION("""COMPUTED_VALUE"""),4)</f>
        <v>4</v>
      </c>
      <c r="H2045" s="112" t="str">
        <f ca="1"/>
        <v/>
      </c>
      <c r="I2045" s="112" t="str">
        <f ca="1"/>
        <v/>
      </c>
    </row>
    <row r="2046" spans="1:9" ht="13.2">
      <c r="A2046" s="109" t="str">
        <f ca="1">IFERROR(__xludf.DUMMYFUNCTION("""COMPUTED_VALUE"""),"T")</f>
        <v>T</v>
      </c>
      <c r="B2046" s="108" t="str">
        <f ca="1">IFERROR(__xludf.DUMMYFUNCTION("""COMPUTED_VALUE"""),"Isaac Shinskie")</f>
        <v>Isaac Shinskie</v>
      </c>
      <c r="C2046" s="109">
        <f ca="1">IFERROR(__xludf.DUMMYFUNCTION("""COMPUTED_VALUE"""),9)</f>
        <v>9</v>
      </c>
      <c r="D2046" s="109" t="str">
        <f ca="1">IFERROR(__xludf.DUMMYFUNCTION("""COMPUTED_VALUE"""),"B")</f>
        <v>B</v>
      </c>
      <c r="E2046" s="110" t="str">
        <f ca="1">IFERROR(__xludf.DUMMYFUNCTION("""COMPUTED_VALUE"""),"F")</f>
        <v>F</v>
      </c>
      <c r="F2046" s="114" t="str">
        <f ca="1">IFERROR(__xludf.DUMMYFUNCTION("""COMPUTED_VALUE"""),"J")</f>
        <v>J</v>
      </c>
      <c r="G2046" s="114">
        <f ca="1">IFERROR(__xludf.DUMMYFUNCTION("""COMPUTED_VALUE"""),4)</f>
        <v>4</v>
      </c>
      <c r="H2046" s="112" t="str">
        <f ca="1"/>
        <v/>
      </c>
      <c r="I2046" s="112" t="str">
        <f ca="1"/>
        <v/>
      </c>
    </row>
    <row r="2047" spans="1:9" ht="13.2">
      <c r="A2047" s="109" t="str">
        <f ca="1">IFERROR(__xludf.DUMMYFUNCTION("""COMPUTED_VALUE"""),"T")</f>
        <v>T</v>
      </c>
      <c r="B2047" s="108" t="str">
        <f ca="1">IFERROR(__xludf.DUMMYFUNCTION("""COMPUTED_VALUE"""),"Josh Edelson")</f>
        <v>Josh Edelson</v>
      </c>
      <c r="C2047" s="109">
        <f ca="1">IFERROR(__xludf.DUMMYFUNCTION("""COMPUTED_VALUE"""),10)</f>
        <v>10</v>
      </c>
      <c r="D2047" s="109" t="str">
        <f ca="1">IFERROR(__xludf.DUMMYFUNCTION("""COMPUTED_VALUE"""),"B")</f>
        <v>B</v>
      </c>
      <c r="E2047" s="110" t="str">
        <f ca="1">IFERROR(__xludf.DUMMYFUNCTION("""COMPUTED_VALUE"""),"F")</f>
        <v>F</v>
      </c>
      <c r="F2047" s="114" t="str">
        <f ca="1">IFERROR(__xludf.DUMMYFUNCTION("""COMPUTED_VALUE"""),"J")</f>
        <v>J</v>
      </c>
      <c r="G2047" s="114">
        <f ca="1">IFERROR(__xludf.DUMMYFUNCTION("""COMPUTED_VALUE"""),4)</f>
        <v>4</v>
      </c>
      <c r="H2047" s="112" t="str">
        <f ca="1"/>
        <v/>
      </c>
      <c r="I2047" s="112" t="str">
        <f ca="1"/>
        <v/>
      </c>
    </row>
    <row r="2048" spans="1:9" ht="13.2">
      <c r="A2048" s="109" t="str">
        <f ca="1">IFERROR(__xludf.DUMMYFUNCTION("""COMPUTED_VALUE"""),"T")</f>
        <v>T</v>
      </c>
      <c r="B2048" s="108" t="str">
        <f ca="1">IFERROR(__xludf.DUMMYFUNCTION("""COMPUTED_VALUE"""),"Madison Regulski")</f>
        <v>Madison Regulski</v>
      </c>
      <c r="C2048" s="109">
        <f ca="1">IFERROR(__xludf.DUMMYFUNCTION("""COMPUTED_VALUE"""),10)</f>
        <v>10</v>
      </c>
      <c r="D2048" s="109" t="str">
        <f ca="1">IFERROR(__xludf.DUMMYFUNCTION("""COMPUTED_VALUE"""),"B")</f>
        <v>B</v>
      </c>
      <c r="E2048" s="110" t="str">
        <f ca="1">IFERROR(__xludf.DUMMYFUNCTION("""COMPUTED_VALUE"""),"F")</f>
        <v>F</v>
      </c>
      <c r="F2048" s="114" t="str">
        <f ca="1">IFERROR(__xludf.DUMMYFUNCTION("""COMPUTED_VALUE"""),"J")</f>
        <v>J</v>
      </c>
      <c r="G2048" s="114">
        <f ca="1">IFERROR(__xludf.DUMMYFUNCTION("""COMPUTED_VALUE"""),4)</f>
        <v>4</v>
      </c>
      <c r="H2048" s="112" t="str">
        <f ca="1"/>
        <v/>
      </c>
      <c r="I2048" s="112" t="str">
        <f ca="1"/>
        <v/>
      </c>
    </row>
    <row r="2049" spans="1:9" ht="13.2">
      <c r="A2049" s="109" t="str">
        <f ca="1">IFERROR(__xludf.DUMMYFUNCTION("""COMPUTED_VALUE"""),"T")</f>
        <v>T</v>
      </c>
      <c r="B2049" s="108" t="str">
        <f ca="1">IFERROR(__xludf.DUMMYFUNCTION("""COMPUTED_VALUE"""),"Max Waisberg")</f>
        <v>Max Waisberg</v>
      </c>
      <c r="C2049" s="109">
        <f ca="1">IFERROR(__xludf.DUMMYFUNCTION("""COMPUTED_VALUE"""),7)</f>
        <v>7</v>
      </c>
      <c r="D2049" s="109" t="str">
        <f ca="1">IFERROR(__xludf.DUMMYFUNCTION("""COMPUTED_VALUE"""),"B")</f>
        <v>B</v>
      </c>
      <c r="E2049" s="110" t="str">
        <f ca="1">IFERROR(__xludf.DUMMYFUNCTION("""COMPUTED_VALUE"""),"F")</f>
        <v>F</v>
      </c>
      <c r="F2049" s="114" t="str">
        <f ca="1">IFERROR(__xludf.DUMMYFUNCTION("""COMPUTED_VALUE"""),"J")</f>
        <v>J</v>
      </c>
      <c r="G2049" s="114">
        <f ca="1">IFERROR(__xludf.DUMMYFUNCTION("""COMPUTED_VALUE"""),4)</f>
        <v>4</v>
      </c>
      <c r="H2049" s="112" t="str">
        <f ca="1"/>
        <v/>
      </c>
      <c r="I2049" s="112" t="str">
        <f ca="1"/>
        <v/>
      </c>
    </row>
    <row r="2050" spans="1:9" ht="13.2">
      <c r="A2050" s="109" t="str">
        <f ca="1">IFERROR(__xludf.DUMMYFUNCTION("""COMPUTED_VALUE"""),"T")</f>
        <v>T</v>
      </c>
      <c r="B2050" s="108" t="str">
        <f ca="1">IFERROR(__xludf.DUMMYFUNCTION("""COMPUTED_VALUE"""),"Nico Gaeta")</f>
        <v>Nico Gaeta</v>
      </c>
      <c r="C2050" s="109">
        <f ca="1">IFERROR(__xludf.DUMMYFUNCTION("""COMPUTED_VALUE"""),7)</f>
        <v>7</v>
      </c>
      <c r="D2050" s="109" t="str">
        <f ca="1">IFERROR(__xludf.DUMMYFUNCTION("""COMPUTED_VALUE"""),"B")</f>
        <v>B</v>
      </c>
      <c r="E2050" s="110" t="str">
        <f ca="1">IFERROR(__xludf.DUMMYFUNCTION("""COMPUTED_VALUE"""),"F")</f>
        <v>F</v>
      </c>
      <c r="F2050" s="114" t="str">
        <f ca="1">IFERROR(__xludf.DUMMYFUNCTION("""COMPUTED_VALUE"""),"J")</f>
        <v>J</v>
      </c>
      <c r="G2050" s="114">
        <f ca="1">IFERROR(__xludf.DUMMYFUNCTION("""COMPUTED_VALUE"""),4)</f>
        <v>4</v>
      </c>
      <c r="H2050" s="112" t="str">
        <f ca="1"/>
        <v>20.7</v>
      </c>
      <c r="I2050" s="112">
        <f ca="1"/>
        <v>20.7</v>
      </c>
    </row>
    <row r="2051" spans="1:9" ht="13.2">
      <c r="A2051" s="109" t="str">
        <f ca="1">IFERROR(__xludf.DUMMYFUNCTION("""COMPUTED_VALUE"""),"T")</f>
        <v>T</v>
      </c>
      <c r="B2051" s="108" t="str">
        <f ca="1">IFERROR(__xludf.DUMMYFUNCTION("""COMPUTED_VALUE"""),"Northe Johnson")</f>
        <v>Northe Johnson</v>
      </c>
      <c r="C2051" s="109">
        <f ca="1">IFERROR(__xludf.DUMMYFUNCTION("""COMPUTED_VALUE"""),8)</f>
        <v>8</v>
      </c>
      <c r="D2051" s="109" t="str">
        <f ca="1">IFERROR(__xludf.DUMMYFUNCTION("""COMPUTED_VALUE"""),"B")</f>
        <v>B</v>
      </c>
      <c r="E2051" s="110" t="str">
        <f ca="1">IFERROR(__xludf.DUMMYFUNCTION("""COMPUTED_VALUE"""),"F")</f>
        <v>F</v>
      </c>
      <c r="F2051" s="114" t="str">
        <f ca="1">IFERROR(__xludf.DUMMYFUNCTION("""COMPUTED_VALUE"""),"J")</f>
        <v>J</v>
      </c>
      <c r="G2051" s="114">
        <f ca="1">IFERROR(__xludf.DUMMYFUNCTION("""COMPUTED_VALUE"""),4)</f>
        <v>4</v>
      </c>
      <c r="H2051" s="112" t="str">
        <f ca="1"/>
        <v/>
      </c>
      <c r="I2051" s="112" t="str">
        <f ca="1"/>
        <v/>
      </c>
    </row>
    <row r="2052" spans="1:9" ht="13.2">
      <c r="A2052" s="109" t="str">
        <f ca="1">IFERROR(__xludf.DUMMYFUNCTION("""COMPUTED_VALUE"""),"T")</f>
        <v>T</v>
      </c>
      <c r="B2052" s="108" t="str">
        <f ca="1">IFERROR(__xludf.DUMMYFUNCTION("""COMPUTED_VALUE"""),"Oliver Katz")</f>
        <v>Oliver Katz</v>
      </c>
      <c r="C2052" s="109">
        <f ca="1">IFERROR(__xludf.DUMMYFUNCTION("""COMPUTED_VALUE"""),9)</f>
        <v>9</v>
      </c>
      <c r="D2052" s="109" t="str">
        <f ca="1">IFERROR(__xludf.DUMMYFUNCTION("""COMPUTED_VALUE"""),"B")</f>
        <v>B</v>
      </c>
      <c r="E2052" s="110" t="str">
        <f ca="1">IFERROR(__xludf.DUMMYFUNCTION("""COMPUTED_VALUE"""),"F")</f>
        <v>F</v>
      </c>
      <c r="F2052" s="114" t="str">
        <f ca="1">IFERROR(__xludf.DUMMYFUNCTION("""COMPUTED_VALUE"""),"J")</f>
        <v>J</v>
      </c>
      <c r="G2052" s="114">
        <f ca="1">IFERROR(__xludf.DUMMYFUNCTION("""COMPUTED_VALUE"""),4)</f>
        <v>4</v>
      </c>
      <c r="H2052" s="112" t="str">
        <f ca="1"/>
        <v/>
      </c>
      <c r="I2052" s="112" t="str">
        <f ca="1"/>
        <v/>
      </c>
    </row>
    <row r="2053" spans="1:9" ht="13.2">
      <c r="A2053" s="109" t="str">
        <f ca="1">IFERROR(__xludf.DUMMYFUNCTION("""COMPUTED_VALUE"""),"T")</f>
        <v>T</v>
      </c>
      <c r="B2053" s="108" t="str">
        <f ca="1">IFERROR(__xludf.DUMMYFUNCTION("""COMPUTED_VALUE"""),"Oliver Waisberg")</f>
        <v>Oliver Waisberg</v>
      </c>
      <c r="C2053" s="109">
        <f ca="1">IFERROR(__xludf.DUMMYFUNCTION("""COMPUTED_VALUE"""),7)</f>
        <v>7</v>
      </c>
      <c r="D2053" s="109" t="str">
        <f ca="1">IFERROR(__xludf.DUMMYFUNCTION("""COMPUTED_VALUE"""),"B")</f>
        <v>B</v>
      </c>
      <c r="E2053" s="110" t="str">
        <f ca="1">IFERROR(__xludf.DUMMYFUNCTION("""COMPUTED_VALUE"""),"F")</f>
        <v>F</v>
      </c>
      <c r="F2053" s="114" t="str">
        <f ca="1">IFERROR(__xludf.DUMMYFUNCTION("""COMPUTED_VALUE"""),"J")</f>
        <v>J</v>
      </c>
      <c r="G2053" s="114">
        <f ca="1">IFERROR(__xludf.DUMMYFUNCTION("""COMPUTED_VALUE"""),4)</f>
        <v>4</v>
      </c>
      <c r="H2053" s="112" t="str">
        <f ca="1"/>
        <v/>
      </c>
      <c r="I2053" s="112" t="str">
        <f ca="1"/>
        <v/>
      </c>
    </row>
    <row r="2054" spans="1:9" ht="13.2">
      <c r="A2054" s="109" t="str">
        <f ca="1">IFERROR(__xludf.DUMMYFUNCTION("""COMPUTED_VALUE"""),"T")</f>
        <v>T</v>
      </c>
      <c r="B2054" s="108" t="str">
        <f ca="1">IFERROR(__xludf.DUMMYFUNCTION("""COMPUTED_VALUE"""),"Owen Glasser")</f>
        <v>Owen Glasser</v>
      </c>
      <c r="C2054" s="109">
        <f ca="1">IFERROR(__xludf.DUMMYFUNCTION("""COMPUTED_VALUE"""),8)</f>
        <v>8</v>
      </c>
      <c r="D2054" s="109" t="str">
        <f ca="1">IFERROR(__xludf.DUMMYFUNCTION("""COMPUTED_VALUE"""),"B")</f>
        <v>B</v>
      </c>
      <c r="E2054" s="110" t="str">
        <f ca="1">IFERROR(__xludf.DUMMYFUNCTION("""COMPUTED_VALUE"""),"F")</f>
        <v>F</v>
      </c>
      <c r="F2054" s="114" t="str">
        <f ca="1">IFERROR(__xludf.DUMMYFUNCTION("""COMPUTED_VALUE"""),"J")</f>
        <v>J</v>
      </c>
      <c r="G2054" s="114">
        <f ca="1">IFERROR(__xludf.DUMMYFUNCTION("""COMPUTED_VALUE"""),4)</f>
        <v>4</v>
      </c>
      <c r="H2054" s="112" t="str">
        <f ca="1"/>
        <v/>
      </c>
      <c r="I2054" s="112" t="str">
        <f ca="1"/>
        <v/>
      </c>
    </row>
    <row r="2055" spans="1:9" ht="13.2">
      <c r="A2055" s="109" t="str">
        <f ca="1">IFERROR(__xludf.DUMMYFUNCTION("""COMPUTED_VALUE"""),"T")</f>
        <v>T</v>
      </c>
      <c r="B2055" s="108" t="str">
        <f ca="1">IFERROR(__xludf.DUMMYFUNCTION("""COMPUTED_VALUE"""),"Parker Smith")</f>
        <v>Parker Smith</v>
      </c>
      <c r="C2055" s="109">
        <f ca="1">IFERROR(__xludf.DUMMYFUNCTION("""COMPUTED_VALUE"""),9)</f>
        <v>9</v>
      </c>
      <c r="D2055" s="109" t="str">
        <f ca="1">IFERROR(__xludf.DUMMYFUNCTION("""COMPUTED_VALUE"""),"B")</f>
        <v>B</v>
      </c>
      <c r="E2055" s="110" t="str">
        <f ca="1">IFERROR(__xludf.DUMMYFUNCTION("""COMPUTED_VALUE"""),"F")</f>
        <v>F</v>
      </c>
      <c r="F2055" s="114" t="str">
        <f ca="1">IFERROR(__xludf.DUMMYFUNCTION("""COMPUTED_VALUE"""),"J")</f>
        <v>J</v>
      </c>
      <c r="G2055" s="114">
        <f ca="1">IFERROR(__xludf.DUMMYFUNCTION("""COMPUTED_VALUE"""),4)</f>
        <v>4</v>
      </c>
      <c r="H2055" s="112" t="str">
        <f ca="1"/>
        <v>19.7</v>
      </c>
      <c r="I2055" s="112">
        <f ca="1"/>
        <v>19.7</v>
      </c>
    </row>
    <row r="2056" spans="1:9" ht="13.2">
      <c r="A2056" s="109" t="str">
        <f ca="1">IFERROR(__xludf.DUMMYFUNCTION("""COMPUTED_VALUE"""),"T")</f>
        <v>T</v>
      </c>
      <c r="B2056" s="108" t="str">
        <f ca="1">IFERROR(__xludf.DUMMYFUNCTION("""COMPUTED_VALUE"""),"Vahn Springer")</f>
        <v>Vahn Springer</v>
      </c>
      <c r="C2056" s="109">
        <f ca="1">IFERROR(__xludf.DUMMYFUNCTION("""COMPUTED_VALUE"""),7)</f>
        <v>7</v>
      </c>
      <c r="D2056" s="109" t="str">
        <f ca="1">IFERROR(__xludf.DUMMYFUNCTION("""COMPUTED_VALUE"""),"B")</f>
        <v>B</v>
      </c>
      <c r="E2056" s="110" t="str">
        <f ca="1">IFERROR(__xludf.DUMMYFUNCTION("""COMPUTED_VALUE"""),"F")</f>
        <v>F</v>
      </c>
      <c r="F2056" s="114" t="str">
        <f ca="1">IFERROR(__xludf.DUMMYFUNCTION("""COMPUTED_VALUE"""),"J")</f>
        <v>J</v>
      </c>
      <c r="G2056" s="114">
        <f ca="1">IFERROR(__xludf.DUMMYFUNCTION("""COMPUTED_VALUE"""),4)</f>
        <v>4</v>
      </c>
      <c r="H2056" s="112" t="str">
        <f ca="1"/>
        <v/>
      </c>
      <c r="I2056" s="112" t="str">
        <f ca="1"/>
        <v/>
      </c>
    </row>
    <row r="2057" spans="1:9" ht="13.2">
      <c r="A2057" s="109" t="str">
        <f ca="1">IFERROR(__xludf.DUMMYFUNCTION("""COMPUTED_VALUE"""),"T")</f>
        <v>T</v>
      </c>
      <c r="B2057" s="108" t="str">
        <f ca="1">IFERROR(__xludf.DUMMYFUNCTION("""COMPUTED_VALUE"""),"Victor Rodriguez")</f>
        <v>Victor Rodriguez</v>
      </c>
      <c r="C2057" s="109">
        <f ca="1">IFERROR(__xludf.DUMMYFUNCTION("""COMPUTED_VALUE"""),7)</f>
        <v>7</v>
      </c>
      <c r="D2057" s="109" t="str">
        <f ca="1">IFERROR(__xludf.DUMMYFUNCTION("""COMPUTED_VALUE"""),"B")</f>
        <v>B</v>
      </c>
      <c r="E2057" s="110" t="str">
        <f ca="1">IFERROR(__xludf.DUMMYFUNCTION("""COMPUTED_VALUE"""),"F")</f>
        <v>F</v>
      </c>
      <c r="F2057" s="114" t="str">
        <f ca="1">IFERROR(__xludf.DUMMYFUNCTION("""COMPUTED_VALUE"""),"J")</f>
        <v>J</v>
      </c>
      <c r="G2057" s="114">
        <f ca="1">IFERROR(__xludf.DUMMYFUNCTION("""COMPUTED_VALUE"""),4)</f>
        <v>4</v>
      </c>
      <c r="H2057" s="112" t="str">
        <f ca="1"/>
        <v/>
      </c>
      <c r="I2057" s="112" t="str">
        <f ca="1"/>
        <v/>
      </c>
    </row>
    <row r="2058" spans="1:9" ht="13.2">
      <c r="A2058" s="109" t="str">
        <f ca="1">IFERROR(__xludf.DUMMYFUNCTION("""COMPUTED_VALUE"""),"T")</f>
        <v>T</v>
      </c>
      <c r="B2058" s="108" t="str">
        <f ca="1">IFERROR(__xludf.DUMMYFUNCTION("""COMPUTED_VALUE"""),"Allegra Han")</f>
        <v>Allegra Han</v>
      </c>
      <c r="C2058" s="109">
        <f ca="1">IFERROR(__xludf.DUMMYFUNCTION("""COMPUTED_VALUE"""),8)</f>
        <v>8</v>
      </c>
      <c r="D2058" s="109" t="str">
        <f ca="1">IFERROR(__xludf.DUMMYFUNCTION("""COMPUTED_VALUE"""),"G")</f>
        <v>G</v>
      </c>
      <c r="E2058" s="110" t="str">
        <f ca="1">IFERROR(__xludf.DUMMYFUNCTION("""COMPUTED_VALUE"""),"F")</f>
        <v>F</v>
      </c>
      <c r="F2058" s="114" t="str">
        <f ca="1">IFERROR(__xludf.DUMMYFUNCTION("""COMPUTED_VALUE"""),"J")</f>
        <v>J</v>
      </c>
      <c r="G2058" s="114">
        <f ca="1">IFERROR(__xludf.DUMMYFUNCTION("""COMPUTED_VALUE"""),4)</f>
        <v>4</v>
      </c>
      <c r="H2058" s="112" t="str">
        <f ca="1"/>
        <v/>
      </c>
      <c r="I2058" s="112" t="str">
        <f ca="1"/>
        <v/>
      </c>
    </row>
    <row r="2059" spans="1:9" ht="13.2">
      <c r="A2059" s="109" t="str">
        <f ca="1">IFERROR(__xludf.DUMMYFUNCTION("""COMPUTED_VALUE"""),"T")</f>
        <v>T</v>
      </c>
      <c r="B2059" s="108" t="str">
        <f ca="1">IFERROR(__xludf.DUMMYFUNCTION("""COMPUTED_VALUE"""),"Annika Patel")</f>
        <v>Annika Patel</v>
      </c>
      <c r="C2059" s="109">
        <f ca="1">IFERROR(__xludf.DUMMYFUNCTION("""COMPUTED_VALUE"""),10)</f>
        <v>10</v>
      </c>
      <c r="D2059" s="109" t="str">
        <f ca="1">IFERROR(__xludf.DUMMYFUNCTION("""COMPUTED_VALUE"""),"G")</f>
        <v>G</v>
      </c>
      <c r="E2059" s="110" t="str">
        <f ca="1">IFERROR(__xludf.DUMMYFUNCTION("""COMPUTED_VALUE"""),"F")</f>
        <v>F</v>
      </c>
      <c r="F2059" s="114" t="str">
        <f ca="1">IFERROR(__xludf.DUMMYFUNCTION("""COMPUTED_VALUE"""),"J")</f>
        <v>J</v>
      </c>
      <c r="G2059" s="114">
        <f ca="1">IFERROR(__xludf.DUMMYFUNCTION("""COMPUTED_VALUE"""),4)</f>
        <v>4</v>
      </c>
      <c r="H2059" s="112" t="str">
        <f ca="1"/>
        <v/>
      </c>
      <c r="I2059" s="112" t="str">
        <f ca="1"/>
        <v/>
      </c>
    </row>
    <row r="2060" spans="1:9" ht="13.2">
      <c r="A2060" s="109" t="str">
        <f ca="1">IFERROR(__xludf.DUMMYFUNCTION("""COMPUTED_VALUE"""),"T")</f>
        <v>T</v>
      </c>
      <c r="B2060" s="108" t="str">
        <f ca="1">IFERROR(__xludf.DUMMYFUNCTION("""COMPUTED_VALUE"""),"Ava Howery")</f>
        <v>Ava Howery</v>
      </c>
      <c r="C2060" s="109">
        <f ca="1">IFERROR(__xludf.DUMMYFUNCTION("""COMPUTED_VALUE"""),8)</f>
        <v>8</v>
      </c>
      <c r="D2060" s="109" t="str">
        <f ca="1">IFERROR(__xludf.DUMMYFUNCTION("""COMPUTED_VALUE"""),"G")</f>
        <v>G</v>
      </c>
      <c r="E2060" s="110" t="str">
        <f ca="1">IFERROR(__xludf.DUMMYFUNCTION("""COMPUTED_VALUE"""),"F")</f>
        <v>F</v>
      </c>
      <c r="F2060" s="114" t="str">
        <f ca="1">IFERROR(__xludf.DUMMYFUNCTION("""COMPUTED_VALUE"""),"J")</f>
        <v>J</v>
      </c>
      <c r="G2060" s="114">
        <f ca="1">IFERROR(__xludf.DUMMYFUNCTION("""COMPUTED_VALUE"""),4)</f>
        <v>4</v>
      </c>
      <c r="H2060" s="112" t="str">
        <f ca="1"/>
        <v/>
      </c>
      <c r="I2060" s="112" t="str">
        <f ca="1"/>
        <v/>
      </c>
    </row>
    <row r="2061" spans="1:9" ht="13.2">
      <c r="A2061" s="109" t="str">
        <f ca="1">IFERROR(__xludf.DUMMYFUNCTION("""COMPUTED_VALUE"""),"T")</f>
        <v>T</v>
      </c>
      <c r="B2061" s="108" t="str">
        <f ca="1">IFERROR(__xludf.DUMMYFUNCTION("""COMPUTED_VALUE"""),"Chaaya Springer")</f>
        <v>Chaaya Springer</v>
      </c>
      <c r="C2061" s="109">
        <f ca="1">IFERROR(__xludf.DUMMYFUNCTION("""COMPUTED_VALUE"""),9)</f>
        <v>9</v>
      </c>
      <c r="D2061" s="109" t="str">
        <f ca="1">IFERROR(__xludf.DUMMYFUNCTION("""COMPUTED_VALUE"""),"G")</f>
        <v>G</v>
      </c>
      <c r="E2061" s="110" t="str">
        <f ca="1">IFERROR(__xludf.DUMMYFUNCTION("""COMPUTED_VALUE"""),"F")</f>
        <v>F</v>
      </c>
      <c r="F2061" s="114" t="str">
        <f ca="1">IFERROR(__xludf.DUMMYFUNCTION("""COMPUTED_VALUE"""),"J")</f>
        <v>J</v>
      </c>
      <c r="G2061" s="114">
        <f ca="1">IFERROR(__xludf.DUMMYFUNCTION("""COMPUTED_VALUE"""),4)</f>
        <v>4</v>
      </c>
      <c r="H2061" s="112" t="str">
        <f ca="1"/>
        <v/>
      </c>
      <c r="I2061" s="112" t="str">
        <f ca="1"/>
        <v/>
      </c>
    </row>
    <row r="2062" spans="1:9" ht="13.2">
      <c r="A2062" s="109" t="str">
        <f ca="1">IFERROR(__xludf.DUMMYFUNCTION("""COMPUTED_VALUE"""),"T")</f>
        <v>T</v>
      </c>
      <c r="B2062" s="108" t="str">
        <f ca="1">IFERROR(__xludf.DUMMYFUNCTION("""COMPUTED_VALUE"""),"Ella Conradt")</f>
        <v>Ella Conradt</v>
      </c>
      <c r="C2062" s="109">
        <f ca="1">IFERROR(__xludf.DUMMYFUNCTION("""COMPUTED_VALUE"""),10)</f>
        <v>10</v>
      </c>
      <c r="D2062" s="109" t="str">
        <f ca="1">IFERROR(__xludf.DUMMYFUNCTION("""COMPUTED_VALUE"""),"G")</f>
        <v>G</v>
      </c>
      <c r="E2062" s="110" t="str">
        <f ca="1">IFERROR(__xludf.DUMMYFUNCTION("""COMPUTED_VALUE"""),"F")</f>
        <v>F</v>
      </c>
      <c r="F2062" s="114" t="str">
        <f ca="1">IFERROR(__xludf.DUMMYFUNCTION("""COMPUTED_VALUE"""),"J")</f>
        <v>J</v>
      </c>
      <c r="G2062" s="114">
        <f ca="1">IFERROR(__xludf.DUMMYFUNCTION("""COMPUTED_VALUE"""),4)</f>
        <v>4</v>
      </c>
      <c r="H2062" s="112" t="str">
        <f ca="1"/>
        <v/>
      </c>
      <c r="I2062" s="112" t="str">
        <f ca="1"/>
        <v/>
      </c>
    </row>
    <row r="2063" spans="1:9" ht="13.2">
      <c r="A2063" s="109" t="str">
        <f ca="1">IFERROR(__xludf.DUMMYFUNCTION("""COMPUTED_VALUE"""),"T")</f>
        <v>T</v>
      </c>
      <c r="B2063" s="108" t="str">
        <f ca="1">IFERROR(__xludf.DUMMYFUNCTION("""COMPUTED_VALUE"""),"Emily Upp")</f>
        <v>Emily Upp</v>
      </c>
      <c r="C2063" s="109">
        <f ca="1">IFERROR(__xludf.DUMMYFUNCTION("""COMPUTED_VALUE"""),10)</f>
        <v>10</v>
      </c>
      <c r="D2063" s="109" t="str">
        <f ca="1">IFERROR(__xludf.DUMMYFUNCTION("""COMPUTED_VALUE"""),"G")</f>
        <v>G</v>
      </c>
      <c r="E2063" s="110" t="str">
        <f ca="1">IFERROR(__xludf.DUMMYFUNCTION("""COMPUTED_VALUE"""),"F")</f>
        <v>F</v>
      </c>
      <c r="F2063" s="114" t="str">
        <f ca="1">IFERROR(__xludf.DUMMYFUNCTION("""COMPUTED_VALUE"""),"J")</f>
        <v>J</v>
      </c>
      <c r="G2063" s="114">
        <f ca="1">IFERROR(__xludf.DUMMYFUNCTION("""COMPUTED_VALUE"""),4)</f>
        <v>4</v>
      </c>
      <c r="H2063" s="112" t="str">
        <f ca="1"/>
        <v/>
      </c>
      <c r="I2063" s="112" t="str">
        <f ca="1"/>
        <v/>
      </c>
    </row>
    <row r="2064" spans="1:9" ht="13.2">
      <c r="A2064" s="109" t="str">
        <f ca="1">IFERROR(__xludf.DUMMYFUNCTION("""COMPUTED_VALUE"""),"T")</f>
        <v>T</v>
      </c>
      <c r="B2064" s="108" t="str">
        <f ca="1">IFERROR(__xludf.DUMMYFUNCTION("""COMPUTED_VALUE"""),"Emily Zellers")</f>
        <v>Emily Zellers</v>
      </c>
      <c r="C2064" s="109">
        <f ca="1">IFERROR(__xludf.DUMMYFUNCTION("""COMPUTED_VALUE"""),10)</f>
        <v>10</v>
      </c>
      <c r="D2064" s="109" t="str">
        <f ca="1">IFERROR(__xludf.DUMMYFUNCTION("""COMPUTED_VALUE"""),"G")</f>
        <v>G</v>
      </c>
      <c r="E2064" s="110" t="str">
        <f ca="1">IFERROR(__xludf.DUMMYFUNCTION("""COMPUTED_VALUE"""),"F")</f>
        <v>F</v>
      </c>
      <c r="F2064" s="114" t="str">
        <f ca="1">IFERROR(__xludf.DUMMYFUNCTION("""COMPUTED_VALUE"""),"J")</f>
        <v>J</v>
      </c>
      <c r="G2064" s="114">
        <f ca="1">IFERROR(__xludf.DUMMYFUNCTION("""COMPUTED_VALUE"""),4)</f>
        <v>4</v>
      </c>
      <c r="H2064" s="112" t="str">
        <f ca="1"/>
        <v/>
      </c>
      <c r="I2064" s="112" t="str">
        <f ca="1"/>
        <v/>
      </c>
    </row>
    <row r="2065" spans="1:9" ht="13.2">
      <c r="A2065" s="109" t="str">
        <f ca="1">IFERROR(__xludf.DUMMYFUNCTION("""COMPUTED_VALUE"""),"T")</f>
        <v>T</v>
      </c>
      <c r="B2065" s="108" t="str">
        <f ca="1">IFERROR(__xludf.DUMMYFUNCTION("""COMPUTED_VALUE"""),"Eve Fath")</f>
        <v>Eve Fath</v>
      </c>
      <c r="C2065" s="109">
        <f ca="1">IFERROR(__xludf.DUMMYFUNCTION("""COMPUTED_VALUE"""),6)</f>
        <v>6</v>
      </c>
      <c r="D2065" s="109" t="str">
        <f ca="1">IFERROR(__xludf.DUMMYFUNCTION("""COMPUTED_VALUE"""),"G")</f>
        <v>G</v>
      </c>
      <c r="E2065" s="110" t="str">
        <f ca="1">IFERROR(__xludf.DUMMYFUNCTION("""COMPUTED_VALUE"""),"F")</f>
        <v>F</v>
      </c>
      <c r="F2065" s="114" t="str">
        <f ca="1">IFERROR(__xludf.DUMMYFUNCTION("""COMPUTED_VALUE"""),"J")</f>
        <v>J</v>
      </c>
      <c r="G2065" s="114">
        <f ca="1">IFERROR(__xludf.DUMMYFUNCTION("""COMPUTED_VALUE"""),4)</f>
        <v>4</v>
      </c>
      <c r="H2065" s="112" t="str">
        <f ca="1"/>
        <v/>
      </c>
      <c r="I2065" s="112" t="str">
        <f ca="1"/>
        <v/>
      </c>
    </row>
    <row r="2066" spans="1:9" ht="13.2">
      <c r="A2066" s="109" t="str">
        <f ca="1">IFERROR(__xludf.DUMMYFUNCTION("""COMPUTED_VALUE"""),"T")</f>
        <v>T</v>
      </c>
      <c r="B2066" s="108" t="str">
        <f ca="1">IFERROR(__xludf.DUMMYFUNCTION("""COMPUTED_VALUE"""),"Francesca Hernandez")</f>
        <v>Francesca Hernandez</v>
      </c>
      <c r="C2066" s="109">
        <f ca="1">IFERROR(__xludf.DUMMYFUNCTION("""COMPUTED_VALUE"""),8)</f>
        <v>8</v>
      </c>
      <c r="D2066" s="109" t="str">
        <f ca="1">IFERROR(__xludf.DUMMYFUNCTION("""COMPUTED_VALUE"""),"G")</f>
        <v>G</v>
      </c>
      <c r="E2066" s="110" t="str">
        <f ca="1">IFERROR(__xludf.DUMMYFUNCTION("""COMPUTED_VALUE"""),"F")</f>
        <v>F</v>
      </c>
      <c r="F2066" s="114" t="str">
        <f ca="1">IFERROR(__xludf.DUMMYFUNCTION("""COMPUTED_VALUE"""),"J")</f>
        <v>J</v>
      </c>
      <c r="G2066" s="114">
        <f ca="1">IFERROR(__xludf.DUMMYFUNCTION("""COMPUTED_VALUE"""),4)</f>
        <v>4</v>
      </c>
      <c r="H2066" s="112" t="str">
        <f ca="1"/>
        <v/>
      </c>
      <c r="I2066" s="112" t="str">
        <f ca="1"/>
        <v/>
      </c>
    </row>
    <row r="2067" spans="1:9" ht="13.2">
      <c r="A2067" s="109" t="str">
        <f ca="1">IFERROR(__xludf.DUMMYFUNCTION("""COMPUTED_VALUE"""),"T")</f>
        <v>T</v>
      </c>
      <c r="B2067" s="108" t="str">
        <f ca="1">IFERROR(__xludf.DUMMYFUNCTION("""COMPUTED_VALUE"""),"Gabi Rodriguez")</f>
        <v>Gabi Rodriguez</v>
      </c>
      <c r="C2067" s="109">
        <f ca="1">IFERROR(__xludf.DUMMYFUNCTION("""COMPUTED_VALUE"""),9)</f>
        <v>9</v>
      </c>
      <c r="D2067" s="109" t="str">
        <f ca="1">IFERROR(__xludf.DUMMYFUNCTION("""COMPUTED_VALUE"""),"G")</f>
        <v>G</v>
      </c>
      <c r="E2067" s="110" t="str">
        <f ca="1">IFERROR(__xludf.DUMMYFUNCTION("""COMPUTED_VALUE"""),"F")</f>
        <v>F</v>
      </c>
      <c r="F2067" s="114" t="str">
        <f ca="1">IFERROR(__xludf.DUMMYFUNCTION("""COMPUTED_VALUE"""),"J")</f>
        <v>J</v>
      </c>
      <c r="G2067" s="114">
        <f ca="1">IFERROR(__xludf.DUMMYFUNCTION("""COMPUTED_VALUE"""),4)</f>
        <v>4</v>
      </c>
      <c r="H2067" s="112" t="str">
        <f ca="1"/>
        <v/>
      </c>
      <c r="I2067" s="112" t="str">
        <f ca="1"/>
        <v/>
      </c>
    </row>
    <row r="2068" spans="1:9" ht="13.2">
      <c r="A2068" s="109" t="str">
        <f ca="1">IFERROR(__xludf.DUMMYFUNCTION("""COMPUTED_VALUE"""),"T")</f>
        <v>T</v>
      </c>
      <c r="B2068" s="108" t="str">
        <f ca="1">IFERROR(__xludf.DUMMYFUNCTION("""COMPUTED_VALUE"""),"Isabella McFeely")</f>
        <v>Isabella McFeely</v>
      </c>
      <c r="C2068" s="109">
        <f ca="1">IFERROR(__xludf.DUMMYFUNCTION("""COMPUTED_VALUE"""),7)</f>
        <v>7</v>
      </c>
      <c r="D2068" s="109" t="str">
        <f ca="1">IFERROR(__xludf.DUMMYFUNCTION("""COMPUTED_VALUE"""),"G")</f>
        <v>G</v>
      </c>
      <c r="E2068" s="110" t="str">
        <f ca="1">IFERROR(__xludf.DUMMYFUNCTION("""COMPUTED_VALUE"""),"F")</f>
        <v>F</v>
      </c>
      <c r="F2068" s="114" t="str">
        <f ca="1">IFERROR(__xludf.DUMMYFUNCTION("""COMPUTED_VALUE"""),"J")</f>
        <v>J</v>
      </c>
      <c r="G2068" s="114">
        <f ca="1">IFERROR(__xludf.DUMMYFUNCTION("""COMPUTED_VALUE"""),4)</f>
        <v>4</v>
      </c>
      <c r="H2068" s="112" t="str">
        <f ca="1"/>
        <v/>
      </c>
      <c r="I2068" s="112" t="str">
        <f ca="1"/>
        <v/>
      </c>
    </row>
    <row r="2069" spans="1:9" ht="13.2">
      <c r="A2069" s="109" t="str">
        <f ca="1">IFERROR(__xludf.DUMMYFUNCTION("""COMPUTED_VALUE"""),"T")</f>
        <v>T</v>
      </c>
      <c r="B2069" s="108" t="str">
        <f ca="1">IFERROR(__xludf.DUMMYFUNCTION("""COMPUTED_VALUE"""),"Julia Clopper")</f>
        <v>Julia Clopper</v>
      </c>
      <c r="C2069" s="109">
        <f ca="1">IFERROR(__xludf.DUMMYFUNCTION("""COMPUTED_VALUE"""),6)</f>
        <v>6</v>
      </c>
      <c r="D2069" s="109" t="str">
        <f ca="1">IFERROR(__xludf.DUMMYFUNCTION("""COMPUTED_VALUE"""),"G")</f>
        <v>G</v>
      </c>
      <c r="E2069" s="110" t="str">
        <f ca="1">IFERROR(__xludf.DUMMYFUNCTION("""COMPUTED_VALUE"""),"F")</f>
        <v>F</v>
      </c>
      <c r="F2069" s="114" t="str">
        <f ca="1">IFERROR(__xludf.DUMMYFUNCTION("""COMPUTED_VALUE"""),"J")</f>
        <v>J</v>
      </c>
      <c r="G2069" s="114">
        <f ca="1">IFERROR(__xludf.DUMMYFUNCTION("""COMPUTED_VALUE"""),4)</f>
        <v>4</v>
      </c>
      <c r="H2069" s="112" t="str">
        <f ca="1"/>
        <v/>
      </c>
      <c r="I2069" s="112" t="str">
        <f ca="1"/>
        <v/>
      </c>
    </row>
    <row r="2070" spans="1:9" ht="13.2">
      <c r="A2070" s="109" t="str">
        <f ca="1">IFERROR(__xludf.DUMMYFUNCTION("""COMPUTED_VALUE"""),"T")</f>
        <v>T</v>
      </c>
      <c r="B2070" s="108" t="str">
        <f ca="1">IFERROR(__xludf.DUMMYFUNCTION("""COMPUTED_VALUE"""),"Julia McFeely")</f>
        <v>Julia McFeely</v>
      </c>
      <c r="C2070" s="109">
        <f ca="1">IFERROR(__xludf.DUMMYFUNCTION("""COMPUTED_VALUE"""),7)</f>
        <v>7</v>
      </c>
      <c r="D2070" s="109" t="str">
        <f ca="1">IFERROR(__xludf.DUMMYFUNCTION("""COMPUTED_VALUE"""),"G")</f>
        <v>G</v>
      </c>
      <c r="E2070" s="110" t="str">
        <f ca="1">IFERROR(__xludf.DUMMYFUNCTION("""COMPUTED_VALUE"""),"F")</f>
        <v>F</v>
      </c>
      <c r="F2070" s="114" t="str">
        <f ca="1">IFERROR(__xludf.DUMMYFUNCTION("""COMPUTED_VALUE"""),"J")</f>
        <v>J</v>
      </c>
      <c r="G2070" s="114">
        <f ca="1">IFERROR(__xludf.DUMMYFUNCTION("""COMPUTED_VALUE"""),4)</f>
        <v>4</v>
      </c>
      <c r="H2070" s="112" t="str">
        <f ca="1"/>
        <v/>
      </c>
      <c r="I2070" s="112" t="str">
        <f ca="1"/>
        <v/>
      </c>
    </row>
    <row r="2071" spans="1:9" ht="13.2">
      <c r="A2071" s="109" t="str">
        <f ca="1">IFERROR(__xludf.DUMMYFUNCTION("""COMPUTED_VALUE"""),"T")</f>
        <v>T</v>
      </c>
      <c r="B2071" s="108" t="str">
        <f ca="1">IFERROR(__xludf.DUMMYFUNCTION("""COMPUTED_VALUE"""),"Julia Zellers")</f>
        <v>Julia Zellers</v>
      </c>
      <c r="C2071" s="109">
        <f ca="1">IFERROR(__xludf.DUMMYFUNCTION("""COMPUTED_VALUE"""),7)</f>
        <v>7</v>
      </c>
      <c r="D2071" s="109" t="str">
        <f ca="1">IFERROR(__xludf.DUMMYFUNCTION("""COMPUTED_VALUE"""),"G")</f>
        <v>G</v>
      </c>
      <c r="E2071" s="110" t="str">
        <f ca="1">IFERROR(__xludf.DUMMYFUNCTION("""COMPUTED_VALUE"""),"F")</f>
        <v>F</v>
      </c>
      <c r="F2071" s="114" t="str">
        <f ca="1">IFERROR(__xludf.DUMMYFUNCTION("""COMPUTED_VALUE"""),"J")</f>
        <v>J</v>
      </c>
      <c r="G2071" s="114">
        <f ca="1">IFERROR(__xludf.DUMMYFUNCTION("""COMPUTED_VALUE"""),4)</f>
        <v>4</v>
      </c>
      <c r="H2071" s="112" t="str">
        <f ca="1"/>
        <v/>
      </c>
      <c r="I2071" s="112" t="str">
        <f ca="1"/>
        <v/>
      </c>
    </row>
    <row r="2072" spans="1:9" ht="13.2">
      <c r="A2072" s="109" t="str">
        <f ca="1">IFERROR(__xludf.DUMMYFUNCTION("""COMPUTED_VALUE"""),"T")</f>
        <v>T</v>
      </c>
      <c r="B2072" s="108" t="str">
        <f ca="1">IFERROR(__xludf.DUMMYFUNCTION("""COMPUTED_VALUE"""),"Lauren Clopper")</f>
        <v>Lauren Clopper</v>
      </c>
      <c r="C2072" s="109">
        <f ca="1">IFERROR(__xludf.DUMMYFUNCTION("""COMPUTED_VALUE"""),8)</f>
        <v>8</v>
      </c>
      <c r="D2072" s="109" t="str">
        <f ca="1">IFERROR(__xludf.DUMMYFUNCTION("""COMPUTED_VALUE"""),"G")</f>
        <v>G</v>
      </c>
      <c r="E2072" s="110" t="str">
        <f ca="1">IFERROR(__xludf.DUMMYFUNCTION("""COMPUTED_VALUE"""),"F")</f>
        <v>F</v>
      </c>
      <c r="F2072" s="114" t="str">
        <f ca="1">IFERROR(__xludf.DUMMYFUNCTION("""COMPUTED_VALUE"""),"J")</f>
        <v>J</v>
      </c>
      <c r="G2072" s="114">
        <f ca="1">IFERROR(__xludf.DUMMYFUNCTION("""COMPUTED_VALUE"""),4)</f>
        <v>4</v>
      </c>
      <c r="H2072" s="112" t="str">
        <f ca="1"/>
        <v/>
      </c>
      <c r="I2072" s="112" t="str">
        <f ca="1"/>
        <v/>
      </c>
    </row>
    <row r="2073" spans="1:9" ht="13.2">
      <c r="A2073" s="109" t="str">
        <f ca="1">IFERROR(__xludf.DUMMYFUNCTION("""COMPUTED_VALUE"""),"T")</f>
        <v>T</v>
      </c>
      <c r="B2073" s="108" t="str">
        <f ca="1">IFERROR(__xludf.DUMMYFUNCTION("""COMPUTED_VALUE"""),"Leah Bailey")</f>
        <v>Leah Bailey</v>
      </c>
      <c r="C2073" s="109">
        <f ca="1">IFERROR(__xludf.DUMMYFUNCTION("""COMPUTED_VALUE"""),9)</f>
        <v>9</v>
      </c>
      <c r="D2073" s="109" t="str">
        <f ca="1">IFERROR(__xludf.DUMMYFUNCTION("""COMPUTED_VALUE"""),"G")</f>
        <v>G</v>
      </c>
      <c r="E2073" s="110" t="str">
        <f ca="1">IFERROR(__xludf.DUMMYFUNCTION("""COMPUTED_VALUE"""),"F")</f>
        <v>F</v>
      </c>
      <c r="F2073" s="114" t="str">
        <f ca="1">IFERROR(__xludf.DUMMYFUNCTION("""COMPUTED_VALUE"""),"J")</f>
        <v>J</v>
      </c>
      <c r="G2073" s="114">
        <f ca="1">IFERROR(__xludf.DUMMYFUNCTION("""COMPUTED_VALUE"""),4)</f>
        <v>4</v>
      </c>
      <c r="H2073" s="112" t="str">
        <f ca="1"/>
        <v/>
      </c>
      <c r="I2073" s="112" t="str">
        <f ca="1"/>
        <v/>
      </c>
    </row>
    <row r="2074" spans="1:9" ht="13.2">
      <c r="A2074" s="109" t="str">
        <f ca="1">IFERROR(__xludf.DUMMYFUNCTION("""COMPUTED_VALUE"""),"T")</f>
        <v>T</v>
      </c>
      <c r="B2074" s="108" t="str">
        <f ca="1">IFERROR(__xludf.DUMMYFUNCTION("""COMPUTED_VALUE"""),"Lola Fontana")</f>
        <v>Lola Fontana</v>
      </c>
      <c r="C2074" s="109">
        <f ca="1">IFERROR(__xludf.DUMMYFUNCTION("""COMPUTED_VALUE"""),8)</f>
        <v>8</v>
      </c>
      <c r="D2074" s="109" t="str">
        <f ca="1">IFERROR(__xludf.DUMMYFUNCTION("""COMPUTED_VALUE"""),"G")</f>
        <v>G</v>
      </c>
      <c r="E2074" s="110" t="str">
        <f ca="1">IFERROR(__xludf.DUMMYFUNCTION("""COMPUTED_VALUE"""),"F")</f>
        <v>F</v>
      </c>
      <c r="F2074" s="114" t="str">
        <f ca="1">IFERROR(__xludf.DUMMYFUNCTION("""COMPUTED_VALUE"""),"J")</f>
        <v>J</v>
      </c>
      <c r="G2074" s="114">
        <f ca="1">IFERROR(__xludf.DUMMYFUNCTION("""COMPUTED_VALUE"""),4)</f>
        <v>4</v>
      </c>
      <c r="H2074" s="112" t="str">
        <f ca="1"/>
        <v/>
      </c>
      <c r="I2074" s="112" t="str">
        <f ca="1"/>
        <v/>
      </c>
    </row>
    <row r="2075" spans="1:9" ht="13.2">
      <c r="A2075" s="109" t="str">
        <f ca="1">IFERROR(__xludf.DUMMYFUNCTION("""COMPUTED_VALUE"""),"T")</f>
        <v>T</v>
      </c>
      <c r="B2075" s="108" t="str">
        <f ca="1">IFERROR(__xludf.DUMMYFUNCTION("""COMPUTED_VALUE"""),"Luci Reynolds")</f>
        <v>Luci Reynolds</v>
      </c>
      <c r="C2075" s="109">
        <f ca="1">IFERROR(__xludf.DUMMYFUNCTION("""COMPUTED_VALUE"""),7)</f>
        <v>7</v>
      </c>
      <c r="D2075" s="109" t="str">
        <f ca="1">IFERROR(__xludf.DUMMYFUNCTION("""COMPUTED_VALUE"""),"G")</f>
        <v>G</v>
      </c>
      <c r="E2075" s="110" t="str">
        <f ca="1">IFERROR(__xludf.DUMMYFUNCTION("""COMPUTED_VALUE"""),"F")</f>
        <v>F</v>
      </c>
      <c r="F2075" s="114" t="str">
        <f ca="1">IFERROR(__xludf.DUMMYFUNCTION("""COMPUTED_VALUE"""),"J")</f>
        <v>J</v>
      </c>
      <c r="G2075" s="114">
        <f ca="1">IFERROR(__xludf.DUMMYFUNCTION("""COMPUTED_VALUE"""),4)</f>
        <v>4</v>
      </c>
      <c r="H2075" s="112" t="str">
        <f ca="1"/>
        <v>9</v>
      </c>
      <c r="I2075" s="112">
        <f ca="1"/>
        <v>9</v>
      </c>
    </row>
    <row r="2076" spans="1:9" ht="13.2">
      <c r="A2076" s="109" t="str">
        <f ca="1">IFERROR(__xludf.DUMMYFUNCTION("""COMPUTED_VALUE"""),"T")</f>
        <v>T</v>
      </c>
      <c r="B2076" s="108" t="str">
        <f ca="1">IFERROR(__xludf.DUMMYFUNCTION("""COMPUTED_VALUE"""),"Nikitha Rajesh")</f>
        <v>Nikitha Rajesh</v>
      </c>
      <c r="C2076" s="109">
        <f ca="1">IFERROR(__xludf.DUMMYFUNCTION("""COMPUTED_VALUE"""),10)</f>
        <v>10</v>
      </c>
      <c r="D2076" s="109" t="str">
        <f ca="1">IFERROR(__xludf.DUMMYFUNCTION("""COMPUTED_VALUE"""),"G")</f>
        <v>G</v>
      </c>
      <c r="E2076" s="110" t="str">
        <f ca="1">IFERROR(__xludf.DUMMYFUNCTION("""COMPUTED_VALUE"""),"F")</f>
        <v>F</v>
      </c>
      <c r="F2076" s="114" t="str">
        <f ca="1">IFERROR(__xludf.DUMMYFUNCTION("""COMPUTED_VALUE"""),"J")</f>
        <v>J</v>
      </c>
      <c r="G2076" s="114">
        <f ca="1">IFERROR(__xludf.DUMMYFUNCTION("""COMPUTED_VALUE"""),4)</f>
        <v>4</v>
      </c>
      <c r="H2076" s="112" t="str">
        <f ca="1"/>
        <v/>
      </c>
      <c r="I2076" s="112" t="str">
        <f ca="1"/>
        <v/>
      </c>
    </row>
    <row r="2077" spans="1:9" ht="13.2">
      <c r="A2077" s="109" t="str">
        <f ca="1">IFERROR(__xludf.DUMMYFUNCTION("""COMPUTED_VALUE"""),"T")</f>
        <v>T</v>
      </c>
      <c r="B2077" s="108" t="str">
        <f ca="1">IFERROR(__xludf.DUMMYFUNCTION("""COMPUTED_VALUE"""),"Nora Hall")</f>
        <v>Nora Hall</v>
      </c>
      <c r="C2077" s="109">
        <f ca="1">IFERROR(__xludf.DUMMYFUNCTION("""COMPUTED_VALUE"""),8)</f>
        <v>8</v>
      </c>
      <c r="D2077" s="109" t="str">
        <f ca="1">IFERROR(__xludf.DUMMYFUNCTION("""COMPUTED_VALUE"""),"G")</f>
        <v>G</v>
      </c>
      <c r="E2077" s="110" t="str">
        <f ca="1">IFERROR(__xludf.DUMMYFUNCTION("""COMPUTED_VALUE"""),"F")</f>
        <v>F</v>
      </c>
      <c r="F2077" s="114" t="str">
        <f ca="1">IFERROR(__xludf.DUMMYFUNCTION("""COMPUTED_VALUE"""),"J")</f>
        <v>J</v>
      </c>
      <c r="G2077" s="114">
        <f ca="1">IFERROR(__xludf.DUMMYFUNCTION("""COMPUTED_VALUE"""),4)</f>
        <v>4</v>
      </c>
      <c r="H2077" s="112" t="str">
        <f ca="1"/>
        <v/>
      </c>
      <c r="I2077" s="112" t="str">
        <f ca="1"/>
        <v/>
      </c>
    </row>
    <row r="2078" spans="1:9" ht="13.2">
      <c r="A2078" s="109" t="str">
        <f ca="1">IFERROR(__xludf.DUMMYFUNCTION("""COMPUTED_VALUE"""),"T")</f>
        <v>T</v>
      </c>
      <c r="B2078" s="108" t="str">
        <f ca="1">IFERROR(__xludf.DUMMYFUNCTION("""COMPUTED_VALUE"""),"Rayna Patel")</f>
        <v>Rayna Patel</v>
      </c>
      <c r="C2078" s="109">
        <f ca="1">IFERROR(__xludf.DUMMYFUNCTION("""COMPUTED_VALUE"""),10)</f>
        <v>10</v>
      </c>
      <c r="D2078" s="109" t="str">
        <f ca="1">IFERROR(__xludf.DUMMYFUNCTION("""COMPUTED_VALUE"""),"G")</f>
        <v>G</v>
      </c>
      <c r="E2078" s="110" t="str">
        <f ca="1">IFERROR(__xludf.DUMMYFUNCTION("""COMPUTED_VALUE"""),"F")</f>
        <v>F</v>
      </c>
      <c r="F2078" s="114" t="str">
        <f ca="1">IFERROR(__xludf.DUMMYFUNCTION("""COMPUTED_VALUE"""),"J")</f>
        <v>J</v>
      </c>
      <c r="G2078" s="114">
        <f ca="1">IFERROR(__xludf.DUMMYFUNCTION("""COMPUTED_VALUE"""),4)</f>
        <v>4</v>
      </c>
      <c r="H2078" s="112" t="str">
        <f ca="1"/>
        <v/>
      </c>
      <c r="I2078" s="112" t="str">
        <f ca="1"/>
        <v/>
      </c>
    </row>
    <row r="2079" spans="1:9" ht="13.2">
      <c r="A2079" s="109" t="str">
        <f ca="1">IFERROR(__xludf.DUMMYFUNCTION("""COMPUTED_VALUE"""),"T")</f>
        <v>T</v>
      </c>
      <c r="B2079" s="108" t="str">
        <f ca="1">IFERROR(__xludf.DUMMYFUNCTION("""COMPUTED_VALUE"""),"Sophie Paz")</f>
        <v>Sophie Paz</v>
      </c>
      <c r="C2079" s="109">
        <f ca="1">IFERROR(__xludf.DUMMYFUNCTION("""COMPUTED_VALUE"""),9)</f>
        <v>9</v>
      </c>
      <c r="D2079" s="109" t="str">
        <f ca="1">IFERROR(__xludf.DUMMYFUNCTION("""COMPUTED_VALUE"""),"G")</f>
        <v>G</v>
      </c>
      <c r="E2079" s="110" t="str">
        <f ca="1">IFERROR(__xludf.DUMMYFUNCTION("""COMPUTED_VALUE"""),"F")</f>
        <v>F</v>
      </c>
      <c r="F2079" s="114" t="str">
        <f ca="1">IFERROR(__xludf.DUMMYFUNCTION("""COMPUTED_VALUE"""),"J")</f>
        <v>J</v>
      </c>
      <c r="G2079" s="114">
        <f ca="1">IFERROR(__xludf.DUMMYFUNCTION("""COMPUTED_VALUE"""),4)</f>
        <v>4</v>
      </c>
      <c r="H2079" s="112" t="str">
        <f ca="1"/>
        <v/>
      </c>
      <c r="I2079" s="112" t="str">
        <f ca="1"/>
        <v/>
      </c>
    </row>
    <row r="2080" spans="1:9" ht="13.2">
      <c r="A2080" s="109" t="str">
        <f ca="1">IFERROR(__xludf.DUMMYFUNCTION("""COMPUTED_VALUE"""),"T")</f>
        <v>T</v>
      </c>
      <c r="B2080" s="108" t="str">
        <f ca="1">IFERROR(__xludf.DUMMYFUNCTION("""COMPUTED_VALUE"""),"Vicki Waisberg")</f>
        <v>Vicki Waisberg</v>
      </c>
      <c r="C2080" s="109">
        <f ca="1">IFERROR(__xludf.DUMMYFUNCTION("""COMPUTED_VALUE"""),10)</f>
        <v>10</v>
      </c>
      <c r="D2080" s="109" t="str">
        <f ca="1">IFERROR(__xludf.DUMMYFUNCTION("""COMPUTED_VALUE"""),"G")</f>
        <v>G</v>
      </c>
      <c r="E2080" s="110" t="str">
        <f ca="1">IFERROR(__xludf.DUMMYFUNCTION("""COMPUTED_VALUE"""),"F")</f>
        <v>F</v>
      </c>
      <c r="F2080" s="114" t="str">
        <f ca="1">IFERROR(__xludf.DUMMYFUNCTION("""COMPUTED_VALUE"""),"J")</f>
        <v>J</v>
      </c>
      <c r="G2080" s="114">
        <f ca="1">IFERROR(__xludf.DUMMYFUNCTION("""COMPUTED_VALUE"""),4)</f>
        <v>4</v>
      </c>
      <c r="H2080" s="112" t="str">
        <f ca="1"/>
        <v/>
      </c>
      <c r="I2080" s="112" t="str">
        <f ca="1"/>
        <v/>
      </c>
    </row>
    <row r="2081" spans="1:9" ht="13.2">
      <c r="A2081" s="109" t="str">
        <f ca="1">IFERROR(__xludf.DUMMYFUNCTION("""COMPUTED_VALUE"""),"T")</f>
        <v>T</v>
      </c>
      <c r="B2081" s="108" t="str">
        <f ca="1">IFERROR(__xludf.DUMMYFUNCTION("""COMPUTED_VALUE"""),"Zoe Misitzis")</f>
        <v>Zoe Misitzis</v>
      </c>
      <c r="C2081" s="109">
        <f ca="1">IFERROR(__xludf.DUMMYFUNCTION("""COMPUTED_VALUE"""),9)</f>
        <v>9</v>
      </c>
      <c r="D2081" s="109" t="str">
        <f ca="1">IFERROR(__xludf.DUMMYFUNCTION("""COMPUTED_VALUE"""),"G")</f>
        <v>G</v>
      </c>
      <c r="E2081" s="110" t="str">
        <f ca="1">IFERROR(__xludf.DUMMYFUNCTION("""COMPUTED_VALUE"""),"F")</f>
        <v>F</v>
      </c>
      <c r="F2081" s="114" t="str">
        <f ca="1">IFERROR(__xludf.DUMMYFUNCTION("""COMPUTED_VALUE"""),"J")</f>
        <v>J</v>
      </c>
      <c r="G2081" s="114">
        <f ca="1">IFERROR(__xludf.DUMMYFUNCTION("""COMPUTED_VALUE"""),4)</f>
        <v>4</v>
      </c>
      <c r="H2081" s="112" t="str">
        <f ca="1"/>
        <v/>
      </c>
      <c r="I2081" s="112" t="str">
        <f ca="1"/>
        <v/>
      </c>
    </row>
    <row r="2082" spans="1:9" ht="13.2">
      <c r="A2082" s="109" t="str">
        <f ca="1">IFERROR(__xludf.DUMMYFUNCTION("""COMPUTED_VALUE"""),"T")</f>
        <v>T</v>
      </c>
      <c r="B2082" s="108" t="str">
        <f ca="1">IFERROR(__xludf.DUMMYFUNCTION("""COMPUTED_VALUE"""),"Austin Conradt")</f>
        <v>Austin Conradt</v>
      </c>
      <c r="C2082" s="109">
        <f ca="1">IFERROR(__xludf.DUMMYFUNCTION("""COMPUTED_VALUE"""),13)</f>
        <v>13</v>
      </c>
      <c r="D2082" s="109" t="str">
        <f ca="1">IFERROR(__xludf.DUMMYFUNCTION("""COMPUTED_VALUE"""),"B")</f>
        <v>B</v>
      </c>
      <c r="E2082" s="110" t="str">
        <f ca="1">IFERROR(__xludf.DUMMYFUNCTION("""COMPUTED_VALUE"""),"I")</f>
        <v>I</v>
      </c>
      <c r="F2082" s="114" t="str">
        <f ca="1">IFERROR(__xludf.DUMMYFUNCTION("""COMPUTED_VALUE"""),"S")</f>
        <v>S</v>
      </c>
      <c r="G2082" s="114">
        <f ca="1">IFERROR(__xludf.DUMMYFUNCTION("""COMPUTED_VALUE"""),4)</f>
        <v>4</v>
      </c>
      <c r="H2082" s="112" t="str">
        <f ca="1"/>
        <v/>
      </c>
      <c r="I2082" s="112" t="str">
        <f ca="1"/>
        <v/>
      </c>
    </row>
    <row r="2083" spans="1:9" ht="13.2">
      <c r="A2083" s="109" t="str">
        <f ca="1">IFERROR(__xludf.DUMMYFUNCTION("""COMPUTED_VALUE"""),"T")</f>
        <v>T</v>
      </c>
      <c r="B2083" s="108" t="str">
        <f ca="1">IFERROR(__xludf.DUMMYFUNCTION("""COMPUTED_VALUE"""),"Jaiden Saran")</f>
        <v>Jaiden Saran</v>
      </c>
      <c r="C2083" s="109">
        <f ca="1">IFERROR(__xludf.DUMMYFUNCTION("""COMPUTED_VALUE"""),13)</f>
        <v>13</v>
      </c>
      <c r="D2083" s="109" t="str">
        <f ca="1">IFERROR(__xludf.DUMMYFUNCTION("""COMPUTED_VALUE"""),"B")</f>
        <v>B</v>
      </c>
      <c r="E2083" s="110" t="str">
        <f ca="1">IFERROR(__xludf.DUMMYFUNCTION("""COMPUTED_VALUE"""),"I")</f>
        <v>I</v>
      </c>
      <c r="F2083" s="114" t="str">
        <f ca="1">IFERROR(__xludf.DUMMYFUNCTION("""COMPUTED_VALUE"""),"S")</f>
        <v>S</v>
      </c>
      <c r="G2083" s="114">
        <f ca="1">IFERROR(__xludf.DUMMYFUNCTION("""COMPUTED_VALUE"""),4)</f>
        <v>4</v>
      </c>
      <c r="H2083" s="112" t="str">
        <f ca="1"/>
        <v/>
      </c>
      <c r="I2083" s="112" t="str">
        <f ca="1"/>
        <v/>
      </c>
    </row>
    <row r="2084" spans="1:9" ht="13.2">
      <c r="A2084" s="109" t="str">
        <f ca="1">IFERROR(__xludf.DUMMYFUNCTION("""COMPUTED_VALUE"""),"T")</f>
        <v>T</v>
      </c>
      <c r="B2084" s="108" t="str">
        <f ca="1">IFERROR(__xludf.DUMMYFUNCTION("""COMPUTED_VALUE"""),"Justin Upp")</f>
        <v>Justin Upp</v>
      </c>
      <c r="C2084" s="109">
        <f ca="1">IFERROR(__xludf.DUMMYFUNCTION("""COMPUTED_VALUE"""),13)</f>
        <v>13</v>
      </c>
      <c r="D2084" s="109" t="str">
        <f ca="1">IFERROR(__xludf.DUMMYFUNCTION("""COMPUTED_VALUE"""),"B")</f>
        <v>B</v>
      </c>
      <c r="E2084" s="110" t="str">
        <f ca="1">IFERROR(__xludf.DUMMYFUNCTION("""COMPUTED_VALUE"""),"I")</f>
        <v>I</v>
      </c>
      <c r="F2084" s="114" t="str">
        <f ca="1">IFERROR(__xludf.DUMMYFUNCTION("""COMPUTED_VALUE"""),"S")</f>
        <v>S</v>
      </c>
      <c r="G2084" s="114">
        <f ca="1">IFERROR(__xludf.DUMMYFUNCTION("""COMPUTED_VALUE"""),4)</f>
        <v>4</v>
      </c>
      <c r="H2084" s="112" t="str">
        <f ca="1"/>
        <v/>
      </c>
      <c r="I2084" s="112" t="str">
        <f ca="1"/>
        <v/>
      </c>
    </row>
    <row r="2085" spans="1:9" ht="13.2">
      <c r="A2085" s="109" t="str">
        <f ca="1">IFERROR(__xludf.DUMMYFUNCTION("""COMPUTED_VALUE"""),"T")</f>
        <v>T</v>
      </c>
      <c r="B2085" s="108" t="str">
        <f ca="1">IFERROR(__xludf.DUMMYFUNCTION("""COMPUTED_VALUE"""),"Mateo Carranza")</f>
        <v>Mateo Carranza</v>
      </c>
      <c r="C2085" s="109">
        <f ca="1">IFERROR(__xludf.DUMMYFUNCTION("""COMPUTED_VALUE"""),13)</f>
        <v>13</v>
      </c>
      <c r="D2085" s="109" t="str">
        <f ca="1">IFERROR(__xludf.DUMMYFUNCTION("""COMPUTED_VALUE"""),"B")</f>
        <v>B</v>
      </c>
      <c r="E2085" s="110" t="str">
        <f ca="1">IFERROR(__xludf.DUMMYFUNCTION("""COMPUTED_VALUE"""),"I")</f>
        <v>I</v>
      </c>
      <c r="F2085" s="114" t="str">
        <f ca="1">IFERROR(__xludf.DUMMYFUNCTION("""COMPUTED_VALUE"""),"S")</f>
        <v>S</v>
      </c>
      <c r="G2085" s="114">
        <f ca="1">IFERROR(__xludf.DUMMYFUNCTION("""COMPUTED_VALUE"""),4)</f>
        <v>4</v>
      </c>
      <c r="H2085" s="112" t="str">
        <f ca="1"/>
        <v/>
      </c>
      <c r="I2085" s="112" t="str">
        <f ca="1"/>
        <v/>
      </c>
    </row>
    <row r="2086" spans="1:9" ht="13.2">
      <c r="A2086" s="109" t="str">
        <f ca="1">IFERROR(__xludf.DUMMYFUNCTION("""COMPUTED_VALUE"""),"T")</f>
        <v>T</v>
      </c>
      <c r="B2086" s="108" t="str">
        <f ca="1">IFERROR(__xludf.DUMMYFUNCTION("""COMPUTED_VALUE"""),"Ryan Clopper")</f>
        <v>Ryan Clopper</v>
      </c>
      <c r="C2086" s="109">
        <f ca="1">IFERROR(__xludf.DUMMYFUNCTION("""COMPUTED_VALUE"""),13)</f>
        <v>13</v>
      </c>
      <c r="D2086" s="109" t="str">
        <f ca="1">IFERROR(__xludf.DUMMYFUNCTION("""COMPUTED_VALUE"""),"B")</f>
        <v>B</v>
      </c>
      <c r="E2086" s="110" t="str">
        <f ca="1">IFERROR(__xludf.DUMMYFUNCTION("""COMPUTED_VALUE"""),"I")</f>
        <v>I</v>
      </c>
      <c r="F2086" s="114" t="str">
        <f ca="1">IFERROR(__xludf.DUMMYFUNCTION("""COMPUTED_VALUE"""),"S")</f>
        <v>S</v>
      </c>
      <c r="G2086" s="114">
        <f ca="1">IFERROR(__xludf.DUMMYFUNCTION("""COMPUTED_VALUE"""),4)</f>
        <v>4</v>
      </c>
      <c r="H2086" s="112" t="str">
        <f ca="1"/>
        <v/>
      </c>
      <c r="I2086" s="112" t="str">
        <f ca="1"/>
        <v/>
      </c>
    </row>
    <row r="2087" spans="1:9" ht="13.2">
      <c r="A2087" s="109" t="str">
        <f ca="1">IFERROR(__xludf.DUMMYFUNCTION("""COMPUTED_VALUE"""),"T")</f>
        <v>T</v>
      </c>
      <c r="B2087" s="108" t="str">
        <f ca="1">IFERROR(__xludf.DUMMYFUNCTION("""COMPUTED_VALUE"""),"Callie Kimmett")</f>
        <v>Callie Kimmett</v>
      </c>
      <c r="C2087" s="109">
        <f ca="1">IFERROR(__xludf.DUMMYFUNCTION("""COMPUTED_VALUE"""),13)</f>
        <v>13</v>
      </c>
      <c r="D2087" s="109" t="str">
        <f ca="1">IFERROR(__xludf.DUMMYFUNCTION("""COMPUTED_VALUE"""),"G")</f>
        <v>G</v>
      </c>
      <c r="E2087" s="110" t="str">
        <f ca="1">IFERROR(__xludf.DUMMYFUNCTION("""COMPUTED_VALUE"""),"I")</f>
        <v>I</v>
      </c>
      <c r="F2087" s="114" t="str">
        <f ca="1">IFERROR(__xludf.DUMMYFUNCTION("""COMPUTED_VALUE"""),"S")</f>
        <v>S</v>
      </c>
      <c r="G2087" s="114">
        <f ca="1">IFERROR(__xludf.DUMMYFUNCTION("""COMPUTED_VALUE"""),4)</f>
        <v>4</v>
      </c>
      <c r="H2087" s="112" t="str">
        <f ca="1"/>
        <v/>
      </c>
      <c r="I2087" s="112" t="str">
        <f ca="1"/>
        <v/>
      </c>
    </row>
    <row r="2088" spans="1:9" ht="13.2">
      <c r="A2088" s="109" t="str">
        <f ca="1">IFERROR(__xludf.DUMMYFUNCTION("""COMPUTED_VALUE"""),"T")</f>
        <v>T</v>
      </c>
      <c r="B2088" s="108" t="str">
        <f ca="1">IFERROR(__xludf.DUMMYFUNCTION("""COMPUTED_VALUE"""),"Chloe Harrington")</f>
        <v>Chloe Harrington</v>
      </c>
      <c r="C2088" s="109">
        <f ca="1">IFERROR(__xludf.DUMMYFUNCTION("""COMPUTED_VALUE"""),13)</f>
        <v>13</v>
      </c>
      <c r="D2088" s="109" t="str">
        <f ca="1">IFERROR(__xludf.DUMMYFUNCTION("""COMPUTED_VALUE"""),"G")</f>
        <v>G</v>
      </c>
      <c r="E2088" s="110" t="str">
        <f ca="1">IFERROR(__xludf.DUMMYFUNCTION("""COMPUTED_VALUE"""),"I")</f>
        <v>I</v>
      </c>
      <c r="F2088" s="114" t="str">
        <f ca="1">IFERROR(__xludf.DUMMYFUNCTION("""COMPUTED_VALUE"""),"S")</f>
        <v>S</v>
      </c>
      <c r="G2088" s="114">
        <f ca="1">IFERROR(__xludf.DUMMYFUNCTION("""COMPUTED_VALUE"""),4)</f>
        <v>4</v>
      </c>
      <c r="H2088" s="112" t="str">
        <f ca="1"/>
        <v/>
      </c>
      <c r="I2088" s="112" t="str">
        <f ca="1"/>
        <v/>
      </c>
    </row>
    <row r="2089" spans="1:9" ht="13.2">
      <c r="A2089" s="109" t="str">
        <f ca="1">IFERROR(__xludf.DUMMYFUNCTION("""COMPUTED_VALUE"""),"T")</f>
        <v>T</v>
      </c>
      <c r="B2089" s="108" t="str">
        <f ca="1">IFERROR(__xludf.DUMMYFUNCTION("""COMPUTED_VALUE"""),"Grace D'Alessandris")</f>
        <v>Grace D'Alessandris</v>
      </c>
      <c r="C2089" s="109">
        <f ca="1">IFERROR(__xludf.DUMMYFUNCTION("""COMPUTED_VALUE"""),13)</f>
        <v>13</v>
      </c>
      <c r="D2089" s="109" t="str">
        <f ca="1">IFERROR(__xludf.DUMMYFUNCTION("""COMPUTED_VALUE"""),"G")</f>
        <v>G</v>
      </c>
      <c r="E2089" s="110" t="str">
        <f ca="1">IFERROR(__xludf.DUMMYFUNCTION("""COMPUTED_VALUE"""),"I")</f>
        <v>I</v>
      </c>
      <c r="F2089" s="114" t="str">
        <f ca="1">IFERROR(__xludf.DUMMYFUNCTION("""COMPUTED_VALUE"""),"S")</f>
        <v>S</v>
      </c>
      <c r="G2089" s="114">
        <f ca="1">IFERROR(__xludf.DUMMYFUNCTION("""COMPUTED_VALUE"""),4)</f>
        <v>4</v>
      </c>
      <c r="H2089" s="112" t="str">
        <f ca="1"/>
        <v/>
      </c>
      <c r="I2089" s="112" t="str">
        <f ca="1"/>
        <v/>
      </c>
    </row>
    <row r="2090" spans="1:9" ht="13.2">
      <c r="A2090" s="109" t="str">
        <f ca="1">IFERROR(__xludf.DUMMYFUNCTION("""COMPUTED_VALUE"""),"T")</f>
        <v>T</v>
      </c>
      <c r="B2090" s="108" t="str">
        <f ca="1">IFERROR(__xludf.DUMMYFUNCTION("""COMPUTED_VALUE"""),"Libby Hall")</f>
        <v>Libby Hall</v>
      </c>
      <c r="C2090" s="109">
        <f ca="1">IFERROR(__xludf.DUMMYFUNCTION("""COMPUTED_VALUE"""),14)</f>
        <v>14</v>
      </c>
      <c r="D2090" s="109" t="str">
        <f ca="1">IFERROR(__xludf.DUMMYFUNCTION("""COMPUTED_VALUE"""),"G")</f>
        <v>G</v>
      </c>
      <c r="E2090" s="110" t="str">
        <f ca="1">IFERROR(__xludf.DUMMYFUNCTION("""COMPUTED_VALUE"""),"I")</f>
        <v>I</v>
      </c>
      <c r="F2090" s="114" t="str">
        <f ca="1">IFERROR(__xludf.DUMMYFUNCTION("""COMPUTED_VALUE"""),"S")</f>
        <v>S</v>
      </c>
      <c r="G2090" s="114">
        <f ca="1">IFERROR(__xludf.DUMMYFUNCTION("""COMPUTED_VALUE"""),4)</f>
        <v>4</v>
      </c>
      <c r="H2090" s="112" t="str">
        <f ca="1"/>
        <v/>
      </c>
      <c r="I2090" s="112" t="str">
        <f ca="1"/>
        <v/>
      </c>
    </row>
    <row r="2091" spans="1:9" ht="13.2">
      <c r="A2091" s="109" t="str">
        <f ca="1">IFERROR(__xludf.DUMMYFUNCTION("""COMPUTED_VALUE"""),"T")</f>
        <v>T</v>
      </c>
      <c r="B2091" s="108" t="str">
        <f ca="1">IFERROR(__xludf.DUMMYFUNCTION("""COMPUTED_VALUE"""),"Maura Leonard")</f>
        <v>Maura Leonard</v>
      </c>
      <c r="C2091" s="109">
        <f ca="1">IFERROR(__xludf.DUMMYFUNCTION("""COMPUTED_VALUE"""),13)</f>
        <v>13</v>
      </c>
      <c r="D2091" s="109" t="str">
        <f ca="1">IFERROR(__xludf.DUMMYFUNCTION("""COMPUTED_VALUE"""),"G")</f>
        <v>G</v>
      </c>
      <c r="E2091" s="110" t="str">
        <f ca="1">IFERROR(__xludf.DUMMYFUNCTION("""COMPUTED_VALUE"""),"I")</f>
        <v>I</v>
      </c>
      <c r="F2091" s="114" t="str">
        <f ca="1">IFERROR(__xludf.DUMMYFUNCTION("""COMPUTED_VALUE"""),"S")</f>
        <v>S</v>
      </c>
      <c r="G2091" s="114">
        <f ca="1">IFERROR(__xludf.DUMMYFUNCTION("""COMPUTED_VALUE"""),4)</f>
        <v>4</v>
      </c>
      <c r="H2091" s="112" t="str">
        <f ca="1"/>
        <v/>
      </c>
      <c r="I2091" s="112" t="str">
        <f ca="1"/>
        <v/>
      </c>
    </row>
    <row r="2092" spans="1:9" ht="13.2">
      <c r="A2092" s="109" t="str">
        <f ca="1">IFERROR(__xludf.DUMMYFUNCTION("""COMPUTED_VALUE"""),"T")</f>
        <v>T</v>
      </c>
      <c r="B2092" s="108" t="str">
        <f ca="1">IFERROR(__xludf.DUMMYFUNCTION("""COMPUTED_VALUE"""),"Sandi Schneider")</f>
        <v>Sandi Schneider</v>
      </c>
      <c r="C2092" s="109">
        <f ca="1">IFERROR(__xludf.DUMMYFUNCTION("""COMPUTED_VALUE"""),13)</f>
        <v>13</v>
      </c>
      <c r="D2092" s="109" t="str">
        <f ca="1">IFERROR(__xludf.DUMMYFUNCTION("""COMPUTED_VALUE"""),"G")</f>
        <v>G</v>
      </c>
      <c r="E2092" s="110" t="str">
        <f ca="1">IFERROR(__xludf.DUMMYFUNCTION("""COMPUTED_VALUE"""),"I")</f>
        <v>I</v>
      </c>
      <c r="F2092" s="114" t="str">
        <f ca="1">IFERROR(__xludf.DUMMYFUNCTION("""COMPUTED_VALUE"""),"S")</f>
        <v>S</v>
      </c>
      <c r="G2092" s="114">
        <f ca="1">IFERROR(__xludf.DUMMYFUNCTION("""COMPUTED_VALUE"""),4)</f>
        <v>4</v>
      </c>
      <c r="H2092" s="112" t="str">
        <f ca="1"/>
        <v/>
      </c>
      <c r="I2092" s="112" t="str">
        <f ca="1"/>
        <v/>
      </c>
    </row>
    <row r="2093" spans="1:9" ht="13.2">
      <c r="A2093" s="109" t="str">
        <f ca="1">IFERROR(__xludf.DUMMYFUNCTION("""COMPUTED_VALUE"""),"T")</f>
        <v>T</v>
      </c>
      <c r="B2093" s="108" t="str">
        <f ca="1">IFERROR(__xludf.DUMMYFUNCTION("""COMPUTED_VALUE"""),"Alex Paz")</f>
        <v>Alex Paz</v>
      </c>
      <c r="C2093" s="109">
        <f ca="1">IFERROR(__xludf.DUMMYFUNCTION("""COMPUTED_VALUE"""),11)</f>
        <v>11</v>
      </c>
      <c r="D2093" s="109" t="str">
        <f ca="1">IFERROR(__xludf.DUMMYFUNCTION("""COMPUTED_VALUE"""),"B")</f>
        <v>B</v>
      </c>
      <c r="E2093" s="110" t="str">
        <f ca="1">IFERROR(__xludf.DUMMYFUNCTION("""COMPUTED_VALUE"""),"J")</f>
        <v>J</v>
      </c>
      <c r="F2093" s="114" t="str">
        <f ca="1">IFERROR(__xludf.DUMMYFUNCTION("""COMPUTED_VALUE"""),"I")</f>
        <v>I</v>
      </c>
      <c r="G2093" s="114">
        <f ca="1">IFERROR(__xludf.DUMMYFUNCTION("""COMPUTED_VALUE"""),4)</f>
        <v>4</v>
      </c>
      <c r="H2093" s="112" t="str">
        <f ca="1"/>
        <v/>
      </c>
      <c r="I2093" s="112" t="str">
        <f ca="1"/>
        <v/>
      </c>
    </row>
    <row r="2094" spans="1:9" ht="13.2">
      <c r="A2094" s="109" t="str">
        <f ca="1">IFERROR(__xludf.DUMMYFUNCTION("""COMPUTED_VALUE"""),"T")</f>
        <v>T</v>
      </c>
      <c r="B2094" s="108" t="str">
        <f ca="1">IFERROR(__xludf.DUMMYFUNCTION("""COMPUTED_VALUE"""),"Austen Kimmett")</f>
        <v>Austen Kimmett</v>
      </c>
      <c r="C2094" s="109">
        <f ca="1">IFERROR(__xludf.DUMMYFUNCTION("""COMPUTED_VALUE"""),12)</f>
        <v>12</v>
      </c>
      <c r="D2094" s="109" t="str">
        <f ca="1">IFERROR(__xludf.DUMMYFUNCTION("""COMPUTED_VALUE"""),"B")</f>
        <v>B</v>
      </c>
      <c r="E2094" s="110" t="str">
        <f ca="1">IFERROR(__xludf.DUMMYFUNCTION("""COMPUTED_VALUE"""),"J")</f>
        <v>J</v>
      </c>
      <c r="F2094" s="114" t="str">
        <f ca="1">IFERROR(__xludf.DUMMYFUNCTION("""COMPUTED_VALUE"""),"I")</f>
        <v>I</v>
      </c>
      <c r="G2094" s="114">
        <f ca="1">IFERROR(__xludf.DUMMYFUNCTION("""COMPUTED_VALUE"""),4)</f>
        <v>4</v>
      </c>
      <c r="H2094" s="112" t="str">
        <f ca="1"/>
        <v/>
      </c>
      <c r="I2094" s="112" t="str">
        <f ca="1"/>
        <v/>
      </c>
    </row>
    <row r="2095" spans="1:9" ht="13.2">
      <c r="A2095" s="109" t="str">
        <f ca="1">IFERROR(__xludf.DUMMYFUNCTION("""COMPUTED_VALUE"""),"T")</f>
        <v>T</v>
      </c>
      <c r="B2095" s="108" t="str">
        <f ca="1">IFERROR(__xludf.DUMMYFUNCTION("""COMPUTED_VALUE"""),"Bruce McIntyre")</f>
        <v>Bruce McIntyre</v>
      </c>
      <c r="C2095" s="109">
        <f ca="1">IFERROR(__xludf.DUMMYFUNCTION("""COMPUTED_VALUE"""),11)</f>
        <v>11</v>
      </c>
      <c r="D2095" s="109" t="str">
        <f ca="1">IFERROR(__xludf.DUMMYFUNCTION("""COMPUTED_VALUE"""),"B")</f>
        <v>B</v>
      </c>
      <c r="E2095" s="110" t="str">
        <f ca="1">IFERROR(__xludf.DUMMYFUNCTION("""COMPUTED_VALUE"""),"J")</f>
        <v>J</v>
      </c>
      <c r="F2095" s="114" t="str">
        <f ca="1">IFERROR(__xludf.DUMMYFUNCTION("""COMPUTED_VALUE"""),"I")</f>
        <v>I</v>
      </c>
      <c r="G2095" s="114">
        <f ca="1">IFERROR(__xludf.DUMMYFUNCTION("""COMPUTED_VALUE"""),4)</f>
        <v>4</v>
      </c>
      <c r="H2095" s="112" t="str">
        <f ca="1"/>
        <v>25.5</v>
      </c>
      <c r="I2095" s="112">
        <f ca="1"/>
        <v>25.5</v>
      </c>
    </row>
    <row r="2096" spans="1:9" ht="13.2">
      <c r="A2096" s="109" t="str">
        <f ca="1">IFERROR(__xludf.DUMMYFUNCTION("""COMPUTED_VALUE"""),"T")</f>
        <v>T</v>
      </c>
      <c r="B2096" s="108" t="str">
        <f ca="1">IFERROR(__xludf.DUMMYFUNCTION("""COMPUTED_VALUE"""),"Harrison Schneider")</f>
        <v>Harrison Schneider</v>
      </c>
      <c r="C2096" s="109">
        <f ca="1">IFERROR(__xludf.DUMMYFUNCTION("""COMPUTED_VALUE"""),11)</f>
        <v>11</v>
      </c>
      <c r="D2096" s="109" t="str">
        <f ca="1">IFERROR(__xludf.DUMMYFUNCTION("""COMPUTED_VALUE"""),"B")</f>
        <v>B</v>
      </c>
      <c r="E2096" s="110" t="str">
        <f ca="1">IFERROR(__xludf.DUMMYFUNCTION("""COMPUTED_VALUE"""),"J")</f>
        <v>J</v>
      </c>
      <c r="F2096" s="114" t="str">
        <f ca="1">IFERROR(__xludf.DUMMYFUNCTION("""COMPUTED_VALUE"""),"I")</f>
        <v>I</v>
      </c>
      <c r="G2096" s="114">
        <f ca="1">IFERROR(__xludf.DUMMYFUNCTION("""COMPUTED_VALUE"""),4)</f>
        <v>4</v>
      </c>
      <c r="H2096" s="112" t="str">
        <f ca="1"/>
        <v/>
      </c>
      <c r="I2096" s="112" t="str">
        <f ca="1"/>
        <v/>
      </c>
    </row>
    <row r="2097" spans="1:9" ht="13.2">
      <c r="A2097" s="109" t="str">
        <f ca="1">IFERROR(__xludf.DUMMYFUNCTION("""COMPUTED_VALUE"""),"T")</f>
        <v>T</v>
      </c>
      <c r="B2097" s="108" t="str">
        <f ca="1">IFERROR(__xludf.DUMMYFUNCTION("""COMPUTED_VALUE"""),"Henry Sanford")</f>
        <v>Henry Sanford</v>
      </c>
      <c r="C2097" s="109">
        <f ca="1">IFERROR(__xludf.DUMMYFUNCTION("""COMPUTED_VALUE"""),11)</f>
        <v>11</v>
      </c>
      <c r="D2097" s="109" t="str">
        <f ca="1">IFERROR(__xludf.DUMMYFUNCTION("""COMPUTED_VALUE"""),"B")</f>
        <v>B</v>
      </c>
      <c r="E2097" s="110" t="str">
        <f ca="1">IFERROR(__xludf.DUMMYFUNCTION("""COMPUTED_VALUE"""),"J")</f>
        <v>J</v>
      </c>
      <c r="F2097" s="114" t="str">
        <f ca="1">IFERROR(__xludf.DUMMYFUNCTION("""COMPUTED_VALUE"""),"I")</f>
        <v>I</v>
      </c>
      <c r="G2097" s="114">
        <f ca="1">IFERROR(__xludf.DUMMYFUNCTION("""COMPUTED_VALUE"""),4)</f>
        <v>4</v>
      </c>
      <c r="H2097" s="112" t="str">
        <f ca="1"/>
        <v>36.45</v>
      </c>
      <c r="I2097" s="112">
        <f ca="1"/>
        <v>36.450000000000003</v>
      </c>
    </row>
    <row r="2098" spans="1:9" ht="13.2">
      <c r="A2098" s="109" t="str">
        <f ca="1">IFERROR(__xludf.DUMMYFUNCTION("""COMPUTED_VALUE"""),"T")</f>
        <v>T</v>
      </c>
      <c r="B2098" s="108" t="str">
        <f ca="1">IFERROR(__xludf.DUMMYFUNCTION("""COMPUTED_VALUE"""),"Jackson Thomas")</f>
        <v>Jackson Thomas</v>
      </c>
      <c r="C2098" s="109">
        <f ca="1">IFERROR(__xludf.DUMMYFUNCTION("""COMPUTED_VALUE"""),11)</f>
        <v>11</v>
      </c>
      <c r="D2098" s="109" t="str">
        <f ca="1">IFERROR(__xludf.DUMMYFUNCTION("""COMPUTED_VALUE"""),"B")</f>
        <v>B</v>
      </c>
      <c r="E2098" s="110" t="str">
        <f ca="1">IFERROR(__xludf.DUMMYFUNCTION("""COMPUTED_VALUE"""),"J")</f>
        <v>J</v>
      </c>
      <c r="F2098" s="114" t="str">
        <f ca="1">IFERROR(__xludf.DUMMYFUNCTION("""COMPUTED_VALUE"""),"I")</f>
        <v>I</v>
      </c>
      <c r="G2098" s="114">
        <f ca="1">IFERROR(__xludf.DUMMYFUNCTION("""COMPUTED_VALUE"""),4)</f>
        <v>4</v>
      </c>
      <c r="H2098" s="112" t="str">
        <f ca="1"/>
        <v/>
      </c>
      <c r="I2098" s="112" t="str">
        <f ca="1"/>
        <v/>
      </c>
    </row>
    <row r="2099" spans="1:9" ht="13.2">
      <c r="A2099" s="109" t="str">
        <f ca="1">IFERROR(__xludf.DUMMYFUNCTION("""COMPUTED_VALUE"""),"T")</f>
        <v>T</v>
      </c>
      <c r="B2099" s="108" t="str">
        <f ca="1">IFERROR(__xludf.DUMMYFUNCTION("""COMPUTED_VALUE"""),"Jacob Hall")</f>
        <v>Jacob Hall</v>
      </c>
      <c r="C2099" s="109">
        <f ca="1">IFERROR(__xludf.DUMMYFUNCTION("""COMPUTED_VALUE"""),11)</f>
        <v>11</v>
      </c>
      <c r="D2099" s="109" t="str">
        <f ca="1">IFERROR(__xludf.DUMMYFUNCTION("""COMPUTED_VALUE"""),"B")</f>
        <v>B</v>
      </c>
      <c r="E2099" s="110" t="str">
        <f ca="1">IFERROR(__xludf.DUMMYFUNCTION("""COMPUTED_VALUE"""),"J")</f>
        <v>J</v>
      </c>
      <c r="F2099" s="114" t="str">
        <f ca="1">IFERROR(__xludf.DUMMYFUNCTION("""COMPUTED_VALUE"""),"I")</f>
        <v>I</v>
      </c>
      <c r="G2099" s="114">
        <f ca="1">IFERROR(__xludf.DUMMYFUNCTION("""COMPUTED_VALUE"""),4)</f>
        <v>4</v>
      </c>
      <c r="H2099" s="112" t="str">
        <f ca="1"/>
        <v/>
      </c>
      <c r="I2099" s="112" t="str">
        <f ca="1"/>
        <v/>
      </c>
    </row>
    <row r="2100" spans="1:9" ht="13.2">
      <c r="A2100" s="109" t="str">
        <f ca="1">IFERROR(__xludf.DUMMYFUNCTION("""COMPUTED_VALUE"""),"T")</f>
        <v>T</v>
      </c>
      <c r="B2100" s="108" t="str">
        <f ca="1">IFERROR(__xludf.DUMMYFUNCTION("""COMPUTED_VALUE"""),"Jacob Regulski")</f>
        <v>Jacob Regulski</v>
      </c>
      <c r="C2100" s="109">
        <f ca="1">IFERROR(__xludf.DUMMYFUNCTION("""COMPUTED_VALUE"""),12)</f>
        <v>12</v>
      </c>
      <c r="D2100" s="109" t="str">
        <f ca="1">IFERROR(__xludf.DUMMYFUNCTION("""COMPUTED_VALUE"""),"B")</f>
        <v>B</v>
      </c>
      <c r="E2100" s="110" t="str">
        <f ca="1">IFERROR(__xludf.DUMMYFUNCTION("""COMPUTED_VALUE"""),"J")</f>
        <v>J</v>
      </c>
      <c r="F2100" s="114" t="str">
        <f ca="1">IFERROR(__xludf.DUMMYFUNCTION("""COMPUTED_VALUE"""),"I")</f>
        <v>I</v>
      </c>
      <c r="G2100" s="114">
        <f ca="1">IFERROR(__xludf.DUMMYFUNCTION("""COMPUTED_VALUE"""),4)</f>
        <v>4</v>
      </c>
      <c r="H2100" s="112" t="str">
        <f ca="1"/>
        <v/>
      </c>
      <c r="I2100" s="112" t="str">
        <f ca="1"/>
        <v/>
      </c>
    </row>
    <row r="2101" spans="1:9" ht="13.2">
      <c r="A2101" s="109" t="str">
        <f ca="1">IFERROR(__xludf.DUMMYFUNCTION("""COMPUTED_VALUE"""),"T")</f>
        <v>T</v>
      </c>
      <c r="B2101" s="108" t="str">
        <f ca="1">IFERROR(__xludf.DUMMYFUNCTION("""COMPUTED_VALUE"""),"Jakob Workman")</f>
        <v>Jakob Workman</v>
      </c>
      <c r="C2101" s="109">
        <f ca="1">IFERROR(__xludf.DUMMYFUNCTION("""COMPUTED_VALUE"""),11)</f>
        <v>11</v>
      </c>
      <c r="D2101" s="109" t="str">
        <f ca="1">IFERROR(__xludf.DUMMYFUNCTION("""COMPUTED_VALUE"""),"B")</f>
        <v>B</v>
      </c>
      <c r="E2101" s="110" t="str">
        <f ca="1">IFERROR(__xludf.DUMMYFUNCTION("""COMPUTED_VALUE"""),"J")</f>
        <v>J</v>
      </c>
      <c r="F2101" s="114" t="str">
        <f ca="1">IFERROR(__xludf.DUMMYFUNCTION("""COMPUTED_VALUE"""),"I")</f>
        <v>I</v>
      </c>
      <c r="G2101" s="114">
        <f ca="1">IFERROR(__xludf.DUMMYFUNCTION("""COMPUTED_VALUE"""),4)</f>
        <v>4</v>
      </c>
      <c r="H2101" s="112" t="str">
        <f ca="1"/>
        <v/>
      </c>
      <c r="I2101" s="112" t="str">
        <f ca="1"/>
        <v/>
      </c>
    </row>
    <row r="2102" spans="1:9" ht="13.2">
      <c r="A2102" s="109" t="str">
        <f ca="1">IFERROR(__xludf.DUMMYFUNCTION("""COMPUTED_VALUE"""),"T")</f>
        <v>T</v>
      </c>
      <c r="B2102" s="108" t="str">
        <f ca="1">IFERROR(__xludf.DUMMYFUNCTION("""COMPUTED_VALUE"""),"Lincoln Tillemann")</f>
        <v>Lincoln Tillemann</v>
      </c>
      <c r="C2102" s="109">
        <f ca="1">IFERROR(__xludf.DUMMYFUNCTION("""COMPUTED_VALUE"""),11)</f>
        <v>11</v>
      </c>
      <c r="D2102" s="109" t="str">
        <f ca="1">IFERROR(__xludf.DUMMYFUNCTION("""COMPUTED_VALUE"""),"B")</f>
        <v>B</v>
      </c>
      <c r="E2102" s="110" t="str">
        <f ca="1">IFERROR(__xludf.DUMMYFUNCTION("""COMPUTED_VALUE"""),"J")</f>
        <v>J</v>
      </c>
      <c r="F2102" s="114" t="str">
        <f ca="1">IFERROR(__xludf.DUMMYFUNCTION("""COMPUTED_VALUE"""),"I")</f>
        <v>I</v>
      </c>
      <c r="G2102" s="114">
        <f ca="1">IFERROR(__xludf.DUMMYFUNCTION("""COMPUTED_VALUE"""),4)</f>
        <v>4</v>
      </c>
      <c r="H2102" s="112" t="str">
        <f ca="1"/>
        <v/>
      </c>
      <c r="I2102" s="112" t="str">
        <f ca="1"/>
        <v/>
      </c>
    </row>
    <row r="2103" spans="1:9" ht="13.2">
      <c r="A2103" s="109" t="str">
        <f ca="1">IFERROR(__xludf.DUMMYFUNCTION("""COMPUTED_VALUE"""),"T")</f>
        <v>T</v>
      </c>
      <c r="B2103" s="108" t="str">
        <f ca="1">IFERROR(__xludf.DUMMYFUNCTION("""COMPUTED_VALUE"""),"Teddy Angelides")</f>
        <v>Teddy Angelides</v>
      </c>
      <c r="C2103" s="109">
        <f ca="1">IFERROR(__xludf.DUMMYFUNCTION("""COMPUTED_VALUE"""),12)</f>
        <v>12</v>
      </c>
      <c r="D2103" s="109" t="str">
        <f ca="1">IFERROR(__xludf.DUMMYFUNCTION("""COMPUTED_VALUE"""),"B")</f>
        <v>B</v>
      </c>
      <c r="E2103" s="110" t="str">
        <f ca="1">IFERROR(__xludf.DUMMYFUNCTION("""COMPUTED_VALUE"""),"J")</f>
        <v>J</v>
      </c>
      <c r="F2103" s="114" t="str">
        <f ca="1">IFERROR(__xludf.DUMMYFUNCTION("""COMPUTED_VALUE"""),"I")</f>
        <v>I</v>
      </c>
      <c r="G2103" s="114">
        <f ca="1">IFERROR(__xludf.DUMMYFUNCTION("""COMPUTED_VALUE"""),4)</f>
        <v>4</v>
      </c>
      <c r="H2103" s="112" t="str">
        <f ca="1"/>
        <v/>
      </c>
      <c r="I2103" s="112" t="str">
        <f ca="1"/>
        <v/>
      </c>
    </row>
    <row r="2104" spans="1:9" ht="13.2">
      <c r="A2104" s="109" t="str">
        <f ca="1">IFERROR(__xludf.DUMMYFUNCTION("""COMPUTED_VALUE"""),"T")</f>
        <v>T</v>
      </c>
      <c r="B2104" s="108" t="str">
        <f ca="1">IFERROR(__xludf.DUMMYFUNCTION("""COMPUTED_VALUE"""),"Erin McGeehan")</f>
        <v>Erin McGeehan</v>
      </c>
      <c r="C2104" s="109">
        <f ca="1">IFERROR(__xludf.DUMMYFUNCTION("""COMPUTED_VALUE"""),12)</f>
        <v>12</v>
      </c>
      <c r="D2104" s="109" t="str">
        <f ca="1">IFERROR(__xludf.DUMMYFUNCTION("""COMPUTED_VALUE"""),"G")</f>
        <v>G</v>
      </c>
      <c r="E2104" s="110" t="str">
        <f ca="1">IFERROR(__xludf.DUMMYFUNCTION("""COMPUTED_VALUE"""),"J")</f>
        <v>J</v>
      </c>
      <c r="F2104" s="114" t="str">
        <f ca="1">IFERROR(__xludf.DUMMYFUNCTION("""COMPUTED_VALUE"""),"I")</f>
        <v>I</v>
      </c>
      <c r="G2104" s="114">
        <f ca="1">IFERROR(__xludf.DUMMYFUNCTION("""COMPUTED_VALUE"""),4)</f>
        <v>4</v>
      </c>
      <c r="H2104" s="112" t="str">
        <f ca="1"/>
        <v/>
      </c>
      <c r="I2104" s="112" t="str">
        <f ca="1"/>
        <v/>
      </c>
    </row>
    <row r="2105" spans="1:9" ht="13.2">
      <c r="A2105" s="109" t="str">
        <f ca="1">IFERROR(__xludf.DUMMYFUNCTION("""COMPUTED_VALUE"""),"T")</f>
        <v>T</v>
      </c>
      <c r="B2105" s="108" t="str">
        <f ca="1">IFERROR(__xludf.DUMMYFUNCTION("""COMPUTED_VALUE"""),"Jaidyn Buday")</f>
        <v>Jaidyn Buday</v>
      </c>
      <c r="C2105" s="109">
        <f ca="1">IFERROR(__xludf.DUMMYFUNCTION("""COMPUTED_VALUE"""),12)</f>
        <v>12</v>
      </c>
      <c r="D2105" s="109" t="str">
        <f ca="1">IFERROR(__xludf.DUMMYFUNCTION("""COMPUTED_VALUE"""),"G")</f>
        <v>G</v>
      </c>
      <c r="E2105" s="110" t="str">
        <f ca="1">IFERROR(__xludf.DUMMYFUNCTION("""COMPUTED_VALUE"""),"J")</f>
        <v>J</v>
      </c>
      <c r="F2105" s="114" t="str">
        <f ca="1">IFERROR(__xludf.DUMMYFUNCTION("""COMPUTED_VALUE"""),"I")</f>
        <v>I</v>
      </c>
      <c r="G2105" s="114">
        <f ca="1">IFERROR(__xludf.DUMMYFUNCTION("""COMPUTED_VALUE"""),4)</f>
        <v>4</v>
      </c>
      <c r="H2105" s="112" t="str">
        <f ca="1"/>
        <v/>
      </c>
      <c r="I2105" s="112" t="str">
        <f ca="1"/>
        <v/>
      </c>
    </row>
    <row r="2106" spans="1:9" ht="13.2">
      <c r="A2106" s="109" t="str">
        <f ca="1">IFERROR(__xludf.DUMMYFUNCTION("""COMPUTED_VALUE"""),"T")</f>
        <v>T</v>
      </c>
      <c r="B2106" s="108" t="str">
        <f ca="1">IFERROR(__xludf.DUMMYFUNCTION("""COMPUTED_VALUE"""),"Joslyn Workman")</f>
        <v>Joslyn Workman</v>
      </c>
      <c r="C2106" s="109">
        <f ca="1">IFERROR(__xludf.DUMMYFUNCTION("""COMPUTED_VALUE"""),11)</f>
        <v>11</v>
      </c>
      <c r="D2106" s="109" t="str">
        <f ca="1">IFERROR(__xludf.DUMMYFUNCTION("""COMPUTED_VALUE"""),"G")</f>
        <v>G</v>
      </c>
      <c r="E2106" s="110" t="str">
        <f ca="1">IFERROR(__xludf.DUMMYFUNCTION("""COMPUTED_VALUE"""),"J")</f>
        <v>J</v>
      </c>
      <c r="F2106" s="114" t="str">
        <f ca="1">IFERROR(__xludf.DUMMYFUNCTION("""COMPUTED_VALUE"""),"I")</f>
        <v>I</v>
      </c>
      <c r="G2106" s="114">
        <f ca="1">IFERROR(__xludf.DUMMYFUNCTION("""COMPUTED_VALUE"""),4)</f>
        <v>4</v>
      </c>
      <c r="H2106" s="112" t="str">
        <f ca="1"/>
        <v/>
      </c>
      <c r="I2106" s="112" t="str">
        <f ca="1"/>
        <v/>
      </c>
    </row>
    <row r="2107" spans="1:9" ht="13.2">
      <c r="A2107" s="109" t="str">
        <f ca="1">IFERROR(__xludf.DUMMYFUNCTION("""COMPUTED_VALUE"""),"T")</f>
        <v>T</v>
      </c>
      <c r="B2107" s="108" t="str">
        <f ca="1">IFERROR(__xludf.DUMMYFUNCTION("""COMPUTED_VALUE"""),"Kate Walters")</f>
        <v>Kate Walters</v>
      </c>
      <c r="C2107" s="109">
        <f ca="1">IFERROR(__xludf.DUMMYFUNCTION("""COMPUTED_VALUE"""),11)</f>
        <v>11</v>
      </c>
      <c r="D2107" s="109" t="str">
        <f ca="1">IFERROR(__xludf.DUMMYFUNCTION("""COMPUTED_VALUE"""),"G")</f>
        <v>G</v>
      </c>
      <c r="E2107" s="110" t="str">
        <f ca="1">IFERROR(__xludf.DUMMYFUNCTION("""COMPUTED_VALUE"""),"J")</f>
        <v>J</v>
      </c>
      <c r="F2107" s="114" t="str">
        <f ca="1">IFERROR(__xludf.DUMMYFUNCTION("""COMPUTED_VALUE"""),"I")</f>
        <v>I</v>
      </c>
      <c r="G2107" s="114">
        <f ca="1">IFERROR(__xludf.DUMMYFUNCTION("""COMPUTED_VALUE"""),4)</f>
        <v>4</v>
      </c>
      <c r="H2107" s="112" t="str">
        <f ca="1"/>
        <v/>
      </c>
      <c r="I2107" s="112" t="str">
        <f ca="1"/>
        <v/>
      </c>
    </row>
    <row r="2108" spans="1:9" ht="13.2">
      <c r="A2108" s="109" t="str">
        <f ca="1">IFERROR(__xludf.DUMMYFUNCTION("""COMPUTED_VALUE"""),"T")</f>
        <v>T</v>
      </c>
      <c r="B2108" s="108" t="str">
        <f ca="1">IFERROR(__xludf.DUMMYFUNCTION("""COMPUTED_VALUE"""),"Maddie Riccardi")</f>
        <v>Maddie Riccardi</v>
      </c>
      <c r="C2108" s="109">
        <f ca="1">IFERROR(__xludf.DUMMYFUNCTION("""COMPUTED_VALUE"""),12)</f>
        <v>12</v>
      </c>
      <c r="D2108" s="109" t="str">
        <f ca="1">IFERROR(__xludf.DUMMYFUNCTION("""COMPUTED_VALUE"""),"G")</f>
        <v>G</v>
      </c>
      <c r="E2108" s="110" t="str">
        <f ca="1">IFERROR(__xludf.DUMMYFUNCTION("""COMPUTED_VALUE"""),"J")</f>
        <v>J</v>
      </c>
      <c r="F2108" s="114" t="str">
        <f ca="1">IFERROR(__xludf.DUMMYFUNCTION("""COMPUTED_VALUE"""),"I")</f>
        <v>I</v>
      </c>
      <c r="G2108" s="114">
        <f ca="1">IFERROR(__xludf.DUMMYFUNCTION("""COMPUTED_VALUE"""),4)</f>
        <v>4</v>
      </c>
      <c r="H2108" s="112" t="str">
        <f ca="1"/>
        <v/>
      </c>
      <c r="I2108" s="112" t="str">
        <f ca="1"/>
        <v/>
      </c>
    </row>
    <row r="2109" spans="1:9" ht="13.2">
      <c r="A2109" s="109" t="str">
        <f ca="1">IFERROR(__xludf.DUMMYFUNCTION("""COMPUTED_VALUE"""),"T")</f>
        <v>T</v>
      </c>
      <c r="B2109" s="108" t="str">
        <f ca="1">IFERROR(__xludf.DUMMYFUNCTION("""COMPUTED_VALUE"""),"Alex Glassman")</f>
        <v>Alex Glassman</v>
      </c>
      <c r="C2109" s="109">
        <f ca="1">IFERROR(__xludf.DUMMYFUNCTION("""COMPUTED_VALUE"""),19)</f>
        <v>19</v>
      </c>
      <c r="D2109" s="109" t="str">
        <f ca="1">IFERROR(__xludf.DUMMYFUNCTION("""COMPUTED_VALUE"""),"B")</f>
        <v>B</v>
      </c>
      <c r="E2109" s="110" t="str">
        <f ca="1">IFERROR(__xludf.DUMMYFUNCTION("""COMPUTED_VALUE"""),"S")</f>
        <v>S</v>
      </c>
      <c r="F2109" s="114" t="str">
        <f ca="1">IFERROR(__xludf.DUMMYFUNCTION("""COMPUTED_VALUE"""),"S")</f>
        <v>S</v>
      </c>
      <c r="G2109" s="114">
        <f ca="1">IFERROR(__xludf.DUMMYFUNCTION("""COMPUTED_VALUE"""),4)</f>
        <v>4</v>
      </c>
      <c r="H2109" s="112" t="str">
        <f ca="1"/>
        <v/>
      </c>
      <c r="I2109" s="112" t="str">
        <f ca="1"/>
        <v/>
      </c>
    </row>
    <row r="2110" spans="1:9" ht="13.2">
      <c r="A2110" s="109" t="str">
        <f ca="1">IFERROR(__xludf.DUMMYFUNCTION("""COMPUTED_VALUE"""),"T")</f>
        <v>T</v>
      </c>
      <c r="B2110" s="108" t="str">
        <f ca="1">IFERROR(__xludf.DUMMYFUNCTION("""COMPUTED_VALUE"""),"Justin Un")</f>
        <v>Justin Un</v>
      </c>
      <c r="C2110" s="109">
        <f ca="1">IFERROR(__xludf.DUMMYFUNCTION("""COMPUTED_VALUE"""),17)</f>
        <v>17</v>
      </c>
      <c r="D2110" s="109" t="str">
        <f ca="1">IFERROR(__xludf.DUMMYFUNCTION("""COMPUTED_VALUE"""),"B")</f>
        <v>B</v>
      </c>
      <c r="E2110" s="110" t="str">
        <f ca="1">IFERROR(__xludf.DUMMYFUNCTION("""COMPUTED_VALUE"""),"S")</f>
        <v>S</v>
      </c>
      <c r="F2110" s="114" t="str">
        <f ca="1">IFERROR(__xludf.DUMMYFUNCTION("""COMPUTED_VALUE"""),"S")</f>
        <v>S</v>
      </c>
      <c r="G2110" s="114">
        <f ca="1">IFERROR(__xludf.DUMMYFUNCTION("""COMPUTED_VALUE"""),4)</f>
        <v>4</v>
      </c>
      <c r="H2110" s="112" t="str">
        <f ca="1"/>
        <v/>
      </c>
      <c r="I2110" s="112" t="str">
        <f ca="1"/>
        <v/>
      </c>
    </row>
    <row r="2111" spans="1:9" ht="13.2">
      <c r="A2111" s="109" t="str">
        <f ca="1">IFERROR(__xludf.DUMMYFUNCTION("""COMPUTED_VALUE"""),"T")</f>
        <v>T</v>
      </c>
      <c r="B2111" s="108" t="str">
        <f ca="1">IFERROR(__xludf.DUMMYFUNCTION("""COMPUTED_VALUE"""),"Riya Saran")</f>
        <v>Riya Saran</v>
      </c>
      <c r="C2111" s="109">
        <f ca="1">IFERROR(__xludf.DUMMYFUNCTION("""COMPUTED_VALUE"""),18)</f>
        <v>18</v>
      </c>
      <c r="D2111" s="109" t="str">
        <f ca="1">IFERROR(__xludf.DUMMYFUNCTION("""COMPUTED_VALUE"""),"G")</f>
        <v>G</v>
      </c>
      <c r="E2111" s="110" t="str">
        <f ca="1">IFERROR(__xludf.DUMMYFUNCTION("""COMPUTED_VALUE"""),"S")</f>
        <v>S</v>
      </c>
      <c r="F2111" s="114" t="str">
        <f ca="1">IFERROR(__xludf.DUMMYFUNCTION("""COMPUTED_VALUE"""),"S")</f>
        <v>S</v>
      </c>
      <c r="G2111" s="114">
        <f ca="1">IFERROR(__xludf.DUMMYFUNCTION("""COMPUTED_VALUE"""),4)</f>
        <v>4</v>
      </c>
      <c r="H2111" s="112" t="str">
        <f ca="1"/>
        <v/>
      </c>
      <c r="I2111" s="112" t="str">
        <f ca="1"/>
        <v/>
      </c>
    </row>
    <row r="2112" spans="1:9" ht="13.2">
      <c r="A2112" s="109" t="str">
        <f ca="1">IFERROR(__xludf.DUMMYFUNCTION("""COMPUTED_VALUE"""),"T")</f>
        <v>T</v>
      </c>
      <c r="B2112" s="108" t="str">
        <f ca="1">IFERROR(__xludf.DUMMYFUNCTION("""COMPUTED_VALUE"""),"Sarina Saran")</f>
        <v>Sarina Saran</v>
      </c>
      <c r="C2112" s="109">
        <f ca="1">IFERROR(__xludf.DUMMYFUNCTION("""COMPUTED_VALUE"""),16)</f>
        <v>16</v>
      </c>
      <c r="D2112" s="109" t="str">
        <f ca="1">IFERROR(__xludf.DUMMYFUNCTION("""COMPUTED_VALUE"""),"G")</f>
        <v>G</v>
      </c>
      <c r="E2112" s="110" t="str">
        <f ca="1">IFERROR(__xludf.DUMMYFUNCTION("""COMPUTED_VALUE"""),"S")</f>
        <v>S</v>
      </c>
      <c r="F2112" s="114" t="str">
        <f ca="1">IFERROR(__xludf.DUMMYFUNCTION("""COMPUTED_VALUE"""),"S")</f>
        <v>S</v>
      </c>
      <c r="G2112" s="114">
        <f ca="1">IFERROR(__xludf.DUMMYFUNCTION("""COMPUTED_VALUE"""),4)</f>
        <v>4</v>
      </c>
      <c r="H2112" s="112" t="str">
        <f ca="1"/>
        <v/>
      </c>
      <c r="I2112" s="112" t="str">
        <f ca="1"/>
        <v/>
      </c>
    </row>
    <row r="2113" spans="1:9" ht="13.2">
      <c r="A2113" s="109" t="str">
        <f ca="1">IFERROR(__xludf.DUMMYFUNCTION("""COMPUTED_VALUE"""),"THA")</f>
        <v>THA</v>
      </c>
      <c r="B2113" s="108" t="str">
        <f ca="1">IFERROR(__xludf.DUMMYFUNCTION("""COMPUTED_VALUE"""),"Callum Pitera")</f>
        <v>Callum Pitera</v>
      </c>
      <c r="C2113" s="109">
        <f ca="1">IFERROR(__xludf.DUMMYFUNCTION("""COMPUTED_VALUE"""),7)</f>
        <v>7</v>
      </c>
      <c r="D2113" s="109" t="str">
        <f ca="1">IFERROR(__xludf.DUMMYFUNCTION("""COMPUTED_VALUE"""),"B")</f>
        <v>B</v>
      </c>
      <c r="E2113" s="110" t="str">
        <f ca="1">IFERROR(__xludf.DUMMYFUNCTION("""COMPUTED_VALUE"""),"F")</f>
        <v>F</v>
      </c>
      <c r="F2113" s="114" t="str">
        <f ca="1">IFERROR(__xludf.DUMMYFUNCTION("""COMPUTED_VALUE"""),"J")</f>
        <v>J</v>
      </c>
      <c r="G2113" s="114">
        <f ca="1">IFERROR(__xludf.DUMMYFUNCTION("""COMPUTED_VALUE"""),1)</f>
        <v>1</v>
      </c>
      <c r="H2113" s="112" t="str">
        <f ca="1"/>
        <v/>
      </c>
      <c r="I2113" s="112" t="str">
        <f ca="1"/>
        <v/>
      </c>
    </row>
    <row r="2114" spans="1:9" ht="13.2">
      <c r="A2114" s="109" t="str">
        <f ca="1">IFERROR(__xludf.DUMMYFUNCTION("""COMPUTED_VALUE"""),"THA")</f>
        <v>THA</v>
      </c>
      <c r="B2114" s="108" t="str">
        <f ca="1">IFERROR(__xludf.DUMMYFUNCTION("""COMPUTED_VALUE"""),"Cameron Pitera")</f>
        <v>Cameron Pitera</v>
      </c>
      <c r="C2114" s="109">
        <f ca="1">IFERROR(__xludf.DUMMYFUNCTION("""COMPUTED_VALUE"""),8)</f>
        <v>8</v>
      </c>
      <c r="D2114" s="109" t="str">
        <f ca="1">IFERROR(__xludf.DUMMYFUNCTION("""COMPUTED_VALUE"""),"B")</f>
        <v>B</v>
      </c>
      <c r="E2114" s="110" t="str">
        <f ca="1">IFERROR(__xludf.DUMMYFUNCTION("""COMPUTED_VALUE"""),"F")</f>
        <v>F</v>
      </c>
      <c r="F2114" s="114" t="str">
        <f ca="1">IFERROR(__xludf.DUMMYFUNCTION("""COMPUTED_VALUE"""),"J")</f>
        <v>J</v>
      </c>
      <c r="G2114" s="114">
        <f ca="1">IFERROR(__xludf.DUMMYFUNCTION("""COMPUTED_VALUE"""),1)</f>
        <v>1</v>
      </c>
      <c r="H2114" s="112" t="str">
        <f ca="1"/>
        <v/>
      </c>
      <c r="I2114" s="112" t="str">
        <f ca="1"/>
        <v/>
      </c>
    </row>
    <row r="2115" spans="1:9" ht="13.2">
      <c r="A2115" s="109" t="str">
        <f ca="1">IFERROR(__xludf.DUMMYFUNCTION("""COMPUTED_VALUE"""),"THA")</f>
        <v>THA</v>
      </c>
      <c r="B2115" s="108" t="str">
        <f ca="1">IFERROR(__xludf.DUMMYFUNCTION("""COMPUTED_VALUE"""),"Daniel Gardner")</f>
        <v>Daniel Gardner</v>
      </c>
      <c r="C2115" s="109">
        <f ca="1">IFERROR(__xludf.DUMMYFUNCTION("""COMPUTED_VALUE"""),7)</f>
        <v>7</v>
      </c>
      <c r="D2115" s="109" t="str">
        <f ca="1">IFERROR(__xludf.DUMMYFUNCTION("""COMPUTED_VALUE"""),"B")</f>
        <v>B</v>
      </c>
      <c r="E2115" s="110" t="str">
        <f ca="1">IFERROR(__xludf.DUMMYFUNCTION("""COMPUTED_VALUE"""),"F")</f>
        <v>F</v>
      </c>
      <c r="F2115" s="114" t="str">
        <f ca="1">IFERROR(__xludf.DUMMYFUNCTION("""COMPUTED_VALUE"""),"J")</f>
        <v>J</v>
      </c>
      <c r="G2115" s="114">
        <f ca="1">IFERROR(__xludf.DUMMYFUNCTION("""COMPUTED_VALUE"""),1)</f>
        <v>1</v>
      </c>
      <c r="H2115" s="112" t="str">
        <f ca="1"/>
        <v>29.15</v>
      </c>
      <c r="I2115" s="112">
        <f ca="1"/>
        <v>29.15</v>
      </c>
    </row>
    <row r="2116" spans="1:9" ht="13.2">
      <c r="A2116" s="109" t="str">
        <f ca="1">IFERROR(__xludf.DUMMYFUNCTION("""COMPUTED_VALUE"""),"THA")</f>
        <v>THA</v>
      </c>
      <c r="B2116" s="108" t="str">
        <f ca="1">IFERROR(__xludf.DUMMYFUNCTION("""COMPUTED_VALUE"""),"Daniel Shang")</f>
        <v>Daniel Shang</v>
      </c>
      <c r="C2116" s="109">
        <f ca="1">IFERROR(__xludf.DUMMYFUNCTION("""COMPUTED_VALUE"""),7)</f>
        <v>7</v>
      </c>
      <c r="D2116" s="109" t="str">
        <f ca="1">IFERROR(__xludf.DUMMYFUNCTION("""COMPUTED_VALUE"""),"B")</f>
        <v>B</v>
      </c>
      <c r="E2116" s="110" t="str">
        <f ca="1">IFERROR(__xludf.DUMMYFUNCTION("""COMPUTED_VALUE"""),"F")</f>
        <v>F</v>
      </c>
      <c r="F2116" s="114" t="str">
        <f ca="1">IFERROR(__xludf.DUMMYFUNCTION("""COMPUTED_VALUE"""),"J")</f>
        <v>J</v>
      </c>
      <c r="G2116" s="114">
        <f ca="1">IFERROR(__xludf.DUMMYFUNCTION("""COMPUTED_VALUE"""),1)</f>
        <v>1</v>
      </c>
      <c r="H2116" s="112" t="str">
        <f ca="1"/>
        <v/>
      </c>
      <c r="I2116" s="112" t="str">
        <f ca="1"/>
        <v/>
      </c>
    </row>
    <row r="2117" spans="1:9" ht="13.2">
      <c r="A2117" s="109" t="str">
        <f ca="1">IFERROR(__xludf.DUMMYFUNCTION("""COMPUTED_VALUE"""),"THA")</f>
        <v>THA</v>
      </c>
      <c r="B2117" s="108" t="str">
        <f ca="1">IFERROR(__xludf.DUMMYFUNCTION("""COMPUTED_VALUE"""),"Ewan Girard")</f>
        <v>Ewan Girard</v>
      </c>
      <c r="C2117" s="109">
        <f ca="1">IFERROR(__xludf.DUMMYFUNCTION("""COMPUTED_VALUE"""),8)</f>
        <v>8</v>
      </c>
      <c r="D2117" s="109" t="str">
        <f ca="1">IFERROR(__xludf.DUMMYFUNCTION("""COMPUTED_VALUE"""),"B")</f>
        <v>B</v>
      </c>
      <c r="E2117" s="110" t="str">
        <f ca="1">IFERROR(__xludf.DUMMYFUNCTION("""COMPUTED_VALUE"""),"F")</f>
        <v>F</v>
      </c>
      <c r="F2117" s="114" t="str">
        <f ca="1">IFERROR(__xludf.DUMMYFUNCTION("""COMPUTED_VALUE"""),"J")</f>
        <v>J</v>
      </c>
      <c r="G2117" s="114">
        <f ca="1">IFERROR(__xludf.DUMMYFUNCTION("""COMPUTED_VALUE"""),1)</f>
        <v>1</v>
      </c>
      <c r="H2117" s="112" t="str">
        <f ca="1"/>
        <v>35.85</v>
      </c>
      <c r="I2117" s="112">
        <f ca="1"/>
        <v>35.85</v>
      </c>
    </row>
    <row r="2118" spans="1:9" ht="13.2">
      <c r="A2118" s="109" t="str">
        <f ca="1">IFERROR(__xludf.DUMMYFUNCTION("""COMPUTED_VALUE"""),"THA")</f>
        <v>THA</v>
      </c>
      <c r="B2118" s="108" t="str">
        <f ca="1">IFERROR(__xludf.DUMMYFUNCTION("""COMPUTED_VALUE"""),"Finlay Sandberg")</f>
        <v>Finlay Sandberg</v>
      </c>
      <c r="C2118" s="109">
        <f ca="1">IFERROR(__xludf.DUMMYFUNCTION("""COMPUTED_VALUE"""),9)</f>
        <v>9</v>
      </c>
      <c r="D2118" s="109" t="str">
        <f ca="1">IFERROR(__xludf.DUMMYFUNCTION("""COMPUTED_VALUE"""),"B")</f>
        <v>B</v>
      </c>
      <c r="E2118" s="110" t="str">
        <f ca="1">IFERROR(__xludf.DUMMYFUNCTION("""COMPUTED_VALUE"""),"F")</f>
        <v>F</v>
      </c>
      <c r="F2118" s="114" t="str">
        <f ca="1">IFERROR(__xludf.DUMMYFUNCTION("""COMPUTED_VALUE"""),"J")</f>
        <v>J</v>
      </c>
      <c r="G2118" s="114">
        <f ca="1">IFERROR(__xludf.DUMMYFUNCTION("""COMPUTED_VALUE"""),1)</f>
        <v>1</v>
      </c>
      <c r="H2118" s="112" t="str">
        <f ca="1"/>
        <v/>
      </c>
      <c r="I2118" s="112" t="str">
        <f ca="1"/>
        <v/>
      </c>
    </row>
    <row r="2119" spans="1:9" ht="13.2">
      <c r="A2119" s="109" t="str">
        <f ca="1">IFERROR(__xludf.DUMMYFUNCTION("""COMPUTED_VALUE"""),"THA")</f>
        <v>THA</v>
      </c>
      <c r="B2119" s="108" t="str">
        <f ca="1">IFERROR(__xludf.DUMMYFUNCTION("""COMPUTED_VALUE"""),"Jasper Eng")</f>
        <v>Jasper Eng</v>
      </c>
      <c r="C2119" s="109">
        <f ca="1">IFERROR(__xludf.DUMMYFUNCTION("""COMPUTED_VALUE"""),10)</f>
        <v>10</v>
      </c>
      <c r="D2119" s="109" t="str">
        <f ca="1">IFERROR(__xludf.DUMMYFUNCTION("""COMPUTED_VALUE"""),"B")</f>
        <v>B</v>
      </c>
      <c r="E2119" s="110" t="str">
        <f ca="1">IFERROR(__xludf.DUMMYFUNCTION("""COMPUTED_VALUE"""),"F")</f>
        <v>F</v>
      </c>
      <c r="F2119" s="114" t="str">
        <f ca="1">IFERROR(__xludf.DUMMYFUNCTION("""COMPUTED_VALUE"""),"J")</f>
        <v>J</v>
      </c>
      <c r="G2119" s="114">
        <f ca="1">IFERROR(__xludf.DUMMYFUNCTION("""COMPUTED_VALUE"""),1)</f>
        <v>1</v>
      </c>
      <c r="H2119" s="112" t="str">
        <f ca="1"/>
        <v/>
      </c>
      <c r="I2119" s="112" t="str">
        <f ca="1"/>
        <v/>
      </c>
    </row>
    <row r="2120" spans="1:9" ht="13.2">
      <c r="A2120" s="109" t="str">
        <f ca="1">IFERROR(__xludf.DUMMYFUNCTION("""COMPUTED_VALUE"""),"THA")</f>
        <v>THA</v>
      </c>
      <c r="B2120" s="108" t="str">
        <f ca="1">IFERROR(__xludf.DUMMYFUNCTION("""COMPUTED_VALUE"""),"Lucas Hanlon")</f>
        <v>Lucas Hanlon</v>
      </c>
      <c r="C2120" s="109">
        <f ca="1">IFERROR(__xludf.DUMMYFUNCTION("""COMPUTED_VALUE"""),9)</f>
        <v>9</v>
      </c>
      <c r="D2120" s="109" t="str">
        <f ca="1">IFERROR(__xludf.DUMMYFUNCTION("""COMPUTED_VALUE"""),"B")</f>
        <v>B</v>
      </c>
      <c r="E2120" s="110" t="str">
        <f ca="1">IFERROR(__xludf.DUMMYFUNCTION("""COMPUTED_VALUE"""),"F")</f>
        <v>F</v>
      </c>
      <c r="F2120" s="114" t="str">
        <f ca="1">IFERROR(__xludf.DUMMYFUNCTION("""COMPUTED_VALUE"""),"J")</f>
        <v>J</v>
      </c>
      <c r="G2120" s="114">
        <f ca="1">IFERROR(__xludf.DUMMYFUNCTION("""COMPUTED_VALUE"""),1)</f>
        <v>1</v>
      </c>
      <c r="H2120" s="112" t="str">
        <f ca="1"/>
        <v/>
      </c>
      <c r="I2120" s="112" t="str">
        <f ca="1"/>
        <v/>
      </c>
    </row>
    <row r="2121" spans="1:9" ht="13.2">
      <c r="A2121" s="109" t="str">
        <f ca="1">IFERROR(__xludf.DUMMYFUNCTION("""COMPUTED_VALUE"""),"THA")</f>
        <v>THA</v>
      </c>
      <c r="B2121" s="108" t="str">
        <f ca="1">IFERROR(__xludf.DUMMYFUNCTION("""COMPUTED_VALUE"""),"Luke Kieffer")</f>
        <v>Luke Kieffer</v>
      </c>
      <c r="C2121" s="109">
        <f ca="1">IFERROR(__xludf.DUMMYFUNCTION("""COMPUTED_VALUE"""),8)</f>
        <v>8</v>
      </c>
      <c r="D2121" s="109" t="str">
        <f ca="1">IFERROR(__xludf.DUMMYFUNCTION("""COMPUTED_VALUE"""),"B")</f>
        <v>B</v>
      </c>
      <c r="E2121" s="110" t="str">
        <f ca="1">IFERROR(__xludf.DUMMYFUNCTION("""COMPUTED_VALUE"""),"F")</f>
        <v>F</v>
      </c>
      <c r="F2121" s="114" t="str">
        <f ca="1">IFERROR(__xludf.DUMMYFUNCTION("""COMPUTED_VALUE"""),"J")</f>
        <v>J</v>
      </c>
      <c r="G2121" s="114">
        <f ca="1">IFERROR(__xludf.DUMMYFUNCTION("""COMPUTED_VALUE"""),1)</f>
        <v>1</v>
      </c>
      <c r="H2121" s="112" t="str">
        <f ca="1"/>
        <v>46.15</v>
      </c>
      <c r="I2121" s="112">
        <f ca="1"/>
        <v>46.15</v>
      </c>
    </row>
    <row r="2122" spans="1:9" ht="13.2">
      <c r="A2122" s="109" t="str">
        <f ca="1">IFERROR(__xludf.DUMMYFUNCTION("""COMPUTED_VALUE"""),"THA")</f>
        <v>THA</v>
      </c>
      <c r="B2122" s="108" t="str">
        <f ca="1">IFERROR(__xludf.DUMMYFUNCTION("""COMPUTED_VALUE"""),"Matthew Gardner")</f>
        <v>Matthew Gardner</v>
      </c>
      <c r="C2122" s="109">
        <f ca="1">IFERROR(__xludf.DUMMYFUNCTION("""COMPUTED_VALUE"""),5)</f>
        <v>5</v>
      </c>
      <c r="D2122" s="109" t="str">
        <f ca="1">IFERROR(__xludf.DUMMYFUNCTION("""COMPUTED_VALUE"""),"B")</f>
        <v>B</v>
      </c>
      <c r="E2122" s="110" t="str">
        <f ca="1">IFERROR(__xludf.DUMMYFUNCTION("""COMPUTED_VALUE"""),"F")</f>
        <v>F</v>
      </c>
      <c r="F2122" s="114" t="str">
        <f ca="1">IFERROR(__xludf.DUMMYFUNCTION("""COMPUTED_VALUE"""),"J")</f>
        <v>J</v>
      </c>
      <c r="G2122" s="114">
        <f ca="1">IFERROR(__xludf.DUMMYFUNCTION("""COMPUTED_VALUE"""),1)</f>
        <v>1</v>
      </c>
      <c r="H2122" s="112" t="str">
        <f ca="1"/>
        <v>12</v>
      </c>
      <c r="I2122" s="112">
        <f ca="1"/>
        <v>12</v>
      </c>
    </row>
    <row r="2123" spans="1:9" ht="13.2">
      <c r="A2123" s="109" t="str">
        <f ca="1">IFERROR(__xludf.DUMMYFUNCTION("""COMPUTED_VALUE"""),"THA")</f>
        <v>THA</v>
      </c>
      <c r="B2123" s="108" t="str">
        <f ca="1">IFERROR(__xludf.DUMMYFUNCTION("""COMPUTED_VALUE"""),"Owen McKeever")</f>
        <v>Owen McKeever</v>
      </c>
      <c r="C2123" s="109">
        <f ca="1">IFERROR(__xludf.DUMMYFUNCTION("""COMPUTED_VALUE"""),7)</f>
        <v>7</v>
      </c>
      <c r="D2123" s="109" t="str">
        <f ca="1">IFERROR(__xludf.DUMMYFUNCTION("""COMPUTED_VALUE"""),"B")</f>
        <v>B</v>
      </c>
      <c r="E2123" s="110" t="str">
        <f ca="1">IFERROR(__xludf.DUMMYFUNCTION("""COMPUTED_VALUE"""),"F")</f>
        <v>F</v>
      </c>
      <c r="F2123" s="114" t="str">
        <f ca="1">IFERROR(__xludf.DUMMYFUNCTION("""COMPUTED_VALUE"""),"J")</f>
        <v>J</v>
      </c>
      <c r="G2123" s="114">
        <f ca="1">IFERROR(__xludf.DUMMYFUNCTION("""COMPUTED_VALUE"""),1)</f>
        <v>1</v>
      </c>
      <c r="H2123" s="112" t="str">
        <f ca="1"/>
        <v/>
      </c>
      <c r="I2123" s="112" t="str">
        <f ca="1"/>
        <v/>
      </c>
    </row>
    <row r="2124" spans="1:9" ht="13.2">
      <c r="A2124" s="109" t="str">
        <f ca="1">IFERROR(__xludf.DUMMYFUNCTION("""COMPUTED_VALUE"""),"THA")</f>
        <v>THA</v>
      </c>
      <c r="B2124" s="108" t="str">
        <f ca="1">IFERROR(__xludf.DUMMYFUNCTION("""COMPUTED_VALUE"""),"Peter Lucado")</f>
        <v>Peter Lucado</v>
      </c>
      <c r="C2124" s="109">
        <f ca="1">IFERROR(__xludf.DUMMYFUNCTION("""COMPUTED_VALUE"""),10)</f>
        <v>10</v>
      </c>
      <c r="D2124" s="109" t="str">
        <f ca="1">IFERROR(__xludf.DUMMYFUNCTION("""COMPUTED_VALUE"""),"B")</f>
        <v>B</v>
      </c>
      <c r="E2124" s="110" t="str">
        <f ca="1">IFERROR(__xludf.DUMMYFUNCTION("""COMPUTED_VALUE"""),"F")</f>
        <v>F</v>
      </c>
      <c r="F2124" s="114" t="str">
        <f ca="1">IFERROR(__xludf.DUMMYFUNCTION("""COMPUTED_VALUE"""),"J")</f>
        <v>J</v>
      </c>
      <c r="G2124" s="114">
        <f ca="1">IFERROR(__xludf.DUMMYFUNCTION("""COMPUTED_VALUE"""),1)</f>
        <v>1</v>
      </c>
      <c r="H2124" s="112" t="str">
        <f ca="1"/>
        <v/>
      </c>
      <c r="I2124" s="112" t="str">
        <f ca="1"/>
        <v/>
      </c>
    </row>
    <row r="2125" spans="1:9" ht="13.2">
      <c r="A2125" s="109" t="str">
        <f ca="1">IFERROR(__xludf.DUMMYFUNCTION("""COMPUTED_VALUE"""),"THA")</f>
        <v>THA</v>
      </c>
      <c r="B2125" s="108" t="str">
        <f ca="1">IFERROR(__xludf.DUMMYFUNCTION("""COMPUTED_VALUE"""),"Ainslee Girard")</f>
        <v>Ainslee Girard</v>
      </c>
      <c r="C2125" s="109">
        <f ca="1">IFERROR(__xludf.DUMMYFUNCTION("""COMPUTED_VALUE"""),10)</f>
        <v>10</v>
      </c>
      <c r="D2125" s="109" t="str">
        <f ca="1">IFERROR(__xludf.DUMMYFUNCTION("""COMPUTED_VALUE"""),"G")</f>
        <v>G</v>
      </c>
      <c r="E2125" s="110" t="str">
        <f ca="1">IFERROR(__xludf.DUMMYFUNCTION("""COMPUTED_VALUE"""),"F")</f>
        <v>F</v>
      </c>
      <c r="F2125" s="114" t="str">
        <f ca="1">IFERROR(__xludf.DUMMYFUNCTION("""COMPUTED_VALUE"""),"J")</f>
        <v>J</v>
      </c>
      <c r="G2125" s="114">
        <f ca="1">IFERROR(__xludf.DUMMYFUNCTION("""COMPUTED_VALUE"""),1)</f>
        <v>1</v>
      </c>
      <c r="H2125" s="112" t="str">
        <f ca="1"/>
        <v>53.4</v>
      </c>
      <c r="I2125" s="112">
        <f ca="1"/>
        <v>53.4</v>
      </c>
    </row>
    <row r="2126" spans="1:9" ht="13.2">
      <c r="A2126" s="109" t="str">
        <f ca="1">IFERROR(__xludf.DUMMYFUNCTION("""COMPUTED_VALUE"""),"THA")</f>
        <v>THA</v>
      </c>
      <c r="B2126" s="108" t="str">
        <f ca="1">IFERROR(__xludf.DUMMYFUNCTION("""COMPUTED_VALUE"""),"Audrey Shifflett")</f>
        <v>Audrey Shifflett</v>
      </c>
      <c r="C2126" s="109">
        <f ca="1">IFERROR(__xludf.DUMMYFUNCTION("""COMPUTED_VALUE"""),10)</f>
        <v>10</v>
      </c>
      <c r="D2126" s="109" t="str">
        <f ca="1">IFERROR(__xludf.DUMMYFUNCTION("""COMPUTED_VALUE"""),"G")</f>
        <v>G</v>
      </c>
      <c r="E2126" s="110" t="str">
        <f ca="1">IFERROR(__xludf.DUMMYFUNCTION("""COMPUTED_VALUE"""),"F")</f>
        <v>F</v>
      </c>
      <c r="F2126" s="114" t="str">
        <f ca="1">IFERROR(__xludf.DUMMYFUNCTION("""COMPUTED_VALUE"""),"J")</f>
        <v>J</v>
      </c>
      <c r="G2126" s="114">
        <f ca="1">IFERROR(__xludf.DUMMYFUNCTION("""COMPUTED_VALUE"""),1)</f>
        <v>1</v>
      </c>
      <c r="H2126" s="112" t="str">
        <f ca="1"/>
        <v/>
      </c>
      <c r="I2126" s="112" t="str">
        <f ca="1"/>
        <v/>
      </c>
    </row>
    <row r="2127" spans="1:9" ht="13.2">
      <c r="A2127" s="109" t="str">
        <f ca="1">IFERROR(__xludf.DUMMYFUNCTION("""COMPUTED_VALUE"""),"THA")</f>
        <v>THA</v>
      </c>
      <c r="B2127" s="108" t="str">
        <f ca="1">IFERROR(__xludf.DUMMYFUNCTION("""COMPUTED_VALUE"""),"Ava McKeever")</f>
        <v>Ava McKeever</v>
      </c>
      <c r="C2127" s="109">
        <f ca="1">IFERROR(__xludf.DUMMYFUNCTION("""COMPUTED_VALUE"""),10)</f>
        <v>10</v>
      </c>
      <c r="D2127" s="109" t="str">
        <f ca="1">IFERROR(__xludf.DUMMYFUNCTION("""COMPUTED_VALUE"""),"G")</f>
        <v>G</v>
      </c>
      <c r="E2127" s="110" t="str">
        <f ca="1">IFERROR(__xludf.DUMMYFUNCTION("""COMPUTED_VALUE"""),"F")</f>
        <v>F</v>
      </c>
      <c r="F2127" s="114" t="str">
        <f ca="1">IFERROR(__xludf.DUMMYFUNCTION("""COMPUTED_VALUE"""),"J")</f>
        <v>J</v>
      </c>
      <c r="G2127" s="114">
        <f ca="1">IFERROR(__xludf.DUMMYFUNCTION("""COMPUTED_VALUE"""),1)</f>
        <v>1</v>
      </c>
      <c r="H2127" s="112" t="str">
        <f ca="1"/>
        <v>52.2</v>
      </c>
      <c r="I2127" s="112">
        <f ca="1"/>
        <v>52.2</v>
      </c>
    </row>
    <row r="2128" spans="1:9" ht="13.2">
      <c r="A2128" s="109" t="str">
        <f ca="1">IFERROR(__xludf.DUMMYFUNCTION("""COMPUTED_VALUE"""),"THA")</f>
        <v>THA</v>
      </c>
      <c r="B2128" s="108" t="str">
        <f ca="1">IFERROR(__xludf.DUMMYFUNCTION("""COMPUTED_VALUE"""),"Eleanor Albosta")</f>
        <v>Eleanor Albosta</v>
      </c>
      <c r="C2128" s="109">
        <f ca="1">IFERROR(__xludf.DUMMYFUNCTION("""COMPUTED_VALUE"""),8)</f>
        <v>8</v>
      </c>
      <c r="D2128" s="109" t="str">
        <f ca="1">IFERROR(__xludf.DUMMYFUNCTION("""COMPUTED_VALUE"""),"G")</f>
        <v>G</v>
      </c>
      <c r="E2128" s="110" t="str">
        <f ca="1">IFERROR(__xludf.DUMMYFUNCTION("""COMPUTED_VALUE"""),"F")</f>
        <v>F</v>
      </c>
      <c r="F2128" s="114" t="str">
        <f ca="1">IFERROR(__xludf.DUMMYFUNCTION("""COMPUTED_VALUE"""),"J")</f>
        <v>J</v>
      </c>
      <c r="G2128" s="114">
        <f ca="1">IFERROR(__xludf.DUMMYFUNCTION("""COMPUTED_VALUE"""),1)</f>
        <v>1</v>
      </c>
      <c r="H2128" s="112" t="str">
        <f ca="1"/>
        <v>30.85</v>
      </c>
      <c r="I2128" s="112">
        <f ca="1"/>
        <v>30.85</v>
      </c>
    </row>
    <row r="2129" spans="1:9" ht="13.2">
      <c r="A2129" s="109" t="str">
        <f ca="1">IFERROR(__xludf.DUMMYFUNCTION("""COMPUTED_VALUE"""),"THA")</f>
        <v>THA</v>
      </c>
      <c r="B2129" s="108" t="str">
        <f ca="1">IFERROR(__xludf.DUMMYFUNCTION("""COMPUTED_VALUE"""),"Gabopha So")</f>
        <v>Gabopha So</v>
      </c>
      <c r="C2129" s="109">
        <f ca="1">IFERROR(__xludf.DUMMYFUNCTION("""COMPUTED_VALUE"""),10)</f>
        <v>10</v>
      </c>
      <c r="D2129" s="109" t="str">
        <f ca="1">IFERROR(__xludf.DUMMYFUNCTION("""COMPUTED_VALUE"""),"G")</f>
        <v>G</v>
      </c>
      <c r="E2129" s="110" t="str">
        <f ca="1">IFERROR(__xludf.DUMMYFUNCTION("""COMPUTED_VALUE"""),"F")</f>
        <v>F</v>
      </c>
      <c r="F2129" s="114" t="str">
        <f ca="1">IFERROR(__xludf.DUMMYFUNCTION("""COMPUTED_VALUE"""),"J")</f>
        <v>J</v>
      </c>
      <c r="G2129" s="114">
        <f ca="1">IFERROR(__xludf.DUMMYFUNCTION("""COMPUTED_VALUE"""),1)</f>
        <v>1</v>
      </c>
      <c r="H2129" s="112" t="str">
        <f ca="1"/>
        <v>58.35</v>
      </c>
      <c r="I2129" s="112">
        <f ca="1"/>
        <v>58.35</v>
      </c>
    </row>
    <row r="2130" spans="1:9" ht="13.2">
      <c r="A2130" s="109" t="str">
        <f ca="1">IFERROR(__xludf.DUMMYFUNCTION("""COMPUTED_VALUE"""),"THA")</f>
        <v>THA</v>
      </c>
      <c r="B2130" s="108" t="str">
        <f ca="1">IFERROR(__xludf.DUMMYFUNCTION("""COMPUTED_VALUE"""),"Georgina McKeever")</f>
        <v>Georgina McKeever</v>
      </c>
      <c r="C2130" s="109">
        <f ca="1">IFERROR(__xludf.DUMMYFUNCTION("""COMPUTED_VALUE"""),10)</f>
        <v>10</v>
      </c>
      <c r="D2130" s="109" t="str">
        <f ca="1">IFERROR(__xludf.DUMMYFUNCTION("""COMPUTED_VALUE"""),"G")</f>
        <v>G</v>
      </c>
      <c r="E2130" s="110" t="str">
        <f ca="1">IFERROR(__xludf.DUMMYFUNCTION("""COMPUTED_VALUE"""),"F")</f>
        <v>F</v>
      </c>
      <c r="F2130" s="114" t="str">
        <f ca="1">IFERROR(__xludf.DUMMYFUNCTION("""COMPUTED_VALUE"""),"J")</f>
        <v>J</v>
      </c>
      <c r="G2130" s="114">
        <f ca="1">IFERROR(__xludf.DUMMYFUNCTION("""COMPUTED_VALUE"""),1)</f>
        <v>1</v>
      </c>
      <c r="H2130" s="112" t="str">
        <f ca="1"/>
        <v/>
      </c>
      <c r="I2130" s="112" t="str">
        <f ca="1"/>
        <v/>
      </c>
    </row>
    <row r="2131" spans="1:9" ht="13.2">
      <c r="A2131" s="109" t="str">
        <f ca="1">IFERROR(__xludf.DUMMYFUNCTION("""COMPUTED_VALUE"""),"THA")</f>
        <v>THA</v>
      </c>
      <c r="B2131" s="108" t="str">
        <f ca="1">IFERROR(__xludf.DUMMYFUNCTION("""COMPUTED_VALUE"""),"Lily Robinson")</f>
        <v>Lily Robinson</v>
      </c>
      <c r="C2131" s="109">
        <f ca="1">IFERROR(__xludf.DUMMYFUNCTION("""COMPUTED_VALUE"""),9)</f>
        <v>9</v>
      </c>
      <c r="D2131" s="109" t="str">
        <f ca="1">IFERROR(__xludf.DUMMYFUNCTION("""COMPUTED_VALUE"""),"G")</f>
        <v>G</v>
      </c>
      <c r="E2131" s="110" t="str">
        <f ca="1">IFERROR(__xludf.DUMMYFUNCTION("""COMPUTED_VALUE"""),"F")</f>
        <v>F</v>
      </c>
      <c r="F2131" s="114" t="str">
        <f ca="1">IFERROR(__xludf.DUMMYFUNCTION("""COMPUTED_VALUE"""),"J")</f>
        <v>J</v>
      </c>
      <c r="G2131" s="114">
        <f ca="1">IFERROR(__xludf.DUMMYFUNCTION("""COMPUTED_VALUE"""),1)</f>
        <v>1</v>
      </c>
      <c r="H2131" s="112" t="str">
        <f ca="1"/>
        <v>34.85</v>
      </c>
      <c r="I2131" s="112">
        <f ca="1"/>
        <v>34.85</v>
      </c>
    </row>
    <row r="2132" spans="1:9" ht="13.2">
      <c r="A2132" s="109" t="str">
        <f ca="1">IFERROR(__xludf.DUMMYFUNCTION("""COMPUTED_VALUE"""),"THA")</f>
        <v>THA</v>
      </c>
      <c r="B2132" s="108" t="str">
        <f ca="1">IFERROR(__xludf.DUMMYFUNCTION("""COMPUTED_VALUE"""),"Reilly McBride")</f>
        <v>Reilly McBride</v>
      </c>
      <c r="C2132" s="109">
        <f ca="1">IFERROR(__xludf.DUMMYFUNCTION("""COMPUTED_VALUE"""),6)</f>
        <v>6</v>
      </c>
      <c r="D2132" s="109" t="str">
        <f ca="1">IFERROR(__xludf.DUMMYFUNCTION("""COMPUTED_VALUE"""),"G")</f>
        <v>G</v>
      </c>
      <c r="E2132" s="110" t="str">
        <f ca="1">IFERROR(__xludf.DUMMYFUNCTION("""COMPUTED_VALUE"""),"F")</f>
        <v>F</v>
      </c>
      <c r="F2132" s="114" t="str">
        <f ca="1">IFERROR(__xludf.DUMMYFUNCTION("""COMPUTED_VALUE"""),"J")</f>
        <v>J</v>
      </c>
      <c r="G2132" s="114">
        <f ca="1">IFERROR(__xludf.DUMMYFUNCTION("""COMPUTED_VALUE"""),1)</f>
        <v>1</v>
      </c>
      <c r="H2132" s="112" t="str">
        <f ca="1"/>
        <v/>
      </c>
      <c r="I2132" s="112" t="str">
        <f ca="1"/>
        <v/>
      </c>
    </row>
    <row r="2133" spans="1:9" ht="13.2">
      <c r="A2133" s="109" t="str">
        <f ca="1">IFERROR(__xludf.DUMMYFUNCTION("""COMPUTED_VALUE"""),"THA")</f>
        <v>THA</v>
      </c>
      <c r="B2133" s="108" t="str">
        <f ca="1">IFERROR(__xludf.DUMMYFUNCTION("""COMPUTED_VALUE"""),"Sofia Dalilaltojari")</f>
        <v>Sofia Dalilaltojari</v>
      </c>
      <c r="C2133" s="109">
        <f ca="1">IFERROR(__xludf.DUMMYFUNCTION("""COMPUTED_VALUE"""),7)</f>
        <v>7</v>
      </c>
      <c r="D2133" s="109" t="str">
        <f ca="1">IFERROR(__xludf.DUMMYFUNCTION("""COMPUTED_VALUE"""),"G")</f>
        <v>G</v>
      </c>
      <c r="E2133" s="110" t="str">
        <f ca="1">IFERROR(__xludf.DUMMYFUNCTION("""COMPUTED_VALUE"""),"F")</f>
        <v>F</v>
      </c>
      <c r="F2133" s="114" t="str">
        <f ca="1">IFERROR(__xludf.DUMMYFUNCTION("""COMPUTED_VALUE"""),"J")</f>
        <v>J</v>
      </c>
      <c r="G2133" s="114">
        <f ca="1">IFERROR(__xludf.DUMMYFUNCTION("""COMPUTED_VALUE"""),1)</f>
        <v>1</v>
      </c>
      <c r="H2133" s="112" t="str">
        <f ca="1"/>
        <v>27.5</v>
      </c>
      <c r="I2133" s="112">
        <f ca="1"/>
        <v>27.5</v>
      </c>
    </row>
    <row r="2134" spans="1:9" ht="13.2">
      <c r="A2134" s="109" t="str">
        <f ca="1">IFERROR(__xludf.DUMMYFUNCTION("""COMPUTED_VALUE"""),"THA")</f>
        <v>THA</v>
      </c>
      <c r="B2134" s="108" t="str">
        <f ca="1">IFERROR(__xludf.DUMMYFUNCTION("""COMPUTED_VALUE"""),"Vivienne Easmunt")</f>
        <v>Vivienne Easmunt</v>
      </c>
      <c r="C2134" s="109">
        <f ca="1">IFERROR(__xludf.DUMMYFUNCTION("""COMPUTED_VALUE"""),10)</f>
        <v>10</v>
      </c>
      <c r="D2134" s="109" t="str">
        <f ca="1">IFERROR(__xludf.DUMMYFUNCTION("""COMPUTED_VALUE"""),"G")</f>
        <v>G</v>
      </c>
      <c r="E2134" s="110" t="str">
        <f ca="1">IFERROR(__xludf.DUMMYFUNCTION("""COMPUTED_VALUE"""),"F")</f>
        <v>F</v>
      </c>
      <c r="F2134" s="114" t="str">
        <f ca="1">IFERROR(__xludf.DUMMYFUNCTION("""COMPUTED_VALUE"""),"J")</f>
        <v>J</v>
      </c>
      <c r="G2134" s="114">
        <f ca="1">IFERROR(__xludf.DUMMYFUNCTION("""COMPUTED_VALUE"""),1)</f>
        <v>1</v>
      </c>
      <c r="H2134" s="112" t="str">
        <f ca="1"/>
        <v>21.15</v>
      </c>
      <c r="I2134" s="112">
        <f ca="1"/>
        <v>21.15</v>
      </c>
    </row>
    <row r="2135" spans="1:9" ht="13.2">
      <c r="A2135" s="109" t="str">
        <f ca="1">IFERROR(__xludf.DUMMYFUNCTION("""COMPUTED_VALUE"""),"THA")</f>
        <v>THA</v>
      </c>
      <c r="B2135" s="108" t="str">
        <f ca="1">IFERROR(__xludf.DUMMYFUNCTION("""COMPUTED_VALUE"""),"Marek Raynal")</f>
        <v>Marek Raynal</v>
      </c>
      <c r="C2135" s="109">
        <f ca="1">IFERROR(__xludf.DUMMYFUNCTION("""COMPUTED_VALUE"""),13)</f>
        <v>13</v>
      </c>
      <c r="D2135" s="109" t="str">
        <f ca="1">IFERROR(__xludf.DUMMYFUNCTION("""COMPUTED_VALUE"""),"B")</f>
        <v>B</v>
      </c>
      <c r="E2135" s="110" t="str">
        <f ca="1">IFERROR(__xludf.DUMMYFUNCTION("""COMPUTED_VALUE"""),"I")</f>
        <v>I</v>
      </c>
      <c r="F2135" s="114" t="str">
        <f ca="1">IFERROR(__xludf.DUMMYFUNCTION("""COMPUTED_VALUE"""),"S")</f>
        <v>S</v>
      </c>
      <c r="G2135" s="114">
        <f ca="1">IFERROR(__xludf.DUMMYFUNCTION("""COMPUTED_VALUE"""),1)</f>
        <v>1</v>
      </c>
      <c r="H2135" s="112" t="str">
        <f ca="1"/>
        <v/>
      </c>
      <c r="I2135" s="112" t="str">
        <f ca="1"/>
        <v/>
      </c>
    </row>
    <row r="2136" spans="1:9" ht="13.2">
      <c r="A2136" s="109" t="str">
        <f ca="1">IFERROR(__xludf.DUMMYFUNCTION("""COMPUTED_VALUE"""),"THA")</f>
        <v>THA</v>
      </c>
      <c r="B2136" s="108" t="str">
        <f ca="1">IFERROR(__xludf.DUMMYFUNCTION("""COMPUTED_VALUE"""),"Noah Hedrick")</f>
        <v>Noah Hedrick</v>
      </c>
      <c r="C2136" s="109">
        <f ca="1">IFERROR(__xludf.DUMMYFUNCTION("""COMPUTED_VALUE"""),13)</f>
        <v>13</v>
      </c>
      <c r="D2136" s="109" t="str">
        <f ca="1">IFERROR(__xludf.DUMMYFUNCTION("""COMPUTED_VALUE"""),"B")</f>
        <v>B</v>
      </c>
      <c r="E2136" s="110" t="str">
        <f ca="1">IFERROR(__xludf.DUMMYFUNCTION("""COMPUTED_VALUE"""),"I")</f>
        <v>I</v>
      </c>
      <c r="F2136" s="114" t="str">
        <f ca="1">IFERROR(__xludf.DUMMYFUNCTION("""COMPUTED_VALUE"""),"S")</f>
        <v>S</v>
      </c>
      <c r="G2136" s="114">
        <f ca="1">IFERROR(__xludf.DUMMYFUNCTION("""COMPUTED_VALUE"""),1)</f>
        <v>1</v>
      </c>
      <c r="H2136" s="112" t="str">
        <f ca="1"/>
        <v/>
      </c>
      <c r="I2136" s="112" t="str">
        <f ca="1"/>
        <v/>
      </c>
    </row>
    <row r="2137" spans="1:9" ht="13.2">
      <c r="A2137" s="109" t="str">
        <f ca="1">IFERROR(__xludf.DUMMYFUNCTION("""COMPUTED_VALUE"""),"THA")</f>
        <v>THA</v>
      </c>
      <c r="B2137" s="108" t="str">
        <f ca="1">IFERROR(__xludf.DUMMYFUNCTION("""COMPUTED_VALUE"""),"Ray Rivera")</f>
        <v>Ray Rivera</v>
      </c>
      <c r="C2137" s="109">
        <f ca="1">IFERROR(__xludf.DUMMYFUNCTION("""COMPUTED_VALUE"""),13)</f>
        <v>13</v>
      </c>
      <c r="D2137" s="109" t="str">
        <f ca="1">IFERROR(__xludf.DUMMYFUNCTION("""COMPUTED_VALUE"""),"B")</f>
        <v>B</v>
      </c>
      <c r="E2137" s="110" t="str">
        <f ca="1">IFERROR(__xludf.DUMMYFUNCTION("""COMPUTED_VALUE"""),"I")</f>
        <v>I</v>
      </c>
      <c r="F2137" s="114" t="str">
        <f ca="1">IFERROR(__xludf.DUMMYFUNCTION("""COMPUTED_VALUE"""),"S")</f>
        <v>S</v>
      </c>
      <c r="G2137" s="114">
        <f ca="1">IFERROR(__xludf.DUMMYFUNCTION("""COMPUTED_VALUE"""),1)</f>
        <v>1</v>
      </c>
      <c r="H2137" s="112" t="str">
        <f ca="1"/>
        <v/>
      </c>
      <c r="I2137" s="112" t="str">
        <f ca="1"/>
        <v/>
      </c>
    </row>
    <row r="2138" spans="1:9" ht="13.2">
      <c r="A2138" s="109" t="str">
        <f ca="1">IFERROR(__xludf.DUMMYFUNCTION("""COMPUTED_VALUE"""),"THA")</f>
        <v>THA</v>
      </c>
      <c r="B2138" s="108" t="str">
        <f ca="1">IFERROR(__xludf.DUMMYFUNCTION("""COMPUTED_VALUE"""),"Rem Turatbekov")</f>
        <v>Rem Turatbekov</v>
      </c>
      <c r="C2138" s="109">
        <f ca="1">IFERROR(__xludf.DUMMYFUNCTION("""COMPUTED_VALUE"""),13)</f>
        <v>13</v>
      </c>
      <c r="D2138" s="109" t="str">
        <f ca="1">IFERROR(__xludf.DUMMYFUNCTION("""COMPUTED_VALUE"""),"B")</f>
        <v>B</v>
      </c>
      <c r="E2138" s="110" t="str">
        <f ca="1">IFERROR(__xludf.DUMMYFUNCTION("""COMPUTED_VALUE"""),"I")</f>
        <v>I</v>
      </c>
      <c r="F2138" s="114" t="str">
        <f ca="1">IFERROR(__xludf.DUMMYFUNCTION("""COMPUTED_VALUE"""),"S")</f>
        <v>S</v>
      </c>
      <c r="G2138" s="114">
        <f ca="1">IFERROR(__xludf.DUMMYFUNCTION("""COMPUTED_VALUE"""),1)</f>
        <v>1</v>
      </c>
      <c r="H2138" s="112" t="str">
        <f ca="1"/>
        <v/>
      </c>
      <c r="I2138" s="112" t="str">
        <f ca="1"/>
        <v/>
      </c>
    </row>
    <row r="2139" spans="1:9" ht="13.2">
      <c r="A2139" s="109" t="str">
        <f ca="1">IFERROR(__xludf.DUMMYFUNCTION("""COMPUTED_VALUE"""),"THA")</f>
        <v>THA</v>
      </c>
      <c r="B2139" s="108" t="str">
        <f ca="1">IFERROR(__xludf.DUMMYFUNCTION("""COMPUTED_VALUE"""),"Brady Lynch")</f>
        <v>Brady Lynch</v>
      </c>
      <c r="C2139" s="109">
        <f ca="1">IFERROR(__xludf.DUMMYFUNCTION("""COMPUTED_VALUE"""),11)</f>
        <v>11</v>
      </c>
      <c r="D2139" s="109" t="str">
        <f ca="1">IFERROR(__xludf.DUMMYFUNCTION("""COMPUTED_VALUE"""),"B")</f>
        <v>B</v>
      </c>
      <c r="E2139" s="110" t="str">
        <f ca="1">IFERROR(__xludf.DUMMYFUNCTION("""COMPUTED_VALUE"""),"J")</f>
        <v>J</v>
      </c>
      <c r="F2139" s="114" t="str">
        <f ca="1">IFERROR(__xludf.DUMMYFUNCTION("""COMPUTED_VALUE"""),"I")</f>
        <v>I</v>
      </c>
      <c r="G2139" s="114">
        <f ca="1">IFERROR(__xludf.DUMMYFUNCTION("""COMPUTED_VALUE"""),1)</f>
        <v>1</v>
      </c>
      <c r="H2139" s="112" t="str">
        <f ca="1"/>
        <v/>
      </c>
      <c r="I2139" s="112" t="str">
        <f ca="1"/>
        <v/>
      </c>
    </row>
    <row r="2140" spans="1:9" ht="13.2">
      <c r="A2140" s="109" t="str">
        <f ca="1">IFERROR(__xludf.DUMMYFUNCTION("""COMPUTED_VALUE"""),"THA")</f>
        <v>THA</v>
      </c>
      <c r="B2140" s="108" t="str">
        <f ca="1">IFERROR(__xludf.DUMMYFUNCTION("""COMPUTED_VALUE"""),"Jake Hedrick")</f>
        <v>Jake Hedrick</v>
      </c>
      <c r="C2140" s="109">
        <f ca="1">IFERROR(__xludf.DUMMYFUNCTION("""COMPUTED_VALUE"""),11)</f>
        <v>11</v>
      </c>
      <c r="D2140" s="109" t="str">
        <f ca="1">IFERROR(__xludf.DUMMYFUNCTION("""COMPUTED_VALUE"""),"B")</f>
        <v>B</v>
      </c>
      <c r="E2140" s="110" t="str">
        <f ca="1">IFERROR(__xludf.DUMMYFUNCTION("""COMPUTED_VALUE"""),"J")</f>
        <v>J</v>
      </c>
      <c r="F2140" s="114" t="str">
        <f ca="1">IFERROR(__xludf.DUMMYFUNCTION("""COMPUTED_VALUE"""),"I")</f>
        <v>I</v>
      </c>
      <c r="G2140" s="114">
        <f ca="1">IFERROR(__xludf.DUMMYFUNCTION("""COMPUTED_VALUE"""),1)</f>
        <v>1</v>
      </c>
      <c r="H2140" s="112" t="str">
        <f ca="1"/>
        <v>65.2</v>
      </c>
      <c r="I2140" s="112">
        <f ca="1"/>
        <v>65.2</v>
      </c>
    </row>
    <row r="2141" spans="1:9" ht="13.2">
      <c r="A2141" s="109" t="str">
        <f ca="1">IFERROR(__xludf.DUMMYFUNCTION("""COMPUTED_VALUE"""),"THA")</f>
        <v>THA</v>
      </c>
      <c r="B2141" s="108" t="str">
        <f ca="1">IFERROR(__xludf.DUMMYFUNCTION("""COMPUTED_VALUE"""),"Joseph Mangan")</f>
        <v>Joseph Mangan</v>
      </c>
      <c r="C2141" s="109">
        <f ca="1">IFERROR(__xludf.DUMMYFUNCTION("""COMPUTED_VALUE"""),12)</f>
        <v>12</v>
      </c>
      <c r="D2141" s="109" t="str">
        <f ca="1">IFERROR(__xludf.DUMMYFUNCTION("""COMPUTED_VALUE"""),"B")</f>
        <v>B</v>
      </c>
      <c r="E2141" s="110" t="str">
        <f ca="1">IFERROR(__xludf.DUMMYFUNCTION("""COMPUTED_VALUE"""),"J")</f>
        <v>J</v>
      </c>
      <c r="F2141" s="114" t="str">
        <f ca="1">IFERROR(__xludf.DUMMYFUNCTION("""COMPUTED_VALUE"""),"I")</f>
        <v>I</v>
      </c>
      <c r="G2141" s="114">
        <f ca="1">IFERROR(__xludf.DUMMYFUNCTION("""COMPUTED_VALUE"""),1)</f>
        <v>1</v>
      </c>
      <c r="H2141" s="112" t="str">
        <f ca="1"/>
        <v/>
      </c>
      <c r="I2141" s="112" t="str">
        <f ca="1"/>
        <v/>
      </c>
    </row>
    <row r="2142" spans="1:9" ht="13.2">
      <c r="A2142" s="109" t="str">
        <f ca="1">IFERROR(__xludf.DUMMYFUNCTION("""COMPUTED_VALUE"""),"THA")</f>
        <v>THA</v>
      </c>
      <c r="B2142" s="108" t="str">
        <f ca="1">IFERROR(__xludf.DUMMYFUNCTION("""COMPUTED_VALUE"""),"Kierin McBride")</f>
        <v>Kierin McBride</v>
      </c>
      <c r="C2142" s="109">
        <f ca="1">IFERROR(__xludf.DUMMYFUNCTION("""COMPUTED_VALUE"""),12)</f>
        <v>12</v>
      </c>
      <c r="D2142" s="109" t="str">
        <f ca="1">IFERROR(__xludf.DUMMYFUNCTION("""COMPUTED_VALUE"""),"B")</f>
        <v>B</v>
      </c>
      <c r="E2142" s="110" t="str">
        <f ca="1">IFERROR(__xludf.DUMMYFUNCTION("""COMPUTED_VALUE"""),"J")</f>
        <v>J</v>
      </c>
      <c r="F2142" s="114" t="str">
        <f ca="1">IFERROR(__xludf.DUMMYFUNCTION("""COMPUTED_VALUE"""),"I")</f>
        <v>I</v>
      </c>
      <c r="G2142" s="114">
        <f ca="1">IFERROR(__xludf.DUMMYFUNCTION("""COMPUTED_VALUE"""),1)</f>
        <v>1</v>
      </c>
      <c r="H2142" s="112" t="str">
        <f ca="1"/>
        <v/>
      </c>
      <c r="I2142" s="112" t="str">
        <f ca="1"/>
        <v/>
      </c>
    </row>
    <row r="2143" spans="1:9" ht="13.2">
      <c r="A2143" s="109" t="str">
        <f ca="1">IFERROR(__xludf.DUMMYFUNCTION("""COMPUTED_VALUE"""),"THA")</f>
        <v>THA</v>
      </c>
      <c r="B2143" s="108" t="str">
        <f ca="1">IFERROR(__xludf.DUMMYFUNCTION("""COMPUTED_VALUE"""),"Madison Worthington")</f>
        <v>Madison Worthington</v>
      </c>
      <c r="C2143" s="109">
        <f ca="1">IFERROR(__xludf.DUMMYFUNCTION("""COMPUTED_VALUE"""),11)</f>
        <v>11</v>
      </c>
      <c r="D2143" s="109" t="str">
        <f ca="1">IFERROR(__xludf.DUMMYFUNCTION("""COMPUTED_VALUE"""),"B")</f>
        <v>B</v>
      </c>
      <c r="E2143" s="110" t="str">
        <f ca="1">IFERROR(__xludf.DUMMYFUNCTION("""COMPUTED_VALUE"""),"J")</f>
        <v>J</v>
      </c>
      <c r="F2143" s="114" t="str">
        <f ca="1">IFERROR(__xludf.DUMMYFUNCTION("""COMPUTED_VALUE"""),"I")</f>
        <v>I</v>
      </c>
      <c r="G2143" s="114">
        <f ca="1">IFERROR(__xludf.DUMMYFUNCTION("""COMPUTED_VALUE"""),1)</f>
        <v>1</v>
      </c>
      <c r="H2143" s="112" t="str">
        <f ca="1"/>
        <v/>
      </c>
      <c r="I2143" s="112" t="str">
        <f ca="1"/>
        <v/>
      </c>
    </row>
    <row r="2144" spans="1:9" ht="13.2">
      <c r="A2144" s="109" t="str">
        <f ca="1">IFERROR(__xludf.DUMMYFUNCTION("""COMPUTED_VALUE"""),"THA")</f>
        <v>THA</v>
      </c>
      <c r="B2144" s="108" t="str">
        <f ca="1">IFERROR(__xludf.DUMMYFUNCTION("""COMPUTED_VALUE"""),"Spencer Hughes")</f>
        <v>Spencer Hughes</v>
      </c>
      <c r="C2144" s="109">
        <f ca="1">IFERROR(__xludf.DUMMYFUNCTION("""COMPUTED_VALUE"""),11)</f>
        <v>11</v>
      </c>
      <c r="D2144" s="109" t="str">
        <f ca="1">IFERROR(__xludf.DUMMYFUNCTION("""COMPUTED_VALUE"""),"B")</f>
        <v>B</v>
      </c>
      <c r="E2144" s="110" t="str">
        <f ca="1">IFERROR(__xludf.DUMMYFUNCTION("""COMPUTED_VALUE"""),"J")</f>
        <v>J</v>
      </c>
      <c r="F2144" s="114" t="str">
        <f ca="1">IFERROR(__xludf.DUMMYFUNCTION("""COMPUTED_VALUE"""),"I")</f>
        <v>I</v>
      </c>
      <c r="G2144" s="114">
        <f ca="1">IFERROR(__xludf.DUMMYFUNCTION("""COMPUTED_VALUE"""),1)</f>
        <v>1</v>
      </c>
      <c r="H2144" s="112" t="str">
        <f ca="1"/>
        <v/>
      </c>
      <c r="I2144" s="112" t="str">
        <f ca="1"/>
        <v/>
      </c>
    </row>
    <row r="2145" spans="1:9" ht="13.2">
      <c r="A2145" s="109" t="str">
        <f ca="1">IFERROR(__xludf.DUMMYFUNCTION("""COMPUTED_VALUE"""),"THA")</f>
        <v>THA</v>
      </c>
      <c r="B2145" s="108" t="str">
        <f ca="1">IFERROR(__xludf.DUMMYFUNCTION("""COMPUTED_VALUE"""),"Bryce Burton")</f>
        <v>Bryce Burton</v>
      </c>
      <c r="C2145" s="109">
        <f ca="1">IFERROR(__xludf.DUMMYFUNCTION("""COMPUTED_VALUE"""),12)</f>
        <v>12</v>
      </c>
      <c r="D2145" s="109" t="str">
        <f ca="1">IFERROR(__xludf.DUMMYFUNCTION("""COMPUTED_VALUE"""),"G")</f>
        <v>G</v>
      </c>
      <c r="E2145" s="110" t="str">
        <f ca="1">IFERROR(__xludf.DUMMYFUNCTION("""COMPUTED_VALUE"""),"J")</f>
        <v>J</v>
      </c>
      <c r="F2145" s="114" t="str">
        <f ca="1">IFERROR(__xludf.DUMMYFUNCTION("""COMPUTED_VALUE"""),"I")</f>
        <v>I</v>
      </c>
      <c r="G2145" s="114">
        <f ca="1">IFERROR(__xludf.DUMMYFUNCTION("""COMPUTED_VALUE"""),1)</f>
        <v>1</v>
      </c>
      <c r="H2145" s="112" t="str">
        <f ca="1"/>
        <v/>
      </c>
      <c r="I2145" s="112" t="str">
        <f ca="1"/>
        <v/>
      </c>
    </row>
    <row r="2146" spans="1:9" ht="13.2">
      <c r="A2146" s="109" t="str">
        <f ca="1">IFERROR(__xludf.DUMMYFUNCTION("""COMPUTED_VALUE"""),"THA")</f>
        <v>THA</v>
      </c>
      <c r="B2146" s="108" t="str">
        <f ca="1">IFERROR(__xludf.DUMMYFUNCTION("""COMPUTED_VALUE"""),"Celeste Lucado")</f>
        <v>Celeste Lucado</v>
      </c>
      <c r="C2146" s="109">
        <f ca="1">IFERROR(__xludf.DUMMYFUNCTION("""COMPUTED_VALUE"""),12)</f>
        <v>12</v>
      </c>
      <c r="D2146" s="109" t="str">
        <f ca="1">IFERROR(__xludf.DUMMYFUNCTION("""COMPUTED_VALUE"""),"G")</f>
        <v>G</v>
      </c>
      <c r="E2146" s="110" t="str">
        <f ca="1">IFERROR(__xludf.DUMMYFUNCTION("""COMPUTED_VALUE"""),"J")</f>
        <v>J</v>
      </c>
      <c r="F2146" s="114" t="str">
        <f ca="1">IFERROR(__xludf.DUMMYFUNCTION("""COMPUTED_VALUE"""),"I")</f>
        <v>I</v>
      </c>
      <c r="G2146" s="114">
        <f ca="1">IFERROR(__xludf.DUMMYFUNCTION("""COMPUTED_VALUE"""),1)</f>
        <v>1</v>
      </c>
      <c r="H2146" s="112" t="str">
        <f ca="1"/>
        <v/>
      </c>
      <c r="I2146" s="112" t="str">
        <f ca="1"/>
        <v/>
      </c>
    </row>
    <row r="2147" spans="1:9" ht="13.2">
      <c r="A2147" s="109" t="str">
        <f ca="1">IFERROR(__xludf.DUMMYFUNCTION("""COMPUTED_VALUE"""),"THA")</f>
        <v>THA</v>
      </c>
      <c r="B2147" s="108" t="str">
        <f ca="1">IFERROR(__xludf.DUMMYFUNCTION("""COMPUTED_VALUE"""),"Charlotte Albosta")</f>
        <v>Charlotte Albosta</v>
      </c>
      <c r="C2147" s="109">
        <f ca="1">IFERROR(__xludf.DUMMYFUNCTION("""COMPUTED_VALUE"""),11)</f>
        <v>11</v>
      </c>
      <c r="D2147" s="109" t="str">
        <f ca="1">IFERROR(__xludf.DUMMYFUNCTION("""COMPUTED_VALUE"""),"G")</f>
        <v>G</v>
      </c>
      <c r="E2147" s="110" t="str">
        <f ca="1">IFERROR(__xludf.DUMMYFUNCTION("""COMPUTED_VALUE"""),"J")</f>
        <v>J</v>
      </c>
      <c r="F2147" s="114" t="str">
        <f ca="1">IFERROR(__xludf.DUMMYFUNCTION("""COMPUTED_VALUE"""),"I")</f>
        <v>I</v>
      </c>
      <c r="G2147" s="114">
        <f ca="1">IFERROR(__xludf.DUMMYFUNCTION("""COMPUTED_VALUE"""),1)</f>
        <v>1</v>
      </c>
      <c r="H2147" s="112" t="str">
        <f ca="1"/>
        <v>51.25</v>
      </c>
      <c r="I2147" s="112">
        <f ca="1"/>
        <v>51.25</v>
      </c>
    </row>
    <row r="2148" spans="1:9" ht="13.2">
      <c r="A2148" s="109" t="str">
        <f ca="1">IFERROR(__xludf.DUMMYFUNCTION("""COMPUTED_VALUE"""),"THA")</f>
        <v>THA</v>
      </c>
      <c r="B2148" s="108" t="str">
        <f ca="1">IFERROR(__xludf.DUMMYFUNCTION("""COMPUTED_VALUE"""),"Elsa Barzilai")</f>
        <v>Elsa Barzilai</v>
      </c>
      <c r="C2148" s="109">
        <f ca="1">IFERROR(__xludf.DUMMYFUNCTION("""COMPUTED_VALUE"""),12)</f>
        <v>12</v>
      </c>
      <c r="D2148" s="109" t="str">
        <f ca="1">IFERROR(__xludf.DUMMYFUNCTION("""COMPUTED_VALUE"""),"G")</f>
        <v>G</v>
      </c>
      <c r="E2148" s="110" t="str">
        <f ca="1">IFERROR(__xludf.DUMMYFUNCTION("""COMPUTED_VALUE"""),"J")</f>
        <v>J</v>
      </c>
      <c r="F2148" s="114" t="str">
        <f ca="1">IFERROR(__xludf.DUMMYFUNCTION("""COMPUTED_VALUE"""),"I")</f>
        <v>I</v>
      </c>
      <c r="G2148" s="114">
        <f ca="1">IFERROR(__xludf.DUMMYFUNCTION("""COMPUTED_VALUE"""),1)</f>
        <v>1</v>
      </c>
      <c r="H2148" s="112" t="str">
        <f ca="1"/>
        <v>61.65</v>
      </c>
      <c r="I2148" s="112">
        <f ca="1"/>
        <v>61.65</v>
      </c>
    </row>
    <row r="2149" spans="1:9" ht="13.2">
      <c r="A2149" s="109" t="str">
        <f ca="1">IFERROR(__xludf.DUMMYFUNCTION("""COMPUTED_VALUE"""),"THA")</f>
        <v>THA</v>
      </c>
      <c r="B2149" s="108" t="str">
        <f ca="1">IFERROR(__xludf.DUMMYFUNCTION("""COMPUTED_VALUE"""),"Batyr Turatbekov")</f>
        <v>Batyr Turatbekov</v>
      </c>
      <c r="C2149" s="109">
        <f ca="1">IFERROR(__xludf.DUMMYFUNCTION("""COMPUTED_VALUE"""),15)</f>
        <v>15</v>
      </c>
      <c r="D2149" s="109" t="str">
        <f ca="1">IFERROR(__xludf.DUMMYFUNCTION("""COMPUTED_VALUE"""),"B")</f>
        <v>B</v>
      </c>
      <c r="E2149" s="110" t="str">
        <f ca="1">IFERROR(__xludf.DUMMYFUNCTION("""COMPUTED_VALUE"""),"S")</f>
        <v>S</v>
      </c>
      <c r="F2149" s="114" t="str">
        <f ca="1">IFERROR(__xludf.DUMMYFUNCTION("""COMPUTED_VALUE"""),"S")</f>
        <v>S</v>
      </c>
      <c r="G2149" s="114">
        <f ca="1">IFERROR(__xludf.DUMMYFUNCTION("""COMPUTED_VALUE"""),1)</f>
        <v>1</v>
      </c>
      <c r="H2149" s="112" t="str">
        <f ca="1"/>
        <v/>
      </c>
      <c r="I2149" s="112" t="str">
        <f ca="1"/>
        <v/>
      </c>
    </row>
    <row r="2150" spans="1:9" ht="13.2">
      <c r="A2150" s="109" t="str">
        <f ca="1">IFERROR(__xludf.DUMMYFUNCTION("""COMPUTED_VALUE"""),"THA")</f>
        <v>THA</v>
      </c>
      <c r="B2150" s="108" t="str">
        <f ca="1">IFERROR(__xludf.DUMMYFUNCTION("""COMPUTED_VALUE"""),"Ava Dunn")</f>
        <v>Ava Dunn</v>
      </c>
      <c r="C2150" s="109">
        <f ca="1">IFERROR(__xludf.DUMMYFUNCTION("""COMPUTED_VALUE"""),16)</f>
        <v>16</v>
      </c>
      <c r="D2150" s="109" t="str">
        <f ca="1">IFERROR(__xludf.DUMMYFUNCTION("""COMPUTED_VALUE"""),"G")</f>
        <v>G</v>
      </c>
      <c r="E2150" s="110" t="str">
        <f ca="1">IFERROR(__xludf.DUMMYFUNCTION("""COMPUTED_VALUE"""),"S")</f>
        <v>S</v>
      </c>
      <c r="F2150" s="114" t="str">
        <f ca="1">IFERROR(__xludf.DUMMYFUNCTION("""COMPUTED_VALUE"""),"S")</f>
        <v>S</v>
      </c>
      <c r="G2150" s="114">
        <f ca="1">IFERROR(__xludf.DUMMYFUNCTION("""COMPUTED_VALUE"""),1)</f>
        <v>1</v>
      </c>
      <c r="H2150" s="112" t="str">
        <f ca="1"/>
        <v/>
      </c>
      <c r="I2150" s="112" t="str">
        <f ca="1"/>
        <v/>
      </c>
    </row>
    <row r="2151" spans="1:9" ht="13.2">
      <c r="A2151" s="109" t="str">
        <f ca="1">IFERROR(__xludf.DUMMYFUNCTION("""COMPUTED_VALUE"""),"THA")</f>
        <v>THA</v>
      </c>
      <c r="B2151" s="108" t="str">
        <f ca="1">IFERROR(__xludf.DUMMYFUNCTION("""COMPUTED_VALUE"""),"Emily Gamber")</f>
        <v>Emily Gamber</v>
      </c>
      <c r="C2151" s="109">
        <f ca="1">IFERROR(__xludf.DUMMYFUNCTION("""COMPUTED_VALUE"""),16)</f>
        <v>16</v>
      </c>
      <c r="D2151" s="109" t="str">
        <f ca="1">IFERROR(__xludf.DUMMYFUNCTION("""COMPUTED_VALUE"""),"G")</f>
        <v>G</v>
      </c>
      <c r="E2151" s="110" t="str">
        <f ca="1">IFERROR(__xludf.DUMMYFUNCTION("""COMPUTED_VALUE"""),"S")</f>
        <v>S</v>
      </c>
      <c r="F2151" s="114" t="str">
        <f ca="1">IFERROR(__xludf.DUMMYFUNCTION("""COMPUTED_VALUE"""),"S")</f>
        <v>S</v>
      </c>
      <c r="G2151" s="114">
        <f ca="1">IFERROR(__xludf.DUMMYFUNCTION("""COMPUTED_VALUE"""),1)</f>
        <v>1</v>
      </c>
      <c r="H2151" s="112" t="str">
        <f ca="1"/>
        <v/>
      </c>
      <c r="I2151" s="112" t="str">
        <f ca="1"/>
        <v/>
      </c>
    </row>
    <row r="2152" spans="1:9" ht="13.2">
      <c r="A2152" s="109" t="str">
        <f ca="1">IFERROR(__xludf.DUMMYFUNCTION("""COMPUTED_VALUE"""),"THA")</f>
        <v>THA</v>
      </c>
      <c r="B2152" s="108" t="str">
        <f ca="1">IFERROR(__xludf.DUMMYFUNCTION("""COMPUTED_VALUE"""),"Minh Donnell")</f>
        <v>Minh Donnell</v>
      </c>
      <c r="C2152" s="109">
        <f ca="1">IFERROR(__xludf.DUMMYFUNCTION("""COMPUTED_VALUE"""),18)</f>
        <v>18</v>
      </c>
      <c r="D2152" s="109" t="str">
        <f ca="1">IFERROR(__xludf.DUMMYFUNCTION("""COMPUTED_VALUE"""),"G")</f>
        <v>G</v>
      </c>
      <c r="E2152" s="110" t="str">
        <f ca="1">IFERROR(__xludf.DUMMYFUNCTION("""COMPUTED_VALUE"""),"S")</f>
        <v>S</v>
      </c>
      <c r="F2152" s="114" t="str">
        <f ca="1">IFERROR(__xludf.DUMMYFUNCTION("""COMPUTED_VALUE"""),"S")</f>
        <v>S</v>
      </c>
      <c r="G2152" s="114">
        <f ca="1">IFERROR(__xludf.DUMMYFUNCTION("""COMPUTED_VALUE"""),1)</f>
        <v>1</v>
      </c>
      <c r="H2152" s="112" t="str">
        <f ca="1"/>
        <v/>
      </c>
      <c r="I2152" s="112" t="str">
        <f ca="1"/>
        <v/>
      </c>
    </row>
    <row r="2153" spans="1:9" ht="13.2">
      <c r="A2153" s="109" t="str">
        <f ca="1">IFERROR(__xludf.DUMMYFUNCTION("""COMPUTED_VALUE"""),"VW")</f>
        <v>VW</v>
      </c>
      <c r="B2153" s="108" t="str">
        <f ca="1">IFERROR(__xludf.DUMMYFUNCTION("""COMPUTED_VALUE"""),"Aiden Richmond")</f>
        <v>Aiden Richmond</v>
      </c>
      <c r="C2153" s="109">
        <f ca="1">IFERROR(__xludf.DUMMYFUNCTION("""COMPUTED_VALUE"""),10)</f>
        <v>10</v>
      </c>
      <c r="D2153" s="109" t="str">
        <f ca="1">IFERROR(__xludf.DUMMYFUNCTION("""COMPUTED_VALUE"""),"B")</f>
        <v>B</v>
      </c>
      <c r="E2153" s="110" t="str">
        <f ca="1">IFERROR(__xludf.DUMMYFUNCTION("""COMPUTED_VALUE"""),"F")</f>
        <v>F</v>
      </c>
      <c r="F2153" s="114" t="str">
        <f ca="1">IFERROR(__xludf.DUMMYFUNCTION("""COMPUTED_VALUE"""),"J")</f>
        <v>J</v>
      </c>
      <c r="G2153" s="114">
        <f ca="1">IFERROR(__xludf.DUMMYFUNCTION("""COMPUTED_VALUE"""),1)</f>
        <v>1</v>
      </c>
      <c r="H2153" s="112" t="str">
        <f ca="1"/>
        <v/>
      </c>
      <c r="I2153" s="112" t="str">
        <f ca="1"/>
        <v/>
      </c>
    </row>
    <row r="2154" spans="1:9" ht="13.2">
      <c r="A2154" s="109" t="str">
        <f ca="1">IFERROR(__xludf.DUMMYFUNCTION("""COMPUTED_VALUE"""),"VW")</f>
        <v>VW</v>
      </c>
      <c r="B2154" s="108" t="str">
        <f ca="1">IFERROR(__xludf.DUMMYFUNCTION("""COMPUTED_VALUE"""),"Chase Kitchell")</f>
        <v>Chase Kitchell</v>
      </c>
      <c r="C2154" s="109">
        <f ca="1">IFERROR(__xludf.DUMMYFUNCTION("""COMPUTED_VALUE"""),10)</f>
        <v>10</v>
      </c>
      <c r="D2154" s="109" t="str">
        <f ca="1">IFERROR(__xludf.DUMMYFUNCTION("""COMPUTED_VALUE"""),"B")</f>
        <v>B</v>
      </c>
      <c r="E2154" s="110" t="str">
        <f ca="1">IFERROR(__xludf.DUMMYFUNCTION("""COMPUTED_VALUE"""),"F")</f>
        <v>F</v>
      </c>
      <c r="F2154" s="114" t="str">
        <f ca="1">IFERROR(__xludf.DUMMYFUNCTION("""COMPUTED_VALUE"""),"J")</f>
        <v>J</v>
      </c>
      <c r="G2154" s="114">
        <f ca="1">IFERROR(__xludf.DUMMYFUNCTION("""COMPUTED_VALUE"""),1)</f>
        <v>1</v>
      </c>
      <c r="H2154" s="112" t="str">
        <f ca="1"/>
        <v/>
      </c>
      <c r="I2154" s="112" t="str">
        <f ca="1"/>
        <v/>
      </c>
    </row>
    <row r="2155" spans="1:9" ht="13.2">
      <c r="A2155" s="109" t="str">
        <f ca="1">IFERROR(__xludf.DUMMYFUNCTION("""COMPUTED_VALUE"""),"VW")</f>
        <v>VW</v>
      </c>
      <c r="B2155" s="108" t="str">
        <f ca="1">IFERROR(__xludf.DUMMYFUNCTION("""COMPUTED_VALUE"""),"Chase Pellazar")</f>
        <v>Chase Pellazar</v>
      </c>
      <c r="C2155" s="109">
        <f ca="1">IFERROR(__xludf.DUMMYFUNCTION("""COMPUTED_VALUE"""),8)</f>
        <v>8</v>
      </c>
      <c r="D2155" s="109" t="str">
        <f ca="1">IFERROR(__xludf.DUMMYFUNCTION("""COMPUTED_VALUE"""),"B")</f>
        <v>B</v>
      </c>
      <c r="E2155" s="110" t="str">
        <f ca="1">IFERROR(__xludf.DUMMYFUNCTION("""COMPUTED_VALUE"""),"F")</f>
        <v>F</v>
      </c>
      <c r="F2155" s="114" t="str">
        <f ca="1">IFERROR(__xludf.DUMMYFUNCTION("""COMPUTED_VALUE"""),"J")</f>
        <v>J</v>
      </c>
      <c r="G2155" s="114">
        <f ca="1">IFERROR(__xludf.DUMMYFUNCTION("""COMPUTED_VALUE"""),1)</f>
        <v>1</v>
      </c>
      <c r="H2155" s="112" t="str">
        <f ca="1"/>
        <v/>
      </c>
      <c r="I2155" s="112" t="str">
        <f ca="1"/>
        <v/>
      </c>
    </row>
    <row r="2156" spans="1:9" ht="13.2">
      <c r="A2156" s="109" t="str">
        <f ca="1">IFERROR(__xludf.DUMMYFUNCTION("""COMPUTED_VALUE"""),"VW")</f>
        <v>VW</v>
      </c>
      <c r="B2156" s="108" t="str">
        <f ca="1">IFERROR(__xludf.DUMMYFUNCTION("""COMPUTED_VALUE"""),"Harrison Knight")</f>
        <v>Harrison Knight</v>
      </c>
      <c r="C2156" s="109">
        <f ca="1">IFERROR(__xludf.DUMMYFUNCTION("""COMPUTED_VALUE"""),6)</f>
        <v>6</v>
      </c>
      <c r="D2156" s="109" t="str">
        <f ca="1">IFERROR(__xludf.DUMMYFUNCTION("""COMPUTED_VALUE"""),"B")</f>
        <v>B</v>
      </c>
      <c r="E2156" s="110" t="str">
        <f ca="1">IFERROR(__xludf.DUMMYFUNCTION("""COMPUTED_VALUE"""),"F")</f>
        <v>F</v>
      </c>
      <c r="F2156" s="114" t="str">
        <f ca="1">IFERROR(__xludf.DUMMYFUNCTION("""COMPUTED_VALUE"""),"J")</f>
        <v>J</v>
      </c>
      <c r="G2156" s="114">
        <f ca="1">IFERROR(__xludf.DUMMYFUNCTION("""COMPUTED_VALUE"""),1)</f>
        <v>1</v>
      </c>
      <c r="H2156" s="112" t="str">
        <f ca="1"/>
        <v/>
      </c>
      <c r="I2156" s="112" t="str">
        <f ca="1"/>
        <v/>
      </c>
    </row>
    <row r="2157" spans="1:9" ht="13.2">
      <c r="A2157" s="109" t="str">
        <f ca="1">IFERROR(__xludf.DUMMYFUNCTION("""COMPUTED_VALUE"""),"VW")</f>
        <v>VW</v>
      </c>
      <c r="B2157" s="108" t="str">
        <f ca="1">IFERROR(__xludf.DUMMYFUNCTION("""COMPUTED_VALUE"""),"Noah Kim")</f>
        <v>Noah Kim</v>
      </c>
      <c r="C2157" s="109">
        <f ca="1">IFERROR(__xludf.DUMMYFUNCTION("""COMPUTED_VALUE"""),10)</f>
        <v>10</v>
      </c>
      <c r="D2157" s="109" t="str">
        <f ca="1">IFERROR(__xludf.DUMMYFUNCTION("""COMPUTED_VALUE"""),"B")</f>
        <v>B</v>
      </c>
      <c r="E2157" s="110" t="str">
        <f ca="1">IFERROR(__xludf.DUMMYFUNCTION("""COMPUTED_VALUE"""),"F")</f>
        <v>F</v>
      </c>
      <c r="F2157" s="114" t="str">
        <f ca="1">IFERROR(__xludf.DUMMYFUNCTION("""COMPUTED_VALUE"""),"J")</f>
        <v>J</v>
      </c>
      <c r="G2157" s="114">
        <f ca="1">IFERROR(__xludf.DUMMYFUNCTION("""COMPUTED_VALUE"""),1)</f>
        <v>1</v>
      </c>
      <c r="H2157" s="112" t="str">
        <f ca="1"/>
        <v/>
      </c>
      <c r="I2157" s="112" t="str">
        <f ca="1"/>
        <v/>
      </c>
    </row>
    <row r="2158" spans="1:9" ht="13.2">
      <c r="A2158" s="109" t="str">
        <f ca="1">IFERROR(__xludf.DUMMYFUNCTION("""COMPUTED_VALUE"""),"VW")</f>
        <v>VW</v>
      </c>
      <c r="B2158" s="108" t="str">
        <f ca="1">IFERROR(__xludf.DUMMYFUNCTION("""COMPUTED_VALUE"""),"Robert Markley")</f>
        <v>Robert Markley</v>
      </c>
      <c r="C2158" s="109">
        <f ca="1">IFERROR(__xludf.DUMMYFUNCTION("""COMPUTED_VALUE"""),6)</f>
        <v>6</v>
      </c>
      <c r="D2158" s="109" t="str">
        <f ca="1">IFERROR(__xludf.DUMMYFUNCTION("""COMPUTED_VALUE"""),"B")</f>
        <v>B</v>
      </c>
      <c r="E2158" s="110" t="str">
        <f ca="1">IFERROR(__xludf.DUMMYFUNCTION("""COMPUTED_VALUE"""),"F")</f>
        <v>F</v>
      </c>
      <c r="F2158" s="114" t="str">
        <f ca="1">IFERROR(__xludf.DUMMYFUNCTION("""COMPUTED_VALUE"""),"J")</f>
        <v>J</v>
      </c>
      <c r="G2158" s="114">
        <f ca="1">IFERROR(__xludf.DUMMYFUNCTION("""COMPUTED_VALUE"""),1)</f>
        <v>1</v>
      </c>
      <c r="H2158" s="112" t="str">
        <f ca="1"/>
        <v/>
      </c>
      <c r="I2158" s="112" t="str">
        <f ca="1"/>
        <v/>
      </c>
    </row>
    <row r="2159" spans="1:9" ht="13.2">
      <c r="A2159" s="109" t="str">
        <f ca="1">IFERROR(__xludf.DUMMYFUNCTION("""COMPUTED_VALUE"""),"VW")</f>
        <v>VW</v>
      </c>
      <c r="B2159" s="108" t="str">
        <f ca="1">IFERROR(__xludf.DUMMYFUNCTION("""COMPUTED_VALUE"""),"Ryan Hermann")</f>
        <v>Ryan Hermann</v>
      </c>
      <c r="C2159" s="109">
        <f ca="1">IFERROR(__xludf.DUMMYFUNCTION("""COMPUTED_VALUE"""),9)</f>
        <v>9</v>
      </c>
      <c r="D2159" s="109" t="str">
        <f ca="1">IFERROR(__xludf.DUMMYFUNCTION("""COMPUTED_VALUE"""),"B")</f>
        <v>B</v>
      </c>
      <c r="E2159" s="110" t="str">
        <f ca="1">IFERROR(__xludf.DUMMYFUNCTION("""COMPUTED_VALUE"""),"F")</f>
        <v>F</v>
      </c>
      <c r="F2159" s="114" t="str">
        <f ca="1">IFERROR(__xludf.DUMMYFUNCTION("""COMPUTED_VALUE"""),"J")</f>
        <v>J</v>
      </c>
      <c r="G2159" s="114">
        <f ca="1">IFERROR(__xludf.DUMMYFUNCTION("""COMPUTED_VALUE"""),1)</f>
        <v>1</v>
      </c>
      <c r="H2159" s="112" t="str">
        <f ca="1"/>
        <v/>
      </c>
      <c r="I2159" s="112" t="str">
        <f ca="1"/>
        <v/>
      </c>
    </row>
    <row r="2160" spans="1:9" ht="13.2">
      <c r="A2160" s="109" t="str">
        <f ca="1">IFERROR(__xludf.DUMMYFUNCTION("""COMPUTED_VALUE"""),"VW")</f>
        <v>VW</v>
      </c>
      <c r="B2160" s="108" t="str">
        <f ca="1">IFERROR(__xludf.DUMMYFUNCTION("""COMPUTED_VALUE"""),"Theodore Hathaway")</f>
        <v>Theodore Hathaway</v>
      </c>
      <c r="C2160" s="109">
        <f ca="1">IFERROR(__xludf.DUMMYFUNCTION("""COMPUTED_VALUE"""),10)</f>
        <v>10</v>
      </c>
      <c r="D2160" s="109" t="str">
        <f ca="1">IFERROR(__xludf.DUMMYFUNCTION("""COMPUTED_VALUE"""),"B")</f>
        <v>B</v>
      </c>
      <c r="E2160" s="110" t="str">
        <f ca="1">IFERROR(__xludf.DUMMYFUNCTION("""COMPUTED_VALUE"""),"F")</f>
        <v>F</v>
      </c>
      <c r="F2160" s="114" t="str">
        <f ca="1">IFERROR(__xludf.DUMMYFUNCTION("""COMPUTED_VALUE"""),"J")</f>
        <v>J</v>
      </c>
      <c r="G2160" s="114">
        <f ca="1">IFERROR(__xludf.DUMMYFUNCTION("""COMPUTED_VALUE"""),1)</f>
        <v>1</v>
      </c>
      <c r="H2160" s="112" t="str">
        <f ca="1"/>
        <v/>
      </c>
      <c r="I2160" s="112" t="str">
        <f ca="1"/>
        <v/>
      </c>
    </row>
    <row r="2161" spans="1:9" ht="13.2">
      <c r="A2161" s="109" t="str">
        <f ca="1">IFERROR(__xludf.DUMMYFUNCTION("""COMPUTED_VALUE"""),"VW")</f>
        <v>VW</v>
      </c>
      <c r="B2161" s="108" t="str">
        <f ca="1">IFERROR(__xludf.DUMMYFUNCTION("""COMPUTED_VALUE"""),"Timothy Hazzard")</f>
        <v>Timothy Hazzard</v>
      </c>
      <c r="C2161" s="109">
        <f ca="1">IFERROR(__xludf.DUMMYFUNCTION("""COMPUTED_VALUE"""),10)</f>
        <v>10</v>
      </c>
      <c r="D2161" s="109" t="str">
        <f ca="1">IFERROR(__xludf.DUMMYFUNCTION("""COMPUTED_VALUE"""),"B")</f>
        <v>B</v>
      </c>
      <c r="E2161" s="110" t="str">
        <f ca="1">IFERROR(__xludf.DUMMYFUNCTION("""COMPUTED_VALUE"""),"F")</f>
        <v>F</v>
      </c>
      <c r="F2161" s="114" t="str">
        <f ca="1">IFERROR(__xludf.DUMMYFUNCTION("""COMPUTED_VALUE"""),"J")</f>
        <v>J</v>
      </c>
      <c r="G2161" s="114">
        <f ca="1">IFERROR(__xludf.DUMMYFUNCTION("""COMPUTED_VALUE"""),1)</f>
        <v>1</v>
      </c>
      <c r="H2161" s="112" t="str">
        <f ca="1"/>
        <v/>
      </c>
      <c r="I2161" s="112" t="str">
        <f ca="1"/>
        <v/>
      </c>
    </row>
    <row r="2162" spans="1:9" ht="13.2">
      <c r="A2162" s="109" t="str">
        <f ca="1">IFERROR(__xludf.DUMMYFUNCTION("""COMPUTED_VALUE"""),"VW")</f>
        <v>VW</v>
      </c>
      <c r="B2162" s="108" t="str">
        <f ca="1">IFERROR(__xludf.DUMMYFUNCTION("""COMPUTED_VALUE"""),"William Prendergast")</f>
        <v>William Prendergast</v>
      </c>
      <c r="C2162" s="109">
        <f ca="1">IFERROR(__xludf.DUMMYFUNCTION("""COMPUTED_VALUE"""),7)</f>
        <v>7</v>
      </c>
      <c r="D2162" s="109" t="str">
        <f ca="1">IFERROR(__xludf.DUMMYFUNCTION("""COMPUTED_VALUE"""),"B")</f>
        <v>B</v>
      </c>
      <c r="E2162" s="110" t="str">
        <f ca="1">IFERROR(__xludf.DUMMYFUNCTION("""COMPUTED_VALUE"""),"F")</f>
        <v>F</v>
      </c>
      <c r="F2162" s="114" t="str">
        <f ca="1">IFERROR(__xludf.DUMMYFUNCTION("""COMPUTED_VALUE"""),"J")</f>
        <v>J</v>
      </c>
      <c r="G2162" s="114">
        <f ca="1">IFERROR(__xludf.DUMMYFUNCTION("""COMPUTED_VALUE"""),1)</f>
        <v>1</v>
      </c>
      <c r="H2162" s="112" t="str">
        <f ca="1"/>
        <v/>
      </c>
      <c r="I2162" s="112" t="str">
        <f ca="1"/>
        <v/>
      </c>
    </row>
    <row r="2163" spans="1:9" ht="13.2">
      <c r="A2163" s="109" t="str">
        <f ca="1">IFERROR(__xludf.DUMMYFUNCTION("""COMPUTED_VALUE"""),"VW")</f>
        <v>VW</v>
      </c>
      <c r="B2163" s="108" t="str">
        <f ca="1">IFERROR(__xludf.DUMMYFUNCTION("""COMPUTED_VALUE"""),"Alexys Kalinock")</f>
        <v>Alexys Kalinock</v>
      </c>
      <c r="C2163" s="109">
        <f ca="1">IFERROR(__xludf.DUMMYFUNCTION("""COMPUTED_VALUE"""),8)</f>
        <v>8</v>
      </c>
      <c r="D2163" s="109" t="str">
        <f ca="1">IFERROR(__xludf.DUMMYFUNCTION("""COMPUTED_VALUE"""),"G")</f>
        <v>G</v>
      </c>
      <c r="E2163" s="110" t="str">
        <f ca="1">IFERROR(__xludf.DUMMYFUNCTION("""COMPUTED_VALUE"""),"F")</f>
        <v>F</v>
      </c>
      <c r="F2163" s="114" t="str">
        <f ca="1">IFERROR(__xludf.DUMMYFUNCTION("""COMPUTED_VALUE"""),"J")</f>
        <v>J</v>
      </c>
      <c r="G2163" s="114">
        <f ca="1">IFERROR(__xludf.DUMMYFUNCTION("""COMPUTED_VALUE"""),1)</f>
        <v>1</v>
      </c>
      <c r="H2163" s="112" t="str">
        <f ca="1"/>
        <v/>
      </c>
      <c r="I2163" s="112" t="str">
        <f ca="1"/>
        <v/>
      </c>
    </row>
    <row r="2164" spans="1:9" ht="13.2">
      <c r="A2164" s="109" t="str">
        <f ca="1">IFERROR(__xludf.DUMMYFUNCTION("""COMPUTED_VALUE"""),"VW")</f>
        <v>VW</v>
      </c>
      <c r="B2164" s="108" t="str">
        <f ca="1">IFERROR(__xludf.DUMMYFUNCTION("""COMPUTED_VALUE"""),"Avery Conforti")</f>
        <v>Avery Conforti</v>
      </c>
      <c r="C2164" s="109">
        <f ca="1">IFERROR(__xludf.DUMMYFUNCTION("""COMPUTED_VALUE"""),8)</f>
        <v>8</v>
      </c>
      <c r="D2164" s="109" t="str">
        <f ca="1">IFERROR(__xludf.DUMMYFUNCTION("""COMPUTED_VALUE"""),"G")</f>
        <v>G</v>
      </c>
      <c r="E2164" s="110" t="str">
        <f ca="1">IFERROR(__xludf.DUMMYFUNCTION("""COMPUTED_VALUE"""),"F")</f>
        <v>F</v>
      </c>
      <c r="F2164" s="114" t="str">
        <f ca="1">IFERROR(__xludf.DUMMYFUNCTION("""COMPUTED_VALUE"""),"J")</f>
        <v>J</v>
      </c>
      <c r="G2164" s="114">
        <f ca="1">IFERROR(__xludf.DUMMYFUNCTION("""COMPUTED_VALUE"""),1)</f>
        <v>1</v>
      </c>
      <c r="H2164" s="112" t="str">
        <f ca="1"/>
        <v/>
      </c>
      <c r="I2164" s="112" t="str">
        <f ca="1"/>
        <v/>
      </c>
    </row>
    <row r="2165" spans="1:9" ht="13.2">
      <c r="A2165" s="109" t="str">
        <f ca="1">IFERROR(__xludf.DUMMYFUNCTION("""COMPUTED_VALUE"""),"VW")</f>
        <v>VW</v>
      </c>
      <c r="B2165" s="108" t="str">
        <f ca="1">IFERROR(__xludf.DUMMYFUNCTION("""COMPUTED_VALUE"""),"AVERY O'Brien")</f>
        <v>AVERY O'Brien</v>
      </c>
      <c r="C2165" s="109">
        <f ca="1">IFERROR(__xludf.DUMMYFUNCTION("""COMPUTED_VALUE"""),9)</f>
        <v>9</v>
      </c>
      <c r="D2165" s="109" t="str">
        <f ca="1">IFERROR(__xludf.DUMMYFUNCTION("""COMPUTED_VALUE"""),"G")</f>
        <v>G</v>
      </c>
      <c r="E2165" s="110" t="str">
        <f ca="1">IFERROR(__xludf.DUMMYFUNCTION("""COMPUTED_VALUE"""),"F")</f>
        <v>F</v>
      </c>
      <c r="F2165" s="114" t="str">
        <f ca="1">IFERROR(__xludf.DUMMYFUNCTION("""COMPUTED_VALUE"""),"J")</f>
        <v>J</v>
      </c>
      <c r="G2165" s="114">
        <f ca="1">IFERROR(__xludf.DUMMYFUNCTION("""COMPUTED_VALUE"""),1)</f>
        <v>1</v>
      </c>
      <c r="H2165" s="112" t="str">
        <f ca="1"/>
        <v/>
      </c>
      <c r="I2165" s="112" t="str">
        <f ca="1"/>
        <v/>
      </c>
    </row>
    <row r="2166" spans="1:9" ht="13.2">
      <c r="A2166" s="109" t="str">
        <f ca="1">IFERROR(__xludf.DUMMYFUNCTION("""COMPUTED_VALUE"""),"VW")</f>
        <v>VW</v>
      </c>
      <c r="B2166" s="108" t="str">
        <f ca="1">IFERROR(__xludf.DUMMYFUNCTION("""COMPUTED_VALUE"""),"Charlotte Aloisi")</f>
        <v>Charlotte Aloisi</v>
      </c>
      <c r="C2166" s="109">
        <f ca="1">IFERROR(__xludf.DUMMYFUNCTION("""COMPUTED_VALUE"""),9)</f>
        <v>9</v>
      </c>
      <c r="D2166" s="109" t="str">
        <f ca="1">IFERROR(__xludf.DUMMYFUNCTION("""COMPUTED_VALUE"""),"G")</f>
        <v>G</v>
      </c>
      <c r="E2166" s="110" t="str">
        <f ca="1">IFERROR(__xludf.DUMMYFUNCTION("""COMPUTED_VALUE"""),"F")</f>
        <v>F</v>
      </c>
      <c r="F2166" s="114" t="str">
        <f ca="1">IFERROR(__xludf.DUMMYFUNCTION("""COMPUTED_VALUE"""),"J")</f>
        <v>J</v>
      </c>
      <c r="G2166" s="114">
        <f ca="1">IFERROR(__xludf.DUMMYFUNCTION("""COMPUTED_VALUE"""),1)</f>
        <v>1</v>
      </c>
      <c r="H2166" s="112" t="str">
        <f ca="1"/>
        <v/>
      </c>
      <c r="I2166" s="112" t="str">
        <f ca="1"/>
        <v/>
      </c>
    </row>
    <row r="2167" spans="1:9" ht="13.2">
      <c r="A2167" s="109" t="str">
        <f ca="1">IFERROR(__xludf.DUMMYFUNCTION("""COMPUTED_VALUE"""),"VW")</f>
        <v>VW</v>
      </c>
      <c r="B2167" s="108" t="str">
        <f ca="1">IFERROR(__xludf.DUMMYFUNCTION("""COMPUTED_VALUE"""),"Claire Keating")</f>
        <v>Claire Keating</v>
      </c>
      <c r="C2167" s="109">
        <f ca="1">IFERROR(__xludf.DUMMYFUNCTION("""COMPUTED_VALUE"""),8)</f>
        <v>8</v>
      </c>
      <c r="D2167" s="109" t="str">
        <f ca="1">IFERROR(__xludf.DUMMYFUNCTION("""COMPUTED_VALUE"""),"G")</f>
        <v>G</v>
      </c>
      <c r="E2167" s="110" t="str">
        <f ca="1">IFERROR(__xludf.DUMMYFUNCTION("""COMPUTED_VALUE"""),"F")</f>
        <v>F</v>
      </c>
      <c r="F2167" s="114" t="str">
        <f ca="1">IFERROR(__xludf.DUMMYFUNCTION("""COMPUTED_VALUE"""),"J")</f>
        <v>J</v>
      </c>
      <c r="G2167" s="114">
        <f ca="1">IFERROR(__xludf.DUMMYFUNCTION("""COMPUTED_VALUE"""),1)</f>
        <v>1</v>
      </c>
      <c r="H2167" s="112" t="str">
        <f ca="1"/>
        <v/>
      </c>
      <c r="I2167" s="112" t="str">
        <f ca="1"/>
        <v/>
      </c>
    </row>
    <row r="2168" spans="1:9" ht="13.2">
      <c r="A2168" s="109" t="str">
        <f ca="1">IFERROR(__xludf.DUMMYFUNCTION("""COMPUTED_VALUE"""),"VW")</f>
        <v>VW</v>
      </c>
      <c r="B2168" s="108" t="str">
        <f ca="1">IFERROR(__xludf.DUMMYFUNCTION("""COMPUTED_VALUE"""),"Harper Knight")</f>
        <v>Harper Knight</v>
      </c>
      <c r="C2168" s="109">
        <f ca="1">IFERROR(__xludf.DUMMYFUNCTION("""COMPUTED_VALUE"""),9)</f>
        <v>9</v>
      </c>
      <c r="D2168" s="109" t="str">
        <f ca="1">IFERROR(__xludf.DUMMYFUNCTION("""COMPUTED_VALUE"""),"G")</f>
        <v>G</v>
      </c>
      <c r="E2168" s="110" t="str">
        <f ca="1">IFERROR(__xludf.DUMMYFUNCTION("""COMPUTED_VALUE"""),"F")</f>
        <v>F</v>
      </c>
      <c r="F2168" s="114" t="str">
        <f ca="1">IFERROR(__xludf.DUMMYFUNCTION("""COMPUTED_VALUE"""),"J")</f>
        <v>J</v>
      </c>
      <c r="G2168" s="114">
        <f ca="1">IFERROR(__xludf.DUMMYFUNCTION("""COMPUTED_VALUE"""),1)</f>
        <v>1</v>
      </c>
      <c r="H2168" s="112" t="str">
        <f ca="1"/>
        <v/>
      </c>
      <c r="I2168" s="112" t="str">
        <f ca="1"/>
        <v/>
      </c>
    </row>
    <row r="2169" spans="1:9" ht="13.2">
      <c r="A2169" s="109" t="str">
        <f ca="1">IFERROR(__xludf.DUMMYFUNCTION("""COMPUTED_VALUE"""),"VW")</f>
        <v>VW</v>
      </c>
      <c r="B2169" s="108" t="str">
        <f ca="1">IFERROR(__xludf.DUMMYFUNCTION("""COMPUTED_VALUE"""),"Isabella Prendergast")</f>
        <v>Isabella Prendergast</v>
      </c>
      <c r="C2169" s="109">
        <f ca="1">IFERROR(__xludf.DUMMYFUNCTION("""COMPUTED_VALUE"""),9)</f>
        <v>9</v>
      </c>
      <c r="D2169" s="109" t="str">
        <f ca="1">IFERROR(__xludf.DUMMYFUNCTION("""COMPUTED_VALUE"""),"G")</f>
        <v>G</v>
      </c>
      <c r="E2169" s="110" t="str">
        <f ca="1">IFERROR(__xludf.DUMMYFUNCTION("""COMPUTED_VALUE"""),"F")</f>
        <v>F</v>
      </c>
      <c r="F2169" s="114" t="str">
        <f ca="1">IFERROR(__xludf.DUMMYFUNCTION("""COMPUTED_VALUE"""),"J")</f>
        <v>J</v>
      </c>
      <c r="G2169" s="114">
        <f ca="1">IFERROR(__xludf.DUMMYFUNCTION("""COMPUTED_VALUE"""),1)</f>
        <v>1</v>
      </c>
      <c r="H2169" s="112" t="str">
        <f ca="1"/>
        <v/>
      </c>
      <c r="I2169" s="112" t="str">
        <f ca="1"/>
        <v/>
      </c>
    </row>
    <row r="2170" spans="1:9" ht="13.2">
      <c r="A2170" s="109" t="str">
        <f ca="1">IFERROR(__xludf.DUMMYFUNCTION("""COMPUTED_VALUE"""),"VW")</f>
        <v>VW</v>
      </c>
      <c r="B2170" s="108" t="str">
        <f ca="1">IFERROR(__xludf.DUMMYFUNCTION("""COMPUTED_VALUE"""),"Kylie O'Brien")</f>
        <v>Kylie O'Brien</v>
      </c>
      <c r="C2170" s="109">
        <f ca="1">IFERROR(__xludf.DUMMYFUNCTION("""COMPUTED_VALUE"""),5)</f>
        <v>5</v>
      </c>
      <c r="D2170" s="109" t="str">
        <f ca="1">IFERROR(__xludf.DUMMYFUNCTION("""COMPUTED_VALUE"""),"G")</f>
        <v>G</v>
      </c>
      <c r="E2170" s="110" t="str">
        <f ca="1">IFERROR(__xludf.DUMMYFUNCTION("""COMPUTED_VALUE"""),"F")</f>
        <v>F</v>
      </c>
      <c r="F2170" s="114" t="str">
        <f ca="1">IFERROR(__xludf.DUMMYFUNCTION("""COMPUTED_VALUE"""),"J")</f>
        <v>J</v>
      </c>
      <c r="G2170" s="114">
        <f ca="1">IFERROR(__xludf.DUMMYFUNCTION("""COMPUTED_VALUE"""),1)</f>
        <v>1</v>
      </c>
      <c r="H2170" s="112" t="str">
        <f ca="1"/>
        <v/>
      </c>
      <c r="I2170" s="112" t="str">
        <f ca="1"/>
        <v/>
      </c>
    </row>
    <row r="2171" spans="1:9" ht="13.2">
      <c r="A2171" s="109" t="str">
        <f ca="1">IFERROR(__xludf.DUMMYFUNCTION("""COMPUTED_VALUE"""),"VW")</f>
        <v>VW</v>
      </c>
      <c r="B2171" s="108" t="str">
        <f ca="1">IFERROR(__xludf.DUMMYFUNCTION("""COMPUTED_VALUE"""),"Libby Wigglesworth")</f>
        <v>Libby Wigglesworth</v>
      </c>
      <c r="C2171" s="109">
        <f ca="1">IFERROR(__xludf.DUMMYFUNCTION("""COMPUTED_VALUE"""),9)</f>
        <v>9</v>
      </c>
      <c r="D2171" s="109" t="str">
        <f ca="1">IFERROR(__xludf.DUMMYFUNCTION("""COMPUTED_VALUE"""),"G")</f>
        <v>G</v>
      </c>
      <c r="E2171" s="110" t="str">
        <f ca="1">IFERROR(__xludf.DUMMYFUNCTION("""COMPUTED_VALUE"""),"F")</f>
        <v>F</v>
      </c>
      <c r="F2171" s="114" t="str">
        <f ca="1">IFERROR(__xludf.DUMMYFUNCTION("""COMPUTED_VALUE"""),"J")</f>
        <v>J</v>
      </c>
      <c r="G2171" s="114">
        <f ca="1">IFERROR(__xludf.DUMMYFUNCTION("""COMPUTED_VALUE"""),1)</f>
        <v>1</v>
      </c>
      <c r="H2171" s="112" t="str">
        <f ca="1"/>
        <v/>
      </c>
      <c r="I2171" s="112" t="str">
        <f ca="1"/>
        <v/>
      </c>
    </row>
    <row r="2172" spans="1:9" ht="13.2">
      <c r="A2172" s="109" t="str">
        <f ca="1">IFERROR(__xludf.DUMMYFUNCTION("""COMPUTED_VALUE"""),"VW")</f>
        <v>VW</v>
      </c>
      <c r="B2172" s="108" t="str">
        <f ca="1">IFERROR(__xludf.DUMMYFUNCTION("""COMPUTED_VALUE"""),"Nelle David")</f>
        <v>Nelle David</v>
      </c>
      <c r="C2172" s="109">
        <f ca="1">IFERROR(__xludf.DUMMYFUNCTION("""COMPUTED_VALUE"""),10)</f>
        <v>10</v>
      </c>
      <c r="D2172" s="109" t="str">
        <f ca="1">IFERROR(__xludf.DUMMYFUNCTION("""COMPUTED_VALUE"""),"G")</f>
        <v>G</v>
      </c>
      <c r="E2172" s="110" t="str">
        <f ca="1">IFERROR(__xludf.DUMMYFUNCTION("""COMPUTED_VALUE"""),"F")</f>
        <v>F</v>
      </c>
      <c r="F2172" s="114" t="str">
        <f ca="1">IFERROR(__xludf.DUMMYFUNCTION("""COMPUTED_VALUE"""),"J")</f>
        <v>J</v>
      </c>
      <c r="G2172" s="114">
        <f ca="1">IFERROR(__xludf.DUMMYFUNCTION("""COMPUTED_VALUE"""),1)</f>
        <v>1</v>
      </c>
      <c r="H2172" s="112" t="str">
        <f ca="1"/>
        <v/>
      </c>
      <c r="I2172" s="112" t="str">
        <f ca="1"/>
        <v/>
      </c>
    </row>
    <row r="2173" spans="1:9" ht="13.2">
      <c r="A2173" s="109" t="str">
        <f ca="1">IFERROR(__xludf.DUMMYFUNCTION("""COMPUTED_VALUE"""),"VW")</f>
        <v>VW</v>
      </c>
      <c r="B2173" s="108" t="str">
        <f ca="1">IFERROR(__xludf.DUMMYFUNCTION("""COMPUTED_VALUE"""),"Reagan Nolan")</f>
        <v>Reagan Nolan</v>
      </c>
      <c r="C2173" s="109">
        <f ca="1">IFERROR(__xludf.DUMMYFUNCTION("""COMPUTED_VALUE"""),9)</f>
        <v>9</v>
      </c>
      <c r="D2173" s="109" t="str">
        <f ca="1">IFERROR(__xludf.DUMMYFUNCTION("""COMPUTED_VALUE"""),"G")</f>
        <v>G</v>
      </c>
      <c r="E2173" s="110" t="str">
        <f ca="1">IFERROR(__xludf.DUMMYFUNCTION("""COMPUTED_VALUE"""),"F")</f>
        <v>F</v>
      </c>
      <c r="F2173" s="114" t="str">
        <f ca="1">IFERROR(__xludf.DUMMYFUNCTION("""COMPUTED_VALUE"""),"J")</f>
        <v>J</v>
      </c>
      <c r="G2173" s="114">
        <f ca="1">IFERROR(__xludf.DUMMYFUNCTION("""COMPUTED_VALUE"""),1)</f>
        <v>1</v>
      </c>
      <c r="H2173" s="112" t="str">
        <f ca="1"/>
        <v/>
      </c>
      <c r="I2173" s="112" t="str">
        <f ca="1"/>
        <v/>
      </c>
    </row>
    <row r="2174" spans="1:9" ht="13.2">
      <c r="A2174" s="109" t="str">
        <f ca="1">IFERROR(__xludf.DUMMYFUNCTION("""COMPUTED_VALUE"""),"VW")</f>
        <v>VW</v>
      </c>
      <c r="B2174" s="108" t="str">
        <f ca="1">IFERROR(__xludf.DUMMYFUNCTION("""COMPUTED_VALUE"""),"Regan Hathaway")</f>
        <v>Regan Hathaway</v>
      </c>
      <c r="C2174" s="109">
        <f ca="1">IFERROR(__xludf.DUMMYFUNCTION("""COMPUTED_VALUE"""),8)</f>
        <v>8</v>
      </c>
      <c r="D2174" s="109" t="str">
        <f ca="1">IFERROR(__xludf.DUMMYFUNCTION("""COMPUTED_VALUE"""),"G")</f>
        <v>G</v>
      </c>
      <c r="E2174" s="110" t="str">
        <f ca="1">IFERROR(__xludf.DUMMYFUNCTION("""COMPUTED_VALUE"""),"F")</f>
        <v>F</v>
      </c>
      <c r="F2174" s="114" t="str">
        <f ca="1">IFERROR(__xludf.DUMMYFUNCTION("""COMPUTED_VALUE"""),"J")</f>
        <v>J</v>
      </c>
      <c r="G2174" s="114">
        <f ca="1">IFERROR(__xludf.DUMMYFUNCTION("""COMPUTED_VALUE"""),1)</f>
        <v>1</v>
      </c>
      <c r="H2174" s="112" t="str">
        <f ca="1"/>
        <v/>
      </c>
      <c r="I2174" s="112" t="str">
        <f ca="1"/>
        <v/>
      </c>
    </row>
    <row r="2175" spans="1:9" ht="13.2">
      <c r="A2175" s="109" t="str">
        <f ca="1">IFERROR(__xludf.DUMMYFUNCTION("""COMPUTED_VALUE"""),"VW")</f>
        <v>VW</v>
      </c>
      <c r="B2175" s="108" t="str">
        <f ca="1">IFERROR(__xludf.DUMMYFUNCTION("""COMPUTED_VALUE"""),"Sarah Kim")</f>
        <v>Sarah Kim</v>
      </c>
      <c r="C2175" s="109">
        <f ca="1">IFERROR(__xludf.DUMMYFUNCTION("""COMPUTED_VALUE"""),8)</f>
        <v>8</v>
      </c>
      <c r="D2175" s="109" t="str">
        <f ca="1">IFERROR(__xludf.DUMMYFUNCTION("""COMPUTED_VALUE"""),"G")</f>
        <v>G</v>
      </c>
      <c r="E2175" s="110" t="str">
        <f ca="1">IFERROR(__xludf.DUMMYFUNCTION("""COMPUTED_VALUE"""),"F")</f>
        <v>F</v>
      </c>
      <c r="F2175" s="114" t="str">
        <f ca="1">IFERROR(__xludf.DUMMYFUNCTION("""COMPUTED_VALUE"""),"J")</f>
        <v>J</v>
      </c>
      <c r="G2175" s="114">
        <f ca="1">IFERROR(__xludf.DUMMYFUNCTION("""COMPUTED_VALUE"""),1)</f>
        <v>1</v>
      </c>
      <c r="H2175" s="112" t="str">
        <f ca="1"/>
        <v/>
      </c>
      <c r="I2175" s="112" t="str">
        <f ca="1"/>
        <v/>
      </c>
    </row>
    <row r="2176" spans="1:9" ht="13.2">
      <c r="A2176" s="109" t="str">
        <f ca="1">IFERROR(__xludf.DUMMYFUNCTION("""COMPUTED_VALUE"""),"VW")</f>
        <v>VW</v>
      </c>
      <c r="B2176" s="108" t="str">
        <f ca="1">IFERROR(__xludf.DUMMYFUNCTION("""COMPUTED_VALUE"""),"Dylan Kalinock")</f>
        <v>Dylan Kalinock</v>
      </c>
      <c r="C2176" s="109">
        <f ca="1">IFERROR(__xludf.DUMMYFUNCTION("""COMPUTED_VALUE"""),13)</f>
        <v>13</v>
      </c>
      <c r="D2176" s="109" t="str">
        <f ca="1">IFERROR(__xludf.DUMMYFUNCTION("""COMPUTED_VALUE"""),"B")</f>
        <v>B</v>
      </c>
      <c r="E2176" s="110" t="str">
        <f ca="1">IFERROR(__xludf.DUMMYFUNCTION("""COMPUTED_VALUE"""),"I")</f>
        <v>I</v>
      </c>
      <c r="F2176" s="114" t="str">
        <f ca="1">IFERROR(__xludf.DUMMYFUNCTION("""COMPUTED_VALUE"""),"S")</f>
        <v>S</v>
      </c>
      <c r="G2176" s="114">
        <f ca="1">IFERROR(__xludf.DUMMYFUNCTION("""COMPUTED_VALUE"""),1)</f>
        <v>1</v>
      </c>
      <c r="H2176" s="112" t="str">
        <f ca="1"/>
        <v/>
      </c>
      <c r="I2176" s="112" t="str">
        <f ca="1"/>
        <v/>
      </c>
    </row>
    <row r="2177" spans="1:9" ht="13.2">
      <c r="A2177" s="109" t="str">
        <f ca="1">IFERROR(__xludf.DUMMYFUNCTION("""COMPUTED_VALUE"""),"VW")</f>
        <v>VW</v>
      </c>
      <c r="B2177" s="108" t="str">
        <f ca="1">IFERROR(__xludf.DUMMYFUNCTION("""COMPUTED_VALUE"""),"Dylan Paci")</f>
        <v>Dylan Paci</v>
      </c>
      <c r="C2177" s="109">
        <f ca="1">IFERROR(__xludf.DUMMYFUNCTION("""COMPUTED_VALUE"""),14)</f>
        <v>14</v>
      </c>
      <c r="D2177" s="109" t="str">
        <f ca="1">IFERROR(__xludf.DUMMYFUNCTION("""COMPUTED_VALUE"""),"B")</f>
        <v>B</v>
      </c>
      <c r="E2177" s="110" t="str">
        <f ca="1">IFERROR(__xludf.DUMMYFUNCTION("""COMPUTED_VALUE"""),"I")</f>
        <v>I</v>
      </c>
      <c r="F2177" s="114" t="str">
        <f ca="1">IFERROR(__xludf.DUMMYFUNCTION("""COMPUTED_VALUE"""),"S")</f>
        <v>S</v>
      </c>
      <c r="G2177" s="114">
        <f ca="1">IFERROR(__xludf.DUMMYFUNCTION("""COMPUTED_VALUE"""),1)</f>
        <v>1</v>
      </c>
      <c r="H2177" s="112" t="str">
        <f ca="1"/>
        <v/>
      </c>
      <c r="I2177" s="112" t="str">
        <f ca="1"/>
        <v/>
      </c>
    </row>
    <row r="2178" spans="1:9" ht="13.2">
      <c r="A2178" s="109" t="str">
        <f ca="1">IFERROR(__xludf.DUMMYFUNCTION("""COMPUTED_VALUE"""),"VW")</f>
        <v>VW</v>
      </c>
      <c r="B2178" s="108" t="str">
        <f ca="1">IFERROR(__xludf.DUMMYFUNCTION("""COMPUTED_VALUE"""),"Ivor Brown")</f>
        <v>Ivor Brown</v>
      </c>
      <c r="C2178" s="109">
        <f ca="1">IFERROR(__xludf.DUMMYFUNCTION("""COMPUTED_VALUE"""),13)</f>
        <v>13</v>
      </c>
      <c r="D2178" s="109" t="str">
        <f ca="1">IFERROR(__xludf.DUMMYFUNCTION("""COMPUTED_VALUE"""),"B")</f>
        <v>B</v>
      </c>
      <c r="E2178" s="110" t="str">
        <f ca="1">IFERROR(__xludf.DUMMYFUNCTION("""COMPUTED_VALUE"""),"I")</f>
        <v>I</v>
      </c>
      <c r="F2178" s="114" t="str">
        <f ca="1">IFERROR(__xludf.DUMMYFUNCTION("""COMPUTED_VALUE"""),"S")</f>
        <v>S</v>
      </c>
      <c r="G2178" s="114">
        <f ca="1">IFERROR(__xludf.DUMMYFUNCTION("""COMPUTED_VALUE"""),1)</f>
        <v>1</v>
      </c>
      <c r="H2178" s="112" t="str">
        <f ca="1"/>
        <v/>
      </c>
      <c r="I2178" s="112" t="str">
        <f ca="1"/>
        <v/>
      </c>
    </row>
    <row r="2179" spans="1:9" ht="13.2">
      <c r="A2179" s="109" t="str">
        <f ca="1">IFERROR(__xludf.DUMMYFUNCTION("""COMPUTED_VALUE"""),"VW")</f>
        <v>VW</v>
      </c>
      <c r="B2179" s="108" t="str">
        <f ca="1">IFERROR(__xludf.DUMMYFUNCTION("""COMPUTED_VALUE"""),"Jenna Walker")</f>
        <v>Jenna Walker</v>
      </c>
      <c r="C2179" s="109">
        <f ca="1">IFERROR(__xludf.DUMMYFUNCTION("""COMPUTED_VALUE"""),14)</f>
        <v>14</v>
      </c>
      <c r="D2179" s="109" t="str">
        <f ca="1">IFERROR(__xludf.DUMMYFUNCTION("""COMPUTED_VALUE"""),"G")</f>
        <v>G</v>
      </c>
      <c r="E2179" s="110" t="str">
        <f ca="1">IFERROR(__xludf.DUMMYFUNCTION("""COMPUTED_VALUE"""),"I")</f>
        <v>I</v>
      </c>
      <c r="F2179" s="114" t="str">
        <f ca="1">IFERROR(__xludf.DUMMYFUNCTION("""COMPUTED_VALUE"""),"S")</f>
        <v>S</v>
      </c>
      <c r="G2179" s="114">
        <f ca="1">IFERROR(__xludf.DUMMYFUNCTION("""COMPUTED_VALUE"""),1)</f>
        <v>1</v>
      </c>
      <c r="H2179" s="112" t="str">
        <f ca="1"/>
        <v/>
      </c>
      <c r="I2179" s="112" t="str">
        <f ca="1"/>
        <v/>
      </c>
    </row>
    <row r="2180" spans="1:9" ht="13.2">
      <c r="A2180" s="109" t="str">
        <f ca="1">IFERROR(__xludf.DUMMYFUNCTION("""COMPUTED_VALUE"""),"VW")</f>
        <v>VW</v>
      </c>
      <c r="B2180" s="108" t="str">
        <f ca="1">IFERROR(__xludf.DUMMYFUNCTION("""COMPUTED_VALUE"""),"Marleigh daSilva")</f>
        <v>Marleigh daSilva</v>
      </c>
      <c r="C2180" s="109">
        <f ca="1">IFERROR(__xludf.DUMMYFUNCTION("""COMPUTED_VALUE"""),13)</f>
        <v>13</v>
      </c>
      <c r="D2180" s="109" t="str">
        <f ca="1">IFERROR(__xludf.DUMMYFUNCTION("""COMPUTED_VALUE"""),"G")</f>
        <v>G</v>
      </c>
      <c r="E2180" s="110" t="str">
        <f ca="1">IFERROR(__xludf.DUMMYFUNCTION("""COMPUTED_VALUE"""),"I")</f>
        <v>I</v>
      </c>
      <c r="F2180" s="114" t="str">
        <f ca="1">IFERROR(__xludf.DUMMYFUNCTION("""COMPUTED_VALUE"""),"S")</f>
        <v>S</v>
      </c>
      <c r="G2180" s="114">
        <f ca="1">IFERROR(__xludf.DUMMYFUNCTION("""COMPUTED_VALUE"""),1)</f>
        <v>1</v>
      </c>
      <c r="H2180" s="112" t="str">
        <f ca="1"/>
        <v/>
      </c>
      <c r="I2180" s="112" t="str">
        <f ca="1"/>
        <v/>
      </c>
    </row>
    <row r="2181" spans="1:9" ht="13.2">
      <c r="A2181" s="109" t="str">
        <f ca="1">IFERROR(__xludf.DUMMYFUNCTION("""COMPUTED_VALUE"""),"VW")</f>
        <v>VW</v>
      </c>
      <c r="B2181" s="108" t="str">
        <f ca="1">IFERROR(__xludf.DUMMYFUNCTION("""COMPUTED_VALUE"""),"Declan Hathaway")</f>
        <v>Declan Hathaway</v>
      </c>
      <c r="C2181" s="109">
        <f ca="1">IFERROR(__xludf.DUMMYFUNCTION("""COMPUTED_VALUE"""),12)</f>
        <v>12</v>
      </c>
      <c r="D2181" s="109" t="str">
        <f ca="1">IFERROR(__xludf.DUMMYFUNCTION("""COMPUTED_VALUE"""),"B")</f>
        <v>B</v>
      </c>
      <c r="E2181" s="110" t="str">
        <f ca="1">IFERROR(__xludf.DUMMYFUNCTION("""COMPUTED_VALUE"""),"J")</f>
        <v>J</v>
      </c>
      <c r="F2181" s="114" t="str">
        <f ca="1">IFERROR(__xludf.DUMMYFUNCTION("""COMPUTED_VALUE"""),"I")</f>
        <v>I</v>
      </c>
      <c r="G2181" s="114">
        <f ca="1">IFERROR(__xludf.DUMMYFUNCTION("""COMPUTED_VALUE"""),1)</f>
        <v>1</v>
      </c>
      <c r="H2181" s="112" t="str">
        <f ca="1"/>
        <v/>
      </c>
      <c r="I2181" s="112" t="str">
        <f ca="1"/>
        <v/>
      </c>
    </row>
    <row r="2182" spans="1:9" ht="13.2">
      <c r="A2182" s="109" t="str">
        <f ca="1">IFERROR(__xludf.DUMMYFUNCTION("""COMPUTED_VALUE"""),"VW")</f>
        <v>VW</v>
      </c>
      <c r="B2182" s="108" t="str">
        <f ca="1">IFERROR(__xludf.DUMMYFUNCTION("""COMPUTED_VALUE"""),"Everett Weedman")</f>
        <v>Everett Weedman</v>
      </c>
      <c r="C2182" s="109">
        <f ca="1">IFERROR(__xludf.DUMMYFUNCTION("""COMPUTED_VALUE"""),11)</f>
        <v>11</v>
      </c>
      <c r="D2182" s="109" t="str">
        <f ca="1">IFERROR(__xludf.DUMMYFUNCTION("""COMPUTED_VALUE"""),"B")</f>
        <v>B</v>
      </c>
      <c r="E2182" s="110" t="str">
        <f ca="1">IFERROR(__xludf.DUMMYFUNCTION("""COMPUTED_VALUE"""),"J")</f>
        <v>J</v>
      </c>
      <c r="F2182" s="114" t="str">
        <f ca="1">IFERROR(__xludf.DUMMYFUNCTION("""COMPUTED_VALUE"""),"I")</f>
        <v>I</v>
      </c>
      <c r="G2182" s="114">
        <f ca="1">IFERROR(__xludf.DUMMYFUNCTION("""COMPUTED_VALUE"""),1)</f>
        <v>1</v>
      </c>
      <c r="H2182" s="112" t="str">
        <f ca="1"/>
        <v/>
      </c>
      <c r="I2182" s="112" t="str">
        <f ca="1"/>
        <v/>
      </c>
    </row>
    <row r="2183" spans="1:9" ht="13.2">
      <c r="A2183" s="109" t="str">
        <f ca="1">IFERROR(__xludf.DUMMYFUNCTION("""COMPUTED_VALUE"""),"VW")</f>
        <v>VW</v>
      </c>
      <c r="B2183" s="108" t="str">
        <f ca="1">IFERROR(__xludf.DUMMYFUNCTION("""COMPUTED_VALUE"""),"Luke Atkins")</f>
        <v>Luke Atkins</v>
      </c>
      <c r="C2183" s="109">
        <f ca="1">IFERROR(__xludf.DUMMYFUNCTION("""COMPUTED_VALUE"""),11)</f>
        <v>11</v>
      </c>
      <c r="D2183" s="109" t="str">
        <f ca="1">IFERROR(__xludf.DUMMYFUNCTION("""COMPUTED_VALUE"""),"B")</f>
        <v>B</v>
      </c>
      <c r="E2183" s="110" t="str">
        <f ca="1">IFERROR(__xludf.DUMMYFUNCTION("""COMPUTED_VALUE"""),"J")</f>
        <v>J</v>
      </c>
      <c r="F2183" s="114" t="str">
        <f ca="1">IFERROR(__xludf.DUMMYFUNCTION("""COMPUTED_VALUE"""),"I")</f>
        <v>I</v>
      </c>
      <c r="G2183" s="114">
        <f ca="1">IFERROR(__xludf.DUMMYFUNCTION("""COMPUTED_VALUE"""),1)</f>
        <v>1</v>
      </c>
      <c r="H2183" s="112" t="str">
        <f ca="1"/>
        <v/>
      </c>
      <c r="I2183" s="112" t="str">
        <f ca="1"/>
        <v/>
      </c>
    </row>
    <row r="2184" spans="1:9" ht="13.2">
      <c r="A2184" s="109" t="str">
        <f ca="1">IFERROR(__xludf.DUMMYFUNCTION("""COMPUTED_VALUE"""),"VW")</f>
        <v>VW</v>
      </c>
      <c r="B2184" s="108" t="str">
        <f ca="1">IFERROR(__xludf.DUMMYFUNCTION("""COMPUTED_VALUE"""),"Luke Lauretti")</f>
        <v>Luke Lauretti</v>
      </c>
      <c r="C2184" s="109">
        <f ca="1">IFERROR(__xludf.DUMMYFUNCTION("""COMPUTED_VALUE"""),11)</f>
        <v>11</v>
      </c>
      <c r="D2184" s="109" t="str">
        <f ca="1">IFERROR(__xludf.DUMMYFUNCTION("""COMPUTED_VALUE"""),"B")</f>
        <v>B</v>
      </c>
      <c r="E2184" s="110" t="str">
        <f ca="1">IFERROR(__xludf.DUMMYFUNCTION("""COMPUTED_VALUE"""),"J")</f>
        <v>J</v>
      </c>
      <c r="F2184" s="114" t="str">
        <f ca="1">IFERROR(__xludf.DUMMYFUNCTION("""COMPUTED_VALUE"""),"I")</f>
        <v>I</v>
      </c>
      <c r="G2184" s="114">
        <f ca="1">IFERROR(__xludf.DUMMYFUNCTION("""COMPUTED_VALUE"""),1)</f>
        <v>1</v>
      </c>
      <c r="H2184" s="112" t="str">
        <f ca="1"/>
        <v/>
      </c>
      <c r="I2184" s="112" t="str">
        <f ca="1"/>
        <v/>
      </c>
    </row>
    <row r="2185" spans="1:9" ht="13.2">
      <c r="A2185" s="109" t="str">
        <f ca="1">IFERROR(__xludf.DUMMYFUNCTION("""COMPUTED_VALUE"""),"VW")</f>
        <v>VW</v>
      </c>
      <c r="B2185" s="108" t="str">
        <f ca="1">IFERROR(__xludf.DUMMYFUNCTION("""COMPUTED_VALUE"""),"Rocco Penna")</f>
        <v>Rocco Penna</v>
      </c>
      <c r="C2185" s="109">
        <f ca="1">IFERROR(__xludf.DUMMYFUNCTION("""COMPUTED_VALUE"""),11)</f>
        <v>11</v>
      </c>
      <c r="D2185" s="109" t="str">
        <f ca="1">IFERROR(__xludf.DUMMYFUNCTION("""COMPUTED_VALUE"""),"B")</f>
        <v>B</v>
      </c>
      <c r="E2185" s="110" t="str">
        <f ca="1">IFERROR(__xludf.DUMMYFUNCTION("""COMPUTED_VALUE"""),"J")</f>
        <v>J</v>
      </c>
      <c r="F2185" s="114" t="str">
        <f ca="1">IFERROR(__xludf.DUMMYFUNCTION("""COMPUTED_VALUE"""),"I")</f>
        <v>I</v>
      </c>
      <c r="G2185" s="114">
        <f ca="1">IFERROR(__xludf.DUMMYFUNCTION("""COMPUTED_VALUE"""),1)</f>
        <v>1</v>
      </c>
      <c r="H2185" s="112" t="str">
        <f ca="1"/>
        <v/>
      </c>
      <c r="I2185" s="112" t="str">
        <f ca="1"/>
        <v/>
      </c>
    </row>
    <row r="2186" spans="1:9" ht="13.2">
      <c r="A2186" s="109" t="str">
        <f ca="1">IFERROR(__xludf.DUMMYFUNCTION("""COMPUTED_VALUE"""),"VW")</f>
        <v>VW</v>
      </c>
      <c r="B2186" s="108" t="str">
        <f ca="1">IFERROR(__xludf.DUMMYFUNCTION("""COMPUTED_VALUE"""),"Thomas Maher")</f>
        <v>Thomas Maher</v>
      </c>
      <c r="C2186" s="109">
        <f ca="1">IFERROR(__xludf.DUMMYFUNCTION("""COMPUTED_VALUE"""),12)</f>
        <v>12</v>
      </c>
      <c r="D2186" s="109" t="str">
        <f ca="1">IFERROR(__xludf.DUMMYFUNCTION("""COMPUTED_VALUE"""),"B")</f>
        <v>B</v>
      </c>
      <c r="E2186" s="110" t="str">
        <f ca="1">IFERROR(__xludf.DUMMYFUNCTION("""COMPUTED_VALUE"""),"J")</f>
        <v>J</v>
      </c>
      <c r="F2186" s="114" t="str">
        <f ca="1">IFERROR(__xludf.DUMMYFUNCTION("""COMPUTED_VALUE"""),"I")</f>
        <v>I</v>
      </c>
      <c r="G2186" s="114">
        <f ca="1">IFERROR(__xludf.DUMMYFUNCTION("""COMPUTED_VALUE"""),1)</f>
        <v>1</v>
      </c>
      <c r="H2186" s="112" t="str">
        <f ca="1"/>
        <v/>
      </c>
      <c r="I2186" s="112" t="str">
        <f ca="1"/>
        <v/>
      </c>
    </row>
    <row r="2187" spans="1:9" ht="13.2">
      <c r="A2187" s="109" t="str">
        <f ca="1">IFERROR(__xludf.DUMMYFUNCTION("""COMPUTED_VALUE"""),"VW")</f>
        <v>VW</v>
      </c>
      <c r="B2187" s="108" t="str">
        <f ca="1">IFERROR(__xludf.DUMMYFUNCTION("""COMPUTED_VALUE"""),"Zachary Wigglesworth")</f>
        <v>Zachary Wigglesworth</v>
      </c>
      <c r="C2187" s="109">
        <f ca="1">IFERROR(__xludf.DUMMYFUNCTION("""COMPUTED_VALUE"""),11)</f>
        <v>11</v>
      </c>
      <c r="D2187" s="109" t="str">
        <f ca="1">IFERROR(__xludf.DUMMYFUNCTION("""COMPUTED_VALUE"""),"B")</f>
        <v>B</v>
      </c>
      <c r="E2187" s="110" t="str">
        <f ca="1">IFERROR(__xludf.DUMMYFUNCTION("""COMPUTED_VALUE"""),"J")</f>
        <v>J</v>
      </c>
      <c r="F2187" s="114" t="str">
        <f ca="1">IFERROR(__xludf.DUMMYFUNCTION("""COMPUTED_VALUE"""),"I")</f>
        <v>I</v>
      </c>
      <c r="G2187" s="114">
        <f ca="1">IFERROR(__xludf.DUMMYFUNCTION("""COMPUTED_VALUE"""),1)</f>
        <v>1</v>
      </c>
      <c r="H2187" s="112" t="str">
        <f ca="1"/>
        <v/>
      </c>
      <c r="I2187" s="112" t="str">
        <f ca="1"/>
        <v/>
      </c>
    </row>
    <row r="2188" spans="1:9" ht="13.2">
      <c r="A2188" s="109" t="str">
        <f ca="1">IFERROR(__xludf.DUMMYFUNCTION("""COMPUTED_VALUE"""),"VW")</f>
        <v>VW</v>
      </c>
      <c r="B2188" s="108" t="str">
        <f ca="1">IFERROR(__xludf.DUMMYFUNCTION("""COMPUTED_VALUE"""),"Jayde Kalinock")</f>
        <v>Jayde Kalinock</v>
      </c>
      <c r="C2188" s="109">
        <f ca="1">IFERROR(__xludf.DUMMYFUNCTION("""COMPUTED_VALUE"""),11)</f>
        <v>11</v>
      </c>
      <c r="D2188" s="109" t="str">
        <f ca="1">IFERROR(__xludf.DUMMYFUNCTION("""COMPUTED_VALUE"""),"G")</f>
        <v>G</v>
      </c>
      <c r="E2188" s="110" t="str">
        <f ca="1">IFERROR(__xludf.DUMMYFUNCTION("""COMPUTED_VALUE"""),"J")</f>
        <v>J</v>
      </c>
      <c r="F2188" s="114" t="str">
        <f ca="1">IFERROR(__xludf.DUMMYFUNCTION("""COMPUTED_VALUE"""),"I")</f>
        <v>I</v>
      </c>
      <c r="G2188" s="114">
        <f ca="1">IFERROR(__xludf.DUMMYFUNCTION("""COMPUTED_VALUE"""),1)</f>
        <v>1</v>
      </c>
      <c r="H2188" s="112" t="str">
        <f ca="1"/>
        <v/>
      </c>
      <c r="I2188" s="112" t="str">
        <f ca="1"/>
        <v/>
      </c>
    </row>
    <row r="2189" spans="1:9" ht="13.2">
      <c r="A2189" s="109" t="str">
        <f ca="1">IFERROR(__xludf.DUMMYFUNCTION("""COMPUTED_VALUE"""),"VW")</f>
        <v>VW</v>
      </c>
      <c r="B2189" s="108" t="str">
        <f ca="1">IFERROR(__xludf.DUMMYFUNCTION("""COMPUTED_VALUE"""),"Kaitlyn Herrmann")</f>
        <v>Kaitlyn Herrmann</v>
      </c>
      <c r="C2189" s="109">
        <f ca="1">IFERROR(__xludf.DUMMYFUNCTION("""COMPUTED_VALUE"""),11)</f>
        <v>11</v>
      </c>
      <c r="D2189" s="109" t="str">
        <f ca="1">IFERROR(__xludf.DUMMYFUNCTION("""COMPUTED_VALUE"""),"G")</f>
        <v>G</v>
      </c>
      <c r="E2189" s="110" t="str">
        <f ca="1">IFERROR(__xludf.DUMMYFUNCTION("""COMPUTED_VALUE"""),"J")</f>
        <v>J</v>
      </c>
      <c r="F2189" s="114" t="str">
        <f ca="1">IFERROR(__xludf.DUMMYFUNCTION("""COMPUTED_VALUE"""),"I")</f>
        <v>I</v>
      </c>
      <c r="G2189" s="114">
        <f ca="1">IFERROR(__xludf.DUMMYFUNCTION("""COMPUTED_VALUE"""),1)</f>
        <v>1</v>
      </c>
      <c r="H2189" s="112" t="str">
        <f ca="1"/>
        <v/>
      </c>
      <c r="I2189" s="112" t="str">
        <f ca="1"/>
        <v/>
      </c>
    </row>
    <row r="2190" spans="1:9" ht="13.2">
      <c r="A2190" s="109" t="str">
        <f ca="1">IFERROR(__xludf.DUMMYFUNCTION("""COMPUTED_VALUE"""),"VW")</f>
        <v>VW</v>
      </c>
      <c r="B2190" s="108" t="str">
        <f ca="1">IFERROR(__xludf.DUMMYFUNCTION("""COMPUTED_VALUE"""),"Kathryn Kristick")</f>
        <v>Kathryn Kristick</v>
      </c>
      <c r="C2190" s="109">
        <f ca="1">IFERROR(__xludf.DUMMYFUNCTION("""COMPUTED_VALUE"""),11)</f>
        <v>11</v>
      </c>
      <c r="D2190" s="109" t="str">
        <f ca="1">IFERROR(__xludf.DUMMYFUNCTION("""COMPUTED_VALUE"""),"G")</f>
        <v>G</v>
      </c>
      <c r="E2190" s="110" t="str">
        <f ca="1">IFERROR(__xludf.DUMMYFUNCTION("""COMPUTED_VALUE"""),"J")</f>
        <v>J</v>
      </c>
      <c r="F2190" s="114" t="str">
        <f ca="1">IFERROR(__xludf.DUMMYFUNCTION("""COMPUTED_VALUE"""),"I")</f>
        <v>I</v>
      </c>
      <c r="G2190" s="114">
        <f ca="1">IFERROR(__xludf.DUMMYFUNCTION("""COMPUTED_VALUE"""),1)</f>
        <v>1</v>
      </c>
      <c r="H2190" s="112" t="str">
        <f ca="1"/>
        <v/>
      </c>
      <c r="I2190" s="112" t="str">
        <f ca="1"/>
        <v/>
      </c>
    </row>
    <row r="2191" spans="1:9" ht="13.2">
      <c r="A2191" s="109" t="str">
        <f ca="1">IFERROR(__xludf.DUMMYFUNCTION("""COMPUTED_VALUE"""),"VW")</f>
        <v>VW</v>
      </c>
      <c r="B2191" s="108" t="str">
        <f ca="1">IFERROR(__xludf.DUMMYFUNCTION("""COMPUTED_VALUE"""),"Lexie Van Raaphorst")</f>
        <v>Lexie Van Raaphorst</v>
      </c>
      <c r="C2191" s="109">
        <f ca="1">IFERROR(__xludf.DUMMYFUNCTION("""COMPUTED_VALUE"""),12)</f>
        <v>12</v>
      </c>
      <c r="D2191" s="109" t="str">
        <f ca="1">IFERROR(__xludf.DUMMYFUNCTION("""COMPUTED_VALUE"""),"G")</f>
        <v>G</v>
      </c>
      <c r="E2191" s="110" t="str">
        <f ca="1">IFERROR(__xludf.DUMMYFUNCTION("""COMPUTED_VALUE"""),"J")</f>
        <v>J</v>
      </c>
      <c r="F2191" s="114" t="str">
        <f ca="1">IFERROR(__xludf.DUMMYFUNCTION("""COMPUTED_VALUE"""),"I")</f>
        <v>I</v>
      </c>
      <c r="G2191" s="114">
        <f ca="1">IFERROR(__xludf.DUMMYFUNCTION("""COMPUTED_VALUE"""),1)</f>
        <v>1</v>
      </c>
      <c r="H2191" s="112" t="str">
        <f ca="1"/>
        <v/>
      </c>
      <c r="I2191" s="112" t="str">
        <f ca="1"/>
        <v/>
      </c>
    </row>
    <row r="2192" spans="1:9" ht="13.2">
      <c r="A2192" s="109" t="str">
        <f ca="1">IFERROR(__xludf.DUMMYFUNCTION("""COMPUTED_VALUE"""),"VW")</f>
        <v>VW</v>
      </c>
      <c r="B2192" s="108" t="str">
        <f ca="1">IFERROR(__xludf.DUMMYFUNCTION("""COMPUTED_VALUE"""),"Logan Nolan")</f>
        <v>Logan Nolan</v>
      </c>
      <c r="C2192" s="109">
        <f ca="1">IFERROR(__xludf.DUMMYFUNCTION("""COMPUTED_VALUE"""),11)</f>
        <v>11</v>
      </c>
      <c r="D2192" s="109" t="str">
        <f ca="1">IFERROR(__xludf.DUMMYFUNCTION("""COMPUTED_VALUE"""),"G")</f>
        <v>G</v>
      </c>
      <c r="E2192" s="110" t="str">
        <f ca="1">IFERROR(__xludf.DUMMYFUNCTION("""COMPUTED_VALUE"""),"J")</f>
        <v>J</v>
      </c>
      <c r="F2192" s="114" t="str">
        <f ca="1">IFERROR(__xludf.DUMMYFUNCTION("""COMPUTED_VALUE"""),"I")</f>
        <v>I</v>
      </c>
      <c r="G2192" s="114">
        <f ca="1">IFERROR(__xludf.DUMMYFUNCTION("""COMPUTED_VALUE"""),1)</f>
        <v>1</v>
      </c>
      <c r="H2192" s="112" t="str">
        <f ca="1"/>
        <v/>
      </c>
      <c r="I2192" s="112" t="str">
        <f ca="1"/>
        <v/>
      </c>
    </row>
    <row r="2193" spans="1:9" ht="13.2">
      <c r="A2193" s="109" t="str">
        <f ca="1">IFERROR(__xludf.DUMMYFUNCTION("""COMPUTED_VALUE"""),"VW")</f>
        <v>VW</v>
      </c>
      <c r="B2193" s="108" t="str">
        <f ca="1">IFERROR(__xludf.DUMMYFUNCTION("""COMPUTED_VALUE"""),"Sophie Bourdelais")</f>
        <v>Sophie Bourdelais</v>
      </c>
      <c r="C2193" s="109">
        <f ca="1">IFERROR(__xludf.DUMMYFUNCTION("""COMPUTED_VALUE"""),12)</f>
        <v>12</v>
      </c>
      <c r="D2193" s="109" t="str">
        <f ca="1">IFERROR(__xludf.DUMMYFUNCTION("""COMPUTED_VALUE"""),"G")</f>
        <v>G</v>
      </c>
      <c r="E2193" s="110" t="str">
        <f ca="1">IFERROR(__xludf.DUMMYFUNCTION("""COMPUTED_VALUE"""),"J")</f>
        <v>J</v>
      </c>
      <c r="F2193" s="114" t="str">
        <f ca="1">IFERROR(__xludf.DUMMYFUNCTION("""COMPUTED_VALUE"""),"I")</f>
        <v>I</v>
      </c>
      <c r="G2193" s="114">
        <f ca="1">IFERROR(__xludf.DUMMYFUNCTION("""COMPUTED_VALUE"""),1)</f>
        <v>1</v>
      </c>
      <c r="H2193" s="112" t="str">
        <f ca="1"/>
        <v/>
      </c>
      <c r="I2193" s="112" t="str">
        <f ca="1"/>
        <v/>
      </c>
    </row>
    <row r="2194" spans="1:9" ht="13.2">
      <c r="A2194" s="109" t="str">
        <f ca="1">IFERROR(__xludf.DUMMYFUNCTION("""COMPUTED_VALUE"""),"VW")</f>
        <v>VW</v>
      </c>
      <c r="B2194" s="108" t="str">
        <f ca="1">IFERROR(__xludf.DUMMYFUNCTION("""COMPUTED_VALUE"""),"Taylor Van Raaphorst")</f>
        <v>Taylor Van Raaphorst</v>
      </c>
      <c r="C2194" s="109">
        <f ca="1">IFERROR(__xludf.DUMMYFUNCTION("""COMPUTED_VALUE"""),12)</f>
        <v>12</v>
      </c>
      <c r="D2194" s="109" t="str">
        <f ca="1">IFERROR(__xludf.DUMMYFUNCTION("""COMPUTED_VALUE"""),"G")</f>
        <v>G</v>
      </c>
      <c r="E2194" s="110" t="str">
        <f ca="1">IFERROR(__xludf.DUMMYFUNCTION("""COMPUTED_VALUE"""),"J")</f>
        <v>J</v>
      </c>
      <c r="F2194" s="114" t="str">
        <f ca="1">IFERROR(__xludf.DUMMYFUNCTION("""COMPUTED_VALUE"""),"I")</f>
        <v>I</v>
      </c>
      <c r="G2194" s="114">
        <f ca="1">IFERROR(__xludf.DUMMYFUNCTION("""COMPUTED_VALUE"""),1)</f>
        <v>1</v>
      </c>
      <c r="H2194" s="112" t="str">
        <f ca="1"/>
        <v/>
      </c>
      <c r="I2194" s="112" t="str">
        <f ca="1"/>
        <v/>
      </c>
    </row>
    <row r="2195" spans="1:9" ht="13.2">
      <c r="A2195" s="109" t="str">
        <f ca="1">IFERROR(__xludf.DUMMYFUNCTION("""COMPUTED_VALUE"""),"VW")</f>
        <v>VW</v>
      </c>
      <c r="B2195" s="108" t="str">
        <f ca="1">IFERROR(__xludf.DUMMYFUNCTION("""COMPUTED_VALUE"""),"Evan Moss")</f>
        <v>Evan Moss</v>
      </c>
      <c r="C2195" s="109">
        <f ca="1">IFERROR(__xludf.DUMMYFUNCTION("""COMPUTED_VALUE"""),15)</f>
        <v>15</v>
      </c>
      <c r="D2195" s="109" t="str">
        <f ca="1">IFERROR(__xludf.DUMMYFUNCTION("""COMPUTED_VALUE"""),"B")</f>
        <v>B</v>
      </c>
      <c r="E2195" s="110" t="str">
        <f ca="1">IFERROR(__xludf.DUMMYFUNCTION("""COMPUTED_VALUE"""),"S")</f>
        <v>S</v>
      </c>
      <c r="F2195" s="114" t="str">
        <f ca="1">IFERROR(__xludf.DUMMYFUNCTION("""COMPUTED_VALUE"""),"S")</f>
        <v>S</v>
      </c>
      <c r="G2195" s="114">
        <f ca="1">IFERROR(__xludf.DUMMYFUNCTION("""COMPUTED_VALUE"""),1)</f>
        <v>1</v>
      </c>
      <c r="H2195" s="112" t="str">
        <f ca="1"/>
        <v/>
      </c>
      <c r="I2195" s="112" t="str">
        <f ca="1"/>
        <v/>
      </c>
    </row>
    <row r="2196" spans="1:9" ht="13.2">
      <c r="A2196" s="109" t="str">
        <f ca="1">IFERROR(__xludf.DUMMYFUNCTION("""COMPUTED_VALUE"""),"VW")</f>
        <v>VW</v>
      </c>
      <c r="B2196" s="108" t="str">
        <f ca="1">IFERROR(__xludf.DUMMYFUNCTION("""COMPUTED_VALUE"""),"Nick Wanzer")</f>
        <v>Nick Wanzer</v>
      </c>
      <c r="C2196" s="109">
        <f ca="1">IFERROR(__xludf.DUMMYFUNCTION("""COMPUTED_VALUE"""),15)</f>
        <v>15</v>
      </c>
      <c r="D2196" s="109" t="str">
        <f ca="1">IFERROR(__xludf.DUMMYFUNCTION("""COMPUTED_VALUE"""),"B")</f>
        <v>B</v>
      </c>
      <c r="E2196" s="110" t="str">
        <f ca="1">IFERROR(__xludf.DUMMYFUNCTION("""COMPUTED_VALUE"""),"S")</f>
        <v>S</v>
      </c>
      <c r="F2196" s="114" t="str">
        <f ca="1">IFERROR(__xludf.DUMMYFUNCTION("""COMPUTED_VALUE"""),"S")</f>
        <v>S</v>
      </c>
      <c r="G2196" s="114">
        <f ca="1">IFERROR(__xludf.DUMMYFUNCTION("""COMPUTED_VALUE"""),1)</f>
        <v>1</v>
      </c>
      <c r="H2196" s="112" t="str">
        <f ca="1"/>
        <v/>
      </c>
      <c r="I2196" s="112" t="str">
        <f ca="1"/>
        <v/>
      </c>
    </row>
    <row r="2197" spans="1:9" ht="13.2">
      <c r="A2197" s="109" t="str">
        <f ca="1">IFERROR(__xludf.DUMMYFUNCTION("""COMPUTED_VALUE"""),"VW")</f>
        <v>VW</v>
      </c>
      <c r="B2197" s="108" t="str">
        <f ca="1">IFERROR(__xludf.DUMMYFUNCTION("""COMPUTED_VALUE"""),"Noah Wanzer")</f>
        <v>Noah Wanzer</v>
      </c>
      <c r="C2197" s="109">
        <f ca="1">IFERROR(__xludf.DUMMYFUNCTION("""COMPUTED_VALUE"""),15)</f>
        <v>15</v>
      </c>
      <c r="D2197" s="109" t="str">
        <f ca="1">IFERROR(__xludf.DUMMYFUNCTION("""COMPUTED_VALUE"""),"B")</f>
        <v>B</v>
      </c>
      <c r="E2197" s="110" t="str">
        <f ca="1">IFERROR(__xludf.DUMMYFUNCTION("""COMPUTED_VALUE"""),"S")</f>
        <v>S</v>
      </c>
      <c r="F2197" s="114" t="str">
        <f ca="1">IFERROR(__xludf.DUMMYFUNCTION("""COMPUTED_VALUE"""),"S")</f>
        <v>S</v>
      </c>
      <c r="G2197" s="114">
        <f ca="1">IFERROR(__xludf.DUMMYFUNCTION("""COMPUTED_VALUE"""),1)</f>
        <v>1</v>
      </c>
      <c r="H2197" s="112" t="str">
        <f ca="1"/>
        <v/>
      </c>
      <c r="I2197" s="112" t="str">
        <f ca="1"/>
        <v/>
      </c>
    </row>
    <row r="2198" spans="1:9" ht="13.2">
      <c r="A2198" s="109" t="str">
        <f ca="1">IFERROR(__xludf.DUMMYFUNCTION("""COMPUTED_VALUE"""),"VW")</f>
        <v>VW</v>
      </c>
      <c r="B2198" s="108" t="str">
        <f ca="1">IFERROR(__xludf.DUMMYFUNCTION("""COMPUTED_VALUE"""),"Jessica Fritsch")</f>
        <v>Jessica Fritsch</v>
      </c>
      <c r="C2198" s="109">
        <f ca="1">IFERROR(__xludf.DUMMYFUNCTION("""COMPUTED_VALUE"""),17)</f>
        <v>17</v>
      </c>
      <c r="D2198" s="109" t="str">
        <f ca="1">IFERROR(__xludf.DUMMYFUNCTION("""COMPUTED_VALUE"""),"G")</f>
        <v>G</v>
      </c>
      <c r="E2198" s="110" t="str">
        <f ca="1">IFERROR(__xludf.DUMMYFUNCTION("""COMPUTED_VALUE"""),"S")</f>
        <v>S</v>
      </c>
      <c r="F2198" s="114" t="str">
        <f ca="1">IFERROR(__xludf.DUMMYFUNCTION("""COMPUTED_VALUE"""),"S")</f>
        <v>S</v>
      </c>
      <c r="G2198" s="114">
        <f ca="1">IFERROR(__xludf.DUMMYFUNCTION("""COMPUTED_VALUE"""),1)</f>
        <v>1</v>
      </c>
      <c r="H2198" s="112" t="str">
        <f ca="1"/>
        <v/>
      </c>
      <c r="I2198" s="112" t="str">
        <f ca="1"/>
        <v/>
      </c>
    </row>
    <row r="2199" spans="1:9" ht="13.2">
      <c r="A2199" s="109" t="str">
        <f ca="1">IFERROR(__xludf.DUMMYFUNCTION("""COMPUTED_VALUE"""),"W")</f>
        <v>W</v>
      </c>
      <c r="B2199" s="108" t="str">
        <f ca="1">IFERROR(__xludf.DUMMYFUNCTION("""COMPUTED_VALUE"""),"Alex Lum")</f>
        <v>Alex Lum</v>
      </c>
      <c r="C2199" s="109">
        <f ca="1">IFERROR(__xludf.DUMMYFUNCTION("""COMPUTED_VALUE"""),10)</f>
        <v>10</v>
      </c>
      <c r="D2199" s="109" t="str">
        <f ca="1">IFERROR(__xludf.DUMMYFUNCTION("""COMPUTED_VALUE"""),"B")</f>
        <v>B</v>
      </c>
      <c r="E2199" s="110" t="str">
        <f ca="1">IFERROR(__xludf.DUMMYFUNCTION("""COMPUTED_VALUE"""),"F")</f>
        <v>F</v>
      </c>
      <c r="F2199" s="114" t="str">
        <f ca="1">IFERROR(__xludf.DUMMYFUNCTION("""COMPUTED_VALUE"""),"J")</f>
        <v>J</v>
      </c>
      <c r="G2199" s="114">
        <f ca="1">IFERROR(__xludf.DUMMYFUNCTION("""COMPUTED_VALUE"""),7)</f>
        <v>7</v>
      </c>
      <c r="H2199" s="112" t="str">
        <f ca="1"/>
        <v>42.95</v>
      </c>
      <c r="I2199" s="112">
        <f ca="1"/>
        <v>42.95</v>
      </c>
    </row>
    <row r="2200" spans="1:9" ht="13.2">
      <c r="A2200" s="109" t="str">
        <f ca="1">IFERROR(__xludf.DUMMYFUNCTION("""COMPUTED_VALUE"""),"W")</f>
        <v>W</v>
      </c>
      <c r="B2200" s="108" t="str">
        <f ca="1">IFERROR(__xludf.DUMMYFUNCTION("""COMPUTED_VALUE"""),"Benjamin Lum")</f>
        <v>Benjamin Lum</v>
      </c>
      <c r="C2200" s="109">
        <f ca="1">IFERROR(__xludf.DUMMYFUNCTION("""COMPUTED_VALUE"""),9)</f>
        <v>9</v>
      </c>
      <c r="D2200" s="109" t="str">
        <f ca="1">IFERROR(__xludf.DUMMYFUNCTION("""COMPUTED_VALUE"""),"B")</f>
        <v>B</v>
      </c>
      <c r="E2200" s="110" t="str">
        <f ca="1">IFERROR(__xludf.DUMMYFUNCTION("""COMPUTED_VALUE"""),"F")</f>
        <v>F</v>
      </c>
      <c r="F2200" s="114" t="str">
        <f ca="1">IFERROR(__xludf.DUMMYFUNCTION("""COMPUTED_VALUE"""),"J")</f>
        <v>J</v>
      </c>
      <c r="G2200" s="114">
        <f ca="1">IFERROR(__xludf.DUMMYFUNCTION("""COMPUTED_VALUE"""),7)</f>
        <v>7</v>
      </c>
      <c r="H2200" s="112" t="str">
        <f ca="1"/>
        <v>21.55</v>
      </c>
      <c r="I2200" s="112">
        <f ca="1"/>
        <v>21.55</v>
      </c>
    </row>
    <row r="2201" spans="1:9" ht="13.2">
      <c r="A2201" s="109" t="str">
        <f ca="1">IFERROR(__xludf.DUMMYFUNCTION("""COMPUTED_VALUE"""),"W")</f>
        <v>W</v>
      </c>
      <c r="B2201" s="108" t="str">
        <f ca="1">IFERROR(__xludf.DUMMYFUNCTION("""COMPUTED_VALUE"""),"Brandon Haase")</f>
        <v>Brandon Haase</v>
      </c>
      <c r="C2201" s="109">
        <f ca="1">IFERROR(__xludf.DUMMYFUNCTION("""COMPUTED_VALUE"""),10)</f>
        <v>10</v>
      </c>
      <c r="D2201" s="109" t="str">
        <f ca="1">IFERROR(__xludf.DUMMYFUNCTION("""COMPUTED_VALUE"""),"B")</f>
        <v>B</v>
      </c>
      <c r="E2201" s="110" t="str">
        <f ca="1">IFERROR(__xludf.DUMMYFUNCTION("""COMPUTED_VALUE"""),"F")</f>
        <v>F</v>
      </c>
      <c r="F2201" s="114" t="str">
        <f ca="1">IFERROR(__xludf.DUMMYFUNCTION("""COMPUTED_VALUE"""),"J")</f>
        <v>J</v>
      </c>
      <c r="G2201" s="114">
        <f ca="1">IFERROR(__xludf.DUMMYFUNCTION("""COMPUTED_VALUE"""),7)</f>
        <v>7</v>
      </c>
      <c r="H2201" s="112" t="str">
        <f ca="1"/>
        <v>18.55</v>
      </c>
      <c r="I2201" s="112">
        <f ca="1"/>
        <v>18.55</v>
      </c>
    </row>
    <row r="2202" spans="1:9" ht="13.2">
      <c r="A2202" s="109" t="str">
        <f ca="1">IFERROR(__xludf.DUMMYFUNCTION("""COMPUTED_VALUE"""),"W")</f>
        <v>W</v>
      </c>
      <c r="B2202" s="108" t="str">
        <f ca="1">IFERROR(__xludf.DUMMYFUNCTION("""COMPUTED_VALUE"""),"Joseph Thiede")</f>
        <v>Joseph Thiede</v>
      </c>
      <c r="C2202" s="109">
        <f ca="1">IFERROR(__xludf.DUMMYFUNCTION("""COMPUTED_VALUE"""),10)</f>
        <v>10</v>
      </c>
      <c r="D2202" s="109" t="str">
        <f ca="1">IFERROR(__xludf.DUMMYFUNCTION("""COMPUTED_VALUE"""),"B")</f>
        <v>B</v>
      </c>
      <c r="E2202" s="110" t="str">
        <f ca="1">IFERROR(__xludf.DUMMYFUNCTION("""COMPUTED_VALUE"""),"F")</f>
        <v>F</v>
      </c>
      <c r="F2202" s="114" t="str">
        <f ca="1">IFERROR(__xludf.DUMMYFUNCTION("""COMPUTED_VALUE"""),"J")</f>
        <v>J</v>
      </c>
      <c r="G2202" s="114">
        <f ca="1">IFERROR(__xludf.DUMMYFUNCTION("""COMPUTED_VALUE"""),7)</f>
        <v>7</v>
      </c>
      <c r="H2202" s="112" t="str">
        <f ca="1"/>
        <v/>
      </c>
      <c r="I2202" s="112" t="str">
        <f ca="1"/>
        <v/>
      </c>
    </row>
    <row r="2203" spans="1:9" ht="13.2">
      <c r="A2203" s="109" t="str">
        <f ca="1">IFERROR(__xludf.DUMMYFUNCTION("""COMPUTED_VALUE"""),"W")</f>
        <v>W</v>
      </c>
      <c r="B2203" s="108" t="str">
        <f ca="1">IFERROR(__xludf.DUMMYFUNCTION("""COMPUTED_VALUE"""),"Karmvir Sidhu")</f>
        <v>Karmvir Sidhu</v>
      </c>
      <c r="C2203" s="109">
        <f ca="1">IFERROR(__xludf.DUMMYFUNCTION("""COMPUTED_VALUE"""),7)</f>
        <v>7</v>
      </c>
      <c r="D2203" s="109" t="str">
        <f ca="1">IFERROR(__xludf.DUMMYFUNCTION("""COMPUTED_VALUE"""),"B")</f>
        <v>B</v>
      </c>
      <c r="E2203" s="110" t="str">
        <f ca="1">IFERROR(__xludf.DUMMYFUNCTION("""COMPUTED_VALUE"""),"F")</f>
        <v>F</v>
      </c>
      <c r="F2203" s="114" t="str">
        <f ca="1">IFERROR(__xludf.DUMMYFUNCTION("""COMPUTED_VALUE"""),"J")</f>
        <v>J</v>
      </c>
      <c r="G2203" s="114">
        <f ca="1">IFERROR(__xludf.DUMMYFUNCTION("""COMPUTED_VALUE"""),7)</f>
        <v>7</v>
      </c>
      <c r="H2203" s="112" t="str">
        <f ca="1"/>
        <v/>
      </c>
      <c r="I2203" s="112" t="str">
        <f ca="1"/>
        <v/>
      </c>
    </row>
    <row r="2204" spans="1:9" ht="13.2">
      <c r="A2204" s="109" t="str">
        <f ca="1">IFERROR(__xludf.DUMMYFUNCTION("""COMPUTED_VALUE"""),"W")</f>
        <v>W</v>
      </c>
      <c r="B2204" s="108" t="str">
        <f ca="1">IFERROR(__xludf.DUMMYFUNCTION("""COMPUTED_VALUE"""),"Max Mohaber")</f>
        <v>Max Mohaber</v>
      </c>
      <c r="C2204" s="109">
        <f ca="1">IFERROR(__xludf.DUMMYFUNCTION("""COMPUTED_VALUE"""),8)</f>
        <v>8</v>
      </c>
      <c r="D2204" s="109" t="str">
        <f ca="1">IFERROR(__xludf.DUMMYFUNCTION("""COMPUTED_VALUE"""),"B")</f>
        <v>B</v>
      </c>
      <c r="E2204" s="110" t="str">
        <f ca="1">IFERROR(__xludf.DUMMYFUNCTION("""COMPUTED_VALUE"""),"F")</f>
        <v>F</v>
      </c>
      <c r="F2204" s="114" t="str">
        <f ca="1">IFERROR(__xludf.DUMMYFUNCTION("""COMPUTED_VALUE"""),"J")</f>
        <v>J</v>
      </c>
      <c r="G2204" s="114">
        <f ca="1">IFERROR(__xludf.DUMMYFUNCTION("""COMPUTED_VALUE"""),7)</f>
        <v>7</v>
      </c>
      <c r="H2204" s="112" t="str">
        <f ca="1"/>
        <v>11.25</v>
      </c>
      <c r="I2204" s="112">
        <f ca="1"/>
        <v>11.25</v>
      </c>
    </row>
    <row r="2205" spans="1:9" ht="13.2">
      <c r="A2205" s="109" t="str">
        <f ca="1">IFERROR(__xludf.DUMMYFUNCTION("""COMPUTED_VALUE"""),"W")</f>
        <v>W</v>
      </c>
      <c r="B2205" s="108" t="str">
        <f ca="1">IFERROR(__xludf.DUMMYFUNCTION("""COMPUTED_VALUE"""),"Optimus Bigby")</f>
        <v>Optimus Bigby</v>
      </c>
      <c r="C2205" s="109">
        <f ca="1">IFERROR(__xludf.DUMMYFUNCTION("""COMPUTED_VALUE"""),10)</f>
        <v>10</v>
      </c>
      <c r="D2205" s="109" t="str">
        <f ca="1">IFERROR(__xludf.DUMMYFUNCTION("""COMPUTED_VALUE"""),"B")</f>
        <v>B</v>
      </c>
      <c r="E2205" s="110" t="str">
        <f ca="1">IFERROR(__xludf.DUMMYFUNCTION("""COMPUTED_VALUE"""),"F")</f>
        <v>F</v>
      </c>
      <c r="F2205" s="114" t="str">
        <f ca="1">IFERROR(__xludf.DUMMYFUNCTION("""COMPUTED_VALUE"""),"J")</f>
        <v>J</v>
      </c>
      <c r="G2205" s="114">
        <f ca="1">IFERROR(__xludf.DUMMYFUNCTION("""COMPUTED_VALUE"""),7)</f>
        <v>7</v>
      </c>
      <c r="H2205" s="112" t="str">
        <f ca="1"/>
        <v>46.75</v>
      </c>
      <c r="I2205" s="112">
        <f ca="1"/>
        <v>46.75</v>
      </c>
    </row>
    <row r="2206" spans="1:9" ht="13.2">
      <c r="A2206" s="109" t="str">
        <f ca="1">IFERROR(__xludf.DUMMYFUNCTION("""COMPUTED_VALUE"""),"W")</f>
        <v>W</v>
      </c>
      <c r="B2206" s="108" t="str">
        <f ca="1">IFERROR(__xludf.DUMMYFUNCTION("""COMPUTED_VALUE"""),"Paul Thiede")</f>
        <v>Paul Thiede</v>
      </c>
      <c r="C2206" s="109">
        <f ca="1">IFERROR(__xludf.DUMMYFUNCTION("""COMPUTED_VALUE"""),8)</f>
        <v>8</v>
      </c>
      <c r="D2206" s="109" t="str">
        <f ca="1">IFERROR(__xludf.DUMMYFUNCTION("""COMPUTED_VALUE"""),"B")</f>
        <v>B</v>
      </c>
      <c r="E2206" s="110" t="str">
        <f ca="1">IFERROR(__xludf.DUMMYFUNCTION("""COMPUTED_VALUE"""),"F")</f>
        <v>F</v>
      </c>
      <c r="F2206" s="114" t="str">
        <f ca="1">IFERROR(__xludf.DUMMYFUNCTION("""COMPUTED_VALUE"""),"J")</f>
        <v>J</v>
      </c>
      <c r="G2206" s="114">
        <f ca="1">IFERROR(__xludf.DUMMYFUNCTION("""COMPUTED_VALUE"""),7)</f>
        <v>7</v>
      </c>
      <c r="H2206" s="112" t="str">
        <f ca="1"/>
        <v/>
      </c>
      <c r="I2206" s="112" t="str">
        <f ca="1"/>
        <v/>
      </c>
    </row>
    <row r="2207" spans="1:9" ht="13.2">
      <c r="A2207" s="109" t="str">
        <f ca="1">IFERROR(__xludf.DUMMYFUNCTION("""COMPUTED_VALUE"""),"W")</f>
        <v>W</v>
      </c>
      <c r="B2207" s="108" t="str">
        <f ca="1">IFERROR(__xludf.DUMMYFUNCTION("""COMPUTED_VALUE"""),"Zachary Lum")</f>
        <v>Zachary Lum</v>
      </c>
      <c r="C2207" s="109">
        <f ca="1">IFERROR(__xludf.DUMMYFUNCTION("""COMPUTED_VALUE"""),7)</f>
        <v>7</v>
      </c>
      <c r="D2207" s="109" t="str">
        <f ca="1">IFERROR(__xludf.DUMMYFUNCTION("""COMPUTED_VALUE"""),"B")</f>
        <v>B</v>
      </c>
      <c r="E2207" s="110" t="str">
        <f ca="1">IFERROR(__xludf.DUMMYFUNCTION("""COMPUTED_VALUE"""),"F")</f>
        <v>F</v>
      </c>
      <c r="F2207" s="114" t="str">
        <f ca="1">IFERROR(__xludf.DUMMYFUNCTION("""COMPUTED_VALUE"""),"J")</f>
        <v>J</v>
      </c>
      <c r="G2207" s="114">
        <f ca="1">IFERROR(__xludf.DUMMYFUNCTION("""COMPUTED_VALUE"""),7)</f>
        <v>7</v>
      </c>
      <c r="H2207" s="112" t="str">
        <f ca="1"/>
        <v>24.4</v>
      </c>
      <c r="I2207" s="112">
        <f ca="1"/>
        <v>24.4</v>
      </c>
    </row>
    <row r="2208" spans="1:9" ht="13.2">
      <c r="A2208" s="109" t="str">
        <f ca="1">IFERROR(__xludf.DUMMYFUNCTION("""COMPUTED_VALUE"""),"W")</f>
        <v>W</v>
      </c>
      <c r="B2208" s="108" t="str">
        <f ca="1">IFERROR(__xludf.DUMMYFUNCTION("""COMPUTED_VALUE"""),"Avery LaBoy")</f>
        <v>Avery LaBoy</v>
      </c>
      <c r="C2208" s="109">
        <f ca="1">IFERROR(__xludf.DUMMYFUNCTION("""COMPUTED_VALUE"""),9)</f>
        <v>9</v>
      </c>
      <c r="D2208" s="109" t="str">
        <f ca="1">IFERROR(__xludf.DUMMYFUNCTION("""COMPUTED_VALUE"""),"G")</f>
        <v>G</v>
      </c>
      <c r="E2208" s="110" t="str">
        <f ca="1">IFERROR(__xludf.DUMMYFUNCTION("""COMPUTED_VALUE"""),"F")</f>
        <v>F</v>
      </c>
      <c r="F2208" s="114" t="str">
        <f ca="1">IFERROR(__xludf.DUMMYFUNCTION("""COMPUTED_VALUE"""),"J")</f>
        <v>J</v>
      </c>
      <c r="G2208" s="114">
        <f ca="1">IFERROR(__xludf.DUMMYFUNCTION("""COMPUTED_VALUE"""),7)</f>
        <v>7</v>
      </c>
      <c r="H2208" s="112" t="str">
        <f ca="1"/>
        <v/>
      </c>
      <c r="I2208" s="112" t="str">
        <f ca="1"/>
        <v/>
      </c>
    </row>
    <row r="2209" spans="1:9" ht="13.2">
      <c r="A2209" s="109" t="str">
        <f ca="1">IFERROR(__xludf.DUMMYFUNCTION("""COMPUTED_VALUE"""),"W")</f>
        <v>W</v>
      </c>
      <c r="B2209" s="108" t="str">
        <f ca="1">IFERROR(__xludf.DUMMYFUNCTION("""COMPUTED_VALUE"""),"Elin Temme")</f>
        <v>Elin Temme</v>
      </c>
      <c r="C2209" s="109">
        <f ca="1">IFERROR(__xludf.DUMMYFUNCTION("""COMPUTED_VALUE"""),10)</f>
        <v>10</v>
      </c>
      <c r="D2209" s="109" t="str">
        <f ca="1">IFERROR(__xludf.DUMMYFUNCTION("""COMPUTED_VALUE"""),"G")</f>
        <v>G</v>
      </c>
      <c r="E2209" s="110" t="str">
        <f ca="1">IFERROR(__xludf.DUMMYFUNCTION("""COMPUTED_VALUE"""),"F")</f>
        <v>F</v>
      </c>
      <c r="F2209" s="114" t="str">
        <f ca="1">IFERROR(__xludf.DUMMYFUNCTION("""COMPUTED_VALUE"""),"J")</f>
        <v>J</v>
      </c>
      <c r="G2209" s="114">
        <f ca="1">IFERROR(__xludf.DUMMYFUNCTION("""COMPUTED_VALUE"""),7)</f>
        <v>7</v>
      </c>
      <c r="H2209" s="112" t="str">
        <f ca="1"/>
        <v>74.3</v>
      </c>
      <c r="I2209" s="112">
        <f ca="1"/>
        <v>74.3</v>
      </c>
    </row>
    <row r="2210" spans="1:9" ht="13.2">
      <c r="A2210" s="109" t="str">
        <f ca="1">IFERROR(__xludf.DUMMYFUNCTION("""COMPUTED_VALUE"""),"W")</f>
        <v>W</v>
      </c>
      <c r="B2210" s="108" t="str">
        <f ca="1">IFERROR(__xludf.DUMMYFUNCTION("""COMPUTED_VALUE"""),"Eliza Pollack")</f>
        <v>Eliza Pollack</v>
      </c>
      <c r="C2210" s="109">
        <f ca="1">IFERROR(__xludf.DUMMYFUNCTION("""COMPUTED_VALUE"""),10)</f>
        <v>10</v>
      </c>
      <c r="D2210" s="109" t="str">
        <f ca="1">IFERROR(__xludf.DUMMYFUNCTION("""COMPUTED_VALUE"""),"G")</f>
        <v>G</v>
      </c>
      <c r="E2210" s="110" t="str">
        <f ca="1">IFERROR(__xludf.DUMMYFUNCTION("""COMPUTED_VALUE"""),"F")</f>
        <v>F</v>
      </c>
      <c r="F2210" s="114" t="str">
        <f ca="1">IFERROR(__xludf.DUMMYFUNCTION("""COMPUTED_VALUE"""),"J")</f>
        <v>J</v>
      </c>
      <c r="G2210" s="114">
        <f ca="1">IFERROR(__xludf.DUMMYFUNCTION("""COMPUTED_VALUE"""),7)</f>
        <v>7</v>
      </c>
      <c r="H2210" s="112" t="str">
        <f ca="1"/>
        <v/>
      </c>
      <c r="I2210" s="112" t="str">
        <f ca="1"/>
        <v/>
      </c>
    </row>
    <row r="2211" spans="1:9" ht="13.2">
      <c r="A2211" s="109" t="str">
        <f ca="1">IFERROR(__xludf.DUMMYFUNCTION("""COMPUTED_VALUE"""),"W")</f>
        <v>W</v>
      </c>
      <c r="B2211" s="108" t="str">
        <f ca="1">IFERROR(__xludf.DUMMYFUNCTION("""COMPUTED_VALUE"""),"Emerie Woods")</f>
        <v>Emerie Woods</v>
      </c>
      <c r="C2211" s="109">
        <f ca="1">IFERROR(__xludf.DUMMYFUNCTION("""COMPUTED_VALUE"""),7)</f>
        <v>7</v>
      </c>
      <c r="D2211" s="109" t="str">
        <f ca="1">IFERROR(__xludf.DUMMYFUNCTION("""COMPUTED_VALUE"""),"G")</f>
        <v>G</v>
      </c>
      <c r="E2211" s="110" t="str">
        <f ca="1">IFERROR(__xludf.DUMMYFUNCTION("""COMPUTED_VALUE"""),"F")</f>
        <v>F</v>
      </c>
      <c r="F2211" s="114" t="str">
        <f ca="1">IFERROR(__xludf.DUMMYFUNCTION("""COMPUTED_VALUE"""),"J")</f>
        <v>J</v>
      </c>
      <c r="G2211" s="114">
        <f ca="1">IFERROR(__xludf.DUMMYFUNCTION("""COMPUTED_VALUE"""),7)</f>
        <v>7</v>
      </c>
      <c r="H2211" s="112" t="str">
        <f ca="1"/>
        <v>27.2</v>
      </c>
      <c r="I2211" s="112">
        <f ca="1"/>
        <v>27.2</v>
      </c>
    </row>
    <row r="2212" spans="1:9" ht="13.2">
      <c r="A2212" s="109" t="str">
        <f ca="1">IFERROR(__xludf.DUMMYFUNCTION("""COMPUTED_VALUE"""),"W")</f>
        <v>W</v>
      </c>
      <c r="B2212" s="108" t="str">
        <f ca="1">IFERROR(__xludf.DUMMYFUNCTION("""COMPUTED_VALUE"""),"Evana Kailey")</f>
        <v>Evana Kailey</v>
      </c>
      <c r="C2212" s="109">
        <f ca="1">IFERROR(__xludf.DUMMYFUNCTION("""COMPUTED_VALUE"""),9)</f>
        <v>9</v>
      </c>
      <c r="D2212" s="109" t="str">
        <f ca="1">IFERROR(__xludf.DUMMYFUNCTION("""COMPUTED_VALUE"""),"G")</f>
        <v>G</v>
      </c>
      <c r="E2212" s="110" t="str">
        <f ca="1">IFERROR(__xludf.DUMMYFUNCTION("""COMPUTED_VALUE"""),"F")</f>
        <v>F</v>
      </c>
      <c r="F2212" s="114" t="str">
        <f ca="1">IFERROR(__xludf.DUMMYFUNCTION("""COMPUTED_VALUE"""),"J")</f>
        <v>J</v>
      </c>
      <c r="G2212" s="114">
        <f ca="1">IFERROR(__xludf.DUMMYFUNCTION("""COMPUTED_VALUE"""),7)</f>
        <v>7</v>
      </c>
      <c r="H2212" s="112" t="str">
        <f ca="1"/>
        <v>13.25</v>
      </c>
      <c r="I2212" s="112">
        <f ca="1"/>
        <v>13.25</v>
      </c>
    </row>
    <row r="2213" spans="1:9" ht="13.2">
      <c r="A2213" s="109" t="str">
        <f ca="1">IFERROR(__xludf.DUMMYFUNCTION("""COMPUTED_VALUE"""),"W")</f>
        <v>W</v>
      </c>
      <c r="B2213" s="108" t="str">
        <f ca="1">IFERROR(__xludf.DUMMYFUNCTION("""COMPUTED_VALUE"""),"Lola Beltran")</f>
        <v>Lola Beltran</v>
      </c>
      <c r="C2213" s="109">
        <f ca="1">IFERROR(__xludf.DUMMYFUNCTION("""COMPUTED_VALUE"""),5)</f>
        <v>5</v>
      </c>
      <c r="D2213" s="109" t="str">
        <f ca="1">IFERROR(__xludf.DUMMYFUNCTION("""COMPUTED_VALUE"""),"G")</f>
        <v>G</v>
      </c>
      <c r="E2213" s="110" t="str">
        <f ca="1">IFERROR(__xludf.DUMMYFUNCTION("""COMPUTED_VALUE"""),"F")</f>
        <v>F</v>
      </c>
      <c r="F2213" s="114" t="str">
        <f ca="1">IFERROR(__xludf.DUMMYFUNCTION("""COMPUTED_VALUE"""),"J")</f>
        <v>J</v>
      </c>
      <c r="G2213" s="114">
        <f ca="1">IFERROR(__xludf.DUMMYFUNCTION("""COMPUTED_VALUE"""),7)</f>
        <v>7</v>
      </c>
      <c r="H2213" s="112" t="str">
        <f ca="1"/>
        <v/>
      </c>
      <c r="I2213" s="112" t="str">
        <f ca="1"/>
        <v/>
      </c>
    </row>
    <row r="2214" spans="1:9" ht="13.2">
      <c r="A2214" s="109" t="str">
        <f ca="1">IFERROR(__xludf.DUMMYFUNCTION("""COMPUTED_VALUE"""),"W")</f>
        <v>W</v>
      </c>
      <c r="B2214" s="108" t="str">
        <f ca="1">IFERROR(__xludf.DUMMYFUNCTION("""COMPUTED_VALUE"""),"Miriam Stavlund")</f>
        <v>Miriam Stavlund</v>
      </c>
      <c r="C2214" s="109">
        <f ca="1">IFERROR(__xludf.DUMMYFUNCTION("""COMPUTED_VALUE"""),10)</f>
        <v>10</v>
      </c>
      <c r="D2214" s="109" t="str">
        <f ca="1">IFERROR(__xludf.DUMMYFUNCTION("""COMPUTED_VALUE"""),"G")</f>
        <v>G</v>
      </c>
      <c r="E2214" s="110" t="str">
        <f ca="1">IFERROR(__xludf.DUMMYFUNCTION("""COMPUTED_VALUE"""),"F")</f>
        <v>F</v>
      </c>
      <c r="F2214" s="114" t="str">
        <f ca="1">IFERROR(__xludf.DUMMYFUNCTION("""COMPUTED_VALUE"""),"J")</f>
        <v>J</v>
      </c>
      <c r="G2214" s="114">
        <f ca="1">IFERROR(__xludf.DUMMYFUNCTION("""COMPUTED_VALUE"""),7)</f>
        <v>7</v>
      </c>
      <c r="H2214" s="112" t="str">
        <f ca="1"/>
        <v>22</v>
      </c>
      <c r="I2214" s="112">
        <f ca="1"/>
        <v>22</v>
      </c>
    </row>
    <row r="2215" spans="1:9" ht="13.2">
      <c r="A2215" s="109" t="str">
        <f ca="1">IFERROR(__xludf.DUMMYFUNCTION("""COMPUTED_VALUE"""),"W")</f>
        <v>W</v>
      </c>
      <c r="B2215" s="108" t="str">
        <f ca="1">IFERROR(__xludf.DUMMYFUNCTION("""COMPUTED_VALUE"""),"Rylan Woods")</f>
        <v>Rylan Woods</v>
      </c>
      <c r="C2215" s="109">
        <f ca="1">IFERROR(__xludf.DUMMYFUNCTION("""COMPUTED_VALUE"""),10)</f>
        <v>10</v>
      </c>
      <c r="D2215" s="109" t="str">
        <f ca="1">IFERROR(__xludf.DUMMYFUNCTION("""COMPUTED_VALUE"""),"G")</f>
        <v>G</v>
      </c>
      <c r="E2215" s="110" t="str">
        <f ca="1">IFERROR(__xludf.DUMMYFUNCTION("""COMPUTED_VALUE"""),"F")</f>
        <v>F</v>
      </c>
      <c r="F2215" s="114" t="str">
        <f ca="1">IFERROR(__xludf.DUMMYFUNCTION("""COMPUTED_VALUE"""),"J")</f>
        <v>J</v>
      </c>
      <c r="G2215" s="114">
        <f ca="1">IFERROR(__xludf.DUMMYFUNCTION("""COMPUTED_VALUE"""),7)</f>
        <v>7</v>
      </c>
      <c r="H2215" s="112" t="str">
        <f ca="1"/>
        <v>55.85</v>
      </c>
      <c r="I2215" s="112">
        <f ca="1"/>
        <v>55.85</v>
      </c>
    </row>
    <row r="2216" spans="1:9" ht="13.2">
      <c r="A2216" s="109" t="str">
        <f ca="1">IFERROR(__xludf.DUMMYFUNCTION("""COMPUTED_VALUE"""),"W")</f>
        <v>W</v>
      </c>
      <c r="B2216" s="108" t="str">
        <f ca="1">IFERROR(__xludf.DUMMYFUNCTION("""COMPUTED_VALUE"""),"Sally Horne")</f>
        <v>Sally Horne</v>
      </c>
      <c r="C2216" s="109">
        <f ca="1">IFERROR(__xludf.DUMMYFUNCTION("""COMPUTED_VALUE"""),9)</f>
        <v>9</v>
      </c>
      <c r="D2216" s="109" t="str">
        <f ca="1">IFERROR(__xludf.DUMMYFUNCTION("""COMPUTED_VALUE"""),"G")</f>
        <v>G</v>
      </c>
      <c r="E2216" s="110" t="str">
        <f ca="1">IFERROR(__xludf.DUMMYFUNCTION("""COMPUTED_VALUE"""),"F")</f>
        <v>F</v>
      </c>
      <c r="F2216" s="114" t="str">
        <f ca="1">IFERROR(__xludf.DUMMYFUNCTION("""COMPUTED_VALUE"""),"J")</f>
        <v>J</v>
      </c>
      <c r="G2216" s="114">
        <f ca="1">IFERROR(__xludf.DUMMYFUNCTION("""COMPUTED_VALUE"""),7)</f>
        <v>7</v>
      </c>
      <c r="H2216" s="112" t="str">
        <f ca="1"/>
        <v/>
      </c>
      <c r="I2216" s="112" t="str">
        <f ca="1"/>
        <v/>
      </c>
    </row>
    <row r="2217" spans="1:9" ht="13.2">
      <c r="A2217" s="109" t="str">
        <f ca="1">IFERROR(__xludf.DUMMYFUNCTION("""COMPUTED_VALUE"""),"W")</f>
        <v>W</v>
      </c>
      <c r="B2217" s="108" t="str">
        <f ca="1">IFERROR(__xludf.DUMMYFUNCTION("""COMPUTED_VALUE"""),"Tennley Jackson")</f>
        <v>Tennley Jackson</v>
      </c>
      <c r="C2217" s="109">
        <f ca="1">IFERROR(__xludf.DUMMYFUNCTION("""COMPUTED_VALUE"""),10)</f>
        <v>10</v>
      </c>
      <c r="D2217" s="109" t="str">
        <f ca="1">IFERROR(__xludf.DUMMYFUNCTION("""COMPUTED_VALUE"""),"G")</f>
        <v>G</v>
      </c>
      <c r="E2217" s="110" t="str">
        <f ca="1">IFERROR(__xludf.DUMMYFUNCTION("""COMPUTED_VALUE"""),"F")</f>
        <v>F</v>
      </c>
      <c r="F2217" s="114" t="str">
        <f ca="1">IFERROR(__xludf.DUMMYFUNCTION("""COMPUTED_VALUE"""),"J")</f>
        <v>J</v>
      </c>
      <c r="G2217" s="114">
        <f ca="1">IFERROR(__xludf.DUMMYFUNCTION("""COMPUTED_VALUE"""),7)</f>
        <v>7</v>
      </c>
      <c r="H2217" s="112" t="str">
        <f ca="1"/>
        <v>29.85</v>
      </c>
      <c r="I2217" s="112">
        <f ca="1"/>
        <v>29.85</v>
      </c>
    </row>
    <row r="2218" spans="1:9" ht="13.2">
      <c r="A2218" s="109" t="str">
        <f ca="1">IFERROR(__xludf.DUMMYFUNCTION("""COMPUTED_VALUE"""),"W")</f>
        <v>W</v>
      </c>
      <c r="B2218" s="108" t="str">
        <f ca="1">IFERROR(__xludf.DUMMYFUNCTION("""COMPUTED_VALUE"""),"Vivian Fernandez")</f>
        <v>Vivian Fernandez</v>
      </c>
      <c r="C2218" s="109">
        <f ca="1">IFERROR(__xludf.DUMMYFUNCTION("""COMPUTED_VALUE"""),10)</f>
        <v>10</v>
      </c>
      <c r="D2218" s="109" t="str">
        <f ca="1">IFERROR(__xludf.DUMMYFUNCTION("""COMPUTED_VALUE"""),"G")</f>
        <v>G</v>
      </c>
      <c r="E2218" s="110" t="str">
        <f ca="1">IFERROR(__xludf.DUMMYFUNCTION("""COMPUTED_VALUE"""),"F")</f>
        <v>F</v>
      </c>
      <c r="F2218" s="114" t="str">
        <f ca="1">IFERROR(__xludf.DUMMYFUNCTION("""COMPUTED_VALUE"""),"J")</f>
        <v>J</v>
      </c>
      <c r="G2218" s="114">
        <f ca="1">IFERROR(__xludf.DUMMYFUNCTION("""COMPUTED_VALUE"""),7)</f>
        <v>7</v>
      </c>
      <c r="H2218" s="112" t="str">
        <f ca="1"/>
        <v/>
      </c>
      <c r="I2218" s="112" t="str">
        <f ca="1"/>
        <v/>
      </c>
    </row>
    <row r="2219" spans="1:9" ht="13.2">
      <c r="A2219" s="109" t="str">
        <f ca="1">IFERROR(__xludf.DUMMYFUNCTION("""COMPUTED_VALUE"""),"W")</f>
        <v>W</v>
      </c>
      <c r="B2219" s="108" t="str">
        <f ca="1">IFERROR(__xludf.DUMMYFUNCTION("""COMPUTED_VALUE"""),"Caleb Hoover")</f>
        <v>Caleb Hoover</v>
      </c>
      <c r="C2219" s="109">
        <f ca="1">IFERROR(__xludf.DUMMYFUNCTION("""COMPUTED_VALUE"""),13)</f>
        <v>13</v>
      </c>
      <c r="D2219" s="109" t="str">
        <f ca="1">IFERROR(__xludf.DUMMYFUNCTION("""COMPUTED_VALUE"""),"B")</f>
        <v>B</v>
      </c>
      <c r="E2219" s="110" t="str">
        <f ca="1">IFERROR(__xludf.DUMMYFUNCTION("""COMPUTED_VALUE"""),"I")</f>
        <v>I</v>
      </c>
      <c r="F2219" s="114" t="str">
        <f ca="1">IFERROR(__xludf.DUMMYFUNCTION("""COMPUTED_VALUE"""),"S")</f>
        <v>S</v>
      </c>
      <c r="G2219" s="114">
        <f ca="1">IFERROR(__xludf.DUMMYFUNCTION("""COMPUTED_VALUE"""),7)</f>
        <v>7</v>
      </c>
      <c r="H2219" s="112" t="str">
        <f ca="1"/>
        <v/>
      </c>
      <c r="I2219" s="112" t="str">
        <f ca="1"/>
        <v/>
      </c>
    </row>
    <row r="2220" spans="1:9" ht="13.2">
      <c r="A2220" s="109" t="str">
        <f ca="1">IFERROR(__xludf.DUMMYFUNCTION("""COMPUTED_VALUE"""),"W")</f>
        <v>W</v>
      </c>
      <c r="B2220" s="108" t="str">
        <f ca="1">IFERROR(__xludf.DUMMYFUNCTION("""COMPUTED_VALUE"""),"Colt Armstrong")</f>
        <v>Colt Armstrong</v>
      </c>
      <c r="C2220" s="109">
        <f ca="1">IFERROR(__xludf.DUMMYFUNCTION("""COMPUTED_VALUE"""),13)</f>
        <v>13</v>
      </c>
      <c r="D2220" s="109" t="str">
        <f ca="1">IFERROR(__xludf.DUMMYFUNCTION("""COMPUTED_VALUE"""),"B")</f>
        <v>B</v>
      </c>
      <c r="E2220" s="110" t="str">
        <f ca="1">IFERROR(__xludf.DUMMYFUNCTION("""COMPUTED_VALUE"""),"I")</f>
        <v>I</v>
      </c>
      <c r="F2220" s="114" t="str">
        <f ca="1">IFERROR(__xludf.DUMMYFUNCTION("""COMPUTED_VALUE"""),"S")</f>
        <v>S</v>
      </c>
      <c r="G2220" s="114">
        <f ca="1">IFERROR(__xludf.DUMMYFUNCTION("""COMPUTED_VALUE"""),7)</f>
        <v>7</v>
      </c>
      <c r="H2220" s="112" t="str">
        <f ca="1"/>
        <v>24.2</v>
      </c>
      <c r="I2220" s="112">
        <f ca="1"/>
        <v>24.2</v>
      </c>
    </row>
    <row r="2221" spans="1:9" ht="13.2">
      <c r="A2221" s="109" t="str">
        <f ca="1">IFERROR(__xludf.DUMMYFUNCTION("""COMPUTED_VALUE"""),"W")</f>
        <v>W</v>
      </c>
      <c r="B2221" s="108" t="str">
        <f ca="1">IFERROR(__xludf.DUMMYFUNCTION("""COMPUTED_VALUE"""),"Jacob Stickelmaier")</f>
        <v>Jacob Stickelmaier</v>
      </c>
      <c r="C2221" s="109">
        <f ca="1">IFERROR(__xludf.DUMMYFUNCTION("""COMPUTED_VALUE"""),13)</f>
        <v>13</v>
      </c>
      <c r="D2221" s="109" t="str">
        <f ca="1">IFERROR(__xludf.DUMMYFUNCTION("""COMPUTED_VALUE"""),"B")</f>
        <v>B</v>
      </c>
      <c r="E2221" s="110" t="str">
        <f ca="1">IFERROR(__xludf.DUMMYFUNCTION("""COMPUTED_VALUE"""),"I")</f>
        <v>I</v>
      </c>
      <c r="F2221" s="114" t="str">
        <f ca="1">IFERROR(__xludf.DUMMYFUNCTION("""COMPUTED_VALUE"""),"S")</f>
        <v>S</v>
      </c>
      <c r="G2221" s="114">
        <f ca="1">IFERROR(__xludf.DUMMYFUNCTION("""COMPUTED_VALUE"""),7)</f>
        <v>7</v>
      </c>
      <c r="H2221" s="112" t="str">
        <f ca="1"/>
        <v/>
      </c>
      <c r="I2221" s="112" t="str">
        <f ca="1"/>
        <v/>
      </c>
    </row>
    <row r="2222" spans="1:9" ht="13.2">
      <c r="A2222" s="109" t="str">
        <f ca="1">IFERROR(__xludf.DUMMYFUNCTION("""COMPUTED_VALUE"""),"W")</f>
        <v>W</v>
      </c>
      <c r="B2222" s="108" t="str">
        <f ca="1">IFERROR(__xludf.DUMMYFUNCTION("""COMPUTED_VALUE"""),"James Horne")</f>
        <v>James Horne</v>
      </c>
      <c r="C2222" s="109">
        <f ca="1">IFERROR(__xludf.DUMMYFUNCTION("""COMPUTED_VALUE"""),13)</f>
        <v>13</v>
      </c>
      <c r="D2222" s="109" t="str">
        <f ca="1">IFERROR(__xludf.DUMMYFUNCTION("""COMPUTED_VALUE"""),"B")</f>
        <v>B</v>
      </c>
      <c r="E2222" s="110" t="str">
        <f ca="1">IFERROR(__xludf.DUMMYFUNCTION("""COMPUTED_VALUE"""),"I")</f>
        <v>I</v>
      </c>
      <c r="F2222" s="114" t="str">
        <f ca="1">IFERROR(__xludf.DUMMYFUNCTION("""COMPUTED_VALUE"""),"S")</f>
        <v>S</v>
      </c>
      <c r="G2222" s="114">
        <f ca="1">IFERROR(__xludf.DUMMYFUNCTION("""COMPUTED_VALUE"""),7)</f>
        <v>7</v>
      </c>
      <c r="H2222" s="112" t="str">
        <f ca="1"/>
        <v/>
      </c>
      <c r="I2222" s="112" t="str">
        <f ca="1"/>
        <v/>
      </c>
    </row>
    <row r="2223" spans="1:9" ht="13.2">
      <c r="A2223" s="109" t="str">
        <f ca="1">IFERROR(__xludf.DUMMYFUNCTION("""COMPUTED_VALUE"""),"W")</f>
        <v>W</v>
      </c>
      <c r="B2223" s="108" t="str">
        <f ca="1">IFERROR(__xludf.DUMMYFUNCTION("""COMPUTED_VALUE"""),"Elizabeth Bell")</f>
        <v>Elizabeth Bell</v>
      </c>
      <c r="C2223" s="109">
        <f ca="1">IFERROR(__xludf.DUMMYFUNCTION("""COMPUTED_VALUE"""),14)</f>
        <v>14</v>
      </c>
      <c r="D2223" s="109" t="str">
        <f ca="1">IFERROR(__xludf.DUMMYFUNCTION("""COMPUTED_VALUE"""),"G")</f>
        <v>G</v>
      </c>
      <c r="E2223" s="110" t="str">
        <f ca="1">IFERROR(__xludf.DUMMYFUNCTION("""COMPUTED_VALUE"""),"I")</f>
        <v>I</v>
      </c>
      <c r="F2223" s="114" t="str">
        <f ca="1">IFERROR(__xludf.DUMMYFUNCTION("""COMPUTED_VALUE"""),"S")</f>
        <v>S</v>
      </c>
      <c r="G2223" s="114">
        <f ca="1">IFERROR(__xludf.DUMMYFUNCTION("""COMPUTED_VALUE"""),7)</f>
        <v>7</v>
      </c>
      <c r="H2223" s="112" t="str">
        <f ca="1"/>
        <v/>
      </c>
      <c r="I2223" s="112" t="str">
        <f ca="1"/>
        <v/>
      </c>
    </row>
    <row r="2224" spans="1:9" ht="13.2">
      <c r="A2224" s="109" t="str">
        <f ca="1">IFERROR(__xludf.DUMMYFUNCTION("""COMPUTED_VALUE"""),"W")</f>
        <v>W</v>
      </c>
      <c r="B2224" s="108" t="str">
        <f ca="1">IFERROR(__xludf.DUMMYFUNCTION("""COMPUTED_VALUE"""),"Gianna Thiede")</f>
        <v>Gianna Thiede</v>
      </c>
      <c r="C2224" s="109">
        <f ca="1">IFERROR(__xludf.DUMMYFUNCTION("""COMPUTED_VALUE"""),13)</f>
        <v>13</v>
      </c>
      <c r="D2224" s="109" t="str">
        <f ca="1">IFERROR(__xludf.DUMMYFUNCTION("""COMPUTED_VALUE"""),"G")</f>
        <v>G</v>
      </c>
      <c r="E2224" s="110" t="str">
        <f ca="1">IFERROR(__xludf.DUMMYFUNCTION("""COMPUTED_VALUE"""),"I")</f>
        <v>I</v>
      </c>
      <c r="F2224" s="114" t="str">
        <f ca="1">IFERROR(__xludf.DUMMYFUNCTION("""COMPUTED_VALUE"""),"S")</f>
        <v>S</v>
      </c>
      <c r="G2224" s="114">
        <f ca="1">IFERROR(__xludf.DUMMYFUNCTION("""COMPUTED_VALUE"""),7)</f>
        <v>7</v>
      </c>
      <c r="H2224" s="112" t="str">
        <f ca="1"/>
        <v/>
      </c>
      <c r="I2224" s="112" t="str">
        <f ca="1"/>
        <v/>
      </c>
    </row>
    <row r="2225" spans="1:9" ht="13.2">
      <c r="A2225" s="109" t="str">
        <f ca="1">IFERROR(__xludf.DUMMYFUNCTION("""COMPUTED_VALUE"""),"W")</f>
        <v>W</v>
      </c>
      <c r="B2225" s="108" t="str">
        <f ca="1">IFERROR(__xludf.DUMMYFUNCTION("""COMPUTED_VALUE"""),"Helena Horne")</f>
        <v>Helena Horne</v>
      </c>
      <c r="C2225" s="109">
        <f ca="1">IFERROR(__xludf.DUMMYFUNCTION("""COMPUTED_VALUE"""),13)</f>
        <v>13</v>
      </c>
      <c r="D2225" s="109" t="str">
        <f ca="1">IFERROR(__xludf.DUMMYFUNCTION("""COMPUTED_VALUE"""),"G")</f>
        <v>G</v>
      </c>
      <c r="E2225" s="110" t="str">
        <f ca="1">IFERROR(__xludf.DUMMYFUNCTION("""COMPUTED_VALUE"""),"I")</f>
        <v>I</v>
      </c>
      <c r="F2225" s="114" t="str">
        <f ca="1">IFERROR(__xludf.DUMMYFUNCTION("""COMPUTED_VALUE"""),"S")</f>
        <v>S</v>
      </c>
      <c r="G2225" s="114">
        <f ca="1">IFERROR(__xludf.DUMMYFUNCTION("""COMPUTED_VALUE"""),7)</f>
        <v>7</v>
      </c>
      <c r="H2225" s="112" t="str">
        <f ca="1"/>
        <v/>
      </c>
      <c r="I2225" s="112" t="str">
        <f ca="1"/>
        <v/>
      </c>
    </row>
    <row r="2226" spans="1:9" ht="13.2">
      <c r="A2226" s="109" t="str">
        <f ca="1">IFERROR(__xludf.DUMMYFUNCTION("""COMPUTED_VALUE"""),"W")</f>
        <v>W</v>
      </c>
      <c r="B2226" s="108" t="str">
        <f ca="1">IFERROR(__xludf.DUMMYFUNCTION("""COMPUTED_VALUE"""),"Scarlet Temme")</f>
        <v>Scarlet Temme</v>
      </c>
      <c r="C2226" s="109">
        <f ca="1">IFERROR(__xludf.DUMMYFUNCTION("""COMPUTED_VALUE"""),13)</f>
        <v>13</v>
      </c>
      <c r="D2226" s="109" t="str">
        <f ca="1">IFERROR(__xludf.DUMMYFUNCTION("""COMPUTED_VALUE"""),"G")</f>
        <v>G</v>
      </c>
      <c r="E2226" s="110" t="str">
        <f ca="1">IFERROR(__xludf.DUMMYFUNCTION("""COMPUTED_VALUE"""),"I")</f>
        <v>I</v>
      </c>
      <c r="F2226" s="114" t="str">
        <f ca="1">IFERROR(__xludf.DUMMYFUNCTION("""COMPUTED_VALUE"""),"S")</f>
        <v>S</v>
      </c>
      <c r="G2226" s="114">
        <f ca="1">IFERROR(__xludf.DUMMYFUNCTION("""COMPUTED_VALUE"""),7)</f>
        <v>7</v>
      </c>
      <c r="H2226" s="112" t="str">
        <f ca="1"/>
        <v/>
      </c>
      <c r="I2226" s="112" t="str">
        <f ca="1"/>
        <v/>
      </c>
    </row>
    <row r="2227" spans="1:9" ht="13.2">
      <c r="A2227" s="109" t="str">
        <f ca="1">IFERROR(__xludf.DUMMYFUNCTION("""COMPUTED_VALUE"""),"W")</f>
        <v>W</v>
      </c>
      <c r="B2227" s="108" t="str">
        <f ca="1">IFERROR(__xludf.DUMMYFUNCTION("""COMPUTED_VALUE"""),"Tatum Kline")</f>
        <v>Tatum Kline</v>
      </c>
      <c r="C2227" s="109">
        <f ca="1">IFERROR(__xludf.DUMMYFUNCTION("""COMPUTED_VALUE"""),14)</f>
        <v>14</v>
      </c>
      <c r="D2227" s="109" t="str">
        <f ca="1">IFERROR(__xludf.DUMMYFUNCTION("""COMPUTED_VALUE"""),"G")</f>
        <v>G</v>
      </c>
      <c r="E2227" s="110" t="str">
        <f ca="1">IFERROR(__xludf.DUMMYFUNCTION("""COMPUTED_VALUE"""),"I")</f>
        <v>I</v>
      </c>
      <c r="F2227" s="114" t="str">
        <f ca="1">IFERROR(__xludf.DUMMYFUNCTION("""COMPUTED_VALUE"""),"S")</f>
        <v>S</v>
      </c>
      <c r="G2227" s="114">
        <f ca="1">IFERROR(__xludf.DUMMYFUNCTION("""COMPUTED_VALUE"""),7)</f>
        <v>7</v>
      </c>
      <c r="H2227" s="112" t="str">
        <f ca="1"/>
        <v/>
      </c>
      <c r="I2227" s="112" t="str">
        <f ca="1"/>
        <v/>
      </c>
    </row>
    <row r="2228" spans="1:9" ht="13.2">
      <c r="A2228" s="109" t="str">
        <f ca="1">IFERROR(__xludf.DUMMYFUNCTION("""COMPUTED_VALUE"""),"W")</f>
        <v>W</v>
      </c>
      <c r="B2228" s="108" t="str">
        <f ca="1">IFERROR(__xludf.DUMMYFUNCTION("""COMPUTED_VALUE"""),"Benjamin Pollack")</f>
        <v>Benjamin Pollack</v>
      </c>
      <c r="C2228" s="109">
        <f ca="1">IFERROR(__xludf.DUMMYFUNCTION("""COMPUTED_VALUE"""),11)</f>
        <v>11</v>
      </c>
      <c r="D2228" s="109" t="str">
        <f ca="1">IFERROR(__xludf.DUMMYFUNCTION("""COMPUTED_VALUE"""),"B")</f>
        <v>B</v>
      </c>
      <c r="E2228" s="110" t="str">
        <f ca="1">IFERROR(__xludf.DUMMYFUNCTION("""COMPUTED_VALUE"""),"J")</f>
        <v>J</v>
      </c>
      <c r="F2228" s="114" t="str">
        <f ca="1">IFERROR(__xludf.DUMMYFUNCTION("""COMPUTED_VALUE"""),"I")</f>
        <v>I</v>
      </c>
      <c r="G2228" s="114">
        <f ca="1">IFERROR(__xludf.DUMMYFUNCTION("""COMPUTED_VALUE"""),7)</f>
        <v>7</v>
      </c>
      <c r="H2228" s="112" t="str">
        <f ca="1"/>
        <v/>
      </c>
      <c r="I2228" s="112" t="str">
        <f ca="1"/>
        <v/>
      </c>
    </row>
    <row r="2229" spans="1:9" ht="13.2">
      <c r="A2229" s="109" t="str">
        <f ca="1">IFERROR(__xludf.DUMMYFUNCTION("""COMPUTED_VALUE"""),"W")</f>
        <v>W</v>
      </c>
      <c r="B2229" s="108" t="str">
        <f ca="1">IFERROR(__xludf.DUMMYFUNCTION("""COMPUTED_VALUE"""),"John Horne")</f>
        <v>John Horne</v>
      </c>
      <c r="C2229" s="109">
        <f ca="1">IFERROR(__xludf.DUMMYFUNCTION("""COMPUTED_VALUE"""),12)</f>
        <v>12</v>
      </c>
      <c r="D2229" s="109" t="str">
        <f ca="1">IFERROR(__xludf.DUMMYFUNCTION("""COMPUTED_VALUE"""),"B")</f>
        <v>B</v>
      </c>
      <c r="E2229" s="110" t="str">
        <f ca="1">IFERROR(__xludf.DUMMYFUNCTION("""COMPUTED_VALUE"""),"J")</f>
        <v>J</v>
      </c>
      <c r="F2229" s="114" t="str">
        <f ca="1">IFERROR(__xludf.DUMMYFUNCTION("""COMPUTED_VALUE"""),"I")</f>
        <v>I</v>
      </c>
      <c r="G2229" s="114">
        <f ca="1">IFERROR(__xludf.DUMMYFUNCTION("""COMPUTED_VALUE"""),7)</f>
        <v>7</v>
      </c>
      <c r="H2229" s="112" t="str">
        <f ca="1"/>
        <v/>
      </c>
      <c r="I2229" s="112" t="str">
        <f ca="1"/>
        <v/>
      </c>
    </row>
    <row r="2230" spans="1:9" ht="13.2">
      <c r="A2230" s="109" t="str">
        <f ca="1">IFERROR(__xludf.DUMMYFUNCTION("""COMPUTED_VALUE"""),"W")</f>
        <v>W</v>
      </c>
      <c r="B2230" s="108" t="str">
        <f ca="1">IFERROR(__xludf.DUMMYFUNCTION("""COMPUTED_VALUE"""),"Zachary Napoli")</f>
        <v>Zachary Napoli</v>
      </c>
      <c r="C2230" s="109">
        <f ca="1">IFERROR(__xludf.DUMMYFUNCTION("""COMPUTED_VALUE"""),11)</f>
        <v>11</v>
      </c>
      <c r="D2230" s="109" t="str">
        <f ca="1">IFERROR(__xludf.DUMMYFUNCTION("""COMPUTED_VALUE"""),"B")</f>
        <v>B</v>
      </c>
      <c r="E2230" s="110" t="str">
        <f ca="1">IFERROR(__xludf.DUMMYFUNCTION("""COMPUTED_VALUE"""),"J")</f>
        <v>J</v>
      </c>
      <c r="F2230" s="114" t="str">
        <f ca="1">IFERROR(__xludf.DUMMYFUNCTION("""COMPUTED_VALUE"""),"I")</f>
        <v>I</v>
      </c>
      <c r="G2230" s="114">
        <f ca="1">IFERROR(__xludf.DUMMYFUNCTION("""COMPUTED_VALUE"""),7)</f>
        <v>7</v>
      </c>
      <c r="H2230" s="112" t="str">
        <f ca="1"/>
        <v/>
      </c>
      <c r="I2230" s="112" t="str">
        <f ca="1"/>
        <v/>
      </c>
    </row>
    <row r="2231" spans="1:9" ht="13.2">
      <c r="A2231" s="109" t="str">
        <f ca="1">IFERROR(__xludf.DUMMYFUNCTION("""COMPUTED_VALUE"""),"W")</f>
        <v>W</v>
      </c>
      <c r="B2231" s="108" t="str">
        <f ca="1">IFERROR(__xludf.DUMMYFUNCTION("""COMPUTED_VALUE"""),"Anna Lucia Stavlund")</f>
        <v>Anna Lucia Stavlund</v>
      </c>
      <c r="C2231" s="109">
        <f ca="1">IFERROR(__xludf.DUMMYFUNCTION("""COMPUTED_VALUE"""),12)</f>
        <v>12</v>
      </c>
      <c r="D2231" s="109" t="str">
        <f ca="1">IFERROR(__xludf.DUMMYFUNCTION("""COMPUTED_VALUE"""),"G")</f>
        <v>G</v>
      </c>
      <c r="E2231" s="110" t="str">
        <f ca="1">IFERROR(__xludf.DUMMYFUNCTION("""COMPUTED_VALUE"""),"J")</f>
        <v>J</v>
      </c>
      <c r="F2231" s="114" t="str">
        <f ca="1">IFERROR(__xludf.DUMMYFUNCTION("""COMPUTED_VALUE"""),"I")</f>
        <v>I</v>
      </c>
      <c r="G2231" s="114">
        <f ca="1">IFERROR(__xludf.DUMMYFUNCTION("""COMPUTED_VALUE"""),7)</f>
        <v>7</v>
      </c>
      <c r="H2231" s="112" t="str">
        <f ca="1"/>
        <v>50.1</v>
      </c>
      <c r="I2231" s="112">
        <f ca="1"/>
        <v>50.1</v>
      </c>
    </row>
    <row r="2232" spans="1:9" ht="13.2">
      <c r="A2232" s="109" t="str">
        <f ca="1">IFERROR(__xludf.DUMMYFUNCTION("""COMPUTED_VALUE"""),"W")</f>
        <v>W</v>
      </c>
      <c r="B2232" s="108" t="str">
        <f ca="1">IFERROR(__xludf.DUMMYFUNCTION("""COMPUTED_VALUE"""),"Isabelle Horne")</f>
        <v>Isabelle Horne</v>
      </c>
      <c r="C2232" s="109">
        <f ca="1">IFERROR(__xludf.DUMMYFUNCTION("""COMPUTED_VALUE"""),12)</f>
        <v>12</v>
      </c>
      <c r="D2232" s="109" t="str">
        <f ca="1">IFERROR(__xludf.DUMMYFUNCTION("""COMPUTED_VALUE"""),"G")</f>
        <v>G</v>
      </c>
      <c r="E2232" s="110" t="str">
        <f ca="1">IFERROR(__xludf.DUMMYFUNCTION("""COMPUTED_VALUE"""),"J")</f>
        <v>J</v>
      </c>
      <c r="F2232" s="114" t="str">
        <f ca="1">IFERROR(__xludf.DUMMYFUNCTION("""COMPUTED_VALUE"""),"I")</f>
        <v>I</v>
      </c>
      <c r="G2232" s="114">
        <f ca="1">IFERROR(__xludf.DUMMYFUNCTION("""COMPUTED_VALUE"""),7)</f>
        <v>7</v>
      </c>
      <c r="H2232" s="112" t="str">
        <f ca="1"/>
        <v/>
      </c>
      <c r="I2232" s="112" t="str">
        <f ca="1"/>
        <v/>
      </c>
    </row>
    <row r="2233" spans="1:9" ht="13.2">
      <c r="A2233" s="109" t="str">
        <f ca="1">IFERROR(__xludf.DUMMYFUNCTION("""COMPUTED_VALUE"""),"W")</f>
        <v>W</v>
      </c>
      <c r="B2233" s="108" t="str">
        <f ca="1">IFERROR(__xludf.DUMMYFUNCTION("""COMPUTED_VALUE"""),"Luciana Fernandez")</f>
        <v>Luciana Fernandez</v>
      </c>
      <c r="C2233" s="109">
        <f ca="1">IFERROR(__xludf.DUMMYFUNCTION("""COMPUTED_VALUE"""),12)</f>
        <v>12</v>
      </c>
      <c r="D2233" s="109" t="str">
        <f ca="1">IFERROR(__xludf.DUMMYFUNCTION("""COMPUTED_VALUE"""),"G")</f>
        <v>G</v>
      </c>
      <c r="E2233" s="110" t="str">
        <f ca="1">IFERROR(__xludf.DUMMYFUNCTION("""COMPUTED_VALUE"""),"J")</f>
        <v>J</v>
      </c>
      <c r="F2233" s="114" t="str">
        <f ca="1">IFERROR(__xludf.DUMMYFUNCTION("""COMPUTED_VALUE"""),"I")</f>
        <v>I</v>
      </c>
      <c r="G2233" s="114">
        <f ca="1">IFERROR(__xludf.DUMMYFUNCTION("""COMPUTED_VALUE"""),7)</f>
        <v>7</v>
      </c>
      <c r="H2233" s="112" t="str">
        <f ca="1"/>
        <v/>
      </c>
      <c r="I2233" s="112" t="str">
        <f ca="1"/>
        <v/>
      </c>
    </row>
    <row r="2234" spans="1:9" ht="13.2">
      <c r="A2234" s="109" t="str">
        <f ca="1">IFERROR(__xludf.DUMMYFUNCTION("""COMPUTED_VALUE"""),"W")</f>
        <v>W</v>
      </c>
      <c r="B2234" s="108" t="str">
        <f ca="1">IFERROR(__xludf.DUMMYFUNCTION("""COMPUTED_VALUE"""),"Sara Armstrong")</f>
        <v>Sara Armstrong</v>
      </c>
      <c r="C2234" s="109">
        <f ca="1">IFERROR(__xludf.DUMMYFUNCTION("""COMPUTED_VALUE"""),11)</f>
        <v>11</v>
      </c>
      <c r="D2234" s="109" t="str">
        <f ca="1">IFERROR(__xludf.DUMMYFUNCTION("""COMPUTED_VALUE"""),"G")</f>
        <v>G</v>
      </c>
      <c r="E2234" s="110" t="str">
        <f ca="1">IFERROR(__xludf.DUMMYFUNCTION("""COMPUTED_VALUE"""),"J")</f>
        <v>J</v>
      </c>
      <c r="F2234" s="114" t="str">
        <f ca="1">IFERROR(__xludf.DUMMYFUNCTION("""COMPUTED_VALUE"""),"I")</f>
        <v>I</v>
      </c>
      <c r="G2234" s="114">
        <f ca="1">IFERROR(__xludf.DUMMYFUNCTION("""COMPUTED_VALUE"""),7)</f>
        <v>7</v>
      </c>
      <c r="H2234" s="112" t="str">
        <f ca="1"/>
        <v/>
      </c>
      <c r="I2234" s="112" t="str">
        <f ca="1"/>
        <v/>
      </c>
    </row>
    <row r="2235" spans="1:9" ht="13.2">
      <c r="A2235" s="109" t="str">
        <f ca="1">IFERROR(__xludf.DUMMYFUNCTION("""COMPUTED_VALUE"""),"W")</f>
        <v>W</v>
      </c>
      <c r="B2235" s="108" t="str">
        <f ca="1">IFERROR(__xludf.DUMMYFUNCTION("""COMPUTED_VALUE"""),"David Graham")</f>
        <v>David Graham</v>
      </c>
      <c r="C2235" s="109">
        <f ca="1">IFERROR(__xludf.DUMMYFUNCTION("""COMPUTED_VALUE"""),18)</f>
        <v>18</v>
      </c>
      <c r="D2235" s="109" t="str">
        <f ca="1">IFERROR(__xludf.DUMMYFUNCTION("""COMPUTED_VALUE"""),"B")</f>
        <v>B</v>
      </c>
      <c r="E2235" s="110" t="str">
        <f ca="1">IFERROR(__xludf.DUMMYFUNCTION("""COMPUTED_VALUE"""),"S")</f>
        <v>S</v>
      </c>
      <c r="F2235" s="114" t="str">
        <f ca="1">IFERROR(__xludf.DUMMYFUNCTION("""COMPUTED_VALUE"""),"S")</f>
        <v>S</v>
      </c>
      <c r="G2235" s="114">
        <f ca="1">IFERROR(__xludf.DUMMYFUNCTION("""COMPUTED_VALUE"""),7)</f>
        <v>7</v>
      </c>
      <c r="H2235" s="112" t="str">
        <f ca="1"/>
        <v/>
      </c>
      <c r="I2235" s="112" t="str">
        <f ca="1"/>
        <v/>
      </c>
    </row>
    <row r="2236" spans="1:9" ht="13.2">
      <c r="A2236" s="109" t="str">
        <f ca="1">IFERROR(__xludf.DUMMYFUNCTION("""COMPUTED_VALUE"""),"W")</f>
        <v>W</v>
      </c>
      <c r="B2236" s="108" t="str">
        <f ca="1">IFERROR(__xludf.DUMMYFUNCTION("""COMPUTED_VALUE"""),"Silas Mitchell")</f>
        <v>Silas Mitchell</v>
      </c>
      <c r="C2236" s="109">
        <f ca="1">IFERROR(__xludf.DUMMYFUNCTION("""COMPUTED_VALUE"""),15)</f>
        <v>15</v>
      </c>
      <c r="D2236" s="109" t="str">
        <f ca="1">IFERROR(__xludf.DUMMYFUNCTION("""COMPUTED_VALUE"""),"B")</f>
        <v>B</v>
      </c>
      <c r="E2236" s="110" t="str">
        <f ca="1">IFERROR(__xludf.DUMMYFUNCTION("""COMPUTED_VALUE"""),"S")</f>
        <v>S</v>
      </c>
      <c r="F2236" s="114" t="str">
        <f ca="1">IFERROR(__xludf.DUMMYFUNCTION("""COMPUTED_VALUE"""),"S")</f>
        <v>S</v>
      </c>
      <c r="G2236" s="114">
        <f ca="1">IFERROR(__xludf.DUMMYFUNCTION("""COMPUTED_VALUE"""),7)</f>
        <v>7</v>
      </c>
      <c r="H2236" s="112" t="str">
        <f ca="1"/>
        <v/>
      </c>
      <c r="I2236" s="112" t="str">
        <f ca="1"/>
        <v/>
      </c>
    </row>
    <row r="2237" spans="1:9" ht="13.2">
      <c r="A2237" s="109" t="str">
        <f ca="1">IFERROR(__xludf.DUMMYFUNCTION("""COMPUTED_VALUE"""),"W")</f>
        <v>W</v>
      </c>
      <c r="B2237" s="108" t="str">
        <f ca="1">IFERROR(__xludf.DUMMYFUNCTION("""COMPUTED_VALUE"""),"Eleanor Stavlund")</f>
        <v>Eleanor Stavlund</v>
      </c>
      <c r="C2237" s="109">
        <f ca="1">IFERROR(__xludf.DUMMYFUNCTION("""COMPUTED_VALUE"""),15)</f>
        <v>15</v>
      </c>
      <c r="D2237" s="109" t="str">
        <f ca="1">IFERROR(__xludf.DUMMYFUNCTION("""COMPUTED_VALUE"""),"G")</f>
        <v>G</v>
      </c>
      <c r="E2237" s="110" t="str">
        <f ca="1">IFERROR(__xludf.DUMMYFUNCTION("""COMPUTED_VALUE"""),"S")</f>
        <v>S</v>
      </c>
      <c r="F2237" s="114" t="str">
        <f ca="1">IFERROR(__xludf.DUMMYFUNCTION("""COMPUTED_VALUE"""),"S")</f>
        <v>S</v>
      </c>
      <c r="G2237" s="114">
        <f ca="1">IFERROR(__xludf.DUMMYFUNCTION("""COMPUTED_VALUE"""),7)</f>
        <v>7</v>
      </c>
      <c r="H2237" s="112" t="str">
        <f ca="1"/>
        <v/>
      </c>
      <c r="I2237" s="112" t="str">
        <f ca="1"/>
        <v/>
      </c>
    </row>
    <row r="2238" spans="1:9" ht="13.2">
      <c r="A2238" s="109" t="str">
        <f ca="1">IFERROR(__xludf.DUMMYFUNCTION("""COMPUTED_VALUE"""),"WC")</f>
        <v>WC</v>
      </c>
      <c r="B2238" s="108" t="str">
        <f ca="1">IFERROR(__xludf.DUMMYFUNCTION("""COMPUTED_VALUE"""),"Andrew Bierma")</f>
        <v>Andrew Bierma</v>
      </c>
      <c r="C2238" s="109">
        <f ca="1">IFERROR(__xludf.DUMMYFUNCTION("""COMPUTED_VALUE"""),10)</f>
        <v>10</v>
      </c>
      <c r="D2238" s="109" t="str">
        <f ca="1">IFERROR(__xludf.DUMMYFUNCTION("""COMPUTED_VALUE"""),"B")</f>
        <v>B</v>
      </c>
      <c r="E2238" s="110" t="str">
        <f ca="1">IFERROR(__xludf.DUMMYFUNCTION("""COMPUTED_VALUE"""),"F")</f>
        <v>F</v>
      </c>
      <c r="F2238" s="114" t="str">
        <f ca="1">IFERROR(__xludf.DUMMYFUNCTION("""COMPUTED_VALUE"""),"J")</f>
        <v>J</v>
      </c>
      <c r="G2238" s="114">
        <f ca="1">IFERROR(__xludf.DUMMYFUNCTION("""COMPUTED_VALUE"""),4)</f>
        <v>4</v>
      </c>
      <c r="H2238" s="112" t="str">
        <f ca="1"/>
        <v/>
      </c>
      <c r="I2238" s="112" t="str">
        <f ca="1"/>
        <v/>
      </c>
    </row>
    <row r="2239" spans="1:9" ht="13.2">
      <c r="A2239" s="109" t="str">
        <f ca="1">IFERROR(__xludf.DUMMYFUNCTION("""COMPUTED_VALUE"""),"WC")</f>
        <v>WC</v>
      </c>
      <c r="B2239" s="108" t="str">
        <f ca="1">IFERROR(__xludf.DUMMYFUNCTION("""COMPUTED_VALUE"""),"Donald Sheldon")</f>
        <v>Donald Sheldon</v>
      </c>
      <c r="C2239" s="109">
        <f ca="1">IFERROR(__xludf.DUMMYFUNCTION("""COMPUTED_VALUE"""),9)</f>
        <v>9</v>
      </c>
      <c r="D2239" s="109" t="str">
        <f ca="1">IFERROR(__xludf.DUMMYFUNCTION("""COMPUTED_VALUE"""),"B")</f>
        <v>B</v>
      </c>
      <c r="E2239" s="110" t="str">
        <f ca="1">IFERROR(__xludf.DUMMYFUNCTION("""COMPUTED_VALUE"""),"F")</f>
        <v>F</v>
      </c>
      <c r="F2239" s="114" t="str">
        <f ca="1">IFERROR(__xludf.DUMMYFUNCTION("""COMPUTED_VALUE"""),"J")</f>
        <v>J</v>
      </c>
      <c r="G2239" s="114">
        <f ca="1">IFERROR(__xludf.DUMMYFUNCTION("""COMPUTED_VALUE"""),4)</f>
        <v>4</v>
      </c>
      <c r="H2239" s="112" t="str">
        <f ca="1"/>
        <v/>
      </c>
      <c r="I2239" s="112" t="str">
        <f ca="1"/>
        <v/>
      </c>
    </row>
    <row r="2240" spans="1:9" ht="13.2">
      <c r="A2240" s="109" t="str">
        <f ca="1">IFERROR(__xludf.DUMMYFUNCTION("""COMPUTED_VALUE"""),"WC")</f>
        <v>WC</v>
      </c>
      <c r="B2240" s="108" t="str">
        <f ca="1">IFERROR(__xludf.DUMMYFUNCTION("""COMPUTED_VALUE"""),"Eric Campagna")</f>
        <v>Eric Campagna</v>
      </c>
      <c r="C2240" s="109">
        <f ca="1">IFERROR(__xludf.DUMMYFUNCTION("""COMPUTED_VALUE"""),8)</f>
        <v>8</v>
      </c>
      <c r="D2240" s="109" t="str">
        <f ca="1">IFERROR(__xludf.DUMMYFUNCTION("""COMPUTED_VALUE"""),"B")</f>
        <v>B</v>
      </c>
      <c r="E2240" s="110" t="str">
        <f ca="1">IFERROR(__xludf.DUMMYFUNCTION("""COMPUTED_VALUE"""),"F")</f>
        <v>F</v>
      </c>
      <c r="F2240" s="114" t="str">
        <f ca="1">IFERROR(__xludf.DUMMYFUNCTION("""COMPUTED_VALUE"""),"J")</f>
        <v>J</v>
      </c>
      <c r="G2240" s="114">
        <f ca="1">IFERROR(__xludf.DUMMYFUNCTION("""COMPUTED_VALUE"""),4)</f>
        <v>4</v>
      </c>
      <c r="H2240" s="112" t="str">
        <f ca="1"/>
        <v/>
      </c>
      <c r="I2240" s="112" t="str">
        <f ca="1"/>
        <v/>
      </c>
    </row>
    <row r="2241" spans="1:9" ht="13.2">
      <c r="A2241" s="109" t="str">
        <f ca="1">IFERROR(__xludf.DUMMYFUNCTION("""COMPUTED_VALUE"""),"WC")</f>
        <v>WC</v>
      </c>
      <c r="B2241" s="108" t="str">
        <f ca="1">IFERROR(__xludf.DUMMYFUNCTION("""COMPUTED_VALUE"""),"Freddy Wood")</f>
        <v>Freddy Wood</v>
      </c>
      <c r="C2241" s="109">
        <f ca="1">IFERROR(__xludf.DUMMYFUNCTION("""COMPUTED_VALUE"""),8)</f>
        <v>8</v>
      </c>
      <c r="D2241" s="109" t="str">
        <f ca="1">IFERROR(__xludf.DUMMYFUNCTION("""COMPUTED_VALUE"""),"B")</f>
        <v>B</v>
      </c>
      <c r="E2241" s="110" t="str">
        <f ca="1">IFERROR(__xludf.DUMMYFUNCTION("""COMPUTED_VALUE"""),"F")</f>
        <v>F</v>
      </c>
      <c r="F2241" s="114" t="str">
        <f ca="1">IFERROR(__xludf.DUMMYFUNCTION("""COMPUTED_VALUE"""),"J")</f>
        <v>J</v>
      </c>
      <c r="G2241" s="114">
        <f ca="1">IFERROR(__xludf.DUMMYFUNCTION("""COMPUTED_VALUE"""),4)</f>
        <v>4</v>
      </c>
      <c r="H2241" s="112" t="str">
        <f ca="1"/>
        <v/>
      </c>
      <c r="I2241" s="112" t="str">
        <f ca="1"/>
        <v/>
      </c>
    </row>
    <row r="2242" spans="1:9" ht="13.2">
      <c r="A2242" s="109" t="str">
        <f ca="1">IFERROR(__xludf.DUMMYFUNCTION("""COMPUTED_VALUE"""),"WC")</f>
        <v>WC</v>
      </c>
      <c r="B2242" s="108" t="str">
        <f ca="1">IFERROR(__xludf.DUMMYFUNCTION("""COMPUTED_VALUE"""),"Garrett Mansuy")</f>
        <v>Garrett Mansuy</v>
      </c>
      <c r="C2242" s="109">
        <f ca="1">IFERROR(__xludf.DUMMYFUNCTION("""COMPUTED_VALUE"""),7)</f>
        <v>7</v>
      </c>
      <c r="D2242" s="109" t="str">
        <f ca="1">IFERROR(__xludf.DUMMYFUNCTION("""COMPUTED_VALUE"""),"B")</f>
        <v>B</v>
      </c>
      <c r="E2242" s="110" t="str">
        <f ca="1">IFERROR(__xludf.DUMMYFUNCTION("""COMPUTED_VALUE"""),"F")</f>
        <v>F</v>
      </c>
      <c r="F2242" s="114" t="str">
        <f ca="1">IFERROR(__xludf.DUMMYFUNCTION("""COMPUTED_VALUE"""),"J")</f>
        <v>J</v>
      </c>
      <c r="G2242" s="114">
        <f ca="1">IFERROR(__xludf.DUMMYFUNCTION("""COMPUTED_VALUE"""),4)</f>
        <v>4</v>
      </c>
      <c r="H2242" s="112" t="str">
        <f ca="1"/>
        <v/>
      </c>
      <c r="I2242" s="112" t="str">
        <f ca="1"/>
        <v/>
      </c>
    </row>
    <row r="2243" spans="1:9" ht="13.2">
      <c r="A2243" s="109" t="str">
        <f ca="1">IFERROR(__xludf.DUMMYFUNCTION("""COMPUTED_VALUE"""),"WC")</f>
        <v>WC</v>
      </c>
      <c r="B2243" s="108" t="str">
        <f ca="1">IFERROR(__xludf.DUMMYFUNCTION("""COMPUTED_VALUE"""),"Graham Grinnell")</f>
        <v>Graham Grinnell</v>
      </c>
      <c r="C2243" s="109">
        <f ca="1">IFERROR(__xludf.DUMMYFUNCTION("""COMPUTED_VALUE"""),7)</f>
        <v>7</v>
      </c>
      <c r="D2243" s="109" t="str">
        <f ca="1">IFERROR(__xludf.DUMMYFUNCTION("""COMPUTED_VALUE"""),"B")</f>
        <v>B</v>
      </c>
      <c r="E2243" s="110" t="str">
        <f ca="1">IFERROR(__xludf.DUMMYFUNCTION("""COMPUTED_VALUE"""),"F")</f>
        <v>F</v>
      </c>
      <c r="F2243" s="114" t="str">
        <f ca="1">IFERROR(__xludf.DUMMYFUNCTION("""COMPUTED_VALUE"""),"J")</f>
        <v>J</v>
      </c>
      <c r="G2243" s="114">
        <f ca="1">IFERROR(__xludf.DUMMYFUNCTION("""COMPUTED_VALUE"""),4)</f>
        <v>4</v>
      </c>
      <c r="H2243" s="112" t="str">
        <f ca="1"/>
        <v/>
      </c>
      <c r="I2243" s="112" t="str">
        <f ca="1"/>
        <v/>
      </c>
    </row>
    <row r="2244" spans="1:9" ht="13.2">
      <c r="A2244" s="109" t="str">
        <f ca="1">IFERROR(__xludf.DUMMYFUNCTION("""COMPUTED_VALUE"""),"WC")</f>
        <v>WC</v>
      </c>
      <c r="B2244" s="108" t="str">
        <f ca="1">IFERROR(__xludf.DUMMYFUNCTION("""COMPUTED_VALUE"""),"Lucas Thompson")</f>
        <v>Lucas Thompson</v>
      </c>
      <c r="C2244" s="109">
        <f ca="1">IFERROR(__xludf.DUMMYFUNCTION("""COMPUTED_VALUE"""),9)</f>
        <v>9</v>
      </c>
      <c r="D2244" s="109" t="str">
        <f ca="1">IFERROR(__xludf.DUMMYFUNCTION("""COMPUTED_VALUE"""),"B")</f>
        <v>B</v>
      </c>
      <c r="E2244" s="110" t="str">
        <f ca="1">IFERROR(__xludf.DUMMYFUNCTION("""COMPUTED_VALUE"""),"F")</f>
        <v>F</v>
      </c>
      <c r="F2244" s="114" t="str">
        <f ca="1">IFERROR(__xludf.DUMMYFUNCTION("""COMPUTED_VALUE"""),"J")</f>
        <v>J</v>
      </c>
      <c r="G2244" s="114">
        <f ca="1">IFERROR(__xludf.DUMMYFUNCTION("""COMPUTED_VALUE"""),4)</f>
        <v>4</v>
      </c>
      <c r="H2244" s="112" t="str">
        <f ca="1"/>
        <v/>
      </c>
      <c r="I2244" s="112" t="str">
        <f ca="1"/>
        <v/>
      </c>
    </row>
    <row r="2245" spans="1:9" ht="13.2">
      <c r="A2245" s="109" t="str">
        <f ca="1">IFERROR(__xludf.DUMMYFUNCTION("""COMPUTED_VALUE"""),"WC")</f>
        <v>WC</v>
      </c>
      <c r="B2245" s="108" t="str">
        <f ca="1">IFERROR(__xludf.DUMMYFUNCTION("""COMPUTED_VALUE"""),"Randolph Shults")</f>
        <v>Randolph Shults</v>
      </c>
      <c r="C2245" s="109">
        <f ca="1">IFERROR(__xludf.DUMMYFUNCTION("""COMPUTED_VALUE"""),9)</f>
        <v>9</v>
      </c>
      <c r="D2245" s="109" t="str">
        <f ca="1">IFERROR(__xludf.DUMMYFUNCTION("""COMPUTED_VALUE"""),"B")</f>
        <v>B</v>
      </c>
      <c r="E2245" s="110" t="str">
        <f ca="1">IFERROR(__xludf.DUMMYFUNCTION("""COMPUTED_VALUE"""),"F")</f>
        <v>F</v>
      </c>
      <c r="F2245" s="114" t="str">
        <f ca="1">IFERROR(__xludf.DUMMYFUNCTION("""COMPUTED_VALUE"""),"J")</f>
        <v>J</v>
      </c>
      <c r="G2245" s="114">
        <f ca="1">IFERROR(__xludf.DUMMYFUNCTION("""COMPUTED_VALUE"""),4)</f>
        <v>4</v>
      </c>
      <c r="H2245" s="112" t="str">
        <f ca="1"/>
        <v/>
      </c>
      <c r="I2245" s="112" t="str">
        <f ca="1"/>
        <v/>
      </c>
    </row>
    <row r="2246" spans="1:9" ht="13.2">
      <c r="A2246" s="109" t="str">
        <f ca="1">IFERROR(__xludf.DUMMYFUNCTION("""COMPUTED_VALUE"""),"WC")</f>
        <v>WC</v>
      </c>
      <c r="B2246" s="108" t="str">
        <f ca="1">IFERROR(__xludf.DUMMYFUNCTION("""COMPUTED_VALUE"""),"Sullivan McNamara")</f>
        <v>Sullivan McNamara</v>
      </c>
      <c r="C2246" s="109">
        <f ca="1">IFERROR(__xludf.DUMMYFUNCTION("""COMPUTED_VALUE"""),8)</f>
        <v>8</v>
      </c>
      <c r="D2246" s="109" t="str">
        <f ca="1">IFERROR(__xludf.DUMMYFUNCTION("""COMPUTED_VALUE"""),"B")</f>
        <v>B</v>
      </c>
      <c r="E2246" s="110" t="str">
        <f ca="1">IFERROR(__xludf.DUMMYFUNCTION("""COMPUTED_VALUE"""),"F")</f>
        <v>F</v>
      </c>
      <c r="F2246" s="114" t="str">
        <f ca="1">IFERROR(__xludf.DUMMYFUNCTION("""COMPUTED_VALUE"""),"J")</f>
        <v>J</v>
      </c>
      <c r="G2246" s="114">
        <f ca="1">IFERROR(__xludf.DUMMYFUNCTION("""COMPUTED_VALUE"""),4)</f>
        <v>4</v>
      </c>
      <c r="H2246" s="112" t="str">
        <f ca="1"/>
        <v/>
      </c>
      <c r="I2246" s="112" t="str">
        <f ca="1"/>
        <v/>
      </c>
    </row>
    <row r="2247" spans="1:9" ht="13.2">
      <c r="A2247" s="109" t="str">
        <f ca="1">IFERROR(__xludf.DUMMYFUNCTION("""COMPUTED_VALUE"""),"WC")</f>
        <v>WC</v>
      </c>
      <c r="B2247" s="108" t="str">
        <f ca="1">IFERROR(__xludf.DUMMYFUNCTION("""COMPUTED_VALUE"""),"William Burke")</f>
        <v>William Burke</v>
      </c>
      <c r="C2247" s="109">
        <f ca="1">IFERROR(__xludf.DUMMYFUNCTION("""COMPUTED_VALUE"""),9)</f>
        <v>9</v>
      </c>
      <c r="D2247" s="109" t="str">
        <f ca="1">IFERROR(__xludf.DUMMYFUNCTION("""COMPUTED_VALUE"""),"B")</f>
        <v>B</v>
      </c>
      <c r="E2247" s="110" t="str">
        <f ca="1">IFERROR(__xludf.DUMMYFUNCTION("""COMPUTED_VALUE"""),"F")</f>
        <v>F</v>
      </c>
      <c r="F2247" s="114" t="str">
        <f ca="1">IFERROR(__xludf.DUMMYFUNCTION("""COMPUTED_VALUE"""),"J")</f>
        <v>J</v>
      </c>
      <c r="G2247" s="114">
        <f ca="1">IFERROR(__xludf.DUMMYFUNCTION("""COMPUTED_VALUE"""),4)</f>
        <v>4</v>
      </c>
      <c r="H2247" s="112" t="str">
        <f ca="1"/>
        <v/>
      </c>
      <c r="I2247" s="112" t="str">
        <f ca="1"/>
        <v/>
      </c>
    </row>
    <row r="2248" spans="1:9" ht="13.2">
      <c r="A2248" s="109" t="str">
        <f ca="1">IFERROR(__xludf.DUMMYFUNCTION("""COMPUTED_VALUE"""),"WC")</f>
        <v>WC</v>
      </c>
      <c r="B2248" s="108" t="str">
        <f ca="1">IFERROR(__xludf.DUMMYFUNCTION("""COMPUTED_VALUE"""),"Ana Negrelli")</f>
        <v>Ana Negrelli</v>
      </c>
      <c r="C2248" s="109">
        <f ca="1">IFERROR(__xludf.DUMMYFUNCTION("""COMPUTED_VALUE"""),7)</f>
        <v>7</v>
      </c>
      <c r="D2248" s="109" t="str">
        <f ca="1">IFERROR(__xludf.DUMMYFUNCTION("""COMPUTED_VALUE"""),"G")</f>
        <v>G</v>
      </c>
      <c r="E2248" s="110" t="str">
        <f ca="1">IFERROR(__xludf.DUMMYFUNCTION("""COMPUTED_VALUE"""),"F")</f>
        <v>F</v>
      </c>
      <c r="F2248" s="114" t="str">
        <f ca="1">IFERROR(__xludf.DUMMYFUNCTION("""COMPUTED_VALUE"""),"J")</f>
        <v>J</v>
      </c>
      <c r="G2248" s="114">
        <f ca="1">IFERROR(__xludf.DUMMYFUNCTION("""COMPUTED_VALUE"""),4)</f>
        <v>4</v>
      </c>
      <c r="H2248" s="112" t="str">
        <f ca="1"/>
        <v/>
      </c>
      <c r="I2248" s="112" t="str">
        <f ca="1"/>
        <v/>
      </c>
    </row>
    <row r="2249" spans="1:9" ht="13.2">
      <c r="A2249" s="109" t="str">
        <f ca="1">IFERROR(__xludf.DUMMYFUNCTION("""COMPUTED_VALUE"""),"WC")</f>
        <v>WC</v>
      </c>
      <c r="B2249" s="108" t="str">
        <f ca="1">IFERROR(__xludf.DUMMYFUNCTION("""COMPUTED_VALUE"""),"Annabelle Ebaugh")</f>
        <v>Annabelle Ebaugh</v>
      </c>
      <c r="C2249" s="109">
        <f ca="1">IFERROR(__xludf.DUMMYFUNCTION("""COMPUTED_VALUE"""),10)</f>
        <v>10</v>
      </c>
      <c r="D2249" s="109" t="str">
        <f ca="1">IFERROR(__xludf.DUMMYFUNCTION("""COMPUTED_VALUE"""),"G")</f>
        <v>G</v>
      </c>
      <c r="E2249" s="110" t="str">
        <f ca="1">IFERROR(__xludf.DUMMYFUNCTION("""COMPUTED_VALUE"""),"F")</f>
        <v>F</v>
      </c>
      <c r="F2249" s="114" t="str">
        <f ca="1">IFERROR(__xludf.DUMMYFUNCTION("""COMPUTED_VALUE"""),"J")</f>
        <v>J</v>
      </c>
      <c r="G2249" s="114">
        <f ca="1">IFERROR(__xludf.DUMMYFUNCTION("""COMPUTED_VALUE"""),4)</f>
        <v>4</v>
      </c>
      <c r="H2249" s="112" t="str">
        <f ca="1"/>
        <v/>
      </c>
      <c r="I2249" s="112" t="str">
        <f ca="1"/>
        <v/>
      </c>
    </row>
    <row r="2250" spans="1:9" ht="13.2">
      <c r="A2250" s="109" t="str">
        <f ca="1">IFERROR(__xludf.DUMMYFUNCTION("""COMPUTED_VALUE"""),"WC")</f>
        <v>WC</v>
      </c>
      <c r="B2250" s="108" t="str">
        <f ca="1">IFERROR(__xludf.DUMMYFUNCTION("""COMPUTED_VALUE"""),"Annelise Saunders")</f>
        <v>Annelise Saunders</v>
      </c>
      <c r="C2250" s="109">
        <f ca="1">IFERROR(__xludf.DUMMYFUNCTION("""COMPUTED_VALUE"""),7)</f>
        <v>7</v>
      </c>
      <c r="D2250" s="109" t="str">
        <f ca="1">IFERROR(__xludf.DUMMYFUNCTION("""COMPUTED_VALUE"""),"G")</f>
        <v>G</v>
      </c>
      <c r="E2250" s="110" t="str">
        <f ca="1">IFERROR(__xludf.DUMMYFUNCTION("""COMPUTED_VALUE"""),"F")</f>
        <v>F</v>
      </c>
      <c r="F2250" s="114" t="str">
        <f ca="1">IFERROR(__xludf.DUMMYFUNCTION("""COMPUTED_VALUE"""),"J")</f>
        <v>J</v>
      </c>
      <c r="G2250" s="114">
        <f ca="1">IFERROR(__xludf.DUMMYFUNCTION("""COMPUTED_VALUE"""),4)</f>
        <v>4</v>
      </c>
      <c r="H2250" s="112" t="str">
        <f ca="1"/>
        <v/>
      </c>
      <c r="I2250" s="112" t="str">
        <f ca="1"/>
        <v/>
      </c>
    </row>
    <row r="2251" spans="1:9" ht="13.2">
      <c r="A2251" s="109" t="str">
        <f ca="1">IFERROR(__xludf.DUMMYFUNCTION("""COMPUTED_VALUE"""),"WC")</f>
        <v>WC</v>
      </c>
      <c r="B2251" s="108" t="str">
        <f ca="1">IFERROR(__xludf.DUMMYFUNCTION("""COMPUTED_VALUE"""),"Averie Watkins")</f>
        <v>Averie Watkins</v>
      </c>
      <c r="C2251" s="109">
        <f ca="1">IFERROR(__xludf.DUMMYFUNCTION("""COMPUTED_VALUE"""),10)</f>
        <v>10</v>
      </c>
      <c r="D2251" s="109" t="str">
        <f ca="1">IFERROR(__xludf.DUMMYFUNCTION("""COMPUTED_VALUE"""),"G")</f>
        <v>G</v>
      </c>
      <c r="E2251" s="110" t="str">
        <f ca="1">IFERROR(__xludf.DUMMYFUNCTION("""COMPUTED_VALUE"""),"F")</f>
        <v>F</v>
      </c>
      <c r="F2251" s="114" t="str">
        <f ca="1">IFERROR(__xludf.DUMMYFUNCTION("""COMPUTED_VALUE"""),"J")</f>
        <v>J</v>
      </c>
      <c r="G2251" s="114">
        <f ca="1">IFERROR(__xludf.DUMMYFUNCTION("""COMPUTED_VALUE"""),4)</f>
        <v>4</v>
      </c>
      <c r="H2251" s="112" t="str">
        <f ca="1"/>
        <v/>
      </c>
      <c r="I2251" s="112" t="str">
        <f ca="1"/>
        <v/>
      </c>
    </row>
    <row r="2252" spans="1:9" ht="13.2">
      <c r="A2252" s="109" t="str">
        <f ca="1">IFERROR(__xludf.DUMMYFUNCTION("""COMPUTED_VALUE"""),"WC")</f>
        <v>WC</v>
      </c>
      <c r="B2252" s="108" t="str">
        <f ca="1">IFERROR(__xludf.DUMMYFUNCTION("""COMPUTED_VALUE"""),"Bailey Themak")</f>
        <v>Bailey Themak</v>
      </c>
      <c r="C2252" s="109">
        <f ca="1">IFERROR(__xludf.DUMMYFUNCTION("""COMPUTED_VALUE"""),7)</f>
        <v>7</v>
      </c>
      <c r="D2252" s="109" t="str">
        <f ca="1">IFERROR(__xludf.DUMMYFUNCTION("""COMPUTED_VALUE"""),"G")</f>
        <v>G</v>
      </c>
      <c r="E2252" s="110" t="str">
        <f ca="1">IFERROR(__xludf.DUMMYFUNCTION("""COMPUTED_VALUE"""),"F")</f>
        <v>F</v>
      </c>
      <c r="F2252" s="114" t="str">
        <f ca="1">IFERROR(__xludf.DUMMYFUNCTION("""COMPUTED_VALUE"""),"J")</f>
        <v>J</v>
      </c>
      <c r="G2252" s="114">
        <f ca="1">IFERROR(__xludf.DUMMYFUNCTION("""COMPUTED_VALUE"""),4)</f>
        <v>4</v>
      </c>
      <c r="H2252" s="112" t="str">
        <f ca="1"/>
        <v/>
      </c>
      <c r="I2252" s="112" t="str">
        <f ca="1"/>
        <v/>
      </c>
    </row>
    <row r="2253" spans="1:9" ht="13.2">
      <c r="A2253" s="109" t="str">
        <f ca="1">IFERROR(__xludf.DUMMYFUNCTION("""COMPUTED_VALUE"""),"WC")</f>
        <v>WC</v>
      </c>
      <c r="B2253" s="108" t="str">
        <f ca="1">IFERROR(__xludf.DUMMYFUNCTION("""COMPUTED_VALUE"""),"Eleanor Manos")</f>
        <v>Eleanor Manos</v>
      </c>
      <c r="C2253" s="109">
        <f ca="1">IFERROR(__xludf.DUMMYFUNCTION("""COMPUTED_VALUE"""),9)</f>
        <v>9</v>
      </c>
      <c r="D2253" s="109" t="str">
        <f ca="1">IFERROR(__xludf.DUMMYFUNCTION("""COMPUTED_VALUE"""),"G")</f>
        <v>G</v>
      </c>
      <c r="E2253" s="110" t="str">
        <f ca="1">IFERROR(__xludf.DUMMYFUNCTION("""COMPUTED_VALUE"""),"F")</f>
        <v>F</v>
      </c>
      <c r="F2253" s="114" t="str">
        <f ca="1">IFERROR(__xludf.DUMMYFUNCTION("""COMPUTED_VALUE"""),"J")</f>
        <v>J</v>
      </c>
      <c r="G2253" s="114">
        <f ca="1">IFERROR(__xludf.DUMMYFUNCTION("""COMPUTED_VALUE"""),4)</f>
        <v>4</v>
      </c>
      <c r="H2253" s="112" t="str">
        <f ca="1"/>
        <v/>
      </c>
      <c r="I2253" s="112" t="str">
        <f ca="1"/>
        <v/>
      </c>
    </row>
    <row r="2254" spans="1:9" ht="13.2">
      <c r="A2254" s="109" t="str">
        <f ca="1">IFERROR(__xludf.DUMMYFUNCTION("""COMPUTED_VALUE"""),"WC")</f>
        <v>WC</v>
      </c>
      <c r="B2254" s="108" t="str">
        <f ca="1">IFERROR(__xludf.DUMMYFUNCTION("""COMPUTED_VALUE"""),"Emily Fay")</f>
        <v>Emily Fay</v>
      </c>
      <c r="C2254" s="109">
        <f ca="1">IFERROR(__xludf.DUMMYFUNCTION("""COMPUTED_VALUE"""),9)</f>
        <v>9</v>
      </c>
      <c r="D2254" s="109" t="str">
        <f ca="1">IFERROR(__xludf.DUMMYFUNCTION("""COMPUTED_VALUE"""),"G")</f>
        <v>G</v>
      </c>
      <c r="E2254" s="110" t="str">
        <f ca="1">IFERROR(__xludf.DUMMYFUNCTION("""COMPUTED_VALUE"""),"F")</f>
        <v>F</v>
      </c>
      <c r="F2254" s="114" t="str">
        <f ca="1">IFERROR(__xludf.DUMMYFUNCTION("""COMPUTED_VALUE"""),"J")</f>
        <v>J</v>
      </c>
      <c r="G2254" s="114">
        <f ca="1">IFERROR(__xludf.DUMMYFUNCTION("""COMPUTED_VALUE"""),4)</f>
        <v>4</v>
      </c>
      <c r="H2254" s="112" t="str">
        <f ca="1"/>
        <v/>
      </c>
      <c r="I2254" s="112" t="str">
        <f ca="1"/>
        <v/>
      </c>
    </row>
    <row r="2255" spans="1:9" ht="13.2">
      <c r="A2255" s="109" t="str">
        <f ca="1">IFERROR(__xludf.DUMMYFUNCTION("""COMPUTED_VALUE"""),"WC")</f>
        <v>WC</v>
      </c>
      <c r="B2255" s="108" t="str">
        <f ca="1">IFERROR(__xludf.DUMMYFUNCTION("""COMPUTED_VALUE"""),"Emma Naing")</f>
        <v>Emma Naing</v>
      </c>
      <c r="C2255" s="109">
        <f ca="1">IFERROR(__xludf.DUMMYFUNCTION("""COMPUTED_VALUE"""),8)</f>
        <v>8</v>
      </c>
      <c r="D2255" s="109" t="str">
        <f ca="1">IFERROR(__xludf.DUMMYFUNCTION("""COMPUTED_VALUE"""),"G")</f>
        <v>G</v>
      </c>
      <c r="E2255" s="110" t="str">
        <f ca="1">IFERROR(__xludf.DUMMYFUNCTION("""COMPUTED_VALUE"""),"F")</f>
        <v>F</v>
      </c>
      <c r="F2255" s="114" t="str">
        <f ca="1">IFERROR(__xludf.DUMMYFUNCTION("""COMPUTED_VALUE"""),"J")</f>
        <v>J</v>
      </c>
      <c r="G2255" s="114">
        <f ca="1">IFERROR(__xludf.DUMMYFUNCTION("""COMPUTED_VALUE"""),4)</f>
        <v>4</v>
      </c>
      <c r="H2255" s="112" t="str">
        <f ca="1"/>
        <v/>
      </c>
      <c r="I2255" s="112" t="str">
        <f ca="1"/>
        <v/>
      </c>
    </row>
    <row r="2256" spans="1:9" ht="13.2">
      <c r="A2256" s="109" t="str">
        <f ca="1">IFERROR(__xludf.DUMMYFUNCTION("""COMPUTED_VALUE"""),"WC")</f>
        <v>WC</v>
      </c>
      <c r="B2256" s="108" t="str">
        <f ca="1">IFERROR(__xludf.DUMMYFUNCTION("""COMPUTED_VALUE"""),"Erin Grinnell")</f>
        <v>Erin Grinnell</v>
      </c>
      <c r="C2256" s="109">
        <f ca="1">IFERROR(__xludf.DUMMYFUNCTION("""COMPUTED_VALUE"""),10)</f>
        <v>10</v>
      </c>
      <c r="D2256" s="109" t="str">
        <f ca="1">IFERROR(__xludf.DUMMYFUNCTION("""COMPUTED_VALUE"""),"G")</f>
        <v>G</v>
      </c>
      <c r="E2256" s="110" t="str">
        <f ca="1">IFERROR(__xludf.DUMMYFUNCTION("""COMPUTED_VALUE"""),"F")</f>
        <v>F</v>
      </c>
      <c r="F2256" s="114" t="str">
        <f ca="1">IFERROR(__xludf.DUMMYFUNCTION("""COMPUTED_VALUE"""),"J")</f>
        <v>J</v>
      </c>
      <c r="G2256" s="114">
        <f ca="1">IFERROR(__xludf.DUMMYFUNCTION("""COMPUTED_VALUE"""),4)</f>
        <v>4</v>
      </c>
      <c r="H2256" s="112" t="str">
        <f ca="1"/>
        <v/>
      </c>
      <c r="I2256" s="112" t="str">
        <f ca="1"/>
        <v/>
      </c>
    </row>
    <row r="2257" spans="1:9" ht="13.2">
      <c r="A2257" s="109" t="str">
        <f ca="1">IFERROR(__xludf.DUMMYFUNCTION("""COMPUTED_VALUE"""),"WC")</f>
        <v>WC</v>
      </c>
      <c r="B2257" s="108" t="str">
        <f ca="1">IFERROR(__xludf.DUMMYFUNCTION("""COMPUTED_VALUE"""),"Eva Negrelli")</f>
        <v>Eva Negrelli</v>
      </c>
      <c r="C2257" s="109">
        <f ca="1">IFERROR(__xludf.DUMMYFUNCTION("""COMPUTED_VALUE"""),9)</f>
        <v>9</v>
      </c>
      <c r="D2257" s="109" t="str">
        <f ca="1">IFERROR(__xludf.DUMMYFUNCTION("""COMPUTED_VALUE"""),"G")</f>
        <v>G</v>
      </c>
      <c r="E2257" s="110" t="str">
        <f ca="1">IFERROR(__xludf.DUMMYFUNCTION("""COMPUTED_VALUE"""),"F")</f>
        <v>F</v>
      </c>
      <c r="F2257" s="114" t="str">
        <f ca="1">IFERROR(__xludf.DUMMYFUNCTION("""COMPUTED_VALUE"""),"J")</f>
        <v>J</v>
      </c>
      <c r="G2257" s="114">
        <f ca="1">IFERROR(__xludf.DUMMYFUNCTION("""COMPUTED_VALUE"""),4)</f>
        <v>4</v>
      </c>
      <c r="H2257" s="112" t="str">
        <f ca="1"/>
        <v/>
      </c>
      <c r="I2257" s="112" t="str">
        <f ca="1"/>
        <v/>
      </c>
    </row>
    <row r="2258" spans="1:9" ht="13.2">
      <c r="A2258" s="109" t="str">
        <f ca="1">IFERROR(__xludf.DUMMYFUNCTION("""COMPUTED_VALUE"""),"WC")</f>
        <v>WC</v>
      </c>
      <c r="B2258" s="108" t="str">
        <f ca="1">IFERROR(__xludf.DUMMYFUNCTION("""COMPUTED_VALUE"""),"Isabella Naing")</f>
        <v>Isabella Naing</v>
      </c>
      <c r="C2258" s="109">
        <f ca="1">IFERROR(__xludf.DUMMYFUNCTION("""COMPUTED_VALUE"""),10)</f>
        <v>10</v>
      </c>
      <c r="D2258" s="109" t="str">
        <f ca="1">IFERROR(__xludf.DUMMYFUNCTION("""COMPUTED_VALUE"""),"G")</f>
        <v>G</v>
      </c>
      <c r="E2258" s="110" t="str">
        <f ca="1">IFERROR(__xludf.DUMMYFUNCTION("""COMPUTED_VALUE"""),"F")</f>
        <v>F</v>
      </c>
      <c r="F2258" s="114" t="str">
        <f ca="1">IFERROR(__xludf.DUMMYFUNCTION("""COMPUTED_VALUE"""),"J")</f>
        <v>J</v>
      </c>
      <c r="G2258" s="114">
        <f ca="1">IFERROR(__xludf.DUMMYFUNCTION("""COMPUTED_VALUE"""),4)</f>
        <v>4</v>
      </c>
      <c r="H2258" s="112" t="str">
        <f ca="1"/>
        <v/>
      </c>
      <c r="I2258" s="112" t="str">
        <f ca="1"/>
        <v/>
      </c>
    </row>
    <row r="2259" spans="1:9" ht="13.2">
      <c r="A2259" s="109" t="str">
        <f ca="1">IFERROR(__xludf.DUMMYFUNCTION("""COMPUTED_VALUE"""),"WC")</f>
        <v>WC</v>
      </c>
      <c r="B2259" s="108" t="str">
        <f ca="1">IFERROR(__xludf.DUMMYFUNCTION("""COMPUTED_VALUE"""),"Ivonne Valle")</f>
        <v>Ivonne Valle</v>
      </c>
      <c r="C2259" s="109">
        <f ca="1">IFERROR(__xludf.DUMMYFUNCTION("""COMPUTED_VALUE"""),8)</f>
        <v>8</v>
      </c>
      <c r="D2259" s="109" t="str">
        <f ca="1">IFERROR(__xludf.DUMMYFUNCTION("""COMPUTED_VALUE"""),"G")</f>
        <v>G</v>
      </c>
      <c r="E2259" s="110" t="str">
        <f ca="1">IFERROR(__xludf.DUMMYFUNCTION("""COMPUTED_VALUE"""),"F")</f>
        <v>F</v>
      </c>
      <c r="F2259" s="114" t="str">
        <f ca="1">IFERROR(__xludf.DUMMYFUNCTION("""COMPUTED_VALUE"""),"J")</f>
        <v>J</v>
      </c>
      <c r="G2259" s="114">
        <f ca="1">IFERROR(__xludf.DUMMYFUNCTION("""COMPUTED_VALUE"""),4)</f>
        <v>4</v>
      </c>
      <c r="H2259" s="112" t="str">
        <f ca="1"/>
        <v/>
      </c>
      <c r="I2259" s="112" t="str">
        <f ca="1"/>
        <v/>
      </c>
    </row>
    <row r="2260" spans="1:9" ht="13.2">
      <c r="A2260" s="109" t="str">
        <f ca="1">IFERROR(__xludf.DUMMYFUNCTION("""COMPUTED_VALUE"""),"WC")</f>
        <v>WC</v>
      </c>
      <c r="B2260" s="108" t="str">
        <f ca="1">IFERROR(__xludf.DUMMYFUNCTION("""COMPUTED_VALUE"""),"Joelle Saunders")</f>
        <v>Joelle Saunders</v>
      </c>
      <c r="C2260" s="109">
        <f ca="1">IFERROR(__xludf.DUMMYFUNCTION("""COMPUTED_VALUE"""),9)</f>
        <v>9</v>
      </c>
      <c r="D2260" s="109" t="str">
        <f ca="1">IFERROR(__xludf.DUMMYFUNCTION("""COMPUTED_VALUE"""),"G")</f>
        <v>G</v>
      </c>
      <c r="E2260" s="110" t="str">
        <f ca="1">IFERROR(__xludf.DUMMYFUNCTION("""COMPUTED_VALUE"""),"F")</f>
        <v>F</v>
      </c>
      <c r="F2260" s="114" t="str">
        <f ca="1">IFERROR(__xludf.DUMMYFUNCTION("""COMPUTED_VALUE"""),"J")</f>
        <v>J</v>
      </c>
      <c r="G2260" s="114">
        <f ca="1">IFERROR(__xludf.DUMMYFUNCTION("""COMPUTED_VALUE"""),4)</f>
        <v>4</v>
      </c>
      <c r="H2260" s="112" t="str">
        <f ca="1"/>
        <v/>
      </c>
      <c r="I2260" s="112" t="str">
        <f ca="1"/>
        <v/>
      </c>
    </row>
    <row r="2261" spans="1:9" ht="13.2">
      <c r="A2261" s="109" t="str">
        <f ca="1">IFERROR(__xludf.DUMMYFUNCTION("""COMPUTED_VALUE"""),"WC")</f>
        <v>WC</v>
      </c>
      <c r="B2261" s="108" t="str">
        <f ca="1">IFERROR(__xludf.DUMMYFUNCTION("""COMPUTED_VALUE"""),"Kaitlin Ebaugh")</f>
        <v>Kaitlin Ebaugh</v>
      </c>
      <c r="C2261" s="109">
        <f ca="1">IFERROR(__xludf.DUMMYFUNCTION("""COMPUTED_VALUE"""),7)</f>
        <v>7</v>
      </c>
      <c r="D2261" s="109" t="str">
        <f ca="1">IFERROR(__xludf.DUMMYFUNCTION("""COMPUTED_VALUE"""),"G")</f>
        <v>G</v>
      </c>
      <c r="E2261" s="110" t="str">
        <f ca="1">IFERROR(__xludf.DUMMYFUNCTION("""COMPUTED_VALUE"""),"F")</f>
        <v>F</v>
      </c>
      <c r="F2261" s="114" t="str">
        <f ca="1">IFERROR(__xludf.DUMMYFUNCTION("""COMPUTED_VALUE"""),"J")</f>
        <v>J</v>
      </c>
      <c r="G2261" s="114">
        <f ca="1">IFERROR(__xludf.DUMMYFUNCTION("""COMPUTED_VALUE"""),4)</f>
        <v>4</v>
      </c>
      <c r="H2261" s="112" t="str">
        <f ca="1"/>
        <v/>
      </c>
      <c r="I2261" s="112" t="str">
        <f ca="1"/>
        <v/>
      </c>
    </row>
    <row r="2262" spans="1:9" ht="13.2">
      <c r="A2262" s="109" t="str">
        <f ca="1">IFERROR(__xludf.DUMMYFUNCTION("""COMPUTED_VALUE"""),"WC")</f>
        <v>WC</v>
      </c>
      <c r="B2262" s="108" t="str">
        <f ca="1">IFERROR(__xludf.DUMMYFUNCTION("""COMPUTED_VALUE"""),"Katherine Tkachuk")</f>
        <v>Katherine Tkachuk</v>
      </c>
      <c r="C2262" s="109">
        <f ca="1">IFERROR(__xludf.DUMMYFUNCTION("""COMPUTED_VALUE"""),10)</f>
        <v>10</v>
      </c>
      <c r="D2262" s="109" t="str">
        <f ca="1">IFERROR(__xludf.DUMMYFUNCTION("""COMPUTED_VALUE"""),"G")</f>
        <v>G</v>
      </c>
      <c r="E2262" s="110" t="str">
        <f ca="1">IFERROR(__xludf.DUMMYFUNCTION("""COMPUTED_VALUE"""),"F")</f>
        <v>F</v>
      </c>
      <c r="F2262" s="114" t="str">
        <f ca="1">IFERROR(__xludf.DUMMYFUNCTION("""COMPUTED_VALUE"""),"J")</f>
        <v>J</v>
      </c>
      <c r="G2262" s="114">
        <f ca="1">IFERROR(__xludf.DUMMYFUNCTION("""COMPUTED_VALUE"""),4)</f>
        <v>4</v>
      </c>
      <c r="H2262" s="112" t="str">
        <f ca="1"/>
        <v/>
      </c>
      <c r="I2262" s="112" t="str">
        <f ca="1"/>
        <v/>
      </c>
    </row>
    <row r="2263" spans="1:9" ht="13.2">
      <c r="A2263" s="109" t="str">
        <f ca="1">IFERROR(__xludf.DUMMYFUNCTION("""COMPUTED_VALUE"""),"WC")</f>
        <v>WC</v>
      </c>
      <c r="B2263" s="108" t="str">
        <f ca="1">IFERROR(__xludf.DUMMYFUNCTION("""COMPUTED_VALUE"""),"Leyat Belay")</f>
        <v>Leyat Belay</v>
      </c>
      <c r="C2263" s="109">
        <f ca="1">IFERROR(__xludf.DUMMYFUNCTION("""COMPUTED_VALUE"""),10)</f>
        <v>10</v>
      </c>
      <c r="D2263" s="109" t="str">
        <f ca="1">IFERROR(__xludf.DUMMYFUNCTION("""COMPUTED_VALUE"""),"G")</f>
        <v>G</v>
      </c>
      <c r="E2263" s="110" t="str">
        <f ca="1">IFERROR(__xludf.DUMMYFUNCTION("""COMPUTED_VALUE"""),"F")</f>
        <v>F</v>
      </c>
      <c r="F2263" s="114" t="str">
        <f ca="1">IFERROR(__xludf.DUMMYFUNCTION("""COMPUTED_VALUE"""),"J")</f>
        <v>J</v>
      </c>
      <c r="G2263" s="114">
        <f ca="1">IFERROR(__xludf.DUMMYFUNCTION("""COMPUTED_VALUE"""),4)</f>
        <v>4</v>
      </c>
      <c r="H2263" s="112" t="str">
        <f ca="1"/>
        <v/>
      </c>
      <c r="I2263" s="112" t="str">
        <f ca="1"/>
        <v/>
      </c>
    </row>
    <row r="2264" spans="1:9" ht="13.2">
      <c r="A2264" s="109" t="str">
        <f ca="1">IFERROR(__xludf.DUMMYFUNCTION("""COMPUTED_VALUE"""),"WC")</f>
        <v>WC</v>
      </c>
      <c r="B2264" s="108" t="str">
        <f ca="1">IFERROR(__xludf.DUMMYFUNCTION("""COMPUTED_VALUE"""),"Lily Verne")</f>
        <v>Lily Verne</v>
      </c>
      <c r="C2264" s="109">
        <f ca="1">IFERROR(__xludf.DUMMYFUNCTION("""COMPUTED_VALUE"""),9)</f>
        <v>9</v>
      </c>
      <c r="D2264" s="109" t="str">
        <f ca="1">IFERROR(__xludf.DUMMYFUNCTION("""COMPUTED_VALUE"""),"G")</f>
        <v>G</v>
      </c>
      <c r="E2264" s="110" t="str">
        <f ca="1">IFERROR(__xludf.DUMMYFUNCTION("""COMPUTED_VALUE"""),"F")</f>
        <v>F</v>
      </c>
      <c r="F2264" s="114" t="str">
        <f ca="1">IFERROR(__xludf.DUMMYFUNCTION("""COMPUTED_VALUE"""),"J")</f>
        <v>J</v>
      </c>
      <c r="G2264" s="114">
        <f ca="1">IFERROR(__xludf.DUMMYFUNCTION("""COMPUTED_VALUE"""),4)</f>
        <v>4</v>
      </c>
      <c r="H2264" s="112" t="str">
        <f ca="1"/>
        <v/>
      </c>
      <c r="I2264" s="112" t="str">
        <f ca="1"/>
        <v/>
      </c>
    </row>
    <row r="2265" spans="1:9" ht="13.2">
      <c r="A2265" s="109" t="str">
        <f ca="1">IFERROR(__xludf.DUMMYFUNCTION("""COMPUTED_VALUE"""),"WC")</f>
        <v>WC</v>
      </c>
      <c r="B2265" s="108" t="str">
        <f ca="1">IFERROR(__xludf.DUMMYFUNCTION("""COMPUTED_VALUE"""),"Lydia Bremer")</f>
        <v>Lydia Bremer</v>
      </c>
      <c r="C2265" s="109">
        <f ca="1">IFERROR(__xludf.DUMMYFUNCTION("""COMPUTED_VALUE"""),10)</f>
        <v>10</v>
      </c>
      <c r="D2265" s="109" t="str">
        <f ca="1">IFERROR(__xludf.DUMMYFUNCTION("""COMPUTED_VALUE"""),"G")</f>
        <v>G</v>
      </c>
      <c r="E2265" s="110" t="str">
        <f ca="1">IFERROR(__xludf.DUMMYFUNCTION("""COMPUTED_VALUE"""),"F")</f>
        <v>F</v>
      </c>
      <c r="F2265" s="114" t="str">
        <f ca="1">IFERROR(__xludf.DUMMYFUNCTION("""COMPUTED_VALUE"""),"J")</f>
        <v>J</v>
      </c>
      <c r="G2265" s="114">
        <f ca="1">IFERROR(__xludf.DUMMYFUNCTION("""COMPUTED_VALUE"""),4)</f>
        <v>4</v>
      </c>
      <c r="H2265" s="112" t="str">
        <f ca="1"/>
        <v/>
      </c>
      <c r="I2265" s="112" t="str">
        <f ca="1"/>
        <v/>
      </c>
    </row>
    <row r="2266" spans="1:9" ht="13.2">
      <c r="A2266" s="109" t="str">
        <f ca="1">IFERROR(__xludf.DUMMYFUNCTION("""COMPUTED_VALUE"""),"WC")</f>
        <v>WC</v>
      </c>
      <c r="B2266" s="108" t="str">
        <f ca="1">IFERROR(__xludf.DUMMYFUNCTION("""COMPUTED_VALUE"""),"Meena Belay")</f>
        <v>Meena Belay</v>
      </c>
      <c r="C2266" s="109">
        <f ca="1">IFERROR(__xludf.DUMMYFUNCTION("""COMPUTED_VALUE"""),7)</f>
        <v>7</v>
      </c>
      <c r="D2266" s="109" t="str">
        <f ca="1">IFERROR(__xludf.DUMMYFUNCTION("""COMPUTED_VALUE"""),"G")</f>
        <v>G</v>
      </c>
      <c r="E2266" s="110" t="str">
        <f ca="1">IFERROR(__xludf.DUMMYFUNCTION("""COMPUTED_VALUE"""),"F")</f>
        <v>F</v>
      </c>
      <c r="F2266" s="114" t="str">
        <f ca="1">IFERROR(__xludf.DUMMYFUNCTION("""COMPUTED_VALUE"""),"J")</f>
        <v>J</v>
      </c>
      <c r="G2266" s="114">
        <f ca="1">IFERROR(__xludf.DUMMYFUNCTION("""COMPUTED_VALUE"""),4)</f>
        <v>4</v>
      </c>
      <c r="H2266" s="112" t="str">
        <f ca="1"/>
        <v/>
      </c>
      <c r="I2266" s="112" t="str">
        <f ca="1"/>
        <v/>
      </c>
    </row>
    <row r="2267" spans="1:9" ht="13.2">
      <c r="A2267" s="109" t="str">
        <f ca="1">IFERROR(__xludf.DUMMYFUNCTION("""COMPUTED_VALUE"""),"WC")</f>
        <v>WC</v>
      </c>
      <c r="B2267" s="108" t="str">
        <f ca="1">IFERROR(__xludf.DUMMYFUNCTION("""COMPUTED_VALUE"""),"Natalie Geffen")</f>
        <v>Natalie Geffen</v>
      </c>
      <c r="C2267" s="109">
        <f ca="1">IFERROR(__xludf.DUMMYFUNCTION("""COMPUTED_VALUE"""),8)</f>
        <v>8</v>
      </c>
      <c r="D2267" s="109" t="str">
        <f ca="1">IFERROR(__xludf.DUMMYFUNCTION("""COMPUTED_VALUE"""),"G")</f>
        <v>G</v>
      </c>
      <c r="E2267" s="110" t="str">
        <f ca="1">IFERROR(__xludf.DUMMYFUNCTION("""COMPUTED_VALUE"""),"F")</f>
        <v>F</v>
      </c>
      <c r="F2267" s="114" t="str">
        <f ca="1">IFERROR(__xludf.DUMMYFUNCTION("""COMPUTED_VALUE"""),"J")</f>
        <v>J</v>
      </c>
      <c r="G2267" s="114">
        <f ca="1">IFERROR(__xludf.DUMMYFUNCTION("""COMPUTED_VALUE"""),4)</f>
        <v>4</v>
      </c>
      <c r="H2267" s="112" t="str">
        <f ca="1"/>
        <v/>
      </c>
      <c r="I2267" s="112" t="str">
        <f ca="1"/>
        <v/>
      </c>
    </row>
    <row r="2268" spans="1:9" ht="13.2">
      <c r="A2268" s="109" t="str">
        <f ca="1">IFERROR(__xludf.DUMMYFUNCTION("""COMPUTED_VALUE"""),"WC")</f>
        <v>WC</v>
      </c>
      <c r="B2268" s="108" t="str">
        <f ca="1">IFERROR(__xludf.DUMMYFUNCTION("""COMPUTED_VALUE"""),"Ryleigh Lamb")</f>
        <v>Ryleigh Lamb</v>
      </c>
      <c r="C2268" s="109">
        <f ca="1">IFERROR(__xludf.DUMMYFUNCTION("""COMPUTED_VALUE"""),7)</f>
        <v>7</v>
      </c>
      <c r="D2268" s="109" t="str">
        <f ca="1">IFERROR(__xludf.DUMMYFUNCTION("""COMPUTED_VALUE"""),"G")</f>
        <v>G</v>
      </c>
      <c r="E2268" s="110" t="str">
        <f ca="1">IFERROR(__xludf.DUMMYFUNCTION("""COMPUTED_VALUE"""),"F")</f>
        <v>F</v>
      </c>
      <c r="F2268" s="114" t="str">
        <f ca="1">IFERROR(__xludf.DUMMYFUNCTION("""COMPUTED_VALUE"""),"J")</f>
        <v>J</v>
      </c>
      <c r="G2268" s="114">
        <f ca="1">IFERROR(__xludf.DUMMYFUNCTION("""COMPUTED_VALUE"""),4)</f>
        <v>4</v>
      </c>
      <c r="H2268" s="112" t="str">
        <f ca="1"/>
        <v/>
      </c>
      <c r="I2268" s="112" t="str">
        <f ca="1"/>
        <v/>
      </c>
    </row>
    <row r="2269" spans="1:9" ht="13.2">
      <c r="A2269" s="109" t="str">
        <f ca="1">IFERROR(__xludf.DUMMYFUNCTION("""COMPUTED_VALUE"""),"WC")</f>
        <v>WC</v>
      </c>
      <c r="B2269" s="108" t="str">
        <f ca="1">IFERROR(__xludf.DUMMYFUNCTION("""COMPUTED_VALUE"""),"Jackson Steider")</f>
        <v>Jackson Steider</v>
      </c>
      <c r="C2269" s="109">
        <f ca="1">IFERROR(__xludf.DUMMYFUNCTION("""COMPUTED_VALUE"""),14)</f>
        <v>14</v>
      </c>
      <c r="D2269" s="109" t="str">
        <f ca="1">IFERROR(__xludf.DUMMYFUNCTION("""COMPUTED_VALUE"""),"B")</f>
        <v>B</v>
      </c>
      <c r="E2269" s="110" t="str">
        <f ca="1">IFERROR(__xludf.DUMMYFUNCTION("""COMPUTED_VALUE"""),"I")</f>
        <v>I</v>
      </c>
      <c r="F2269" s="114" t="str">
        <f ca="1">IFERROR(__xludf.DUMMYFUNCTION("""COMPUTED_VALUE"""),"S")</f>
        <v>S</v>
      </c>
      <c r="G2269" s="114">
        <f ca="1">IFERROR(__xludf.DUMMYFUNCTION("""COMPUTED_VALUE"""),4)</f>
        <v>4</v>
      </c>
      <c r="H2269" s="112" t="str">
        <f ca="1"/>
        <v/>
      </c>
      <c r="I2269" s="112" t="str">
        <f ca="1"/>
        <v/>
      </c>
    </row>
    <row r="2270" spans="1:9" ht="13.2">
      <c r="A2270" s="109" t="str">
        <f ca="1">IFERROR(__xludf.DUMMYFUNCTION("""COMPUTED_VALUE"""),"WC")</f>
        <v>WC</v>
      </c>
      <c r="B2270" s="108" t="str">
        <f ca="1">IFERROR(__xludf.DUMMYFUNCTION("""COMPUTED_VALUE"""),"Kaleb Abeye")</f>
        <v>Kaleb Abeye</v>
      </c>
      <c r="C2270" s="109">
        <f ca="1">IFERROR(__xludf.DUMMYFUNCTION("""COMPUTED_VALUE"""),14)</f>
        <v>14</v>
      </c>
      <c r="D2270" s="109" t="str">
        <f ca="1">IFERROR(__xludf.DUMMYFUNCTION("""COMPUTED_VALUE"""),"B")</f>
        <v>B</v>
      </c>
      <c r="E2270" s="110" t="str">
        <f ca="1">IFERROR(__xludf.DUMMYFUNCTION("""COMPUTED_VALUE"""),"I")</f>
        <v>I</v>
      </c>
      <c r="F2270" s="114" t="str">
        <f ca="1">IFERROR(__xludf.DUMMYFUNCTION("""COMPUTED_VALUE"""),"S")</f>
        <v>S</v>
      </c>
      <c r="G2270" s="114">
        <f ca="1">IFERROR(__xludf.DUMMYFUNCTION("""COMPUTED_VALUE"""),4)</f>
        <v>4</v>
      </c>
      <c r="H2270" s="112" t="str">
        <f ca="1"/>
        <v/>
      </c>
      <c r="I2270" s="112" t="str">
        <f ca="1"/>
        <v/>
      </c>
    </row>
    <row r="2271" spans="1:9" ht="13.2">
      <c r="A2271" s="109" t="str">
        <f ca="1">IFERROR(__xludf.DUMMYFUNCTION("""COMPUTED_VALUE"""),"WC")</f>
        <v>WC</v>
      </c>
      <c r="B2271" s="108" t="str">
        <f ca="1">IFERROR(__xludf.DUMMYFUNCTION("""COMPUTED_VALUE"""),"Luke Goodson")</f>
        <v>Luke Goodson</v>
      </c>
      <c r="C2271" s="109">
        <f ca="1">IFERROR(__xludf.DUMMYFUNCTION("""COMPUTED_VALUE"""),13)</f>
        <v>13</v>
      </c>
      <c r="D2271" s="109" t="str">
        <f ca="1">IFERROR(__xludf.DUMMYFUNCTION("""COMPUTED_VALUE"""),"B")</f>
        <v>B</v>
      </c>
      <c r="E2271" s="110" t="str">
        <f ca="1">IFERROR(__xludf.DUMMYFUNCTION("""COMPUTED_VALUE"""),"I")</f>
        <v>I</v>
      </c>
      <c r="F2271" s="114" t="str">
        <f ca="1">IFERROR(__xludf.DUMMYFUNCTION("""COMPUTED_VALUE"""),"S")</f>
        <v>S</v>
      </c>
      <c r="G2271" s="114">
        <f ca="1">IFERROR(__xludf.DUMMYFUNCTION("""COMPUTED_VALUE"""),4)</f>
        <v>4</v>
      </c>
      <c r="H2271" s="112" t="str">
        <f ca="1"/>
        <v/>
      </c>
      <c r="I2271" s="112" t="str">
        <f ca="1"/>
        <v/>
      </c>
    </row>
    <row r="2272" spans="1:9" ht="13.2">
      <c r="A2272" s="109" t="str">
        <f ca="1">IFERROR(__xludf.DUMMYFUNCTION("""COMPUTED_VALUE"""),"WC")</f>
        <v>WC</v>
      </c>
      <c r="B2272" s="108" t="str">
        <f ca="1">IFERROR(__xludf.DUMMYFUNCTION("""COMPUTED_VALUE"""),"Nathaniel Grannis")</f>
        <v>Nathaniel Grannis</v>
      </c>
      <c r="C2272" s="109">
        <f ca="1">IFERROR(__xludf.DUMMYFUNCTION("""COMPUTED_VALUE"""),13)</f>
        <v>13</v>
      </c>
      <c r="D2272" s="109" t="str">
        <f ca="1">IFERROR(__xludf.DUMMYFUNCTION("""COMPUTED_VALUE"""),"B")</f>
        <v>B</v>
      </c>
      <c r="E2272" s="110" t="str">
        <f ca="1">IFERROR(__xludf.DUMMYFUNCTION("""COMPUTED_VALUE"""),"I")</f>
        <v>I</v>
      </c>
      <c r="F2272" s="114" t="str">
        <f ca="1">IFERROR(__xludf.DUMMYFUNCTION("""COMPUTED_VALUE"""),"S")</f>
        <v>S</v>
      </c>
      <c r="G2272" s="114">
        <f ca="1">IFERROR(__xludf.DUMMYFUNCTION("""COMPUTED_VALUE"""),4)</f>
        <v>4</v>
      </c>
      <c r="H2272" s="112" t="str">
        <f ca="1"/>
        <v/>
      </c>
      <c r="I2272" s="112" t="str">
        <f ca="1"/>
        <v/>
      </c>
    </row>
    <row r="2273" spans="1:9" ht="13.2">
      <c r="A2273" s="109" t="str">
        <f ca="1">IFERROR(__xludf.DUMMYFUNCTION("""COMPUTED_VALUE"""),"WC")</f>
        <v>WC</v>
      </c>
      <c r="B2273" s="108" t="str">
        <f ca="1">IFERROR(__xludf.DUMMYFUNCTION("""COMPUTED_VALUE"""),"Nathnael Belay")</f>
        <v>Nathnael Belay</v>
      </c>
      <c r="C2273" s="109">
        <f ca="1">IFERROR(__xludf.DUMMYFUNCTION("""COMPUTED_VALUE"""),14)</f>
        <v>14</v>
      </c>
      <c r="D2273" s="109" t="str">
        <f ca="1">IFERROR(__xludf.DUMMYFUNCTION("""COMPUTED_VALUE"""),"B")</f>
        <v>B</v>
      </c>
      <c r="E2273" s="110" t="str">
        <f ca="1">IFERROR(__xludf.DUMMYFUNCTION("""COMPUTED_VALUE"""),"I")</f>
        <v>I</v>
      </c>
      <c r="F2273" s="114" t="str">
        <f ca="1">IFERROR(__xludf.DUMMYFUNCTION("""COMPUTED_VALUE"""),"S")</f>
        <v>S</v>
      </c>
      <c r="G2273" s="114">
        <f ca="1">IFERROR(__xludf.DUMMYFUNCTION("""COMPUTED_VALUE"""),4)</f>
        <v>4</v>
      </c>
      <c r="H2273" s="112" t="str">
        <f ca="1"/>
        <v/>
      </c>
      <c r="I2273" s="112" t="str">
        <f ca="1"/>
        <v/>
      </c>
    </row>
    <row r="2274" spans="1:9" ht="13.2">
      <c r="A2274" s="109" t="str">
        <f ca="1">IFERROR(__xludf.DUMMYFUNCTION("""COMPUTED_VALUE"""),"WC")</f>
        <v>WC</v>
      </c>
      <c r="B2274" s="108" t="str">
        <f ca="1">IFERROR(__xludf.DUMMYFUNCTION("""COMPUTED_VALUE"""),"AnnaGrace Mansfield")</f>
        <v>AnnaGrace Mansfield</v>
      </c>
      <c r="C2274" s="109">
        <f ca="1">IFERROR(__xludf.DUMMYFUNCTION("""COMPUTED_VALUE"""),13)</f>
        <v>13</v>
      </c>
      <c r="D2274" s="109" t="str">
        <f ca="1">IFERROR(__xludf.DUMMYFUNCTION("""COMPUTED_VALUE"""),"G")</f>
        <v>G</v>
      </c>
      <c r="E2274" s="110" t="str">
        <f ca="1">IFERROR(__xludf.DUMMYFUNCTION("""COMPUTED_VALUE"""),"I")</f>
        <v>I</v>
      </c>
      <c r="F2274" s="114" t="str">
        <f ca="1">IFERROR(__xludf.DUMMYFUNCTION("""COMPUTED_VALUE"""),"S")</f>
        <v>S</v>
      </c>
      <c r="G2274" s="114">
        <f ca="1">IFERROR(__xludf.DUMMYFUNCTION("""COMPUTED_VALUE"""),4)</f>
        <v>4</v>
      </c>
      <c r="H2274" s="112" t="str">
        <f ca="1"/>
        <v/>
      </c>
      <c r="I2274" s="112" t="str">
        <f ca="1"/>
        <v/>
      </c>
    </row>
    <row r="2275" spans="1:9" ht="13.2">
      <c r="A2275" s="109" t="str">
        <f ca="1">IFERROR(__xludf.DUMMYFUNCTION("""COMPUTED_VALUE"""),"WC")</f>
        <v>WC</v>
      </c>
      <c r="B2275" s="108" t="str">
        <f ca="1">IFERROR(__xludf.DUMMYFUNCTION("""COMPUTED_VALUE"""),"Catalina Coronado")</f>
        <v>Catalina Coronado</v>
      </c>
      <c r="C2275" s="109">
        <f ca="1">IFERROR(__xludf.DUMMYFUNCTION("""COMPUTED_VALUE"""),13)</f>
        <v>13</v>
      </c>
      <c r="D2275" s="109" t="str">
        <f ca="1">IFERROR(__xludf.DUMMYFUNCTION("""COMPUTED_VALUE"""),"G")</f>
        <v>G</v>
      </c>
      <c r="E2275" s="110" t="str">
        <f ca="1">IFERROR(__xludf.DUMMYFUNCTION("""COMPUTED_VALUE"""),"I")</f>
        <v>I</v>
      </c>
      <c r="F2275" s="114" t="str">
        <f ca="1">IFERROR(__xludf.DUMMYFUNCTION("""COMPUTED_VALUE"""),"S")</f>
        <v>S</v>
      </c>
      <c r="G2275" s="114">
        <f ca="1">IFERROR(__xludf.DUMMYFUNCTION("""COMPUTED_VALUE"""),4)</f>
        <v>4</v>
      </c>
      <c r="H2275" s="112" t="str">
        <f ca="1"/>
        <v/>
      </c>
      <c r="I2275" s="112" t="str">
        <f ca="1"/>
        <v/>
      </c>
    </row>
    <row r="2276" spans="1:9" ht="13.2">
      <c r="A2276" s="109" t="str">
        <f ca="1">IFERROR(__xludf.DUMMYFUNCTION("""COMPUTED_VALUE"""),"WC")</f>
        <v>WC</v>
      </c>
      <c r="B2276" s="108" t="str">
        <f ca="1">IFERROR(__xludf.DUMMYFUNCTION("""COMPUTED_VALUE"""),"Elena Tkachuk")</f>
        <v>Elena Tkachuk</v>
      </c>
      <c r="C2276" s="109">
        <f ca="1">IFERROR(__xludf.DUMMYFUNCTION("""COMPUTED_VALUE"""),14)</f>
        <v>14</v>
      </c>
      <c r="D2276" s="109" t="str">
        <f ca="1">IFERROR(__xludf.DUMMYFUNCTION("""COMPUTED_VALUE"""),"G")</f>
        <v>G</v>
      </c>
      <c r="E2276" s="110" t="str">
        <f ca="1">IFERROR(__xludf.DUMMYFUNCTION("""COMPUTED_VALUE"""),"I")</f>
        <v>I</v>
      </c>
      <c r="F2276" s="114" t="str">
        <f ca="1">IFERROR(__xludf.DUMMYFUNCTION("""COMPUTED_VALUE"""),"S")</f>
        <v>S</v>
      </c>
      <c r="G2276" s="114">
        <f ca="1">IFERROR(__xludf.DUMMYFUNCTION("""COMPUTED_VALUE"""),4)</f>
        <v>4</v>
      </c>
      <c r="H2276" s="112" t="str">
        <f ca="1"/>
        <v/>
      </c>
      <c r="I2276" s="112" t="str">
        <f ca="1"/>
        <v/>
      </c>
    </row>
    <row r="2277" spans="1:9" ht="13.2">
      <c r="A2277" s="109" t="str">
        <f ca="1">IFERROR(__xludf.DUMMYFUNCTION("""COMPUTED_VALUE"""),"WC")</f>
        <v>WC</v>
      </c>
      <c r="B2277" s="108" t="str">
        <f ca="1">IFERROR(__xludf.DUMMYFUNCTION("""COMPUTED_VALUE"""),"Elle Marshall")</f>
        <v>Elle Marshall</v>
      </c>
      <c r="C2277" s="109">
        <f ca="1">IFERROR(__xludf.DUMMYFUNCTION("""COMPUTED_VALUE"""),13)</f>
        <v>13</v>
      </c>
      <c r="D2277" s="109" t="str">
        <f ca="1">IFERROR(__xludf.DUMMYFUNCTION("""COMPUTED_VALUE"""),"G")</f>
        <v>G</v>
      </c>
      <c r="E2277" s="110" t="str">
        <f ca="1">IFERROR(__xludf.DUMMYFUNCTION("""COMPUTED_VALUE"""),"I")</f>
        <v>I</v>
      </c>
      <c r="F2277" s="114" t="str">
        <f ca="1">IFERROR(__xludf.DUMMYFUNCTION("""COMPUTED_VALUE"""),"S")</f>
        <v>S</v>
      </c>
      <c r="G2277" s="114">
        <f ca="1">IFERROR(__xludf.DUMMYFUNCTION("""COMPUTED_VALUE"""),4)</f>
        <v>4</v>
      </c>
      <c r="H2277" s="112" t="str">
        <f ca="1"/>
        <v/>
      </c>
      <c r="I2277" s="112" t="str">
        <f ca="1"/>
        <v/>
      </c>
    </row>
    <row r="2278" spans="1:9" ht="13.2">
      <c r="A2278" s="109" t="str">
        <f ca="1">IFERROR(__xludf.DUMMYFUNCTION("""COMPUTED_VALUE"""),"WC")</f>
        <v>WC</v>
      </c>
      <c r="B2278" s="108" t="str">
        <f ca="1">IFERROR(__xludf.DUMMYFUNCTION("""COMPUTED_VALUE"""),"Gabrielle Miranda")</f>
        <v>Gabrielle Miranda</v>
      </c>
      <c r="C2278" s="109">
        <f ca="1">IFERROR(__xludf.DUMMYFUNCTION("""COMPUTED_VALUE"""),13)</f>
        <v>13</v>
      </c>
      <c r="D2278" s="109" t="str">
        <f ca="1">IFERROR(__xludf.DUMMYFUNCTION("""COMPUTED_VALUE"""),"G")</f>
        <v>G</v>
      </c>
      <c r="E2278" s="110" t="str">
        <f ca="1">IFERROR(__xludf.DUMMYFUNCTION("""COMPUTED_VALUE"""),"I")</f>
        <v>I</v>
      </c>
      <c r="F2278" s="114" t="str">
        <f ca="1">IFERROR(__xludf.DUMMYFUNCTION("""COMPUTED_VALUE"""),"S")</f>
        <v>S</v>
      </c>
      <c r="G2278" s="114">
        <f ca="1">IFERROR(__xludf.DUMMYFUNCTION("""COMPUTED_VALUE"""),4)</f>
        <v>4</v>
      </c>
      <c r="H2278" s="112" t="str">
        <f ca="1"/>
        <v/>
      </c>
      <c r="I2278" s="112" t="str">
        <f ca="1"/>
        <v/>
      </c>
    </row>
    <row r="2279" spans="1:9" ht="13.2">
      <c r="A2279" s="109" t="str">
        <f ca="1">IFERROR(__xludf.DUMMYFUNCTION("""COMPUTED_VALUE"""),"WC")</f>
        <v>WC</v>
      </c>
      <c r="B2279" s="108" t="str">
        <f ca="1">IFERROR(__xludf.DUMMYFUNCTION("""COMPUTED_VALUE"""),"Kendall Schottler")</f>
        <v>Kendall Schottler</v>
      </c>
      <c r="C2279" s="109">
        <f ca="1">IFERROR(__xludf.DUMMYFUNCTION("""COMPUTED_VALUE"""),13)</f>
        <v>13</v>
      </c>
      <c r="D2279" s="109" t="str">
        <f ca="1">IFERROR(__xludf.DUMMYFUNCTION("""COMPUTED_VALUE"""),"G")</f>
        <v>G</v>
      </c>
      <c r="E2279" s="110" t="str">
        <f ca="1">IFERROR(__xludf.DUMMYFUNCTION("""COMPUTED_VALUE"""),"I")</f>
        <v>I</v>
      </c>
      <c r="F2279" s="114" t="str">
        <f ca="1">IFERROR(__xludf.DUMMYFUNCTION("""COMPUTED_VALUE"""),"S")</f>
        <v>S</v>
      </c>
      <c r="G2279" s="114">
        <f ca="1">IFERROR(__xludf.DUMMYFUNCTION("""COMPUTED_VALUE"""),4)</f>
        <v>4</v>
      </c>
      <c r="H2279" s="112" t="str">
        <f ca="1"/>
        <v/>
      </c>
      <c r="I2279" s="112" t="str">
        <f ca="1"/>
        <v/>
      </c>
    </row>
    <row r="2280" spans="1:9" ht="13.2">
      <c r="A2280" s="109" t="str">
        <f ca="1">IFERROR(__xludf.DUMMYFUNCTION("""COMPUTED_VALUE"""),"WC")</f>
        <v>WC</v>
      </c>
      <c r="B2280" s="108" t="str">
        <f ca="1">IFERROR(__xludf.DUMMYFUNCTION("""COMPUTED_VALUE"""),"Millie Manos")</f>
        <v>Millie Manos</v>
      </c>
      <c r="C2280" s="109">
        <f ca="1">IFERROR(__xludf.DUMMYFUNCTION("""COMPUTED_VALUE"""),14)</f>
        <v>14</v>
      </c>
      <c r="D2280" s="109" t="str">
        <f ca="1">IFERROR(__xludf.DUMMYFUNCTION("""COMPUTED_VALUE"""),"G")</f>
        <v>G</v>
      </c>
      <c r="E2280" s="110" t="str">
        <f ca="1">IFERROR(__xludf.DUMMYFUNCTION("""COMPUTED_VALUE"""),"I")</f>
        <v>I</v>
      </c>
      <c r="F2280" s="114" t="str">
        <f ca="1">IFERROR(__xludf.DUMMYFUNCTION("""COMPUTED_VALUE"""),"S")</f>
        <v>S</v>
      </c>
      <c r="G2280" s="114">
        <f ca="1">IFERROR(__xludf.DUMMYFUNCTION("""COMPUTED_VALUE"""),4)</f>
        <v>4</v>
      </c>
      <c r="H2280" s="112" t="str">
        <f ca="1"/>
        <v/>
      </c>
      <c r="I2280" s="112" t="str">
        <f ca="1"/>
        <v/>
      </c>
    </row>
    <row r="2281" spans="1:9" ht="13.2">
      <c r="A2281" s="109" t="str">
        <f ca="1">IFERROR(__xludf.DUMMYFUNCTION("""COMPUTED_VALUE"""),"WC")</f>
        <v>WC</v>
      </c>
      <c r="B2281" s="108" t="str">
        <f ca="1">IFERROR(__xludf.DUMMYFUNCTION("""COMPUTED_VALUE"""),"Carl White IV")</f>
        <v>Carl White IV</v>
      </c>
      <c r="C2281" s="109">
        <f ca="1">IFERROR(__xludf.DUMMYFUNCTION("""COMPUTED_VALUE"""),12)</f>
        <v>12</v>
      </c>
      <c r="D2281" s="109" t="str">
        <f ca="1">IFERROR(__xludf.DUMMYFUNCTION("""COMPUTED_VALUE"""),"B")</f>
        <v>B</v>
      </c>
      <c r="E2281" s="110" t="str">
        <f ca="1">IFERROR(__xludf.DUMMYFUNCTION("""COMPUTED_VALUE"""),"J")</f>
        <v>J</v>
      </c>
      <c r="F2281" s="114" t="str">
        <f ca="1">IFERROR(__xludf.DUMMYFUNCTION("""COMPUTED_VALUE"""),"I")</f>
        <v>I</v>
      </c>
      <c r="G2281" s="114">
        <f ca="1">IFERROR(__xludf.DUMMYFUNCTION("""COMPUTED_VALUE"""),4)</f>
        <v>4</v>
      </c>
      <c r="H2281" s="112" t="str">
        <f ca="1"/>
        <v/>
      </c>
      <c r="I2281" s="112" t="str">
        <f ca="1"/>
        <v/>
      </c>
    </row>
    <row r="2282" spans="1:9" ht="13.2">
      <c r="A2282" s="109" t="str">
        <f ca="1">IFERROR(__xludf.DUMMYFUNCTION("""COMPUTED_VALUE"""),"WC")</f>
        <v>WC</v>
      </c>
      <c r="B2282" s="108" t="str">
        <f ca="1">IFERROR(__xludf.DUMMYFUNCTION("""COMPUTED_VALUE"""),"Dylan Platt")</f>
        <v>Dylan Platt</v>
      </c>
      <c r="C2282" s="109">
        <f ca="1">IFERROR(__xludf.DUMMYFUNCTION("""COMPUTED_VALUE"""),12)</f>
        <v>12</v>
      </c>
      <c r="D2282" s="109" t="str">
        <f ca="1">IFERROR(__xludf.DUMMYFUNCTION("""COMPUTED_VALUE"""),"B")</f>
        <v>B</v>
      </c>
      <c r="E2282" s="110" t="str">
        <f ca="1">IFERROR(__xludf.DUMMYFUNCTION("""COMPUTED_VALUE"""),"J")</f>
        <v>J</v>
      </c>
      <c r="F2282" s="114" t="str">
        <f ca="1">IFERROR(__xludf.DUMMYFUNCTION("""COMPUTED_VALUE"""),"I")</f>
        <v>I</v>
      </c>
      <c r="G2282" s="114">
        <f ca="1">IFERROR(__xludf.DUMMYFUNCTION("""COMPUTED_VALUE"""),4)</f>
        <v>4</v>
      </c>
      <c r="H2282" s="112" t="str">
        <f ca="1"/>
        <v/>
      </c>
      <c r="I2282" s="112" t="str">
        <f ca="1"/>
        <v/>
      </c>
    </row>
    <row r="2283" spans="1:9" ht="13.2">
      <c r="A2283" s="109" t="str">
        <f ca="1">IFERROR(__xludf.DUMMYFUNCTION("""COMPUTED_VALUE"""),"WC")</f>
        <v>WC</v>
      </c>
      <c r="B2283" s="108" t="str">
        <f ca="1">IFERROR(__xludf.DUMMYFUNCTION("""COMPUTED_VALUE"""),"Joshua Thompson")</f>
        <v>Joshua Thompson</v>
      </c>
      <c r="C2283" s="109">
        <f ca="1">IFERROR(__xludf.DUMMYFUNCTION("""COMPUTED_VALUE"""),11)</f>
        <v>11</v>
      </c>
      <c r="D2283" s="109" t="str">
        <f ca="1">IFERROR(__xludf.DUMMYFUNCTION("""COMPUTED_VALUE"""),"B")</f>
        <v>B</v>
      </c>
      <c r="E2283" s="110" t="str">
        <f ca="1">IFERROR(__xludf.DUMMYFUNCTION("""COMPUTED_VALUE"""),"J")</f>
        <v>J</v>
      </c>
      <c r="F2283" s="114" t="str">
        <f ca="1">IFERROR(__xludf.DUMMYFUNCTION("""COMPUTED_VALUE"""),"I")</f>
        <v>I</v>
      </c>
      <c r="G2283" s="114">
        <f ca="1">IFERROR(__xludf.DUMMYFUNCTION("""COMPUTED_VALUE"""),4)</f>
        <v>4</v>
      </c>
      <c r="H2283" s="112" t="str">
        <f ca="1"/>
        <v/>
      </c>
      <c r="I2283" s="112" t="str">
        <f ca="1"/>
        <v/>
      </c>
    </row>
    <row r="2284" spans="1:9" ht="13.2">
      <c r="A2284" s="109" t="str">
        <f ca="1">IFERROR(__xludf.DUMMYFUNCTION("""COMPUTED_VALUE"""),"WC")</f>
        <v>WC</v>
      </c>
      <c r="B2284" s="108" t="str">
        <f ca="1">IFERROR(__xludf.DUMMYFUNCTION("""COMPUTED_VALUE"""),"Matthew Lazo-Kaser")</f>
        <v>Matthew Lazo-Kaser</v>
      </c>
      <c r="C2284" s="109">
        <f ca="1">IFERROR(__xludf.DUMMYFUNCTION("""COMPUTED_VALUE"""),12)</f>
        <v>12</v>
      </c>
      <c r="D2284" s="109" t="str">
        <f ca="1">IFERROR(__xludf.DUMMYFUNCTION("""COMPUTED_VALUE"""),"B")</f>
        <v>B</v>
      </c>
      <c r="E2284" s="110" t="str">
        <f ca="1">IFERROR(__xludf.DUMMYFUNCTION("""COMPUTED_VALUE"""),"J")</f>
        <v>J</v>
      </c>
      <c r="F2284" s="114" t="str">
        <f ca="1">IFERROR(__xludf.DUMMYFUNCTION("""COMPUTED_VALUE"""),"I")</f>
        <v>I</v>
      </c>
      <c r="G2284" s="114">
        <f ca="1">IFERROR(__xludf.DUMMYFUNCTION("""COMPUTED_VALUE"""),4)</f>
        <v>4</v>
      </c>
      <c r="H2284" s="112" t="str">
        <f ca="1"/>
        <v/>
      </c>
      <c r="I2284" s="112" t="str">
        <f ca="1"/>
        <v/>
      </c>
    </row>
    <row r="2285" spans="1:9" ht="13.2">
      <c r="A2285" s="109" t="str">
        <f ca="1">IFERROR(__xludf.DUMMYFUNCTION("""COMPUTED_VALUE"""),"WC")</f>
        <v>WC</v>
      </c>
      <c r="B2285" s="108" t="str">
        <f ca="1">IFERROR(__xludf.DUMMYFUNCTION("""COMPUTED_VALUE"""),"Seamus McNamara")</f>
        <v>Seamus McNamara</v>
      </c>
      <c r="C2285" s="109">
        <f ca="1">IFERROR(__xludf.DUMMYFUNCTION("""COMPUTED_VALUE"""),12)</f>
        <v>12</v>
      </c>
      <c r="D2285" s="109" t="str">
        <f ca="1">IFERROR(__xludf.DUMMYFUNCTION("""COMPUTED_VALUE"""),"B")</f>
        <v>B</v>
      </c>
      <c r="E2285" s="110" t="str">
        <f ca="1">IFERROR(__xludf.DUMMYFUNCTION("""COMPUTED_VALUE"""),"J")</f>
        <v>J</v>
      </c>
      <c r="F2285" s="114" t="str">
        <f ca="1">IFERROR(__xludf.DUMMYFUNCTION("""COMPUTED_VALUE"""),"I")</f>
        <v>I</v>
      </c>
      <c r="G2285" s="114">
        <f ca="1">IFERROR(__xludf.DUMMYFUNCTION("""COMPUTED_VALUE"""),4)</f>
        <v>4</v>
      </c>
      <c r="H2285" s="112" t="str">
        <f ca="1"/>
        <v/>
      </c>
      <c r="I2285" s="112" t="str">
        <f ca="1"/>
        <v/>
      </c>
    </row>
    <row r="2286" spans="1:9" ht="13.2">
      <c r="A2286" s="109" t="str">
        <f ca="1">IFERROR(__xludf.DUMMYFUNCTION("""COMPUTED_VALUE"""),"WC")</f>
        <v>WC</v>
      </c>
      <c r="B2286" s="108" t="str">
        <f ca="1">IFERROR(__xludf.DUMMYFUNCTION("""COMPUTED_VALUE"""),"Alexa Mansuy")</f>
        <v>Alexa Mansuy</v>
      </c>
      <c r="C2286" s="109">
        <f ca="1">IFERROR(__xludf.DUMMYFUNCTION("""COMPUTED_VALUE"""),11)</f>
        <v>11</v>
      </c>
      <c r="D2286" s="109" t="str">
        <f ca="1">IFERROR(__xludf.DUMMYFUNCTION("""COMPUTED_VALUE"""),"G")</f>
        <v>G</v>
      </c>
      <c r="E2286" s="110" t="str">
        <f ca="1">IFERROR(__xludf.DUMMYFUNCTION("""COMPUTED_VALUE"""),"J")</f>
        <v>J</v>
      </c>
      <c r="F2286" s="114" t="str">
        <f ca="1">IFERROR(__xludf.DUMMYFUNCTION("""COMPUTED_VALUE"""),"I")</f>
        <v>I</v>
      </c>
      <c r="G2286" s="114">
        <f ca="1">IFERROR(__xludf.DUMMYFUNCTION("""COMPUTED_VALUE"""),4)</f>
        <v>4</v>
      </c>
      <c r="H2286" s="112" t="str">
        <f ca="1"/>
        <v/>
      </c>
      <c r="I2286" s="112" t="str">
        <f ca="1"/>
        <v/>
      </c>
    </row>
    <row r="2287" spans="1:9" ht="13.2">
      <c r="A2287" s="109" t="str">
        <f ca="1">IFERROR(__xludf.DUMMYFUNCTION("""COMPUTED_VALUE"""),"WC")</f>
        <v>WC</v>
      </c>
      <c r="B2287" s="108" t="str">
        <f ca="1">IFERROR(__xludf.DUMMYFUNCTION("""COMPUTED_VALUE"""),"Charlotte Fay")</f>
        <v>Charlotte Fay</v>
      </c>
      <c r="C2287" s="109">
        <f ca="1">IFERROR(__xludf.DUMMYFUNCTION("""COMPUTED_VALUE"""),11)</f>
        <v>11</v>
      </c>
      <c r="D2287" s="109" t="str">
        <f ca="1">IFERROR(__xludf.DUMMYFUNCTION("""COMPUTED_VALUE"""),"G")</f>
        <v>G</v>
      </c>
      <c r="E2287" s="110" t="str">
        <f ca="1">IFERROR(__xludf.DUMMYFUNCTION("""COMPUTED_VALUE"""),"J")</f>
        <v>J</v>
      </c>
      <c r="F2287" s="114" t="str">
        <f ca="1">IFERROR(__xludf.DUMMYFUNCTION("""COMPUTED_VALUE"""),"I")</f>
        <v>I</v>
      </c>
      <c r="G2287" s="114">
        <f ca="1">IFERROR(__xludf.DUMMYFUNCTION("""COMPUTED_VALUE"""),4)</f>
        <v>4</v>
      </c>
      <c r="H2287" s="112" t="str">
        <f ca="1"/>
        <v/>
      </c>
      <c r="I2287" s="112" t="str">
        <f ca="1"/>
        <v/>
      </c>
    </row>
    <row r="2288" spans="1:9" ht="13.2">
      <c r="A2288" s="109" t="str">
        <f ca="1">IFERROR(__xludf.DUMMYFUNCTION("""COMPUTED_VALUE"""),"WC")</f>
        <v>WC</v>
      </c>
      <c r="B2288" s="108" t="str">
        <f ca="1">IFERROR(__xludf.DUMMYFUNCTION("""COMPUTED_VALUE"""),"Madison Ebaugh")</f>
        <v>Madison Ebaugh</v>
      </c>
      <c r="C2288" s="109">
        <f ca="1">IFERROR(__xludf.DUMMYFUNCTION("""COMPUTED_VALUE"""),12)</f>
        <v>12</v>
      </c>
      <c r="D2288" s="109" t="str">
        <f ca="1">IFERROR(__xludf.DUMMYFUNCTION("""COMPUTED_VALUE"""),"G")</f>
        <v>G</v>
      </c>
      <c r="E2288" s="110" t="str">
        <f ca="1">IFERROR(__xludf.DUMMYFUNCTION("""COMPUTED_VALUE"""),"J")</f>
        <v>J</v>
      </c>
      <c r="F2288" s="114" t="str">
        <f ca="1">IFERROR(__xludf.DUMMYFUNCTION("""COMPUTED_VALUE"""),"I")</f>
        <v>I</v>
      </c>
      <c r="G2288" s="114">
        <f ca="1">IFERROR(__xludf.DUMMYFUNCTION("""COMPUTED_VALUE"""),4)</f>
        <v>4</v>
      </c>
      <c r="H2288" s="112" t="str">
        <f ca="1"/>
        <v/>
      </c>
      <c r="I2288" s="112" t="str">
        <f ca="1"/>
        <v/>
      </c>
    </row>
    <row r="2289" spans="1:9" ht="13.2">
      <c r="A2289" s="109" t="str">
        <f ca="1">IFERROR(__xludf.DUMMYFUNCTION("""COMPUTED_VALUE"""),"WC")</f>
        <v>WC</v>
      </c>
      <c r="B2289" s="108" t="str">
        <f ca="1">IFERROR(__xludf.DUMMYFUNCTION("""COMPUTED_VALUE"""),"Sophie Pinkston")</f>
        <v>Sophie Pinkston</v>
      </c>
      <c r="C2289" s="109">
        <f ca="1">IFERROR(__xludf.DUMMYFUNCTION("""COMPUTED_VALUE"""),12)</f>
        <v>12</v>
      </c>
      <c r="D2289" s="109" t="str">
        <f ca="1">IFERROR(__xludf.DUMMYFUNCTION("""COMPUTED_VALUE"""),"G")</f>
        <v>G</v>
      </c>
      <c r="E2289" s="110" t="str">
        <f ca="1">IFERROR(__xludf.DUMMYFUNCTION("""COMPUTED_VALUE"""),"J")</f>
        <v>J</v>
      </c>
      <c r="F2289" s="114" t="str">
        <f ca="1">IFERROR(__xludf.DUMMYFUNCTION("""COMPUTED_VALUE"""),"I")</f>
        <v>I</v>
      </c>
      <c r="G2289" s="114">
        <f ca="1">IFERROR(__xludf.DUMMYFUNCTION("""COMPUTED_VALUE"""),4)</f>
        <v>4</v>
      </c>
      <c r="H2289" s="112" t="str">
        <f ca="1"/>
        <v/>
      </c>
      <c r="I2289" s="112" t="str">
        <f ca="1"/>
        <v/>
      </c>
    </row>
    <row r="2290" spans="1:9" ht="13.2">
      <c r="A2290" s="109" t="str">
        <f ca="1">IFERROR(__xludf.DUMMYFUNCTION("""COMPUTED_VALUE"""),"WC")</f>
        <v>WC</v>
      </c>
      <c r="B2290" s="108" t="str">
        <f ca="1">IFERROR(__xludf.DUMMYFUNCTION("""COMPUTED_VALUE"""),"Aidan Thomas")</f>
        <v>Aidan Thomas</v>
      </c>
      <c r="C2290" s="109">
        <f ca="1">IFERROR(__xludf.DUMMYFUNCTION("""COMPUTED_VALUE"""),18)</f>
        <v>18</v>
      </c>
      <c r="D2290" s="109" t="str">
        <f ca="1">IFERROR(__xludf.DUMMYFUNCTION("""COMPUTED_VALUE"""),"B")</f>
        <v>B</v>
      </c>
      <c r="E2290" s="110" t="str">
        <f ca="1">IFERROR(__xludf.DUMMYFUNCTION("""COMPUTED_VALUE"""),"S")</f>
        <v>S</v>
      </c>
      <c r="F2290" s="114" t="str">
        <f ca="1">IFERROR(__xludf.DUMMYFUNCTION("""COMPUTED_VALUE"""),"S")</f>
        <v>S</v>
      </c>
      <c r="G2290" s="114">
        <f ca="1">IFERROR(__xludf.DUMMYFUNCTION("""COMPUTED_VALUE"""),4)</f>
        <v>4</v>
      </c>
      <c r="H2290" s="112" t="str">
        <f ca="1"/>
        <v/>
      </c>
      <c r="I2290" s="112" t="str">
        <f ca="1"/>
        <v/>
      </c>
    </row>
    <row r="2291" spans="1:9" ht="13.2">
      <c r="A2291" s="109" t="str">
        <f ca="1">IFERROR(__xludf.DUMMYFUNCTION("""COMPUTED_VALUE"""),"WC")</f>
        <v>WC</v>
      </c>
      <c r="B2291" s="108" t="str">
        <f ca="1">IFERROR(__xludf.DUMMYFUNCTION("""COMPUTED_VALUE"""),"Champe Mitchell")</f>
        <v>Champe Mitchell</v>
      </c>
      <c r="C2291" s="109">
        <f ca="1">IFERROR(__xludf.DUMMYFUNCTION("""COMPUTED_VALUE"""),16)</f>
        <v>16</v>
      </c>
      <c r="D2291" s="109" t="str">
        <f ca="1">IFERROR(__xludf.DUMMYFUNCTION("""COMPUTED_VALUE"""),"B")</f>
        <v>B</v>
      </c>
      <c r="E2291" s="110" t="str">
        <f ca="1">IFERROR(__xludf.DUMMYFUNCTION("""COMPUTED_VALUE"""),"S")</f>
        <v>S</v>
      </c>
      <c r="F2291" s="114" t="str">
        <f ca="1">IFERROR(__xludf.DUMMYFUNCTION("""COMPUTED_VALUE"""),"S")</f>
        <v>S</v>
      </c>
      <c r="G2291" s="114">
        <f ca="1">IFERROR(__xludf.DUMMYFUNCTION("""COMPUTED_VALUE"""),4)</f>
        <v>4</v>
      </c>
      <c r="H2291" s="112" t="str">
        <f ca="1"/>
        <v/>
      </c>
      <c r="I2291" s="112" t="str">
        <f ca="1"/>
        <v/>
      </c>
    </row>
    <row r="2292" spans="1:9" ht="13.2">
      <c r="A2292" s="109" t="str">
        <f ca="1">IFERROR(__xludf.DUMMYFUNCTION("""COMPUTED_VALUE"""),"WC")</f>
        <v>WC</v>
      </c>
      <c r="B2292" s="108" t="str">
        <f ca="1">IFERROR(__xludf.DUMMYFUNCTION("""COMPUTED_VALUE"""),"David Lyons")</f>
        <v>David Lyons</v>
      </c>
      <c r="C2292" s="109">
        <f ca="1">IFERROR(__xludf.DUMMYFUNCTION("""COMPUTED_VALUE"""),16)</f>
        <v>16</v>
      </c>
      <c r="D2292" s="109" t="str">
        <f ca="1">IFERROR(__xludf.DUMMYFUNCTION("""COMPUTED_VALUE"""),"B")</f>
        <v>B</v>
      </c>
      <c r="E2292" s="110" t="str">
        <f ca="1">IFERROR(__xludf.DUMMYFUNCTION("""COMPUTED_VALUE"""),"S")</f>
        <v>S</v>
      </c>
      <c r="F2292" s="114" t="str">
        <f ca="1">IFERROR(__xludf.DUMMYFUNCTION("""COMPUTED_VALUE"""),"S")</f>
        <v>S</v>
      </c>
      <c r="G2292" s="114">
        <f ca="1">IFERROR(__xludf.DUMMYFUNCTION("""COMPUTED_VALUE"""),4)</f>
        <v>4</v>
      </c>
      <c r="H2292" s="112" t="str">
        <f ca="1"/>
        <v/>
      </c>
      <c r="I2292" s="112" t="str">
        <f ca="1"/>
        <v/>
      </c>
    </row>
    <row r="2293" spans="1:9" ht="13.2">
      <c r="A2293" s="109" t="str">
        <f ca="1">IFERROR(__xludf.DUMMYFUNCTION("""COMPUTED_VALUE"""),"WC")</f>
        <v>WC</v>
      </c>
      <c r="B2293" s="108" t="str">
        <f ca="1">IFERROR(__xludf.DUMMYFUNCTION("""COMPUTED_VALUE"""),"Jake Goodson")</f>
        <v>Jake Goodson</v>
      </c>
      <c r="C2293" s="109">
        <f ca="1">IFERROR(__xludf.DUMMYFUNCTION("""COMPUTED_VALUE"""),16)</f>
        <v>16</v>
      </c>
      <c r="D2293" s="109" t="str">
        <f ca="1">IFERROR(__xludf.DUMMYFUNCTION("""COMPUTED_VALUE"""),"B")</f>
        <v>B</v>
      </c>
      <c r="E2293" s="110" t="str">
        <f ca="1">IFERROR(__xludf.DUMMYFUNCTION("""COMPUTED_VALUE"""),"S")</f>
        <v>S</v>
      </c>
      <c r="F2293" s="114" t="str">
        <f ca="1">IFERROR(__xludf.DUMMYFUNCTION("""COMPUTED_VALUE"""),"S")</f>
        <v>S</v>
      </c>
      <c r="G2293" s="114">
        <f ca="1">IFERROR(__xludf.DUMMYFUNCTION("""COMPUTED_VALUE"""),4)</f>
        <v>4</v>
      </c>
      <c r="H2293" s="112" t="str">
        <f ca="1"/>
        <v/>
      </c>
      <c r="I2293" s="112" t="str">
        <f ca="1"/>
        <v/>
      </c>
    </row>
    <row r="2294" spans="1:9" ht="13.2">
      <c r="A2294" s="109" t="str">
        <f ca="1">IFERROR(__xludf.DUMMYFUNCTION("""COMPUTED_VALUE"""),"WC")</f>
        <v>WC</v>
      </c>
      <c r="B2294" s="108" t="str">
        <f ca="1">IFERROR(__xludf.DUMMYFUNCTION("""COMPUTED_VALUE"""),"Sean Binning")</f>
        <v>Sean Binning</v>
      </c>
      <c r="C2294" s="109">
        <f ca="1">IFERROR(__xludf.DUMMYFUNCTION("""COMPUTED_VALUE"""),18)</f>
        <v>18</v>
      </c>
      <c r="D2294" s="109" t="str">
        <f ca="1">IFERROR(__xludf.DUMMYFUNCTION("""COMPUTED_VALUE"""),"B")</f>
        <v>B</v>
      </c>
      <c r="E2294" s="110" t="str">
        <f ca="1">IFERROR(__xludf.DUMMYFUNCTION("""COMPUTED_VALUE"""),"S")</f>
        <v>S</v>
      </c>
      <c r="F2294" s="114" t="str">
        <f ca="1">IFERROR(__xludf.DUMMYFUNCTION("""COMPUTED_VALUE"""),"S")</f>
        <v>S</v>
      </c>
      <c r="G2294" s="114">
        <f ca="1">IFERROR(__xludf.DUMMYFUNCTION("""COMPUTED_VALUE"""),4)</f>
        <v>4</v>
      </c>
      <c r="H2294" s="112" t="str">
        <f ca="1"/>
        <v/>
      </c>
      <c r="I2294" s="112" t="str">
        <f ca="1"/>
        <v/>
      </c>
    </row>
    <row r="2295" spans="1:9" ht="13.2">
      <c r="A2295" s="109" t="str">
        <f ca="1">IFERROR(__xludf.DUMMYFUNCTION("""COMPUTED_VALUE"""),"WC")</f>
        <v>WC</v>
      </c>
      <c r="B2295" s="108" t="str">
        <f ca="1">IFERROR(__xludf.DUMMYFUNCTION("""COMPUTED_VALUE"""),"Olivia Coronado")</f>
        <v>Olivia Coronado</v>
      </c>
      <c r="C2295" s="109">
        <f ca="1">IFERROR(__xludf.DUMMYFUNCTION("""COMPUTED_VALUE"""),17)</f>
        <v>17</v>
      </c>
      <c r="D2295" s="109" t="str">
        <f ca="1">IFERROR(__xludf.DUMMYFUNCTION("""COMPUTED_VALUE"""),"G")</f>
        <v>G</v>
      </c>
      <c r="E2295" s="110" t="str">
        <f ca="1">IFERROR(__xludf.DUMMYFUNCTION("""COMPUTED_VALUE"""),"S")</f>
        <v>S</v>
      </c>
      <c r="F2295" s="114" t="str">
        <f ca="1">IFERROR(__xludf.DUMMYFUNCTION("""COMPUTED_VALUE"""),"S")</f>
        <v>S</v>
      </c>
      <c r="G2295" s="114">
        <f ca="1">IFERROR(__xludf.DUMMYFUNCTION("""COMPUTED_VALUE"""),4)</f>
        <v>4</v>
      </c>
      <c r="H2295" s="112" t="str">
        <f ca="1"/>
        <v/>
      </c>
      <c r="I2295" s="112" t="str">
        <f ca="1"/>
        <v/>
      </c>
    </row>
    <row r="2296" spans="1:9" ht="13.2">
      <c r="A2296" s="109" t="str">
        <f ca="1">IFERROR(__xludf.DUMMYFUNCTION("""COMPUTED_VALUE"""),"WC")</f>
        <v>WC</v>
      </c>
      <c r="B2296" s="108" t="str">
        <f ca="1">IFERROR(__xludf.DUMMYFUNCTION("""COMPUTED_VALUE"""),"Tea Coronado")</f>
        <v>Tea Coronado</v>
      </c>
      <c r="C2296" s="109">
        <f ca="1">IFERROR(__xludf.DUMMYFUNCTION("""COMPUTED_VALUE"""),15)</f>
        <v>15</v>
      </c>
      <c r="D2296" s="109" t="str">
        <f ca="1">IFERROR(__xludf.DUMMYFUNCTION("""COMPUTED_VALUE"""),"G")</f>
        <v>G</v>
      </c>
      <c r="E2296" s="110" t="str">
        <f ca="1">IFERROR(__xludf.DUMMYFUNCTION("""COMPUTED_VALUE"""),"S")</f>
        <v>S</v>
      </c>
      <c r="F2296" s="114" t="str">
        <f ca="1">IFERROR(__xludf.DUMMYFUNCTION("""COMPUTED_VALUE"""),"S")</f>
        <v>S</v>
      </c>
      <c r="G2296" s="114">
        <f ca="1">IFERROR(__xludf.DUMMYFUNCTION("""COMPUTED_VALUE"""),4)</f>
        <v>4</v>
      </c>
      <c r="H2296" s="112" t="str">
        <f ca="1"/>
        <v/>
      </c>
      <c r="I2296" s="112" t="str">
        <f ca="1"/>
        <v/>
      </c>
    </row>
    <row r="2297" spans="1:9" ht="13.2">
      <c r="A2297" s="109" t="str">
        <f ca="1">IFERROR(__xludf.DUMMYFUNCTION("""COMPUTED_VALUE"""),"WG")</f>
        <v>WG</v>
      </c>
      <c r="B2297" s="108" t="str">
        <f ca="1">IFERROR(__xludf.DUMMYFUNCTION("""COMPUTED_VALUE"""),"Aiden Merkel")</f>
        <v>Aiden Merkel</v>
      </c>
      <c r="C2297" s="109">
        <f ca="1">IFERROR(__xludf.DUMMYFUNCTION("""COMPUTED_VALUE"""),9)</f>
        <v>9</v>
      </c>
      <c r="D2297" s="109" t="str">
        <f ca="1">IFERROR(__xludf.DUMMYFUNCTION("""COMPUTED_VALUE"""),"B")</f>
        <v>B</v>
      </c>
      <c r="E2297" s="110" t="str">
        <f ca="1">IFERROR(__xludf.DUMMYFUNCTION("""COMPUTED_VALUE"""),"F")</f>
        <v>F</v>
      </c>
      <c r="F2297" s="114" t="str">
        <f ca="1">IFERROR(__xludf.DUMMYFUNCTION("""COMPUTED_VALUE"""),"J")</f>
        <v>J</v>
      </c>
      <c r="G2297" s="114">
        <f ca="1">IFERROR(__xludf.DUMMYFUNCTION("""COMPUTED_VALUE"""),2)</f>
        <v>2</v>
      </c>
      <c r="H2297" s="112" t="str">
        <f ca="1"/>
        <v/>
      </c>
      <c r="I2297" s="112" t="str">
        <f ca="1"/>
        <v/>
      </c>
    </row>
    <row r="2298" spans="1:9" ht="13.2">
      <c r="A2298" s="109" t="str">
        <f ca="1">IFERROR(__xludf.DUMMYFUNCTION("""COMPUTED_VALUE"""),"WG")</f>
        <v>WG</v>
      </c>
      <c r="B2298" s="108" t="str">
        <f ca="1">IFERROR(__xludf.DUMMYFUNCTION("""COMPUTED_VALUE"""),"Charlemagne Lalime")</f>
        <v>Charlemagne Lalime</v>
      </c>
      <c r="C2298" s="109">
        <f ca="1">IFERROR(__xludf.DUMMYFUNCTION("""COMPUTED_VALUE"""),8)</f>
        <v>8</v>
      </c>
      <c r="D2298" s="109" t="str">
        <f ca="1">IFERROR(__xludf.DUMMYFUNCTION("""COMPUTED_VALUE"""),"B")</f>
        <v>B</v>
      </c>
      <c r="E2298" s="110" t="str">
        <f ca="1">IFERROR(__xludf.DUMMYFUNCTION("""COMPUTED_VALUE"""),"F")</f>
        <v>F</v>
      </c>
      <c r="F2298" s="114" t="str">
        <f ca="1">IFERROR(__xludf.DUMMYFUNCTION("""COMPUTED_VALUE"""),"J")</f>
        <v>J</v>
      </c>
      <c r="G2298" s="114">
        <f ca="1">IFERROR(__xludf.DUMMYFUNCTION("""COMPUTED_VALUE"""),2)</f>
        <v>2</v>
      </c>
      <c r="H2298" s="112" t="str">
        <f ca="1"/>
        <v/>
      </c>
      <c r="I2298" s="112" t="str">
        <f ca="1"/>
        <v/>
      </c>
    </row>
    <row r="2299" spans="1:9" ht="13.2">
      <c r="A2299" s="109" t="str">
        <f ca="1">IFERROR(__xludf.DUMMYFUNCTION("""COMPUTED_VALUE"""),"WG")</f>
        <v>WG</v>
      </c>
      <c r="B2299" s="108" t="str">
        <f ca="1">IFERROR(__xludf.DUMMYFUNCTION("""COMPUTED_VALUE"""),"Evan Merkel")</f>
        <v>Evan Merkel</v>
      </c>
      <c r="C2299" s="109">
        <f ca="1">IFERROR(__xludf.DUMMYFUNCTION("""COMPUTED_VALUE"""),7)</f>
        <v>7</v>
      </c>
      <c r="D2299" s="109" t="str">
        <f ca="1">IFERROR(__xludf.DUMMYFUNCTION("""COMPUTED_VALUE"""),"B")</f>
        <v>B</v>
      </c>
      <c r="E2299" s="110" t="str">
        <f ca="1">IFERROR(__xludf.DUMMYFUNCTION("""COMPUTED_VALUE"""),"F")</f>
        <v>F</v>
      </c>
      <c r="F2299" s="114" t="str">
        <f ca="1">IFERROR(__xludf.DUMMYFUNCTION("""COMPUTED_VALUE"""),"J")</f>
        <v>J</v>
      </c>
      <c r="G2299" s="114">
        <f ca="1">IFERROR(__xludf.DUMMYFUNCTION("""COMPUTED_VALUE"""),2)</f>
        <v>2</v>
      </c>
      <c r="H2299" s="112" t="str">
        <f ca="1"/>
        <v>24</v>
      </c>
      <c r="I2299" s="112">
        <f ca="1"/>
        <v>24</v>
      </c>
    </row>
    <row r="2300" spans="1:9" ht="13.2">
      <c r="A2300" s="109" t="str">
        <f ca="1">IFERROR(__xludf.DUMMYFUNCTION("""COMPUTED_VALUE"""),"WG")</f>
        <v>WG</v>
      </c>
      <c r="B2300" s="108" t="str">
        <f ca="1">IFERROR(__xludf.DUMMYFUNCTION("""COMPUTED_VALUE"""),"Iggy Salaita")</f>
        <v>Iggy Salaita</v>
      </c>
      <c r="C2300" s="109">
        <f ca="1">IFERROR(__xludf.DUMMYFUNCTION("""COMPUTED_VALUE"""),9)</f>
        <v>9</v>
      </c>
      <c r="D2300" s="109" t="str">
        <f ca="1">IFERROR(__xludf.DUMMYFUNCTION("""COMPUTED_VALUE"""),"B")</f>
        <v>B</v>
      </c>
      <c r="E2300" s="110" t="str">
        <f ca="1">IFERROR(__xludf.DUMMYFUNCTION("""COMPUTED_VALUE"""),"F")</f>
        <v>F</v>
      </c>
      <c r="F2300" s="114" t="str">
        <f ca="1">IFERROR(__xludf.DUMMYFUNCTION("""COMPUTED_VALUE"""),"J")</f>
        <v>J</v>
      </c>
      <c r="G2300" s="114">
        <f ca="1">IFERROR(__xludf.DUMMYFUNCTION("""COMPUTED_VALUE"""),2)</f>
        <v>2</v>
      </c>
      <c r="H2300" s="112" t="str">
        <f ca="1"/>
        <v>15.8</v>
      </c>
      <c r="I2300" s="112">
        <f ca="1"/>
        <v>15.8</v>
      </c>
    </row>
    <row r="2301" spans="1:9" ht="13.2">
      <c r="A2301" s="109" t="str">
        <f ca="1">IFERROR(__xludf.DUMMYFUNCTION("""COMPUTED_VALUE"""),"WG")</f>
        <v>WG</v>
      </c>
      <c r="B2301" s="108" t="str">
        <f ca="1">IFERROR(__xludf.DUMMYFUNCTION("""COMPUTED_VALUE"""),"Jonah Lanthier")</f>
        <v>Jonah Lanthier</v>
      </c>
      <c r="C2301" s="109">
        <f ca="1">IFERROR(__xludf.DUMMYFUNCTION("""COMPUTED_VALUE"""),10)</f>
        <v>10</v>
      </c>
      <c r="D2301" s="109" t="str">
        <f ca="1">IFERROR(__xludf.DUMMYFUNCTION("""COMPUTED_VALUE"""),"B")</f>
        <v>B</v>
      </c>
      <c r="E2301" s="110" t="str">
        <f ca="1">IFERROR(__xludf.DUMMYFUNCTION("""COMPUTED_VALUE"""),"F")</f>
        <v>F</v>
      </c>
      <c r="F2301" s="114" t="str">
        <f ca="1">IFERROR(__xludf.DUMMYFUNCTION("""COMPUTED_VALUE"""),"J")</f>
        <v>J</v>
      </c>
      <c r="G2301" s="114">
        <f ca="1">IFERROR(__xludf.DUMMYFUNCTION("""COMPUTED_VALUE"""),2)</f>
        <v>2</v>
      </c>
      <c r="H2301" s="112" t="str">
        <f ca="1"/>
        <v/>
      </c>
      <c r="I2301" s="112" t="str">
        <f ca="1"/>
        <v/>
      </c>
    </row>
    <row r="2302" spans="1:9" ht="13.2">
      <c r="A2302" s="109" t="str">
        <f ca="1">IFERROR(__xludf.DUMMYFUNCTION("""COMPUTED_VALUE"""),"WG")</f>
        <v>WG</v>
      </c>
      <c r="B2302" s="108" t="str">
        <f ca="1">IFERROR(__xludf.DUMMYFUNCTION("""COMPUTED_VALUE"""),"Liam Seubert")</f>
        <v>Liam Seubert</v>
      </c>
      <c r="C2302" s="109">
        <f ca="1">IFERROR(__xludf.DUMMYFUNCTION("""COMPUTED_VALUE"""),8)</f>
        <v>8</v>
      </c>
      <c r="D2302" s="109" t="str">
        <f ca="1">IFERROR(__xludf.DUMMYFUNCTION("""COMPUTED_VALUE"""),"B")</f>
        <v>B</v>
      </c>
      <c r="E2302" s="110" t="str">
        <f ca="1">IFERROR(__xludf.DUMMYFUNCTION("""COMPUTED_VALUE"""),"F")</f>
        <v>F</v>
      </c>
      <c r="F2302" s="114" t="str">
        <f ca="1">IFERROR(__xludf.DUMMYFUNCTION("""COMPUTED_VALUE"""),"J")</f>
        <v>J</v>
      </c>
      <c r="G2302" s="114">
        <f ca="1">IFERROR(__xludf.DUMMYFUNCTION("""COMPUTED_VALUE"""),2)</f>
        <v>2</v>
      </c>
      <c r="H2302" s="112" t="str">
        <f ca="1"/>
        <v>21.25</v>
      </c>
      <c r="I2302" s="112">
        <f ca="1"/>
        <v>21.25</v>
      </c>
    </row>
    <row r="2303" spans="1:9" ht="13.2">
      <c r="A2303" s="109" t="str">
        <f ca="1">IFERROR(__xludf.DUMMYFUNCTION("""COMPUTED_VALUE"""),"WG")</f>
        <v>WG</v>
      </c>
      <c r="B2303" s="108" t="str">
        <f ca="1">IFERROR(__xludf.DUMMYFUNCTION("""COMPUTED_VALUE"""),"Owen Webb")</f>
        <v>Owen Webb</v>
      </c>
      <c r="C2303" s="109">
        <f ca="1">IFERROR(__xludf.DUMMYFUNCTION("""COMPUTED_VALUE"""),9)</f>
        <v>9</v>
      </c>
      <c r="D2303" s="109" t="str">
        <f ca="1">IFERROR(__xludf.DUMMYFUNCTION("""COMPUTED_VALUE"""),"B")</f>
        <v>B</v>
      </c>
      <c r="E2303" s="110" t="str">
        <f ca="1">IFERROR(__xludf.DUMMYFUNCTION("""COMPUTED_VALUE"""),"F")</f>
        <v>F</v>
      </c>
      <c r="F2303" s="114" t="str">
        <f ca="1">IFERROR(__xludf.DUMMYFUNCTION("""COMPUTED_VALUE"""),"J")</f>
        <v>J</v>
      </c>
      <c r="G2303" s="114">
        <f ca="1">IFERROR(__xludf.DUMMYFUNCTION("""COMPUTED_VALUE"""),2)</f>
        <v>2</v>
      </c>
      <c r="H2303" s="112" t="str">
        <f ca="1"/>
        <v/>
      </c>
      <c r="I2303" s="112" t="str">
        <f ca="1"/>
        <v/>
      </c>
    </row>
    <row r="2304" spans="1:9" ht="13.2">
      <c r="A2304" s="109" t="str">
        <f ca="1">IFERROR(__xludf.DUMMYFUNCTION("""COMPUTED_VALUE"""),"WG")</f>
        <v>WG</v>
      </c>
      <c r="B2304" s="108" t="str">
        <f ca="1">IFERROR(__xludf.DUMMYFUNCTION("""COMPUTED_VALUE"""),"Callyn Lalime")</f>
        <v>Callyn Lalime</v>
      </c>
      <c r="C2304" s="109">
        <f ca="1">IFERROR(__xludf.DUMMYFUNCTION("""COMPUTED_VALUE"""),10)</f>
        <v>10</v>
      </c>
      <c r="D2304" s="109" t="str">
        <f ca="1">IFERROR(__xludf.DUMMYFUNCTION("""COMPUTED_VALUE"""),"G")</f>
        <v>G</v>
      </c>
      <c r="E2304" s="110" t="str">
        <f ca="1">IFERROR(__xludf.DUMMYFUNCTION("""COMPUTED_VALUE"""),"F")</f>
        <v>F</v>
      </c>
      <c r="F2304" s="114" t="str">
        <f ca="1">IFERROR(__xludf.DUMMYFUNCTION("""COMPUTED_VALUE"""),"J")</f>
        <v>J</v>
      </c>
      <c r="G2304" s="114">
        <f ca="1">IFERROR(__xludf.DUMMYFUNCTION("""COMPUTED_VALUE"""),2)</f>
        <v>2</v>
      </c>
      <c r="H2304" s="112" t="str">
        <f ca="1"/>
        <v/>
      </c>
      <c r="I2304" s="112" t="str">
        <f ca="1"/>
        <v/>
      </c>
    </row>
    <row r="2305" spans="1:9" ht="13.2">
      <c r="A2305" s="109" t="str">
        <f ca="1">IFERROR(__xludf.DUMMYFUNCTION("""COMPUTED_VALUE"""),"WG")</f>
        <v>WG</v>
      </c>
      <c r="B2305" s="108" t="str">
        <f ca="1">IFERROR(__xludf.DUMMYFUNCTION("""COMPUTED_VALUE"""),"Daphne Hwang")</f>
        <v>Daphne Hwang</v>
      </c>
      <c r="C2305" s="109">
        <f ca="1">IFERROR(__xludf.DUMMYFUNCTION("""COMPUTED_VALUE"""),9)</f>
        <v>9</v>
      </c>
      <c r="D2305" s="109" t="str">
        <f ca="1">IFERROR(__xludf.DUMMYFUNCTION("""COMPUTED_VALUE"""),"G")</f>
        <v>G</v>
      </c>
      <c r="E2305" s="110" t="str">
        <f ca="1">IFERROR(__xludf.DUMMYFUNCTION("""COMPUTED_VALUE"""),"F")</f>
        <v>F</v>
      </c>
      <c r="F2305" s="114" t="str">
        <f ca="1">IFERROR(__xludf.DUMMYFUNCTION("""COMPUTED_VALUE"""),"J")</f>
        <v>J</v>
      </c>
      <c r="G2305" s="114">
        <f ca="1">IFERROR(__xludf.DUMMYFUNCTION("""COMPUTED_VALUE"""),2)</f>
        <v>2</v>
      </c>
      <c r="H2305" s="112" t="str">
        <f ca="1"/>
        <v/>
      </c>
      <c r="I2305" s="112" t="str">
        <f ca="1"/>
        <v/>
      </c>
    </row>
    <row r="2306" spans="1:9" ht="13.2">
      <c r="A2306" s="109" t="str">
        <f ca="1">IFERROR(__xludf.DUMMYFUNCTION("""COMPUTED_VALUE"""),"WG")</f>
        <v>WG</v>
      </c>
      <c r="B2306" s="108" t="str">
        <f ca="1">IFERROR(__xludf.DUMMYFUNCTION("""COMPUTED_VALUE"""),"Elin Geraghty")</f>
        <v>Elin Geraghty</v>
      </c>
      <c r="C2306" s="109">
        <f ca="1">IFERROR(__xludf.DUMMYFUNCTION("""COMPUTED_VALUE"""),9)</f>
        <v>9</v>
      </c>
      <c r="D2306" s="109" t="str">
        <f ca="1">IFERROR(__xludf.DUMMYFUNCTION("""COMPUTED_VALUE"""),"G")</f>
        <v>G</v>
      </c>
      <c r="E2306" s="110" t="str">
        <f ca="1">IFERROR(__xludf.DUMMYFUNCTION("""COMPUTED_VALUE"""),"F")</f>
        <v>F</v>
      </c>
      <c r="F2306" s="114" t="str">
        <f ca="1">IFERROR(__xludf.DUMMYFUNCTION("""COMPUTED_VALUE"""),"J")</f>
        <v>J</v>
      </c>
      <c r="G2306" s="114">
        <f ca="1">IFERROR(__xludf.DUMMYFUNCTION("""COMPUTED_VALUE"""),2)</f>
        <v>2</v>
      </c>
      <c r="H2306" s="112" t="str">
        <f ca="1"/>
        <v/>
      </c>
      <c r="I2306" s="112" t="str">
        <f ca="1"/>
        <v/>
      </c>
    </row>
    <row r="2307" spans="1:9" ht="13.2">
      <c r="A2307" s="109" t="str">
        <f ca="1">IFERROR(__xludf.DUMMYFUNCTION("""COMPUTED_VALUE"""),"WG")</f>
        <v>WG</v>
      </c>
      <c r="B2307" s="108" t="str">
        <f ca="1">IFERROR(__xludf.DUMMYFUNCTION("""COMPUTED_VALUE"""),"Emma Webb")</f>
        <v>Emma Webb</v>
      </c>
      <c r="C2307" s="109">
        <f ca="1">IFERROR(__xludf.DUMMYFUNCTION("""COMPUTED_VALUE"""),10)</f>
        <v>10</v>
      </c>
      <c r="D2307" s="109" t="str">
        <f ca="1">IFERROR(__xludf.DUMMYFUNCTION("""COMPUTED_VALUE"""),"G")</f>
        <v>G</v>
      </c>
      <c r="E2307" s="110" t="str">
        <f ca="1">IFERROR(__xludf.DUMMYFUNCTION("""COMPUTED_VALUE"""),"F")</f>
        <v>F</v>
      </c>
      <c r="F2307" s="114" t="str">
        <f ca="1">IFERROR(__xludf.DUMMYFUNCTION("""COMPUTED_VALUE"""),"J")</f>
        <v>J</v>
      </c>
      <c r="G2307" s="114">
        <f ca="1">IFERROR(__xludf.DUMMYFUNCTION("""COMPUTED_VALUE"""),2)</f>
        <v>2</v>
      </c>
      <c r="H2307" s="112" t="str">
        <f ca="1"/>
        <v/>
      </c>
      <c r="I2307" s="112" t="str">
        <f ca="1"/>
        <v/>
      </c>
    </row>
    <row r="2308" spans="1:9" ht="13.2">
      <c r="A2308" s="109" t="str">
        <f ca="1">IFERROR(__xludf.DUMMYFUNCTION("""COMPUTED_VALUE"""),"WG")</f>
        <v>WG</v>
      </c>
      <c r="B2308" s="108" t="str">
        <f ca="1">IFERROR(__xludf.DUMMYFUNCTION("""COMPUTED_VALUE"""),"Kaitlyn Ma")</f>
        <v>Kaitlyn Ma</v>
      </c>
      <c r="C2308" s="109">
        <f ca="1">IFERROR(__xludf.DUMMYFUNCTION("""COMPUTED_VALUE"""),10)</f>
        <v>10</v>
      </c>
      <c r="D2308" s="109" t="str">
        <f ca="1">IFERROR(__xludf.DUMMYFUNCTION("""COMPUTED_VALUE"""),"G")</f>
        <v>G</v>
      </c>
      <c r="E2308" s="110" t="str">
        <f ca="1">IFERROR(__xludf.DUMMYFUNCTION("""COMPUTED_VALUE"""),"F")</f>
        <v>F</v>
      </c>
      <c r="F2308" s="114" t="str">
        <f ca="1">IFERROR(__xludf.DUMMYFUNCTION("""COMPUTED_VALUE"""),"J")</f>
        <v>J</v>
      </c>
      <c r="G2308" s="114">
        <f ca="1">IFERROR(__xludf.DUMMYFUNCTION("""COMPUTED_VALUE"""),2)</f>
        <v>2</v>
      </c>
      <c r="H2308" s="112" t="str">
        <f ca="1"/>
        <v>33.65</v>
      </c>
      <c r="I2308" s="112">
        <f ca="1"/>
        <v>33.65</v>
      </c>
    </row>
    <row r="2309" spans="1:9" ht="13.2">
      <c r="A2309" s="109" t="str">
        <f ca="1">IFERROR(__xludf.DUMMYFUNCTION("""COMPUTED_VALUE"""),"WG")</f>
        <v>WG</v>
      </c>
      <c r="B2309" s="108" t="str">
        <f ca="1">IFERROR(__xludf.DUMMYFUNCTION("""COMPUTED_VALUE"""),"Maggie Donnelly")</f>
        <v>Maggie Donnelly</v>
      </c>
      <c r="C2309" s="109">
        <f ca="1">IFERROR(__xludf.DUMMYFUNCTION("""COMPUTED_VALUE"""),10)</f>
        <v>10</v>
      </c>
      <c r="D2309" s="109" t="str">
        <f ca="1">IFERROR(__xludf.DUMMYFUNCTION("""COMPUTED_VALUE"""),"G")</f>
        <v>G</v>
      </c>
      <c r="E2309" s="110" t="str">
        <f ca="1">IFERROR(__xludf.DUMMYFUNCTION("""COMPUTED_VALUE"""),"F")</f>
        <v>F</v>
      </c>
      <c r="F2309" s="114" t="str">
        <f ca="1">IFERROR(__xludf.DUMMYFUNCTION("""COMPUTED_VALUE"""),"J")</f>
        <v>J</v>
      </c>
      <c r="G2309" s="114">
        <f ca="1">IFERROR(__xludf.DUMMYFUNCTION("""COMPUTED_VALUE"""),2)</f>
        <v>2</v>
      </c>
      <c r="H2309" s="112" t="str">
        <f ca="1"/>
        <v/>
      </c>
      <c r="I2309" s="112" t="str">
        <f ca="1"/>
        <v/>
      </c>
    </row>
    <row r="2310" spans="1:9" ht="13.2">
      <c r="A2310" s="109" t="str">
        <f ca="1">IFERROR(__xludf.DUMMYFUNCTION("""COMPUTED_VALUE"""),"WG")</f>
        <v>WG</v>
      </c>
      <c r="B2310" s="108" t="str">
        <f ca="1">IFERROR(__xludf.DUMMYFUNCTION("""COMPUTED_VALUE"""),"Molly Donnelly")</f>
        <v>Molly Donnelly</v>
      </c>
      <c r="C2310" s="109">
        <f ca="1">IFERROR(__xludf.DUMMYFUNCTION("""COMPUTED_VALUE"""),8)</f>
        <v>8</v>
      </c>
      <c r="D2310" s="109" t="str">
        <f ca="1">IFERROR(__xludf.DUMMYFUNCTION("""COMPUTED_VALUE"""),"G")</f>
        <v>G</v>
      </c>
      <c r="E2310" s="110" t="str">
        <f ca="1">IFERROR(__xludf.DUMMYFUNCTION("""COMPUTED_VALUE"""),"F")</f>
        <v>F</v>
      </c>
      <c r="F2310" s="114" t="str">
        <f ca="1">IFERROR(__xludf.DUMMYFUNCTION("""COMPUTED_VALUE"""),"J")</f>
        <v>J</v>
      </c>
      <c r="G2310" s="114">
        <f ca="1">IFERROR(__xludf.DUMMYFUNCTION("""COMPUTED_VALUE"""),2)</f>
        <v>2</v>
      </c>
      <c r="H2310" s="112" t="str">
        <f ca="1"/>
        <v/>
      </c>
      <c r="I2310" s="112" t="str">
        <f ca="1"/>
        <v/>
      </c>
    </row>
    <row r="2311" spans="1:9" ht="13.2">
      <c r="A2311" s="109" t="str">
        <f ca="1">IFERROR(__xludf.DUMMYFUNCTION("""COMPUTED_VALUE"""),"WG")</f>
        <v>WG</v>
      </c>
      <c r="B2311" s="108" t="str">
        <f ca="1">IFERROR(__xludf.DUMMYFUNCTION("""COMPUTED_VALUE"""),"Samantha Lathier")</f>
        <v>Samantha Lathier</v>
      </c>
      <c r="C2311" s="109">
        <f ca="1">IFERROR(__xludf.DUMMYFUNCTION("""COMPUTED_VALUE"""),7)</f>
        <v>7</v>
      </c>
      <c r="D2311" s="109" t="str">
        <f ca="1">IFERROR(__xludf.DUMMYFUNCTION("""COMPUTED_VALUE"""),"G")</f>
        <v>G</v>
      </c>
      <c r="E2311" s="110" t="str">
        <f ca="1">IFERROR(__xludf.DUMMYFUNCTION("""COMPUTED_VALUE"""),"F")</f>
        <v>F</v>
      </c>
      <c r="F2311" s="114" t="str">
        <f ca="1">IFERROR(__xludf.DUMMYFUNCTION("""COMPUTED_VALUE"""),"J")</f>
        <v>J</v>
      </c>
      <c r="G2311" s="114">
        <f ca="1">IFERROR(__xludf.DUMMYFUNCTION("""COMPUTED_VALUE"""),2)</f>
        <v>2</v>
      </c>
      <c r="H2311" s="112" t="str">
        <f ca="1"/>
        <v>35.6</v>
      </c>
      <c r="I2311" s="112">
        <f ca="1"/>
        <v>35.6</v>
      </c>
    </row>
    <row r="2312" spans="1:9" ht="13.2">
      <c r="A2312" s="109" t="str">
        <f ca="1">IFERROR(__xludf.DUMMYFUNCTION("""COMPUTED_VALUE"""),"WG")</f>
        <v>WG</v>
      </c>
      <c r="B2312" s="108" t="str">
        <f ca="1">IFERROR(__xludf.DUMMYFUNCTION("""COMPUTED_VALUE"""),"Sophia Ma")</f>
        <v>Sophia Ma</v>
      </c>
      <c r="C2312" s="109">
        <f ca="1">IFERROR(__xludf.DUMMYFUNCTION("""COMPUTED_VALUE"""),9)</f>
        <v>9</v>
      </c>
      <c r="D2312" s="109" t="str">
        <f ca="1">IFERROR(__xludf.DUMMYFUNCTION("""COMPUTED_VALUE"""),"G")</f>
        <v>G</v>
      </c>
      <c r="E2312" s="110" t="str">
        <f ca="1">IFERROR(__xludf.DUMMYFUNCTION("""COMPUTED_VALUE"""),"F")</f>
        <v>F</v>
      </c>
      <c r="F2312" s="114" t="str">
        <f ca="1">IFERROR(__xludf.DUMMYFUNCTION("""COMPUTED_VALUE"""),"J")</f>
        <v>J</v>
      </c>
      <c r="G2312" s="114">
        <f ca="1">IFERROR(__xludf.DUMMYFUNCTION("""COMPUTED_VALUE"""),2)</f>
        <v>2</v>
      </c>
      <c r="H2312" s="112" t="str">
        <f ca="1"/>
        <v>23.3</v>
      </c>
      <c r="I2312" s="112">
        <f ca="1"/>
        <v>23.3</v>
      </c>
    </row>
    <row r="2313" spans="1:9" ht="13.2">
      <c r="A2313" s="109" t="str">
        <f ca="1">IFERROR(__xludf.DUMMYFUNCTION("""COMPUTED_VALUE"""),"WG")</f>
        <v>WG</v>
      </c>
      <c r="B2313" s="108" t="str">
        <f ca="1">IFERROR(__xludf.DUMMYFUNCTION("""COMPUTED_VALUE"""),"Zerin Basha")</f>
        <v>Zerin Basha</v>
      </c>
      <c r="C2313" s="109">
        <f ca="1">IFERROR(__xludf.DUMMYFUNCTION("""COMPUTED_VALUE"""),10)</f>
        <v>10</v>
      </c>
      <c r="D2313" s="109" t="str">
        <f ca="1">IFERROR(__xludf.DUMMYFUNCTION("""COMPUTED_VALUE"""),"G")</f>
        <v>G</v>
      </c>
      <c r="E2313" s="110" t="str">
        <f ca="1">IFERROR(__xludf.DUMMYFUNCTION("""COMPUTED_VALUE"""),"F")</f>
        <v>F</v>
      </c>
      <c r="F2313" s="114" t="str">
        <f ca="1">IFERROR(__xludf.DUMMYFUNCTION("""COMPUTED_VALUE"""),"J")</f>
        <v>J</v>
      </c>
      <c r="G2313" s="114">
        <f ca="1">IFERROR(__xludf.DUMMYFUNCTION("""COMPUTED_VALUE"""),2)</f>
        <v>2</v>
      </c>
      <c r="H2313" s="112" t="str">
        <f ca="1"/>
        <v>14.25</v>
      </c>
      <c r="I2313" s="112">
        <f ca="1"/>
        <v>14.25</v>
      </c>
    </row>
    <row r="2314" spans="1:9" ht="13.2">
      <c r="A2314" s="109" t="str">
        <f ca="1">IFERROR(__xludf.DUMMYFUNCTION("""COMPUTED_VALUE"""),"WG")</f>
        <v>WG</v>
      </c>
      <c r="B2314" s="108" t="str">
        <f ca="1">IFERROR(__xludf.DUMMYFUNCTION("""COMPUTED_VALUE"""),"Aiden Milloy")</f>
        <v>Aiden Milloy</v>
      </c>
      <c r="C2314" s="109">
        <f ca="1">IFERROR(__xludf.DUMMYFUNCTION("""COMPUTED_VALUE"""),13)</f>
        <v>13</v>
      </c>
      <c r="D2314" s="109" t="str">
        <f ca="1">IFERROR(__xludf.DUMMYFUNCTION("""COMPUTED_VALUE"""),"B")</f>
        <v>B</v>
      </c>
      <c r="E2314" s="110" t="str">
        <f ca="1">IFERROR(__xludf.DUMMYFUNCTION("""COMPUTED_VALUE"""),"I")</f>
        <v>I</v>
      </c>
      <c r="F2314" s="114" t="str">
        <f ca="1">IFERROR(__xludf.DUMMYFUNCTION("""COMPUTED_VALUE"""),"S")</f>
        <v>S</v>
      </c>
      <c r="G2314" s="114">
        <f ca="1">IFERROR(__xludf.DUMMYFUNCTION("""COMPUTED_VALUE"""),2)</f>
        <v>2</v>
      </c>
      <c r="H2314" s="112" t="str">
        <f ca="1"/>
        <v/>
      </c>
      <c r="I2314" s="112" t="str">
        <f ca="1"/>
        <v/>
      </c>
    </row>
    <row r="2315" spans="1:9" ht="13.2">
      <c r="A2315" s="109" t="str">
        <f ca="1">IFERROR(__xludf.DUMMYFUNCTION("""COMPUTED_VALUE"""),"WG")</f>
        <v>WG</v>
      </c>
      <c r="B2315" s="108" t="str">
        <f ca="1">IFERROR(__xludf.DUMMYFUNCTION("""COMPUTED_VALUE"""),"Jaden Buechler")</f>
        <v>Jaden Buechler</v>
      </c>
      <c r="C2315" s="109">
        <f ca="1">IFERROR(__xludf.DUMMYFUNCTION("""COMPUTED_VALUE"""),14)</f>
        <v>14</v>
      </c>
      <c r="D2315" s="109" t="str">
        <f ca="1">IFERROR(__xludf.DUMMYFUNCTION("""COMPUTED_VALUE"""),"B")</f>
        <v>B</v>
      </c>
      <c r="E2315" s="110" t="str">
        <f ca="1">IFERROR(__xludf.DUMMYFUNCTION("""COMPUTED_VALUE"""),"I")</f>
        <v>I</v>
      </c>
      <c r="F2315" s="114" t="str">
        <f ca="1">IFERROR(__xludf.DUMMYFUNCTION("""COMPUTED_VALUE"""),"S")</f>
        <v>S</v>
      </c>
      <c r="G2315" s="114">
        <f ca="1">IFERROR(__xludf.DUMMYFUNCTION("""COMPUTED_VALUE"""),2)</f>
        <v>2</v>
      </c>
      <c r="H2315" s="112" t="str">
        <f ca="1"/>
        <v/>
      </c>
      <c r="I2315" s="112" t="str">
        <f ca="1"/>
        <v/>
      </c>
    </row>
    <row r="2316" spans="1:9" ht="13.2">
      <c r="A2316" s="109" t="str">
        <f ca="1">IFERROR(__xludf.DUMMYFUNCTION("""COMPUTED_VALUE"""),"WG")</f>
        <v>WG</v>
      </c>
      <c r="B2316" s="108" t="str">
        <f ca="1">IFERROR(__xludf.DUMMYFUNCTION("""COMPUTED_VALUE"""),"Charlotte Petrick")</f>
        <v>Charlotte Petrick</v>
      </c>
      <c r="C2316" s="109">
        <f ca="1">IFERROR(__xludf.DUMMYFUNCTION("""COMPUTED_VALUE"""),13)</f>
        <v>13</v>
      </c>
      <c r="D2316" s="109" t="str">
        <f ca="1">IFERROR(__xludf.DUMMYFUNCTION("""COMPUTED_VALUE"""),"G")</f>
        <v>G</v>
      </c>
      <c r="E2316" s="110" t="str">
        <f ca="1">IFERROR(__xludf.DUMMYFUNCTION("""COMPUTED_VALUE"""),"I")</f>
        <v>I</v>
      </c>
      <c r="F2316" s="114" t="str">
        <f ca="1">IFERROR(__xludf.DUMMYFUNCTION("""COMPUTED_VALUE"""),"S")</f>
        <v>S</v>
      </c>
      <c r="G2316" s="114">
        <f ca="1">IFERROR(__xludf.DUMMYFUNCTION("""COMPUTED_VALUE"""),2)</f>
        <v>2</v>
      </c>
      <c r="H2316" s="112" t="str">
        <f ca="1"/>
        <v/>
      </c>
      <c r="I2316" s="112" t="str">
        <f ca="1"/>
        <v/>
      </c>
    </row>
    <row r="2317" spans="1:9" ht="13.2">
      <c r="A2317" s="109" t="str">
        <f ca="1">IFERROR(__xludf.DUMMYFUNCTION("""COMPUTED_VALUE"""),"WG")</f>
        <v>WG</v>
      </c>
      <c r="B2317" s="108" t="str">
        <f ca="1">IFERROR(__xludf.DUMMYFUNCTION("""COMPUTED_VALUE"""),"Mirabella Lanthier")</f>
        <v>Mirabella Lanthier</v>
      </c>
      <c r="C2317" s="109">
        <f ca="1">IFERROR(__xludf.DUMMYFUNCTION("""COMPUTED_VALUE"""),13)</f>
        <v>13</v>
      </c>
      <c r="D2317" s="109" t="str">
        <f ca="1">IFERROR(__xludf.DUMMYFUNCTION("""COMPUTED_VALUE"""),"G")</f>
        <v>G</v>
      </c>
      <c r="E2317" s="110" t="str">
        <f ca="1">IFERROR(__xludf.DUMMYFUNCTION("""COMPUTED_VALUE"""),"I")</f>
        <v>I</v>
      </c>
      <c r="F2317" s="114" t="str">
        <f ca="1">IFERROR(__xludf.DUMMYFUNCTION("""COMPUTED_VALUE"""),"S")</f>
        <v>S</v>
      </c>
      <c r="G2317" s="114">
        <f ca="1">IFERROR(__xludf.DUMMYFUNCTION("""COMPUTED_VALUE"""),2)</f>
        <v>2</v>
      </c>
      <c r="H2317" s="112" t="str">
        <f ca="1"/>
        <v/>
      </c>
      <c r="I2317" s="112" t="str">
        <f ca="1"/>
        <v/>
      </c>
    </row>
    <row r="2318" spans="1:9" ht="13.2">
      <c r="A2318" s="109" t="str">
        <f ca="1">IFERROR(__xludf.DUMMYFUNCTION("""COMPUTED_VALUE"""),"WG")</f>
        <v>WG</v>
      </c>
      <c r="B2318" s="108" t="str">
        <f ca="1">IFERROR(__xludf.DUMMYFUNCTION("""COMPUTED_VALUE"""),"Asher Lanthier")</f>
        <v>Asher Lanthier</v>
      </c>
      <c r="C2318" s="109">
        <f ca="1">IFERROR(__xludf.DUMMYFUNCTION("""COMPUTED_VALUE"""),11)</f>
        <v>11</v>
      </c>
      <c r="D2318" s="109" t="str">
        <f ca="1">IFERROR(__xludf.DUMMYFUNCTION("""COMPUTED_VALUE"""),"B")</f>
        <v>B</v>
      </c>
      <c r="E2318" s="110" t="str">
        <f ca="1">IFERROR(__xludf.DUMMYFUNCTION("""COMPUTED_VALUE"""),"J")</f>
        <v>J</v>
      </c>
      <c r="F2318" s="114" t="str">
        <f ca="1">IFERROR(__xludf.DUMMYFUNCTION("""COMPUTED_VALUE"""),"I")</f>
        <v>I</v>
      </c>
      <c r="G2318" s="114">
        <f ca="1">IFERROR(__xludf.DUMMYFUNCTION("""COMPUTED_VALUE"""),2)</f>
        <v>2</v>
      </c>
      <c r="H2318" s="112" t="str">
        <f ca="1"/>
        <v/>
      </c>
      <c r="I2318" s="112" t="str">
        <f ca="1"/>
        <v/>
      </c>
    </row>
    <row r="2319" spans="1:9" ht="13.2">
      <c r="A2319" s="109" t="str">
        <f ca="1">IFERROR(__xludf.DUMMYFUNCTION("""COMPUTED_VALUE"""),"WG")</f>
        <v>WG</v>
      </c>
      <c r="B2319" s="108" t="str">
        <f ca="1">IFERROR(__xludf.DUMMYFUNCTION("""COMPUTED_VALUE"""),"Jake Henderson")</f>
        <v>Jake Henderson</v>
      </c>
      <c r="C2319" s="109">
        <f ca="1">IFERROR(__xludf.DUMMYFUNCTION("""COMPUTED_VALUE"""),11)</f>
        <v>11</v>
      </c>
      <c r="D2319" s="109" t="str">
        <f ca="1">IFERROR(__xludf.DUMMYFUNCTION("""COMPUTED_VALUE"""),"B")</f>
        <v>B</v>
      </c>
      <c r="E2319" s="110" t="str">
        <f ca="1">IFERROR(__xludf.DUMMYFUNCTION("""COMPUTED_VALUE"""),"J")</f>
        <v>J</v>
      </c>
      <c r="F2319" s="114" t="str">
        <f ca="1">IFERROR(__xludf.DUMMYFUNCTION("""COMPUTED_VALUE"""),"I")</f>
        <v>I</v>
      </c>
      <c r="G2319" s="114">
        <f ca="1">IFERROR(__xludf.DUMMYFUNCTION("""COMPUTED_VALUE"""),2)</f>
        <v>2</v>
      </c>
      <c r="H2319" s="112" t="str">
        <f ca="1"/>
        <v>63.5</v>
      </c>
      <c r="I2319" s="112">
        <f ca="1"/>
        <v>63.5</v>
      </c>
    </row>
    <row r="2320" spans="1:9" ht="13.2">
      <c r="A2320" s="109" t="str">
        <f ca="1">IFERROR(__xludf.DUMMYFUNCTION("""COMPUTED_VALUE"""),"WG")</f>
        <v>WG</v>
      </c>
      <c r="B2320" s="108" t="str">
        <f ca="1">IFERROR(__xludf.DUMMYFUNCTION("""COMPUTED_VALUE"""),"Ramsay Latham")</f>
        <v>Ramsay Latham</v>
      </c>
      <c r="C2320" s="109">
        <f ca="1">IFERROR(__xludf.DUMMYFUNCTION("""COMPUTED_VALUE"""),12)</f>
        <v>12</v>
      </c>
      <c r="D2320" s="109" t="str">
        <f ca="1">IFERROR(__xludf.DUMMYFUNCTION("""COMPUTED_VALUE"""),"B")</f>
        <v>B</v>
      </c>
      <c r="E2320" s="110" t="str">
        <f ca="1">IFERROR(__xludf.DUMMYFUNCTION("""COMPUTED_VALUE"""),"J")</f>
        <v>J</v>
      </c>
      <c r="F2320" s="114" t="str">
        <f ca="1">IFERROR(__xludf.DUMMYFUNCTION("""COMPUTED_VALUE"""),"I")</f>
        <v>I</v>
      </c>
      <c r="G2320" s="114">
        <f ca="1">IFERROR(__xludf.DUMMYFUNCTION("""COMPUTED_VALUE"""),2)</f>
        <v>2</v>
      </c>
      <c r="H2320" s="112" t="str">
        <f ca="1"/>
        <v/>
      </c>
      <c r="I2320" s="112" t="str">
        <f ca="1"/>
        <v/>
      </c>
    </row>
    <row r="2321" spans="1:9" ht="13.2">
      <c r="A2321" s="109" t="str">
        <f ca="1">IFERROR(__xludf.DUMMYFUNCTION("""COMPUTED_VALUE"""),"WG")</f>
        <v>WG</v>
      </c>
      <c r="B2321" s="108" t="str">
        <f ca="1">IFERROR(__xludf.DUMMYFUNCTION("""COMPUTED_VALUE"""),"Rayan Basha")</f>
        <v>Rayan Basha</v>
      </c>
      <c r="C2321" s="109">
        <f ca="1">IFERROR(__xludf.DUMMYFUNCTION("""COMPUTED_VALUE"""),12)</f>
        <v>12</v>
      </c>
      <c r="D2321" s="109" t="str">
        <f ca="1">IFERROR(__xludf.DUMMYFUNCTION("""COMPUTED_VALUE"""),"B")</f>
        <v>B</v>
      </c>
      <c r="E2321" s="110" t="str">
        <f ca="1">IFERROR(__xludf.DUMMYFUNCTION("""COMPUTED_VALUE"""),"J")</f>
        <v>J</v>
      </c>
      <c r="F2321" s="114" t="str">
        <f ca="1">IFERROR(__xludf.DUMMYFUNCTION("""COMPUTED_VALUE"""),"I")</f>
        <v>I</v>
      </c>
      <c r="G2321" s="114">
        <f ca="1">IFERROR(__xludf.DUMMYFUNCTION("""COMPUTED_VALUE"""),2)</f>
        <v>2</v>
      </c>
      <c r="H2321" s="112" t="str">
        <f ca="1"/>
        <v>16</v>
      </c>
      <c r="I2321" s="112">
        <f ca="1"/>
        <v>16</v>
      </c>
    </row>
    <row r="2322" spans="1:9" ht="13.2">
      <c r="A2322" s="109" t="str">
        <f ca="1">IFERROR(__xludf.DUMMYFUNCTION("""COMPUTED_VALUE"""),"WG")</f>
        <v>WG</v>
      </c>
      <c r="B2322" s="108" t="str">
        <f ca="1">IFERROR(__xludf.DUMMYFUNCTION("""COMPUTED_VALUE"""),"Isabella Uribarri-Tibabuzo")</f>
        <v>Isabella Uribarri-Tibabuzo</v>
      </c>
      <c r="C2322" s="109">
        <f ca="1">IFERROR(__xludf.DUMMYFUNCTION("""COMPUTED_VALUE"""),11)</f>
        <v>11</v>
      </c>
      <c r="D2322" s="109" t="str">
        <f ca="1">IFERROR(__xludf.DUMMYFUNCTION("""COMPUTED_VALUE"""),"G")</f>
        <v>G</v>
      </c>
      <c r="E2322" s="110" t="str">
        <f ca="1">IFERROR(__xludf.DUMMYFUNCTION("""COMPUTED_VALUE"""),"J")</f>
        <v>J</v>
      </c>
      <c r="F2322" s="114" t="str">
        <f ca="1">IFERROR(__xludf.DUMMYFUNCTION("""COMPUTED_VALUE"""),"I")</f>
        <v>I</v>
      </c>
      <c r="G2322" s="114">
        <f ca="1">IFERROR(__xludf.DUMMYFUNCTION("""COMPUTED_VALUE"""),2)</f>
        <v>2</v>
      </c>
      <c r="H2322" s="112" t="str">
        <f ca="1"/>
        <v/>
      </c>
      <c r="I2322" s="112" t="str">
        <f ca="1"/>
        <v/>
      </c>
    </row>
    <row r="2323" spans="1:9" ht="13.2">
      <c r="A2323" s="109" t="str">
        <f ca="1">IFERROR(__xludf.DUMMYFUNCTION("""COMPUTED_VALUE"""),"WG")</f>
        <v>WG</v>
      </c>
      <c r="B2323" s="108" t="str">
        <f ca="1">IFERROR(__xludf.DUMMYFUNCTION("""COMPUTED_VALUE"""),"Jessica Buechler")</f>
        <v>Jessica Buechler</v>
      </c>
      <c r="C2323" s="109">
        <f ca="1">IFERROR(__xludf.DUMMYFUNCTION("""COMPUTED_VALUE"""),12)</f>
        <v>12</v>
      </c>
      <c r="D2323" s="109" t="str">
        <f ca="1">IFERROR(__xludf.DUMMYFUNCTION("""COMPUTED_VALUE"""),"G")</f>
        <v>G</v>
      </c>
      <c r="E2323" s="110" t="str">
        <f ca="1">IFERROR(__xludf.DUMMYFUNCTION("""COMPUTED_VALUE"""),"J")</f>
        <v>J</v>
      </c>
      <c r="F2323" s="114" t="str">
        <f ca="1">IFERROR(__xludf.DUMMYFUNCTION("""COMPUTED_VALUE"""),"I")</f>
        <v>I</v>
      </c>
      <c r="G2323" s="114">
        <f ca="1">IFERROR(__xludf.DUMMYFUNCTION("""COMPUTED_VALUE"""),2)</f>
        <v>2</v>
      </c>
      <c r="H2323" s="112" t="str">
        <f ca="1"/>
        <v/>
      </c>
      <c r="I2323" s="112" t="str">
        <f ca="1"/>
        <v/>
      </c>
    </row>
    <row r="2324" spans="1:9" ht="13.2">
      <c r="A2324" s="109" t="str">
        <f ca="1">IFERROR(__xludf.DUMMYFUNCTION("""COMPUTED_VALUE"""),"WG")</f>
        <v>WG</v>
      </c>
      <c r="B2324" s="108" t="str">
        <f ca="1">IFERROR(__xludf.DUMMYFUNCTION("""COMPUTED_VALUE"""),"Mya Merkel")</f>
        <v>Mya Merkel</v>
      </c>
      <c r="C2324" s="109">
        <f ca="1">IFERROR(__xludf.DUMMYFUNCTION("""COMPUTED_VALUE"""),11)</f>
        <v>11</v>
      </c>
      <c r="D2324" s="109" t="str">
        <f ca="1">IFERROR(__xludf.DUMMYFUNCTION("""COMPUTED_VALUE"""),"G")</f>
        <v>G</v>
      </c>
      <c r="E2324" s="110" t="str">
        <f ca="1">IFERROR(__xludf.DUMMYFUNCTION("""COMPUTED_VALUE"""),"J")</f>
        <v>J</v>
      </c>
      <c r="F2324" s="114" t="str">
        <f ca="1">IFERROR(__xludf.DUMMYFUNCTION("""COMPUTED_VALUE"""),"I")</f>
        <v>I</v>
      </c>
      <c r="G2324" s="114">
        <f ca="1">IFERROR(__xludf.DUMMYFUNCTION("""COMPUTED_VALUE"""),2)</f>
        <v>2</v>
      </c>
      <c r="H2324" s="112" t="str">
        <f ca="1"/>
        <v>74.7</v>
      </c>
      <c r="I2324" s="112">
        <f ca="1"/>
        <v>74.7</v>
      </c>
    </row>
    <row r="2325" spans="1:9" ht="13.2">
      <c r="A2325" s="109" t="str">
        <f ca="1">IFERROR(__xludf.DUMMYFUNCTION("""COMPUTED_VALUE"""),"WG")</f>
        <v>WG</v>
      </c>
      <c r="B2325" s="108" t="str">
        <f ca="1">IFERROR(__xludf.DUMMYFUNCTION("""COMPUTED_VALUE"""),"Riley Lalime")</f>
        <v>Riley Lalime</v>
      </c>
      <c r="C2325" s="109">
        <f ca="1">IFERROR(__xludf.DUMMYFUNCTION("""COMPUTED_VALUE"""),12)</f>
        <v>12</v>
      </c>
      <c r="D2325" s="109" t="str">
        <f ca="1">IFERROR(__xludf.DUMMYFUNCTION("""COMPUTED_VALUE"""),"G")</f>
        <v>G</v>
      </c>
      <c r="E2325" s="110" t="str">
        <f ca="1">IFERROR(__xludf.DUMMYFUNCTION("""COMPUTED_VALUE"""),"J")</f>
        <v>J</v>
      </c>
      <c r="F2325" s="114" t="str">
        <f ca="1">IFERROR(__xludf.DUMMYFUNCTION("""COMPUTED_VALUE"""),"I")</f>
        <v>I</v>
      </c>
      <c r="G2325" s="114">
        <f ca="1">IFERROR(__xludf.DUMMYFUNCTION("""COMPUTED_VALUE"""),2)</f>
        <v>2</v>
      </c>
      <c r="H2325" s="112" t="str">
        <f ca="1"/>
        <v/>
      </c>
      <c r="I2325" s="112" t="str">
        <f ca="1"/>
        <v/>
      </c>
    </row>
    <row r="2326" spans="1:9" ht="13.2">
      <c r="A2326" s="109" t="str">
        <f ca="1">IFERROR(__xludf.DUMMYFUNCTION("""COMPUTED_VALUE"""),"WG")</f>
        <v>WG</v>
      </c>
      <c r="B2326" s="108" t="str">
        <f ca="1">IFERROR(__xludf.DUMMYFUNCTION("""COMPUTED_VALUE"""),"Sophia Hwang")</f>
        <v>Sophia Hwang</v>
      </c>
      <c r="C2326" s="109">
        <f ca="1">IFERROR(__xludf.DUMMYFUNCTION("""COMPUTED_VALUE"""),12)</f>
        <v>12</v>
      </c>
      <c r="D2326" s="109" t="str">
        <f ca="1">IFERROR(__xludf.DUMMYFUNCTION("""COMPUTED_VALUE"""),"G")</f>
        <v>G</v>
      </c>
      <c r="E2326" s="110" t="str">
        <f ca="1">IFERROR(__xludf.DUMMYFUNCTION("""COMPUTED_VALUE"""),"J")</f>
        <v>J</v>
      </c>
      <c r="F2326" s="114" t="str">
        <f ca="1">IFERROR(__xludf.DUMMYFUNCTION("""COMPUTED_VALUE"""),"I")</f>
        <v>I</v>
      </c>
      <c r="G2326" s="114">
        <f ca="1">IFERROR(__xludf.DUMMYFUNCTION("""COMPUTED_VALUE"""),2)</f>
        <v>2</v>
      </c>
      <c r="H2326" s="112" t="str">
        <f ca="1"/>
        <v/>
      </c>
      <c r="I2326" s="112" t="str">
        <f ca="1"/>
        <v/>
      </c>
    </row>
    <row r="2327" spans="1:9" ht="13.2">
      <c r="A2327" s="109" t="str">
        <f ca="1">IFERROR(__xludf.DUMMYFUNCTION("""COMPUTED_VALUE"""),"WG")</f>
        <v>WG</v>
      </c>
      <c r="B2327" s="108" t="str">
        <f ca="1">IFERROR(__xludf.DUMMYFUNCTION("""COMPUTED_VALUE"""),"Aidan Smith")</f>
        <v>Aidan Smith</v>
      </c>
      <c r="C2327" s="109">
        <f ca="1">IFERROR(__xludf.DUMMYFUNCTION("""COMPUTED_VALUE"""),15)</f>
        <v>15</v>
      </c>
      <c r="D2327" s="109" t="str">
        <f ca="1">IFERROR(__xludf.DUMMYFUNCTION("""COMPUTED_VALUE"""),"B")</f>
        <v>B</v>
      </c>
      <c r="E2327" s="110" t="str">
        <f ca="1">IFERROR(__xludf.DUMMYFUNCTION("""COMPUTED_VALUE"""),"S")</f>
        <v>S</v>
      </c>
      <c r="F2327" s="114" t="str">
        <f ca="1">IFERROR(__xludf.DUMMYFUNCTION("""COMPUTED_VALUE"""),"S")</f>
        <v>S</v>
      </c>
      <c r="G2327" s="114">
        <f ca="1">IFERROR(__xludf.DUMMYFUNCTION("""COMPUTED_VALUE"""),2)</f>
        <v>2</v>
      </c>
      <c r="H2327" s="112" t="str">
        <f ca="1"/>
        <v/>
      </c>
      <c r="I2327" s="112" t="str">
        <f ca="1"/>
        <v/>
      </c>
    </row>
    <row r="2328" spans="1:9" ht="13.2">
      <c r="A2328" s="109" t="str">
        <f ca="1">IFERROR(__xludf.DUMMYFUNCTION("""COMPUTED_VALUE"""),"WG")</f>
        <v>WG</v>
      </c>
      <c r="B2328" s="108" t="str">
        <f ca="1">IFERROR(__xludf.DUMMYFUNCTION("""COMPUTED_VALUE"""),"Ian Whitesel")</f>
        <v>Ian Whitesel</v>
      </c>
      <c r="C2328" s="109">
        <f ca="1">IFERROR(__xludf.DUMMYFUNCTION("""COMPUTED_VALUE"""),18)</f>
        <v>18</v>
      </c>
      <c r="D2328" s="109" t="str">
        <f ca="1">IFERROR(__xludf.DUMMYFUNCTION("""COMPUTED_VALUE"""),"B")</f>
        <v>B</v>
      </c>
      <c r="E2328" s="110" t="str">
        <f ca="1">IFERROR(__xludf.DUMMYFUNCTION("""COMPUTED_VALUE"""),"S")</f>
        <v>S</v>
      </c>
      <c r="F2328" s="114" t="str">
        <f ca="1">IFERROR(__xludf.DUMMYFUNCTION("""COMPUTED_VALUE"""),"S")</f>
        <v>S</v>
      </c>
      <c r="G2328" s="114">
        <f ca="1">IFERROR(__xludf.DUMMYFUNCTION("""COMPUTED_VALUE"""),2)</f>
        <v>2</v>
      </c>
      <c r="H2328" s="112" t="str">
        <f ca="1"/>
        <v/>
      </c>
      <c r="I2328" s="112" t="str">
        <f ca="1"/>
        <v/>
      </c>
    </row>
    <row r="2329" spans="1:9" ht="13.2">
      <c r="A2329" s="109" t="str">
        <f ca="1">IFERROR(__xludf.DUMMYFUNCTION("""COMPUTED_VALUE"""),"WG")</f>
        <v>WG</v>
      </c>
      <c r="B2329" s="108" t="str">
        <f ca="1">IFERROR(__xludf.DUMMYFUNCTION("""COMPUTED_VALUE"""),"Jake Moyer")</f>
        <v>Jake Moyer</v>
      </c>
      <c r="C2329" s="109">
        <f ca="1">IFERROR(__xludf.DUMMYFUNCTION("""COMPUTED_VALUE"""),18)</f>
        <v>18</v>
      </c>
      <c r="D2329" s="109" t="str">
        <f ca="1">IFERROR(__xludf.DUMMYFUNCTION("""COMPUTED_VALUE"""),"B")</f>
        <v>B</v>
      </c>
      <c r="E2329" s="110" t="str">
        <f ca="1">IFERROR(__xludf.DUMMYFUNCTION("""COMPUTED_VALUE"""),"S")</f>
        <v>S</v>
      </c>
      <c r="F2329" s="114" t="str">
        <f ca="1">IFERROR(__xludf.DUMMYFUNCTION("""COMPUTED_VALUE"""),"S")</f>
        <v>S</v>
      </c>
      <c r="G2329" s="114">
        <f ca="1">IFERROR(__xludf.DUMMYFUNCTION("""COMPUTED_VALUE"""),2)</f>
        <v>2</v>
      </c>
      <c r="H2329" s="112" t="str">
        <f ca="1"/>
        <v/>
      </c>
      <c r="I2329" s="112" t="str">
        <f ca="1"/>
        <v/>
      </c>
    </row>
    <row r="2330" spans="1:9" ht="13.2">
      <c r="A2330" s="109" t="str">
        <f ca="1">IFERROR(__xludf.DUMMYFUNCTION("""COMPUTED_VALUE"""),"WG")</f>
        <v>WG</v>
      </c>
      <c r="B2330" s="108" t="str">
        <f ca="1">IFERROR(__xludf.DUMMYFUNCTION("""COMPUTED_VALUE"""),"Max Fowler")</f>
        <v>Max Fowler</v>
      </c>
      <c r="C2330" s="109">
        <f ca="1">IFERROR(__xludf.DUMMYFUNCTION("""COMPUTED_VALUE"""),16)</f>
        <v>16</v>
      </c>
      <c r="D2330" s="109" t="str">
        <f ca="1">IFERROR(__xludf.DUMMYFUNCTION("""COMPUTED_VALUE"""),"B")</f>
        <v>B</v>
      </c>
      <c r="E2330" s="110" t="str">
        <f ca="1">IFERROR(__xludf.DUMMYFUNCTION("""COMPUTED_VALUE"""),"S")</f>
        <v>S</v>
      </c>
      <c r="F2330" s="114" t="str">
        <f ca="1">IFERROR(__xludf.DUMMYFUNCTION("""COMPUTED_VALUE"""),"S")</f>
        <v>S</v>
      </c>
      <c r="G2330" s="114">
        <f ca="1">IFERROR(__xludf.DUMMYFUNCTION("""COMPUTED_VALUE"""),2)</f>
        <v>2</v>
      </c>
      <c r="H2330" s="112" t="str">
        <f ca="1"/>
        <v/>
      </c>
      <c r="I2330" s="112" t="str">
        <f ca="1"/>
        <v/>
      </c>
    </row>
    <row r="2331" spans="1:9" ht="13.2">
      <c r="A2331" s="109" t="str">
        <f ca="1">IFERROR(__xludf.DUMMYFUNCTION("""COMPUTED_VALUE"""),"WG")</f>
        <v>WG</v>
      </c>
      <c r="B2331" s="108" t="str">
        <f ca="1">IFERROR(__xludf.DUMMYFUNCTION("""COMPUTED_VALUE"""),"Patrick Moyer")</f>
        <v>Patrick Moyer</v>
      </c>
      <c r="C2331" s="109">
        <f ca="1">IFERROR(__xludf.DUMMYFUNCTION("""COMPUTED_VALUE"""),16)</f>
        <v>16</v>
      </c>
      <c r="D2331" s="109" t="str">
        <f ca="1">IFERROR(__xludf.DUMMYFUNCTION("""COMPUTED_VALUE"""),"B")</f>
        <v>B</v>
      </c>
      <c r="E2331" s="110" t="str">
        <f ca="1">IFERROR(__xludf.DUMMYFUNCTION("""COMPUTED_VALUE"""),"S")</f>
        <v>S</v>
      </c>
      <c r="F2331" s="114" t="str">
        <f ca="1">IFERROR(__xludf.DUMMYFUNCTION("""COMPUTED_VALUE"""),"S")</f>
        <v>S</v>
      </c>
      <c r="G2331" s="114">
        <f ca="1">IFERROR(__xludf.DUMMYFUNCTION("""COMPUTED_VALUE"""),2)</f>
        <v>2</v>
      </c>
      <c r="H2331" s="112" t="str">
        <f ca="1"/>
        <v/>
      </c>
      <c r="I2331" s="112" t="str">
        <f ca="1"/>
        <v/>
      </c>
    </row>
    <row r="2332" spans="1:9" ht="13.2">
      <c r="A2332" s="109" t="str">
        <f ca="1">IFERROR(__xludf.DUMMYFUNCTION("""COMPUTED_VALUE"""),"WG")</f>
        <v>WG</v>
      </c>
      <c r="B2332" s="108" t="str">
        <f ca="1">IFERROR(__xludf.DUMMYFUNCTION("""COMPUTED_VALUE"""),"Anne Fowler")</f>
        <v>Anne Fowler</v>
      </c>
      <c r="C2332" s="109">
        <f ca="1">IFERROR(__xludf.DUMMYFUNCTION("""COMPUTED_VALUE"""),19)</f>
        <v>19</v>
      </c>
      <c r="D2332" s="109" t="str">
        <f ca="1">IFERROR(__xludf.DUMMYFUNCTION("""COMPUTED_VALUE"""),"G")</f>
        <v>G</v>
      </c>
      <c r="E2332" s="110" t="str">
        <f ca="1">IFERROR(__xludf.DUMMYFUNCTION("""COMPUTED_VALUE"""),"S")</f>
        <v>S</v>
      </c>
      <c r="F2332" s="114" t="str">
        <f ca="1">IFERROR(__xludf.DUMMYFUNCTION("""COMPUTED_VALUE"""),"S")</f>
        <v>S</v>
      </c>
      <c r="G2332" s="114">
        <f ca="1">IFERROR(__xludf.DUMMYFUNCTION("""COMPUTED_VALUE"""),2)</f>
        <v>2</v>
      </c>
      <c r="H2332" s="112" t="str">
        <f ca="1"/>
        <v/>
      </c>
      <c r="I2332" s="112" t="str">
        <f ca="1"/>
        <v/>
      </c>
    </row>
    <row r="2333" spans="1:9" ht="13.2">
      <c r="A2333" s="109" t="str">
        <f ca="1">IFERROR(__xludf.DUMMYFUNCTION("""COMPUTED_VALUE"""),"WG")</f>
        <v>WG</v>
      </c>
      <c r="B2333" s="108" t="str">
        <f ca="1">IFERROR(__xludf.DUMMYFUNCTION("""COMPUTED_VALUE"""),"Jordan Buechler")</f>
        <v>Jordan Buechler</v>
      </c>
      <c r="C2333" s="109">
        <f ca="1">IFERROR(__xludf.DUMMYFUNCTION("""COMPUTED_VALUE"""),18)</f>
        <v>18</v>
      </c>
      <c r="D2333" s="109" t="str">
        <f ca="1">IFERROR(__xludf.DUMMYFUNCTION("""COMPUTED_VALUE"""),"G")</f>
        <v>G</v>
      </c>
      <c r="E2333" s="110" t="str">
        <f ca="1">IFERROR(__xludf.DUMMYFUNCTION("""COMPUTED_VALUE"""),"S")</f>
        <v>S</v>
      </c>
      <c r="F2333" s="114" t="str">
        <f ca="1">IFERROR(__xludf.DUMMYFUNCTION("""COMPUTED_VALUE"""),"S")</f>
        <v>S</v>
      </c>
      <c r="G2333" s="114">
        <f ca="1">IFERROR(__xludf.DUMMYFUNCTION("""COMPUTED_VALUE"""),2)</f>
        <v>2</v>
      </c>
      <c r="H2333" s="112" t="str">
        <f ca="1"/>
        <v/>
      </c>
      <c r="I2333" s="112" t="str">
        <f ca="1"/>
        <v/>
      </c>
    </row>
    <row r="2334" spans="1:9" ht="13.2">
      <c r="A2334" s="109" t="str">
        <f ca="1">IFERROR(__xludf.DUMMYFUNCTION("""COMPUTED_VALUE"""),"WG")</f>
        <v>WG</v>
      </c>
      <c r="B2334" s="108" t="str">
        <f ca="1">IFERROR(__xludf.DUMMYFUNCTION("""COMPUTED_VALUE"""),"Sophia Getty")</f>
        <v>Sophia Getty</v>
      </c>
      <c r="C2334" s="109">
        <f ca="1">IFERROR(__xludf.DUMMYFUNCTION("""COMPUTED_VALUE"""),15)</f>
        <v>15</v>
      </c>
      <c r="D2334" s="109" t="str">
        <f ca="1">IFERROR(__xludf.DUMMYFUNCTION("""COMPUTED_VALUE"""),"G")</f>
        <v>G</v>
      </c>
      <c r="E2334" s="110" t="str">
        <f ca="1">IFERROR(__xludf.DUMMYFUNCTION("""COMPUTED_VALUE"""),"S")</f>
        <v>S</v>
      </c>
      <c r="F2334" s="114" t="str">
        <f ca="1">IFERROR(__xludf.DUMMYFUNCTION("""COMPUTED_VALUE"""),"S")</f>
        <v>S</v>
      </c>
      <c r="G2334" s="114">
        <f ca="1">IFERROR(__xludf.DUMMYFUNCTION("""COMPUTED_VALUE"""),2)</f>
        <v>2</v>
      </c>
      <c r="H2334" s="112" t="str">
        <f ca="1"/>
        <v/>
      </c>
      <c r="I2334" s="112" t="str">
        <f ca="1"/>
        <v/>
      </c>
    </row>
    <row r="2335" spans="1:9" ht="13.2">
      <c r="A2335" s="109" t="str">
        <f ca="1">IFERROR(__xludf.DUMMYFUNCTION("""COMPUTED_VALUE"""),"WG")</f>
        <v>WG</v>
      </c>
      <c r="B2335" s="108" t="str">
        <f ca="1">IFERROR(__xludf.DUMMYFUNCTION("""COMPUTED_VALUE"""),"Sydney Lalime")</f>
        <v>Sydney Lalime</v>
      </c>
      <c r="C2335" s="109">
        <f ca="1">IFERROR(__xludf.DUMMYFUNCTION("""COMPUTED_VALUE"""),15)</f>
        <v>15</v>
      </c>
      <c r="D2335" s="109" t="str">
        <f ca="1">IFERROR(__xludf.DUMMYFUNCTION("""COMPUTED_VALUE"""),"G")</f>
        <v>G</v>
      </c>
      <c r="E2335" s="110" t="str">
        <f ca="1">IFERROR(__xludf.DUMMYFUNCTION("""COMPUTED_VALUE"""),"S")</f>
        <v>S</v>
      </c>
      <c r="F2335" s="114" t="str">
        <f ca="1">IFERROR(__xludf.DUMMYFUNCTION("""COMPUTED_VALUE"""),"S")</f>
        <v>S</v>
      </c>
      <c r="G2335" s="114">
        <f ca="1">IFERROR(__xludf.DUMMYFUNCTION("""COMPUTED_VALUE"""),2)</f>
        <v>2</v>
      </c>
      <c r="H2335" s="112" t="str">
        <f ca="1"/>
        <v/>
      </c>
      <c r="I2335" s="112" t="str">
        <f ca="1"/>
        <v/>
      </c>
    </row>
    <row r="2336" spans="1:9" ht="13.2">
      <c r="A2336" s="109"/>
      <c r="B2336" s="108" t="str">
        <f ca="1">IFERROR(__xludf.DUMMYFUNCTION("""COMPUTED_VALUE"""),"")</f>
        <v/>
      </c>
      <c r="C2336" s="109" t="str">
        <f ca="1">IFERROR(__xludf.DUMMYFUNCTION("""COMPUTED_VALUE"""),"")</f>
        <v/>
      </c>
      <c r="D2336" s="109" t="str">
        <f ca="1">IFERROR(__xludf.DUMMYFUNCTION("""COMPUTED_VALUE"""),"")</f>
        <v/>
      </c>
      <c r="E2336" s="110" t="str">
        <f ca="1">IFERROR(__xludf.DUMMYFUNCTION("""COMPUTED_VALUE"""),"")</f>
        <v/>
      </c>
      <c r="F2336" s="114" t="str">
        <f ca="1">IFERROR(__xludf.DUMMYFUNCTION("""COMPUTED_VALUE"""),"")</f>
        <v/>
      </c>
      <c r="G2336" s="114" t="str">
        <f ca="1">IFERROR(__xludf.DUMMYFUNCTION("""COMPUTED_VALUE"""),"")</f>
        <v/>
      </c>
      <c r="H2336" s="112" t="str">
        <f ca="1"/>
        <v/>
      </c>
      <c r="I2336" s="112" t="str">
        <f ca="1"/>
        <v/>
      </c>
    </row>
    <row r="2337" spans="1:9" ht="13.2">
      <c r="A2337" s="109"/>
      <c r="B2337" s="108" t="str">
        <f ca="1">IFERROR(__xludf.DUMMYFUNCTION("""COMPUTED_VALUE"""),"")</f>
        <v/>
      </c>
      <c r="C2337" s="109" t="str">
        <f ca="1">IFERROR(__xludf.DUMMYFUNCTION("""COMPUTED_VALUE"""),"")</f>
        <v/>
      </c>
      <c r="D2337" s="109" t="str">
        <f ca="1">IFERROR(__xludf.DUMMYFUNCTION("""COMPUTED_VALUE"""),"")</f>
        <v/>
      </c>
      <c r="E2337" s="110" t="str">
        <f ca="1">IFERROR(__xludf.DUMMYFUNCTION("""COMPUTED_VALUE"""),"")</f>
        <v/>
      </c>
      <c r="F2337" s="114" t="str">
        <f ca="1">IFERROR(__xludf.DUMMYFUNCTION("""COMPUTED_VALUE"""),"")</f>
        <v/>
      </c>
      <c r="G2337" s="114" t="str">
        <f ca="1">IFERROR(__xludf.DUMMYFUNCTION("""COMPUTED_VALUE"""),"")</f>
        <v/>
      </c>
      <c r="H2337" s="112" t="str">
        <f ca="1"/>
        <v/>
      </c>
      <c r="I2337" s="112" t="str">
        <f ca="1"/>
        <v/>
      </c>
    </row>
    <row r="2338" spans="1:9" ht="13.2">
      <c r="A2338" s="109"/>
      <c r="B2338" s="108" t="str">
        <f ca="1">IFERROR(__xludf.DUMMYFUNCTION("""COMPUTED_VALUE"""),"")</f>
        <v/>
      </c>
      <c r="C2338" s="109" t="str">
        <f ca="1">IFERROR(__xludf.DUMMYFUNCTION("""COMPUTED_VALUE"""),"")</f>
        <v/>
      </c>
      <c r="D2338" s="109" t="str">
        <f ca="1">IFERROR(__xludf.DUMMYFUNCTION("""COMPUTED_VALUE"""),"")</f>
        <v/>
      </c>
      <c r="E2338" s="110" t="str">
        <f ca="1">IFERROR(__xludf.DUMMYFUNCTION("""COMPUTED_VALUE"""),"")</f>
        <v/>
      </c>
      <c r="F2338" s="114" t="str">
        <f ca="1">IFERROR(__xludf.DUMMYFUNCTION("""COMPUTED_VALUE"""),"")</f>
        <v/>
      </c>
      <c r="G2338" s="114" t="str">
        <f ca="1">IFERROR(__xludf.DUMMYFUNCTION("""COMPUTED_VALUE"""),"")</f>
        <v/>
      </c>
      <c r="H2338" s="112" t="str">
        <f ca="1"/>
        <v/>
      </c>
      <c r="I2338" s="112" t="str">
        <f ca="1"/>
        <v/>
      </c>
    </row>
    <row r="2339" spans="1:9" ht="13.2">
      <c r="A2339" s="109"/>
      <c r="B2339" s="108" t="str">
        <f ca="1">IFERROR(__xludf.DUMMYFUNCTION("""COMPUTED_VALUE"""),"")</f>
        <v/>
      </c>
      <c r="C2339" s="109" t="str">
        <f ca="1">IFERROR(__xludf.DUMMYFUNCTION("""COMPUTED_VALUE"""),"")</f>
        <v/>
      </c>
      <c r="D2339" s="109" t="str">
        <f ca="1">IFERROR(__xludf.DUMMYFUNCTION("""COMPUTED_VALUE"""),"")</f>
        <v/>
      </c>
      <c r="E2339" s="110" t="str">
        <f ca="1">IFERROR(__xludf.DUMMYFUNCTION("""COMPUTED_VALUE"""),"")</f>
        <v/>
      </c>
      <c r="F2339" s="114" t="str">
        <f ca="1">IFERROR(__xludf.DUMMYFUNCTION("""COMPUTED_VALUE"""),"")</f>
        <v/>
      </c>
      <c r="G2339" s="114" t="str">
        <f ca="1">IFERROR(__xludf.DUMMYFUNCTION("""COMPUTED_VALUE"""),"")</f>
        <v/>
      </c>
      <c r="H2339" s="112" t="str">
        <f ca="1"/>
        <v/>
      </c>
      <c r="I2339" s="112" t="str">
        <f ca="1"/>
        <v/>
      </c>
    </row>
    <row r="2340" spans="1:9" ht="13.2">
      <c r="A2340" s="109"/>
      <c r="B2340" s="108" t="str">
        <f ca="1">IFERROR(__xludf.DUMMYFUNCTION("""COMPUTED_VALUE"""),"")</f>
        <v/>
      </c>
      <c r="C2340" s="109" t="str">
        <f ca="1">IFERROR(__xludf.DUMMYFUNCTION("""COMPUTED_VALUE"""),"")</f>
        <v/>
      </c>
      <c r="D2340" s="109" t="str">
        <f ca="1">IFERROR(__xludf.DUMMYFUNCTION("""COMPUTED_VALUE"""),"")</f>
        <v/>
      </c>
      <c r="E2340" s="110" t="str">
        <f ca="1">IFERROR(__xludf.DUMMYFUNCTION("""COMPUTED_VALUE"""),"")</f>
        <v/>
      </c>
      <c r="F2340" s="114" t="str">
        <f ca="1">IFERROR(__xludf.DUMMYFUNCTION("""COMPUTED_VALUE"""),"")</f>
        <v/>
      </c>
      <c r="G2340" s="114" t="str">
        <f ca="1">IFERROR(__xludf.DUMMYFUNCTION("""COMPUTED_VALUE"""),"")</f>
        <v/>
      </c>
      <c r="H2340" s="112" t="str">
        <f ca="1"/>
        <v/>
      </c>
      <c r="I2340" s="112" t="str">
        <f ca="1"/>
        <v/>
      </c>
    </row>
    <row r="2341" spans="1:9" ht="13.2">
      <c r="A2341" s="109"/>
      <c r="B2341" s="108" t="str">
        <f ca="1">IFERROR(__xludf.DUMMYFUNCTION("""COMPUTED_VALUE"""),"")</f>
        <v/>
      </c>
      <c r="C2341" s="109" t="str">
        <f ca="1">IFERROR(__xludf.DUMMYFUNCTION("""COMPUTED_VALUE"""),"")</f>
        <v/>
      </c>
      <c r="D2341" s="109" t="str">
        <f ca="1">IFERROR(__xludf.DUMMYFUNCTION("""COMPUTED_VALUE"""),"")</f>
        <v/>
      </c>
      <c r="E2341" s="110" t="str">
        <f ca="1">IFERROR(__xludf.DUMMYFUNCTION("""COMPUTED_VALUE"""),"")</f>
        <v/>
      </c>
      <c r="F2341" s="114" t="str">
        <f ca="1">IFERROR(__xludf.DUMMYFUNCTION("""COMPUTED_VALUE"""),"")</f>
        <v/>
      </c>
      <c r="G2341" s="114" t="str">
        <f ca="1">IFERROR(__xludf.DUMMYFUNCTION("""COMPUTED_VALUE"""),"")</f>
        <v/>
      </c>
      <c r="H2341" s="112" t="str">
        <f ca="1"/>
        <v/>
      </c>
      <c r="I2341" s="112" t="str">
        <f ca="1"/>
        <v/>
      </c>
    </row>
    <row r="2342" spans="1:9" ht="13.2">
      <c r="A2342" s="109"/>
      <c r="B2342" s="108" t="str">
        <f ca="1">IFERROR(__xludf.DUMMYFUNCTION("""COMPUTED_VALUE"""),"")</f>
        <v/>
      </c>
      <c r="C2342" s="109" t="str">
        <f ca="1">IFERROR(__xludf.DUMMYFUNCTION("""COMPUTED_VALUE"""),"")</f>
        <v/>
      </c>
      <c r="D2342" s="109" t="str">
        <f ca="1">IFERROR(__xludf.DUMMYFUNCTION("""COMPUTED_VALUE"""),"")</f>
        <v/>
      </c>
      <c r="E2342" s="110" t="str">
        <f ca="1">IFERROR(__xludf.DUMMYFUNCTION("""COMPUTED_VALUE"""),"")</f>
        <v/>
      </c>
      <c r="F2342" s="114" t="str">
        <f ca="1">IFERROR(__xludf.DUMMYFUNCTION("""COMPUTED_VALUE"""),"")</f>
        <v/>
      </c>
      <c r="G2342" s="114" t="str">
        <f ca="1">IFERROR(__xludf.DUMMYFUNCTION("""COMPUTED_VALUE"""),"")</f>
        <v/>
      </c>
      <c r="H2342" s="112" t="str">
        <f ca="1"/>
        <v/>
      </c>
      <c r="I2342" s="112" t="str">
        <f ca="1"/>
        <v/>
      </c>
    </row>
    <row r="2343" spans="1:9" ht="13.2">
      <c r="A2343" s="109"/>
      <c r="B2343" s="108" t="str">
        <f ca="1">IFERROR(__xludf.DUMMYFUNCTION("""COMPUTED_VALUE"""),"")</f>
        <v/>
      </c>
      <c r="C2343" s="109" t="str">
        <f ca="1">IFERROR(__xludf.DUMMYFUNCTION("""COMPUTED_VALUE"""),"")</f>
        <v/>
      </c>
      <c r="D2343" s="109" t="str">
        <f ca="1">IFERROR(__xludf.DUMMYFUNCTION("""COMPUTED_VALUE"""),"")</f>
        <v/>
      </c>
      <c r="E2343" s="110" t="str">
        <f ca="1">IFERROR(__xludf.DUMMYFUNCTION("""COMPUTED_VALUE"""),"")</f>
        <v/>
      </c>
      <c r="F2343" s="114" t="str">
        <f ca="1">IFERROR(__xludf.DUMMYFUNCTION("""COMPUTED_VALUE"""),"")</f>
        <v/>
      </c>
      <c r="G2343" s="114" t="str">
        <f ca="1">IFERROR(__xludf.DUMMYFUNCTION("""COMPUTED_VALUE"""),"")</f>
        <v/>
      </c>
      <c r="H2343" s="112" t="str">
        <f ca="1"/>
        <v/>
      </c>
      <c r="I2343" s="112" t="str">
        <f ca="1"/>
        <v/>
      </c>
    </row>
    <row r="2344" spans="1:9" ht="13.2">
      <c r="A2344" s="109"/>
      <c r="B2344" s="108" t="str">
        <f ca="1">IFERROR(__xludf.DUMMYFUNCTION("""COMPUTED_VALUE"""),"")</f>
        <v/>
      </c>
      <c r="C2344" s="109" t="str">
        <f ca="1">IFERROR(__xludf.DUMMYFUNCTION("""COMPUTED_VALUE"""),"")</f>
        <v/>
      </c>
      <c r="D2344" s="109" t="str">
        <f ca="1">IFERROR(__xludf.DUMMYFUNCTION("""COMPUTED_VALUE"""),"")</f>
        <v/>
      </c>
      <c r="E2344" s="110" t="str">
        <f ca="1">IFERROR(__xludf.DUMMYFUNCTION("""COMPUTED_VALUE"""),"")</f>
        <v/>
      </c>
      <c r="F2344" s="114" t="str">
        <f ca="1">IFERROR(__xludf.DUMMYFUNCTION("""COMPUTED_VALUE"""),"")</f>
        <v/>
      </c>
      <c r="G2344" s="114" t="str">
        <f ca="1">IFERROR(__xludf.DUMMYFUNCTION("""COMPUTED_VALUE"""),"")</f>
        <v/>
      </c>
      <c r="H2344" s="112" t="str">
        <f ca="1"/>
        <v/>
      </c>
      <c r="I2344" s="112" t="str">
        <f ca="1"/>
        <v/>
      </c>
    </row>
    <row r="2345" spans="1:9" ht="13.2">
      <c r="A2345" s="109"/>
      <c r="B2345" s="108" t="str">
        <f ca="1">IFERROR(__xludf.DUMMYFUNCTION("""COMPUTED_VALUE"""),"")</f>
        <v/>
      </c>
      <c r="C2345" s="109" t="str">
        <f ca="1">IFERROR(__xludf.DUMMYFUNCTION("""COMPUTED_VALUE"""),"")</f>
        <v/>
      </c>
      <c r="D2345" s="109" t="str">
        <f ca="1">IFERROR(__xludf.DUMMYFUNCTION("""COMPUTED_VALUE"""),"")</f>
        <v/>
      </c>
      <c r="E2345" s="110" t="str">
        <f ca="1">IFERROR(__xludf.DUMMYFUNCTION("""COMPUTED_VALUE"""),"")</f>
        <v/>
      </c>
      <c r="F2345" s="114" t="str">
        <f ca="1">IFERROR(__xludf.DUMMYFUNCTION("""COMPUTED_VALUE"""),"")</f>
        <v/>
      </c>
      <c r="G2345" s="114" t="str">
        <f ca="1">IFERROR(__xludf.DUMMYFUNCTION("""COMPUTED_VALUE"""),"")</f>
        <v/>
      </c>
      <c r="H2345" s="112" t="str">
        <f ca="1"/>
        <v/>
      </c>
      <c r="I2345" s="112" t="str">
        <f ca="1"/>
        <v/>
      </c>
    </row>
    <row r="2346" spans="1:9" ht="13.2">
      <c r="A2346" s="109"/>
      <c r="B2346" s="108" t="str">
        <f ca="1">IFERROR(__xludf.DUMMYFUNCTION("""COMPUTED_VALUE"""),"")</f>
        <v/>
      </c>
      <c r="C2346" s="109" t="str">
        <f ca="1">IFERROR(__xludf.DUMMYFUNCTION("""COMPUTED_VALUE"""),"")</f>
        <v/>
      </c>
      <c r="D2346" s="109" t="str">
        <f ca="1">IFERROR(__xludf.DUMMYFUNCTION("""COMPUTED_VALUE"""),"")</f>
        <v/>
      </c>
      <c r="E2346" s="110" t="str">
        <f ca="1">IFERROR(__xludf.DUMMYFUNCTION("""COMPUTED_VALUE"""),"")</f>
        <v/>
      </c>
      <c r="F2346" s="114" t="str">
        <f ca="1">IFERROR(__xludf.DUMMYFUNCTION("""COMPUTED_VALUE"""),"")</f>
        <v/>
      </c>
      <c r="G2346" s="114" t="str">
        <f ca="1">IFERROR(__xludf.DUMMYFUNCTION("""COMPUTED_VALUE"""),"")</f>
        <v/>
      </c>
      <c r="H2346" s="112" t="str">
        <f ca="1"/>
        <v/>
      </c>
      <c r="I2346" s="112" t="str">
        <f ca="1"/>
        <v/>
      </c>
    </row>
    <row r="2347" spans="1:9" ht="13.2">
      <c r="A2347" s="109"/>
      <c r="B2347" s="108" t="str">
        <f ca="1">IFERROR(__xludf.DUMMYFUNCTION("""COMPUTED_VALUE"""),"")</f>
        <v/>
      </c>
      <c r="C2347" s="109" t="str">
        <f ca="1">IFERROR(__xludf.DUMMYFUNCTION("""COMPUTED_VALUE"""),"")</f>
        <v/>
      </c>
      <c r="D2347" s="109" t="str">
        <f ca="1">IFERROR(__xludf.DUMMYFUNCTION("""COMPUTED_VALUE"""),"")</f>
        <v/>
      </c>
      <c r="E2347" s="110" t="str">
        <f ca="1">IFERROR(__xludf.DUMMYFUNCTION("""COMPUTED_VALUE"""),"")</f>
        <v/>
      </c>
      <c r="F2347" s="114" t="str">
        <f ca="1">IFERROR(__xludf.DUMMYFUNCTION("""COMPUTED_VALUE"""),"")</f>
        <v/>
      </c>
      <c r="G2347" s="114" t="str">
        <f ca="1">IFERROR(__xludf.DUMMYFUNCTION("""COMPUTED_VALUE"""),"")</f>
        <v/>
      </c>
      <c r="H2347" s="112" t="str">
        <f ca="1"/>
        <v/>
      </c>
      <c r="I2347" s="112" t="str">
        <f ca="1"/>
        <v/>
      </c>
    </row>
    <row r="2348" spans="1:9" ht="13.2">
      <c r="A2348" s="109"/>
      <c r="B2348" s="108" t="str">
        <f ca="1">IFERROR(__xludf.DUMMYFUNCTION("""COMPUTED_VALUE"""),"")</f>
        <v/>
      </c>
      <c r="C2348" s="109" t="str">
        <f ca="1">IFERROR(__xludf.DUMMYFUNCTION("""COMPUTED_VALUE"""),"")</f>
        <v/>
      </c>
      <c r="D2348" s="109" t="str">
        <f ca="1">IFERROR(__xludf.DUMMYFUNCTION("""COMPUTED_VALUE"""),"")</f>
        <v/>
      </c>
      <c r="E2348" s="110" t="str">
        <f ca="1">IFERROR(__xludf.DUMMYFUNCTION("""COMPUTED_VALUE"""),"")</f>
        <v/>
      </c>
      <c r="F2348" s="114" t="str">
        <f ca="1">IFERROR(__xludf.DUMMYFUNCTION("""COMPUTED_VALUE"""),"")</f>
        <v/>
      </c>
      <c r="G2348" s="114" t="str">
        <f ca="1">IFERROR(__xludf.DUMMYFUNCTION("""COMPUTED_VALUE"""),"")</f>
        <v/>
      </c>
      <c r="H2348" s="112" t="str">
        <f ca="1"/>
        <v/>
      </c>
      <c r="I2348" s="112" t="str">
        <f ca="1"/>
        <v/>
      </c>
    </row>
    <row r="2349" spans="1:9" ht="13.2">
      <c r="A2349" s="109"/>
      <c r="B2349" s="108" t="str">
        <f ca="1">IFERROR(__xludf.DUMMYFUNCTION("""COMPUTED_VALUE"""),"")</f>
        <v/>
      </c>
      <c r="C2349" s="109" t="str">
        <f ca="1">IFERROR(__xludf.DUMMYFUNCTION("""COMPUTED_VALUE"""),"")</f>
        <v/>
      </c>
      <c r="D2349" s="109" t="str">
        <f ca="1">IFERROR(__xludf.DUMMYFUNCTION("""COMPUTED_VALUE"""),"")</f>
        <v/>
      </c>
      <c r="E2349" s="110" t="str">
        <f ca="1">IFERROR(__xludf.DUMMYFUNCTION("""COMPUTED_VALUE"""),"")</f>
        <v/>
      </c>
      <c r="F2349" s="114" t="str">
        <f ca="1">IFERROR(__xludf.DUMMYFUNCTION("""COMPUTED_VALUE"""),"")</f>
        <v/>
      </c>
      <c r="G2349" s="114" t="str">
        <f ca="1">IFERROR(__xludf.DUMMYFUNCTION("""COMPUTED_VALUE"""),"")</f>
        <v/>
      </c>
      <c r="H2349" s="112" t="str">
        <f ca="1"/>
        <v/>
      </c>
      <c r="I2349" s="112" t="str">
        <f ca="1"/>
        <v/>
      </c>
    </row>
    <row r="2350" spans="1:9" ht="13.2">
      <c r="A2350" s="109"/>
      <c r="B2350" s="108" t="str">
        <f ca="1">IFERROR(__xludf.DUMMYFUNCTION("""COMPUTED_VALUE"""),"")</f>
        <v/>
      </c>
      <c r="C2350" s="109" t="str">
        <f ca="1">IFERROR(__xludf.DUMMYFUNCTION("""COMPUTED_VALUE"""),"")</f>
        <v/>
      </c>
      <c r="D2350" s="109" t="str">
        <f ca="1">IFERROR(__xludf.DUMMYFUNCTION("""COMPUTED_VALUE"""),"")</f>
        <v/>
      </c>
      <c r="E2350" s="110" t="str">
        <f ca="1">IFERROR(__xludf.DUMMYFUNCTION("""COMPUTED_VALUE"""),"")</f>
        <v/>
      </c>
      <c r="F2350" s="114" t="str">
        <f ca="1">IFERROR(__xludf.DUMMYFUNCTION("""COMPUTED_VALUE"""),"")</f>
        <v/>
      </c>
      <c r="G2350" s="114" t="str">
        <f ca="1">IFERROR(__xludf.DUMMYFUNCTION("""COMPUTED_VALUE"""),"")</f>
        <v/>
      </c>
      <c r="H2350" s="112" t="str">
        <f ca="1"/>
        <v/>
      </c>
      <c r="I2350" s="112" t="str">
        <f ca="1"/>
        <v/>
      </c>
    </row>
    <row r="2351" spans="1:9" ht="13.2">
      <c r="A2351" s="109"/>
      <c r="B2351" s="108" t="str">
        <f ca="1">IFERROR(__xludf.DUMMYFUNCTION("""COMPUTED_VALUE"""),"")</f>
        <v/>
      </c>
      <c r="C2351" s="109" t="str">
        <f ca="1">IFERROR(__xludf.DUMMYFUNCTION("""COMPUTED_VALUE"""),"")</f>
        <v/>
      </c>
      <c r="D2351" s="109" t="str">
        <f ca="1">IFERROR(__xludf.DUMMYFUNCTION("""COMPUTED_VALUE"""),"")</f>
        <v/>
      </c>
      <c r="E2351" s="110" t="str">
        <f ca="1">IFERROR(__xludf.DUMMYFUNCTION("""COMPUTED_VALUE"""),"")</f>
        <v/>
      </c>
      <c r="F2351" s="114" t="str">
        <f ca="1">IFERROR(__xludf.DUMMYFUNCTION("""COMPUTED_VALUE"""),"")</f>
        <v/>
      </c>
      <c r="G2351" s="114" t="str">
        <f ca="1">IFERROR(__xludf.DUMMYFUNCTION("""COMPUTED_VALUE"""),"")</f>
        <v/>
      </c>
      <c r="H2351" s="112" t="str">
        <f ca="1"/>
        <v/>
      </c>
      <c r="I2351" s="112" t="str">
        <f ca="1"/>
        <v/>
      </c>
    </row>
    <row r="2352" spans="1:9" ht="13.2">
      <c r="A2352" s="109"/>
      <c r="B2352" s="108" t="str">
        <f ca="1">IFERROR(__xludf.DUMMYFUNCTION("""COMPUTED_VALUE"""),"")</f>
        <v/>
      </c>
      <c r="C2352" s="109" t="str">
        <f ca="1">IFERROR(__xludf.DUMMYFUNCTION("""COMPUTED_VALUE"""),"")</f>
        <v/>
      </c>
      <c r="D2352" s="109" t="str">
        <f ca="1">IFERROR(__xludf.DUMMYFUNCTION("""COMPUTED_VALUE"""),"")</f>
        <v/>
      </c>
      <c r="E2352" s="110" t="str">
        <f ca="1">IFERROR(__xludf.DUMMYFUNCTION("""COMPUTED_VALUE"""),"")</f>
        <v/>
      </c>
      <c r="F2352" s="114" t="str">
        <f ca="1">IFERROR(__xludf.DUMMYFUNCTION("""COMPUTED_VALUE"""),"")</f>
        <v/>
      </c>
      <c r="G2352" s="114" t="str">
        <f ca="1">IFERROR(__xludf.DUMMYFUNCTION("""COMPUTED_VALUE"""),"")</f>
        <v/>
      </c>
      <c r="H2352" s="112" t="str">
        <f ca="1"/>
        <v/>
      </c>
      <c r="I2352" s="112" t="str">
        <f ca="1"/>
        <v/>
      </c>
    </row>
    <row r="2353" spans="1:9" ht="13.2">
      <c r="A2353" s="109"/>
      <c r="B2353" s="108" t="str">
        <f ca="1">IFERROR(__xludf.DUMMYFUNCTION("""COMPUTED_VALUE"""),"")</f>
        <v/>
      </c>
      <c r="C2353" s="109" t="str">
        <f ca="1">IFERROR(__xludf.DUMMYFUNCTION("""COMPUTED_VALUE"""),"")</f>
        <v/>
      </c>
      <c r="D2353" s="109" t="str">
        <f ca="1">IFERROR(__xludf.DUMMYFUNCTION("""COMPUTED_VALUE"""),"")</f>
        <v/>
      </c>
      <c r="E2353" s="110" t="str">
        <f ca="1">IFERROR(__xludf.DUMMYFUNCTION("""COMPUTED_VALUE"""),"")</f>
        <v/>
      </c>
      <c r="F2353" s="114" t="str">
        <f ca="1">IFERROR(__xludf.DUMMYFUNCTION("""COMPUTED_VALUE"""),"")</f>
        <v/>
      </c>
      <c r="G2353" s="114" t="str">
        <f ca="1">IFERROR(__xludf.DUMMYFUNCTION("""COMPUTED_VALUE"""),"")</f>
        <v/>
      </c>
      <c r="H2353" s="112" t="str">
        <f ca="1"/>
        <v/>
      </c>
      <c r="I2353" s="112" t="str">
        <f ca="1"/>
        <v/>
      </c>
    </row>
    <row r="2354" spans="1:9" ht="13.2">
      <c r="A2354" s="109"/>
      <c r="B2354" s="108" t="str">
        <f ca="1">IFERROR(__xludf.DUMMYFUNCTION("""COMPUTED_VALUE"""),"")</f>
        <v/>
      </c>
      <c r="C2354" s="109" t="str">
        <f ca="1">IFERROR(__xludf.DUMMYFUNCTION("""COMPUTED_VALUE"""),"")</f>
        <v/>
      </c>
      <c r="D2354" s="109" t="str">
        <f ca="1">IFERROR(__xludf.DUMMYFUNCTION("""COMPUTED_VALUE"""),"")</f>
        <v/>
      </c>
      <c r="E2354" s="110" t="str">
        <f ca="1">IFERROR(__xludf.DUMMYFUNCTION("""COMPUTED_VALUE"""),"")</f>
        <v/>
      </c>
      <c r="F2354" s="114" t="str">
        <f ca="1">IFERROR(__xludf.DUMMYFUNCTION("""COMPUTED_VALUE"""),"")</f>
        <v/>
      </c>
      <c r="G2354" s="114" t="str">
        <f ca="1">IFERROR(__xludf.DUMMYFUNCTION("""COMPUTED_VALUE"""),"")</f>
        <v/>
      </c>
      <c r="H2354" s="112" t="str">
        <f ca="1"/>
        <v/>
      </c>
      <c r="I2354" s="112" t="str">
        <f ca="1"/>
        <v/>
      </c>
    </row>
    <row r="2355" spans="1:9" ht="13.2">
      <c r="A2355" s="109"/>
      <c r="B2355" s="108" t="str">
        <f ca="1">IFERROR(__xludf.DUMMYFUNCTION("""COMPUTED_VALUE"""),"")</f>
        <v/>
      </c>
      <c r="C2355" s="109" t="str">
        <f ca="1">IFERROR(__xludf.DUMMYFUNCTION("""COMPUTED_VALUE"""),"")</f>
        <v/>
      </c>
      <c r="D2355" s="109" t="str">
        <f ca="1">IFERROR(__xludf.DUMMYFUNCTION("""COMPUTED_VALUE"""),"")</f>
        <v/>
      </c>
      <c r="E2355" s="110" t="str">
        <f ca="1">IFERROR(__xludf.DUMMYFUNCTION("""COMPUTED_VALUE"""),"")</f>
        <v/>
      </c>
      <c r="F2355" s="114" t="str">
        <f ca="1">IFERROR(__xludf.DUMMYFUNCTION("""COMPUTED_VALUE"""),"")</f>
        <v/>
      </c>
      <c r="G2355" s="114" t="str">
        <f ca="1">IFERROR(__xludf.DUMMYFUNCTION("""COMPUTED_VALUE"""),"")</f>
        <v/>
      </c>
      <c r="H2355" s="112" t="str">
        <f ca="1"/>
        <v/>
      </c>
      <c r="I2355" s="112" t="str">
        <f ca="1"/>
        <v/>
      </c>
    </row>
    <row r="2356" spans="1:9" ht="13.2">
      <c r="A2356" s="109"/>
      <c r="B2356" s="108" t="str">
        <f ca="1">IFERROR(__xludf.DUMMYFUNCTION("""COMPUTED_VALUE"""),"")</f>
        <v/>
      </c>
      <c r="C2356" s="109" t="str">
        <f ca="1">IFERROR(__xludf.DUMMYFUNCTION("""COMPUTED_VALUE"""),"")</f>
        <v/>
      </c>
      <c r="D2356" s="109" t="str">
        <f ca="1">IFERROR(__xludf.DUMMYFUNCTION("""COMPUTED_VALUE"""),"")</f>
        <v/>
      </c>
      <c r="E2356" s="110" t="str">
        <f ca="1">IFERROR(__xludf.DUMMYFUNCTION("""COMPUTED_VALUE"""),"")</f>
        <v/>
      </c>
      <c r="F2356" s="114" t="str">
        <f ca="1">IFERROR(__xludf.DUMMYFUNCTION("""COMPUTED_VALUE"""),"")</f>
        <v/>
      </c>
      <c r="G2356" s="114" t="str">
        <f ca="1">IFERROR(__xludf.DUMMYFUNCTION("""COMPUTED_VALUE"""),"")</f>
        <v/>
      </c>
      <c r="H2356" s="112" t="str">
        <f ca="1"/>
        <v/>
      </c>
      <c r="I2356" s="112" t="str">
        <f ca="1"/>
        <v/>
      </c>
    </row>
    <row r="2357" spans="1:9" ht="13.2">
      <c r="A2357" s="109"/>
      <c r="B2357" s="108" t="str">
        <f ca="1">IFERROR(__xludf.DUMMYFUNCTION("""COMPUTED_VALUE"""),"")</f>
        <v/>
      </c>
      <c r="C2357" s="109" t="str">
        <f ca="1">IFERROR(__xludf.DUMMYFUNCTION("""COMPUTED_VALUE"""),"")</f>
        <v/>
      </c>
      <c r="D2357" s="109" t="str">
        <f ca="1">IFERROR(__xludf.DUMMYFUNCTION("""COMPUTED_VALUE"""),"")</f>
        <v/>
      </c>
      <c r="E2357" s="110" t="str">
        <f ca="1">IFERROR(__xludf.DUMMYFUNCTION("""COMPUTED_VALUE"""),"")</f>
        <v/>
      </c>
      <c r="F2357" s="114" t="str">
        <f ca="1">IFERROR(__xludf.DUMMYFUNCTION("""COMPUTED_VALUE"""),"")</f>
        <v/>
      </c>
      <c r="G2357" s="114" t="str">
        <f ca="1">IFERROR(__xludf.DUMMYFUNCTION("""COMPUTED_VALUE"""),"")</f>
        <v/>
      </c>
      <c r="H2357" s="112" t="str">
        <f ca="1"/>
        <v/>
      </c>
      <c r="I2357" s="112" t="str">
        <f ca="1"/>
        <v/>
      </c>
    </row>
    <row r="2358" spans="1:9" ht="13.2">
      <c r="A2358" s="109"/>
      <c r="B2358" s="108" t="str">
        <f ca="1">IFERROR(__xludf.DUMMYFUNCTION("""COMPUTED_VALUE"""),"")</f>
        <v/>
      </c>
      <c r="C2358" s="109" t="str">
        <f ca="1">IFERROR(__xludf.DUMMYFUNCTION("""COMPUTED_VALUE"""),"")</f>
        <v/>
      </c>
      <c r="D2358" s="109" t="str">
        <f ca="1">IFERROR(__xludf.DUMMYFUNCTION("""COMPUTED_VALUE"""),"")</f>
        <v/>
      </c>
      <c r="E2358" s="110" t="str">
        <f ca="1">IFERROR(__xludf.DUMMYFUNCTION("""COMPUTED_VALUE"""),"")</f>
        <v/>
      </c>
      <c r="F2358" s="114" t="str">
        <f ca="1">IFERROR(__xludf.DUMMYFUNCTION("""COMPUTED_VALUE"""),"")</f>
        <v/>
      </c>
      <c r="G2358" s="114" t="str">
        <f ca="1">IFERROR(__xludf.DUMMYFUNCTION("""COMPUTED_VALUE"""),"")</f>
        <v/>
      </c>
      <c r="H2358" s="112" t="str">
        <f ca="1"/>
        <v/>
      </c>
      <c r="I2358" s="112" t="str">
        <f ca="1"/>
        <v/>
      </c>
    </row>
    <row r="2359" spans="1:9" ht="13.2">
      <c r="A2359" s="109"/>
      <c r="B2359" s="108" t="str">
        <f ca="1">IFERROR(__xludf.DUMMYFUNCTION("""COMPUTED_VALUE"""),"")</f>
        <v/>
      </c>
      <c r="C2359" s="109" t="str">
        <f ca="1">IFERROR(__xludf.DUMMYFUNCTION("""COMPUTED_VALUE"""),"")</f>
        <v/>
      </c>
      <c r="D2359" s="109" t="str">
        <f ca="1">IFERROR(__xludf.DUMMYFUNCTION("""COMPUTED_VALUE"""),"")</f>
        <v/>
      </c>
      <c r="E2359" s="110" t="str">
        <f ca="1">IFERROR(__xludf.DUMMYFUNCTION("""COMPUTED_VALUE"""),"")</f>
        <v/>
      </c>
      <c r="F2359" s="114" t="str">
        <f ca="1">IFERROR(__xludf.DUMMYFUNCTION("""COMPUTED_VALUE"""),"")</f>
        <v/>
      </c>
      <c r="G2359" s="114" t="str">
        <f ca="1">IFERROR(__xludf.DUMMYFUNCTION("""COMPUTED_VALUE"""),"")</f>
        <v/>
      </c>
      <c r="H2359" s="112" t="str">
        <f ca="1"/>
        <v/>
      </c>
      <c r="I2359" s="112" t="str">
        <f ca="1"/>
        <v/>
      </c>
    </row>
    <row r="2360" spans="1:9" ht="13.2">
      <c r="A2360" s="109"/>
      <c r="B2360" s="108" t="str">
        <f ca="1">IFERROR(__xludf.DUMMYFUNCTION("""COMPUTED_VALUE"""),"")</f>
        <v/>
      </c>
      <c r="C2360" s="109" t="str">
        <f ca="1">IFERROR(__xludf.DUMMYFUNCTION("""COMPUTED_VALUE"""),"")</f>
        <v/>
      </c>
      <c r="D2360" s="109" t="str">
        <f ca="1">IFERROR(__xludf.DUMMYFUNCTION("""COMPUTED_VALUE"""),"")</f>
        <v/>
      </c>
      <c r="E2360" s="110" t="str">
        <f ca="1">IFERROR(__xludf.DUMMYFUNCTION("""COMPUTED_VALUE"""),"")</f>
        <v/>
      </c>
      <c r="F2360" s="114" t="str">
        <f ca="1">IFERROR(__xludf.DUMMYFUNCTION("""COMPUTED_VALUE"""),"")</f>
        <v/>
      </c>
      <c r="G2360" s="114" t="str">
        <f ca="1">IFERROR(__xludf.DUMMYFUNCTION("""COMPUTED_VALUE"""),"")</f>
        <v/>
      </c>
      <c r="H2360" s="112" t="str">
        <f ca="1"/>
        <v/>
      </c>
      <c r="I2360" s="112" t="str">
        <f ca="1"/>
        <v/>
      </c>
    </row>
    <row r="2361" spans="1:9" ht="13.2">
      <c r="A2361" s="109"/>
      <c r="B2361" s="108" t="str">
        <f ca="1">IFERROR(__xludf.DUMMYFUNCTION("""COMPUTED_VALUE"""),"")</f>
        <v/>
      </c>
      <c r="C2361" s="109" t="str">
        <f ca="1">IFERROR(__xludf.DUMMYFUNCTION("""COMPUTED_VALUE"""),"")</f>
        <v/>
      </c>
      <c r="D2361" s="109" t="str">
        <f ca="1">IFERROR(__xludf.DUMMYFUNCTION("""COMPUTED_VALUE"""),"")</f>
        <v/>
      </c>
      <c r="E2361" s="110" t="str">
        <f ca="1">IFERROR(__xludf.DUMMYFUNCTION("""COMPUTED_VALUE"""),"")</f>
        <v/>
      </c>
      <c r="F2361" s="114" t="str">
        <f ca="1">IFERROR(__xludf.DUMMYFUNCTION("""COMPUTED_VALUE"""),"")</f>
        <v/>
      </c>
      <c r="G2361" s="114" t="str">
        <f ca="1">IFERROR(__xludf.DUMMYFUNCTION("""COMPUTED_VALUE"""),"")</f>
        <v/>
      </c>
      <c r="H2361" s="112" t="str">
        <f ca="1"/>
        <v/>
      </c>
      <c r="I2361" s="112" t="str">
        <f ca="1"/>
        <v/>
      </c>
    </row>
    <row r="2362" spans="1:9" ht="13.2">
      <c r="A2362" s="109"/>
      <c r="B2362" s="108" t="str">
        <f ca="1">IFERROR(__xludf.DUMMYFUNCTION("""COMPUTED_VALUE"""),"")</f>
        <v/>
      </c>
      <c r="C2362" s="109" t="str">
        <f ca="1">IFERROR(__xludf.DUMMYFUNCTION("""COMPUTED_VALUE"""),"")</f>
        <v/>
      </c>
      <c r="D2362" s="109" t="str">
        <f ca="1">IFERROR(__xludf.DUMMYFUNCTION("""COMPUTED_VALUE"""),"")</f>
        <v/>
      </c>
      <c r="E2362" s="110" t="str">
        <f ca="1">IFERROR(__xludf.DUMMYFUNCTION("""COMPUTED_VALUE"""),"")</f>
        <v/>
      </c>
      <c r="F2362" s="114" t="str">
        <f ca="1">IFERROR(__xludf.DUMMYFUNCTION("""COMPUTED_VALUE"""),"")</f>
        <v/>
      </c>
      <c r="G2362" s="114" t="str">
        <f ca="1">IFERROR(__xludf.DUMMYFUNCTION("""COMPUTED_VALUE"""),"")</f>
        <v/>
      </c>
      <c r="H2362" s="112" t="str">
        <f ca="1"/>
        <v/>
      </c>
      <c r="I2362" s="112" t="str">
        <f ca="1"/>
        <v/>
      </c>
    </row>
    <row r="2363" spans="1:9" ht="13.2">
      <c r="A2363" s="109"/>
      <c r="B2363" s="108" t="str">
        <f ca="1">IFERROR(__xludf.DUMMYFUNCTION("""COMPUTED_VALUE"""),"")</f>
        <v/>
      </c>
      <c r="C2363" s="109" t="str">
        <f ca="1">IFERROR(__xludf.DUMMYFUNCTION("""COMPUTED_VALUE"""),"")</f>
        <v/>
      </c>
      <c r="D2363" s="109" t="str">
        <f ca="1">IFERROR(__xludf.DUMMYFUNCTION("""COMPUTED_VALUE"""),"")</f>
        <v/>
      </c>
      <c r="E2363" s="110" t="str">
        <f ca="1">IFERROR(__xludf.DUMMYFUNCTION("""COMPUTED_VALUE"""),"")</f>
        <v/>
      </c>
      <c r="F2363" s="114" t="str">
        <f ca="1">IFERROR(__xludf.DUMMYFUNCTION("""COMPUTED_VALUE"""),"")</f>
        <v/>
      </c>
      <c r="G2363" s="114" t="str">
        <f ca="1">IFERROR(__xludf.DUMMYFUNCTION("""COMPUTED_VALUE"""),"")</f>
        <v/>
      </c>
      <c r="H2363" s="112" t="str">
        <f ca="1"/>
        <v/>
      </c>
      <c r="I2363" s="112" t="str">
        <f ca="1"/>
        <v/>
      </c>
    </row>
    <row r="2364" spans="1:9" ht="13.2">
      <c r="A2364" s="109"/>
      <c r="B2364" s="108" t="str">
        <f ca="1">IFERROR(__xludf.DUMMYFUNCTION("""COMPUTED_VALUE"""),"")</f>
        <v/>
      </c>
      <c r="C2364" s="109" t="str">
        <f ca="1">IFERROR(__xludf.DUMMYFUNCTION("""COMPUTED_VALUE"""),"")</f>
        <v/>
      </c>
      <c r="D2364" s="109" t="str">
        <f ca="1">IFERROR(__xludf.DUMMYFUNCTION("""COMPUTED_VALUE"""),"")</f>
        <v/>
      </c>
      <c r="E2364" s="110" t="str">
        <f ca="1">IFERROR(__xludf.DUMMYFUNCTION("""COMPUTED_VALUE"""),"")</f>
        <v/>
      </c>
      <c r="F2364" s="114" t="str">
        <f ca="1">IFERROR(__xludf.DUMMYFUNCTION("""COMPUTED_VALUE"""),"")</f>
        <v/>
      </c>
      <c r="G2364" s="114" t="str">
        <f ca="1">IFERROR(__xludf.DUMMYFUNCTION("""COMPUTED_VALUE"""),"")</f>
        <v/>
      </c>
      <c r="H2364" s="112" t="str">
        <f ca="1"/>
        <v/>
      </c>
      <c r="I2364" s="112" t="str">
        <f ca="1"/>
        <v/>
      </c>
    </row>
    <row r="2365" spans="1:9" ht="13.2">
      <c r="A2365" s="109"/>
      <c r="B2365" s="108" t="str">
        <f ca="1">IFERROR(__xludf.DUMMYFUNCTION("""COMPUTED_VALUE"""),"")</f>
        <v/>
      </c>
      <c r="C2365" s="109" t="str">
        <f ca="1">IFERROR(__xludf.DUMMYFUNCTION("""COMPUTED_VALUE"""),"")</f>
        <v/>
      </c>
      <c r="D2365" s="109" t="str">
        <f ca="1">IFERROR(__xludf.DUMMYFUNCTION("""COMPUTED_VALUE"""),"")</f>
        <v/>
      </c>
      <c r="E2365" s="110" t="str">
        <f ca="1">IFERROR(__xludf.DUMMYFUNCTION("""COMPUTED_VALUE"""),"")</f>
        <v/>
      </c>
      <c r="F2365" s="114" t="str">
        <f ca="1">IFERROR(__xludf.DUMMYFUNCTION("""COMPUTED_VALUE"""),"")</f>
        <v/>
      </c>
      <c r="G2365" s="114" t="str">
        <f ca="1">IFERROR(__xludf.DUMMYFUNCTION("""COMPUTED_VALUE"""),"")</f>
        <v/>
      </c>
      <c r="H2365" s="112" t="str">
        <f ca="1"/>
        <v/>
      </c>
      <c r="I2365" s="112" t="str">
        <f ca="1"/>
        <v/>
      </c>
    </row>
    <row r="2366" spans="1:9" ht="13.2">
      <c r="A2366" s="109"/>
      <c r="B2366" s="108" t="str">
        <f ca="1">IFERROR(__xludf.DUMMYFUNCTION("""COMPUTED_VALUE"""),"")</f>
        <v/>
      </c>
      <c r="C2366" s="109" t="str">
        <f ca="1">IFERROR(__xludf.DUMMYFUNCTION("""COMPUTED_VALUE"""),"")</f>
        <v/>
      </c>
      <c r="D2366" s="109" t="str">
        <f ca="1">IFERROR(__xludf.DUMMYFUNCTION("""COMPUTED_VALUE"""),"")</f>
        <v/>
      </c>
      <c r="E2366" s="110" t="str">
        <f ca="1">IFERROR(__xludf.DUMMYFUNCTION("""COMPUTED_VALUE"""),"")</f>
        <v/>
      </c>
      <c r="F2366" s="114" t="str">
        <f ca="1">IFERROR(__xludf.DUMMYFUNCTION("""COMPUTED_VALUE"""),"")</f>
        <v/>
      </c>
      <c r="G2366" s="114" t="str">
        <f ca="1">IFERROR(__xludf.DUMMYFUNCTION("""COMPUTED_VALUE"""),"")</f>
        <v/>
      </c>
      <c r="H2366" s="112" t="str">
        <f ca="1"/>
        <v/>
      </c>
      <c r="I2366" s="112" t="str">
        <f ca="1"/>
        <v/>
      </c>
    </row>
    <row r="2367" spans="1:9" ht="13.2">
      <c r="A2367" s="109"/>
      <c r="B2367" s="108" t="str">
        <f ca="1">IFERROR(__xludf.DUMMYFUNCTION("""COMPUTED_VALUE"""),"")</f>
        <v/>
      </c>
      <c r="C2367" s="109" t="str">
        <f ca="1">IFERROR(__xludf.DUMMYFUNCTION("""COMPUTED_VALUE"""),"")</f>
        <v/>
      </c>
      <c r="D2367" s="109" t="str">
        <f ca="1">IFERROR(__xludf.DUMMYFUNCTION("""COMPUTED_VALUE"""),"")</f>
        <v/>
      </c>
      <c r="E2367" s="110" t="str">
        <f ca="1">IFERROR(__xludf.DUMMYFUNCTION("""COMPUTED_VALUE"""),"")</f>
        <v/>
      </c>
      <c r="F2367" s="114" t="str">
        <f ca="1">IFERROR(__xludf.DUMMYFUNCTION("""COMPUTED_VALUE"""),"")</f>
        <v/>
      </c>
      <c r="G2367" s="114" t="str">
        <f ca="1">IFERROR(__xludf.DUMMYFUNCTION("""COMPUTED_VALUE"""),"")</f>
        <v/>
      </c>
      <c r="H2367" s="112" t="str">
        <f ca="1"/>
        <v/>
      </c>
      <c r="I2367" s="112" t="str">
        <f ca="1"/>
        <v/>
      </c>
    </row>
    <row r="2368" spans="1:9" ht="13.2">
      <c r="A2368" s="109"/>
      <c r="B2368" s="108" t="str">
        <f ca="1">IFERROR(__xludf.DUMMYFUNCTION("""COMPUTED_VALUE"""),"")</f>
        <v/>
      </c>
      <c r="C2368" s="109" t="str">
        <f ca="1">IFERROR(__xludf.DUMMYFUNCTION("""COMPUTED_VALUE"""),"")</f>
        <v/>
      </c>
      <c r="D2368" s="109" t="str">
        <f ca="1">IFERROR(__xludf.DUMMYFUNCTION("""COMPUTED_VALUE"""),"")</f>
        <v/>
      </c>
      <c r="E2368" s="110" t="str">
        <f ca="1">IFERROR(__xludf.DUMMYFUNCTION("""COMPUTED_VALUE"""),"")</f>
        <v/>
      </c>
      <c r="F2368" s="114" t="str">
        <f ca="1">IFERROR(__xludf.DUMMYFUNCTION("""COMPUTED_VALUE"""),"")</f>
        <v/>
      </c>
      <c r="G2368" s="114" t="str">
        <f ca="1">IFERROR(__xludf.DUMMYFUNCTION("""COMPUTED_VALUE"""),"")</f>
        <v/>
      </c>
      <c r="H2368" s="112" t="str">
        <f ca="1"/>
        <v/>
      </c>
      <c r="I2368" s="112" t="str">
        <f ca="1"/>
        <v/>
      </c>
    </row>
    <row r="2369" spans="1:9" ht="13.2">
      <c r="A2369" s="109"/>
      <c r="B2369" s="108" t="str">
        <f ca="1">IFERROR(__xludf.DUMMYFUNCTION("""COMPUTED_VALUE"""),"")</f>
        <v/>
      </c>
      <c r="C2369" s="109" t="str">
        <f ca="1">IFERROR(__xludf.DUMMYFUNCTION("""COMPUTED_VALUE"""),"")</f>
        <v/>
      </c>
      <c r="D2369" s="109" t="str">
        <f ca="1">IFERROR(__xludf.DUMMYFUNCTION("""COMPUTED_VALUE"""),"")</f>
        <v/>
      </c>
      <c r="E2369" s="110" t="str">
        <f ca="1">IFERROR(__xludf.DUMMYFUNCTION("""COMPUTED_VALUE"""),"")</f>
        <v/>
      </c>
      <c r="F2369" s="114" t="str">
        <f ca="1">IFERROR(__xludf.DUMMYFUNCTION("""COMPUTED_VALUE"""),"")</f>
        <v/>
      </c>
      <c r="G2369" s="114" t="str">
        <f ca="1">IFERROR(__xludf.DUMMYFUNCTION("""COMPUTED_VALUE"""),"")</f>
        <v/>
      </c>
      <c r="H2369" s="112" t="str">
        <f ca="1"/>
        <v/>
      </c>
      <c r="I2369" s="112" t="str">
        <f ca="1"/>
        <v/>
      </c>
    </row>
    <row r="2370" spans="1:9" ht="13.2">
      <c r="A2370" s="109"/>
      <c r="B2370" s="108" t="str">
        <f ca="1">IFERROR(__xludf.DUMMYFUNCTION("""COMPUTED_VALUE"""),"")</f>
        <v/>
      </c>
      <c r="C2370" s="109" t="str">
        <f ca="1">IFERROR(__xludf.DUMMYFUNCTION("""COMPUTED_VALUE"""),"")</f>
        <v/>
      </c>
      <c r="D2370" s="109" t="str">
        <f ca="1">IFERROR(__xludf.DUMMYFUNCTION("""COMPUTED_VALUE"""),"")</f>
        <v/>
      </c>
      <c r="E2370" s="110" t="str">
        <f ca="1">IFERROR(__xludf.DUMMYFUNCTION("""COMPUTED_VALUE"""),"")</f>
        <v/>
      </c>
      <c r="F2370" s="114" t="str">
        <f ca="1">IFERROR(__xludf.DUMMYFUNCTION("""COMPUTED_VALUE"""),"")</f>
        <v/>
      </c>
      <c r="G2370" s="114" t="str">
        <f ca="1">IFERROR(__xludf.DUMMYFUNCTION("""COMPUTED_VALUE"""),"")</f>
        <v/>
      </c>
      <c r="H2370" s="112" t="str">
        <f ca="1"/>
        <v/>
      </c>
      <c r="I2370" s="112" t="str">
        <f ca="1"/>
        <v/>
      </c>
    </row>
    <row r="2371" spans="1:9" ht="13.2">
      <c r="A2371" s="109"/>
      <c r="B2371" s="108" t="str">
        <f ca="1">IFERROR(__xludf.DUMMYFUNCTION("""COMPUTED_VALUE"""),"")</f>
        <v/>
      </c>
      <c r="C2371" s="109" t="str">
        <f ca="1">IFERROR(__xludf.DUMMYFUNCTION("""COMPUTED_VALUE"""),"")</f>
        <v/>
      </c>
      <c r="D2371" s="109" t="str">
        <f ca="1">IFERROR(__xludf.DUMMYFUNCTION("""COMPUTED_VALUE"""),"")</f>
        <v/>
      </c>
      <c r="E2371" s="110" t="str">
        <f ca="1">IFERROR(__xludf.DUMMYFUNCTION("""COMPUTED_VALUE"""),"")</f>
        <v/>
      </c>
      <c r="F2371" s="114" t="str">
        <f ca="1">IFERROR(__xludf.DUMMYFUNCTION("""COMPUTED_VALUE"""),"")</f>
        <v/>
      </c>
      <c r="G2371" s="114" t="str">
        <f ca="1">IFERROR(__xludf.DUMMYFUNCTION("""COMPUTED_VALUE"""),"")</f>
        <v/>
      </c>
      <c r="H2371" s="112" t="str">
        <f ca="1"/>
        <v/>
      </c>
      <c r="I2371" s="112" t="str">
        <f ca="1"/>
        <v/>
      </c>
    </row>
    <row r="2372" spans="1:9" ht="13.2">
      <c r="A2372" s="109"/>
      <c r="B2372" s="108" t="str">
        <f ca="1">IFERROR(__xludf.DUMMYFUNCTION("""COMPUTED_VALUE"""),"")</f>
        <v/>
      </c>
      <c r="C2372" s="109" t="str">
        <f ca="1">IFERROR(__xludf.DUMMYFUNCTION("""COMPUTED_VALUE"""),"")</f>
        <v/>
      </c>
      <c r="D2372" s="109" t="str">
        <f ca="1">IFERROR(__xludf.DUMMYFUNCTION("""COMPUTED_VALUE"""),"")</f>
        <v/>
      </c>
      <c r="E2372" s="110" t="str">
        <f ca="1">IFERROR(__xludf.DUMMYFUNCTION("""COMPUTED_VALUE"""),"")</f>
        <v/>
      </c>
      <c r="F2372" s="114" t="str">
        <f ca="1">IFERROR(__xludf.DUMMYFUNCTION("""COMPUTED_VALUE"""),"")</f>
        <v/>
      </c>
      <c r="G2372" s="114" t="str">
        <f ca="1">IFERROR(__xludf.DUMMYFUNCTION("""COMPUTED_VALUE"""),"")</f>
        <v/>
      </c>
      <c r="H2372" s="112" t="str">
        <f ca="1"/>
        <v/>
      </c>
      <c r="I2372" s="112" t="str">
        <f ca="1"/>
        <v/>
      </c>
    </row>
    <row r="2373" spans="1:9" ht="13.2">
      <c r="A2373" s="109"/>
      <c r="B2373" s="108" t="str">
        <f ca="1">IFERROR(__xludf.DUMMYFUNCTION("""COMPUTED_VALUE"""),"")</f>
        <v/>
      </c>
      <c r="C2373" s="109" t="str">
        <f ca="1">IFERROR(__xludf.DUMMYFUNCTION("""COMPUTED_VALUE"""),"")</f>
        <v/>
      </c>
      <c r="D2373" s="109" t="str">
        <f ca="1">IFERROR(__xludf.DUMMYFUNCTION("""COMPUTED_VALUE"""),"")</f>
        <v/>
      </c>
      <c r="E2373" s="110" t="str">
        <f ca="1">IFERROR(__xludf.DUMMYFUNCTION("""COMPUTED_VALUE"""),"")</f>
        <v/>
      </c>
      <c r="F2373" s="114" t="str">
        <f ca="1">IFERROR(__xludf.DUMMYFUNCTION("""COMPUTED_VALUE"""),"")</f>
        <v/>
      </c>
      <c r="G2373" s="114" t="str">
        <f ca="1">IFERROR(__xludf.DUMMYFUNCTION("""COMPUTED_VALUE"""),"")</f>
        <v/>
      </c>
      <c r="H2373" s="112" t="str">
        <f ca="1"/>
        <v/>
      </c>
      <c r="I2373" s="112" t="str">
        <f ca="1"/>
        <v/>
      </c>
    </row>
    <row r="2374" spans="1:9" ht="13.2">
      <c r="A2374" s="109"/>
      <c r="B2374" s="108" t="str">
        <f ca="1">IFERROR(__xludf.DUMMYFUNCTION("""COMPUTED_VALUE"""),"")</f>
        <v/>
      </c>
      <c r="C2374" s="109" t="str">
        <f ca="1">IFERROR(__xludf.DUMMYFUNCTION("""COMPUTED_VALUE"""),"")</f>
        <v/>
      </c>
      <c r="D2374" s="109" t="str">
        <f ca="1">IFERROR(__xludf.DUMMYFUNCTION("""COMPUTED_VALUE"""),"")</f>
        <v/>
      </c>
      <c r="E2374" s="110" t="str">
        <f ca="1">IFERROR(__xludf.DUMMYFUNCTION("""COMPUTED_VALUE"""),"")</f>
        <v/>
      </c>
      <c r="F2374" s="114" t="str">
        <f ca="1">IFERROR(__xludf.DUMMYFUNCTION("""COMPUTED_VALUE"""),"")</f>
        <v/>
      </c>
      <c r="G2374" s="114" t="str">
        <f ca="1">IFERROR(__xludf.DUMMYFUNCTION("""COMPUTED_VALUE"""),"")</f>
        <v/>
      </c>
      <c r="H2374" s="112" t="str">
        <f ca="1"/>
        <v/>
      </c>
      <c r="I2374" s="112" t="str">
        <f ca="1"/>
        <v/>
      </c>
    </row>
    <row r="2375" spans="1:9" ht="13.2">
      <c r="A2375" s="109"/>
      <c r="B2375" s="108" t="str">
        <f ca="1">IFERROR(__xludf.DUMMYFUNCTION("""COMPUTED_VALUE"""),"")</f>
        <v/>
      </c>
      <c r="C2375" s="109" t="str">
        <f ca="1">IFERROR(__xludf.DUMMYFUNCTION("""COMPUTED_VALUE"""),"")</f>
        <v/>
      </c>
      <c r="D2375" s="109" t="str">
        <f ca="1">IFERROR(__xludf.DUMMYFUNCTION("""COMPUTED_VALUE"""),"")</f>
        <v/>
      </c>
      <c r="E2375" s="110" t="str">
        <f ca="1">IFERROR(__xludf.DUMMYFUNCTION("""COMPUTED_VALUE"""),"")</f>
        <v/>
      </c>
      <c r="F2375" s="114" t="str">
        <f ca="1">IFERROR(__xludf.DUMMYFUNCTION("""COMPUTED_VALUE"""),"")</f>
        <v/>
      </c>
      <c r="G2375" s="114" t="str">
        <f ca="1">IFERROR(__xludf.DUMMYFUNCTION("""COMPUTED_VALUE"""),"")</f>
        <v/>
      </c>
      <c r="H2375" s="112" t="str">
        <f ca="1"/>
        <v/>
      </c>
      <c r="I2375" s="112" t="str">
        <f ca="1"/>
        <v/>
      </c>
    </row>
    <row r="2376" spans="1:9" ht="13.2">
      <c r="A2376" s="109"/>
      <c r="B2376" s="108" t="str">
        <f ca="1">IFERROR(__xludf.DUMMYFUNCTION("""COMPUTED_VALUE"""),"")</f>
        <v/>
      </c>
      <c r="C2376" s="109" t="str">
        <f ca="1">IFERROR(__xludf.DUMMYFUNCTION("""COMPUTED_VALUE"""),"")</f>
        <v/>
      </c>
      <c r="D2376" s="109" t="str">
        <f ca="1">IFERROR(__xludf.DUMMYFUNCTION("""COMPUTED_VALUE"""),"")</f>
        <v/>
      </c>
      <c r="E2376" s="110" t="str">
        <f ca="1">IFERROR(__xludf.DUMMYFUNCTION("""COMPUTED_VALUE"""),"")</f>
        <v/>
      </c>
      <c r="F2376" s="114" t="str">
        <f ca="1">IFERROR(__xludf.DUMMYFUNCTION("""COMPUTED_VALUE"""),"")</f>
        <v/>
      </c>
      <c r="G2376" s="114" t="str">
        <f ca="1">IFERROR(__xludf.DUMMYFUNCTION("""COMPUTED_VALUE"""),"")</f>
        <v/>
      </c>
      <c r="H2376" s="112" t="str">
        <f ca="1"/>
        <v/>
      </c>
      <c r="I2376" s="112" t="str">
        <f ca="1"/>
        <v/>
      </c>
    </row>
    <row r="2377" spans="1:9" ht="13.2">
      <c r="A2377" s="109"/>
      <c r="B2377" s="108" t="str">
        <f ca="1">IFERROR(__xludf.DUMMYFUNCTION("""COMPUTED_VALUE"""),"")</f>
        <v/>
      </c>
      <c r="C2377" s="109" t="str">
        <f ca="1">IFERROR(__xludf.DUMMYFUNCTION("""COMPUTED_VALUE"""),"")</f>
        <v/>
      </c>
      <c r="D2377" s="109" t="str">
        <f ca="1">IFERROR(__xludf.DUMMYFUNCTION("""COMPUTED_VALUE"""),"")</f>
        <v/>
      </c>
      <c r="E2377" s="110" t="str">
        <f ca="1">IFERROR(__xludf.DUMMYFUNCTION("""COMPUTED_VALUE"""),"")</f>
        <v/>
      </c>
      <c r="F2377" s="114" t="str">
        <f ca="1">IFERROR(__xludf.DUMMYFUNCTION("""COMPUTED_VALUE"""),"")</f>
        <v/>
      </c>
      <c r="G2377" s="114" t="str">
        <f ca="1">IFERROR(__xludf.DUMMYFUNCTION("""COMPUTED_VALUE"""),"")</f>
        <v/>
      </c>
      <c r="H2377" s="112" t="str">
        <f ca="1"/>
        <v/>
      </c>
      <c r="I2377" s="112" t="str">
        <f ca="1"/>
        <v/>
      </c>
    </row>
    <row r="2378" spans="1:9" ht="13.2">
      <c r="A2378" s="109"/>
      <c r="B2378" s="108" t="str">
        <f ca="1">IFERROR(__xludf.DUMMYFUNCTION("""COMPUTED_VALUE"""),"")</f>
        <v/>
      </c>
      <c r="C2378" s="109" t="str">
        <f ca="1">IFERROR(__xludf.DUMMYFUNCTION("""COMPUTED_VALUE"""),"")</f>
        <v/>
      </c>
      <c r="D2378" s="109" t="str">
        <f ca="1">IFERROR(__xludf.DUMMYFUNCTION("""COMPUTED_VALUE"""),"")</f>
        <v/>
      </c>
      <c r="E2378" s="110" t="str">
        <f ca="1">IFERROR(__xludf.DUMMYFUNCTION("""COMPUTED_VALUE"""),"")</f>
        <v/>
      </c>
      <c r="F2378" s="114" t="str">
        <f ca="1">IFERROR(__xludf.DUMMYFUNCTION("""COMPUTED_VALUE"""),"")</f>
        <v/>
      </c>
      <c r="G2378" s="114" t="str">
        <f ca="1">IFERROR(__xludf.DUMMYFUNCTION("""COMPUTED_VALUE"""),"")</f>
        <v/>
      </c>
      <c r="H2378" s="112" t="str">
        <f ca="1"/>
        <v/>
      </c>
      <c r="I2378" s="112" t="str">
        <f ca="1"/>
        <v/>
      </c>
    </row>
    <row r="2379" spans="1:9" ht="13.2">
      <c r="A2379" s="109"/>
      <c r="B2379" s="108" t="str">
        <f ca="1">IFERROR(__xludf.DUMMYFUNCTION("""COMPUTED_VALUE"""),"")</f>
        <v/>
      </c>
      <c r="C2379" s="109" t="str">
        <f ca="1">IFERROR(__xludf.DUMMYFUNCTION("""COMPUTED_VALUE"""),"")</f>
        <v/>
      </c>
      <c r="D2379" s="109" t="str">
        <f ca="1">IFERROR(__xludf.DUMMYFUNCTION("""COMPUTED_VALUE"""),"")</f>
        <v/>
      </c>
      <c r="E2379" s="110" t="str">
        <f ca="1">IFERROR(__xludf.DUMMYFUNCTION("""COMPUTED_VALUE"""),"")</f>
        <v/>
      </c>
      <c r="F2379" s="114" t="str">
        <f ca="1">IFERROR(__xludf.DUMMYFUNCTION("""COMPUTED_VALUE"""),"")</f>
        <v/>
      </c>
      <c r="G2379" s="114" t="str">
        <f ca="1">IFERROR(__xludf.DUMMYFUNCTION("""COMPUTED_VALUE"""),"")</f>
        <v/>
      </c>
      <c r="H2379" s="112" t="str">
        <f ca="1"/>
        <v/>
      </c>
      <c r="I2379" s="112" t="str">
        <f ca="1"/>
        <v/>
      </c>
    </row>
    <row r="2380" spans="1:9" ht="13.2">
      <c r="A2380" s="109"/>
      <c r="B2380" s="108" t="str">
        <f ca="1">IFERROR(__xludf.DUMMYFUNCTION("""COMPUTED_VALUE"""),"")</f>
        <v/>
      </c>
      <c r="C2380" s="109" t="str">
        <f ca="1">IFERROR(__xludf.DUMMYFUNCTION("""COMPUTED_VALUE"""),"")</f>
        <v/>
      </c>
      <c r="D2380" s="109" t="str">
        <f ca="1">IFERROR(__xludf.DUMMYFUNCTION("""COMPUTED_VALUE"""),"")</f>
        <v/>
      </c>
      <c r="E2380" s="110" t="str">
        <f ca="1">IFERROR(__xludf.DUMMYFUNCTION("""COMPUTED_VALUE"""),"")</f>
        <v/>
      </c>
      <c r="F2380" s="114" t="str">
        <f ca="1">IFERROR(__xludf.DUMMYFUNCTION("""COMPUTED_VALUE"""),"")</f>
        <v/>
      </c>
      <c r="G2380" s="114" t="str">
        <f ca="1">IFERROR(__xludf.DUMMYFUNCTION("""COMPUTED_VALUE"""),"")</f>
        <v/>
      </c>
      <c r="H2380" s="112" t="str">
        <f ca="1"/>
        <v/>
      </c>
      <c r="I2380" s="112" t="str">
        <f ca="1"/>
        <v/>
      </c>
    </row>
    <row r="2381" spans="1:9" ht="13.2">
      <c r="A2381" s="109"/>
      <c r="B2381" s="108" t="str">
        <f ca="1">IFERROR(__xludf.DUMMYFUNCTION("""COMPUTED_VALUE"""),"")</f>
        <v/>
      </c>
      <c r="C2381" s="109" t="str">
        <f ca="1">IFERROR(__xludf.DUMMYFUNCTION("""COMPUTED_VALUE"""),"")</f>
        <v/>
      </c>
      <c r="D2381" s="109" t="str">
        <f ca="1">IFERROR(__xludf.DUMMYFUNCTION("""COMPUTED_VALUE"""),"")</f>
        <v/>
      </c>
      <c r="E2381" s="110" t="str">
        <f ca="1">IFERROR(__xludf.DUMMYFUNCTION("""COMPUTED_VALUE"""),"")</f>
        <v/>
      </c>
      <c r="F2381" s="114" t="str">
        <f ca="1">IFERROR(__xludf.DUMMYFUNCTION("""COMPUTED_VALUE"""),"")</f>
        <v/>
      </c>
      <c r="G2381" s="114" t="str">
        <f ca="1">IFERROR(__xludf.DUMMYFUNCTION("""COMPUTED_VALUE"""),"")</f>
        <v/>
      </c>
      <c r="H2381" s="112" t="str">
        <f ca="1"/>
        <v/>
      </c>
      <c r="I2381" s="112" t="str">
        <f ca="1"/>
        <v/>
      </c>
    </row>
    <row r="2382" spans="1:9" ht="13.2">
      <c r="A2382" s="109"/>
      <c r="B2382" s="108" t="str">
        <f ca="1">IFERROR(__xludf.DUMMYFUNCTION("""COMPUTED_VALUE"""),"")</f>
        <v/>
      </c>
      <c r="C2382" s="109" t="str">
        <f ca="1">IFERROR(__xludf.DUMMYFUNCTION("""COMPUTED_VALUE"""),"")</f>
        <v/>
      </c>
      <c r="D2382" s="109" t="str">
        <f ca="1">IFERROR(__xludf.DUMMYFUNCTION("""COMPUTED_VALUE"""),"")</f>
        <v/>
      </c>
      <c r="E2382" s="110" t="str">
        <f ca="1">IFERROR(__xludf.DUMMYFUNCTION("""COMPUTED_VALUE"""),"")</f>
        <v/>
      </c>
      <c r="F2382" s="114" t="str">
        <f ca="1">IFERROR(__xludf.DUMMYFUNCTION("""COMPUTED_VALUE"""),"")</f>
        <v/>
      </c>
      <c r="G2382" s="114" t="str">
        <f ca="1">IFERROR(__xludf.DUMMYFUNCTION("""COMPUTED_VALUE"""),"")</f>
        <v/>
      </c>
      <c r="H2382" s="112" t="str">
        <f ca="1"/>
        <v/>
      </c>
      <c r="I2382" s="112" t="str">
        <f ca="1"/>
        <v/>
      </c>
    </row>
    <row r="2383" spans="1:9" ht="13.2">
      <c r="A2383" s="109"/>
      <c r="B2383" s="108" t="str">
        <f ca="1">IFERROR(__xludf.DUMMYFUNCTION("""COMPUTED_VALUE"""),"")</f>
        <v/>
      </c>
      <c r="C2383" s="109" t="str">
        <f ca="1">IFERROR(__xludf.DUMMYFUNCTION("""COMPUTED_VALUE"""),"")</f>
        <v/>
      </c>
      <c r="D2383" s="109" t="str">
        <f ca="1">IFERROR(__xludf.DUMMYFUNCTION("""COMPUTED_VALUE"""),"")</f>
        <v/>
      </c>
      <c r="E2383" s="110" t="str">
        <f ca="1">IFERROR(__xludf.DUMMYFUNCTION("""COMPUTED_VALUE"""),"")</f>
        <v/>
      </c>
      <c r="F2383" s="114" t="str">
        <f ca="1">IFERROR(__xludf.DUMMYFUNCTION("""COMPUTED_VALUE"""),"")</f>
        <v/>
      </c>
      <c r="G2383" s="114" t="str">
        <f ca="1">IFERROR(__xludf.DUMMYFUNCTION("""COMPUTED_VALUE"""),"")</f>
        <v/>
      </c>
      <c r="H2383" s="112" t="str">
        <f ca="1"/>
        <v/>
      </c>
      <c r="I2383" s="112" t="str">
        <f ca="1"/>
        <v/>
      </c>
    </row>
    <row r="2384" spans="1:9" ht="13.2">
      <c r="A2384" s="109"/>
      <c r="B2384" s="108" t="str">
        <f ca="1">IFERROR(__xludf.DUMMYFUNCTION("""COMPUTED_VALUE"""),"")</f>
        <v/>
      </c>
      <c r="C2384" s="109" t="str">
        <f ca="1">IFERROR(__xludf.DUMMYFUNCTION("""COMPUTED_VALUE"""),"")</f>
        <v/>
      </c>
      <c r="D2384" s="109" t="str">
        <f ca="1">IFERROR(__xludf.DUMMYFUNCTION("""COMPUTED_VALUE"""),"")</f>
        <v/>
      </c>
      <c r="E2384" s="110" t="str">
        <f ca="1">IFERROR(__xludf.DUMMYFUNCTION("""COMPUTED_VALUE"""),"")</f>
        <v/>
      </c>
      <c r="F2384" s="114" t="str">
        <f ca="1">IFERROR(__xludf.DUMMYFUNCTION("""COMPUTED_VALUE"""),"")</f>
        <v/>
      </c>
      <c r="G2384" s="114" t="str">
        <f ca="1">IFERROR(__xludf.DUMMYFUNCTION("""COMPUTED_VALUE"""),"")</f>
        <v/>
      </c>
      <c r="H2384" s="112" t="str">
        <f ca="1"/>
        <v/>
      </c>
      <c r="I2384" s="112" t="str">
        <f ca="1"/>
        <v/>
      </c>
    </row>
    <row r="2385" spans="1:9" ht="13.2">
      <c r="A2385" s="109"/>
      <c r="B2385" s="108" t="str">
        <f ca="1">IFERROR(__xludf.DUMMYFUNCTION("""COMPUTED_VALUE"""),"")</f>
        <v/>
      </c>
      <c r="C2385" s="109" t="str">
        <f ca="1">IFERROR(__xludf.DUMMYFUNCTION("""COMPUTED_VALUE"""),"")</f>
        <v/>
      </c>
      <c r="D2385" s="109" t="str">
        <f ca="1">IFERROR(__xludf.DUMMYFUNCTION("""COMPUTED_VALUE"""),"")</f>
        <v/>
      </c>
      <c r="E2385" s="110" t="str">
        <f ca="1">IFERROR(__xludf.DUMMYFUNCTION("""COMPUTED_VALUE"""),"")</f>
        <v/>
      </c>
      <c r="F2385" s="114" t="str">
        <f ca="1">IFERROR(__xludf.DUMMYFUNCTION("""COMPUTED_VALUE"""),"")</f>
        <v/>
      </c>
      <c r="G2385" s="114" t="str">
        <f ca="1">IFERROR(__xludf.DUMMYFUNCTION("""COMPUTED_VALUE"""),"")</f>
        <v/>
      </c>
      <c r="H2385" s="112" t="str">
        <f ca="1"/>
        <v/>
      </c>
      <c r="I2385" s="112" t="str">
        <f ca="1"/>
        <v/>
      </c>
    </row>
    <row r="2386" spans="1:9" ht="13.2">
      <c r="A2386" s="109"/>
      <c r="B2386" s="108" t="str">
        <f ca="1">IFERROR(__xludf.DUMMYFUNCTION("""COMPUTED_VALUE"""),"")</f>
        <v/>
      </c>
      <c r="C2386" s="109" t="str">
        <f ca="1">IFERROR(__xludf.DUMMYFUNCTION("""COMPUTED_VALUE"""),"")</f>
        <v/>
      </c>
      <c r="D2386" s="109" t="str">
        <f ca="1">IFERROR(__xludf.DUMMYFUNCTION("""COMPUTED_VALUE"""),"")</f>
        <v/>
      </c>
      <c r="E2386" s="110" t="str">
        <f ca="1">IFERROR(__xludf.DUMMYFUNCTION("""COMPUTED_VALUE"""),"")</f>
        <v/>
      </c>
      <c r="F2386" s="114" t="str">
        <f ca="1">IFERROR(__xludf.DUMMYFUNCTION("""COMPUTED_VALUE"""),"")</f>
        <v/>
      </c>
      <c r="G2386" s="114" t="str">
        <f ca="1">IFERROR(__xludf.DUMMYFUNCTION("""COMPUTED_VALUE"""),"")</f>
        <v/>
      </c>
      <c r="H2386" s="112" t="str">
        <f ca="1"/>
        <v/>
      </c>
      <c r="I2386" s="112" t="str">
        <f ca="1"/>
        <v/>
      </c>
    </row>
    <row r="2387" spans="1:9" ht="13.2">
      <c r="A2387" s="109"/>
      <c r="B2387" s="108" t="str">
        <f ca="1">IFERROR(__xludf.DUMMYFUNCTION("""COMPUTED_VALUE"""),"")</f>
        <v/>
      </c>
      <c r="C2387" s="109" t="str">
        <f ca="1">IFERROR(__xludf.DUMMYFUNCTION("""COMPUTED_VALUE"""),"")</f>
        <v/>
      </c>
      <c r="D2387" s="109" t="str">
        <f ca="1">IFERROR(__xludf.DUMMYFUNCTION("""COMPUTED_VALUE"""),"")</f>
        <v/>
      </c>
      <c r="E2387" s="110" t="str">
        <f ca="1">IFERROR(__xludf.DUMMYFUNCTION("""COMPUTED_VALUE"""),"")</f>
        <v/>
      </c>
      <c r="F2387" s="114" t="str">
        <f ca="1">IFERROR(__xludf.DUMMYFUNCTION("""COMPUTED_VALUE"""),"")</f>
        <v/>
      </c>
      <c r="G2387" s="114" t="str">
        <f ca="1">IFERROR(__xludf.DUMMYFUNCTION("""COMPUTED_VALUE"""),"")</f>
        <v/>
      </c>
      <c r="H2387" s="112" t="str">
        <f ca="1"/>
        <v/>
      </c>
      <c r="I2387" s="112" t="str">
        <f ca="1"/>
        <v/>
      </c>
    </row>
    <row r="2388" spans="1:9" ht="13.2">
      <c r="A2388" s="109"/>
      <c r="B2388" s="108" t="str">
        <f ca="1">IFERROR(__xludf.DUMMYFUNCTION("""COMPUTED_VALUE"""),"")</f>
        <v/>
      </c>
      <c r="C2388" s="109" t="str">
        <f ca="1">IFERROR(__xludf.DUMMYFUNCTION("""COMPUTED_VALUE"""),"")</f>
        <v/>
      </c>
      <c r="D2388" s="109" t="str">
        <f ca="1">IFERROR(__xludf.DUMMYFUNCTION("""COMPUTED_VALUE"""),"")</f>
        <v/>
      </c>
      <c r="E2388" s="110" t="str">
        <f ca="1">IFERROR(__xludf.DUMMYFUNCTION("""COMPUTED_VALUE"""),"")</f>
        <v/>
      </c>
      <c r="F2388" s="114" t="str">
        <f ca="1">IFERROR(__xludf.DUMMYFUNCTION("""COMPUTED_VALUE"""),"")</f>
        <v/>
      </c>
      <c r="G2388" s="114" t="str">
        <f ca="1">IFERROR(__xludf.DUMMYFUNCTION("""COMPUTED_VALUE"""),"")</f>
        <v/>
      </c>
      <c r="H2388" s="112" t="str">
        <f ca="1"/>
        <v/>
      </c>
      <c r="I2388" s="112" t="str">
        <f ca="1"/>
        <v/>
      </c>
    </row>
    <row r="2389" spans="1:9" ht="13.2">
      <c r="A2389" s="109"/>
      <c r="B2389" s="108" t="str">
        <f ca="1">IFERROR(__xludf.DUMMYFUNCTION("""COMPUTED_VALUE"""),"")</f>
        <v/>
      </c>
      <c r="C2389" s="109" t="str">
        <f ca="1">IFERROR(__xludf.DUMMYFUNCTION("""COMPUTED_VALUE"""),"")</f>
        <v/>
      </c>
      <c r="D2389" s="109" t="str">
        <f ca="1">IFERROR(__xludf.DUMMYFUNCTION("""COMPUTED_VALUE"""),"")</f>
        <v/>
      </c>
      <c r="E2389" s="110" t="str">
        <f ca="1">IFERROR(__xludf.DUMMYFUNCTION("""COMPUTED_VALUE"""),"")</f>
        <v/>
      </c>
      <c r="F2389" s="114" t="str">
        <f ca="1">IFERROR(__xludf.DUMMYFUNCTION("""COMPUTED_VALUE"""),"")</f>
        <v/>
      </c>
      <c r="G2389" s="114" t="str">
        <f ca="1">IFERROR(__xludf.DUMMYFUNCTION("""COMPUTED_VALUE"""),"")</f>
        <v/>
      </c>
      <c r="H2389" s="112" t="str">
        <f ca="1"/>
        <v/>
      </c>
      <c r="I2389" s="112" t="str">
        <f ca="1"/>
        <v/>
      </c>
    </row>
    <row r="2390" spans="1:9" ht="13.2">
      <c r="A2390" s="109"/>
      <c r="B2390" s="108" t="str">
        <f ca="1">IFERROR(__xludf.DUMMYFUNCTION("""COMPUTED_VALUE"""),"")</f>
        <v/>
      </c>
      <c r="C2390" s="109" t="str">
        <f ca="1">IFERROR(__xludf.DUMMYFUNCTION("""COMPUTED_VALUE"""),"")</f>
        <v/>
      </c>
      <c r="D2390" s="109" t="str">
        <f ca="1">IFERROR(__xludf.DUMMYFUNCTION("""COMPUTED_VALUE"""),"")</f>
        <v/>
      </c>
      <c r="E2390" s="110" t="str">
        <f ca="1">IFERROR(__xludf.DUMMYFUNCTION("""COMPUTED_VALUE"""),"")</f>
        <v/>
      </c>
      <c r="F2390" s="114" t="str">
        <f ca="1">IFERROR(__xludf.DUMMYFUNCTION("""COMPUTED_VALUE"""),"")</f>
        <v/>
      </c>
      <c r="G2390" s="114" t="str">
        <f ca="1">IFERROR(__xludf.DUMMYFUNCTION("""COMPUTED_VALUE"""),"")</f>
        <v/>
      </c>
      <c r="H2390" s="112" t="str">
        <f ca="1"/>
        <v/>
      </c>
      <c r="I2390" s="112" t="str">
        <f ca="1"/>
        <v/>
      </c>
    </row>
    <row r="2391" spans="1:9" ht="13.2">
      <c r="A2391" s="109"/>
      <c r="B2391" s="108" t="str">
        <f ca="1">IFERROR(__xludf.DUMMYFUNCTION("""COMPUTED_VALUE"""),"")</f>
        <v/>
      </c>
      <c r="C2391" s="109" t="str">
        <f ca="1">IFERROR(__xludf.DUMMYFUNCTION("""COMPUTED_VALUE"""),"")</f>
        <v/>
      </c>
      <c r="D2391" s="109" t="str">
        <f ca="1">IFERROR(__xludf.DUMMYFUNCTION("""COMPUTED_VALUE"""),"")</f>
        <v/>
      </c>
      <c r="E2391" s="110" t="str">
        <f ca="1">IFERROR(__xludf.DUMMYFUNCTION("""COMPUTED_VALUE"""),"")</f>
        <v/>
      </c>
      <c r="F2391" s="114" t="str">
        <f ca="1">IFERROR(__xludf.DUMMYFUNCTION("""COMPUTED_VALUE"""),"")</f>
        <v/>
      </c>
      <c r="G2391" s="114" t="str">
        <f ca="1">IFERROR(__xludf.DUMMYFUNCTION("""COMPUTED_VALUE"""),"")</f>
        <v/>
      </c>
      <c r="H2391" s="112" t="str">
        <f ca="1"/>
        <v/>
      </c>
      <c r="I2391" s="112" t="str">
        <f ca="1"/>
        <v/>
      </c>
    </row>
    <row r="2392" spans="1:9" ht="13.2">
      <c r="A2392" s="109"/>
      <c r="B2392" s="108" t="str">
        <f ca="1">IFERROR(__xludf.DUMMYFUNCTION("""COMPUTED_VALUE"""),"")</f>
        <v/>
      </c>
      <c r="C2392" s="109" t="str">
        <f ca="1">IFERROR(__xludf.DUMMYFUNCTION("""COMPUTED_VALUE"""),"")</f>
        <v/>
      </c>
      <c r="D2392" s="109" t="str">
        <f ca="1">IFERROR(__xludf.DUMMYFUNCTION("""COMPUTED_VALUE"""),"")</f>
        <v/>
      </c>
      <c r="E2392" s="110" t="str">
        <f ca="1">IFERROR(__xludf.DUMMYFUNCTION("""COMPUTED_VALUE"""),"")</f>
        <v/>
      </c>
      <c r="F2392" s="114" t="str">
        <f ca="1">IFERROR(__xludf.DUMMYFUNCTION("""COMPUTED_VALUE"""),"")</f>
        <v/>
      </c>
      <c r="G2392" s="114" t="str">
        <f ca="1">IFERROR(__xludf.DUMMYFUNCTION("""COMPUTED_VALUE"""),"")</f>
        <v/>
      </c>
      <c r="H2392" s="112" t="str">
        <f ca="1"/>
        <v/>
      </c>
      <c r="I2392" s="112" t="str">
        <f ca="1"/>
        <v/>
      </c>
    </row>
    <row r="2393" spans="1:9" ht="13.2">
      <c r="A2393" s="109"/>
      <c r="B2393" s="108" t="str">
        <f ca="1">IFERROR(__xludf.DUMMYFUNCTION("""COMPUTED_VALUE"""),"")</f>
        <v/>
      </c>
      <c r="C2393" s="109" t="str">
        <f ca="1">IFERROR(__xludf.DUMMYFUNCTION("""COMPUTED_VALUE"""),"")</f>
        <v/>
      </c>
      <c r="D2393" s="109" t="str">
        <f ca="1">IFERROR(__xludf.DUMMYFUNCTION("""COMPUTED_VALUE"""),"")</f>
        <v/>
      </c>
      <c r="E2393" s="110" t="str">
        <f ca="1">IFERROR(__xludf.DUMMYFUNCTION("""COMPUTED_VALUE"""),"")</f>
        <v/>
      </c>
      <c r="F2393" s="114" t="str">
        <f ca="1">IFERROR(__xludf.DUMMYFUNCTION("""COMPUTED_VALUE"""),"")</f>
        <v/>
      </c>
      <c r="G2393" s="114" t="str">
        <f ca="1">IFERROR(__xludf.DUMMYFUNCTION("""COMPUTED_VALUE"""),"")</f>
        <v/>
      </c>
      <c r="H2393" s="112" t="str">
        <f ca="1"/>
        <v/>
      </c>
      <c r="I2393" s="112" t="str">
        <f ca="1"/>
        <v/>
      </c>
    </row>
    <row r="2394" spans="1:9" ht="13.2">
      <c r="A2394" s="109"/>
      <c r="B2394" s="108"/>
      <c r="C2394" s="109"/>
      <c r="D2394" s="109"/>
      <c r="E2394" s="110"/>
      <c r="F2394" s="114"/>
      <c r="G2394" s="114"/>
      <c r="H2394" s="112" t="str">
        <v/>
      </c>
      <c r="I2394" s="112" t="str">
        <v/>
      </c>
    </row>
    <row r="2395" spans="1:9" ht="13.2">
      <c r="A2395" s="109"/>
      <c r="B2395" s="108"/>
      <c r="C2395" s="109"/>
      <c r="D2395" s="109"/>
      <c r="E2395" s="110"/>
      <c r="F2395" s="114"/>
      <c r="G2395" s="114"/>
      <c r="H2395" s="112" t="str">
        <v/>
      </c>
      <c r="I2395" s="112" t="str">
        <v/>
      </c>
    </row>
    <row r="2396" spans="1:9" ht="13.2">
      <c r="A2396" s="109"/>
      <c r="B2396" s="108"/>
      <c r="C2396" s="109"/>
      <c r="D2396" s="109"/>
      <c r="E2396" s="110"/>
      <c r="F2396" s="114"/>
      <c r="G2396" s="114"/>
      <c r="H2396" s="112" t="str">
        <v/>
      </c>
      <c r="I2396" s="112" t="str">
        <v/>
      </c>
    </row>
    <row r="2397" spans="1:9" ht="13.2">
      <c r="A2397" s="109"/>
      <c r="B2397" s="108"/>
      <c r="C2397" s="109"/>
      <c r="D2397" s="109"/>
      <c r="E2397" s="110"/>
      <c r="F2397" s="114"/>
      <c r="G2397" s="114"/>
      <c r="H2397" s="112" t="str">
        <v/>
      </c>
      <c r="I2397" s="112" t="str">
        <v/>
      </c>
    </row>
    <row r="2398" spans="1:9" ht="13.2">
      <c r="A2398" s="109"/>
      <c r="B2398" s="108"/>
      <c r="C2398" s="109"/>
      <c r="D2398" s="109"/>
      <c r="E2398" s="110"/>
      <c r="F2398" s="114"/>
      <c r="G2398" s="114"/>
      <c r="H2398" s="112" t="str">
        <v/>
      </c>
      <c r="I2398" s="112" t="str">
        <v/>
      </c>
    </row>
    <row r="2399" spans="1:9" ht="13.2">
      <c r="A2399" s="109"/>
      <c r="B2399" s="108"/>
      <c r="C2399" s="109"/>
      <c r="D2399" s="109"/>
      <c r="E2399" s="110"/>
      <c r="F2399" s="114"/>
      <c r="G2399" s="114"/>
      <c r="H2399" s="112" t="str">
        <v/>
      </c>
      <c r="I2399" s="112" t="str">
        <v/>
      </c>
    </row>
    <row r="2400" spans="1:9" ht="13.2">
      <c r="A2400" s="109"/>
      <c r="B2400" s="108"/>
      <c r="C2400" s="109"/>
      <c r="D2400" s="109"/>
      <c r="E2400" s="110"/>
      <c r="F2400" s="114"/>
      <c r="G2400" s="114"/>
      <c r="H2400" s="112" t="str">
        <v/>
      </c>
      <c r="I2400" s="112" t="str">
        <v/>
      </c>
    </row>
    <row r="2401" spans="1:9" ht="13.2">
      <c r="A2401" s="109"/>
      <c r="B2401" s="108"/>
      <c r="C2401" s="109"/>
      <c r="D2401" s="109"/>
      <c r="E2401" s="110"/>
      <c r="F2401" s="114"/>
      <c r="G2401" s="114"/>
      <c r="H2401" s="112" t="str">
        <v/>
      </c>
      <c r="I2401" s="112" t="str">
        <v/>
      </c>
    </row>
    <row r="2402" spans="1:9" ht="13.2">
      <c r="A2402" s="109"/>
      <c r="B2402" s="108"/>
      <c r="C2402" s="109"/>
      <c r="D2402" s="109"/>
      <c r="E2402" s="110"/>
      <c r="F2402" s="114"/>
      <c r="G2402" s="114"/>
      <c r="H2402" s="112" t="str">
        <v/>
      </c>
      <c r="I2402" s="112" t="str">
        <v/>
      </c>
    </row>
    <row r="2403" spans="1:9" ht="13.2">
      <c r="A2403" s="109"/>
      <c r="B2403" s="108"/>
      <c r="C2403" s="109"/>
      <c r="D2403" s="109"/>
      <c r="E2403" s="110"/>
      <c r="F2403" s="114"/>
      <c r="G2403" s="114"/>
      <c r="H2403" s="112" t="str">
        <v/>
      </c>
      <c r="I2403" s="112" t="str">
        <v/>
      </c>
    </row>
    <row r="2404" spans="1:9" ht="13.2">
      <c r="A2404" s="109"/>
      <c r="B2404" s="108"/>
      <c r="C2404" s="109"/>
      <c r="D2404" s="109"/>
      <c r="E2404" s="110"/>
      <c r="F2404" s="114"/>
      <c r="G2404" s="114"/>
      <c r="H2404" s="112" t="str">
        <v/>
      </c>
      <c r="I2404" s="112" t="str">
        <v/>
      </c>
    </row>
    <row r="2405" spans="1:9" ht="13.2">
      <c r="A2405" s="109"/>
      <c r="B2405" s="108"/>
      <c r="C2405" s="109"/>
      <c r="D2405" s="109"/>
      <c r="E2405" s="110"/>
      <c r="F2405" s="114"/>
      <c r="G2405" s="114"/>
      <c r="H2405" s="112" t="str">
        <v/>
      </c>
      <c r="I2405" s="112" t="str">
        <v/>
      </c>
    </row>
    <row r="2406" spans="1:9" ht="13.2">
      <c r="A2406" s="109"/>
      <c r="B2406" s="108"/>
      <c r="C2406" s="109"/>
      <c r="D2406" s="109"/>
      <c r="E2406" s="110"/>
      <c r="F2406" s="114"/>
      <c r="G2406" s="114"/>
      <c r="H2406" s="112" t="str">
        <v/>
      </c>
      <c r="I2406" s="112" t="str">
        <v/>
      </c>
    </row>
    <row r="2407" spans="1:9" ht="13.2">
      <c r="A2407" s="109"/>
      <c r="B2407" s="108"/>
      <c r="C2407" s="109"/>
      <c r="D2407" s="109"/>
      <c r="E2407" s="110"/>
      <c r="F2407" s="114"/>
      <c r="G2407" s="114"/>
      <c r="H2407" s="112" t="str">
        <v/>
      </c>
      <c r="I2407" s="112" t="str">
        <v/>
      </c>
    </row>
    <row r="2408" spans="1:9" ht="13.2">
      <c r="A2408" s="109"/>
      <c r="B2408" s="108"/>
      <c r="C2408" s="109"/>
      <c r="D2408" s="109"/>
      <c r="E2408" s="110"/>
      <c r="F2408" s="114"/>
      <c r="G2408" s="114"/>
      <c r="H2408" s="112" t="str">
        <v/>
      </c>
      <c r="I2408" s="112" t="str">
        <v/>
      </c>
    </row>
    <row r="2409" spans="1:9" ht="13.2">
      <c r="A2409" s="109"/>
      <c r="B2409" s="108"/>
      <c r="C2409" s="109"/>
      <c r="D2409" s="109"/>
      <c r="E2409" s="110"/>
      <c r="F2409" s="114"/>
      <c r="G2409" s="114"/>
      <c r="H2409" s="112" t="str">
        <v/>
      </c>
      <c r="I2409" s="112" t="str">
        <v/>
      </c>
    </row>
    <row r="2410" spans="1:9" ht="13.2">
      <c r="A2410" s="109"/>
      <c r="B2410" s="108"/>
      <c r="C2410" s="109"/>
      <c r="D2410" s="109"/>
      <c r="E2410" s="110"/>
      <c r="F2410" s="114"/>
      <c r="G2410" s="114"/>
      <c r="H2410" s="112" t="str">
        <v/>
      </c>
      <c r="I2410" s="112" t="str">
        <v/>
      </c>
    </row>
    <row r="2411" spans="1:9" ht="13.2">
      <c r="A2411" s="109"/>
      <c r="B2411" s="108"/>
      <c r="C2411" s="109"/>
      <c r="D2411" s="109"/>
      <c r="E2411" s="110"/>
      <c r="F2411" s="114"/>
      <c r="G2411" s="114"/>
      <c r="H2411" s="112" t="str">
        <v/>
      </c>
      <c r="I2411" s="112" t="str">
        <v/>
      </c>
    </row>
    <row r="2412" spans="1:9" ht="13.2">
      <c r="A2412" s="109"/>
      <c r="B2412" s="108"/>
      <c r="C2412" s="109"/>
      <c r="D2412" s="109"/>
      <c r="E2412" s="110"/>
      <c r="F2412" s="114"/>
      <c r="G2412" s="114"/>
      <c r="H2412" s="112" t="str">
        <v/>
      </c>
      <c r="I2412" s="112" t="str">
        <v/>
      </c>
    </row>
    <row r="2413" spans="1:9" ht="13.2">
      <c r="A2413" s="109"/>
      <c r="B2413" s="108"/>
      <c r="C2413" s="109"/>
      <c r="D2413" s="109"/>
      <c r="E2413" s="110"/>
      <c r="F2413" s="114"/>
      <c r="G2413" s="114"/>
      <c r="H2413" s="112" t="str">
        <v/>
      </c>
      <c r="I2413" s="112" t="str">
        <v/>
      </c>
    </row>
    <row r="2414" spans="1:9" ht="13.2">
      <c r="A2414" s="109"/>
      <c r="B2414" s="108"/>
      <c r="C2414" s="109"/>
      <c r="D2414" s="109"/>
      <c r="E2414" s="110"/>
      <c r="F2414" s="114"/>
      <c r="G2414" s="114"/>
      <c r="H2414" s="112" t="str">
        <v/>
      </c>
      <c r="I2414" s="112" t="str">
        <v/>
      </c>
    </row>
    <row r="2415" spans="1:9" ht="13.2">
      <c r="A2415" s="109"/>
      <c r="B2415" s="108"/>
      <c r="C2415" s="109"/>
      <c r="D2415" s="109"/>
      <c r="E2415" s="110"/>
      <c r="F2415" s="114"/>
      <c r="G2415" s="114"/>
      <c r="H2415" s="112" t="str">
        <v/>
      </c>
      <c r="I2415" s="112" t="str">
        <v/>
      </c>
    </row>
    <row r="2416" spans="1:9" ht="13.2">
      <c r="A2416" s="109"/>
      <c r="B2416" s="108"/>
      <c r="C2416" s="109"/>
      <c r="D2416" s="109"/>
      <c r="E2416" s="110"/>
      <c r="F2416" s="114"/>
      <c r="G2416" s="114"/>
      <c r="H2416" s="112" t="str">
        <v/>
      </c>
      <c r="I2416" s="112" t="str">
        <v/>
      </c>
    </row>
    <row r="2417" spans="1:9" ht="13.2">
      <c r="A2417" s="109"/>
      <c r="B2417" s="108"/>
      <c r="C2417" s="109"/>
      <c r="D2417" s="109"/>
      <c r="E2417" s="110"/>
      <c r="F2417" s="114"/>
      <c r="G2417" s="114"/>
      <c r="H2417" s="112" t="str">
        <v/>
      </c>
      <c r="I2417" s="112" t="str">
        <v/>
      </c>
    </row>
    <row r="2418" spans="1:9" ht="13.2">
      <c r="A2418" s="109"/>
      <c r="B2418" s="108"/>
      <c r="C2418" s="109"/>
      <c r="D2418" s="109"/>
      <c r="E2418" s="110"/>
      <c r="F2418" s="114"/>
      <c r="G2418" s="114"/>
      <c r="H2418" s="112" t="str">
        <v/>
      </c>
      <c r="I2418" s="112" t="str">
        <v/>
      </c>
    </row>
    <row r="2419" spans="1:9" ht="13.2">
      <c r="A2419" s="109"/>
      <c r="B2419" s="108"/>
      <c r="C2419" s="109"/>
      <c r="D2419" s="109"/>
      <c r="E2419" s="110"/>
      <c r="F2419" s="114"/>
      <c r="G2419" s="114"/>
      <c r="H2419" s="112" t="str">
        <v/>
      </c>
      <c r="I2419" s="112" t="str">
        <v/>
      </c>
    </row>
    <row r="2420" spans="1:9" ht="13.2">
      <c r="A2420" s="109"/>
      <c r="B2420" s="108"/>
      <c r="C2420" s="109"/>
      <c r="D2420" s="109"/>
      <c r="E2420" s="110"/>
      <c r="F2420" s="114"/>
      <c r="G2420" s="114"/>
      <c r="H2420" s="112" t="str">
        <v/>
      </c>
      <c r="I2420" s="112" t="str">
        <v/>
      </c>
    </row>
    <row r="2421" spans="1:9" ht="13.2">
      <c r="A2421" s="109"/>
      <c r="B2421" s="108"/>
      <c r="C2421" s="109"/>
      <c r="D2421" s="109"/>
      <c r="E2421" s="110"/>
      <c r="F2421" s="114"/>
      <c r="G2421" s="114"/>
      <c r="H2421" s="112" t="str">
        <v/>
      </c>
      <c r="I2421" s="112" t="str">
        <v/>
      </c>
    </row>
    <row r="2422" spans="1:9" ht="13.2">
      <c r="A2422" s="109"/>
      <c r="B2422" s="108"/>
      <c r="C2422" s="109"/>
      <c r="D2422" s="109"/>
      <c r="E2422" s="110"/>
      <c r="F2422" s="114"/>
      <c r="G2422" s="114"/>
      <c r="H2422" s="112" t="str">
        <v/>
      </c>
      <c r="I2422" s="112" t="str">
        <v/>
      </c>
    </row>
    <row r="2423" spans="1:9" ht="13.2">
      <c r="A2423" s="109"/>
      <c r="B2423" s="108"/>
      <c r="C2423" s="109"/>
      <c r="D2423" s="109"/>
      <c r="E2423" s="110"/>
      <c r="F2423" s="114"/>
      <c r="G2423" s="114"/>
      <c r="H2423" s="112" t="str">
        <v/>
      </c>
      <c r="I2423" s="112" t="str">
        <v/>
      </c>
    </row>
    <row r="2424" spans="1:9" ht="13.2">
      <c r="A2424" s="109"/>
      <c r="B2424" s="108"/>
      <c r="C2424" s="109"/>
      <c r="D2424" s="109"/>
      <c r="E2424" s="110"/>
      <c r="F2424" s="114"/>
      <c r="G2424" s="114"/>
      <c r="H2424" s="112" t="str">
        <v/>
      </c>
      <c r="I2424" s="112" t="str">
        <v/>
      </c>
    </row>
    <row r="2425" spans="1:9" ht="13.2">
      <c r="A2425" s="109"/>
      <c r="B2425" s="108"/>
      <c r="C2425" s="109"/>
      <c r="D2425" s="109"/>
      <c r="E2425" s="110"/>
      <c r="F2425" s="114"/>
      <c r="G2425" s="114"/>
      <c r="H2425" s="112" t="str">
        <v/>
      </c>
      <c r="I2425" s="112" t="str">
        <v/>
      </c>
    </row>
    <row r="2426" spans="1:9" ht="13.2">
      <c r="A2426" s="109"/>
      <c r="B2426" s="108"/>
      <c r="C2426" s="109"/>
      <c r="D2426" s="109"/>
      <c r="E2426" s="110"/>
      <c r="F2426" s="114"/>
      <c r="G2426" s="114"/>
      <c r="H2426" s="112" t="str">
        <v/>
      </c>
      <c r="I2426" s="112" t="str">
        <v/>
      </c>
    </row>
    <row r="2427" spans="1:9" ht="13.2">
      <c r="A2427" s="109"/>
      <c r="B2427" s="108"/>
      <c r="C2427" s="109"/>
      <c r="D2427" s="109"/>
      <c r="E2427" s="110"/>
      <c r="F2427" s="114"/>
      <c r="G2427" s="114"/>
      <c r="H2427" s="112" t="str">
        <v/>
      </c>
      <c r="I2427" s="112" t="str">
        <v/>
      </c>
    </row>
    <row r="2428" spans="1:9" ht="13.2">
      <c r="A2428" s="109"/>
      <c r="B2428" s="108"/>
      <c r="C2428" s="109"/>
      <c r="D2428" s="109"/>
      <c r="E2428" s="110"/>
      <c r="F2428" s="114"/>
      <c r="G2428" s="114"/>
      <c r="H2428" s="112" t="str">
        <v/>
      </c>
      <c r="I2428" s="112" t="str">
        <v/>
      </c>
    </row>
    <row r="2429" spans="1:9" ht="13.2">
      <c r="A2429" s="109"/>
      <c r="B2429" s="108"/>
      <c r="C2429" s="109"/>
      <c r="D2429" s="109"/>
      <c r="E2429" s="110"/>
      <c r="F2429" s="114"/>
      <c r="G2429" s="114"/>
      <c r="H2429" s="112" t="str">
        <v/>
      </c>
      <c r="I2429" s="112" t="str">
        <v/>
      </c>
    </row>
    <row r="2430" spans="1:9" ht="13.2">
      <c r="A2430" s="109"/>
      <c r="B2430" s="108"/>
      <c r="C2430" s="109"/>
      <c r="D2430" s="109"/>
      <c r="E2430" s="110"/>
      <c r="F2430" s="114"/>
      <c r="G2430" s="114"/>
      <c r="H2430" s="112" t="str">
        <v/>
      </c>
      <c r="I2430" s="112" t="str">
        <v/>
      </c>
    </row>
    <row r="2431" spans="1:9" ht="13.2">
      <c r="A2431" s="109"/>
      <c r="B2431" s="108"/>
      <c r="C2431" s="109"/>
      <c r="D2431" s="109"/>
      <c r="E2431" s="110"/>
      <c r="F2431" s="114"/>
      <c r="G2431" s="114"/>
      <c r="H2431" s="112" t="str">
        <v/>
      </c>
      <c r="I2431" s="112" t="str">
        <v/>
      </c>
    </row>
    <row r="2432" spans="1:9" ht="13.2">
      <c r="A2432" s="109"/>
      <c r="B2432" s="108"/>
      <c r="C2432" s="109"/>
      <c r="D2432" s="109"/>
      <c r="E2432" s="110"/>
      <c r="F2432" s="114"/>
      <c r="G2432" s="114"/>
      <c r="H2432" s="112" t="str">
        <v/>
      </c>
      <c r="I2432" s="112" t="str">
        <v/>
      </c>
    </row>
    <row r="2433" spans="1:9" ht="13.2">
      <c r="A2433" s="109"/>
      <c r="B2433" s="108"/>
      <c r="C2433" s="109"/>
      <c r="D2433" s="109"/>
      <c r="E2433" s="110"/>
      <c r="F2433" s="114"/>
      <c r="G2433" s="114"/>
      <c r="H2433" s="112" t="str">
        <v/>
      </c>
      <c r="I2433" s="112" t="str">
        <v/>
      </c>
    </row>
    <row r="2434" spans="1:9" ht="13.2">
      <c r="A2434" s="109"/>
      <c r="B2434" s="108"/>
      <c r="C2434" s="109"/>
      <c r="D2434" s="109"/>
      <c r="E2434" s="110"/>
      <c r="F2434" s="114"/>
      <c r="G2434" s="114"/>
      <c r="H2434" s="112" t="str">
        <v/>
      </c>
      <c r="I2434" s="112" t="str">
        <v/>
      </c>
    </row>
    <row r="2435" spans="1:9" ht="13.2">
      <c r="A2435" s="109"/>
      <c r="B2435" s="108"/>
      <c r="C2435" s="109"/>
      <c r="D2435" s="109"/>
      <c r="E2435" s="110"/>
      <c r="F2435" s="114"/>
      <c r="G2435" s="114"/>
      <c r="H2435" s="112" t="str">
        <v/>
      </c>
      <c r="I2435" s="112" t="str">
        <v/>
      </c>
    </row>
    <row r="2436" spans="1:9" ht="13.2">
      <c r="A2436" s="109"/>
      <c r="B2436" s="108"/>
      <c r="C2436" s="109"/>
      <c r="D2436" s="109"/>
      <c r="E2436" s="110"/>
      <c r="F2436" s="114"/>
      <c r="G2436" s="114"/>
      <c r="H2436" s="112" t="str">
        <v/>
      </c>
      <c r="I2436" s="112" t="str">
        <v/>
      </c>
    </row>
    <row r="2437" spans="1:9" ht="13.2">
      <c r="A2437" s="109"/>
      <c r="B2437" s="108"/>
      <c r="C2437" s="109"/>
      <c r="D2437" s="109"/>
      <c r="E2437" s="110"/>
      <c r="F2437" s="114"/>
      <c r="G2437" s="114"/>
      <c r="H2437" s="112" t="str">
        <v/>
      </c>
      <c r="I2437" s="112" t="str">
        <v/>
      </c>
    </row>
    <row r="2438" spans="1:9" ht="13.2">
      <c r="A2438" s="109"/>
      <c r="B2438" s="108"/>
      <c r="C2438" s="109"/>
      <c r="D2438" s="109"/>
      <c r="E2438" s="110"/>
      <c r="F2438" s="114"/>
      <c r="G2438" s="114"/>
      <c r="H2438" s="112" t="str">
        <v/>
      </c>
      <c r="I2438" s="112" t="str">
        <v/>
      </c>
    </row>
    <row r="2439" spans="1:9" ht="13.2">
      <c r="A2439" s="109"/>
      <c r="B2439" s="108"/>
      <c r="C2439" s="109"/>
      <c r="D2439" s="109"/>
      <c r="E2439" s="110"/>
      <c r="F2439" s="114"/>
      <c r="G2439" s="114"/>
      <c r="H2439" s="112" t="str">
        <v/>
      </c>
      <c r="I2439" s="112" t="str">
        <v/>
      </c>
    </row>
    <row r="2440" spans="1:9" ht="13.2">
      <c r="A2440" s="109"/>
      <c r="B2440" s="108"/>
      <c r="C2440" s="109"/>
      <c r="D2440" s="109"/>
      <c r="E2440" s="110"/>
      <c r="F2440" s="114"/>
      <c r="G2440" s="114"/>
      <c r="H2440" s="112" t="str">
        <v/>
      </c>
      <c r="I2440" s="112" t="str">
        <v/>
      </c>
    </row>
    <row r="2441" spans="1:9" ht="13.2">
      <c r="A2441" s="109"/>
      <c r="B2441" s="108"/>
      <c r="C2441" s="109"/>
      <c r="D2441" s="109"/>
      <c r="E2441" s="110"/>
      <c r="F2441" s="114"/>
      <c r="G2441" s="114"/>
      <c r="H2441" s="112" t="str">
        <v/>
      </c>
      <c r="I2441" s="112" t="str">
        <v/>
      </c>
    </row>
    <row r="2442" spans="1:9" ht="13.2">
      <c r="A2442" s="109"/>
      <c r="B2442" s="108"/>
      <c r="C2442" s="109"/>
      <c r="D2442" s="109"/>
      <c r="E2442" s="110"/>
      <c r="F2442" s="114"/>
      <c r="G2442" s="114"/>
      <c r="H2442" s="112" t="str">
        <v/>
      </c>
      <c r="I2442" s="112" t="str">
        <v/>
      </c>
    </row>
    <row r="2443" spans="1:9" ht="13.2">
      <c r="A2443" s="109"/>
      <c r="B2443" s="108"/>
      <c r="C2443" s="109"/>
      <c r="D2443" s="109"/>
      <c r="E2443" s="110"/>
      <c r="F2443" s="114"/>
      <c r="G2443" s="114"/>
      <c r="H2443" s="112" t="str">
        <v/>
      </c>
      <c r="I2443" s="112" t="str">
        <v/>
      </c>
    </row>
    <row r="2444" spans="1:9" ht="13.2">
      <c r="A2444" s="109"/>
      <c r="B2444" s="108"/>
      <c r="C2444" s="109"/>
      <c r="D2444" s="109"/>
      <c r="E2444" s="110"/>
      <c r="F2444" s="114"/>
      <c r="G2444" s="114"/>
      <c r="H2444" s="112" t="str">
        <v/>
      </c>
      <c r="I2444" s="112" t="str">
        <v/>
      </c>
    </row>
    <row r="2445" spans="1:9" ht="13.2">
      <c r="A2445" s="109"/>
      <c r="B2445" s="108"/>
      <c r="C2445" s="109"/>
      <c r="D2445" s="109"/>
      <c r="E2445" s="110"/>
      <c r="F2445" s="114"/>
      <c r="G2445" s="114"/>
      <c r="H2445" s="112" t="str">
        <v/>
      </c>
      <c r="I2445" s="112" t="str">
        <v/>
      </c>
    </row>
    <row r="2446" spans="1:9" ht="13.2">
      <c r="A2446" s="109"/>
      <c r="B2446" s="108"/>
      <c r="C2446" s="109"/>
      <c r="D2446" s="109"/>
      <c r="E2446" s="110"/>
      <c r="F2446" s="114"/>
      <c r="G2446" s="114"/>
      <c r="H2446" s="112" t="str">
        <v/>
      </c>
      <c r="I2446" s="112" t="str">
        <v/>
      </c>
    </row>
    <row r="2447" spans="1:9" ht="13.2">
      <c r="A2447" s="109"/>
      <c r="B2447" s="108"/>
      <c r="C2447" s="109"/>
      <c r="D2447" s="109"/>
      <c r="E2447" s="110"/>
      <c r="F2447" s="114"/>
      <c r="G2447" s="114"/>
      <c r="H2447" s="112" t="str">
        <v/>
      </c>
      <c r="I2447" s="112" t="str">
        <v/>
      </c>
    </row>
    <row r="2448" spans="1:9" ht="13.2">
      <c r="A2448" s="109"/>
      <c r="B2448" s="108"/>
      <c r="C2448" s="109"/>
      <c r="D2448" s="109"/>
      <c r="E2448" s="110"/>
      <c r="F2448" s="114"/>
      <c r="G2448" s="114"/>
      <c r="H2448" s="112" t="str">
        <v/>
      </c>
      <c r="I2448" s="112" t="str">
        <v/>
      </c>
    </row>
    <row r="2449" spans="1:9" ht="13.2">
      <c r="A2449" s="109"/>
      <c r="B2449" s="108"/>
      <c r="C2449" s="109"/>
      <c r="D2449" s="109"/>
      <c r="E2449" s="110"/>
      <c r="F2449" s="114"/>
      <c r="G2449" s="114"/>
      <c r="H2449" s="112" t="str">
        <v/>
      </c>
      <c r="I2449" s="112" t="str">
        <v/>
      </c>
    </row>
    <row r="2450" spans="1:9" ht="13.2">
      <c r="A2450" s="109"/>
      <c r="B2450" s="108"/>
      <c r="C2450" s="109"/>
      <c r="D2450" s="109"/>
      <c r="E2450" s="110"/>
      <c r="F2450" s="114"/>
      <c r="G2450" s="114"/>
      <c r="H2450" s="112" t="str">
        <v/>
      </c>
      <c r="I2450" s="112" t="str">
        <v/>
      </c>
    </row>
    <row r="2451" spans="1:9" ht="13.2">
      <c r="A2451" s="109"/>
      <c r="B2451" s="108"/>
      <c r="C2451" s="109"/>
      <c r="D2451" s="109"/>
      <c r="E2451" s="110"/>
      <c r="F2451" s="114"/>
      <c r="G2451" s="114"/>
      <c r="H2451" s="112" t="str">
        <v/>
      </c>
      <c r="I2451" s="112" t="str">
        <v/>
      </c>
    </row>
    <row r="2452" spans="1:9" ht="13.2">
      <c r="A2452" s="109"/>
      <c r="B2452" s="108"/>
      <c r="C2452" s="109"/>
      <c r="D2452" s="109"/>
      <c r="E2452" s="110"/>
      <c r="F2452" s="114"/>
      <c r="G2452" s="114"/>
      <c r="H2452" s="112" t="str">
        <v/>
      </c>
      <c r="I2452" s="112" t="str">
        <v/>
      </c>
    </row>
    <row r="2453" spans="1:9" ht="13.2">
      <c r="A2453" s="109"/>
      <c r="B2453" s="108"/>
      <c r="C2453" s="109"/>
      <c r="D2453" s="109"/>
      <c r="E2453" s="110"/>
      <c r="F2453" s="114"/>
      <c r="G2453" s="114"/>
      <c r="H2453" s="112" t="str">
        <v/>
      </c>
      <c r="I2453" s="112" t="str">
        <v/>
      </c>
    </row>
    <row r="2454" spans="1:9" ht="13.2">
      <c r="A2454" s="109"/>
      <c r="B2454" s="108"/>
      <c r="C2454" s="109"/>
      <c r="D2454" s="109"/>
      <c r="E2454" s="110"/>
      <c r="F2454" s="114"/>
      <c r="G2454" s="114"/>
      <c r="H2454" s="112" t="str">
        <v/>
      </c>
      <c r="I2454" s="112" t="str">
        <v/>
      </c>
    </row>
    <row r="2455" spans="1:9" ht="13.2">
      <c r="A2455" s="109"/>
      <c r="B2455" s="108"/>
      <c r="C2455" s="109"/>
      <c r="D2455" s="109"/>
      <c r="E2455" s="110"/>
      <c r="F2455" s="114"/>
      <c r="G2455" s="114"/>
      <c r="H2455" s="112" t="str">
        <v/>
      </c>
      <c r="I2455" s="112" t="str">
        <v/>
      </c>
    </row>
    <row r="2456" spans="1:9" ht="13.2">
      <c r="A2456" s="109"/>
      <c r="B2456" s="108"/>
      <c r="C2456" s="109"/>
      <c r="D2456" s="109"/>
      <c r="E2456" s="110"/>
      <c r="F2456" s="114"/>
      <c r="G2456" s="114"/>
      <c r="H2456" s="112" t="str">
        <v/>
      </c>
      <c r="I2456" s="112" t="str">
        <v/>
      </c>
    </row>
    <row r="2457" spans="1:9" ht="13.2">
      <c r="A2457" s="109"/>
      <c r="B2457" s="108"/>
      <c r="C2457" s="109"/>
      <c r="D2457" s="109"/>
      <c r="E2457" s="110"/>
      <c r="F2457" s="114"/>
      <c r="G2457" s="114"/>
      <c r="H2457" s="112" t="str">
        <v/>
      </c>
      <c r="I2457" s="112" t="str">
        <v/>
      </c>
    </row>
    <row r="2458" spans="1:9" ht="13.2">
      <c r="A2458" s="109"/>
      <c r="B2458" s="108"/>
      <c r="C2458" s="109"/>
      <c r="D2458" s="109"/>
      <c r="E2458" s="110"/>
      <c r="F2458" s="114"/>
      <c r="G2458" s="114"/>
      <c r="H2458" s="112" t="str">
        <v/>
      </c>
      <c r="I2458" s="112" t="str">
        <v/>
      </c>
    </row>
    <row r="2459" spans="1:9" ht="13.2">
      <c r="A2459" s="109"/>
      <c r="B2459" s="108"/>
      <c r="C2459" s="109"/>
      <c r="D2459" s="109"/>
      <c r="E2459" s="110"/>
      <c r="F2459" s="114"/>
      <c r="G2459" s="114"/>
      <c r="H2459" s="112" t="str">
        <v/>
      </c>
      <c r="I2459" s="112" t="str">
        <v/>
      </c>
    </row>
    <row r="2460" spans="1:9" ht="13.2">
      <c r="A2460" s="109"/>
      <c r="B2460" s="108"/>
      <c r="C2460" s="109"/>
      <c r="D2460" s="109"/>
      <c r="E2460" s="110"/>
      <c r="F2460" s="114"/>
      <c r="G2460" s="114"/>
      <c r="H2460" s="112" t="str">
        <v/>
      </c>
      <c r="I2460" s="112" t="str">
        <v/>
      </c>
    </row>
    <row r="2461" spans="1:9" ht="13.2">
      <c r="A2461" s="109"/>
      <c r="B2461" s="108"/>
      <c r="C2461" s="109"/>
      <c r="D2461" s="109"/>
      <c r="E2461" s="110"/>
      <c r="F2461" s="114"/>
      <c r="G2461" s="114"/>
      <c r="H2461" s="112" t="str">
        <v/>
      </c>
      <c r="I2461" s="112" t="str">
        <v/>
      </c>
    </row>
    <row r="2462" spans="1:9" ht="13.2">
      <c r="A2462" s="109"/>
      <c r="B2462" s="108"/>
      <c r="C2462" s="109"/>
      <c r="D2462" s="109"/>
      <c r="E2462" s="110"/>
      <c r="F2462" s="114"/>
      <c r="G2462" s="114"/>
      <c r="H2462" s="112" t="str">
        <v/>
      </c>
      <c r="I2462" s="112" t="str">
        <v/>
      </c>
    </row>
    <row r="2463" spans="1:9" ht="13.2">
      <c r="A2463" s="109"/>
      <c r="B2463" s="108"/>
      <c r="C2463" s="109"/>
      <c r="D2463" s="109"/>
      <c r="E2463" s="110"/>
      <c r="F2463" s="114"/>
      <c r="G2463" s="114"/>
      <c r="H2463" s="112" t="str">
        <v/>
      </c>
      <c r="I2463" s="112" t="str">
        <v/>
      </c>
    </row>
    <row r="2464" spans="1:9" ht="13.2">
      <c r="A2464" s="109"/>
      <c r="B2464" s="108"/>
      <c r="C2464" s="109"/>
      <c r="D2464" s="109"/>
      <c r="E2464" s="110"/>
      <c r="F2464" s="114"/>
      <c r="G2464" s="114"/>
      <c r="H2464" s="112" t="str">
        <v/>
      </c>
      <c r="I2464" s="112" t="str">
        <v/>
      </c>
    </row>
    <row r="2465" spans="1:9" ht="13.2">
      <c r="A2465" s="109"/>
      <c r="B2465" s="108"/>
      <c r="C2465" s="109"/>
      <c r="D2465" s="109"/>
      <c r="E2465" s="110"/>
      <c r="F2465" s="114"/>
      <c r="G2465" s="114"/>
      <c r="H2465" s="112" t="str">
        <v/>
      </c>
      <c r="I2465" s="112" t="str">
        <v/>
      </c>
    </row>
    <row r="2466" spans="1:9" ht="13.2">
      <c r="A2466" s="109"/>
      <c r="B2466" s="108"/>
      <c r="C2466" s="109"/>
      <c r="D2466" s="109"/>
      <c r="E2466" s="110"/>
      <c r="F2466" s="114"/>
      <c r="G2466" s="114"/>
      <c r="H2466" s="112" t="str">
        <v/>
      </c>
      <c r="I2466" s="112" t="str">
        <v/>
      </c>
    </row>
    <row r="2467" spans="1:9" ht="13.2">
      <c r="A2467" s="109"/>
      <c r="B2467" s="108"/>
      <c r="C2467" s="109"/>
      <c r="D2467" s="109"/>
      <c r="E2467" s="110"/>
      <c r="F2467" s="114"/>
      <c r="G2467" s="114"/>
      <c r="H2467" s="112" t="str">
        <v/>
      </c>
      <c r="I2467" s="112" t="str">
        <v/>
      </c>
    </row>
    <row r="2468" spans="1:9" ht="13.2">
      <c r="A2468" s="109"/>
      <c r="B2468" s="108"/>
      <c r="C2468" s="109"/>
      <c r="D2468" s="109"/>
      <c r="E2468" s="110"/>
      <c r="F2468" s="114"/>
      <c r="G2468" s="114"/>
      <c r="H2468" s="112" t="str">
        <v/>
      </c>
      <c r="I2468" s="112" t="str">
        <v/>
      </c>
    </row>
    <row r="2469" spans="1:9" ht="13.2">
      <c r="A2469" s="109"/>
      <c r="B2469" s="108"/>
      <c r="C2469" s="109"/>
      <c r="D2469" s="109"/>
      <c r="E2469" s="110"/>
      <c r="F2469" s="114"/>
      <c r="G2469" s="114"/>
      <c r="H2469" s="112" t="str">
        <v/>
      </c>
      <c r="I2469" s="112" t="str">
        <v/>
      </c>
    </row>
    <row r="2470" spans="1:9" ht="13.2">
      <c r="A2470" s="109"/>
      <c r="B2470" s="108"/>
      <c r="C2470" s="109"/>
      <c r="D2470" s="109"/>
      <c r="E2470" s="110"/>
      <c r="F2470" s="114"/>
      <c r="G2470" s="114"/>
      <c r="H2470" s="112" t="str">
        <v/>
      </c>
      <c r="I2470" s="112" t="str">
        <v/>
      </c>
    </row>
    <row r="2471" spans="1:9" ht="13.2">
      <c r="A2471" s="109"/>
      <c r="B2471" s="108"/>
      <c r="C2471" s="109"/>
      <c r="D2471" s="109"/>
      <c r="E2471" s="110"/>
      <c r="F2471" s="114"/>
      <c r="G2471" s="114"/>
      <c r="H2471" s="112" t="str">
        <v/>
      </c>
      <c r="I2471" s="112" t="str">
        <v/>
      </c>
    </row>
    <row r="2472" spans="1:9" ht="13.2">
      <c r="A2472" s="109"/>
      <c r="B2472" s="108"/>
      <c r="C2472" s="109"/>
      <c r="D2472" s="109"/>
      <c r="E2472" s="110"/>
      <c r="F2472" s="114"/>
      <c r="G2472" s="114"/>
      <c r="H2472" s="112" t="str">
        <v/>
      </c>
      <c r="I2472" s="112" t="str">
        <v/>
      </c>
    </row>
    <row r="2473" spans="1:9" ht="13.2">
      <c r="A2473" s="109"/>
      <c r="B2473" s="108"/>
      <c r="C2473" s="109"/>
      <c r="D2473" s="109"/>
      <c r="E2473" s="110"/>
      <c r="F2473" s="114"/>
      <c r="G2473" s="114"/>
      <c r="H2473" s="112" t="str">
        <v/>
      </c>
      <c r="I2473" s="112" t="str">
        <v/>
      </c>
    </row>
    <row r="2474" spans="1:9" ht="13.2">
      <c r="A2474" s="109"/>
      <c r="B2474" s="108"/>
      <c r="C2474" s="109"/>
      <c r="D2474" s="109"/>
      <c r="E2474" s="110"/>
      <c r="F2474" s="114"/>
      <c r="G2474" s="114"/>
      <c r="H2474" s="112" t="str">
        <v/>
      </c>
      <c r="I2474" s="112" t="str">
        <v/>
      </c>
    </row>
    <row r="2475" spans="1:9" ht="13.2">
      <c r="A2475" s="109"/>
      <c r="B2475" s="108"/>
      <c r="C2475" s="109"/>
      <c r="D2475" s="109"/>
      <c r="E2475" s="110"/>
      <c r="F2475" s="114"/>
      <c r="G2475" s="114"/>
      <c r="H2475" s="112" t="str">
        <v/>
      </c>
      <c r="I2475" s="112" t="str">
        <v/>
      </c>
    </row>
    <row r="2476" spans="1:9" ht="13.2">
      <c r="A2476" s="109"/>
      <c r="B2476" s="108"/>
      <c r="C2476" s="109"/>
      <c r="D2476" s="109"/>
      <c r="E2476" s="110"/>
      <c r="F2476" s="114"/>
      <c r="G2476" s="114"/>
      <c r="H2476" s="112" t="str">
        <v/>
      </c>
      <c r="I2476" s="112" t="str">
        <v/>
      </c>
    </row>
    <row r="2477" spans="1:9" ht="13.2">
      <c r="A2477" s="109"/>
      <c r="B2477" s="108"/>
      <c r="C2477" s="109"/>
      <c r="D2477" s="109"/>
      <c r="E2477" s="110"/>
      <c r="F2477" s="114"/>
      <c r="G2477" s="114"/>
      <c r="H2477" s="112" t="str">
        <v/>
      </c>
      <c r="I2477" s="112" t="str">
        <v/>
      </c>
    </row>
    <row r="2478" spans="1:9" ht="13.2">
      <c r="A2478" s="109"/>
      <c r="B2478" s="108"/>
      <c r="C2478" s="109"/>
      <c r="D2478" s="109"/>
      <c r="E2478" s="110"/>
      <c r="F2478" s="114"/>
      <c r="G2478" s="114"/>
      <c r="H2478" s="112" t="str">
        <v/>
      </c>
      <c r="I2478" s="112" t="str">
        <v/>
      </c>
    </row>
    <row r="2479" spans="1:9" ht="13.2">
      <c r="A2479" s="109"/>
      <c r="B2479" s="108"/>
      <c r="C2479" s="109"/>
      <c r="D2479" s="109"/>
      <c r="E2479" s="110"/>
      <c r="F2479" s="114"/>
      <c r="G2479" s="114"/>
      <c r="H2479" s="112" t="str">
        <v/>
      </c>
      <c r="I2479" s="112" t="str">
        <v/>
      </c>
    </row>
    <row r="2480" spans="1:9" ht="13.2">
      <c r="A2480" s="109"/>
      <c r="B2480" s="108"/>
      <c r="C2480" s="109"/>
      <c r="D2480" s="109"/>
      <c r="E2480" s="110"/>
      <c r="F2480" s="114"/>
      <c r="G2480" s="114"/>
      <c r="H2480" s="112" t="str">
        <v/>
      </c>
      <c r="I2480" s="112" t="str">
        <v/>
      </c>
    </row>
    <row r="2481" spans="1:9" ht="13.2">
      <c r="A2481" s="109"/>
      <c r="B2481" s="108"/>
      <c r="C2481" s="109"/>
      <c r="D2481" s="109"/>
      <c r="E2481" s="110"/>
      <c r="F2481" s="114"/>
      <c r="G2481" s="114"/>
      <c r="H2481" s="112" t="str">
        <v/>
      </c>
      <c r="I2481" s="112" t="str">
        <v/>
      </c>
    </row>
    <row r="2482" spans="1:9" ht="13.2">
      <c r="A2482" s="109"/>
      <c r="B2482" s="108"/>
      <c r="C2482" s="109"/>
      <c r="D2482" s="109"/>
      <c r="E2482" s="110"/>
      <c r="F2482" s="114"/>
      <c r="G2482" s="114"/>
      <c r="H2482" s="112" t="str">
        <v/>
      </c>
      <c r="I2482" s="112" t="str">
        <v/>
      </c>
    </row>
    <row r="2483" spans="1:9" ht="13.2">
      <c r="A2483" s="109"/>
      <c r="B2483" s="108"/>
      <c r="C2483" s="109"/>
      <c r="D2483" s="109"/>
      <c r="E2483" s="110"/>
      <c r="F2483" s="114"/>
      <c r="G2483" s="114"/>
      <c r="H2483" s="112" t="str">
        <v/>
      </c>
      <c r="I2483" s="112" t="str">
        <v/>
      </c>
    </row>
    <row r="2484" spans="1:9" ht="13.2">
      <c r="A2484" s="109"/>
      <c r="B2484" s="108"/>
      <c r="C2484" s="109"/>
      <c r="D2484" s="109"/>
      <c r="E2484" s="110"/>
      <c r="F2484" s="114"/>
      <c r="G2484" s="114"/>
      <c r="H2484" s="112" t="str">
        <v/>
      </c>
      <c r="I2484" s="112" t="str">
        <v/>
      </c>
    </row>
    <row r="2485" spans="1:9" ht="13.2">
      <c r="A2485" s="109"/>
      <c r="B2485" s="108"/>
      <c r="C2485" s="109"/>
      <c r="D2485" s="109"/>
      <c r="E2485" s="110"/>
      <c r="F2485" s="114"/>
      <c r="G2485" s="114"/>
      <c r="H2485" s="112" t="str">
        <v/>
      </c>
      <c r="I2485" s="112" t="str">
        <v/>
      </c>
    </row>
    <row r="2486" spans="1:9" ht="13.2">
      <c r="A2486" s="109"/>
      <c r="B2486" s="108"/>
      <c r="C2486" s="109"/>
      <c r="D2486" s="109"/>
      <c r="E2486" s="110"/>
      <c r="F2486" s="114"/>
      <c r="G2486" s="114"/>
      <c r="H2486" s="112" t="str">
        <v/>
      </c>
      <c r="I2486" s="112" t="str">
        <v/>
      </c>
    </row>
    <row r="2487" spans="1:9" ht="13.2">
      <c r="A2487" s="109"/>
      <c r="B2487" s="108"/>
      <c r="C2487" s="109"/>
      <c r="D2487" s="109"/>
      <c r="E2487" s="110"/>
      <c r="F2487" s="114"/>
      <c r="G2487" s="114"/>
      <c r="H2487" s="112" t="str">
        <v/>
      </c>
      <c r="I2487" s="112" t="str">
        <v/>
      </c>
    </row>
    <row r="2488" spans="1:9" ht="13.2">
      <c r="A2488" s="109"/>
      <c r="B2488" s="108"/>
      <c r="C2488" s="109"/>
      <c r="D2488" s="109"/>
      <c r="E2488" s="110"/>
      <c r="F2488" s="114"/>
      <c r="G2488" s="114"/>
      <c r="H2488" s="112" t="str">
        <v/>
      </c>
      <c r="I2488" s="112" t="str">
        <v/>
      </c>
    </row>
    <row r="2489" spans="1:9" ht="13.2">
      <c r="A2489" s="109"/>
      <c r="B2489" s="108"/>
      <c r="C2489" s="109"/>
      <c r="D2489" s="109"/>
      <c r="E2489" s="110"/>
      <c r="F2489" s="114"/>
      <c r="G2489" s="114"/>
      <c r="H2489" s="112" t="str">
        <v/>
      </c>
      <c r="I2489" s="112" t="str">
        <v/>
      </c>
    </row>
    <row r="2490" spans="1:9" ht="13.2">
      <c r="A2490" s="109"/>
      <c r="B2490" s="108"/>
      <c r="C2490" s="109"/>
      <c r="D2490" s="109"/>
      <c r="E2490" s="110"/>
      <c r="F2490" s="114"/>
      <c r="G2490" s="114"/>
      <c r="H2490" s="112" t="str">
        <v/>
      </c>
      <c r="I2490" s="112" t="str">
        <v/>
      </c>
    </row>
    <row r="2491" spans="1:9" ht="13.2">
      <c r="A2491" s="109"/>
      <c r="B2491" s="108"/>
      <c r="C2491" s="109"/>
      <c r="D2491" s="109"/>
      <c r="E2491" s="110"/>
      <c r="F2491" s="114"/>
      <c r="G2491" s="114"/>
      <c r="H2491" s="112" t="str">
        <v/>
      </c>
      <c r="I2491" s="112" t="str">
        <v/>
      </c>
    </row>
    <row r="2492" spans="1:9" ht="13.2">
      <c r="A2492" s="109"/>
      <c r="B2492" s="108"/>
      <c r="C2492" s="109"/>
      <c r="D2492" s="109"/>
      <c r="E2492" s="110"/>
      <c r="F2492" s="114"/>
      <c r="G2492" s="114"/>
      <c r="H2492" s="112" t="str">
        <v/>
      </c>
      <c r="I2492" s="112" t="str">
        <v/>
      </c>
    </row>
    <row r="2493" spans="1:9" ht="13.2">
      <c r="A2493" s="109"/>
      <c r="B2493" s="108"/>
      <c r="C2493" s="109"/>
      <c r="D2493" s="109"/>
      <c r="E2493" s="110"/>
      <c r="F2493" s="114"/>
      <c r="G2493" s="114"/>
      <c r="H2493" s="112" t="str">
        <v/>
      </c>
      <c r="I2493" s="112" t="str">
        <v/>
      </c>
    </row>
    <row r="2494" spans="1:9" ht="13.2">
      <c r="A2494" s="109"/>
      <c r="B2494" s="108"/>
      <c r="C2494" s="109"/>
      <c r="D2494" s="109"/>
      <c r="E2494" s="110"/>
      <c r="F2494" s="114"/>
      <c r="G2494" s="114"/>
      <c r="H2494" s="112" t="str">
        <v/>
      </c>
      <c r="I2494" s="112" t="str">
        <v/>
      </c>
    </row>
    <row r="2495" spans="1:9" ht="13.2">
      <c r="A2495" s="109"/>
      <c r="B2495" s="108"/>
      <c r="C2495" s="109"/>
      <c r="D2495" s="109"/>
      <c r="E2495" s="110"/>
      <c r="F2495" s="114"/>
      <c r="G2495" s="114"/>
      <c r="H2495" s="112" t="str">
        <v/>
      </c>
      <c r="I2495" s="112" t="str">
        <v/>
      </c>
    </row>
    <row r="2496" spans="1:9" ht="13.2">
      <c r="A2496" s="109"/>
      <c r="B2496" s="108"/>
      <c r="C2496" s="109"/>
      <c r="D2496" s="109"/>
      <c r="E2496" s="110"/>
      <c r="F2496" s="114"/>
      <c r="G2496" s="114"/>
      <c r="H2496" s="112" t="str">
        <v/>
      </c>
      <c r="I2496" s="112" t="str">
        <v/>
      </c>
    </row>
    <row r="2497" spans="1:9" ht="13.2">
      <c r="A2497" s="109"/>
      <c r="B2497" s="108"/>
      <c r="C2497" s="109"/>
      <c r="D2497" s="109"/>
      <c r="E2497" s="110"/>
      <c r="F2497" s="114"/>
      <c r="G2497" s="114"/>
      <c r="H2497" s="112" t="str">
        <v/>
      </c>
      <c r="I2497" s="112" t="str">
        <v/>
      </c>
    </row>
    <row r="2498" spans="1:9" ht="13.2">
      <c r="A2498" s="109"/>
      <c r="B2498" s="108"/>
      <c r="C2498" s="109"/>
      <c r="D2498" s="109"/>
      <c r="E2498" s="110"/>
      <c r="F2498" s="114"/>
      <c r="G2498" s="114"/>
      <c r="H2498" s="112" t="str">
        <v/>
      </c>
      <c r="I2498" s="112" t="str">
        <v/>
      </c>
    </row>
    <row r="2499" spans="1:9" ht="13.2">
      <c r="A2499" s="109"/>
      <c r="B2499" s="108"/>
      <c r="C2499" s="109"/>
      <c r="D2499" s="109"/>
      <c r="E2499" s="110"/>
      <c r="F2499" s="114"/>
      <c r="G2499" s="114"/>
      <c r="H2499" s="112" t="str">
        <v/>
      </c>
      <c r="I2499" s="112" t="str">
        <v/>
      </c>
    </row>
    <row r="2500" spans="1:9" ht="13.2">
      <c r="A2500" s="109"/>
      <c r="B2500" s="108"/>
      <c r="C2500" s="109"/>
      <c r="D2500" s="109"/>
      <c r="E2500" s="110"/>
      <c r="F2500" s="114"/>
      <c r="G2500" s="114"/>
      <c r="H2500" s="112" t="str">
        <v/>
      </c>
      <c r="I2500" s="112" t="str">
        <v/>
      </c>
    </row>
    <row r="2501" spans="1:9" ht="13.2">
      <c r="A2501" s="109"/>
      <c r="B2501" s="108"/>
      <c r="C2501" s="109"/>
      <c r="D2501" s="109"/>
      <c r="E2501" s="110"/>
      <c r="F2501" s="114"/>
      <c r="G2501" s="114"/>
      <c r="H2501" s="112" t="str">
        <v/>
      </c>
      <c r="I2501" s="112" t="str"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outlinePr summaryBelow="0" summaryRight="0"/>
  </sheetPr>
  <dimension ref="A1:AH500"/>
  <sheetViews>
    <sheetView workbookViewId="0">
      <pane ySplit="3" topLeftCell="A4" activePane="bottomLeft" state="frozen"/>
      <selection pane="bottomLeft" activeCell="B5" sqref="B5"/>
    </sheetView>
  </sheetViews>
  <sheetFormatPr defaultColWidth="14.44140625" defaultRowHeight="15.75" customHeight="1"/>
  <cols>
    <col min="1" max="1" width="8.44140625" customWidth="1"/>
    <col min="2" max="2" width="10.6640625" customWidth="1"/>
    <col min="5" max="5" width="12.6640625" customWidth="1"/>
    <col min="7" max="7" width="9.6640625" customWidth="1"/>
    <col min="8" max="8" width="6.109375" customWidth="1"/>
    <col min="9" max="10" width="11.88671875" customWidth="1"/>
    <col min="11" max="11" width="11.33203125" customWidth="1"/>
    <col min="13" max="14" width="10.88671875" customWidth="1"/>
    <col min="17" max="17" width="10.33203125" customWidth="1"/>
    <col min="18" max="18" width="10.44140625" customWidth="1"/>
    <col min="20" max="20" width="4" customWidth="1"/>
    <col min="21" max="21" width="22" customWidth="1"/>
    <col min="22" max="22" width="2.6640625" customWidth="1"/>
    <col min="23" max="23" width="18.88671875" customWidth="1"/>
    <col min="24" max="24" width="8.33203125" customWidth="1"/>
    <col min="25" max="25" width="5.33203125" customWidth="1"/>
    <col min="26" max="26" width="4" customWidth="1"/>
    <col min="27" max="27" width="4.33203125" customWidth="1"/>
    <col min="28" max="28" width="9.5546875" customWidth="1"/>
    <col min="29" max="29" width="13.109375" customWidth="1"/>
    <col min="30" max="30" width="18.33203125" customWidth="1"/>
    <col min="31" max="31" width="21.88671875" customWidth="1"/>
    <col min="32" max="32" width="4" customWidth="1"/>
    <col min="33" max="33" width="12.5546875" customWidth="1"/>
    <col min="34" max="34" width="4" customWidth="1"/>
  </cols>
  <sheetData>
    <row r="1" spans="1:34" ht="15.75" customHeight="1">
      <c r="A1" s="115" t="s">
        <v>513</v>
      </c>
      <c r="B1" s="115"/>
      <c r="C1" s="115"/>
      <c r="D1" s="115"/>
      <c r="E1" s="115"/>
      <c r="F1" s="115"/>
      <c r="G1" s="115"/>
      <c r="H1" s="115"/>
      <c r="I1" s="116"/>
      <c r="J1" s="116"/>
      <c r="K1" s="117"/>
      <c r="L1" s="118"/>
      <c r="M1" s="116"/>
      <c r="N1" s="116"/>
      <c r="O1" s="119"/>
      <c r="P1" s="119"/>
      <c r="Q1" s="118"/>
      <c r="R1" s="118"/>
      <c r="S1" s="118"/>
      <c r="T1" s="120"/>
      <c r="U1" s="121"/>
      <c r="V1" s="121"/>
      <c r="W1" s="121"/>
      <c r="X1" s="121"/>
      <c r="Y1" s="121"/>
      <c r="Z1" s="120"/>
      <c r="AA1" s="122"/>
      <c r="AB1" s="122"/>
      <c r="AC1" s="122"/>
      <c r="AD1" s="122"/>
      <c r="AE1" s="122"/>
      <c r="AF1" s="120"/>
      <c r="AG1" s="123"/>
      <c r="AH1" s="120"/>
    </row>
    <row r="2" spans="1:34" ht="15.75" customHeight="1">
      <c r="A2" s="115"/>
      <c r="B2" s="115"/>
      <c r="C2" s="115"/>
      <c r="D2" s="115"/>
      <c r="E2" s="124" t="s">
        <v>514</v>
      </c>
      <c r="F2" s="125" t="s">
        <v>515</v>
      </c>
      <c r="G2" s="115"/>
      <c r="H2" s="115"/>
      <c r="I2" s="116"/>
      <c r="J2" s="116"/>
      <c r="K2" s="117"/>
      <c r="L2" s="118"/>
      <c r="M2" s="116"/>
      <c r="N2" s="116"/>
      <c r="O2" s="119"/>
      <c r="P2" s="119"/>
      <c r="Q2" s="118"/>
      <c r="R2" s="118"/>
      <c r="S2" s="118"/>
      <c r="T2" s="120"/>
      <c r="U2" s="121"/>
      <c r="V2" s="121"/>
      <c r="W2" s="121"/>
      <c r="X2" s="121"/>
      <c r="Y2" s="121"/>
      <c r="Z2" s="120"/>
      <c r="AA2" s="229"/>
      <c r="AB2" s="194"/>
      <c r="AC2" s="194"/>
      <c r="AD2" s="194"/>
      <c r="AE2" s="194"/>
      <c r="AF2" s="120"/>
      <c r="AG2" s="123"/>
      <c r="AH2" s="120"/>
    </row>
    <row r="3" spans="1:34" ht="15.75" customHeight="1">
      <c r="A3" s="126" t="str">
        <f ca="1">IFERROR(__xludf.DUMMYFUNCTION("importrange(F2,""Lookup-Generic!a1:AH200"")"),"Division")</f>
        <v>Division</v>
      </c>
      <c r="B3" s="127" t="str">
        <f ca="1">IFERROR(__xludf.DUMMYFUNCTION("""COMPUTED_VALUE"""),"EventCode")</f>
        <v>EventCode</v>
      </c>
      <c r="C3" s="127" t="str">
        <f ca="1">IFERROR(__xludf.DUMMYFUNCTION("""COMPUTED_VALUE"""),"EventName")</f>
        <v>EventName</v>
      </c>
      <c r="D3" s="127" t="str">
        <f ca="1">IFERROR(__xludf.DUMMYFUNCTION("""COMPUTED_VALUE"""),"ScoreRandomizer")</f>
        <v>ScoreRandomizer</v>
      </c>
      <c r="E3" s="128" t="str">
        <f ca="1">IFERROR(__xludf.DUMMYFUNCTION("""COMPUTED_VALUE"""),"PlaceLookup")</f>
        <v>PlaceLookup</v>
      </c>
      <c r="F3" s="128" t="str">
        <f ca="1">IFERROR(__xludf.DUMMYFUNCTION("""COMPUTED_VALUE"""),"PointsAwarded")</f>
        <v>PointsAwarded</v>
      </c>
      <c r="G3" s="129" t="str">
        <f ca="1">IFERROR(__xludf.DUMMYFUNCTION("""COMPUTED_VALUE"""),"EventAge")</f>
        <v>EventAge</v>
      </c>
      <c r="H3" s="129" t="str">
        <f ca="1">IFERROR(__xludf.DUMMYFUNCTION("""COMPUTED_VALUE"""),"Event")</f>
        <v>Event</v>
      </c>
      <c r="I3" s="130" t="str">
        <f ca="1">IFERROR(__xludf.DUMMYFUNCTION("""COMPUTED_VALUE"""),"Current EventLevel")</f>
        <v>Current EventLevel</v>
      </c>
      <c r="J3" s="130" t="str">
        <f ca="1">IFERROR(__xludf.DUMMYFUNCTION("""COMPUTED_VALUE"""),"Allowed EventLevel")</f>
        <v>Allowed EventLevel</v>
      </c>
      <c r="K3" s="131" t="str">
        <f ca="1">IFERROR(__xludf.DUMMYFUNCTION("""COMPUTED_VALUE"""),"2021 Dual Meet Dates")</f>
        <v>2021 Dual Meet Dates</v>
      </c>
      <c r="L3" s="132" t="str">
        <f ca="1">IFERROR(__xludf.DUMMYFUNCTION("""COMPUTED_VALUE"""),"Report Status")</f>
        <v>Report Status</v>
      </c>
      <c r="M3" s="130" t="str">
        <f ca="1">IFERROR(__xludf.DUMMYFUNCTION("""COMPUTED_VALUE"""),"CJ Event Level")</f>
        <v>CJ Event Level</v>
      </c>
      <c r="N3" s="130" t="str">
        <f ca="1">IFERROR(__xludf.DUMMYFUNCTION("""COMPUTED_VALUE"""),"CJ Max Score")</f>
        <v>CJ Max Score</v>
      </c>
      <c r="O3" s="133" t="str">
        <f ca="1">IFERROR(__xludf.DUMMYFUNCTION("""COMPUTED_VALUE"""),"Key Config Info")</f>
        <v>Key Config Info</v>
      </c>
      <c r="P3" s="133"/>
      <c r="Q3" s="134" t="str">
        <f ca="1">IFERROR(__xludf.DUMMYFUNCTION("""COMPUTED_VALUE"""),"Meet Type")</f>
        <v>Meet Type</v>
      </c>
      <c r="R3" s="135" t="str">
        <f ca="1">IFERROR(__xludf.DUMMYFUNCTION("""COMPUTED_VALUE"""),"Event Date")</f>
        <v>Event Date</v>
      </c>
      <c r="S3" s="134"/>
      <c r="T3" s="120"/>
      <c r="U3" s="115" t="str">
        <f ca="1">IFERROR(__xludf.DUMMYFUNCTION("""COMPUTED_VALUE"""),"Current Year")</f>
        <v>Current Year</v>
      </c>
      <c r="V3" s="136"/>
      <c r="W3" s="137">
        <f ca="1">IFERROR(__xludf.DUMMYFUNCTION("""COMPUTED_VALUE"""),2021)</f>
        <v>2021</v>
      </c>
      <c r="X3" s="136"/>
      <c r="Y3" s="136"/>
      <c r="Z3" s="120"/>
      <c r="AA3" s="138"/>
      <c r="AB3" s="138"/>
      <c r="AC3" s="138"/>
      <c r="AD3" s="138"/>
      <c r="AE3" s="138"/>
      <c r="AF3" s="120"/>
      <c r="AG3" s="139"/>
      <c r="AH3" s="120"/>
    </row>
    <row r="4" spans="1:34">
      <c r="A4" s="140">
        <f ca="1">IFERROR(__xludf.DUMMYFUNCTION("""COMPUTED_VALUE"""),1)</f>
        <v>1</v>
      </c>
      <c r="B4" s="141" t="str">
        <f ca="1">IFERROR(__xludf.DUMMYFUNCTION("""COMPUTED_VALUE"""),"FG")</f>
        <v>FG</v>
      </c>
      <c r="C4" s="141" t="str">
        <f ca="1">IFERROR(__xludf.DUMMYFUNCTION("""COMPUTED_VALUE"""),"Freshman Girls")</f>
        <v>Freshman Girls</v>
      </c>
      <c r="D4" s="142">
        <f ca="1">IFERROR(__xludf.DUMMYFUNCTION("""COMPUTED_VALUE"""),19.71)</f>
        <v>19.71</v>
      </c>
      <c r="E4" s="143">
        <f ca="1">IFERROR(__xludf.DUMMYFUNCTION("""COMPUTED_VALUE"""),1)</f>
        <v>1</v>
      </c>
      <c r="F4" s="143">
        <f ca="1">IFERROR(__xludf.DUMMYFUNCTION("""COMPUTED_VALUE"""),5)</f>
        <v>5</v>
      </c>
      <c r="G4" s="144">
        <f ca="1">IFERROR(__xludf.DUMMYFUNCTION("""COMPUTED_VALUE"""),1)</f>
        <v>1</v>
      </c>
      <c r="H4" s="144" t="str">
        <f ca="1">IFERROR(__xludf.DUMMYFUNCTION("""COMPUTED_VALUE"""),"F")</f>
        <v>F</v>
      </c>
      <c r="I4" s="145" t="str">
        <f ca="1">IFERROR(__xludf.DUMMYFUNCTION("""COMPUTED_VALUE"""),"F")</f>
        <v>F</v>
      </c>
      <c r="J4" s="145" t="str">
        <f ca="1">IFERROR(__xludf.DUMMYFUNCTION("""COMPUTED_VALUE"""),"J")</f>
        <v>J</v>
      </c>
      <c r="K4" s="146">
        <f ca="1">IFERROR(__xludf.DUMMYFUNCTION("""COMPUTED_VALUE"""),44369)</f>
        <v>44369</v>
      </c>
      <c r="L4" s="147" t="str">
        <f ca="1">IFERROR(__xludf.DUMMYFUNCTION("""COMPUTED_VALUE"""),"01-Awaiting Scores")</f>
        <v>01-Awaiting Scores</v>
      </c>
      <c r="M4" s="145" t="str">
        <f ca="1">IFERROR(__xludf.DUMMYFUNCTION("""COMPUTED_VALUE"""),"FG")</f>
        <v>FG</v>
      </c>
      <c r="N4" s="145">
        <f ca="1">IFERROR(__xludf.DUMMYFUNCTION("""COMPUTED_VALUE"""),67)</f>
        <v>67</v>
      </c>
      <c r="O4" s="148" t="str">
        <f ca="1">IFERROR(__xludf.DUMMYFUNCTION("""COMPUTED_VALUE"""),"CurrentYear")</f>
        <v>CurrentYear</v>
      </c>
      <c r="P4" s="148">
        <f ca="1">IFERROR(__xludf.DUMMYFUNCTION("""COMPUTED_VALUE"""),2021)</f>
        <v>2021</v>
      </c>
      <c r="Q4" s="149" t="str">
        <f ca="1">IFERROR(__xludf.DUMMYFUNCTION("""COMPUTED_VALUE"""),"Dual1")</f>
        <v>Dual1</v>
      </c>
      <c r="R4" s="150">
        <f ca="1">IFERROR(__xludf.DUMMYFUNCTION("""COMPUTED_VALUE"""),44369)</f>
        <v>44369</v>
      </c>
      <c r="S4" s="151"/>
      <c r="T4" s="120"/>
      <c r="U4" s="152" t="str">
        <f ca="1">IFERROR(__xludf.DUMMYFUNCTION("""COMPUTED_VALUE"""),"Auto Import of Dual Meet Schedules From nvsl.com using: http://dive.mynvsl.com/schedules?date=20210622")</f>
        <v>Auto Import of Dual Meet Schedules From nvsl.com using: http://dive.mynvsl.com/schedules?date=20210622</v>
      </c>
      <c r="V4" s="120"/>
      <c r="W4" s="120"/>
      <c r="X4" s="120"/>
      <c r="Y4" s="120"/>
      <c r="Z4" s="120"/>
      <c r="AA4" s="120" t="str">
        <f ca="1">IFERROR(__xludf.DUMMYFUNCTION("""COMPUTED_VALUE"""),"Use Date below to lookup Date and Div to find Home and Visiting Team for each Dual Meet")</f>
        <v>Use Date below to lookup Date and Div to find Home and Visiting Team for each Dual Meet</v>
      </c>
      <c r="AB4" s="120"/>
      <c r="AC4" s="120"/>
      <c r="AD4" s="120"/>
      <c r="AE4" s="120"/>
      <c r="AF4" s="120"/>
      <c r="AG4" s="153"/>
      <c r="AH4" s="120"/>
    </row>
    <row r="5" spans="1:34" ht="15.75" customHeight="1">
      <c r="A5" s="140">
        <f ca="1">IFERROR(__xludf.DUMMYFUNCTION("""COMPUTED_VALUE"""),2)</f>
        <v>2</v>
      </c>
      <c r="B5" s="141" t="str">
        <f ca="1">IFERROR(__xludf.DUMMYFUNCTION("""COMPUTED_VALUE"""),"FB")</f>
        <v>FB</v>
      </c>
      <c r="C5" s="141" t="str">
        <f ca="1">IFERROR(__xludf.DUMMYFUNCTION("""COMPUTED_VALUE"""),"Freshman Boys")</f>
        <v>Freshman Boys</v>
      </c>
      <c r="D5" s="142"/>
      <c r="E5" s="143">
        <f ca="1">IFERROR(__xludf.DUMMYFUNCTION("""COMPUTED_VALUE"""),2)</f>
        <v>2</v>
      </c>
      <c r="F5" s="143">
        <f ca="1">IFERROR(__xludf.DUMMYFUNCTION("""COMPUTED_VALUE"""),3)</f>
        <v>3</v>
      </c>
      <c r="G5" s="144">
        <f ca="1">IFERROR(__xludf.DUMMYFUNCTION("""COMPUTED_VALUE"""),2)</f>
        <v>2</v>
      </c>
      <c r="H5" s="144" t="str">
        <f ca="1">IFERROR(__xludf.DUMMYFUNCTION("""COMPUTED_VALUE"""),"F")</f>
        <v>F</v>
      </c>
      <c r="I5" s="145" t="str">
        <f ca="1">IFERROR(__xludf.DUMMYFUNCTION("""COMPUTED_VALUE"""),"J")</f>
        <v>J</v>
      </c>
      <c r="J5" s="145" t="str">
        <f ca="1">IFERROR(__xludf.DUMMYFUNCTION("""COMPUTED_VALUE"""),"I")</f>
        <v>I</v>
      </c>
      <c r="K5" s="146">
        <f ca="1">IFERROR(__xludf.DUMMYFUNCTION("""COMPUTED_VALUE"""),44376)</f>
        <v>44376</v>
      </c>
      <c r="L5" s="147" t="str">
        <f ca="1">IFERROR(__xludf.DUMMYFUNCTION("""COMPUTED_VALUE"""),"02-Meet Delayed")</f>
        <v>02-Meet Delayed</v>
      </c>
      <c r="M5" s="145" t="str">
        <f ca="1">IFERROR(__xludf.DUMMYFUNCTION("""COMPUTED_VALUE"""),"FB")</f>
        <v>FB</v>
      </c>
      <c r="N5" s="145">
        <f ca="1">IFERROR(__xludf.DUMMYFUNCTION("""COMPUTED_VALUE"""),65)</f>
        <v>65</v>
      </c>
      <c r="O5" s="148" t="str">
        <f ca="1">IFERROR(__xludf.DUMMYFUNCTION("""COMPUTED_VALUE"""),"DiverDB")</f>
        <v>DiverDB</v>
      </c>
      <c r="P5" s="154" t="str">
        <f ca="1">IFERROR(__xludf.DUMMYFUNCTION("""COMPUTED_VALUE"""),"https://docs.google.com/spreadsheets/d/1-JXYCYIAvtmiIJj4y5uFNPzMrtPUC6JAnZaXl789pwQ")</f>
        <v>https://docs.google.com/spreadsheets/d/1-JXYCYIAvtmiIJj4y5uFNPzMrtPUC6JAnZaXl789pwQ</v>
      </c>
      <c r="Q5" s="155" t="str">
        <f ca="1">IFERROR(__xludf.DUMMYFUNCTION("""COMPUTED_VALUE"""),"Dual2")</f>
        <v>Dual2</v>
      </c>
      <c r="R5" s="156">
        <f ca="1">IFERROR(__xludf.DUMMYFUNCTION("""COMPUTED_VALUE"""),44376)</f>
        <v>44376</v>
      </c>
      <c r="S5" s="157"/>
      <c r="T5" s="120"/>
      <c r="U5" s="158" t="str">
        <f ca="1">IFERROR(__xludf.DUMMYFUNCTION("""COMPUTED_VALUE"""),"Visitor")</f>
        <v>Visitor</v>
      </c>
      <c r="V5" s="157"/>
      <c r="W5" s="157" t="str">
        <f ca="1">IFERROR(__xludf.DUMMYFUNCTION("""COMPUTED_VALUE"""),"Home")</f>
        <v>Home</v>
      </c>
      <c r="X5" s="159"/>
      <c r="Y5" s="157"/>
      <c r="Z5" s="120"/>
      <c r="AA5" s="160" t="str">
        <f ca="1">IFERROR(__xludf.DUMMYFUNCTION("""COMPUTED_VALUE"""),"Div")</f>
        <v>Div</v>
      </c>
      <c r="AB5" s="161" t="str">
        <f ca="1">IFERROR(__xludf.DUMMYFUNCTION("""COMPUTED_VALUE"""),"DM Date")</f>
        <v>DM Date</v>
      </c>
      <c r="AC5" s="161" t="str">
        <f ca="1">IFERROR(__xludf.DUMMYFUNCTION("""COMPUTED_VALUE"""),"DM DateDiv")</f>
        <v>DM DateDiv</v>
      </c>
      <c r="AD5" s="157" t="str">
        <f ca="1">IFERROR(__xludf.DUMMYFUNCTION("""COMPUTED_VALUE"""),"Home Team")</f>
        <v>Home Team</v>
      </c>
      <c r="AE5" s="157" t="str">
        <f ca="1">IFERROR(__xludf.DUMMYFUNCTION("""COMPUTED_VALUE"""),"Visiting Team")</f>
        <v>Visiting Team</v>
      </c>
      <c r="AF5" s="157"/>
      <c r="AG5" s="162" t="str">
        <f ca="1">IFERROR(__xludf.DUMMYFUNCTION("""COMPUTED_VALUE"""),"Dual Meet Dates")</f>
        <v>Dual Meet Dates</v>
      </c>
      <c r="AH5" s="120"/>
    </row>
    <row r="6" spans="1:34" ht="15.75" customHeight="1">
      <c r="A6" s="140">
        <f ca="1">IFERROR(__xludf.DUMMYFUNCTION("""COMPUTED_VALUE"""),3)</f>
        <v>3</v>
      </c>
      <c r="B6" s="141" t="str">
        <f ca="1">IFERROR(__xludf.DUMMYFUNCTION("""COMPUTED_VALUE"""),"JG")</f>
        <v>JG</v>
      </c>
      <c r="C6" s="141" t="str">
        <f ca="1">IFERROR(__xludf.DUMMYFUNCTION("""COMPUTED_VALUE"""),"Junior Girls")</f>
        <v>Junior Girls</v>
      </c>
      <c r="D6" s="142"/>
      <c r="E6" s="143">
        <f ca="1">IFERROR(__xludf.DUMMYFUNCTION("""COMPUTED_VALUE"""),3)</f>
        <v>3</v>
      </c>
      <c r="F6" s="143">
        <f ca="1">IFERROR(__xludf.DUMMYFUNCTION("""COMPUTED_VALUE"""),1)</f>
        <v>1</v>
      </c>
      <c r="G6" s="144">
        <f ca="1">IFERROR(__xludf.DUMMYFUNCTION("""COMPUTED_VALUE"""),3)</f>
        <v>3</v>
      </c>
      <c r="H6" s="144" t="str">
        <f ca="1">IFERROR(__xludf.DUMMYFUNCTION("""COMPUTED_VALUE"""),"F")</f>
        <v>F</v>
      </c>
      <c r="I6" s="145" t="str">
        <f ca="1">IFERROR(__xludf.DUMMYFUNCTION("""COMPUTED_VALUE"""),"I")</f>
        <v>I</v>
      </c>
      <c r="J6" s="145" t="str">
        <f ca="1">IFERROR(__xludf.DUMMYFUNCTION("""COMPUTED_VALUE"""),"S")</f>
        <v>S</v>
      </c>
      <c r="K6" s="146">
        <f ca="1">IFERROR(__xludf.DUMMYFUNCTION("""COMPUTED_VALUE"""),44383)</f>
        <v>44383</v>
      </c>
      <c r="L6" s="147" t="str">
        <f ca="1">IFERROR(__xludf.DUMMYFUNCTION("""COMPUTED_VALUE"""),"03-NVSL Review Needed")</f>
        <v>03-NVSL Review Needed</v>
      </c>
      <c r="M6" s="145" t="str">
        <f ca="1">IFERROR(__xludf.DUMMYFUNCTION("""COMPUTED_VALUE"""),"JG")</f>
        <v>JG</v>
      </c>
      <c r="N6" s="145">
        <f ca="1">IFERROR(__xludf.DUMMYFUNCTION("""COMPUTED_VALUE"""),99)</f>
        <v>99</v>
      </c>
      <c r="O6" s="148" t="str">
        <f ca="1">IFERROR(__xludf.DUMMYFUNCTION("""COMPUTED_VALUE"""),"Instructions")</f>
        <v>Instructions</v>
      </c>
      <c r="P6" s="154" t="str">
        <f ca="1">IFERROR(__xludf.DUMMYFUNCTION("""COMPUTED_VALUE"""),"https://docs.google.com/document/d/1x9nXuXcDRG-KBHcaYIxv7seoRzwlefo0-zRuE9Zvp5s/edit?usp=sharing")</f>
        <v>https://docs.google.com/document/d/1x9nXuXcDRG-KBHcaYIxv7seoRzwlefo0-zRuE9Zvp5s/edit?usp=sharing</v>
      </c>
      <c r="Q6" s="149" t="str">
        <f ca="1">IFERROR(__xludf.DUMMYFUNCTION("""COMPUTED_VALUE"""),"Dual3")</f>
        <v>Dual3</v>
      </c>
      <c r="R6" s="150">
        <f ca="1">IFERROR(__xludf.DUMMYFUNCTION("""COMPUTED_VALUE"""),44383)</f>
        <v>44383</v>
      </c>
      <c r="S6" s="151"/>
      <c r="T6" s="120"/>
      <c r="U6" s="163"/>
      <c r="V6" s="151"/>
      <c r="W6" s="151"/>
      <c r="X6" s="164"/>
      <c r="Y6" s="151"/>
      <c r="Z6" s="120"/>
      <c r="AA6" s="165"/>
      <c r="AB6" s="166"/>
      <c r="AC6" s="166"/>
      <c r="AD6" s="166"/>
      <c r="AE6" s="166"/>
      <c r="AF6" s="120"/>
      <c r="AG6" s="153"/>
      <c r="AH6" s="120"/>
    </row>
    <row r="7" spans="1:34" ht="15.75" customHeight="1">
      <c r="A7" s="140">
        <f ca="1">IFERROR(__xludf.DUMMYFUNCTION("""COMPUTED_VALUE"""),4)</f>
        <v>4</v>
      </c>
      <c r="B7" s="141" t="str">
        <f ca="1">IFERROR(__xludf.DUMMYFUNCTION("""COMPUTED_VALUE"""),"JB")</f>
        <v>JB</v>
      </c>
      <c r="C7" s="141" t="str">
        <f ca="1">IFERROR(__xludf.DUMMYFUNCTION("""COMPUTED_VALUE"""),"Junior Boys")</f>
        <v>Junior Boys</v>
      </c>
      <c r="D7" s="142"/>
      <c r="E7" s="143">
        <f ca="1">IFERROR(__xludf.DUMMYFUNCTION("""COMPUTED_VALUE"""),4)</f>
        <v>4</v>
      </c>
      <c r="F7" s="143"/>
      <c r="G7" s="144">
        <f ca="1">IFERROR(__xludf.DUMMYFUNCTION("""COMPUTED_VALUE"""),4)</f>
        <v>4</v>
      </c>
      <c r="H7" s="144" t="str">
        <f ca="1">IFERROR(__xludf.DUMMYFUNCTION("""COMPUTED_VALUE"""),"F")</f>
        <v>F</v>
      </c>
      <c r="I7" s="145" t="str">
        <f ca="1">IFERROR(__xludf.DUMMYFUNCTION("""COMPUTED_VALUE"""),"S")</f>
        <v>S</v>
      </c>
      <c r="J7" s="145" t="str">
        <f ca="1">IFERROR(__xludf.DUMMYFUNCTION("""COMPUTED_VALUE"""),"S")</f>
        <v>S</v>
      </c>
      <c r="K7" s="146">
        <f ca="1">IFERROR(__xludf.DUMMYFUNCTION("""COMPUTED_VALUE"""),44390)</f>
        <v>44390</v>
      </c>
      <c r="L7" s="147" t="str">
        <f ca="1">IFERROR(__xludf.DUMMYFUNCTION("""COMPUTED_VALUE"""),"05-Home Team Approved")</f>
        <v>05-Home Team Approved</v>
      </c>
      <c r="M7" s="145" t="str">
        <f ca="1">IFERROR(__xludf.DUMMYFUNCTION("""COMPUTED_VALUE"""),"JB")</f>
        <v>JB</v>
      </c>
      <c r="N7" s="145">
        <f ca="1">IFERROR(__xludf.DUMMYFUNCTION("""COMPUTED_VALUE"""),95)</f>
        <v>95</v>
      </c>
      <c r="O7" s="148" t="str">
        <f ca="1">IFERROR(__xludf.DUMMYFUNCTION("""COMPUTED_VALUE"""),"Divisionals")</f>
        <v>Divisionals</v>
      </c>
      <c r="P7" s="154" t="str">
        <f ca="1">IFERROR(__xludf.DUMMYFUNCTION("""COMPUTED_VALUE"""),"https://docs.google.com/spreadsheets/d/1q8hNzk8wlHLSWNRodZyLwN77iP8civFLqlOMw7TVX-E")</f>
        <v>https://docs.google.com/spreadsheets/d/1q8hNzk8wlHLSWNRodZyLwN77iP8civFLqlOMw7TVX-E</v>
      </c>
      <c r="Q7" s="155" t="str">
        <f ca="1">IFERROR(__xludf.DUMMYFUNCTION("""COMPUTED_VALUE"""),"WM")</f>
        <v>WM</v>
      </c>
      <c r="R7" s="156">
        <f ca="1">IFERROR(__xludf.DUMMYFUNCTION("""COMPUTED_VALUE"""),44388)</f>
        <v>44388</v>
      </c>
      <c r="S7" s="157"/>
      <c r="T7" s="120"/>
      <c r="U7" s="158">
        <f ca="1">IFERROR(__xludf.DUMMYFUNCTION("""COMPUTED_VALUE"""),44369)</f>
        <v>44369</v>
      </c>
      <c r="V7" s="157" t="str">
        <f ca="1">IFERROR(__xludf.DUMMYFUNCTION("""COMPUTED_VALUE""")," ")</f>
        <v xml:space="preserve"> </v>
      </c>
      <c r="W7" s="157" t="str">
        <f ca="1">IFERROR(__xludf.DUMMYFUNCTION("""COMPUTED_VALUE""")," ")</f>
        <v xml:space="preserve"> </v>
      </c>
      <c r="X7" s="159"/>
      <c r="Y7" s="157"/>
      <c r="Z7" s="120"/>
      <c r="AA7" s="167">
        <f ca="1">IFERROR(__xludf.DUMMYFUNCTION("""COMPUTED_VALUE"""),1)</f>
        <v>1</v>
      </c>
      <c r="AB7" s="168">
        <f ca="1">IFERROR(__xludf.DUMMYFUNCTION("""COMPUTED_VALUE"""),44369)</f>
        <v>44369</v>
      </c>
      <c r="AC7" s="161" t="str">
        <f ca="1">IFERROR(__xludf.DUMMYFUNCTION("""COMPUTED_VALUE"""),"")</f>
        <v/>
      </c>
      <c r="AD7" s="161" t="str">
        <f ca="1">IFERROR(__xludf.DUMMYFUNCTION("""COMPUTED_VALUE"""),"")</f>
        <v/>
      </c>
      <c r="AE7" s="161" t="str">
        <f ca="1">IFERROR(__xludf.DUMMYFUNCTION("""COMPUTED_VALUE"""),"")</f>
        <v/>
      </c>
      <c r="AF7" s="120"/>
      <c r="AG7" s="169">
        <f ca="1">IFERROR(__xludf.DUMMYFUNCTION("""COMPUTED_VALUE"""),44369)</f>
        <v>44369</v>
      </c>
      <c r="AH7" s="120"/>
    </row>
    <row r="8" spans="1:34" ht="15.75" customHeight="1">
      <c r="A8" s="140">
        <f ca="1">IFERROR(__xludf.DUMMYFUNCTION("""COMPUTED_VALUE"""),5)</f>
        <v>5</v>
      </c>
      <c r="B8" s="141" t="str">
        <f ca="1">IFERROR(__xludf.DUMMYFUNCTION("""COMPUTED_VALUE"""),"IG")</f>
        <v>IG</v>
      </c>
      <c r="C8" s="141" t="str">
        <f ca="1">IFERROR(__xludf.DUMMYFUNCTION("""COMPUTED_VALUE"""),"Intermediate Girls")</f>
        <v>Intermediate Girls</v>
      </c>
      <c r="D8" s="142"/>
      <c r="E8" s="143">
        <f ca="1">IFERROR(__xludf.DUMMYFUNCTION("""COMPUTED_VALUE"""),5)</f>
        <v>5</v>
      </c>
      <c r="F8" s="143"/>
      <c r="G8" s="144">
        <f ca="1">IFERROR(__xludf.DUMMYFUNCTION("""COMPUTED_VALUE"""),5)</f>
        <v>5</v>
      </c>
      <c r="H8" s="144" t="str">
        <f ca="1">IFERROR(__xludf.DUMMYFUNCTION("""COMPUTED_VALUE"""),"F")</f>
        <v>F</v>
      </c>
      <c r="I8" s="170"/>
      <c r="J8" s="170"/>
      <c r="K8" s="146">
        <f ca="1">IFERROR(__xludf.DUMMYFUNCTION("""COMPUTED_VALUE"""),44397)</f>
        <v>44397</v>
      </c>
      <c r="L8" s="147" t="str">
        <f ca="1">IFERROR(__xludf.DUMMYFUNCTION("""COMPUTED_VALUE"""),"06-Visiting Team Approved")</f>
        <v>06-Visiting Team Approved</v>
      </c>
      <c r="M8" s="170" t="str">
        <f ca="1">IFERROR(__xludf.DUMMYFUNCTION("""COMPUTED_VALUE"""),"IG")</f>
        <v>IG</v>
      </c>
      <c r="N8" s="170">
        <f ca="1">IFERROR(__xludf.DUMMYFUNCTION("""COMPUTED_VALUE"""),136)</f>
        <v>136</v>
      </c>
      <c r="O8" s="148" t="str">
        <f ca="1">IFERROR(__xludf.DUMMYFUNCTION("""COMPUTED_VALUE"""),"CoordDivURL")</f>
        <v>CoordDivURL</v>
      </c>
      <c r="P8" s="154" t="str">
        <f ca="1">IFERROR(__xludf.DUMMYFUNCTION("""COMPUTED_VALUE"""),"https://dive.mynvsl.com/contacts/division-coordinators")</f>
        <v>https://dive.mynvsl.com/contacts/division-coordinators</v>
      </c>
      <c r="Q8" s="149" t="str">
        <f ca="1">IFERROR(__xludf.DUMMYFUNCTION("""COMPUTED_VALUE"""),"Dual4")</f>
        <v>Dual4</v>
      </c>
      <c r="R8" s="150">
        <f ca="1">IFERROR(__xludf.DUMMYFUNCTION("""COMPUTED_VALUE"""),44390)</f>
        <v>44390</v>
      </c>
      <c r="S8" s="151"/>
      <c r="T8" s="120"/>
      <c r="U8" s="163" t="str">
        <f ca="1">IFERROR(__xludf.DUMMYFUNCTION("""COMPUTED_VALUE"""),"Overlee")</f>
        <v>Overlee</v>
      </c>
      <c r="V8" s="151" t="str">
        <f ca="1">IFERROR(__xludf.DUMMYFUNCTION("""COMPUTED_VALUE"""),"at")</f>
        <v>at</v>
      </c>
      <c r="W8" s="151" t="str">
        <f ca="1">IFERROR(__xludf.DUMMYFUNCTION("""COMPUTED_VALUE"""),"Vienna Woods")</f>
        <v>Vienna Woods</v>
      </c>
      <c r="X8" s="164"/>
      <c r="Y8" s="151"/>
      <c r="Z8" s="120"/>
      <c r="AA8" s="165">
        <f ca="1">IFERROR(__xludf.DUMMYFUNCTION("""COMPUTED_VALUE"""),11)</f>
        <v>11</v>
      </c>
      <c r="AB8" s="171">
        <f ca="1">IFERROR(__xludf.DUMMYFUNCTION("""COMPUTED_VALUE"""),44369)</f>
        <v>44369</v>
      </c>
      <c r="AC8" s="166" t="str">
        <f ca="1">IFERROR(__xludf.DUMMYFUNCTION("""COMPUTED_VALUE"""),"20210622-11")</f>
        <v>20210622-11</v>
      </c>
      <c r="AD8" s="166" t="str">
        <f ca="1">IFERROR(__xludf.DUMMYFUNCTION("""COMPUTED_VALUE"""),"VW-Vienna Woods")</f>
        <v>VW-Vienna Woods</v>
      </c>
      <c r="AE8" s="166" t="str">
        <f ca="1">IFERROR(__xludf.DUMMYFUNCTION("""COMPUTED_VALUE"""),"O-Overlee")</f>
        <v>O-Overlee</v>
      </c>
      <c r="AF8" s="120"/>
      <c r="AG8" s="172">
        <f ca="1">IFERROR(__xludf.DUMMYFUNCTION("""COMPUTED_VALUE"""),44376)</f>
        <v>44376</v>
      </c>
      <c r="AH8" s="120"/>
    </row>
    <row r="9" spans="1:34" ht="15.75" customHeight="1">
      <c r="A9" s="140">
        <f ca="1">IFERROR(__xludf.DUMMYFUNCTION("""COMPUTED_VALUE"""),6)</f>
        <v>6</v>
      </c>
      <c r="B9" s="141" t="str">
        <f ca="1">IFERROR(__xludf.DUMMYFUNCTION("""COMPUTED_VALUE"""),"IB")</f>
        <v>IB</v>
      </c>
      <c r="C9" s="141" t="str">
        <f ca="1">IFERROR(__xludf.DUMMYFUNCTION("""COMPUTED_VALUE"""),"Intermediate Boys")</f>
        <v>Intermediate Boys</v>
      </c>
      <c r="D9" s="142"/>
      <c r="E9" s="143">
        <f ca="1">IFERROR(__xludf.DUMMYFUNCTION("""COMPUTED_VALUE"""),6)</f>
        <v>6</v>
      </c>
      <c r="F9" s="143"/>
      <c r="G9" s="144">
        <f ca="1">IFERROR(__xludf.DUMMYFUNCTION("""COMPUTED_VALUE"""),6)</f>
        <v>6</v>
      </c>
      <c r="H9" s="144" t="str">
        <f ca="1">IFERROR(__xludf.DUMMYFUNCTION("""COMPUTED_VALUE"""),"F")</f>
        <v>F</v>
      </c>
      <c r="I9" s="170"/>
      <c r="J9" s="170"/>
      <c r="K9" s="147"/>
      <c r="L9" s="147" t="str">
        <f ca="1">IFERROR(__xludf.DUMMYFUNCTION("""COMPUTED_VALUE"""),"08-Div Coord Approved")</f>
        <v>08-Div Coord Approved</v>
      </c>
      <c r="M9" s="170" t="str">
        <f ca="1">IFERROR(__xludf.DUMMYFUNCTION("""COMPUTED_VALUE"""),"IB")</f>
        <v>IB</v>
      </c>
      <c r="N9" s="170">
        <f ca="1">IFERROR(__xludf.DUMMYFUNCTION("""COMPUTED_VALUE"""),129)</f>
        <v>129</v>
      </c>
      <c r="O9" s="148"/>
      <c r="P9" s="148"/>
      <c r="Q9" s="155" t="str">
        <f ca="1">IFERROR(__xludf.DUMMYFUNCTION("""COMPUTED_VALUE"""),"CJ")</f>
        <v>CJ</v>
      </c>
      <c r="R9" s="156">
        <f ca="1">IFERROR(__xludf.DUMMYFUNCTION("""COMPUTED_VALUE"""),44395)</f>
        <v>44395</v>
      </c>
      <c r="S9" s="157"/>
      <c r="T9" s="120"/>
      <c r="U9" s="158" t="str">
        <f ca="1">IFERROR(__xludf.DUMMYFUNCTION("""COMPUTED_VALUE"""),"Old Keene Mill")</f>
        <v>Old Keene Mill</v>
      </c>
      <c r="V9" s="157" t="str">
        <f ca="1">IFERROR(__xludf.DUMMYFUNCTION("""COMPUTED_VALUE"""),"at")</f>
        <v>at</v>
      </c>
      <c r="W9" s="157" t="str">
        <f ca="1">IFERROR(__xludf.DUMMYFUNCTION("""COMPUTED_VALUE"""),"Truro")</f>
        <v>Truro</v>
      </c>
      <c r="X9" s="159"/>
      <c r="Y9" s="157"/>
      <c r="Z9" s="120"/>
      <c r="AA9" s="167">
        <f ca="1">IFERROR(__xludf.DUMMYFUNCTION("""COMPUTED_VALUE"""),12)</f>
        <v>12</v>
      </c>
      <c r="AB9" s="168">
        <f ca="1">IFERROR(__xludf.DUMMYFUNCTION("""COMPUTED_VALUE"""),44369)</f>
        <v>44369</v>
      </c>
      <c r="AC9" s="161" t="str">
        <f ca="1">IFERROR(__xludf.DUMMYFUNCTION("""COMPUTED_VALUE"""),"20210622-12")</f>
        <v>20210622-12</v>
      </c>
      <c r="AD9" s="161" t="str">
        <f ca="1">IFERROR(__xludf.DUMMYFUNCTION("""COMPUTED_VALUE"""),"THA-Truro Homes Assn")</f>
        <v>THA-Truro Homes Assn</v>
      </c>
      <c r="AE9" s="161" t="str">
        <f ca="1">IFERROR(__xludf.DUMMYFUNCTION("""COMPUTED_VALUE"""),"OKM-Old Keene Mill")</f>
        <v>OKM-Old Keene Mill</v>
      </c>
      <c r="AF9" s="120"/>
      <c r="AG9" s="169">
        <f ca="1">IFERROR(__xludf.DUMMYFUNCTION("""COMPUTED_VALUE"""),44383)</f>
        <v>44383</v>
      </c>
      <c r="AH9" s="120"/>
    </row>
    <row r="10" spans="1:34" ht="15.75" customHeight="1">
      <c r="A10" s="140">
        <f ca="1">IFERROR(__xludf.DUMMYFUNCTION("""COMPUTED_VALUE"""),7)</f>
        <v>7</v>
      </c>
      <c r="B10" s="141" t="str">
        <f ca="1">IFERROR(__xludf.DUMMYFUNCTION("""COMPUTED_VALUE"""),"SG")</f>
        <v>SG</v>
      </c>
      <c r="C10" s="141" t="str">
        <f ca="1">IFERROR(__xludf.DUMMYFUNCTION("""COMPUTED_VALUE"""),"Senior Girls")</f>
        <v>Senior Girls</v>
      </c>
      <c r="D10" s="142"/>
      <c r="E10" s="143">
        <f ca="1">IFERROR(__xludf.DUMMYFUNCTION("""COMPUTED_VALUE"""),7)</f>
        <v>7</v>
      </c>
      <c r="F10" s="143"/>
      <c r="G10" s="144">
        <f ca="1">IFERROR(__xludf.DUMMYFUNCTION("""COMPUTED_VALUE"""),7)</f>
        <v>7</v>
      </c>
      <c r="H10" s="144" t="str">
        <f ca="1">IFERROR(__xludf.DUMMYFUNCTION("""COMPUTED_VALUE"""),"F")</f>
        <v>F</v>
      </c>
      <c r="I10" s="170"/>
      <c r="J10" s="170"/>
      <c r="K10" s="147"/>
      <c r="L10" s="147" t="str">
        <f ca="1">IFERROR(__xludf.DUMMYFUNCTION("""COMPUTED_VALUE"""),"10-Finalized")</f>
        <v>10-Finalized</v>
      </c>
      <c r="M10" s="170" t="str">
        <f ca="1">IFERROR(__xludf.DUMMYFUNCTION("""COMPUTED_VALUE"""),"SG")</f>
        <v>SG</v>
      </c>
      <c r="N10" s="170">
        <f ca="1">IFERROR(__xludf.DUMMYFUNCTION("""COMPUTED_VALUE"""),155)</f>
        <v>155</v>
      </c>
      <c r="O10" s="148"/>
      <c r="P10" s="148"/>
      <c r="Q10" s="149" t="str">
        <f ca="1">IFERROR(__xludf.DUMMYFUNCTION("""COMPUTED_VALUE"""),"Dual5")</f>
        <v>Dual5</v>
      </c>
      <c r="R10" s="150">
        <f ca="1">IFERROR(__xludf.DUMMYFUNCTION("""COMPUTED_VALUE"""),44397)</f>
        <v>44397</v>
      </c>
      <c r="S10" s="151"/>
      <c r="T10" s="120"/>
      <c r="U10" s="163" t="str">
        <f ca="1">IFERROR(__xludf.DUMMYFUNCTION("""COMPUTED_VALUE"""),"Sideburn Run")</f>
        <v>Sideburn Run</v>
      </c>
      <c r="V10" s="151" t="str">
        <f ca="1">IFERROR(__xludf.DUMMYFUNCTION("""COMPUTED_VALUE"""),"at")</f>
        <v>at</v>
      </c>
      <c r="W10" s="151" t="str">
        <f ca="1">IFERROR(__xludf.DUMMYFUNCTION("""COMPUTED_VALUE"""),"Dunn Loring")</f>
        <v>Dunn Loring</v>
      </c>
      <c r="X10" s="164"/>
      <c r="Y10" s="151"/>
      <c r="Z10" s="120"/>
      <c r="AA10" s="165">
        <f ca="1">IFERROR(__xludf.DUMMYFUNCTION("""COMPUTED_VALUE"""),13)</f>
        <v>13</v>
      </c>
      <c r="AB10" s="171">
        <f ca="1">IFERROR(__xludf.DUMMYFUNCTION("""COMPUTED_VALUE"""),44369)</f>
        <v>44369</v>
      </c>
      <c r="AC10" s="166" t="str">
        <f ca="1">IFERROR(__xludf.DUMMYFUNCTION("""COMPUTED_VALUE"""),"20210622-13")</f>
        <v>20210622-13</v>
      </c>
      <c r="AD10" s="166" t="str">
        <f ca="1">IFERROR(__xludf.DUMMYFUNCTION("""COMPUTED_VALUE"""),"DL-Dunn Loring")</f>
        <v>DL-Dunn Loring</v>
      </c>
      <c r="AE10" s="166" t="str">
        <f ca="1">IFERROR(__xludf.DUMMYFUNCTION("""COMPUTED_VALUE"""),"SR-Sideburn Run")</f>
        <v>SR-Sideburn Run</v>
      </c>
      <c r="AF10" s="120"/>
      <c r="AG10" s="172">
        <f ca="1">IFERROR(__xludf.DUMMYFUNCTION("""COMPUTED_VALUE"""),44390)</f>
        <v>44390</v>
      </c>
      <c r="AH10" s="120"/>
    </row>
    <row r="11" spans="1:34" ht="15.75" customHeight="1">
      <c r="A11" s="140">
        <f ca="1">IFERROR(__xludf.DUMMYFUNCTION("""COMPUTED_VALUE"""),8)</f>
        <v>8</v>
      </c>
      <c r="B11" s="141" t="str">
        <f ca="1">IFERROR(__xludf.DUMMYFUNCTION("""COMPUTED_VALUE"""),"SB")</f>
        <v>SB</v>
      </c>
      <c r="C11" s="141" t="str">
        <f ca="1">IFERROR(__xludf.DUMMYFUNCTION("""COMPUTED_VALUE"""),"Senior Boys")</f>
        <v>Senior Boys</v>
      </c>
      <c r="D11" s="142"/>
      <c r="E11" s="143">
        <f ca="1">IFERROR(__xludf.DUMMYFUNCTION("""COMPUTED_VALUE"""),8)</f>
        <v>8</v>
      </c>
      <c r="F11" s="143"/>
      <c r="G11" s="144">
        <f ca="1">IFERROR(__xludf.DUMMYFUNCTION("""COMPUTED_VALUE"""),8)</f>
        <v>8</v>
      </c>
      <c r="H11" s="144" t="str">
        <f ca="1">IFERROR(__xludf.DUMMYFUNCTION("""COMPUTED_VALUE"""),"F")</f>
        <v>F</v>
      </c>
      <c r="I11" s="170"/>
      <c r="J11" s="170"/>
      <c r="K11" s="147"/>
      <c r="L11" s="147"/>
      <c r="M11" s="170" t="str">
        <f ca="1">IFERROR(__xludf.DUMMYFUNCTION("""COMPUTED_VALUE"""),"SB")</f>
        <v>SB</v>
      </c>
      <c r="N11" s="170">
        <f ca="1">IFERROR(__xludf.DUMMYFUNCTION("""COMPUTED_VALUE"""),155)</f>
        <v>155</v>
      </c>
      <c r="O11" s="148"/>
      <c r="P11" s="148"/>
      <c r="Q11" s="155" t="str">
        <f ca="1">IFERROR(__xludf.DUMMYFUNCTION("""COMPUTED_VALUE"""),"Divisionals")</f>
        <v>Divisionals</v>
      </c>
      <c r="R11" s="156">
        <f ca="1">IFERROR(__xludf.DUMMYFUNCTION("""COMPUTED_VALUE"""),44402)</f>
        <v>44402</v>
      </c>
      <c r="S11" s="157"/>
      <c r="T11" s="120"/>
      <c r="U11" s="158" t="str">
        <f ca="1">IFERROR(__xludf.DUMMYFUNCTION("""COMPUTED_VALUE"""),"Division II")</f>
        <v>Division II</v>
      </c>
      <c r="V11" s="157"/>
      <c r="W11" s="157"/>
      <c r="X11" s="159"/>
      <c r="Y11" s="157"/>
      <c r="Z11" s="120"/>
      <c r="AA11" s="167">
        <f ca="1">IFERROR(__xludf.DUMMYFUNCTION("""COMPUTED_VALUE"""),2)</f>
        <v>2</v>
      </c>
      <c r="AB11" s="168">
        <f ca="1">IFERROR(__xludf.DUMMYFUNCTION("""COMPUTED_VALUE"""),44369)</f>
        <v>44369</v>
      </c>
      <c r="AC11" s="161" t="str">
        <f ca="1">IFERROR(__xludf.DUMMYFUNCTION("""COMPUTED_VALUE"""),"")</f>
        <v/>
      </c>
      <c r="AD11" s="161" t="str">
        <f ca="1">IFERROR(__xludf.DUMMYFUNCTION("""COMPUTED_VALUE"""),"")</f>
        <v/>
      </c>
      <c r="AE11" s="161" t="str">
        <f ca="1">IFERROR(__xludf.DUMMYFUNCTION("""COMPUTED_VALUE"""),"")</f>
        <v/>
      </c>
      <c r="AF11" s="120"/>
      <c r="AG11" s="169">
        <f ca="1">IFERROR(__xludf.DUMMYFUNCTION("""COMPUTED_VALUE"""),44397)</f>
        <v>44397</v>
      </c>
      <c r="AH11" s="120"/>
    </row>
    <row r="12" spans="1:34" ht="15.75" customHeight="1">
      <c r="A12" s="173"/>
      <c r="B12" s="142"/>
      <c r="C12" s="142"/>
      <c r="D12" s="142"/>
      <c r="E12" s="143">
        <f ca="1">IFERROR(__xludf.DUMMYFUNCTION("""COMPUTED_VALUE"""),9)</f>
        <v>9</v>
      </c>
      <c r="F12" s="143"/>
      <c r="G12" s="144">
        <f ca="1">IFERROR(__xludf.DUMMYFUNCTION("""COMPUTED_VALUE"""),9)</f>
        <v>9</v>
      </c>
      <c r="H12" s="144" t="str">
        <f ca="1">IFERROR(__xludf.DUMMYFUNCTION("""COMPUTED_VALUE"""),"F")</f>
        <v>F</v>
      </c>
      <c r="I12" s="170"/>
      <c r="J12" s="170"/>
      <c r="K12" s="147"/>
      <c r="L12" s="147"/>
      <c r="M12" s="170"/>
      <c r="N12" s="170"/>
      <c r="O12" s="148"/>
      <c r="P12" s="148"/>
      <c r="Q12" s="151" t="str">
        <f ca="1">IFERROR(__xludf.DUMMYFUNCTION("""COMPUTED_VALUE"""),"AllStars")</f>
        <v>AllStars</v>
      </c>
      <c r="R12" s="150">
        <f ca="1">IFERROR(__xludf.DUMMYFUNCTION("""COMPUTED_VALUE"""),44409)</f>
        <v>44409</v>
      </c>
      <c r="S12" s="151"/>
      <c r="T12" s="120"/>
      <c r="U12" s="163" t="str">
        <f ca="1">IFERROR(__xludf.DUMMYFUNCTION("""COMPUTED_VALUE"""),"Fairfax")</f>
        <v>Fairfax</v>
      </c>
      <c r="V12" s="151" t="str">
        <f ca="1">IFERROR(__xludf.DUMMYFUNCTION("""COMPUTED_VALUE"""),"at")</f>
        <v>at</v>
      </c>
      <c r="W12" s="151" t="str">
        <f ca="1">IFERROR(__xludf.DUMMYFUNCTION("""COMPUTED_VALUE"""),"Walden Glen")</f>
        <v>Walden Glen</v>
      </c>
      <c r="X12" s="164"/>
      <c r="Y12" s="151"/>
      <c r="Z12" s="120"/>
      <c r="AA12" s="165">
        <f ca="1">IFERROR(__xludf.DUMMYFUNCTION("""COMPUTED_VALUE"""),21)</f>
        <v>21</v>
      </c>
      <c r="AB12" s="171">
        <f ca="1">IFERROR(__xludf.DUMMYFUNCTION("""COMPUTED_VALUE"""),44369)</f>
        <v>44369</v>
      </c>
      <c r="AC12" s="166" t="str">
        <f ca="1">IFERROR(__xludf.DUMMYFUNCTION("""COMPUTED_VALUE"""),"20210622-21")</f>
        <v>20210622-21</v>
      </c>
      <c r="AD12" s="166" t="str">
        <f ca="1">IFERROR(__xludf.DUMMYFUNCTION("""COMPUTED_VALUE"""),"WG-Walden Glen")</f>
        <v>WG-Walden Glen</v>
      </c>
      <c r="AE12" s="166" t="str">
        <f ca="1">IFERROR(__xludf.DUMMYFUNCTION("""COMPUTED_VALUE"""),"F-Fairfax")</f>
        <v>F-Fairfax</v>
      </c>
      <c r="AF12" s="120"/>
      <c r="AG12" s="153"/>
      <c r="AH12" s="120"/>
    </row>
    <row r="13" spans="1:34" ht="15.75" customHeight="1">
      <c r="A13" s="173"/>
      <c r="B13" s="142"/>
      <c r="C13" s="142"/>
      <c r="D13" s="142"/>
      <c r="E13" s="143">
        <f ca="1">IFERROR(__xludf.DUMMYFUNCTION("""COMPUTED_VALUE"""),10)</f>
        <v>10</v>
      </c>
      <c r="F13" s="143"/>
      <c r="G13" s="144">
        <f ca="1">IFERROR(__xludf.DUMMYFUNCTION("""COMPUTED_VALUE"""),10)</f>
        <v>10</v>
      </c>
      <c r="H13" s="144" t="str">
        <f ca="1">IFERROR(__xludf.DUMMYFUNCTION("""COMPUTED_VALUE"""),"F")</f>
        <v>F</v>
      </c>
      <c r="I13" s="170"/>
      <c r="J13" s="170"/>
      <c r="K13" s="147"/>
      <c r="L13" s="147"/>
      <c r="M13" s="170"/>
      <c r="N13" s="170"/>
      <c r="O13" s="148"/>
      <c r="P13" s="148"/>
      <c r="Q13" s="157"/>
      <c r="R13" s="157"/>
      <c r="S13" s="157"/>
      <c r="T13" s="120"/>
      <c r="U13" s="158" t="str">
        <f ca="1">IFERROR(__xludf.DUMMYFUNCTION("""COMPUTED_VALUE"""),"Oakton")</f>
        <v>Oakton</v>
      </c>
      <c r="V13" s="157" t="str">
        <f ca="1">IFERROR(__xludf.DUMMYFUNCTION("""COMPUTED_VALUE"""),"at")</f>
        <v>at</v>
      </c>
      <c r="W13" s="157" t="str">
        <f ca="1">IFERROR(__xludf.DUMMYFUNCTION("""COMPUTED_VALUE"""),"Great Falls")</f>
        <v>Great Falls</v>
      </c>
      <c r="X13" s="159"/>
      <c r="Y13" s="157"/>
      <c r="Z13" s="120"/>
      <c r="AA13" s="167">
        <f ca="1">IFERROR(__xludf.DUMMYFUNCTION("""COMPUTED_VALUE"""),22)</f>
        <v>22</v>
      </c>
      <c r="AB13" s="168">
        <f ca="1">IFERROR(__xludf.DUMMYFUNCTION("""COMPUTED_VALUE"""),44369)</f>
        <v>44369</v>
      </c>
      <c r="AC13" s="161" t="str">
        <f ca="1">IFERROR(__xludf.DUMMYFUNCTION("""COMPUTED_VALUE"""),"20210622-22")</f>
        <v>20210622-22</v>
      </c>
      <c r="AD13" s="161" t="str">
        <f ca="1">IFERROR(__xludf.DUMMYFUNCTION("""COMPUTED_VALUE"""),"GF-Great Falls")</f>
        <v>GF-Great Falls</v>
      </c>
      <c r="AE13" s="161" t="str">
        <f ca="1">IFERROR(__xludf.DUMMYFUNCTION("""COMPUTED_VALUE"""),"OAK-Oakton")</f>
        <v>OAK-Oakton</v>
      </c>
      <c r="AF13" s="120"/>
      <c r="AG13" s="162"/>
      <c r="AH13" s="120"/>
    </row>
    <row r="14" spans="1:34" ht="15.75" customHeight="1">
      <c r="A14" s="173"/>
      <c r="B14" s="142"/>
      <c r="C14" s="142"/>
      <c r="D14" s="142"/>
      <c r="E14" s="143">
        <f ca="1">IFERROR(__xludf.DUMMYFUNCTION("""COMPUTED_VALUE"""),11)</f>
        <v>11</v>
      </c>
      <c r="F14" s="174"/>
      <c r="G14" s="144">
        <f ca="1">IFERROR(__xludf.DUMMYFUNCTION("""COMPUTED_VALUE"""),11)</f>
        <v>11</v>
      </c>
      <c r="H14" s="144" t="str">
        <f ca="1">IFERROR(__xludf.DUMMYFUNCTION("""COMPUTED_VALUE"""),"J")</f>
        <v>J</v>
      </c>
      <c r="I14" s="170"/>
      <c r="J14" s="170"/>
      <c r="K14" s="147"/>
      <c r="L14" s="147"/>
      <c r="M14" s="170"/>
      <c r="N14" s="170"/>
      <c r="O14" s="148"/>
      <c r="P14" s="148"/>
      <c r="Q14" s="151"/>
      <c r="R14" s="151"/>
      <c r="S14" s="151"/>
      <c r="T14" s="120"/>
      <c r="U14" s="163" t="str">
        <f ca="1">IFERROR(__xludf.DUMMYFUNCTION("""COMPUTED_VALUE"""),"Mansion House")</f>
        <v>Mansion House</v>
      </c>
      <c r="V14" s="151" t="str">
        <f ca="1">IFERROR(__xludf.DUMMYFUNCTION("""COMPUTED_VALUE"""),"at")</f>
        <v>at</v>
      </c>
      <c r="W14" s="151" t="str">
        <f ca="1">IFERROR(__xludf.DUMMYFUNCTION("""COMPUTED_VALUE"""),"Kent Gardens")</f>
        <v>Kent Gardens</v>
      </c>
      <c r="X14" s="164"/>
      <c r="Y14" s="151"/>
      <c r="Z14" s="120"/>
      <c r="AA14" s="165">
        <f ca="1">IFERROR(__xludf.DUMMYFUNCTION("""COMPUTED_VALUE"""),23)</f>
        <v>23</v>
      </c>
      <c r="AB14" s="171">
        <f ca="1">IFERROR(__xludf.DUMMYFUNCTION("""COMPUTED_VALUE"""),44369)</f>
        <v>44369</v>
      </c>
      <c r="AC14" s="166" t="str">
        <f ca="1">IFERROR(__xludf.DUMMYFUNCTION("""COMPUTED_VALUE"""),"20210622-23")</f>
        <v>20210622-23</v>
      </c>
      <c r="AD14" s="166" t="str">
        <f ca="1">IFERROR(__xludf.DUMMYFUNCTION("""COMPUTED_VALUE"""),"KG-Kent Gardens")</f>
        <v>KG-Kent Gardens</v>
      </c>
      <c r="AE14" s="166" t="str">
        <f ca="1">IFERROR(__xludf.DUMMYFUNCTION("""COMPUTED_VALUE"""),"MHC-Mansion House")</f>
        <v>MHC-Mansion House</v>
      </c>
      <c r="AF14" s="120"/>
      <c r="AG14" s="153"/>
      <c r="AH14" s="120"/>
    </row>
    <row r="15" spans="1:34" ht="15.75" customHeight="1">
      <c r="A15" s="173"/>
      <c r="B15" s="142"/>
      <c r="C15" s="142"/>
      <c r="D15" s="142"/>
      <c r="E15" s="143">
        <f ca="1">IFERROR(__xludf.DUMMYFUNCTION("""COMPUTED_VALUE"""),12)</f>
        <v>12</v>
      </c>
      <c r="F15" s="174"/>
      <c r="G15" s="144">
        <f ca="1">IFERROR(__xludf.DUMMYFUNCTION("""COMPUTED_VALUE"""),12)</f>
        <v>12</v>
      </c>
      <c r="H15" s="144" t="str">
        <f ca="1">IFERROR(__xludf.DUMMYFUNCTION("""COMPUTED_VALUE"""),"J")</f>
        <v>J</v>
      </c>
      <c r="I15" s="170"/>
      <c r="J15" s="170"/>
      <c r="K15" s="147"/>
      <c r="L15" s="147"/>
      <c r="M15" s="170"/>
      <c r="N15" s="170"/>
      <c r="O15" s="133"/>
      <c r="P15" s="133"/>
      <c r="Q15" s="157" t="str">
        <f ca="1">IFERROR(__xludf.DUMMYFUNCTION("""COMPUTED_VALUE"""),"Attendance")</f>
        <v>Attendance</v>
      </c>
      <c r="R15" s="157"/>
      <c r="S15" s="157"/>
      <c r="T15" s="120"/>
      <c r="U15" s="158" t="str">
        <f ca="1">IFERROR(__xludf.DUMMYFUNCTION("""COMPUTED_VALUE"""),"Division III")</f>
        <v>Division III</v>
      </c>
      <c r="V15" s="157"/>
      <c r="W15" s="157"/>
      <c r="X15" s="159"/>
      <c r="Y15" s="157"/>
      <c r="Z15" s="120"/>
      <c r="AA15" s="167">
        <f ca="1">IFERROR(__xludf.DUMMYFUNCTION("""COMPUTED_VALUE"""),3)</f>
        <v>3</v>
      </c>
      <c r="AB15" s="168">
        <f ca="1">IFERROR(__xludf.DUMMYFUNCTION("""COMPUTED_VALUE"""),44369)</f>
        <v>44369</v>
      </c>
      <c r="AC15" s="161" t="str">
        <f ca="1">IFERROR(__xludf.DUMMYFUNCTION("""COMPUTED_VALUE"""),"")</f>
        <v/>
      </c>
      <c r="AD15" s="161" t="str">
        <f ca="1">IFERROR(__xludf.DUMMYFUNCTION("""COMPUTED_VALUE"""),"")</f>
        <v/>
      </c>
      <c r="AE15" s="161" t="str">
        <f ca="1">IFERROR(__xludf.DUMMYFUNCTION("""COMPUTED_VALUE"""),"")</f>
        <v/>
      </c>
      <c r="AF15" s="120"/>
      <c r="AG15" s="162"/>
      <c r="AH15" s="120"/>
    </row>
    <row r="16" spans="1:34" ht="15.75" customHeight="1">
      <c r="A16" s="173"/>
      <c r="B16" s="142"/>
      <c r="C16" s="142"/>
      <c r="D16" s="142"/>
      <c r="E16" s="143">
        <f ca="1">IFERROR(__xludf.DUMMYFUNCTION("""COMPUTED_VALUE"""),13)</f>
        <v>13</v>
      </c>
      <c r="F16" s="174"/>
      <c r="G16" s="144">
        <f ca="1">IFERROR(__xludf.DUMMYFUNCTION("""COMPUTED_VALUE"""),13)</f>
        <v>13</v>
      </c>
      <c r="H16" s="144" t="str">
        <f ca="1">IFERROR(__xludf.DUMMYFUNCTION("""COMPUTED_VALUE"""),"I")</f>
        <v>I</v>
      </c>
      <c r="I16" s="170"/>
      <c r="J16" s="170"/>
      <c r="K16" s="147"/>
      <c r="L16" s="147"/>
      <c r="M16" s="170"/>
      <c r="N16" s="170"/>
      <c r="O16" s="133"/>
      <c r="P16" s="133"/>
      <c r="Q16" s="151" t="str">
        <f ca="1">IFERROR(__xludf.DUMMYFUNCTION("""COMPUTED_VALUE"""),"Instructions")</f>
        <v>Instructions</v>
      </c>
      <c r="R16" s="151"/>
      <c r="S16" s="151"/>
      <c r="T16" s="120"/>
      <c r="U16" s="163" t="str">
        <f ca="1">IFERROR(__xludf.DUMMYFUNCTION("""COMPUTED_VALUE"""),"Sleepy Hollow Rec")</f>
        <v>Sleepy Hollow Rec</v>
      </c>
      <c r="V16" s="151" t="str">
        <f ca="1">IFERROR(__xludf.DUMMYFUNCTION("""COMPUTED_VALUE"""),"at")</f>
        <v>at</v>
      </c>
      <c r="W16" s="151" t="str">
        <f ca="1">IFERROR(__xludf.DUMMYFUNCTION("""COMPUTED_VALUE"""),"Arlington Forest")</f>
        <v>Arlington Forest</v>
      </c>
      <c r="X16" s="164"/>
      <c r="Y16" s="151"/>
      <c r="Z16" s="120"/>
      <c r="AA16" s="165">
        <f ca="1">IFERROR(__xludf.DUMMYFUNCTION("""COMPUTED_VALUE"""),31)</f>
        <v>31</v>
      </c>
      <c r="AB16" s="171">
        <f ca="1">IFERROR(__xludf.DUMMYFUNCTION("""COMPUTED_VALUE"""),44369)</f>
        <v>44369</v>
      </c>
      <c r="AC16" s="166" t="str">
        <f ca="1">IFERROR(__xludf.DUMMYFUNCTION("""COMPUTED_VALUE"""),"20210622-31")</f>
        <v>20210622-31</v>
      </c>
      <c r="AD16" s="166" t="str">
        <f ca="1">IFERROR(__xludf.DUMMYFUNCTION("""COMPUTED_VALUE"""),"AF-Arlington Forest")</f>
        <v>AF-Arlington Forest</v>
      </c>
      <c r="AE16" s="166" t="str">
        <f ca="1">IFERROR(__xludf.DUMMYFUNCTION("""COMPUTED_VALUE"""),"SHR-Sleepy Hollow Rec")</f>
        <v>SHR-Sleepy Hollow Rec</v>
      </c>
      <c r="AF16" s="120"/>
      <c r="AG16" s="153"/>
      <c r="AH16" s="120"/>
    </row>
    <row r="17" spans="1:34" ht="15.75" customHeight="1">
      <c r="A17" s="173"/>
      <c r="B17" s="142"/>
      <c r="C17" s="142"/>
      <c r="D17" s="142"/>
      <c r="E17" s="143">
        <f ca="1">IFERROR(__xludf.DUMMYFUNCTION("""COMPUTED_VALUE"""),14)</f>
        <v>14</v>
      </c>
      <c r="F17" s="174"/>
      <c r="G17" s="144">
        <f ca="1">IFERROR(__xludf.DUMMYFUNCTION("""COMPUTED_VALUE"""),14)</f>
        <v>14</v>
      </c>
      <c r="H17" s="144" t="str">
        <f ca="1">IFERROR(__xludf.DUMMYFUNCTION("""COMPUTED_VALUE"""),"I")</f>
        <v>I</v>
      </c>
      <c r="I17" s="170"/>
      <c r="J17" s="170"/>
      <c r="K17" s="147"/>
      <c r="L17" s="147"/>
      <c r="M17" s="170"/>
      <c r="N17" s="170"/>
      <c r="O17" s="133"/>
      <c r="P17" s="133"/>
      <c r="Q17" s="157" t="str">
        <f ca="1">IFERROR(__xludf.DUMMYFUNCTION("""COMPUTED_VALUE"""),"DiverDB")</f>
        <v>DiverDB</v>
      </c>
      <c r="R17" s="157"/>
      <c r="S17" s="157"/>
      <c r="T17" s="120"/>
      <c r="U17" s="158" t="str">
        <f ca="1">IFERROR(__xludf.DUMMYFUNCTION("""COMPUTED_VALUE"""),"Lee Graham")</f>
        <v>Lee Graham</v>
      </c>
      <c r="V17" s="157" t="str">
        <f ca="1">IFERROR(__xludf.DUMMYFUNCTION("""COMPUTED_VALUE"""),"at")</f>
        <v>at</v>
      </c>
      <c r="W17" s="157" t="str">
        <f ca="1">IFERROR(__xludf.DUMMYFUNCTION("""COMPUTED_VALUE"""),"Donaldson Run")</f>
        <v>Donaldson Run</v>
      </c>
      <c r="X17" s="159"/>
      <c r="Y17" s="157"/>
      <c r="Z17" s="120"/>
      <c r="AA17" s="167">
        <f ca="1">IFERROR(__xludf.DUMMYFUNCTION("""COMPUTED_VALUE"""),32)</f>
        <v>32</v>
      </c>
      <c r="AB17" s="168">
        <f ca="1">IFERROR(__xludf.DUMMYFUNCTION("""COMPUTED_VALUE"""),44369)</f>
        <v>44369</v>
      </c>
      <c r="AC17" s="161" t="str">
        <f ca="1">IFERROR(__xludf.DUMMYFUNCTION("""COMPUTED_VALUE"""),"20210622-32")</f>
        <v>20210622-32</v>
      </c>
      <c r="AD17" s="161" t="str">
        <f ca="1">IFERROR(__xludf.DUMMYFUNCTION("""COMPUTED_VALUE"""),"DR-Donaldson Run")</f>
        <v>DR-Donaldson Run</v>
      </c>
      <c r="AE17" s="161" t="str">
        <f ca="1">IFERROR(__xludf.DUMMYFUNCTION("""COMPUTED_VALUE"""),"LG-Lee Graham")</f>
        <v>LG-Lee Graham</v>
      </c>
      <c r="AF17" s="120"/>
      <c r="AG17" s="162"/>
      <c r="AH17" s="120"/>
    </row>
    <row r="18" spans="1:34" ht="15.75" customHeight="1">
      <c r="A18" s="173"/>
      <c r="B18" s="142"/>
      <c r="C18" s="142"/>
      <c r="D18" s="142"/>
      <c r="E18" s="143">
        <f ca="1">IFERROR(__xludf.DUMMYFUNCTION("""COMPUTED_VALUE"""),15)</f>
        <v>15</v>
      </c>
      <c r="F18" s="174"/>
      <c r="G18" s="144">
        <f ca="1">IFERROR(__xludf.DUMMYFUNCTION("""COMPUTED_VALUE"""),15)</f>
        <v>15</v>
      </c>
      <c r="H18" s="144" t="str">
        <f ca="1">IFERROR(__xludf.DUMMYFUNCTION("""COMPUTED_VALUE"""),"S")</f>
        <v>S</v>
      </c>
      <c r="I18" s="170"/>
      <c r="J18" s="170"/>
      <c r="K18" s="147"/>
      <c r="L18" s="147"/>
      <c r="M18" s="170"/>
      <c r="N18" s="170"/>
      <c r="O18" s="133"/>
      <c r="P18" s="133"/>
      <c r="Q18" s="151"/>
      <c r="R18" s="151"/>
      <c r="S18" s="151"/>
      <c r="T18" s="120"/>
      <c r="U18" s="163" t="str">
        <f ca="1">IFERROR(__xludf.DUMMYFUNCTION("""COMPUTED_VALUE"""),"Hunt Valley")</f>
        <v>Hunt Valley</v>
      </c>
      <c r="V18" s="151" t="str">
        <f ca="1">IFERROR(__xludf.DUMMYFUNCTION("""COMPUTED_VALUE"""),"at")</f>
        <v>at</v>
      </c>
      <c r="W18" s="151" t="str">
        <f ca="1">IFERROR(__xludf.DUMMYFUNCTION("""COMPUTED_VALUE"""),"Pinecrest")</f>
        <v>Pinecrest</v>
      </c>
      <c r="X18" s="164"/>
      <c r="Y18" s="151"/>
      <c r="Z18" s="120"/>
      <c r="AA18" s="165">
        <f ca="1">IFERROR(__xludf.DUMMYFUNCTION("""COMPUTED_VALUE"""),33)</f>
        <v>33</v>
      </c>
      <c r="AB18" s="171">
        <f ca="1">IFERROR(__xludf.DUMMYFUNCTION("""COMPUTED_VALUE"""),44369)</f>
        <v>44369</v>
      </c>
      <c r="AC18" s="166" t="str">
        <f ca="1">IFERROR(__xludf.DUMMYFUNCTION("""COMPUTED_VALUE"""),"20210622-33")</f>
        <v>20210622-33</v>
      </c>
      <c r="AD18" s="166" t="str">
        <f ca="1">IFERROR(__xludf.DUMMYFUNCTION("""COMPUTED_VALUE"""),"PC-Pinecrest")</f>
        <v>PC-Pinecrest</v>
      </c>
      <c r="AE18" s="166" t="str">
        <f ca="1">IFERROR(__xludf.DUMMYFUNCTION("""COMPUTED_VALUE"""),"HV-Hunt Valley")</f>
        <v>HV-Hunt Valley</v>
      </c>
      <c r="AF18" s="120"/>
      <c r="AG18" s="153"/>
      <c r="AH18" s="120"/>
    </row>
    <row r="19" spans="1:34" ht="15.75" customHeight="1">
      <c r="A19" s="173"/>
      <c r="B19" s="142"/>
      <c r="C19" s="142"/>
      <c r="D19" s="142"/>
      <c r="E19" s="143">
        <f ca="1">IFERROR(__xludf.DUMMYFUNCTION("""COMPUTED_VALUE"""),16)</f>
        <v>16</v>
      </c>
      <c r="F19" s="174"/>
      <c r="G19" s="144">
        <f ca="1">IFERROR(__xludf.DUMMYFUNCTION("""COMPUTED_VALUE"""),16)</f>
        <v>16</v>
      </c>
      <c r="H19" s="144" t="str">
        <f ca="1">IFERROR(__xludf.DUMMYFUNCTION("""COMPUTED_VALUE"""),"S")</f>
        <v>S</v>
      </c>
      <c r="I19" s="170"/>
      <c r="J19" s="170"/>
      <c r="K19" s="147"/>
      <c r="L19" s="147"/>
      <c r="M19" s="170"/>
      <c r="N19" s="170"/>
      <c r="O19" s="133"/>
      <c r="P19" s="133"/>
      <c r="Q19" s="157"/>
      <c r="R19" s="157"/>
      <c r="S19" s="157"/>
      <c r="T19" s="120"/>
      <c r="U19" s="158" t="str">
        <f ca="1">IFERROR(__xludf.DUMMYFUNCTION("""COMPUTED_VALUE"""),"Division IV")</f>
        <v>Division IV</v>
      </c>
      <c r="V19" s="157"/>
      <c r="W19" s="157"/>
      <c r="X19" s="159"/>
      <c r="Y19" s="157"/>
      <c r="Z19" s="120"/>
      <c r="AA19" s="167">
        <f ca="1">IFERROR(__xludf.DUMMYFUNCTION("""COMPUTED_VALUE"""),4)</f>
        <v>4</v>
      </c>
      <c r="AB19" s="168">
        <f ca="1">IFERROR(__xludf.DUMMYFUNCTION("""COMPUTED_VALUE"""),44369)</f>
        <v>44369</v>
      </c>
      <c r="AC19" s="161" t="str">
        <f ca="1">IFERROR(__xludf.DUMMYFUNCTION("""COMPUTED_VALUE"""),"")</f>
        <v/>
      </c>
      <c r="AD19" s="161" t="str">
        <f ca="1">IFERROR(__xludf.DUMMYFUNCTION("""COMPUTED_VALUE"""),"")</f>
        <v/>
      </c>
      <c r="AE19" s="161" t="str">
        <f ca="1">IFERROR(__xludf.DUMMYFUNCTION("""COMPUTED_VALUE"""),"")</f>
        <v/>
      </c>
      <c r="AF19" s="120"/>
      <c r="AG19" s="162"/>
      <c r="AH19" s="120"/>
    </row>
    <row r="20" spans="1:34" ht="15.75" customHeight="1">
      <c r="A20" s="173"/>
      <c r="B20" s="142"/>
      <c r="C20" s="142"/>
      <c r="D20" s="142"/>
      <c r="E20" s="143">
        <f ca="1">IFERROR(__xludf.DUMMYFUNCTION("""COMPUTED_VALUE"""),17)</f>
        <v>17</v>
      </c>
      <c r="F20" s="174"/>
      <c r="G20" s="144">
        <f ca="1">IFERROR(__xludf.DUMMYFUNCTION("""COMPUTED_VALUE"""),17)</f>
        <v>17</v>
      </c>
      <c r="H20" s="144" t="str">
        <f ca="1">IFERROR(__xludf.DUMMYFUNCTION("""COMPUTED_VALUE"""),"S")</f>
        <v>S</v>
      </c>
      <c r="I20" s="170"/>
      <c r="J20" s="170"/>
      <c r="K20" s="147"/>
      <c r="L20" s="147"/>
      <c r="M20" s="170"/>
      <c r="N20" s="170"/>
      <c r="O20" s="133"/>
      <c r="P20" s="133"/>
      <c r="Q20" s="151"/>
      <c r="R20" s="151"/>
      <c r="S20" s="151"/>
      <c r="T20" s="120"/>
      <c r="U20" s="163" t="str">
        <f ca="1">IFERROR(__xludf.DUMMYFUNCTION("""COMPUTED_VALUE"""),"Dominion Hills")</f>
        <v>Dominion Hills</v>
      </c>
      <c r="V20" s="151" t="str">
        <f ca="1">IFERROR(__xludf.DUMMYFUNCTION("""COMPUTED_VALUE"""),"at")</f>
        <v>at</v>
      </c>
      <c r="W20" s="151" t="str">
        <f ca="1">IFERROR(__xludf.DUMMYFUNCTION("""COMPUTED_VALUE"""),"Highlands Swim")</f>
        <v>Highlands Swim</v>
      </c>
      <c r="X20" s="164"/>
      <c r="Y20" s="151"/>
      <c r="Z20" s="120"/>
      <c r="AA20" s="165">
        <f ca="1">IFERROR(__xludf.DUMMYFUNCTION("""COMPUTED_VALUE"""),41)</f>
        <v>41</v>
      </c>
      <c r="AB20" s="171">
        <f ca="1">IFERROR(__xludf.DUMMYFUNCTION("""COMPUTED_VALUE"""),44369)</f>
        <v>44369</v>
      </c>
      <c r="AC20" s="166" t="str">
        <f ca="1">IFERROR(__xludf.DUMMYFUNCTION("""COMPUTED_VALUE"""),"20210622-41")</f>
        <v>20210622-41</v>
      </c>
      <c r="AD20" s="166" t="str">
        <f ca="1">IFERROR(__xludf.DUMMYFUNCTION("""COMPUTED_VALUE"""),"HS-Highlands Swim")</f>
        <v>HS-Highlands Swim</v>
      </c>
      <c r="AE20" s="166" t="str">
        <f ca="1">IFERROR(__xludf.DUMMYFUNCTION("""COMPUTED_VALUE"""),"DH-Dominion Hills")</f>
        <v>DH-Dominion Hills</v>
      </c>
      <c r="AF20" s="120"/>
      <c r="AG20" s="153"/>
      <c r="AH20" s="120"/>
    </row>
    <row r="21" spans="1:34" ht="15.75" customHeight="1">
      <c r="A21" s="173"/>
      <c r="B21" s="142"/>
      <c r="C21" s="142"/>
      <c r="D21" s="142"/>
      <c r="E21" s="143">
        <f ca="1">IFERROR(__xludf.DUMMYFUNCTION("""COMPUTED_VALUE"""),18)</f>
        <v>18</v>
      </c>
      <c r="F21" s="174"/>
      <c r="G21" s="144">
        <f ca="1">IFERROR(__xludf.DUMMYFUNCTION("""COMPUTED_VALUE"""),18)</f>
        <v>18</v>
      </c>
      <c r="H21" s="144" t="str">
        <f ca="1">IFERROR(__xludf.DUMMYFUNCTION("""COMPUTED_VALUE"""),"S")</f>
        <v>S</v>
      </c>
      <c r="I21" s="170"/>
      <c r="J21" s="170"/>
      <c r="K21" s="147"/>
      <c r="L21" s="147"/>
      <c r="M21" s="170"/>
      <c r="N21" s="170"/>
      <c r="O21" s="133"/>
      <c r="P21" s="133"/>
      <c r="Q21" s="157"/>
      <c r="R21" s="157"/>
      <c r="S21" s="157"/>
      <c r="T21" s="120"/>
      <c r="U21" s="158" t="str">
        <f ca="1">IFERROR(__xludf.DUMMYFUNCTION("""COMPUTED_VALUE"""),"Tuckahoe")</f>
        <v>Tuckahoe</v>
      </c>
      <c r="V21" s="157" t="str">
        <f ca="1">IFERROR(__xludf.DUMMYFUNCTION("""COMPUTED_VALUE"""),"at")</f>
        <v>at</v>
      </c>
      <c r="W21" s="157" t="str">
        <f ca="1">IFERROR(__xludf.DUMMYFUNCTION("""COMPUTED_VALUE"""),"Hayfield Farm")</f>
        <v>Hayfield Farm</v>
      </c>
      <c r="X21" s="159"/>
      <c r="Y21" s="157"/>
      <c r="Z21" s="120"/>
      <c r="AA21" s="167">
        <f ca="1">IFERROR(__xludf.DUMMYFUNCTION("""COMPUTED_VALUE"""),42)</f>
        <v>42</v>
      </c>
      <c r="AB21" s="168">
        <f ca="1">IFERROR(__xludf.DUMMYFUNCTION("""COMPUTED_VALUE"""),44369)</f>
        <v>44369</v>
      </c>
      <c r="AC21" s="161" t="str">
        <f ca="1">IFERROR(__xludf.DUMMYFUNCTION("""COMPUTED_VALUE"""),"20210622-42")</f>
        <v>20210622-42</v>
      </c>
      <c r="AD21" s="161" t="str">
        <f ca="1">IFERROR(__xludf.DUMMYFUNCTION("""COMPUTED_VALUE"""),"HF-Hayfield Farm")</f>
        <v>HF-Hayfield Farm</v>
      </c>
      <c r="AE21" s="161" t="str">
        <f ca="1">IFERROR(__xludf.DUMMYFUNCTION("""COMPUTED_VALUE"""),"T-Tuckahoe")</f>
        <v>T-Tuckahoe</v>
      </c>
      <c r="AF21" s="120"/>
      <c r="AG21" s="162"/>
      <c r="AH21" s="120"/>
    </row>
    <row r="22" spans="1:34" ht="15.75" customHeight="1">
      <c r="A22" s="173"/>
      <c r="B22" s="142"/>
      <c r="C22" s="142"/>
      <c r="D22" s="142"/>
      <c r="E22" s="143">
        <f ca="1">IFERROR(__xludf.DUMMYFUNCTION("""COMPUTED_VALUE"""),19)</f>
        <v>19</v>
      </c>
      <c r="F22" s="174"/>
      <c r="G22" s="144">
        <f ca="1">IFERROR(__xludf.DUMMYFUNCTION("""COMPUTED_VALUE"""),19)</f>
        <v>19</v>
      </c>
      <c r="H22" s="144" t="str">
        <f ca="1">IFERROR(__xludf.DUMMYFUNCTION("""COMPUTED_VALUE"""),"S")</f>
        <v>S</v>
      </c>
      <c r="I22" s="170"/>
      <c r="J22" s="170"/>
      <c r="K22" s="147"/>
      <c r="L22" s="147"/>
      <c r="M22" s="170"/>
      <c r="N22" s="170"/>
      <c r="O22" s="133"/>
      <c r="P22" s="133"/>
      <c r="Q22" s="151"/>
      <c r="R22" s="151"/>
      <c r="S22" s="151"/>
      <c r="T22" s="120"/>
      <c r="U22" s="163" t="str">
        <f ca="1">IFERROR(__xludf.DUMMYFUNCTION("""COMPUTED_VALUE"""),"Chesterbrook")</f>
        <v>Chesterbrook</v>
      </c>
      <c r="V22" s="151" t="str">
        <f ca="1">IFERROR(__xludf.DUMMYFUNCTION("""COMPUTED_VALUE"""),"at")</f>
        <v>at</v>
      </c>
      <c r="W22" s="151" t="str">
        <f ca="1">IFERROR(__xludf.DUMMYFUNCTION("""COMPUTED_VALUE"""),"Wakefield Chapel")</f>
        <v>Wakefield Chapel</v>
      </c>
      <c r="X22" s="164"/>
      <c r="Y22" s="151"/>
      <c r="Z22" s="120"/>
      <c r="AA22" s="165">
        <f ca="1">IFERROR(__xludf.DUMMYFUNCTION("""COMPUTED_VALUE"""),43)</f>
        <v>43</v>
      </c>
      <c r="AB22" s="171">
        <f ca="1">IFERROR(__xludf.DUMMYFUNCTION("""COMPUTED_VALUE"""),44369)</f>
        <v>44369</v>
      </c>
      <c r="AC22" s="166" t="str">
        <f ca="1">IFERROR(__xludf.DUMMYFUNCTION("""COMPUTED_VALUE"""),"20210622-43")</f>
        <v>20210622-43</v>
      </c>
      <c r="AD22" s="166" t="str">
        <f ca="1">IFERROR(__xludf.DUMMYFUNCTION("""COMPUTED_VALUE"""),"WC-Wakefield Chapel")</f>
        <v>WC-Wakefield Chapel</v>
      </c>
      <c r="AE22" s="166" t="str">
        <f ca="1">IFERROR(__xludf.DUMMYFUNCTION("""COMPUTED_VALUE"""),"CB-Chesterbrook")</f>
        <v>CB-Chesterbrook</v>
      </c>
      <c r="AF22" s="120"/>
      <c r="AG22" s="153"/>
      <c r="AH22" s="120"/>
    </row>
    <row r="23" spans="1:34" ht="15.75" customHeight="1">
      <c r="A23" s="173"/>
      <c r="B23" s="142"/>
      <c r="C23" s="142"/>
      <c r="D23" s="142"/>
      <c r="E23" s="143">
        <f ca="1">IFERROR(__xludf.DUMMYFUNCTION("""COMPUTED_VALUE"""),20)</f>
        <v>20</v>
      </c>
      <c r="F23" s="174"/>
      <c r="G23" s="144">
        <f ca="1">IFERROR(__xludf.DUMMYFUNCTION("""COMPUTED_VALUE"""),20)</f>
        <v>20</v>
      </c>
      <c r="H23" s="144" t="str">
        <f ca="1">IFERROR(__xludf.DUMMYFUNCTION("""COMPUTED_VALUE"""),"S")</f>
        <v>S</v>
      </c>
      <c r="I23" s="170"/>
      <c r="J23" s="170"/>
      <c r="K23" s="147"/>
      <c r="L23" s="147"/>
      <c r="M23" s="170"/>
      <c r="N23" s="170"/>
      <c r="O23" s="133"/>
      <c r="P23" s="133"/>
      <c r="Q23" s="157"/>
      <c r="R23" s="157"/>
      <c r="S23" s="157"/>
      <c r="T23" s="120"/>
      <c r="U23" s="158" t="str">
        <f ca="1">IFERROR(__xludf.DUMMYFUNCTION("""COMPUTED_VALUE"""),"Division V")</f>
        <v>Division V</v>
      </c>
      <c r="V23" s="157"/>
      <c r="W23" s="157"/>
      <c r="X23" s="159"/>
      <c r="Y23" s="157"/>
      <c r="Z23" s="120"/>
      <c r="AA23" s="167">
        <f ca="1">IFERROR(__xludf.DUMMYFUNCTION("""COMPUTED_VALUE"""),5)</f>
        <v>5</v>
      </c>
      <c r="AB23" s="168">
        <f ca="1">IFERROR(__xludf.DUMMYFUNCTION("""COMPUTED_VALUE"""),44369)</f>
        <v>44369</v>
      </c>
      <c r="AC23" s="161" t="str">
        <f ca="1">IFERROR(__xludf.DUMMYFUNCTION("""COMPUTED_VALUE"""),"")</f>
        <v/>
      </c>
      <c r="AD23" s="161" t="str">
        <f ca="1">IFERROR(__xludf.DUMMYFUNCTION("""COMPUTED_VALUE"""),"")</f>
        <v/>
      </c>
      <c r="AE23" s="161" t="str">
        <f ca="1">IFERROR(__xludf.DUMMYFUNCTION("""COMPUTED_VALUE"""),"")</f>
        <v/>
      </c>
      <c r="AF23" s="120"/>
      <c r="AG23" s="162"/>
      <c r="AH23" s="120"/>
    </row>
    <row r="24" spans="1:34" ht="15.75" customHeight="1">
      <c r="A24" s="173"/>
      <c r="B24" s="142"/>
      <c r="C24" s="142"/>
      <c r="D24" s="142"/>
      <c r="E24" s="143">
        <f ca="1">IFERROR(__xludf.DUMMYFUNCTION("""COMPUTED_VALUE"""),21)</f>
        <v>21</v>
      </c>
      <c r="F24" s="174"/>
      <c r="G24" s="144"/>
      <c r="H24" s="144"/>
      <c r="I24" s="170"/>
      <c r="J24" s="170"/>
      <c r="K24" s="147"/>
      <c r="L24" s="147"/>
      <c r="M24" s="170"/>
      <c r="N24" s="170"/>
      <c r="O24" s="133"/>
      <c r="P24" s="133"/>
      <c r="Q24" s="151"/>
      <c r="R24" s="151"/>
      <c r="S24" s="151"/>
      <c r="T24" s="120"/>
      <c r="U24" s="163" t="str">
        <f ca="1">IFERROR(__xludf.DUMMYFUNCTION("""COMPUTED_VALUE"""),"Camelot")</f>
        <v>Camelot</v>
      </c>
      <c r="V24" s="151" t="str">
        <f ca="1">IFERROR(__xludf.DUMMYFUNCTION("""COMPUTED_VALUE"""),"at")</f>
        <v>at</v>
      </c>
      <c r="W24" s="151" t="str">
        <f ca="1">IFERROR(__xludf.DUMMYFUNCTION("""COMPUTED_VALUE"""),"Lakeview")</f>
        <v>Lakeview</v>
      </c>
      <c r="X24" s="164"/>
      <c r="Y24" s="151"/>
      <c r="Z24" s="120"/>
      <c r="AA24" s="165">
        <f ca="1">IFERROR(__xludf.DUMMYFUNCTION("""COMPUTED_VALUE"""),51)</f>
        <v>51</v>
      </c>
      <c r="AB24" s="171">
        <f ca="1">IFERROR(__xludf.DUMMYFUNCTION("""COMPUTED_VALUE"""),44369)</f>
        <v>44369</v>
      </c>
      <c r="AC24" s="166" t="str">
        <f ca="1">IFERROR(__xludf.DUMMYFUNCTION("""COMPUTED_VALUE"""),"20210622-51")</f>
        <v>20210622-51</v>
      </c>
      <c r="AD24" s="166" t="str">
        <f ca="1">IFERROR(__xludf.DUMMYFUNCTION("""COMPUTED_VALUE"""),"LV-Lakeview")</f>
        <v>LV-Lakeview</v>
      </c>
      <c r="AE24" s="166" t="str">
        <f ca="1">IFERROR(__xludf.DUMMYFUNCTION("""COMPUTED_VALUE"""),"CCC-Camelot Community Club")</f>
        <v>CCC-Camelot Community Club</v>
      </c>
      <c r="AF24" s="120"/>
      <c r="AG24" s="153"/>
      <c r="AH24" s="120"/>
    </row>
    <row r="25" spans="1:34" ht="15.75" customHeight="1">
      <c r="A25" s="173"/>
      <c r="B25" s="142"/>
      <c r="C25" s="142"/>
      <c r="D25" s="142"/>
      <c r="E25" s="143">
        <f ca="1">IFERROR(__xludf.DUMMYFUNCTION("""COMPUTED_VALUE"""),22)</f>
        <v>22</v>
      </c>
      <c r="F25" s="174"/>
      <c r="G25" s="144"/>
      <c r="H25" s="144"/>
      <c r="I25" s="170"/>
      <c r="J25" s="170"/>
      <c r="K25" s="147"/>
      <c r="L25" s="147"/>
      <c r="M25" s="170"/>
      <c r="N25" s="170"/>
      <c r="O25" s="133"/>
      <c r="P25" s="133"/>
      <c r="Q25" s="157"/>
      <c r="R25" s="157"/>
      <c r="S25" s="157"/>
      <c r="T25" s="120"/>
      <c r="U25" s="158" t="str">
        <f ca="1">IFERROR(__xludf.DUMMYFUNCTION("""COMPUTED_VALUE"""),"Sleepy Hollow B &amp; R")</f>
        <v>Sleepy Hollow B &amp; R</v>
      </c>
      <c r="V25" s="157" t="str">
        <f ca="1">IFERROR(__xludf.DUMMYFUNCTION("""COMPUTED_VALUE"""),"at")</f>
        <v>at</v>
      </c>
      <c r="W25" s="157" t="str">
        <f ca="1">IFERROR(__xludf.DUMMYFUNCTION("""COMPUTED_VALUE"""),"Ravensworth Farm")</f>
        <v>Ravensworth Farm</v>
      </c>
      <c r="X25" s="159"/>
      <c r="Y25" s="157"/>
      <c r="Z25" s="120"/>
      <c r="AA25" s="167">
        <f ca="1">IFERROR(__xludf.DUMMYFUNCTION("""COMPUTED_VALUE"""),52)</f>
        <v>52</v>
      </c>
      <c r="AB25" s="168">
        <f ca="1">IFERROR(__xludf.DUMMYFUNCTION("""COMPUTED_VALUE"""),44369)</f>
        <v>44369</v>
      </c>
      <c r="AC25" s="161" t="str">
        <f ca="1">IFERROR(__xludf.DUMMYFUNCTION("""COMPUTED_VALUE"""),"20210622-52")</f>
        <v>20210622-52</v>
      </c>
      <c r="AD25" s="161" t="str">
        <f ca="1">IFERROR(__xludf.DUMMYFUNCTION("""COMPUTED_VALUE"""),"R-Ravensworth Farm")</f>
        <v>R-Ravensworth Farm</v>
      </c>
      <c r="AE25" s="161" t="str">
        <f ca="1">IFERROR(__xludf.DUMMYFUNCTION("""COMPUTED_VALUE"""),"SHB-Sleepy Hollow Bath")</f>
        <v>SHB-Sleepy Hollow Bath</v>
      </c>
      <c r="AF25" s="120"/>
      <c r="AG25" s="162"/>
      <c r="AH25" s="120"/>
    </row>
    <row r="26" spans="1:34" ht="15.75" customHeight="1">
      <c r="A26" s="142"/>
      <c r="B26" s="142"/>
      <c r="C26" s="142"/>
      <c r="D26" s="142"/>
      <c r="E26" s="143">
        <f ca="1">IFERROR(__xludf.DUMMYFUNCTION("""COMPUTED_VALUE"""),23)</f>
        <v>23</v>
      </c>
      <c r="F26" s="174"/>
      <c r="G26" s="144"/>
      <c r="H26" s="144"/>
      <c r="I26" s="170"/>
      <c r="J26" s="170"/>
      <c r="K26" s="147"/>
      <c r="L26" s="147"/>
      <c r="M26" s="170"/>
      <c r="N26" s="170"/>
      <c r="O26" s="133"/>
      <c r="P26" s="133"/>
      <c r="Q26" s="151"/>
      <c r="R26" s="151"/>
      <c r="S26" s="151"/>
      <c r="T26" s="120"/>
      <c r="U26" s="163" t="str">
        <f ca="1">IFERROR(__xludf.DUMMYFUNCTION("""COMPUTED_VALUE"""),"Rolling Hills")</f>
        <v>Rolling Hills</v>
      </c>
      <c r="V26" s="151" t="str">
        <f ca="1">IFERROR(__xludf.DUMMYFUNCTION("""COMPUTED_VALUE"""),"at")</f>
        <v>at</v>
      </c>
      <c r="W26" s="151" t="str">
        <f ca="1">IFERROR(__xludf.DUMMYFUNCTION("""COMPUTED_VALUE"""),"Crosspointe")</f>
        <v>Crosspointe</v>
      </c>
      <c r="X26" s="164"/>
      <c r="Y26" s="151"/>
      <c r="Z26" s="120"/>
      <c r="AA26" s="165">
        <f ca="1">IFERROR(__xludf.DUMMYFUNCTION("""COMPUTED_VALUE"""),53)</f>
        <v>53</v>
      </c>
      <c r="AB26" s="171">
        <f ca="1">IFERROR(__xludf.DUMMYFUNCTION("""COMPUTED_VALUE"""),44369)</f>
        <v>44369</v>
      </c>
      <c r="AC26" s="166" t="str">
        <f ca="1">IFERROR(__xludf.DUMMYFUNCTION("""COMPUTED_VALUE"""),"20210622-53")</f>
        <v>20210622-53</v>
      </c>
      <c r="AD26" s="166" t="str">
        <f ca="1">IFERROR(__xludf.DUMMYFUNCTION("""COMPUTED_VALUE"""),"CP-Crosspointe")</f>
        <v>CP-Crosspointe</v>
      </c>
      <c r="AE26" s="166" t="str">
        <f ca="1">IFERROR(__xludf.DUMMYFUNCTION("""COMPUTED_VALUE"""),"RH-Rolling Hills")</f>
        <v>RH-Rolling Hills</v>
      </c>
      <c r="AF26" s="120"/>
      <c r="AG26" s="153"/>
      <c r="AH26" s="120"/>
    </row>
    <row r="27" spans="1:34" ht="15.75" customHeight="1">
      <c r="A27" s="142"/>
      <c r="B27" s="142"/>
      <c r="C27" s="142"/>
      <c r="D27" s="142"/>
      <c r="E27" s="143">
        <f ca="1">IFERROR(__xludf.DUMMYFUNCTION("""COMPUTED_VALUE"""),24)</f>
        <v>24</v>
      </c>
      <c r="F27" s="174"/>
      <c r="G27" s="144"/>
      <c r="H27" s="144"/>
      <c r="I27" s="170"/>
      <c r="J27" s="170"/>
      <c r="K27" s="147"/>
      <c r="L27" s="147"/>
      <c r="M27" s="170"/>
      <c r="N27" s="170"/>
      <c r="O27" s="133"/>
      <c r="P27" s="133"/>
      <c r="Q27" s="157"/>
      <c r="R27" s="157"/>
      <c r="S27" s="157"/>
      <c r="T27" s="120"/>
      <c r="U27" s="158" t="str">
        <f ca="1">IFERROR(__xludf.DUMMYFUNCTION("""COMPUTED_VALUE"""),"Division VI")</f>
        <v>Division VI</v>
      </c>
      <c r="V27" s="157"/>
      <c r="W27" s="157"/>
      <c r="X27" s="159"/>
      <c r="Y27" s="157"/>
      <c r="Z27" s="120"/>
      <c r="AA27" s="167">
        <f ca="1">IFERROR(__xludf.DUMMYFUNCTION("""COMPUTED_VALUE"""),6)</f>
        <v>6</v>
      </c>
      <c r="AB27" s="168">
        <f ca="1">IFERROR(__xludf.DUMMYFUNCTION("""COMPUTED_VALUE"""),44369)</f>
        <v>44369</v>
      </c>
      <c r="AC27" s="161" t="str">
        <f ca="1">IFERROR(__xludf.DUMMYFUNCTION("""COMPUTED_VALUE"""),"")</f>
        <v/>
      </c>
      <c r="AD27" s="161" t="str">
        <f ca="1">IFERROR(__xludf.DUMMYFUNCTION("""COMPUTED_VALUE"""),"")</f>
        <v/>
      </c>
      <c r="AE27" s="161" t="str">
        <f ca="1">IFERROR(__xludf.DUMMYFUNCTION("""COMPUTED_VALUE"""),"")</f>
        <v/>
      </c>
      <c r="AF27" s="120"/>
      <c r="AG27" s="162"/>
      <c r="AH27" s="120"/>
    </row>
    <row r="28" spans="1:34" ht="15.75" customHeight="1">
      <c r="A28" s="142"/>
      <c r="B28" s="142"/>
      <c r="C28" s="142"/>
      <c r="D28" s="142"/>
      <c r="E28" s="143">
        <f ca="1">IFERROR(__xludf.DUMMYFUNCTION("""COMPUTED_VALUE"""),25)</f>
        <v>25</v>
      </c>
      <c r="F28" s="174"/>
      <c r="G28" s="144"/>
      <c r="H28" s="144"/>
      <c r="I28" s="170"/>
      <c r="J28" s="170"/>
      <c r="K28" s="147"/>
      <c r="L28" s="147"/>
      <c r="M28" s="170"/>
      <c r="N28" s="170"/>
      <c r="O28" s="133"/>
      <c r="P28" s="133"/>
      <c r="Q28" s="151"/>
      <c r="R28" s="151"/>
      <c r="S28" s="151"/>
      <c r="T28" s="120"/>
      <c r="U28" s="163" t="str">
        <f ca="1">IFERROR(__xludf.DUMMYFUNCTION("""COMPUTED_VALUE"""),"Fairfax Station")</f>
        <v>Fairfax Station</v>
      </c>
      <c r="V28" s="151" t="str">
        <f ca="1">IFERROR(__xludf.DUMMYFUNCTION("""COMPUTED_VALUE"""),"at")</f>
        <v>at</v>
      </c>
      <c r="W28" s="151" t="str">
        <f ca="1">IFERROR(__xludf.DUMMYFUNCTION("""COMPUTED_VALUE"""),"Highland Park")</f>
        <v>Highland Park</v>
      </c>
      <c r="X28" s="164"/>
      <c r="Y28" s="151"/>
      <c r="Z28" s="120"/>
      <c r="AA28" s="165">
        <f ca="1">IFERROR(__xludf.DUMMYFUNCTION("""COMPUTED_VALUE"""),61)</f>
        <v>61</v>
      </c>
      <c r="AB28" s="171">
        <f ca="1">IFERROR(__xludf.DUMMYFUNCTION("""COMPUTED_VALUE"""),44369)</f>
        <v>44369</v>
      </c>
      <c r="AC28" s="166" t="str">
        <f ca="1">IFERROR(__xludf.DUMMYFUNCTION("""COMPUTED_VALUE"""),"20210622-61")</f>
        <v>20210622-61</v>
      </c>
      <c r="AD28" s="166" t="str">
        <f ca="1">IFERROR(__xludf.DUMMYFUNCTION("""COMPUTED_VALUE"""),"HP-Highland Park")</f>
        <v>HP-Highland Park</v>
      </c>
      <c r="AE28" s="166" t="str">
        <f ca="1">IFERROR(__xludf.DUMMYFUNCTION("""COMPUTED_VALUE"""),"FS-Fairfax Station")</f>
        <v>FS-Fairfax Station</v>
      </c>
      <c r="AF28" s="120"/>
      <c r="AG28" s="153"/>
      <c r="AH28" s="120"/>
    </row>
    <row r="29" spans="1:34" ht="15.75" customHeight="1">
      <c r="A29" s="142"/>
      <c r="B29" s="142"/>
      <c r="C29" s="142"/>
      <c r="D29" s="142"/>
      <c r="E29" s="143">
        <f ca="1">IFERROR(__xludf.DUMMYFUNCTION("""COMPUTED_VALUE"""),26)</f>
        <v>26</v>
      </c>
      <c r="F29" s="174"/>
      <c r="G29" s="144"/>
      <c r="H29" s="144"/>
      <c r="I29" s="170"/>
      <c r="J29" s="170"/>
      <c r="K29" s="147"/>
      <c r="L29" s="147"/>
      <c r="M29" s="170"/>
      <c r="N29" s="170"/>
      <c r="O29" s="133"/>
      <c r="P29" s="133"/>
      <c r="Q29" s="157"/>
      <c r="R29" s="157"/>
      <c r="S29" s="157"/>
      <c r="T29" s="120"/>
      <c r="U29" s="158" t="str">
        <f ca="1">IFERROR(__xludf.DUMMYFUNCTION("""COMPUTED_VALUE"""),"Greenbriar")</f>
        <v>Greenbriar</v>
      </c>
      <c r="V29" s="157" t="str">
        <f ca="1">IFERROR(__xludf.DUMMYFUNCTION("""COMPUTED_VALUE"""),"at")</f>
        <v>at</v>
      </c>
      <c r="W29" s="157" t="str">
        <f ca="1">IFERROR(__xludf.DUMMYFUNCTION("""COMPUTED_VALUE"""),"Cardinal Hill")</f>
        <v>Cardinal Hill</v>
      </c>
      <c r="X29" s="159"/>
      <c r="Y29" s="157"/>
      <c r="Z29" s="120"/>
      <c r="AA29" s="167">
        <f ca="1">IFERROR(__xludf.DUMMYFUNCTION("""COMPUTED_VALUE"""),62)</f>
        <v>62</v>
      </c>
      <c r="AB29" s="168">
        <f ca="1">IFERROR(__xludf.DUMMYFUNCTION("""COMPUTED_VALUE"""),44369)</f>
        <v>44369</v>
      </c>
      <c r="AC29" s="161" t="str">
        <f ca="1">IFERROR(__xludf.DUMMYFUNCTION("""COMPUTED_VALUE"""),"20210622-62")</f>
        <v>20210622-62</v>
      </c>
      <c r="AD29" s="161" t="str">
        <f ca="1">IFERROR(__xludf.DUMMYFUNCTION("""COMPUTED_VALUE"""),"CH-Cardinal Hill")</f>
        <v>CH-Cardinal Hill</v>
      </c>
      <c r="AE29" s="161" t="str">
        <f ca="1">IFERROR(__xludf.DUMMYFUNCTION("""COMPUTED_VALUE"""),"G-Greenbriar")</f>
        <v>G-Greenbriar</v>
      </c>
      <c r="AF29" s="120"/>
      <c r="AG29" s="162"/>
      <c r="AH29" s="120"/>
    </row>
    <row r="30" spans="1:34" ht="15.75" customHeight="1">
      <c r="A30" s="142"/>
      <c r="B30" s="142"/>
      <c r="C30" s="142"/>
      <c r="D30" s="142"/>
      <c r="E30" s="143">
        <f ca="1">IFERROR(__xludf.DUMMYFUNCTION("""COMPUTED_VALUE"""),27)</f>
        <v>27</v>
      </c>
      <c r="F30" s="174"/>
      <c r="G30" s="144"/>
      <c r="H30" s="144"/>
      <c r="I30" s="170"/>
      <c r="J30" s="170"/>
      <c r="K30" s="147"/>
      <c r="L30" s="147"/>
      <c r="M30" s="170"/>
      <c r="N30" s="170"/>
      <c r="O30" s="133"/>
      <c r="P30" s="133"/>
      <c r="Q30" s="151"/>
      <c r="R30" s="151"/>
      <c r="S30" s="151"/>
      <c r="T30" s="120"/>
      <c r="U30" s="163" t="str">
        <f ca="1">IFERROR(__xludf.DUMMYFUNCTION("""COMPUTED_VALUE"""),"Parliament")</f>
        <v>Parliament</v>
      </c>
      <c r="V30" s="151" t="str">
        <f ca="1">IFERROR(__xludf.DUMMYFUNCTION("""COMPUTED_VALUE"""),"at")</f>
        <v>at</v>
      </c>
      <c r="W30" s="151" t="str">
        <f ca="1">IFERROR(__xludf.DUMMYFUNCTION("""COMPUTED_VALUE"""),"Orange Hunt")</f>
        <v>Orange Hunt</v>
      </c>
      <c r="X30" s="164"/>
      <c r="Y30" s="151"/>
      <c r="Z30" s="120"/>
      <c r="AA30" s="165">
        <f ca="1">IFERROR(__xludf.DUMMYFUNCTION("""COMPUTED_VALUE"""),63)</f>
        <v>63</v>
      </c>
      <c r="AB30" s="171">
        <f ca="1">IFERROR(__xludf.DUMMYFUNCTION("""COMPUTED_VALUE"""),44369)</f>
        <v>44369</v>
      </c>
      <c r="AC30" s="166" t="str">
        <f ca="1">IFERROR(__xludf.DUMMYFUNCTION("""COMPUTED_VALUE"""),"20210622-63")</f>
        <v>20210622-63</v>
      </c>
      <c r="AD30" s="166" t="str">
        <f ca="1">IFERROR(__xludf.DUMMYFUNCTION("""COMPUTED_VALUE"""),"OH-Orange Hunt")</f>
        <v>OH-Orange Hunt</v>
      </c>
      <c r="AE30" s="166" t="str">
        <f ca="1">IFERROR(__xludf.DUMMYFUNCTION("""COMPUTED_VALUE"""),"PAR-Parliament")</f>
        <v>PAR-Parliament</v>
      </c>
      <c r="AF30" s="120"/>
      <c r="AG30" s="153"/>
      <c r="AH30" s="120"/>
    </row>
    <row r="31" spans="1:34" ht="15.75" customHeight="1">
      <c r="A31" s="142"/>
      <c r="B31" s="142"/>
      <c r="C31" s="142"/>
      <c r="D31" s="142"/>
      <c r="E31" s="143">
        <f ca="1">IFERROR(__xludf.DUMMYFUNCTION("""COMPUTED_VALUE"""),28)</f>
        <v>28</v>
      </c>
      <c r="F31" s="174"/>
      <c r="G31" s="144"/>
      <c r="H31" s="144"/>
      <c r="I31" s="170"/>
      <c r="J31" s="170"/>
      <c r="K31" s="147"/>
      <c r="L31" s="147"/>
      <c r="M31" s="170"/>
      <c r="N31" s="170"/>
      <c r="O31" s="133"/>
      <c r="P31" s="133"/>
      <c r="Q31" s="157"/>
      <c r="R31" s="157"/>
      <c r="S31" s="157"/>
      <c r="T31" s="120"/>
      <c r="U31" s="158" t="str">
        <f ca="1">IFERROR(__xludf.DUMMYFUNCTION("""COMPUTED_VALUE"""),"Division VII")</f>
        <v>Division VII</v>
      </c>
      <c r="V31" s="157"/>
      <c r="W31" s="157"/>
      <c r="X31" s="159"/>
      <c r="Y31" s="157"/>
      <c r="Z31" s="120"/>
      <c r="AA31" s="167">
        <f ca="1">IFERROR(__xludf.DUMMYFUNCTION("""COMPUTED_VALUE"""),7)</f>
        <v>7</v>
      </c>
      <c r="AB31" s="168">
        <f ca="1">IFERROR(__xludf.DUMMYFUNCTION("""COMPUTED_VALUE"""),44369)</f>
        <v>44369</v>
      </c>
      <c r="AC31" s="161" t="str">
        <f ca="1">IFERROR(__xludf.DUMMYFUNCTION("""COMPUTED_VALUE"""),"")</f>
        <v/>
      </c>
      <c r="AD31" s="161" t="str">
        <f ca="1">IFERROR(__xludf.DUMMYFUNCTION("""COMPUTED_VALUE"""),"")</f>
        <v/>
      </c>
      <c r="AE31" s="161" t="str">
        <f ca="1">IFERROR(__xludf.DUMMYFUNCTION("""COMPUTED_VALUE"""),"")</f>
        <v/>
      </c>
      <c r="AF31" s="120"/>
      <c r="AG31" s="162"/>
      <c r="AH31" s="120"/>
    </row>
    <row r="32" spans="1:34" ht="13.2">
      <c r="A32" s="142"/>
      <c r="B32" s="142"/>
      <c r="C32" s="142"/>
      <c r="D32" s="142"/>
      <c r="E32" s="143">
        <f ca="1">IFERROR(__xludf.DUMMYFUNCTION("""COMPUTED_VALUE"""),29)</f>
        <v>29</v>
      </c>
      <c r="F32" s="174"/>
      <c r="G32" s="144"/>
      <c r="H32" s="144"/>
      <c r="I32" s="170"/>
      <c r="J32" s="170"/>
      <c r="K32" s="147"/>
      <c r="L32" s="147"/>
      <c r="M32" s="170"/>
      <c r="N32" s="170"/>
      <c r="O32" s="133"/>
      <c r="P32" s="133"/>
      <c r="Q32" s="151"/>
      <c r="R32" s="151"/>
      <c r="S32" s="151"/>
      <c r="T32" s="120"/>
      <c r="U32" s="163" t="str">
        <f ca="1">IFERROR(__xludf.DUMMYFUNCTION("""COMPUTED_VALUE"""),"Woodley")</f>
        <v>Woodley</v>
      </c>
      <c r="V32" s="151" t="str">
        <f ca="1">IFERROR(__xludf.DUMMYFUNCTION("""COMPUTED_VALUE"""),"at")</f>
        <v>at</v>
      </c>
      <c r="W32" s="151" t="str">
        <f ca="1">IFERROR(__xludf.DUMMYFUNCTION("""COMPUTED_VALUE"""),"Stratford")</f>
        <v>Stratford</v>
      </c>
      <c r="X32" s="164"/>
      <c r="Y32" s="151"/>
      <c r="Z32" s="120"/>
      <c r="AA32" s="165">
        <f ca="1">IFERROR(__xludf.DUMMYFUNCTION("""COMPUTED_VALUE"""),71)</f>
        <v>71</v>
      </c>
      <c r="AB32" s="171">
        <f ca="1">IFERROR(__xludf.DUMMYFUNCTION("""COMPUTED_VALUE"""),44369)</f>
        <v>44369</v>
      </c>
      <c r="AC32" s="166" t="str">
        <f ca="1">IFERROR(__xludf.DUMMYFUNCTION("""COMPUTED_VALUE"""),"20210622-71")</f>
        <v>20210622-71</v>
      </c>
      <c r="AD32" s="166" t="str">
        <f ca="1">IFERROR(__xludf.DUMMYFUNCTION("""COMPUTED_VALUE"""),"SRA-Stratford Rec Association")</f>
        <v>SRA-Stratford Rec Association</v>
      </c>
      <c r="AE32" s="166" t="str">
        <f ca="1">IFERROR(__xludf.DUMMYFUNCTION("""COMPUTED_VALUE"""),"W-Woodley")</f>
        <v>W-Woodley</v>
      </c>
      <c r="AF32" s="120"/>
      <c r="AG32" s="153"/>
      <c r="AH32" s="120"/>
    </row>
    <row r="33" spans="1:34" ht="13.2">
      <c r="A33" s="142"/>
      <c r="B33" s="142"/>
      <c r="C33" s="142"/>
      <c r="D33" s="142"/>
      <c r="E33" s="143">
        <f ca="1">IFERROR(__xludf.DUMMYFUNCTION("""COMPUTED_VALUE"""),30)</f>
        <v>30</v>
      </c>
      <c r="F33" s="174"/>
      <c r="G33" s="144"/>
      <c r="H33" s="144"/>
      <c r="I33" s="170"/>
      <c r="J33" s="170"/>
      <c r="K33" s="147"/>
      <c r="L33" s="147"/>
      <c r="M33" s="170"/>
      <c r="N33" s="170"/>
      <c r="O33" s="133"/>
      <c r="P33" s="133"/>
      <c r="Q33" s="157"/>
      <c r="R33" s="157"/>
      <c r="S33" s="157"/>
      <c r="T33" s="120"/>
      <c r="U33" s="158" t="str">
        <f ca="1">IFERROR(__xludf.DUMMYFUNCTION("""COMPUTED_VALUE"""),"Hamlet")</f>
        <v>Hamlet</v>
      </c>
      <c r="V33" s="157" t="str">
        <f ca="1">IFERROR(__xludf.DUMMYFUNCTION("""COMPUTED_VALUE"""),"at")</f>
        <v>at</v>
      </c>
      <c r="W33" s="157" t="str">
        <f ca="1">IFERROR(__xludf.DUMMYFUNCTION("""COMPUTED_VALUE"""),"Rutherford")</f>
        <v>Rutherford</v>
      </c>
      <c r="X33" s="159"/>
      <c r="Y33" s="157"/>
      <c r="Z33" s="120"/>
      <c r="AA33" s="167">
        <f ca="1">IFERROR(__xludf.DUMMYFUNCTION("""COMPUTED_VALUE"""),72)</f>
        <v>72</v>
      </c>
      <c r="AB33" s="168">
        <f ca="1">IFERROR(__xludf.DUMMYFUNCTION("""COMPUTED_VALUE"""),44369)</f>
        <v>44369</v>
      </c>
      <c r="AC33" s="161" t="str">
        <f ca="1">IFERROR(__xludf.DUMMYFUNCTION("""COMPUTED_VALUE"""),"20210622-72")</f>
        <v>20210622-72</v>
      </c>
      <c r="AD33" s="161" t="str">
        <f ca="1">IFERROR(__xludf.DUMMYFUNCTION("""COMPUTED_VALUE"""),"RFD-Rutherford")</f>
        <v>RFD-Rutherford</v>
      </c>
      <c r="AE33" s="161" t="str">
        <f ca="1">IFERROR(__xludf.DUMMYFUNCTION("""COMPUTED_VALUE"""),"HSC-Hamlet Swim")</f>
        <v>HSC-Hamlet Swim</v>
      </c>
      <c r="AF33" s="120"/>
      <c r="AG33" s="162"/>
      <c r="AH33" s="120"/>
    </row>
    <row r="34" spans="1:34" ht="13.2">
      <c r="A34" s="142"/>
      <c r="B34" s="142"/>
      <c r="C34" s="142"/>
      <c r="D34" s="142"/>
      <c r="E34" s="143">
        <f ca="1">IFERROR(__xludf.DUMMYFUNCTION("""COMPUTED_VALUE"""),31)</f>
        <v>31</v>
      </c>
      <c r="F34" s="174"/>
      <c r="G34" s="144"/>
      <c r="H34" s="144"/>
      <c r="I34" s="170"/>
      <c r="J34" s="170"/>
      <c r="K34" s="147"/>
      <c r="L34" s="147"/>
      <c r="M34" s="170"/>
      <c r="N34" s="170"/>
      <c r="O34" s="133"/>
      <c r="P34" s="133"/>
      <c r="Q34" s="151"/>
      <c r="R34" s="151"/>
      <c r="S34" s="151"/>
      <c r="T34" s="120"/>
      <c r="U34" s="163" t="str">
        <f ca="1">IFERROR(__xludf.DUMMYFUNCTION("""COMPUTED_VALUE"""),"Springboard")</f>
        <v>Springboard</v>
      </c>
      <c r="V34" s="151" t="str">
        <f ca="1">IFERROR(__xludf.DUMMYFUNCTION("""COMPUTED_VALUE"""),"at")</f>
        <v>at</v>
      </c>
      <c r="W34" s="151" t="str">
        <f ca="1">IFERROR(__xludf.DUMMYFUNCTION("""COMPUTED_VALUE"""),"Mantua")</f>
        <v>Mantua</v>
      </c>
      <c r="X34" s="164"/>
      <c r="Y34" s="151"/>
      <c r="Z34" s="120"/>
      <c r="AA34" s="165">
        <f ca="1">IFERROR(__xludf.DUMMYFUNCTION("""COMPUTED_VALUE"""),73)</f>
        <v>73</v>
      </c>
      <c r="AB34" s="171">
        <f ca="1">IFERROR(__xludf.DUMMYFUNCTION("""COMPUTED_VALUE"""),44369)</f>
        <v>44369</v>
      </c>
      <c r="AC34" s="166" t="str">
        <f ca="1">IFERROR(__xludf.DUMMYFUNCTION("""COMPUTED_VALUE"""),"20210622-73")</f>
        <v>20210622-73</v>
      </c>
      <c r="AD34" s="166" t="str">
        <f ca="1">IFERROR(__xludf.DUMMYFUNCTION("""COMPUTED_VALUE"""),"M-Mantua")</f>
        <v>M-Mantua</v>
      </c>
      <c r="AE34" s="166" t="str">
        <f ca="1">IFERROR(__xludf.DUMMYFUNCTION("""COMPUTED_VALUE"""),"SB-Springboard Recreration Club")</f>
        <v>SB-Springboard Recreration Club</v>
      </c>
      <c r="AF34" s="120"/>
      <c r="AG34" s="153"/>
      <c r="AH34" s="120"/>
    </row>
    <row r="35" spans="1:34" ht="13.2">
      <c r="A35" s="142"/>
      <c r="B35" s="142"/>
      <c r="C35" s="142"/>
      <c r="D35" s="142"/>
      <c r="E35" s="143">
        <f ca="1">IFERROR(__xludf.DUMMYFUNCTION("""COMPUTED_VALUE"""),32)</f>
        <v>32</v>
      </c>
      <c r="F35" s="174"/>
      <c r="G35" s="144"/>
      <c r="H35" s="144"/>
      <c r="I35" s="170"/>
      <c r="J35" s="170"/>
      <c r="K35" s="147"/>
      <c r="L35" s="147"/>
      <c r="M35" s="170"/>
      <c r="N35" s="170"/>
      <c r="O35" s="133"/>
      <c r="P35" s="133"/>
      <c r="Q35" s="157"/>
      <c r="R35" s="157"/>
      <c r="S35" s="157"/>
      <c r="T35" s="120"/>
      <c r="U35" s="158" t="str">
        <f ca="1">IFERROR(__xludf.DUMMYFUNCTION("""COMPUTED_VALUE"""),"Division VIII")</f>
        <v>Division VIII</v>
      </c>
      <c r="V35" s="157"/>
      <c r="W35" s="157"/>
      <c r="X35" s="159"/>
      <c r="Y35" s="157"/>
      <c r="Z35" s="120"/>
      <c r="AA35" s="167">
        <f ca="1">IFERROR(__xludf.DUMMYFUNCTION("""COMPUTED_VALUE"""),8)</f>
        <v>8</v>
      </c>
      <c r="AB35" s="168">
        <f ca="1">IFERROR(__xludf.DUMMYFUNCTION("""COMPUTED_VALUE"""),44369)</f>
        <v>44369</v>
      </c>
      <c r="AC35" s="161" t="str">
        <f ca="1">IFERROR(__xludf.DUMMYFUNCTION("""COMPUTED_VALUE"""),"")</f>
        <v/>
      </c>
      <c r="AD35" s="161" t="str">
        <f ca="1">IFERROR(__xludf.DUMMYFUNCTION("""COMPUTED_VALUE"""),"")</f>
        <v/>
      </c>
      <c r="AE35" s="161" t="str">
        <f ca="1">IFERROR(__xludf.DUMMYFUNCTION("""COMPUTED_VALUE"""),"")</f>
        <v/>
      </c>
      <c r="AF35" s="120"/>
      <c r="AG35" s="162"/>
      <c r="AH35" s="120"/>
    </row>
    <row r="36" spans="1:34" ht="13.2">
      <c r="A36" s="142"/>
      <c r="B36" s="142"/>
      <c r="C36" s="142"/>
      <c r="D36" s="142"/>
      <c r="E36" s="143">
        <f ca="1">IFERROR(__xludf.DUMMYFUNCTION("""COMPUTED_VALUE"""),33)</f>
        <v>33</v>
      </c>
      <c r="F36" s="174"/>
      <c r="G36" s="144"/>
      <c r="H36" s="144"/>
      <c r="I36" s="170"/>
      <c r="J36" s="170"/>
      <c r="K36" s="147"/>
      <c r="L36" s="147"/>
      <c r="M36" s="170"/>
      <c r="N36" s="170"/>
      <c r="O36" s="133"/>
      <c r="P36" s="133"/>
      <c r="Q36" s="151"/>
      <c r="R36" s="151"/>
      <c r="S36" s="151"/>
      <c r="T36" s="120"/>
      <c r="U36" s="163" t="str">
        <f ca="1">IFERROR(__xludf.DUMMYFUNCTION("""COMPUTED_VALUE"""),"Parklawn")</f>
        <v>Parklawn</v>
      </c>
      <c r="V36" s="151" t="str">
        <f ca="1">IFERROR(__xludf.DUMMYFUNCTION("""COMPUTED_VALUE"""),"at")</f>
        <v>at</v>
      </c>
      <c r="W36" s="151" t="str">
        <f ca="1">IFERROR(__xludf.DUMMYFUNCTION("""COMPUTED_VALUE"""),"Ilda Community")</f>
        <v>Ilda Community</v>
      </c>
      <c r="X36" s="164"/>
      <c r="Y36" s="151"/>
      <c r="Z36" s="120"/>
      <c r="AA36" s="165">
        <f ca="1">IFERROR(__xludf.DUMMYFUNCTION("""COMPUTED_VALUE"""),81)</f>
        <v>81</v>
      </c>
      <c r="AB36" s="171">
        <f ca="1">IFERROR(__xludf.DUMMYFUNCTION("""COMPUTED_VALUE"""),44369)</f>
        <v>44369</v>
      </c>
      <c r="AC36" s="166" t="str">
        <f ca="1">IFERROR(__xludf.DUMMYFUNCTION("""COMPUTED_VALUE"""),"20210622-81")</f>
        <v>20210622-81</v>
      </c>
      <c r="AD36" s="166" t="str">
        <f ca="1">IFERROR(__xludf.DUMMYFUNCTION("""COMPUTED_VALUE"""),"IC-Ilda Community")</f>
        <v>IC-Ilda Community</v>
      </c>
      <c r="AE36" s="166" t="str">
        <f ca="1">IFERROR(__xludf.DUMMYFUNCTION("""COMPUTED_VALUE"""),"PL-Parklawn")</f>
        <v>PL-Parklawn</v>
      </c>
      <c r="AF36" s="120"/>
      <c r="AG36" s="153"/>
      <c r="AH36" s="120"/>
    </row>
    <row r="37" spans="1:34" ht="13.2">
      <c r="A37" s="142"/>
      <c r="B37" s="142"/>
      <c r="C37" s="142"/>
      <c r="D37" s="142"/>
      <c r="E37" s="143">
        <f ca="1">IFERROR(__xludf.DUMMYFUNCTION("""COMPUTED_VALUE"""),34)</f>
        <v>34</v>
      </c>
      <c r="F37" s="174"/>
      <c r="G37" s="144"/>
      <c r="H37" s="144"/>
      <c r="I37" s="170"/>
      <c r="J37" s="170"/>
      <c r="K37" s="147"/>
      <c r="L37" s="147"/>
      <c r="M37" s="170"/>
      <c r="N37" s="170"/>
      <c r="O37" s="133"/>
      <c r="P37" s="133"/>
      <c r="Q37" s="157"/>
      <c r="R37" s="157"/>
      <c r="S37" s="157"/>
      <c r="T37" s="120"/>
      <c r="U37" s="158" t="str">
        <f ca="1">IFERROR(__xludf.DUMMYFUNCTION("""COMPUTED_VALUE"""),"Springfield")</f>
        <v>Springfield</v>
      </c>
      <c r="V37" s="157" t="str">
        <f ca="1">IFERROR(__xludf.DUMMYFUNCTION("""COMPUTED_VALUE"""),"at")</f>
        <v>at</v>
      </c>
      <c r="W37" s="157" t="str">
        <f ca="1">IFERROR(__xludf.DUMMYFUNCTION("""COMPUTED_VALUE"""),"North Springfield")</f>
        <v>North Springfield</v>
      </c>
      <c r="X37" s="159"/>
      <c r="Y37" s="157"/>
      <c r="Z37" s="120"/>
      <c r="AA37" s="167">
        <f ca="1">IFERROR(__xludf.DUMMYFUNCTION("""COMPUTED_VALUE"""),82)</f>
        <v>82</v>
      </c>
      <c r="AB37" s="168">
        <f ca="1">IFERROR(__xludf.DUMMYFUNCTION("""COMPUTED_VALUE"""),44369)</f>
        <v>44369</v>
      </c>
      <c r="AC37" s="161" t="str">
        <f ca="1">IFERROR(__xludf.DUMMYFUNCTION("""COMPUTED_VALUE"""),"20210622-82")</f>
        <v>20210622-82</v>
      </c>
      <c r="AD37" s="161" t="str">
        <f ca="1">IFERROR(__xludf.DUMMYFUNCTION("""COMPUTED_VALUE"""),"NS-North Springfield")</f>
        <v>NS-North Springfield</v>
      </c>
      <c r="AE37" s="161" t="str">
        <f ca="1">IFERROR(__xludf.DUMMYFUNCTION("""COMPUTED_VALUE"""),"S-Springfield")</f>
        <v>S-Springfield</v>
      </c>
      <c r="AF37" s="120"/>
      <c r="AG37" s="162"/>
      <c r="AH37" s="120"/>
    </row>
    <row r="38" spans="1:34" ht="13.2">
      <c r="A38" s="142"/>
      <c r="B38" s="142"/>
      <c r="C38" s="142"/>
      <c r="D38" s="142"/>
      <c r="E38" s="143">
        <f ca="1">IFERROR(__xludf.DUMMYFUNCTION("""COMPUTED_VALUE"""),35)</f>
        <v>35</v>
      </c>
      <c r="F38" s="174"/>
      <c r="G38" s="144"/>
      <c r="H38" s="144"/>
      <c r="I38" s="170"/>
      <c r="J38" s="170"/>
      <c r="K38" s="147"/>
      <c r="L38" s="147"/>
      <c r="M38" s="170"/>
      <c r="N38" s="170"/>
      <c r="O38" s="133"/>
      <c r="P38" s="133"/>
      <c r="Q38" s="151"/>
      <c r="R38" s="151"/>
      <c r="S38" s="151"/>
      <c r="T38" s="120"/>
      <c r="U38" s="163" t="str">
        <f ca="1">IFERROR(__xludf.DUMMYFUNCTION("""COMPUTED_VALUE"""),"Annandale")</f>
        <v>Annandale</v>
      </c>
      <c r="V38" s="151" t="str">
        <f ca="1">IFERROR(__xludf.DUMMYFUNCTION("""COMPUTED_VALUE"""),"at")</f>
        <v>at</v>
      </c>
      <c r="W38" s="151" t="str">
        <f ca="1">IFERROR(__xludf.DUMMYFUNCTION("""COMPUTED_VALUE"""),"Commonwealth")</f>
        <v>Commonwealth</v>
      </c>
      <c r="X38" s="164"/>
      <c r="Y38" s="151"/>
      <c r="Z38" s="120"/>
      <c r="AA38" s="165">
        <f ca="1">IFERROR(__xludf.DUMMYFUNCTION("""COMPUTED_VALUE"""),83)</f>
        <v>83</v>
      </c>
      <c r="AB38" s="171">
        <f ca="1">IFERROR(__xludf.DUMMYFUNCTION("""COMPUTED_VALUE"""),44369)</f>
        <v>44369</v>
      </c>
      <c r="AC38" s="166" t="str">
        <f ca="1">IFERROR(__xludf.DUMMYFUNCTION("""COMPUTED_VALUE"""),"20210622-83")</f>
        <v>20210622-83</v>
      </c>
      <c r="AD38" s="166" t="str">
        <f ca="1">IFERROR(__xludf.DUMMYFUNCTION("""COMPUTED_VALUE"""),"CSC-Commonwealth Swim Club")</f>
        <v>CSC-Commonwealth Swim Club</v>
      </c>
      <c r="AE38" s="166" t="str">
        <f ca="1">IFERROR(__xludf.DUMMYFUNCTION("""COMPUTED_VALUE"""),"A-Annandale")</f>
        <v>A-Annandale</v>
      </c>
      <c r="AF38" s="120"/>
      <c r="AG38" s="153"/>
      <c r="AH38" s="120"/>
    </row>
    <row r="39" spans="1:34" ht="13.2">
      <c r="A39" s="142"/>
      <c r="B39" s="142"/>
      <c r="C39" s="142"/>
      <c r="D39" s="142"/>
      <c r="E39" s="143">
        <f ca="1">IFERROR(__xludf.DUMMYFUNCTION("""COMPUTED_VALUE"""),36)</f>
        <v>36</v>
      </c>
      <c r="F39" s="174"/>
      <c r="G39" s="144"/>
      <c r="H39" s="144"/>
      <c r="I39" s="170"/>
      <c r="J39" s="170"/>
      <c r="K39" s="147"/>
      <c r="L39" s="147"/>
      <c r="M39" s="170"/>
      <c r="N39" s="170"/>
      <c r="O39" s="133"/>
      <c r="P39" s="133"/>
      <c r="Q39" s="157"/>
      <c r="R39" s="157"/>
      <c r="S39" s="157"/>
      <c r="T39" s="120"/>
      <c r="U39" s="158">
        <f ca="1">IFERROR(__xludf.DUMMYFUNCTION("""COMPUTED_VALUE"""),44376)</f>
        <v>44376</v>
      </c>
      <c r="V39" s="157" t="str">
        <f ca="1">IFERROR(__xludf.DUMMYFUNCTION("""COMPUTED_VALUE""")," ")</f>
        <v xml:space="preserve"> </v>
      </c>
      <c r="W39" s="157" t="str">
        <f ca="1">IFERROR(__xludf.DUMMYFUNCTION("""COMPUTED_VALUE""")," ")</f>
        <v xml:space="preserve"> </v>
      </c>
      <c r="X39" s="159"/>
      <c r="Y39" s="157"/>
      <c r="Z39" s="120"/>
      <c r="AA39" s="167">
        <f ca="1">IFERROR(__xludf.DUMMYFUNCTION("""COMPUTED_VALUE"""),1)</f>
        <v>1</v>
      </c>
      <c r="AB39" s="168">
        <f ca="1">IFERROR(__xludf.DUMMYFUNCTION("""COMPUTED_VALUE"""),44376)</f>
        <v>44376</v>
      </c>
      <c r="AC39" s="161" t="str">
        <f ca="1">IFERROR(__xludf.DUMMYFUNCTION("""COMPUTED_VALUE"""),"")</f>
        <v/>
      </c>
      <c r="AD39" s="161" t="str">
        <f ca="1">IFERROR(__xludf.DUMMYFUNCTION("""COMPUTED_VALUE"""),"")</f>
        <v/>
      </c>
      <c r="AE39" s="161" t="str">
        <f ca="1">IFERROR(__xludf.DUMMYFUNCTION("""COMPUTED_VALUE"""),"")</f>
        <v/>
      </c>
      <c r="AF39" s="120"/>
      <c r="AG39" s="162"/>
      <c r="AH39" s="120"/>
    </row>
    <row r="40" spans="1:34" ht="13.2">
      <c r="A40" s="142"/>
      <c r="B40" s="142"/>
      <c r="C40" s="142"/>
      <c r="D40" s="142"/>
      <c r="E40" s="143">
        <f ca="1">IFERROR(__xludf.DUMMYFUNCTION("""COMPUTED_VALUE"""),37)</f>
        <v>37</v>
      </c>
      <c r="F40" s="174"/>
      <c r="G40" s="144"/>
      <c r="H40" s="144"/>
      <c r="I40" s="170"/>
      <c r="J40" s="170"/>
      <c r="K40" s="147"/>
      <c r="L40" s="147"/>
      <c r="M40" s="170"/>
      <c r="N40" s="170"/>
      <c r="O40" s="133"/>
      <c r="P40" s="133"/>
      <c r="Q40" s="151"/>
      <c r="R40" s="151"/>
      <c r="S40" s="151"/>
      <c r="T40" s="120"/>
      <c r="U40" s="163" t="str">
        <f ca="1">IFERROR(__xludf.DUMMYFUNCTION("""COMPUTED_VALUE"""),"Vienna Woods")</f>
        <v>Vienna Woods</v>
      </c>
      <c r="V40" s="151" t="str">
        <f ca="1">IFERROR(__xludf.DUMMYFUNCTION("""COMPUTED_VALUE"""),"at")</f>
        <v>at</v>
      </c>
      <c r="W40" s="151" t="str">
        <f ca="1">IFERROR(__xludf.DUMMYFUNCTION("""COMPUTED_VALUE"""),"Sideburn Run")</f>
        <v>Sideburn Run</v>
      </c>
      <c r="X40" s="164"/>
      <c r="Y40" s="151"/>
      <c r="Z40" s="120"/>
      <c r="AA40" s="165">
        <f ca="1">IFERROR(__xludf.DUMMYFUNCTION("""COMPUTED_VALUE"""),11)</f>
        <v>11</v>
      </c>
      <c r="AB40" s="171">
        <f ca="1">IFERROR(__xludf.DUMMYFUNCTION("""COMPUTED_VALUE"""),44376)</f>
        <v>44376</v>
      </c>
      <c r="AC40" s="166" t="str">
        <f ca="1">IFERROR(__xludf.DUMMYFUNCTION("""COMPUTED_VALUE"""),"20210629-11")</f>
        <v>20210629-11</v>
      </c>
      <c r="AD40" s="166" t="str">
        <f ca="1">IFERROR(__xludf.DUMMYFUNCTION("""COMPUTED_VALUE"""),"SR-Sideburn Run")</f>
        <v>SR-Sideburn Run</v>
      </c>
      <c r="AE40" s="166" t="str">
        <f ca="1">IFERROR(__xludf.DUMMYFUNCTION("""COMPUTED_VALUE"""),"VW-Vienna Woods")</f>
        <v>VW-Vienna Woods</v>
      </c>
      <c r="AF40" s="120"/>
      <c r="AG40" s="153"/>
      <c r="AH40" s="120"/>
    </row>
    <row r="41" spans="1:34" ht="13.2">
      <c r="A41" s="142"/>
      <c r="B41" s="142"/>
      <c r="C41" s="142"/>
      <c r="D41" s="142"/>
      <c r="E41" s="143">
        <f ca="1">IFERROR(__xludf.DUMMYFUNCTION("""COMPUTED_VALUE"""),38)</f>
        <v>38</v>
      </c>
      <c r="F41" s="174"/>
      <c r="G41" s="144"/>
      <c r="H41" s="144"/>
      <c r="I41" s="170"/>
      <c r="J41" s="170"/>
      <c r="K41" s="147"/>
      <c r="L41" s="147"/>
      <c r="M41" s="170"/>
      <c r="N41" s="170"/>
      <c r="O41" s="133"/>
      <c r="P41" s="133"/>
      <c r="Q41" s="157"/>
      <c r="R41" s="157"/>
      <c r="S41" s="157"/>
      <c r="T41" s="120"/>
      <c r="U41" s="158" t="str">
        <f ca="1">IFERROR(__xludf.DUMMYFUNCTION("""COMPUTED_VALUE"""),"Overlee")</f>
        <v>Overlee</v>
      </c>
      <c r="V41" s="157" t="str">
        <f ca="1">IFERROR(__xludf.DUMMYFUNCTION("""COMPUTED_VALUE"""),"at")</f>
        <v>at</v>
      </c>
      <c r="W41" s="157" t="str">
        <f ca="1">IFERROR(__xludf.DUMMYFUNCTION("""COMPUTED_VALUE"""),"Old Keene Mill")</f>
        <v>Old Keene Mill</v>
      </c>
      <c r="X41" s="159"/>
      <c r="Y41" s="157"/>
      <c r="Z41" s="120"/>
      <c r="AA41" s="167">
        <f ca="1">IFERROR(__xludf.DUMMYFUNCTION("""COMPUTED_VALUE"""),12)</f>
        <v>12</v>
      </c>
      <c r="AB41" s="168">
        <f ca="1">IFERROR(__xludf.DUMMYFUNCTION("""COMPUTED_VALUE"""),44376)</f>
        <v>44376</v>
      </c>
      <c r="AC41" s="161" t="str">
        <f ca="1">IFERROR(__xludf.DUMMYFUNCTION("""COMPUTED_VALUE"""),"20210629-12")</f>
        <v>20210629-12</v>
      </c>
      <c r="AD41" s="161" t="str">
        <f ca="1">IFERROR(__xludf.DUMMYFUNCTION("""COMPUTED_VALUE"""),"OKM-Old Keene Mill")</f>
        <v>OKM-Old Keene Mill</v>
      </c>
      <c r="AE41" s="161" t="str">
        <f ca="1">IFERROR(__xludf.DUMMYFUNCTION("""COMPUTED_VALUE"""),"O-Overlee")</f>
        <v>O-Overlee</v>
      </c>
      <c r="AF41" s="120"/>
      <c r="AG41" s="162"/>
      <c r="AH41" s="120"/>
    </row>
    <row r="42" spans="1:34" ht="13.2">
      <c r="A42" s="142"/>
      <c r="B42" s="142"/>
      <c r="C42" s="142"/>
      <c r="D42" s="142"/>
      <c r="E42" s="143">
        <f ca="1">IFERROR(__xludf.DUMMYFUNCTION("""COMPUTED_VALUE"""),39)</f>
        <v>39</v>
      </c>
      <c r="F42" s="174"/>
      <c r="G42" s="144"/>
      <c r="H42" s="144"/>
      <c r="I42" s="170"/>
      <c r="J42" s="170"/>
      <c r="K42" s="147"/>
      <c r="L42" s="147"/>
      <c r="M42" s="170"/>
      <c r="N42" s="170"/>
      <c r="O42" s="133"/>
      <c r="P42" s="133"/>
      <c r="Q42" s="151"/>
      <c r="R42" s="151"/>
      <c r="S42" s="151"/>
      <c r="T42" s="120"/>
      <c r="U42" s="163" t="str">
        <f ca="1">IFERROR(__xludf.DUMMYFUNCTION("""COMPUTED_VALUE"""),"Dunn Loring")</f>
        <v>Dunn Loring</v>
      </c>
      <c r="V42" s="151" t="str">
        <f ca="1">IFERROR(__xludf.DUMMYFUNCTION("""COMPUTED_VALUE"""),"at")</f>
        <v>at</v>
      </c>
      <c r="W42" s="151" t="str">
        <f ca="1">IFERROR(__xludf.DUMMYFUNCTION("""COMPUTED_VALUE"""),"Truro")</f>
        <v>Truro</v>
      </c>
      <c r="X42" s="164"/>
      <c r="Y42" s="151"/>
      <c r="Z42" s="120"/>
      <c r="AA42" s="165">
        <f ca="1">IFERROR(__xludf.DUMMYFUNCTION("""COMPUTED_VALUE"""),13)</f>
        <v>13</v>
      </c>
      <c r="AB42" s="171">
        <f ca="1">IFERROR(__xludf.DUMMYFUNCTION("""COMPUTED_VALUE"""),44376)</f>
        <v>44376</v>
      </c>
      <c r="AC42" s="166" t="str">
        <f ca="1">IFERROR(__xludf.DUMMYFUNCTION("""COMPUTED_VALUE"""),"20210629-13")</f>
        <v>20210629-13</v>
      </c>
      <c r="AD42" s="166" t="str">
        <f ca="1">IFERROR(__xludf.DUMMYFUNCTION("""COMPUTED_VALUE"""),"THA-Truro Homes Assn")</f>
        <v>THA-Truro Homes Assn</v>
      </c>
      <c r="AE42" s="166" t="str">
        <f ca="1">IFERROR(__xludf.DUMMYFUNCTION("""COMPUTED_VALUE"""),"DL-Dunn Loring")</f>
        <v>DL-Dunn Loring</v>
      </c>
      <c r="AF42" s="120"/>
      <c r="AG42" s="153"/>
      <c r="AH42" s="120"/>
    </row>
    <row r="43" spans="1:34" ht="13.2">
      <c r="A43" s="142"/>
      <c r="B43" s="142"/>
      <c r="C43" s="142"/>
      <c r="D43" s="142"/>
      <c r="E43" s="143">
        <f ca="1">IFERROR(__xludf.DUMMYFUNCTION("""COMPUTED_VALUE"""),40)</f>
        <v>40</v>
      </c>
      <c r="F43" s="174"/>
      <c r="G43" s="144"/>
      <c r="H43" s="144"/>
      <c r="I43" s="170"/>
      <c r="J43" s="170"/>
      <c r="K43" s="147"/>
      <c r="L43" s="147"/>
      <c r="M43" s="170"/>
      <c r="N43" s="170"/>
      <c r="O43" s="133"/>
      <c r="P43" s="133"/>
      <c r="Q43" s="157"/>
      <c r="R43" s="157"/>
      <c r="S43" s="157"/>
      <c r="T43" s="120"/>
      <c r="U43" s="158" t="str">
        <f ca="1">IFERROR(__xludf.DUMMYFUNCTION("""COMPUTED_VALUE"""),"Division II")</f>
        <v>Division II</v>
      </c>
      <c r="V43" s="157"/>
      <c r="W43" s="157"/>
      <c r="X43" s="159"/>
      <c r="Y43" s="157"/>
      <c r="Z43" s="120"/>
      <c r="AA43" s="167">
        <f ca="1">IFERROR(__xludf.DUMMYFUNCTION("""COMPUTED_VALUE"""),2)</f>
        <v>2</v>
      </c>
      <c r="AB43" s="168">
        <f ca="1">IFERROR(__xludf.DUMMYFUNCTION("""COMPUTED_VALUE"""),44376)</f>
        <v>44376</v>
      </c>
      <c r="AC43" s="161" t="str">
        <f ca="1">IFERROR(__xludf.DUMMYFUNCTION("""COMPUTED_VALUE"""),"")</f>
        <v/>
      </c>
      <c r="AD43" s="161" t="str">
        <f ca="1">IFERROR(__xludf.DUMMYFUNCTION("""COMPUTED_VALUE"""),"")</f>
        <v/>
      </c>
      <c r="AE43" s="161" t="str">
        <f ca="1">IFERROR(__xludf.DUMMYFUNCTION("""COMPUTED_VALUE"""),"")</f>
        <v/>
      </c>
      <c r="AF43" s="120"/>
      <c r="AG43" s="162"/>
      <c r="AH43" s="120"/>
    </row>
    <row r="44" spans="1:34" ht="13.2">
      <c r="A44" s="142"/>
      <c r="B44" s="142"/>
      <c r="C44" s="142"/>
      <c r="D44" s="142"/>
      <c r="E44" s="143">
        <f ca="1">IFERROR(__xludf.DUMMYFUNCTION("""COMPUTED_VALUE"""),41)</f>
        <v>41</v>
      </c>
      <c r="F44" s="174"/>
      <c r="G44" s="144"/>
      <c r="H44" s="144"/>
      <c r="I44" s="170"/>
      <c r="J44" s="170"/>
      <c r="K44" s="147"/>
      <c r="L44" s="147"/>
      <c r="M44" s="170"/>
      <c r="N44" s="170"/>
      <c r="O44" s="133"/>
      <c r="P44" s="133"/>
      <c r="Q44" s="151"/>
      <c r="R44" s="151"/>
      <c r="S44" s="151"/>
      <c r="T44" s="120"/>
      <c r="U44" s="163" t="str">
        <f ca="1">IFERROR(__xludf.DUMMYFUNCTION("""COMPUTED_VALUE"""),"Walden Glen")</f>
        <v>Walden Glen</v>
      </c>
      <c r="V44" s="151" t="str">
        <f ca="1">IFERROR(__xludf.DUMMYFUNCTION("""COMPUTED_VALUE"""),"at")</f>
        <v>at</v>
      </c>
      <c r="W44" s="151" t="str">
        <f ca="1">IFERROR(__xludf.DUMMYFUNCTION("""COMPUTED_VALUE"""),"Mansion House")</f>
        <v>Mansion House</v>
      </c>
      <c r="X44" s="164"/>
      <c r="Y44" s="151"/>
      <c r="Z44" s="120"/>
      <c r="AA44" s="165">
        <f ca="1">IFERROR(__xludf.DUMMYFUNCTION("""COMPUTED_VALUE"""),21)</f>
        <v>21</v>
      </c>
      <c r="AB44" s="171">
        <f ca="1">IFERROR(__xludf.DUMMYFUNCTION("""COMPUTED_VALUE"""),44376)</f>
        <v>44376</v>
      </c>
      <c r="AC44" s="166" t="str">
        <f ca="1">IFERROR(__xludf.DUMMYFUNCTION("""COMPUTED_VALUE"""),"20210629-21")</f>
        <v>20210629-21</v>
      </c>
      <c r="AD44" s="166" t="str">
        <f ca="1">IFERROR(__xludf.DUMMYFUNCTION("""COMPUTED_VALUE"""),"MHC-Mansion House")</f>
        <v>MHC-Mansion House</v>
      </c>
      <c r="AE44" s="166" t="str">
        <f ca="1">IFERROR(__xludf.DUMMYFUNCTION("""COMPUTED_VALUE"""),"WG-Walden Glen")</f>
        <v>WG-Walden Glen</v>
      </c>
      <c r="AF44" s="120"/>
      <c r="AG44" s="153"/>
      <c r="AH44" s="120"/>
    </row>
    <row r="45" spans="1:34" ht="13.2">
      <c r="A45" s="142"/>
      <c r="B45" s="142"/>
      <c r="C45" s="142"/>
      <c r="D45" s="142"/>
      <c r="E45" s="143">
        <f ca="1">IFERROR(__xludf.DUMMYFUNCTION("""COMPUTED_VALUE"""),42)</f>
        <v>42</v>
      </c>
      <c r="F45" s="174"/>
      <c r="G45" s="144"/>
      <c r="H45" s="144"/>
      <c r="I45" s="170"/>
      <c r="J45" s="170"/>
      <c r="K45" s="147"/>
      <c r="L45" s="147"/>
      <c r="M45" s="170"/>
      <c r="N45" s="170"/>
      <c r="O45" s="133"/>
      <c r="P45" s="133"/>
      <c r="Q45" s="157"/>
      <c r="R45" s="157"/>
      <c r="S45" s="157"/>
      <c r="T45" s="120"/>
      <c r="U45" s="158" t="str">
        <f ca="1">IFERROR(__xludf.DUMMYFUNCTION("""COMPUTED_VALUE"""),"Fairfax")</f>
        <v>Fairfax</v>
      </c>
      <c r="V45" s="157" t="str">
        <f ca="1">IFERROR(__xludf.DUMMYFUNCTION("""COMPUTED_VALUE"""),"at")</f>
        <v>at</v>
      </c>
      <c r="W45" s="157" t="str">
        <f ca="1">IFERROR(__xludf.DUMMYFUNCTION("""COMPUTED_VALUE"""),"Oakton")</f>
        <v>Oakton</v>
      </c>
      <c r="X45" s="159"/>
      <c r="Y45" s="157"/>
      <c r="Z45" s="120"/>
      <c r="AA45" s="167">
        <f ca="1">IFERROR(__xludf.DUMMYFUNCTION("""COMPUTED_VALUE"""),22)</f>
        <v>22</v>
      </c>
      <c r="AB45" s="168">
        <f ca="1">IFERROR(__xludf.DUMMYFUNCTION("""COMPUTED_VALUE"""),44376)</f>
        <v>44376</v>
      </c>
      <c r="AC45" s="161" t="str">
        <f ca="1">IFERROR(__xludf.DUMMYFUNCTION("""COMPUTED_VALUE"""),"20210629-22")</f>
        <v>20210629-22</v>
      </c>
      <c r="AD45" s="161" t="str">
        <f ca="1">IFERROR(__xludf.DUMMYFUNCTION("""COMPUTED_VALUE"""),"OAK-Oakton")</f>
        <v>OAK-Oakton</v>
      </c>
      <c r="AE45" s="161" t="str">
        <f ca="1">IFERROR(__xludf.DUMMYFUNCTION("""COMPUTED_VALUE"""),"F-Fairfax")</f>
        <v>F-Fairfax</v>
      </c>
      <c r="AF45" s="120"/>
      <c r="AG45" s="162"/>
      <c r="AH45" s="120"/>
    </row>
    <row r="46" spans="1:34" ht="13.2">
      <c r="A46" s="142"/>
      <c r="B46" s="142"/>
      <c r="C46" s="142"/>
      <c r="D46" s="142"/>
      <c r="E46" s="143">
        <f ca="1">IFERROR(__xludf.DUMMYFUNCTION("""COMPUTED_VALUE"""),43)</f>
        <v>43</v>
      </c>
      <c r="F46" s="174"/>
      <c r="G46" s="144"/>
      <c r="H46" s="144"/>
      <c r="I46" s="170"/>
      <c r="J46" s="170"/>
      <c r="K46" s="147"/>
      <c r="L46" s="147"/>
      <c r="M46" s="170"/>
      <c r="N46" s="170"/>
      <c r="O46" s="133"/>
      <c r="P46" s="133"/>
      <c r="Q46" s="151"/>
      <c r="R46" s="151"/>
      <c r="S46" s="151"/>
      <c r="T46" s="120"/>
      <c r="U46" s="163" t="str">
        <f ca="1">IFERROR(__xludf.DUMMYFUNCTION("""COMPUTED_VALUE"""),"Kent Gardens")</f>
        <v>Kent Gardens</v>
      </c>
      <c r="V46" s="151" t="str">
        <f ca="1">IFERROR(__xludf.DUMMYFUNCTION("""COMPUTED_VALUE"""),"at")</f>
        <v>at</v>
      </c>
      <c r="W46" s="151" t="str">
        <f ca="1">IFERROR(__xludf.DUMMYFUNCTION("""COMPUTED_VALUE"""),"Great Falls")</f>
        <v>Great Falls</v>
      </c>
      <c r="X46" s="164"/>
      <c r="Y46" s="151"/>
      <c r="Z46" s="120"/>
      <c r="AA46" s="165">
        <f ca="1">IFERROR(__xludf.DUMMYFUNCTION("""COMPUTED_VALUE"""),23)</f>
        <v>23</v>
      </c>
      <c r="AB46" s="171">
        <f ca="1">IFERROR(__xludf.DUMMYFUNCTION("""COMPUTED_VALUE"""),44376)</f>
        <v>44376</v>
      </c>
      <c r="AC46" s="166" t="str">
        <f ca="1">IFERROR(__xludf.DUMMYFUNCTION("""COMPUTED_VALUE"""),"20210629-23")</f>
        <v>20210629-23</v>
      </c>
      <c r="AD46" s="166" t="str">
        <f ca="1">IFERROR(__xludf.DUMMYFUNCTION("""COMPUTED_VALUE"""),"GF-Great Falls")</f>
        <v>GF-Great Falls</v>
      </c>
      <c r="AE46" s="166" t="str">
        <f ca="1">IFERROR(__xludf.DUMMYFUNCTION("""COMPUTED_VALUE"""),"KG-Kent Gardens")</f>
        <v>KG-Kent Gardens</v>
      </c>
      <c r="AF46" s="120"/>
      <c r="AG46" s="153"/>
      <c r="AH46" s="120"/>
    </row>
    <row r="47" spans="1:34" ht="13.2">
      <c r="A47" s="142"/>
      <c r="B47" s="142"/>
      <c r="C47" s="142"/>
      <c r="D47" s="142"/>
      <c r="E47" s="143">
        <f ca="1">IFERROR(__xludf.DUMMYFUNCTION("""COMPUTED_VALUE"""),44)</f>
        <v>44</v>
      </c>
      <c r="F47" s="174"/>
      <c r="G47" s="144"/>
      <c r="H47" s="144"/>
      <c r="I47" s="170"/>
      <c r="J47" s="170"/>
      <c r="K47" s="147"/>
      <c r="L47" s="147"/>
      <c r="M47" s="170"/>
      <c r="N47" s="170"/>
      <c r="O47" s="133"/>
      <c r="P47" s="133"/>
      <c r="Q47" s="157"/>
      <c r="R47" s="157"/>
      <c r="S47" s="157"/>
      <c r="T47" s="120"/>
      <c r="U47" s="158" t="str">
        <f ca="1">IFERROR(__xludf.DUMMYFUNCTION("""COMPUTED_VALUE"""),"Division III")</f>
        <v>Division III</v>
      </c>
      <c r="V47" s="157"/>
      <c r="W47" s="157"/>
      <c r="X47" s="159"/>
      <c r="Y47" s="157"/>
      <c r="Z47" s="120"/>
      <c r="AA47" s="167">
        <f ca="1">IFERROR(__xludf.DUMMYFUNCTION("""COMPUTED_VALUE"""),3)</f>
        <v>3</v>
      </c>
      <c r="AB47" s="168">
        <f ca="1">IFERROR(__xludf.DUMMYFUNCTION("""COMPUTED_VALUE"""),44376)</f>
        <v>44376</v>
      </c>
      <c r="AC47" s="161" t="str">
        <f ca="1">IFERROR(__xludf.DUMMYFUNCTION("""COMPUTED_VALUE"""),"")</f>
        <v/>
      </c>
      <c r="AD47" s="161" t="str">
        <f ca="1">IFERROR(__xludf.DUMMYFUNCTION("""COMPUTED_VALUE"""),"")</f>
        <v/>
      </c>
      <c r="AE47" s="161" t="str">
        <f ca="1">IFERROR(__xludf.DUMMYFUNCTION("""COMPUTED_VALUE"""),"")</f>
        <v/>
      </c>
      <c r="AF47" s="120"/>
      <c r="AG47" s="162"/>
      <c r="AH47" s="120"/>
    </row>
    <row r="48" spans="1:34" ht="13.2">
      <c r="A48" s="142"/>
      <c r="B48" s="142"/>
      <c r="C48" s="142"/>
      <c r="D48" s="142"/>
      <c r="E48" s="143">
        <f ca="1">IFERROR(__xludf.DUMMYFUNCTION("""COMPUTED_VALUE"""),45)</f>
        <v>45</v>
      </c>
      <c r="F48" s="174"/>
      <c r="G48" s="144"/>
      <c r="H48" s="144"/>
      <c r="I48" s="170"/>
      <c r="J48" s="170"/>
      <c r="K48" s="147"/>
      <c r="L48" s="147"/>
      <c r="M48" s="170"/>
      <c r="N48" s="170"/>
      <c r="O48" s="133"/>
      <c r="P48" s="133"/>
      <c r="Q48" s="151"/>
      <c r="R48" s="151"/>
      <c r="S48" s="151"/>
      <c r="T48" s="120"/>
      <c r="U48" s="163" t="str">
        <f ca="1">IFERROR(__xludf.DUMMYFUNCTION("""COMPUTED_VALUE"""),"Arlington Forest")</f>
        <v>Arlington Forest</v>
      </c>
      <c r="V48" s="151" t="str">
        <f ca="1">IFERROR(__xludf.DUMMYFUNCTION("""COMPUTED_VALUE"""),"at")</f>
        <v>at</v>
      </c>
      <c r="W48" s="151" t="str">
        <f ca="1">IFERROR(__xludf.DUMMYFUNCTION("""COMPUTED_VALUE"""),"Hunt Valley")</f>
        <v>Hunt Valley</v>
      </c>
      <c r="X48" s="164"/>
      <c r="Y48" s="151"/>
      <c r="Z48" s="120"/>
      <c r="AA48" s="165">
        <f ca="1">IFERROR(__xludf.DUMMYFUNCTION("""COMPUTED_VALUE"""),31)</f>
        <v>31</v>
      </c>
      <c r="AB48" s="171">
        <f ca="1">IFERROR(__xludf.DUMMYFUNCTION("""COMPUTED_VALUE"""),44376)</f>
        <v>44376</v>
      </c>
      <c r="AC48" s="166" t="str">
        <f ca="1">IFERROR(__xludf.DUMMYFUNCTION("""COMPUTED_VALUE"""),"20210629-31")</f>
        <v>20210629-31</v>
      </c>
      <c r="AD48" s="166" t="str">
        <f ca="1">IFERROR(__xludf.DUMMYFUNCTION("""COMPUTED_VALUE"""),"HV-Hunt Valley")</f>
        <v>HV-Hunt Valley</v>
      </c>
      <c r="AE48" s="166" t="str">
        <f ca="1">IFERROR(__xludf.DUMMYFUNCTION("""COMPUTED_VALUE"""),"AF-Arlington Forest")</f>
        <v>AF-Arlington Forest</v>
      </c>
      <c r="AF48" s="120"/>
      <c r="AG48" s="153"/>
      <c r="AH48" s="120"/>
    </row>
    <row r="49" spans="1:34" ht="13.2">
      <c r="A49" s="142"/>
      <c r="B49" s="142"/>
      <c r="C49" s="142"/>
      <c r="D49" s="142"/>
      <c r="E49" s="143">
        <f ca="1">IFERROR(__xludf.DUMMYFUNCTION("""COMPUTED_VALUE"""),46)</f>
        <v>46</v>
      </c>
      <c r="F49" s="174"/>
      <c r="G49" s="144"/>
      <c r="H49" s="144"/>
      <c r="I49" s="170"/>
      <c r="J49" s="170"/>
      <c r="K49" s="147"/>
      <c r="L49" s="147"/>
      <c r="M49" s="170"/>
      <c r="N49" s="170"/>
      <c r="O49" s="133"/>
      <c r="P49" s="133"/>
      <c r="Q49" s="157"/>
      <c r="R49" s="157"/>
      <c r="S49" s="157"/>
      <c r="T49" s="120"/>
      <c r="U49" s="158" t="str">
        <f ca="1">IFERROR(__xludf.DUMMYFUNCTION("""COMPUTED_VALUE"""),"Sleepy Hollow Rec")</f>
        <v>Sleepy Hollow Rec</v>
      </c>
      <c r="V49" s="157" t="str">
        <f ca="1">IFERROR(__xludf.DUMMYFUNCTION("""COMPUTED_VALUE"""),"at")</f>
        <v>at</v>
      </c>
      <c r="W49" s="157" t="str">
        <f ca="1">IFERROR(__xludf.DUMMYFUNCTION("""COMPUTED_VALUE"""),"Lee Graham")</f>
        <v>Lee Graham</v>
      </c>
      <c r="X49" s="159"/>
      <c r="Y49" s="157"/>
      <c r="Z49" s="120"/>
      <c r="AA49" s="167">
        <f ca="1">IFERROR(__xludf.DUMMYFUNCTION("""COMPUTED_VALUE"""),32)</f>
        <v>32</v>
      </c>
      <c r="AB49" s="168">
        <f ca="1">IFERROR(__xludf.DUMMYFUNCTION("""COMPUTED_VALUE"""),44376)</f>
        <v>44376</v>
      </c>
      <c r="AC49" s="161" t="str">
        <f ca="1">IFERROR(__xludf.DUMMYFUNCTION("""COMPUTED_VALUE"""),"20210629-32")</f>
        <v>20210629-32</v>
      </c>
      <c r="AD49" s="161" t="str">
        <f ca="1">IFERROR(__xludf.DUMMYFUNCTION("""COMPUTED_VALUE"""),"LG-Lee Graham")</f>
        <v>LG-Lee Graham</v>
      </c>
      <c r="AE49" s="161" t="str">
        <f ca="1">IFERROR(__xludf.DUMMYFUNCTION("""COMPUTED_VALUE"""),"SHR-Sleepy Hollow Rec")</f>
        <v>SHR-Sleepy Hollow Rec</v>
      </c>
      <c r="AF49" s="120"/>
      <c r="AG49" s="162"/>
      <c r="AH49" s="120"/>
    </row>
    <row r="50" spans="1:34" ht="13.2">
      <c r="A50" s="142"/>
      <c r="B50" s="142"/>
      <c r="C50" s="142"/>
      <c r="D50" s="142"/>
      <c r="E50" s="143">
        <f ca="1">IFERROR(__xludf.DUMMYFUNCTION("""COMPUTED_VALUE"""),47)</f>
        <v>47</v>
      </c>
      <c r="F50" s="174"/>
      <c r="G50" s="144"/>
      <c r="H50" s="144"/>
      <c r="I50" s="170"/>
      <c r="J50" s="170"/>
      <c r="K50" s="147"/>
      <c r="L50" s="147"/>
      <c r="M50" s="170"/>
      <c r="N50" s="170"/>
      <c r="O50" s="133"/>
      <c r="P50" s="133"/>
      <c r="Q50" s="151"/>
      <c r="R50" s="151"/>
      <c r="S50" s="151"/>
      <c r="T50" s="120"/>
      <c r="U50" s="163" t="str">
        <f ca="1">IFERROR(__xludf.DUMMYFUNCTION("""COMPUTED_VALUE"""),"Pinecrest")</f>
        <v>Pinecrest</v>
      </c>
      <c r="V50" s="151" t="str">
        <f ca="1">IFERROR(__xludf.DUMMYFUNCTION("""COMPUTED_VALUE"""),"at")</f>
        <v>at</v>
      </c>
      <c r="W50" s="151" t="str">
        <f ca="1">IFERROR(__xludf.DUMMYFUNCTION("""COMPUTED_VALUE"""),"Donaldson Run")</f>
        <v>Donaldson Run</v>
      </c>
      <c r="X50" s="164"/>
      <c r="Y50" s="151"/>
      <c r="Z50" s="120"/>
      <c r="AA50" s="165">
        <f ca="1">IFERROR(__xludf.DUMMYFUNCTION("""COMPUTED_VALUE"""),33)</f>
        <v>33</v>
      </c>
      <c r="AB50" s="171">
        <f ca="1">IFERROR(__xludf.DUMMYFUNCTION("""COMPUTED_VALUE"""),44376)</f>
        <v>44376</v>
      </c>
      <c r="AC50" s="166" t="str">
        <f ca="1">IFERROR(__xludf.DUMMYFUNCTION("""COMPUTED_VALUE"""),"20210629-33")</f>
        <v>20210629-33</v>
      </c>
      <c r="AD50" s="166" t="str">
        <f ca="1">IFERROR(__xludf.DUMMYFUNCTION("""COMPUTED_VALUE"""),"DR-Donaldson Run")</f>
        <v>DR-Donaldson Run</v>
      </c>
      <c r="AE50" s="166" t="str">
        <f ca="1">IFERROR(__xludf.DUMMYFUNCTION("""COMPUTED_VALUE"""),"PC-Pinecrest")</f>
        <v>PC-Pinecrest</v>
      </c>
      <c r="AF50" s="120"/>
      <c r="AG50" s="153"/>
      <c r="AH50" s="120"/>
    </row>
    <row r="51" spans="1:34" ht="13.2">
      <c r="A51" s="142"/>
      <c r="B51" s="142"/>
      <c r="C51" s="142"/>
      <c r="D51" s="142"/>
      <c r="E51" s="143">
        <f ca="1">IFERROR(__xludf.DUMMYFUNCTION("""COMPUTED_VALUE"""),48)</f>
        <v>48</v>
      </c>
      <c r="F51" s="174"/>
      <c r="G51" s="144"/>
      <c r="H51" s="144"/>
      <c r="I51" s="170"/>
      <c r="J51" s="170"/>
      <c r="K51" s="147"/>
      <c r="L51" s="147"/>
      <c r="M51" s="170"/>
      <c r="N51" s="170"/>
      <c r="O51" s="133"/>
      <c r="P51" s="133"/>
      <c r="Q51" s="157"/>
      <c r="R51" s="157"/>
      <c r="S51" s="157"/>
      <c r="T51" s="120"/>
      <c r="U51" s="158" t="str">
        <f ca="1">IFERROR(__xludf.DUMMYFUNCTION("""COMPUTED_VALUE"""),"Division IV")</f>
        <v>Division IV</v>
      </c>
      <c r="V51" s="157"/>
      <c r="W51" s="157"/>
      <c r="X51" s="159"/>
      <c r="Y51" s="157"/>
      <c r="Z51" s="120"/>
      <c r="AA51" s="167">
        <f ca="1">IFERROR(__xludf.DUMMYFUNCTION("""COMPUTED_VALUE"""),4)</f>
        <v>4</v>
      </c>
      <c r="AB51" s="168">
        <f ca="1">IFERROR(__xludf.DUMMYFUNCTION("""COMPUTED_VALUE"""),44376)</f>
        <v>44376</v>
      </c>
      <c r="AC51" s="161" t="str">
        <f ca="1">IFERROR(__xludf.DUMMYFUNCTION("""COMPUTED_VALUE"""),"")</f>
        <v/>
      </c>
      <c r="AD51" s="161" t="str">
        <f ca="1">IFERROR(__xludf.DUMMYFUNCTION("""COMPUTED_VALUE"""),"")</f>
        <v/>
      </c>
      <c r="AE51" s="161" t="str">
        <f ca="1">IFERROR(__xludf.DUMMYFUNCTION("""COMPUTED_VALUE"""),"")</f>
        <v/>
      </c>
      <c r="AF51" s="120"/>
      <c r="AG51" s="162"/>
      <c r="AH51" s="120"/>
    </row>
    <row r="52" spans="1:34" ht="13.2">
      <c r="A52" s="142"/>
      <c r="B52" s="142"/>
      <c r="C52" s="142"/>
      <c r="D52" s="142"/>
      <c r="E52" s="143">
        <f ca="1">IFERROR(__xludf.DUMMYFUNCTION("""COMPUTED_VALUE"""),49)</f>
        <v>49</v>
      </c>
      <c r="F52" s="174"/>
      <c r="G52" s="144"/>
      <c r="H52" s="144"/>
      <c r="I52" s="170"/>
      <c r="J52" s="170"/>
      <c r="K52" s="147"/>
      <c r="L52" s="147"/>
      <c r="M52" s="170"/>
      <c r="N52" s="170"/>
      <c r="O52" s="133"/>
      <c r="P52" s="133"/>
      <c r="Q52" s="151"/>
      <c r="R52" s="151"/>
      <c r="S52" s="151"/>
      <c r="T52" s="120"/>
      <c r="U52" s="163" t="str">
        <f ca="1">IFERROR(__xludf.DUMMYFUNCTION("""COMPUTED_VALUE"""),"Highlands Swim")</f>
        <v>Highlands Swim</v>
      </c>
      <c r="V52" s="151" t="str">
        <f ca="1">IFERROR(__xludf.DUMMYFUNCTION("""COMPUTED_VALUE"""),"at")</f>
        <v>at</v>
      </c>
      <c r="W52" s="151" t="str">
        <f ca="1">IFERROR(__xludf.DUMMYFUNCTION("""COMPUTED_VALUE"""),"Chesterbrook")</f>
        <v>Chesterbrook</v>
      </c>
      <c r="X52" s="164"/>
      <c r="Y52" s="151"/>
      <c r="Z52" s="120"/>
      <c r="AA52" s="165">
        <f ca="1">IFERROR(__xludf.DUMMYFUNCTION("""COMPUTED_VALUE"""),41)</f>
        <v>41</v>
      </c>
      <c r="AB52" s="171">
        <f ca="1">IFERROR(__xludf.DUMMYFUNCTION("""COMPUTED_VALUE"""),44376)</f>
        <v>44376</v>
      </c>
      <c r="AC52" s="166" t="str">
        <f ca="1">IFERROR(__xludf.DUMMYFUNCTION("""COMPUTED_VALUE"""),"20210629-41")</f>
        <v>20210629-41</v>
      </c>
      <c r="AD52" s="166" t="str">
        <f ca="1">IFERROR(__xludf.DUMMYFUNCTION("""COMPUTED_VALUE"""),"CB-Chesterbrook")</f>
        <v>CB-Chesterbrook</v>
      </c>
      <c r="AE52" s="166" t="str">
        <f ca="1">IFERROR(__xludf.DUMMYFUNCTION("""COMPUTED_VALUE"""),"HS-Highlands Swim")</f>
        <v>HS-Highlands Swim</v>
      </c>
      <c r="AF52" s="120"/>
      <c r="AG52" s="153"/>
      <c r="AH52" s="120"/>
    </row>
    <row r="53" spans="1:34" ht="13.2">
      <c r="A53" s="142"/>
      <c r="B53" s="142"/>
      <c r="C53" s="142"/>
      <c r="D53" s="142"/>
      <c r="E53" s="143">
        <f ca="1">IFERROR(__xludf.DUMMYFUNCTION("""COMPUTED_VALUE"""),50)</f>
        <v>50</v>
      </c>
      <c r="F53" s="174"/>
      <c r="G53" s="144"/>
      <c r="H53" s="144"/>
      <c r="I53" s="170"/>
      <c r="J53" s="170"/>
      <c r="K53" s="147"/>
      <c r="L53" s="147"/>
      <c r="M53" s="170"/>
      <c r="N53" s="170"/>
      <c r="O53" s="133"/>
      <c r="P53" s="133"/>
      <c r="Q53" s="157"/>
      <c r="R53" s="157"/>
      <c r="S53" s="157"/>
      <c r="T53" s="120"/>
      <c r="U53" s="158" t="str">
        <f ca="1">IFERROR(__xludf.DUMMYFUNCTION("""COMPUTED_VALUE"""),"Dominion Hills")</f>
        <v>Dominion Hills</v>
      </c>
      <c r="V53" s="157" t="str">
        <f ca="1">IFERROR(__xludf.DUMMYFUNCTION("""COMPUTED_VALUE"""),"at")</f>
        <v>at</v>
      </c>
      <c r="W53" s="157" t="str">
        <f ca="1">IFERROR(__xludf.DUMMYFUNCTION("""COMPUTED_VALUE"""),"Tuckahoe")</f>
        <v>Tuckahoe</v>
      </c>
      <c r="X53" s="159"/>
      <c r="Y53" s="157"/>
      <c r="Z53" s="120"/>
      <c r="AA53" s="167">
        <f ca="1">IFERROR(__xludf.DUMMYFUNCTION("""COMPUTED_VALUE"""),42)</f>
        <v>42</v>
      </c>
      <c r="AB53" s="168">
        <f ca="1">IFERROR(__xludf.DUMMYFUNCTION("""COMPUTED_VALUE"""),44376)</f>
        <v>44376</v>
      </c>
      <c r="AC53" s="161" t="str">
        <f ca="1">IFERROR(__xludf.DUMMYFUNCTION("""COMPUTED_VALUE"""),"20210629-42")</f>
        <v>20210629-42</v>
      </c>
      <c r="AD53" s="161" t="str">
        <f ca="1">IFERROR(__xludf.DUMMYFUNCTION("""COMPUTED_VALUE"""),"T-Tuckahoe")</f>
        <v>T-Tuckahoe</v>
      </c>
      <c r="AE53" s="161" t="str">
        <f ca="1">IFERROR(__xludf.DUMMYFUNCTION("""COMPUTED_VALUE"""),"DH-Dominion Hills")</f>
        <v>DH-Dominion Hills</v>
      </c>
      <c r="AF53" s="120"/>
      <c r="AG53" s="162"/>
      <c r="AH53" s="120"/>
    </row>
    <row r="54" spans="1:34" ht="13.2">
      <c r="A54" s="142"/>
      <c r="B54" s="142"/>
      <c r="C54" s="142"/>
      <c r="D54" s="142"/>
      <c r="E54" s="143">
        <f ca="1">IFERROR(__xludf.DUMMYFUNCTION("""COMPUTED_VALUE"""),51)</f>
        <v>51</v>
      </c>
      <c r="F54" s="174"/>
      <c r="G54" s="144"/>
      <c r="H54" s="144"/>
      <c r="I54" s="170"/>
      <c r="J54" s="170"/>
      <c r="K54" s="147"/>
      <c r="L54" s="147"/>
      <c r="M54" s="170"/>
      <c r="N54" s="170"/>
      <c r="O54" s="133"/>
      <c r="P54" s="133"/>
      <c r="Q54" s="151"/>
      <c r="R54" s="151"/>
      <c r="S54" s="151"/>
      <c r="T54" s="120"/>
      <c r="U54" s="163" t="str">
        <f ca="1">IFERROR(__xludf.DUMMYFUNCTION("""COMPUTED_VALUE"""),"Wakefield Chapel")</f>
        <v>Wakefield Chapel</v>
      </c>
      <c r="V54" s="151" t="str">
        <f ca="1">IFERROR(__xludf.DUMMYFUNCTION("""COMPUTED_VALUE"""),"at")</f>
        <v>at</v>
      </c>
      <c r="W54" s="151" t="str">
        <f ca="1">IFERROR(__xludf.DUMMYFUNCTION("""COMPUTED_VALUE"""),"Hayfield Farm")</f>
        <v>Hayfield Farm</v>
      </c>
      <c r="X54" s="164"/>
      <c r="Y54" s="151"/>
      <c r="Z54" s="120"/>
      <c r="AA54" s="165">
        <f ca="1">IFERROR(__xludf.DUMMYFUNCTION("""COMPUTED_VALUE"""),43)</f>
        <v>43</v>
      </c>
      <c r="AB54" s="171">
        <f ca="1">IFERROR(__xludf.DUMMYFUNCTION("""COMPUTED_VALUE"""),44376)</f>
        <v>44376</v>
      </c>
      <c r="AC54" s="166" t="str">
        <f ca="1">IFERROR(__xludf.DUMMYFUNCTION("""COMPUTED_VALUE"""),"20210629-43")</f>
        <v>20210629-43</v>
      </c>
      <c r="AD54" s="166" t="str">
        <f ca="1">IFERROR(__xludf.DUMMYFUNCTION("""COMPUTED_VALUE"""),"HF-Hayfield Farm")</f>
        <v>HF-Hayfield Farm</v>
      </c>
      <c r="AE54" s="166" t="str">
        <f ca="1">IFERROR(__xludf.DUMMYFUNCTION("""COMPUTED_VALUE"""),"WC-Wakefield Chapel")</f>
        <v>WC-Wakefield Chapel</v>
      </c>
      <c r="AF54" s="120"/>
      <c r="AG54" s="153"/>
      <c r="AH54" s="120"/>
    </row>
    <row r="55" spans="1:34" ht="13.2">
      <c r="A55" s="142"/>
      <c r="B55" s="142"/>
      <c r="C55" s="142"/>
      <c r="D55" s="142"/>
      <c r="E55" s="143"/>
      <c r="F55" s="174"/>
      <c r="G55" s="144"/>
      <c r="H55" s="144"/>
      <c r="I55" s="170"/>
      <c r="J55" s="170"/>
      <c r="K55" s="147"/>
      <c r="L55" s="147"/>
      <c r="M55" s="170"/>
      <c r="N55" s="170"/>
      <c r="O55" s="133"/>
      <c r="P55" s="133"/>
      <c r="Q55" s="157"/>
      <c r="R55" s="157"/>
      <c r="S55" s="157"/>
      <c r="T55" s="120"/>
      <c r="U55" s="158" t="str">
        <f ca="1">IFERROR(__xludf.DUMMYFUNCTION("""COMPUTED_VALUE"""),"Division V")</f>
        <v>Division V</v>
      </c>
      <c r="V55" s="157"/>
      <c r="W55" s="157"/>
      <c r="X55" s="159"/>
      <c r="Y55" s="157"/>
      <c r="Z55" s="120"/>
      <c r="AA55" s="167">
        <f ca="1">IFERROR(__xludf.DUMMYFUNCTION("""COMPUTED_VALUE"""),5)</f>
        <v>5</v>
      </c>
      <c r="AB55" s="168">
        <f ca="1">IFERROR(__xludf.DUMMYFUNCTION("""COMPUTED_VALUE"""),44376)</f>
        <v>44376</v>
      </c>
      <c r="AC55" s="161" t="str">
        <f ca="1">IFERROR(__xludf.DUMMYFUNCTION("""COMPUTED_VALUE"""),"")</f>
        <v/>
      </c>
      <c r="AD55" s="161" t="str">
        <f ca="1">IFERROR(__xludf.DUMMYFUNCTION("""COMPUTED_VALUE"""),"")</f>
        <v/>
      </c>
      <c r="AE55" s="161" t="str">
        <f ca="1">IFERROR(__xludf.DUMMYFUNCTION("""COMPUTED_VALUE"""),"")</f>
        <v/>
      </c>
      <c r="AF55" s="120"/>
      <c r="AG55" s="162"/>
      <c r="AH55" s="120"/>
    </row>
    <row r="56" spans="1:34" ht="13.2">
      <c r="A56" s="142"/>
      <c r="B56" s="142"/>
      <c r="C56" s="142"/>
      <c r="D56" s="142"/>
      <c r="E56" s="143"/>
      <c r="F56" s="174"/>
      <c r="G56" s="144"/>
      <c r="H56" s="144"/>
      <c r="I56" s="170"/>
      <c r="J56" s="170"/>
      <c r="K56" s="147"/>
      <c r="L56" s="147"/>
      <c r="M56" s="170"/>
      <c r="N56" s="170"/>
      <c r="O56" s="133"/>
      <c r="P56" s="133"/>
      <c r="Q56" s="151"/>
      <c r="R56" s="151"/>
      <c r="S56" s="151"/>
      <c r="T56" s="120"/>
      <c r="U56" s="163" t="str">
        <f ca="1">IFERROR(__xludf.DUMMYFUNCTION("""COMPUTED_VALUE"""),"Lakeview")</f>
        <v>Lakeview</v>
      </c>
      <c r="V56" s="151" t="str">
        <f ca="1">IFERROR(__xludf.DUMMYFUNCTION("""COMPUTED_VALUE"""),"at")</f>
        <v>at</v>
      </c>
      <c r="W56" s="151" t="str">
        <f ca="1">IFERROR(__xludf.DUMMYFUNCTION("""COMPUTED_VALUE"""),"Rolling Hills")</f>
        <v>Rolling Hills</v>
      </c>
      <c r="X56" s="164"/>
      <c r="Y56" s="151"/>
      <c r="Z56" s="120"/>
      <c r="AA56" s="165">
        <f ca="1">IFERROR(__xludf.DUMMYFUNCTION("""COMPUTED_VALUE"""),51)</f>
        <v>51</v>
      </c>
      <c r="AB56" s="171">
        <f ca="1">IFERROR(__xludf.DUMMYFUNCTION("""COMPUTED_VALUE"""),44376)</f>
        <v>44376</v>
      </c>
      <c r="AC56" s="166" t="str">
        <f ca="1">IFERROR(__xludf.DUMMYFUNCTION("""COMPUTED_VALUE"""),"20210629-51")</f>
        <v>20210629-51</v>
      </c>
      <c r="AD56" s="166" t="str">
        <f ca="1">IFERROR(__xludf.DUMMYFUNCTION("""COMPUTED_VALUE"""),"RH-Rolling Hills")</f>
        <v>RH-Rolling Hills</v>
      </c>
      <c r="AE56" s="166" t="str">
        <f ca="1">IFERROR(__xludf.DUMMYFUNCTION("""COMPUTED_VALUE"""),"LV-Lakeview")</f>
        <v>LV-Lakeview</v>
      </c>
      <c r="AF56" s="120"/>
      <c r="AG56" s="153"/>
      <c r="AH56" s="120"/>
    </row>
    <row r="57" spans="1:34" ht="13.2">
      <c r="A57" s="142"/>
      <c r="B57" s="142"/>
      <c r="C57" s="142"/>
      <c r="D57" s="142"/>
      <c r="E57" s="143"/>
      <c r="F57" s="174"/>
      <c r="G57" s="144"/>
      <c r="H57" s="144"/>
      <c r="I57" s="170"/>
      <c r="J57" s="170"/>
      <c r="K57" s="147"/>
      <c r="L57" s="147"/>
      <c r="M57" s="170"/>
      <c r="N57" s="170"/>
      <c r="O57" s="133"/>
      <c r="P57" s="133"/>
      <c r="Q57" s="157"/>
      <c r="R57" s="157"/>
      <c r="S57" s="157"/>
      <c r="T57" s="120"/>
      <c r="U57" s="158" t="str">
        <f ca="1">IFERROR(__xludf.DUMMYFUNCTION("""COMPUTED_VALUE"""),"Camelot")</f>
        <v>Camelot</v>
      </c>
      <c r="V57" s="157" t="str">
        <f ca="1">IFERROR(__xludf.DUMMYFUNCTION("""COMPUTED_VALUE"""),"at")</f>
        <v>at</v>
      </c>
      <c r="W57" s="157" t="str">
        <f ca="1">IFERROR(__xludf.DUMMYFUNCTION("""COMPUTED_VALUE"""),"Sleepy Hollow B &amp; R")</f>
        <v>Sleepy Hollow B &amp; R</v>
      </c>
      <c r="X57" s="159"/>
      <c r="Y57" s="157"/>
      <c r="Z57" s="120"/>
      <c r="AA57" s="167">
        <f ca="1">IFERROR(__xludf.DUMMYFUNCTION("""COMPUTED_VALUE"""),52)</f>
        <v>52</v>
      </c>
      <c r="AB57" s="168">
        <f ca="1">IFERROR(__xludf.DUMMYFUNCTION("""COMPUTED_VALUE"""),44376)</f>
        <v>44376</v>
      </c>
      <c r="AC57" s="161" t="str">
        <f ca="1">IFERROR(__xludf.DUMMYFUNCTION("""COMPUTED_VALUE"""),"20210629-52")</f>
        <v>20210629-52</v>
      </c>
      <c r="AD57" s="161" t="str">
        <f ca="1">IFERROR(__xludf.DUMMYFUNCTION("""COMPUTED_VALUE"""),"SHB-Sleepy Hollow Bath")</f>
        <v>SHB-Sleepy Hollow Bath</v>
      </c>
      <c r="AE57" s="161" t="str">
        <f ca="1">IFERROR(__xludf.DUMMYFUNCTION("""COMPUTED_VALUE"""),"CCC-Camelot Community Club")</f>
        <v>CCC-Camelot Community Club</v>
      </c>
      <c r="AF57" s="120"/>
      <c r="AG57" s="162"/>
      <c r="AH57" s="120"/>
    </row>
    <row r="58" spans="1:34" ht="13.2">
      <c r="A58" s="142"/>
      <c r="B58" s="142"/>
      <c r="C58" s="142"/>
      <c r="D58" s="142"/>
      <c r="E58" s="143"/>
      <c r="F58" s="174"/>
      <c r="G58" s="144"/>
      <c r="H58" s="144"/>
      <c r="I58" s="170"/>
      <c r="J58" s="170"/>
      <c r="K58" s="147"/>
      <c r="L58" s="147"/>
      <c r="M58" s="170"/>
      <c r="N58" s="170"/>
      <c r="O58" s="133"/>
      <c r="P58" s="133"/>
      <c r="Q58" s="151"/>
      <c r="R58" s="151"/>
      <c r="S58" s="151"/>
      <c r="T58" s="120"/>
      <c r="U58" s="163" t="str">
        <f ca="1">IFERROR(__xludf.DUMMYFUNCTION("""COMPUTED_VALUE"""),"Crosspointe")</f>
        <v>Crosspointe</v>
      </c>
      <c r="V58" s="151" t="str">
        <f ca="1">IFERROR(__xludf.DUMMYFUNCTION("""COMPUTED_VALUE"""),"at")</f>
        <v>at</v>
      </c>
      <c r="W58" s="151" t="str">
        <f ca="1">IFERROR(__xludf.DUMMYFUNCTION("""COMPUTED_VALUE"""),"Ravensworth Farm")</f>
        <v>Ravensworth Farm</v>
      </c>
      <c r="X58" s="164"/>
      <c r="Y58" s="151"/>
      <c r="Z58" s="120"/>
      <c r="AA58" s="165">
        <f ca="1">IFERROR(__xludf.DUMMYFUNCTION("""COMPUTED_VALUE"""),53)</f>
        <v>53</v>
      </c>
      <c r="AB58" s="171">
        <f ca="1">IFERROR(__xludf.DUMMYFUNCTION("""COMPUTED_VALUE"""),44376)</f>
        <v>44376</v>
      </c>
      <c r="AC58" s="166" t="str">
        <f ca="1">IFERROR(__xludf.DUMMYFUNCTION("""COMPUTED_VALUE"""),"20210629-53")</f>
        <v>20210629-53</v>
      </c>
      <c r="AD58" s="166" t="str">
        <f ca="1">IFERROR(__xludf.DUMMYFUNCTION("""COMPUTED_VALUE"""),"R-Ravensworth Farm")</f>
        <v>R-Ravensworth Farm</v>
      </c>
      <c r="AE58" s="166" t="str">
        <f ca="1">IFERROR(__xludf.DUMMYFUNCTION("""COMPUTED_VALUE"""),"CP-Crosspointe")</f>
        <v>CP-Crosspointe</v>
      </c>
      <c r="AF58" s="120"/>
      <c r="AG58" s="153"/>
      <c r="AH58" s="120"/>
    </row>
    <row r="59" spans="1:34" ht="13.2">
      <c r="A59" s="142"/>
      <c r="B59" s="142"/>
      <c r="C59" s="142"/>
      <c r="D59" s="142"/>
      <c r="E59" s="174"/>
      <c r="F59" s="174"/>
      <c r="G59" s="144"/>
      <c r="H59" s="144"/>
      <c r="I59" s="170"/>
      <c r="J59" s="170"/>
      <c r="K59" s="147"/>
      <c r="L59" s="147"/>
      <c r="M59" s="170"/>
      <c r="N59" s="170"/>
      <c r="O59" s="133"/>
      <c r="P59" s="133"/>
      <c r="Q59" s="157"/>
      <c r="R59" s="157"/>
      <c r="S59" s="157"/>
      <c r="T59" s="120"/>
      <c r="U59" s="158" t="str">
        <f ca="1">IFERROR(__xludf.DUMMYFUNCTION("""COMPUTED_VALUE"""),"Division VI")</f>
        <v>Division VI</v>
      </c>
      <c r="V59" s="157"/>
      <c r="W59" s="157"/>
      <c r="X59" s="159"/>
      <c r="Y59" s="157"/>
      <c r="Z59" s="120"/>
      <c r="AA59" s="167">
        <f ca="1">IFERROR(__xludf.DUMMYFUNCTION("""COMPUTED_VALUE"""),6)</f>
        <v>6</v>
      </c>
      <c r="AB59" s="168">
        <f ca="1">IFERROR(__xludf.DUMMYFUNCTION("""COMPUTED_VALUE"""),44376)</f>
        <v>44376</v>
      </c>
      <c r="AC59" s="161" t="str">
        <f ca="1">IFERROR(__xludf.DUMMYFUNCTION("""COMPUTED_VALUE"""),"")</f>
        <v/>
      </c>
      <c r="AD59" s="161" t="str">
        <f ca="1">IFERROR(__xludf.DUMMYFUNCTION("""COMPUTED_VALUE"""),"")</f>
        <v/>
      </c>
      <c r="AE59" s="161" t="str">
        <f ca="1">IFERROR(__xludf.DUMMYFUNCTION("""COMPUTED_VALUE"""),"")</f>
        <v/>
      </c>
      <c r="AF59" s="120"/>
      <c r="AG59" s="162"/>
      <c r="AH59" s="120"/>
    </row>
    <row r="60" spans="1:34" ht="13.2">
      <c r="A60" s="142"/>
      <c r="B60" s="142"/>
      <c r="C60" s="142"/>
      <c r="D60" s="142"/>
      <c r="E60" s="174"/>
      <c r="F60" s="174"/>
      <c r="G60" s="175"/>
      <c r="H60" s="175"/>
      <c r="I60" s="170"/>
      <c r="J60" s="170"/>
      <c r="K60" s="147"/>
      <c r="L60" s="147"/>
      <c r="M60" s="170"/>
      <c r="N60" s="170"/>
      <c r="O60" s="133"/>
      <c r="P60" s="133"/>
      <c r="Q60" s="151"/>
      <c r="R60" s="151"/>
      <c r="S60" s="151"/>
      <c r="T60" s="120"/>
      <c r="U60" s="163" t="str">
        <f ca="1">IFERROR(__xludf.DUMMYFUNCTION("""COMPUTED_VALUE"""),"Highland Park")</f>
        <v>Highland Park</v>
      </c>
      <c r="V60" s="151" t="str">
        <f ca="1">IFERROR(__xludf.DUMMYFUNCTION("""COMPUTED_VALUE"""),"at")</f>
        <v>at</v>
      </c>
      <c r="W60" s="151" t="str">
        <f ca="1">IFERROR(__xludf.DUMMYFUNCTION("""COMPUTED_VALUE"""),"Parliament")</f>
        <v>Parliament</v>
      </c>
      <c r="X60" s="164"/>
      <c r="Y60" s="151"/>
      <c r="Z60" s="120"/>
      <c r="AA60" s="165">
        <f ca="1">IFERROR(__xludf.DUMMYFUNCTION("""COMPUTED_VALUE"""),61)</f>
        <v>61</v>
      </c>
      <c r="AB60" s="171">
        <f ca="1">IFERROR(__xludf.DUMMYFUNCTION("""COMPUTED_VALUE"""),44376)</f>
        <v>44376</v>
      </c>
      <c r="AC60" s="166" t="str">
        <f ca="1">IFERROR(__xludf.DUMMYFUNCTION("""COMPUTED_VALUE"""),"20210629-61")</f>
        <v>20210629-61</v>
      </c>
      <c r="AD60" s="166" t="str">
        <f ca="1">IFERROR(__xludf.DUMMYFUNCTION("""COMPUTED_VALUE"""),"PAR-Parliament")</f>
        <v>PAR-Parliament</v>
      </c>
      <c r="AE60" s="166" t="str">
        <f ca="1">IFERROR(__xludf.DUMMYFUNCTION("""COMPUTED_VALUE"""),"HP-Highland Park")</f>
        <v>HP-Highland Park</v>
      </c>
      <c r="AF60" s="120"/>
      <c r="AG60" s="153"/>
      <c r="AH60" s="120"/>
    </row>
    <row r="61" spans="1:34" ht="13.2">
      <c r="A61" s="142"/>
      <c r="B61" s="142"/>
      <c r="C61" s="142"/>
      <c r="D61" s="142"/>
      <c r="E61" s="174"/>
      <c r="F61" s="174"/>
      <c r="G61" s="175"/>
      <c r="H61" s="175"/>
      <c r="I61" s="170"/>
      <c r="J61" s="170"/>
      <c r="K61" s="147"/>
      <c r="L61" s="147"/>
      <c r="M61" s="170"/>
      <c r="N61" s="170"/>
      <c r="O61" s="133"/>
      <c r="P61" s="133"/>
      <c r="Q61" s="157"/>
      <c r="R61" s="157"/>
      <c r="S61" s="157"/>
      <c r="T61" s="120"/>
      <c r="U61" s="158" t="str">
        <f ca="1">IFERROR(__xludf.DUMMYFUNCTION("""COMPUTED_VALUE"""),"Fairfax Station")</f>
        <v>Fairfax Station</v>
      </c>
      <c r="V61" s="157" t="str">
        <f ca="1">IFERROR(__xludf.DUMMYFUNCTION("""COMPUTED_VALUE"""),"at")</f>
        <v>at</v>
      </c>
      <c r="W61" s="157" t="str">
        <f ca="1">IFERROR(__xludf.DUMMYFUNCTION("""COMPUTED_VALUE"""),"Greenbriar")</f>
        <v>Greenbriar</v>
      </c>
      <c r="X61" s="159"/>
      <c r="Y61" s="157"/>
      <c r="Z61" s="120"/>
      <c r="AA61" s="167">
        <f ca="1">IFERROR(__xludf.DUMMYFUNCTION("""COMPUTED_VALUE"""),62)</f>
        <v>62</v>
      </c>
      <c r="AB61" s="168">
        <f ca="1">IFERROR(__xludf.DUMMYFUNCTION("""COMPUTED_VALUE"""),44376)</f>
        <v>44376</v>
      </c>
      <c r="AC61" s="161" t="str">
        <f ca="1">IFERROR(__xludf.DUMMYFUNCTION("""COMPUTED_VALUE"""),"20210629-62")</f>
        <v>20210629-62</v>
      </c>
      <c r="AD61" s="161" t="str">
        <f ca="1">IFERROR(__xludf.DUMMYFUNCTION("""COMPUTED_VALUE"""),"G-Greenbriar")</f>
        <v>G-Greenbriar</v>
      </c>
      <c r="AE61" s="161" t="str">
        <f ca="1">IFERROR(__xludf.DUMMYFUNCTION("""COMPUTED_VALUE"""),"FS-Fairfax Station")</f>
        <v>FS-Fairfax Station</v>
      </c>
      <c r="AF61" s="120"/>
      <c r="AG61" s="162"/>
      <c r="AH61" s="120"/>
    </row>
    <row r="62" spans="1:34" ht="13.2">
      <c r="A62" s="142"/>
      <c r="B62" s="142"/>
      <c r="C62" s="142"/>
      <c r="D62" s="142"/>
      <c r="E62" s="174"/>
      <c r="F62" s="174"/>
      <c r="G62" s="175"/>
      <c r="H62" s="175"/>
      <c r="I62" s="170"/>
      <c r="J62" s="170"/>
      <c r="K62" s="147"/>
      <c r="L62" s="147"/>
      <c r="M62" s="170"/>
      <c r="N62" s="170"/>
      <c r="O62" s="133"/>
      <c r="P62" s="133"/>
      <c r="Q62" s="151"/>
      <c r="R62" s="151"/>
      <c r="S62" s="151"/>
      <c r="T62" s="120"/>
      <c r="U62" s="163" t="str">
        <f ca="1">IFERROR(__xludf.DUMMYFUNCTION("""COMPUTED_VALUE"""),"Orange Hunt")</f>
        <v>Orange Hunt</v>
      </c>
      <c r="V62" s="151" t="str">
        <f ca="1">IFERROR(__xludf.DUMMYFUNCTION("""COMPUTED_VALUE"""),"at")</f>
        <v>at</v>
      </c>
      <c r="W62" s="151" t="str">
        <f ca="1">IFERROR(__xludf.DUMMYFUNCTION("""COMPUTED_VALUE"""),"Cardinal Hill")</f>
        <v>Cardinal Hill</v>
      </c>
      <c r="X62" s="164"/>
      <c r="Y62" s="151"/>
      <c r="Z62" s="120"/>
      <c r="AA62" s="165">
        <f ca="1">IFERROR(__xludf.DUMMYFUNCTION("""COMPUTED_VALUE"""),63)</f>
        <v>63</v>
      </c>
      <c r="AB62" s="171">
        <f ca="1">IFERROR(__xludf.DUMMYFUNCTION("""COMPUTED_VALUE"""),44376)</f>
        <v>44376</v>
      </c>
      <c r="AC62" s="166" t="str">
        <f ca="1">IFERROR(__xludf.DUMMYFUNCTION("""COMPUTED_VALUE"""),"20210629-63")</f>
        <v>20210629-63</v>
      </c>
      <c r="AD62" s="166" t="str">
        <f ca="1">IFERROR(__xludf.DUMMYFUNCTION("""COMPUTED_VALUE"""),"CH-Cardinal Hill")</f>
        <v>CH-Cardinal Hill</v>
      </c>
      <c r="AE62" s="166" t="str">
        <f ca="1">IFERROR(__xludf.DUMMYFUNCTION("""COMPUTED_VALUE"""),"OH-Orange Hunt")</f>
        <v>OH-Orange Hunt</v>
      </c>
      <c r="AF62" s="120"/>
      <c r="AG62" s="153"/>
      <c r="AH62" s="120"/>
    </row>
    <row r="63" spans="1:34" ht="13.2">
      <c r="A63" s="142"/>
      <c r="B63" s="142"/>
      <c r="C63" s="142"/>
      <c r="D63" s="142"/>
      <c r="E63" s="174"/>
      <c r="F63" s="174"/>
      <c r="G63" s="175"/>
      <c r="H63" s="175"/>
      <c r="I63" s="170"/>
      <c r="J63" s="170"/>
      <c r="K63" s="147"/>
      <c r="L63" s="147"/>
      <c r="M63" s="170"/>
      <c r="N63" s="170"/>
      <c r="O63" s="133"/>
      <c r="P63" s="133"/>
      <c r="Q63" s="157"/>
      <c r="R63" s="157"/>
      <c r="S63" s="157"/>
      <c r="T63" s="120"/>
      <c r="U63" s="158" t="str">
        <f ca="1">IFERROR(__xludf.DUMMYFUNCTION("""COMPUTED_VALUE"""),"Division VII")</f>
        <v>Division VII</v>
      </c>
      <c r="V63" s="157"/>
      <c r="W63" s="157"/>
      <c r="X63" s="157"/>
      <c r="Y63" s="157"/>
      <c r="Z63" s="120"/>
      <c r="AA63" s="167">
        <f ca="1">IFERROR(__xludf.DUMMYFUNCTION("""COMPUTED_VALUE"""),7)</f>
        <v>7</v>
      </c>
      <c r="AB63" s="168">
        <f ca="1">IFERROR(__xludf.DUMMYFUNCTION("""COMPUTED_VALUE"""),44376)</f>
        <v>44376</v>
      </c>
      <c r="AC63" s="161" t="str">
        <f ca="1">IFERROR(__xludf.DUMMYFUNCTION("""COMPUTED_VALUE"""),"")</f>
        <v/>
      </c>
      <c r="AD63" s="157" t="str">
        <f ca="1">IFERROR(__xludf.DUMMYFUNCTION("""COMPUTED_VALUE"""),"")</f>
        <v/>
      </c>
      <c r="AE63" s="157" t="str">
        <f ca="1">IFERROR(__xludf.DUMMYFUNCTION("""COMPUTED_VALUE"""),"")</f>
        <v/>
      </c>
      <c r="AF63" s="120"/>
      <c r="AG63" s="162"/>
      <c r="AH63" s="120"/>
    </row>
    <row r="64" spans="1:34" ht="13.2">
      <c r="A64" s="142"/>
      <c r="B64" s="142"/>
      <c r="C64" s="142"/>
      <c r="D64" s="142"/>
      <c r="E64" s="174"/>
      <c r="F64" s="174"/>
      <c r="G64" s="175"/>
      <c r="H64" s="175"/>
      <c r="I64" s="170"/>
      <c r="J64" s="170"/>
      <c r="K64" s="147"/>
      <c r="L64" s="147"/>
      <c r="M64" s="170"/>
      <c r="N64" s="170"/>
      <c r="O64" s="133"/>
      <c r="P64" s="133"/>
      <c r="Q64" s="151"/>
      <c r="R64" s="151"/>
      <c r="S64" s="151"/>
      <c r="T64" s="120"/>
      <c r="U64" s="163" t="str">
        <f ca="1">IFERROR(__xludf.DUMMYFUNCTION("""COMPUTED_VALUE"""),"Stratford")</f>
        <v>Stratford</v>
      </c>
      <c r="V64" s="151" t="str">
        <f ca="1">IFERROR(__xludf.DUMMYFUNCTION("""COMPUTED_VALUE"""),"at")</f>
        <v>at</v>
      </c>
      <c r="W64" s="151" t="str">
        <f ca="1">IFERROR(__xludf.DUMMYFUNCTION("""COMPUTED_VALUE"""),"Springboard")</f>
        <v>Springboard</v>
      </c>
      <c r="X64" s="151"/>
      <c r="Y64" s="151"/>
      <c r="Z64" s="120"/>
      <c r="AA64" s="165">
        <f ca="1">IFERROR(__xludf.DUMMYFUNCTION("""COMPUTED_VALUE"""),71)</f>
        <v>71</v>
      </c>
      <c r="AB64" s="171">
        <f ca="1">IFERROR(__xludf.DUMMYFUNCTION("""COMPUTED_VALUE"""),44376)</f>
        <v>44376</v>
      </c>
      <c r="AC64" s="166" t="str">
        <f ca="1">IFERROR(__xludf.DUMMYFUNCTION("""COMPUTED_VALUE"""),"20210629-71")</f>
        <v>20210629-71</v>
      </c>
      <c r="AD64" s="151" t="str">
        <f ca="1">IFERROR(__xludf.DUMMYFUNCTION("""COMPUTED_VALUE"""),"SB-Springboard Recreration Club")</f>
        <v>SB-Springboard Recreration Club</v>
      </c>
      <c r="AE64" s="151" t="str">
        <f ca="1">IFERROR(__xludf.DUMMYFUNCTION("""COMPUTED_VALUE"""),"SRA-Stratford Rec Association")</f>
        <v>SRA-Stratford Rec Association</v>
      </c>
      <c r="AF64" s="120"/>
      <c r="AG64" s="153"/>
      <c r="AH64" s="120"/>
    </row>
    <row r="65" spans="1:34" ht="13.2">
      <c r="A65" s="142"/>
      <c r="B65" s="142"/>
      <c r="C65" s="142"/>
      <c r="D65" s="142"/>
      <c r="E65" s="174"/>
      <c r="F65" s="174"/>
      <c r="G65" s="175"/>
      <c r="H65" s="175"/>
      <c r="I65" s="170"/>
      <c r="J65" s="170"/>
      <c r="K65" s="147"/>
      <c r="L65" s="147"/>
      <c r="M65" s="170"/>
      <c r="N65" s="170"/>
      <c r="O65" s="133"/>
      <c r="P65" s="133"/>
      <c r="Q65" s="157"/>
      <c r="R65" s="157"/>
      <c r="S65" s="157"/>
      <c r="T65" s="120"/>
      <c r="U65" s="158" t="str">
        <f ca="1">IFERROR(__xludf.DUMMYFUNCTION("""COMPUTED_VALUE"""),"Woodley")</f>
        <v>Woodley</v>
      </c>
      <c r="V65" s="157" t="str">
        <f ca="1">IFERROR(__xludf.DUMMYFUNCTION("""COMPUTED_VALUE"""),"at")</f>
        <v>at</v>
      </c>
      <c r="W65" s="157" t="str">
        <f ca="1">IFERROR(__xludf.DUMMYFUNCTION("""COMPUTED_VALUE"""),"Hamlet")</f>
        <v>Hamlet</v>
      </c>
      <c r="X65" s="157"/>
      <c r="Y65" s="157"/>
      <c r="Z65" s="120"/>
      <c r="AA65" s="167">
        <f ca="1">IFERROR(__xludf.DUMMYFUNCTION("""COMPUTED_VALUE"""),72)</f>
        <v>72</v>
      </c>
      <c r="AB65" s="168">
        <f ca="1">IFERROR(__xludf.DUMMYFUNCTION("""COMPUTED_VALUE"""),44376)</f>
        <v>44376</v>
      </c>
      <c r="AC65" s="161" t="str">
        <f ca="1">IFERROR(__xludf.DUMMYFUNCTION("""COMPUTED_VALUE"""),"20210629-72")</f>
        <v>20210629-72</v>
      </c>
      <c r="AD65" s="157" t="str">
        <f ca="1">IFERROR(__xludf.DUMMYFUNCTION("""COMPUTED_VALUE"""),"HSC-Hamlet Swim")</f>
        <v>HSC-Hamlet Swim</v>
      </c>
      <c r="AE65" s="157" t="str">
        <f ca="1">IFERROR(__xludf.DUMMYFUNCTION("""COMPUTED_VALUE"""),"W-Woodley")</f>
        <v>W-Woodley</v>
      </c>
      <c r="AF65" s="120"/>
      <c r="AG65" s="162"/>
      <c r="AH65" s="120"/>
    </row>
    <row r="66" spans="1:34" ht="13.2">
      <c r="A66" s="142"/>
      <c r="B66" s="142"/>
      <c r="C66" s="142"/>
      <c r="D66" s="142"/>
      <c r="E66" s="174"/>
      <c r="F66" s="174"/>
      <c r="G66" s="175"/>
      <c r="H66" s="175"/>
      <c r="I66" s="170"/>
      <c r="J66" s="170"/>
      <c r="K66" s="147"/>
      <c r="L66" s="147"/>
      <c r="M66" s="170"/>
      <c r="N66" s="170"/>
      <c r="O66" s="133"/>
      <c r="P66" s="133"/>
      <c r="Q66" s="151"/>
      <c r="R66" s="151"/>
      <c r="S66" s="151"/>
      <c r="T66" s="120"/>
      <c r="U66" s="163" t="str">
        <f ca="1">IFERROR(__xludf.DUMMYFUNCTION("""COMPUTED_VALUE"""),"Mantua")</f>
        <v>Mantua</v>
      </c>
      <c r="V66" s="151" t="str">
        <f ca="1">IFERROR(__xludf.DUMMYFUNCTION("""COMPUTED_VALUE"""),"at")</f>
        <v>at</v>
      </c>
      <c r="W66" s="151" t="str">
        <f ca="1">IFERROR(__xludf.DUMMYFUNCTION("""COMPUTED_VALUE"""),"Rutherford")</f>
        <v>Rutherford</v>
      </c>
      <c r="X66" s="151"/>
      <c r="Y66" s="151"/>
      <c r="Z66" s="120"/>
      <c r="AA66" s="165">
        <f ca="1">IFERROR(__xludf.DUMMYFUNCTION("""COMPUTED_VALUE"""),73)</f>
        <v>73</v>
      </c>
      <c r="AB66" s="171">
        <f ca="1">IFERROR(__xludf.DUMMYFUNCTION("""COMPUTED_VALUE"""),44376)</f>
        <v>44376</v>
      </c>
      <c r="AC66" s="166" t="str">
        <f ca="1">IFERROR(__xludf.DUMMYFUNCTION("""COMPUTED_VALUE"""),"20210629-73")</f>
        <v>20210629-73</v>
      </c>
      <c r="AD66" s="151" t="str">
        <f ca="1">IFERROR(__xludf.DUMMYFUNCTION("""COMPUTED_VALUE"""),"RFD-Rutherford")</f>
        <v>RFD-Rutherford</v>
      </c>
      <c r="AE66" s="151" t="str">
        <f ca="1">IFERROR(__xludf.DUMMYFUNCTION("""COMPUTED_VALUE"""),"M-Mantua")</f>
        <v>M-Mantua</v>
      </c>
      <c r="AF66" s="120"/>
      <c r="AG66" s="153"/>
      <c r="AH66" s="120"/>
    </row>
    <row r="67" spans="1:34" ht="13.2">
      <c r="A67" s="142"/>
      <c r="B67" s="142"/>
      <c r="C67" s="142"/>
      <c r="D67" s="142"/>
      <c r="E67" s="174"/>
      <c r="F67" s="174"/>
      <c r="G67" s="175"/>
      <c r="H67" s="175"/>
      <c r="I67" s="170"/>
      <c r="J67" s="170"/>
      <c r="K67" s="147"/>
      <c r="L67" s="147"/>
      <c r="M67" s="170"/>
      <c r="N67" s="170"/>
      <c r="O67" s="133"/>
      <c r="P67" s="133"/>
      <c r="Q67" s="157"/>
      <c r="R67" s="157"/>
      <c r="S67" s="157"/>
      <c r="T67" s="120"/>
      <c r="U67" s="158" t="str">
        <f ca="1">IFERROR(__xludf.DUMMYFUNCTION("""COMPUTED_VALUE"""),"Division VIII")</f>
        <v>Division VIII</v>
      </c>
      <c r="V67" s="157"/>
      <c r="W67" s="157"/>
      <c r="X67" s="157"/>
      <c r="Y67" s="157"/>
      <c r="Z67" s="120"/>
      <c r="AA67" s="167">
        <f ca="1">IFERROR(__xludf.DUMMYFUNCTION("""COMPUTED_VALUE"""),8)</f>
        <v>8</v>
      </c>
      <c r="AB67" s="168">
        <f ca="1">IFERROR(__xludf.DUMMYFUNCTION("""COMPUTED_VALUE"""),44376)</f>
        <v>44376</v>
      </c>
      <c r="AC67" s="161" t="str">
        <f ca="1">IFERROR(__xludf.DUMMYFUNCTION("""COMPUTED_VALUE"""),"")</f>
        <v/>
      </c>
      <c r="AD67" s="157" t="str">
        <f ca="1">IFERROR(__xludf.DUMMYFUNCTION("""COMPUTED_VALUE"""),"")</f>
        <v/>
      </c>
      <c r="AE67" s="157" t="str">
        <f ca="1">IFERROR(__xludf.DUMMYFUNCTION("""COMPUTED_VALUE"""),"")</f>
        <v/>
      </c>
      <c r="AF67" s="120"/>
      <c r="AG67" s="162"/>
      <c r="AH67" s="120"/>
    </row>
    <row r="68" spans="1:34" ht="13.2">
      <c r="A68" s="142"/>
      <c r="B68" s="142"/>
      <c r="C68" s="142"/>
      <c r="D68" s="142"/>
      <c r="E68" s="174"/>
      <c r="F68" s="174"/>
      <c r="G68" s="175"/>
      <c r="H68" s="175"/>
      <c r="I68" s="170"/>
      <c r="J68" s="170"/>
      <c r="K68" s="147"/>
      <c r="L68" s="147"/>
      <c r="M68" s="170"/>
      <c r="N68" s="170"/>
      <c r="O68" s="133"/>
      <c r="P68" s="133"/>
      <c r="Q68" s="151"/>
      <c r="R68" s="151"/>
      <c r="S68" s="151"/>
      <c r="T68" s="120"/>
      <c r="U68" s="163" t="str">
        <f ca="1">IFERROR(__xludf.DUMMYFUNCTION("""COMPUTED_VALUE"""),"Ilda Community")</f>
        <v>Ilda Community</v>
      </c>
      <c r="V68" s="151" t="str">
        <f ca="1">IFERROR(__xludf.DUMMYFUNCTION("""COMPUTED_VALUE"""),"at")</f>
        <v>at</v>
      </c>
      <c r="W68" s="151" t="str">
        <f ca="1">IFERROR(__xludf.DUMMYFUNCTION("""COMPUTED_VALUE"""),"Annandale")</f>
        <v>Annandale</v>
      </c>
      <c r="X68" s="151"/>
      <c r="Y68" s="151"/>
      <c r="Z68" s="120"/>
      <c r="AA68" s="165">
        <f ca="1">IFERROR(__xludf.DUMMYFUNCTION("""COMPUTED_VALUE"""),81)</f>
        <v>81</v>
      </c>
      <c r="AB68" s="171">
        <f ca="1">IFERROR(__xludf.DUMMYFUNCTION("""COMPUTED_VALUE"""),44376)</f>
        <v>44376</v>
      </c>
      <c r="AC68" s="166" t="str">
        <f ca="1">IFERROR(__xludf.DUMMYFUNCTION("""COMPUTED_VALUE"""),"20210629-81")</f>
        <v>20210629-81</v>
      </c>
      <c r="AD68" s="151" t="str">
        <f ca="1">IFERROR(__xludf.DUMMYFUNCTION("""COMPUTED_VALUE"""),"A-Annandale")</f>
        <v>A-Annandale</v>
      </c>
      <c r="AE68" s="151" t="str">
        <f ca="1">IFERROR(__xludf.DUMMYFUNCTION("""COMPUTED_VALUE"""),"IC-Ilda Community")</f>
        <v>IC-Ilda Community</v>
      </c>
      <c r="AF68" s="120"/>
      <c r="AG68" s="153"/>
      <c r="AH68" s="120"/>
    </row>
    <row r="69" spans="1:34" ht="13.2">
      <c r="A69" s="142"/>
      <c r="B69" s="142"/>
      <c r="C69" s="142"/>
      <c r="D69" s="142"/>
      <c r="E69" s="174"/>
      <c r="F69" s="174"/>
      <c r="G69" s="175"/>
      <c r="H69" s="175"/>
      <c r="I69" s="170"/>
      <c r="J69" s="170"/>
      <c r="K69" s="147"/>
      <c r="L69" s="147"/>
      <c r="M69" s="170"/>
      <c r="N69" s="170"/>
      <c r="O69" s="133"/>
      <c r="P69" s="133"/>
      <c r="Q69" s="157"/>
      <c r="R69" s="157"/>
      <c r="S69" s="157"/>
      <c r="T69" s="120"/>
      <c r="U69" s="158" t="str">
        <f ca="1">IFERROR(__xludf.DUMMYFUNCTION("""COMPUTED_VALUE"""),"Parklawn")</f>
        <v>Parklawn</v>
      </c>
      <c r="V69" s="157" t="str">
        <f ca="1">IFERROR(__xludf.DUMMYFUNCTION("""COMPUTED_VALUE"""),"at")</f>
        <v>at</v>
      </c>
      <c r="W69" s="157" t="str">
        <f ca="1">IFERROR(__xludf.DUMMYFUNCTION("""COMPUTED_VALUE"""),"Springfield")</f>
        <v>Springfield</v>
      </c>
      <c r="X69" s="157"/>
      <c r="Y69" s="157"/>
      <c r="Z69" s="120"/>
      <c r="AA69" s="167">
        <f ca="1">IFERROR(__xludf.DUMMYFUNCTION("""COMPUTED_VALUE"""),82)</f>
        <v>82</v>
      </c>
      <c r="AB69" s="168">
        <f ca="1">IFERROR(__xludf.DUMMYFUNCTION("""COMPUTED_VALUE"""),44376)</f>
        <v>44376</v>
      </c>
      <c r="AC69" s="161" t="str">
        <f ca="1">IFERROR(__xludf.DUMMYFUNCTION("""COMPUTED_VALUE"""),"20210629-82")</f>
        <v>20210629-82</v>
      </c>
      <c r="AD69" s="157" t="str">
        <f ca="1">IFERROR(__xludf.DUMMYFUNCTION("""COMPUTED_VALUE"""),"S-Springfield")</f>
        <v>S-Springfield</v>
      </c>
      <c r="AE69" s="157" t="str">
        <f ca="1">IFERROR(__xludf.DUMMYFUNCTION("""COMPUTED_VALUE"""),"PL-Parklawn")</f>
        <v>PL-Parklawn</v>
      </c>
      <c r="AF69" s="120"/>
      <c r="AG69" s="162"/>
      <c r="AH69" s="120"/>
    </row>
    <row r="70" spans="1:34" ht="13.2">
      <c r="A70" s="142"/>
      <c r="B70" s="142"/>
      <c r="C70" s="142"/>
      <c r="D70" s="142"/>
      <c r="E70" s="174"/>
      <c r="F70" s="174"/>
      <c r="G70" s="175"/>
      <c r="H70" s="175"/>
      <c r="I70" s="170"/>
      <c r="J70" s="170"/>
      <c r="K70" s="147"/>
      <c r="L70" s="147"/>
      <c r="M70" s="170"/>
      <c r="N70" s="170"/>
      <c r="O70" s="133"/>
      <c r="P70" s="133"/>
      <c r="Q70" s="151"/>
      <c r="R70" s="151"/>
      <c r="S70" s="151"/>
      <c r="T70" s="120"/>
      <c r="U70" s="163" t="str">
        <f ca="1">IFERROR(__xludf.DUMMYFUNCTION("""COMPUTED_VALUE"""),"Commonwealth")</f>
        <v>Commonwealth</v>
      </c>
      <c r="V70" s="151" t="str">
        <f ca="1">IFERROR(__xludf.DUMMYFUNCTION("""COMPUTED_VALUE"""),"at")</f>
        <v>at</v>
      </c>
      <c r="W70" s="151" t="str">
        <f ca="1">IFERROR(__xludf.DUMMYFUNCTION("""COMPUTED_VALUE"""),"North Springfield")</f>
        <v>North Springfield</v>
      </c>
      <c r="X70" s="151"/>
      <c r="Y70" s="151"/>
      <c r="Z70" s="120"/>
      <c r="AA70" s="165">
        <f ca="1">IFERROR(__xludf.DUMMYFUNCTION("""COMPUTED_VALUE"""),83)</f>
        <v>83</v>
      </c>
      <c r="AB70" s="171">
        <f ca="1">IFERROR(__xludf.DUMMYFUNCTION("""COMPUTED_VALUE"""),44376)</f>
        <v>44376</v>
      </c>
      <c r="AC70" s="151" t="str">
        <f ca="1">IFERROR(__xludf.DUMMYFUNCTION("""COMPUTED_VALUE"""),"20210629-83")</f>
        <v>20210629-83</v>
      </c>
      <c r="AD70" s="151" t="str">
        <f ca="1">IFERROR(__xludf.DUMMYFUNCTION("""COMPUTED_VALUE"""),"NS-North Springfield")</f>
        <v>NS-North Springfield</v>
      </c>
      <c r="AE70" s="151" t="str">
        <f ca="1">IFERROR(__xludf.DUMMYFUNCTION("""COMPUTED_VALUE"""),"CSC-Commonwealth Swim Club")</f>
        <v>CSC-Commonwealth Swim Club</v>
      </c>
      <c r="AF70" s="120"/>
      <c r="AG70" s="153"/>
      <c r="AH70" s="120"/>
    </row>
    <row r="71" spans="1:34" ht="13.2">
      <c r="A71" s="142"/>
      <c r="B71" s="142"/>
      <c r="C71" s="142"/>
      <c r="D71" s="142"/>
      <c r="E71" s="174"/>
      <c r="F71" s="174"/>
      <c r="G71" s="175"/>
      <c r="H71" s="175"/>
      <c r="I71" s="170"/>
      <c r="J71" s="170"/>
      <c r="K71" s="147"/>
      <c r="L71" s="147"/>
      <c r="M71" s="170"/>
      <c r="N71" s="170"/>
      <c r="O71" s="133"/>
      <c r="P71" s="133"/>
      <c r="Q71" s="157"/>
      <c r="R71" s="157"/>
      <c r="S71" s="157"/>
      <c r="T71" s="120"/>
      <c r="U71" s="158">
        <f ca="1">IFERROR(__xludf.DUMMYFUNCTION("""COMPUTED_VALUE"""),44383)</f>
        <v>44383</v>
      </c>
      <c r="V71" s="157" t="str">
        <f ca="1">IFERROR(__xludf.DUMMYFUNCTION("""COMPUTED_VALUE""")," ")</f>
        <v xml:space="preserve"> </v>
      </c>
      <c r="W71" s="157" t="str">
        <f ca="1">IFERROR(__xludf.DUMMYFUNCTION("""COMPUTED_VALUE""")," ")</f>
        <v xml:space="preserve"> </v>
      </c>
      <c r="X71" s="157"/>
      <c r="Y71" s="157"/>
      <c r="Z71" s="120"/>
      <c r="AA71" s="167">
        <f ca="1">IFERROR(__xludf.DUMMYFUNCTION("""COMPUTED_VALUE"""),1)</f>
        <v>1</v>
      </c>
      <c r="AB71" s="168">
        <f ca="1">IFERROR(__xludf.DUMMYFUNCTION("""COMPUTED_VALUE"""),44383)</f>
        <v>44383</v>
      </c>
      <c r="AC71" s="157" t="str">
        <f ca="1">IFERROR(__xludf.DUMMYFUNCTION("""COMPUTED_VALUE"""),"")</f>
        <v/>
      </c>
      <c r="AD71" s="157" t="str">
        <f ca="1">IFERROR(__xludf.DUMMYFUNCTION("""COMPUTED_VALUE"""),"")</f>
        <v/>
      </c>
      <c r="AE71" s="157" t="str">
        <f ca="1">IFERROR(__xludf.DUMMYFUNCTION("""COMPUTED_VALUE"""),"")</f>
        <v/>
      </c>
      <c r="AF71" s="120"/>
      <c r="AG71" s="162"/>
      <c r="AH71" s="120"/>
    </row>
    <row r="72" spans="1:34" ht="13.2">
      <c r="A72" s="142"/>
      <c r="B72" s="142"/>
      <c r="C72" s="142"/>
      <c r="D72" s="142"/>
      <c r="E72" s="174"/>
      <c r="F72" s="174"/>
      <c r="G72" s="175"/>
      <c r="H72" s="175"/>
      <c r="I72" s="170"/>
      <c r="J72" s="170"/>
      <c r="K72" s="147"/>
      <c r="L72" s="147"/>
      <c r="M72" s="170"/>
      <c r="N72" s="170"/>
      <c r="O72" s="133"/>
      <c r="P72" s="133"/>
      <c r="Q72" s="151"/>
      <c r="R72" s="151"/>
      <c r="S72" s="151"/>
      <c r="T72" s="120"/>
      <c r="U72" s="163" t="str">
        <f ca="1">IFERROR(__xludf.DUMMYFUNCTION("""COMPUTED_VALUE"""),"Dunn Loring")</f>
        <v>Dunn Loring</v>
      </c>
      <c r="V72" s="151" t="str">
        <f ca="1">IFERROR(__xludf.DUMMYFUNCTION("""COMPUTED_VALUE"""),"at")</f>
        <v>at</v>
      </c>
      <c r="W72" s="151" t="str">
        <f ca="1">IFERROR(__xludf.DUMMYFUNCTION("""COMPUTED_VALUE"""),"Vienna Woods")</f>
        <v>Vienna Woods</v>
      </c>
      <c r="X72" s="151"/>
      <c r="Y72" s="151"/>
      <c r="Z72" s="120"/>
      <c r="AA72" s="165">
        <f ca="1">IFERROR(__xludf.DUMMYFUNCTION("""COMPUTED_VALUE"""),11)</f>
        <v>11</v>
      </c>
      <c r="AB72" s="171">
        <f ca="1">IFERROR(__xludf.DUMMYFUNCTION("""COMPUTED_VALUE"""),44383)</f>
        <v>44383</v>
      </c>
      <c r="AC72" s="151" t="str">
        <f ca="1">IFERROR(__xludf.DUMMYFUNCTION("""COMPUTED_VALUE"""),"20210706-11")</f>
        <v>20210706-11</v>
      </c>
      <c r="AD72" s="151" t="str">
        <f ca="1">IFERROR(__xludf.DUMMYFUNCTION("""COMPUTED_VALUE"""),"VW-Vienna Woods")</f>
        <v>VW-Vienna Woods</v>
      </c>
      <c r="AE72" s="151" t="str">
        <f ca="1">IFERROR(__xludf.DUMMYFUNCTION("""COMPUTED_VALUE"""),"DL-Dunn Loring")</f>
        <v>DL-Dunn Loring</v>
      </c>
      <c r="AF72" s="120"/>
      <c r="AG72" s="153"/>
      <c r="AH72" s="120"/>
    </row>
    <row r="73" spans="1:34" ht="13.2">
      <c r="A73" s="142"/>
      <c r="B73" s="142"/>
      <c r="C73" s="142"/>
      <c r="D73" s="142"/>
      <c r="E73" s="174"/>
      <c r="F73" s="174"/>
      <c r="G73" s="175"/>
      <c r="H73" s="175"/>
      <c r="I73" s="170"/>
      <c r="J73" s="170"/>
      <c r="K73" s="147"/>
      <c r="L73" s="147"/>
      <c r="M73" s="170"/>
      <c r="N73" s="170"/>
      <c r="O73" s="133"/>
      <c r="P73" s="133"/>
      <c r="Q73" s="157"/>
      <c r="R73" s="157"/>
      <c r="S73" s="157"/>
      <c r="T73" s="120"/>
      <c r="U73" s="158" t="str">
        <f ca="1">IFERROR(__xludf.DUMMYFUNCTION("""COMPUTED_VALUE"""),"Sideburn Run")</f>
        <v>Sideburn Run</v>
      </c>
      <c r="V73" s="157" t="str">
        <f ca="1">IFERROR(__xludf.DUMMYFUNCTION("""COMPUTED_VALUE"""),"at")</f>
        <v>at</v>
      </c>
      <c r="W73" s="157" t="str">
        <f ca="1">IFERROR(__xludf.DUMMYFUNCTION("""COMPUTED_VALUE"""),"Old Keene Mill")</f>
        <v>Old Keene Mill</v>
      </c>
      <c r="X73" s="157"/>
      <c r="Y73" s="157"/>
      <c r="Z73" s="120"/>
      <c r="AA73" s="167">
        <f ca="1">IFERROR(__xludf.DUMMYFUNCTION("""COMPUTED_VALUE"""),12)</f>
        <v>12</v>
      </c>
      <c r="AB73" s="168">
        <f ca="1">IFERROR(__xludf.DUMMYFUNCTION("""COMPUTED_VALUE"""),44383)</f>
        <v>44383</v>
      </c>
      <c r="AC73" s="157" t="str">
        <f ca="1">IFERROR(__xludf.DUMMYFUNCTION("""COMPUTED_VALUE"""),"20210706-12")</f>
        <v>20210706-12</v>
      </c>
      <c r="AD73" s="157" t="str">
        <f ca="1">IFERROR(__xludf.DUMMYFUNCTION("""COMPUTED_VALUE"""),"OKM-Old Keene Mill")</f>
        <v>OKM-Old Keene Mill</v>
      </c>
      <c r="AE73" s="157" t="str">
        <f ca="1">IFERROR(__xludf.DUMMYFUNCTION("""COMPUTED_VALUE"""),"SR-Sideburn Run")</f>
        <v>SR-Sideburn Run</v>
      </c>
      <c r="AF73" s="120"/>
      <c r="AG73" s="162"/>
      <c r="AH73" s="120"/>
    </row>
    <row r="74" spans="1:34" ht="13.2">
      <c r="A74" s="142"/>
      <c r="B74" s="142"/>
      <c r="C74" s="142"/>
      <c r="D74" s="142"/>
      <c r="E74" s="174"/>
      <c r="F74" s="174"/>
      <c r="G74" s="175"/>
      <c r="H74" s="175"/>
      <c r="I74" s="170"/>
      <c r="J74" s="170"/>
      <c r="K74" s="147"/>
      <c r="L74" s="147"/>
      <c r="M74" s="170"/>
      <c r="N74" s="170"/>
      <c r="O74" s="133"/>
      <c r="P74" s="133"/>
      <c r="Q74" s="151"/>
      <c r="R74" s="151"/>
      <c r="S74" s="151"/>
      <c r="T74" s="120"/>
      <c r="U74" s="163" t="str">
        <f ca="1">IFERROR(__xludf.DUMMYFUNCTION("""COMPUTED_VALUE"""),"Truro")</f>
        <v>Truro</v>
      </c>
      <c r="V74" s="151" t="str">
        <f ca="1">IFERROR(__xludf.DUMMYFUNCTION("""COMPUTED_VALUE"""),"at")</f>
        <v>at</v>
      </c>
      <c r="W74" s="151" t="str">
        <f ca="1">IFERROR(__xludf.DUMMYFUNCTION("""COMPUTED_VALUE"""),"Overlee")</f>
        <v>Overlee</v>
      </c>
      <c r="X74" s="151"/>
      <c r="Y74" s="151"/>
      <c r="Z74" s="120"/>
      <c r="AA74" s="165">
        <f ca="1">IFERROR(__xludf.DUMMYFUNCTION("""COMPUTED_VALUE"""),13)</f>
        <v>13</v>
      </c>
      <c r="AB74" s="171">
        <f ca="1">IFERROR(__xludf.DUMMYFUNCTION("""COMPUTED_VALUE"""),44383)</f>
        <v>44383</v>
      </c>
      <c r="AC74" s="151" t="str">
        <f ca="1">IFERROR(__xludf.DUMMYFUNCTION("""COMPUTED_VALUE"""),"20210706-13")</f>
        <v>20210706-13</v>
      </c>
      <c r="AD74" s="151" t="str">
        <f ca="1">IFERROR(__xludf.DUMMYFUNCTION("""COMPUTED_VALUE"""),"O-Overlee")</f>
        <v>O-Overlee</v>
      </c>
      <c r="AE74" s="151" t="str">
        <f ca="1">IFERROR(__xludf.DUMMYFUNCTION("""COMPUTED_VALUE"""),"THA-Truro Homes Assn")</f>
        <v>THA-Truro Homes Assn</v>
      </c>
      <c r="AF74" s="120"/>
      <c r="AG74" s="153"/>
      <c r="AH74" s="120"/>
    </row>
    <row r="75" spans="1:34" ht="13.2">
      <c r="A75" s="142"/>
      <c r="B75" s="142"/>
      <c r="C75" s="142"/>
      <c r="D75" s="142"/>
      <c r="E75" s="174"/>
      <c r="F75" s="174"/>
      <c r="G75" s="175"/>
      <c r="H75" s="175"/>
      <c r="I75" s="170"/>
      <c r="J75" s="170"/>
      <c r="K75" s="147"/>
      <c r="L75" s="147"/>
      <c r="M75" s="170"/>
      <c r="N75" s="170"/>
      <c r="O75" s="133"/>
      <c r="P75" s="133"/>
      <c r="Q75" s="157"/>
      <c r="R75" s="157"/>
      <c r="S75" s="157"/>
      <c r="T75" s="120"/>
      <c r="U75" s="158" t="str">
        <f ca="1">IFERROR(__xludf.DUMMYFUNCTION("""COMPUTED_VALUE"""),"Division II")</f>
        <v>Division II</v>
      </c>
      <c r="V75" s="157"/>
      <c r="W75" s="157"/>
      <c r="X75" s="157"/>
      <c r="Y75" s="157"/>
      <c r="Z75" s="120"/>
      <c r="AA75" s="167">
        <f ca="1">IFERROR(__xludf.DUMMYFUNCTION("""COMPUTED_VALUE"""),2)</f>
        <v>2</v>
      </c>
      <c r="AB75" s="168">
        <f ca="1">IFERROR(__xludf.DUMMYFUNCTION("""COMPUTED_VALUE"""),44383)</f>
        <v>44383</v>
      </c>
      <c r="AC75" s="157" t="str">
        <f ca="1">IFERROR(__xludf.DUMMYFUNCTION("""COMPUTED_VALUE"""),"")</f>
        <v/>
      </c>
      <c r="AD75" s="157" t="str">
        <f ca="1">IFERROR(__xludf.DUMMYFUNCTION("""COMPUTED_VALUE"""),"")</f>
        <v/>
      </c>
      <c r="AE75" s="157" t="str">
        <f ca="1">IFERROR(__xludf.DUMMYFUNCTION("""COMPUTED_VALUE"""),"")</f>
        <v/>
      </c>
      <c r="AF75" s="120"/>
      <c r="AG75" s="162"/>
      <c r="AH75" s="120"/>
    </row>
    <row r="76" spans="1:34" ht="13.2">
      <c r="A76" s="142"/>
      <c r="B76" s="142"/>
      <c r="C76" s="142"/>
      <c r="D76" s="142"/>
      <c r="E76" s="174"/>
      <c r="F76" s="174"/>
      <c r="G76" s="175"/>
      <c r="H76" s="175"/>
      <c r="I76" s="170"/>
      <c r="J76" s="170"/>
      <c r="K76" s="147"/>
      <c r="L76" s="147"/>
      <c r="M76" s="170"/>
      <c r="N76" s="170"/>
      <c r="O76" s="133"/>
      <c r="P76" s="133"/>
      <c r="Q76" s="151"/>
      <c r="R76" s="151"/>
      <c r="S76" s="151"/>
      <c r="T76" s="120"/>
      <c r="U76" s="163" t="str">
        <f ca="1">IFERROR(__xludf.DUMMYFUNCTION("""COMPUTED_VALUE"""),"Kent Gardens")</f>
        <v>Kent Gardens</v>
      </c>
      <c r="V76" s="151" t="str">
        <f ca="1">IFERROR(__xludf.DUMMYFUNCTION("""COMPUTED_VALUE"""),"at")</f>
        <v>at</v>
      </c>
      <c r="W76" s="151" t="str">
        <f ca="1">IFERROR(__xludf.DUMMYFUNCTION("""COMPUTED_VALUE"""),"Walden Glen")</f>
        <v>Walden Glen</v>
      </c>
      <c r="X76" s="151"/>
      <c r="Y76" s="151"/>
      <c r="Z76" s="120"/>
      <c r="AA76" s="165">
        <f ca="1">IFERROR(__xludf.DUMMYFUNCTION("""COMPUTED_VALUE"""),21)</f>
        <v>21</v>
      </c>
      <c r="AB76" s="171">
        <f ca="1">IFERROR(__xludf.DUMMYFUNCTION("""COMPUTED_VALUE"""),44383)</f>
        <v>44383</v>
      </c>
      <c r="AC76" s="151" t="str">
        <f ca="1">IFERROR(__xludf.DUMMYFUNCTION("""COMPUTED_VALUE"""),"20210706-21")</f>
        <v>20210706-21</v>
      </c>
      <c r="AD76" s="151" t="str">
        <f ca="1">IFERROR(__xludf.DUMMYFUNCTION("""COMPUTED_VALUE"""),"WG-Walden Glen")</f>
        <v>WG-Walden Glen</v>
      </c>
      <c r="AE76" s="151" t="str">
        <f ca="1">IFERROR(__xludf.DUMMYFUNCTION("""COMPUTED_VALUE"""),"KG-Kent Gardens")</f>
        <v>KG-Kent Gardens</v>
      </c>
      <c r="AF76" s="120"/>
      <c r="AG76" s="153"/>
      <c r="AH76" s="120"/>
    </row>
    <row r="77" spans="1:34" ht="13.2">
      <c r="A77" s="142"/>
      <c r="B77" s="142"/>
      <c r="C77" s="142"/>
      <c r="D77" s="142"/>
      <c r="E77" s="174"/>
      <c r="F77" s="174"/>
      <c r="G77" s="175"/>
      <c r="H77" s="175"/>
      <c r="I77" s="170"/>
      <c r="J77" s="170"/>
      <c r="K77" s="147"/>
      <c r="L77" s="147"/>
      <c r="M77" s="170"/>
      <c r="N77" s="170"/>
      <c r="O77" s="133"/>
      <c r="P77" s="133"/>
      <c r="Q77" s="157"/>
      <c r="R77" s="157"/>
      <c r="S77" s="157"/>
      <c r="T77" s="120"/>
      <c r="U77" s="158" t="str">
        <f ca="1">IFERROR(__xludf.DUMMYFUNCTION("""COMPUTED_VALUE"""),"Mansion House")</f>
        <v>Mansion House</v>
      </c>
      <c r="V77" s="157" t="str">
        <f ca="1">IFERROR(__xludf.DUMMYFUNCTION("""COMPUTED_VALUE"""),"at")</f>
        <v>at</v>
      </c>
      <c r="W77" s="157" t="str">
        <f ca="1">IFERROR(__xludf.DUMMYFUNCTION("""COMPUTED_VALUE"""),"Oakton")</f>
        <v>Oakton</v>
      </c>
      <c r="X77" s="157"/>
      <c r="Y77" s="157"/>
      <c r="Z77" s="120"/>
      <c r="AA77" s="167">
        <f ca="1">IFERROR(__xludf.DUMMYFUNCTION("""COMPUTED_VALUE"""),22)</f>
        <v>22</v>
      </c>
      <c r="AB77" s="168">
        <f ca="1">IFERROR(__xludf.DUMMYFUNCTION("""COMPUTED_VALUE"""),44383)</f>
        <v>44383</v>
      </c>
      <c r="AC77" s="157" t="str">
        <f ca="1">IFERROR(__xludf.DUMMYFUNCTION("""COMPUTED_VALUE"""),"20210706-22")</f>
        <v>20210706-22</v>
      </c>
      <c r="AD77" s="157" t="str">
        <f ca="1">IFERROR(__xludf.DUMMYFUNCTION("""COMPUTED_VALUE"""),"OAK-Oakton")</f>
        <v>OAK-Oakton</v>
      </c>
      <c r="AE77" s="157" t="str">
        <f ca="1">IFERROR(__xludf.DUMMYFUNCTION("""COMPUTED_VALUE"""),"MHC-Mansion House")</f>
        <v>MHC-Mansion House</v>
      </c>
      <c r="AF77" s="120"/>
      <c r="AG77" s="162"/>
      <c r="AH77" s="120"/>
    </row>
    <row r="78" spans="1:34" ht="13.2">
      <c r="A78" s="142"/>
      <c r="B78" s="142"/>
      <c r="C78" s="142"/>
      <c r="D78" s="142"/>
      <c r="E78" s="174"/>
      <c r="F78" s="174"/>
      <c r="G78" s="175"/>
      <c r="H78" s="175"/>
      <c r="I78" s="170"/>
      <c r="J78" s="170"/>
      <c r="K78" s="147"/>
      <c r="L78" s="147"/>
      <c r="M78" s="170"/>
      <c r="N78" s="170"/>
      <c r="O78" s="133"/>
      <c r="P78" s="133"/>
      <c r="Q78" s="151"/>
      <c r="R78" s="151"/>
      <c r="S78" s="151"/>
      <c r="T78" s="120"/>
      <c r="U78" s="163" t="str">
        <f ca="1">IFERROR(__xludf.DUMMYFUNCTION("""COMPUTED_VALUE"""),"Great Falls")</f>
        <v>Great Falls</v>
      </c>
      <c r="V78" s="151" t="str">
        <f ca="1">IFERROR(__xludf.DUMMYFUNCTION("""COMPUTED_VALUE"""),"at")</f>
        <v>at</v>
      </c>
      <c r="W78" s="151" t="str">
        <f ca="1">IFERROR(__xludf.DUMMYFUNCTION("""COMPUTED_VALUE"""),"Fairfax")</f>
        <v>Fairfax</v>
      </c>
      <c r="X78" s="151"/>
      <c r="Y78" s="151"/>
      <c r="Z78" s="120"/>
      <c r="AA78" s="165">
        <f ca="1">IFERROR(__xludf.DUMMYFUNCTION("""COMPUTED_VALUE"""),23)</f>
        <v>23</v>
      </c>
      <c r="AB78" s="171">
        <f ca="1">IFERROR(__xludf.DUMMYFUNCTION("""COMPUTED_VALUE"""),44383)</f>
        <v>44383</v>
      </c>
      <c r="AC78" s="151" t="str">
        <f ca="1">IFERROR(__xludf.DUMMYFUNCTION("""COMPUTED_VALUE"""),"20210706-23")</f>
        <v>20210706-23</v>
      </c>
      <c r="AD78" s="151" t="str">
        <f ca="1">IFERROR(__xludf.DUMMYFUNCTION("""COMPUTED_VALUE"""),"F-Fairfax")</f>
        <v>F-Fairfax</v>
      </c>
      <c r="AE78" s="151" t="str">
        <f ca="1">IFERROR(__xludf.DUMMYFUNCTION("""COMPUTED_VALUE"""),"GF-Great Falls")</f>
        <v>GF-Great Falls</v>
      </c>
      <c r="AF78" s="120"/>
      <c r="AG78" s="153"/>
      <c r="AH78" s="120"/>
    </row>
    <row r="79" spans="1:34" ht="13.2">
      <c r="A79" s="142"/>
      <c r="B79" s="142"/>
      <c r="C79" s="142"/>
      <c r="D79" s="142"/>
      <c r="E79" s="174"/>
      <c r="F79" s="174"/>
      <c r="G79" s="175"/>
      <c r="H79" s="175"/>
      <c r="I79" s="170"/>
      <c r="J79" s="170"/>
      <c r="K79" s="147"/>
      <c r="L79" s="147"/>
      <c r="M79" s="170"/>
      <c r="N79" s="170"/>
      <c r="O79" s="133"/>
      <c r="P79" s="133"/>
      <c r="Q79" s="157"/>
      <c r="R79" s="157"/>
      <c r="S79" s="157"/>
      <c r="T79" s="120"/>
      <c r="U79" s="158" t="str">
        <f ca="1">IFERROR(__xludf.DUMMYFUNCTION("""COMPUTED_VALUE"""),"Division III")</f>
        <v>Division III</v>
      </c>
      <c r="V79" s="157"/>
      <c r="W79" s="157"/>
      <c r="X79" s="157"/>
      <c r="Y79" s="157"/>
      <c r="Z79" s="120"/>
      <c r="AA79" s="167">
        <f ca="1">IFERROR(__xludf.DUMMYFUNCTION("""COMPUTED_VALUE"""),3)</f>
        <v>3</v>
      </c>
      <c r="AB79" s="168">
        <f ca="1">IFERROR(__xludf.DUMMYFUNCTION("""COMPUTED_VALUE"""),44383)</f>
        <v>44383</v>
      </c>
      <c r="AC79" s="157" t="str">
        <f ca="1">IFERROR(__xludf.DUMMYFUNCTION("""COMPUTED_VALUE"""),"")</f>
        <v/>
      </c>
      <c r="AD79" s="157" t="str">
        <f ca="1">IFERROR(__xludf.DUMMYFUNCTION("""COMPUTED_VALUE"""),"")</f>
        <v/>
      </c>
      <c r="AE79" s="157" t="str">
        <f ca="1">IFERROR(__xludf.DUMMYFUNCTION("""COMPUTED_VALUE"""),"")</f>
        <v/>
      </c>
      <c r="AF79" s="120"/>
      <c r="AG79" s="162"/>
      <c r="AH79" s="120"/>
    </row>
    <row r="80" spans="1:34" ht="13.2">
      <c r="A80" s="142"/>
      <c r="B80" s="142"/>
      <c r="C80" s="142"/>
      <c r="D80" s="142"/>
      <c r="E80" s="174"/>
      <c r="F80" s="174"/>
      <c r="G80" s="175"/>
      <c r="H80" s="175"/>
      <c r="I80" s="170"/>
      <c r="J80" s="170"/>
      <c r="K80" s="147"/>
      <c r="L80" s="147"/>
      <c r="M80" s="170"/>
      <c r="N80" s="170"/>
      <c r="O80" s="133"/>
      <c r="P80" s="133"/>
      <c r="Q80" s="151"/>
      <c r="R80" s="151"/>
      <c r="S80" s="151"/>
      <c r="T80" s="120"/>
      <c r="U80" s="163" t="str">
        <f ca="1">IFERROR(__xludf.DUMMYFUNCTION("""COMPUTED_VALUE"""),"Pinecrest")</f>
        <v>Pinecrest</v>
      </c>
      <c r="V80" s="151" t="str">
        <f ca="1">IFERROR(__xludf.DUMMYFUNCTION("""COMPUTED_VALUE"""),"at")</f>
        <v>at</v>
      </c>
      <c r="W80" s="151" t="str">
        <f ca="1">IFERROR(__xludf.DUMMYFUNCTION("""COMPUTED_VALUE"""),"Arlington Forest")</f>
        <v>Arlington Forest</v>
      </c>
      <c r="X80" s="151"/>
      <c r="Y80" s="151"/>
      <c r="Z80" s="120"/>
      <c r="AA80" s="165">
        <f ca="1">IFERROR(__xludf.DUMMYFUNCTION("""COMPUTED_VALUE"""),31)</f>
        <v>31</v>
      </c>
      <c r="AB80" s="171">
        <f ca="1">IFERROR(__xludf.DUMMYFUNCTION("""COMPUTED_VALUE"""),44383)</f>
        <v>44383</v>
      </c>
      <c r="AC80" s="151" t="str">
        <f ca="1">IFERROR(__xludf.DUMMYFUNCTION("""COMPUTED_VALUE"""),"20210706-31")</f>
        <v>20210706-31</v>
      </c>
      <c r="AD80" s="151" t="str">
        <f ca="1">IFERROR(__xludf.DUMMYFUNCTION("""COMPUTED_VALUE"""),"AF-Arlington Forest")</f>
        <v>AF-Arlington Forest</v>
      </c>
      <c r="AE80" s="151" t="str">
        <f ca="1">IFERROR(__xludf.DUMMYFUNCTION("""COMPUTED_VALUE"""),"PC-Pinecrest")</f>
        <v>PC-Pinecrest</v>
      </c>
      <c r="AF80" s="120"/>
      <c r="AG80" s="153"/>
      <c r="AH80" s="120"/>
    </row>
    <row r="81" spans="1:34" ht="13.2">
      <c r="A81" s="142"/>
      <c r="B81" s="142"/>
      <c r="C81" s="142"/>
      <c r="D81" s="142"/>
      <c r="E81" s="174"/>
      <c r="F81" s="174"/>
      <c r="G81" s="175"/>
      <c r="H81" s="175"/>
      <c r="I81" s="170"/>
      <c r="J81" s="170"/>
      <c r="K81" s="147"/>
      <c r="L81" s="147"/>
      <c r="M81" s="170"/>
      <c r="N81" s="170"/>
      <c r="O81" s="133"/>
      <c r="P81" s="133"/>
      <c r="Q81" s="157"/>
      <c r="R81" s="157"/>
      <c r="S81" s="157"/>
      <c r="T81" s="120"/>
      <c r="U81" s="158" t="str">
        <f ca="1">IFERROR(__xludf.DUMMYFUNCTION("""COMPUTED_VALUE"""),"Hunt Valley")</f>
        <v>Hunt Valley</v>
      </c>
      <c r="V81" s="157" t="str">
        <f ca="1">IFERROR(__xludf.DUMMYFUNCTION("""COMPUTED_VALUE"""),"at")</f>
        <v>at</v>
      </c>
      <c r="W81" s="157" t="str">
        <f ca="1">IFERROR(__xludf.DUMMYFUNCTION("""COMPUTED_VALUE"""),"Lee Graham")</f>
        <v>Lee Graham</v>
      </c>
      <c r="X81" s="157"/>
      <c r="Y81" s="157"/>
      <c r="Z81" s="120"/>
      <c r="AA81" s="167">
        <f ca="1">IFERROR(__xludf.DUMMYFUNCTION("""COMPUTED_VALUE"""),32)</f>
        <v>32</v>
      </c>
      <c r="AB81" s="168">
        <f ca="1">IFERROR(__xludf.DUMMYFUNCTION("""COMPUTED_VALUE"""),44383)</f>
        <v>44383</v>
      </c>
      <c r="AC81" s="157" t="str">
        <f ca="1">IFERROR(__xludf.DUMMYFUNCTION("""COMPUTED_VALUE"""),"20210706-32")</f>
        <v>20210706-32</v>
      </c>
      <c r="AD81" s="157" t="str">
        <f ca="1">IFERROR(__xludf.DUMMYFUNCTION("""COMPUTED_VALUE"""),"LG-Lee Graham")</f>
        <v>LG-Lee Graham</v>
      </c>
      <c r="AE81" s="157" t="str">
        <f ca="1">IFERROR(__xludf.DUMMYFUNCTION("""COMPUTED_VALUE"""),"HV-Hunt Valley")</f>
        <v>HV-Hunt Valley</v>
      </c>
      <c r="AF81" s="120"/>
      <c r="AG81" s="162"/>
      <c r="AH81" s="120"/>
    </row>
    <row r="82" spans="1:34" ht="13.2">
      <c r="A82" s="142"/>
      <c r="B82" s="142"/>
      <c r="C82" s="142"/>
      <c r="D82" s="142"/>
      <c r="E82" s="174"/>
      <c r="F82" s="174"/>
      <c r="G82" s="175"/>
      <c r="H82" s="175"/>
      <c r="I82" s="170"/>
      <c r="J82" s="170"/>
      <c r="K82" s="147"/>
      <c r="L82" s="147"/>
      <c r="M82" s="170"/>
      <c r="N82" s="170"/>
      <c r="O82" s="133"/>
      <c r="P82" s="133"/>
      <c r="Q82" s="151"/>
      <c r="R82" s="151"/>
      <c r="S82" s="151"/>
      <c r="T82" s="120"/>
      <c r="U82" s="163" t="str">
        <f ca="1">IFERROR(__xludf.DUMMYFUNCTION("""COMPUTED_VALUE"""),"Donaldson Run")</f>
        <v>Donaldson Run</v>
      </c>
      <c r="V82" s="151" t="str">
        <f ca="1">IFERROR(__xludf.DUMMYFUNCTION("""COMPUTED_VALUE"""),"at")</f>
        <v>at</v>
      </c>
      <c r="W82" s="151" t="str">
        <f ca="1">IFERROR(__xludf.DUMMYFUNCTION("""COMPUTED_VALUE"""),"Sleepy Hollow Rec")</f>
        <v>Sleepy Hollow Rec</v>
      </c>
      <c r="X82" s="151"/>
      <c r="Y82" s="151"/>
      <c r="Z82" s="120"/>
      <c r="AA82" s="165">
        <f ca="1">IFERROR(__xludf.DUMMYFUNCTION("""COMPUTED_VALUE"""),33)</f>
        <v>33</v>
      </c>
      <c r="AB82" s="171">
        <f ca="1">IFERROR(__xludf.DUMMYFUNCTION("""COMPUTED_VALUE"""),44383)</f>
        <v>44383</v>
      </c>
      <c r="AC82" s="151" t="str">
        <f ca="1">IFERROR(__xludf.DUMMYFUNCTION("""COMPUTED_VALUE"""),"20210706-33")</f>
        <v>20210706-33</v>
      </c>
      <c r="AD82" s="151" t="str">
        <f ca="1">IFERROR(__xludf.DUMMYFUNCTION("""COMPUTED_VALUE"""),"SHR-Sleepy Hollow Rec")</f>
        <v>SHR-Sleepy Hollow Rec</v>
      </c>
      <c r="AE82" s="151" t="str">
        <f ca="1">IFERROR(__xludf.DUMMYFUNCTION("""COMPUTED_VALUE"""),"DR-Donaldson Run")</f>
        <v>DR-Donaldson Run</v>
      </c>
      <c r="AF82" s="120"/>
      <c r="AG82" s="153"/>
      <c r="AH82" s="120"/>
    </row>
    <row r="83" spans="1:34" ht="13.2">
      <c r="A83" s="142"/>
      <c r="B83" s="142"/>
      <c r="C83" s="142"/>
      <c r="D83" s="142"/>
      <c r="E83" s="174"/>
      <c r="F83" s="174"/>
      <c r="G83" s="175"/>
      <c r="H83" s="175"/>
      <c r="I83" s="170"/>
      <c r="J83" s="170"/>
      <c r="K83" s="147"/>
      <c r="L83" s="147"/>
      <c r="M83" s="170"/>
      <c r="N83" s="170"/>
      <c r="O83" s="133"/>
      <c r="P83" s="133"/>
      <c r="Q83" s="157"/>
      <c r="R83" s="157"/>
      <c r="S83" s="157"/>
      <c r="T83" s="120"/>
      <c r="U83" s="158" t="str">
        <f ca="1">IFERROR(__xludf.DUMMYFUNCTION("""COMPUTED_VALUE"""),"Division IV")</f>
        <v>Division IV</v>
      </c>
      <c r="V83" s="157"/>
      <c r="W83" s="157"/>
      <c r="X83" s="157"/>
      <c r="Y83" s="157"/>
      <c r="Z83" s="120"/>
      <c r="AA83" s="167">
        <f ca="1">IFERROR(__xludf.DUMMYFUNCTION("""COMPUTED_VALUE"""),4)</f>
        <v>4</v>
      </c>
      <c r="AB83" s="168">
        <f ca="1">IFERROR(__xludf.DUMMYFUNCTION("""COMPUTED_VALUE"""),44383)</f>
        <v>44383</v>
      </c>
      <c r="AC83" s="157" t="str">
        <f ca="1">IFERROR(__xludf.DUMMYFUNCTION("""COMPUTED_VALUE"""),"")</f>
        <v/>
      </c>
      <c r="AD83" s="157" t="str">
        <f ca="1">IFERROR(__xludf.DUMMYFUNCTION("""COMPUTED_VALUE"""),"")</f>
        <v/>
      </c>
      <c r="AE83" s="157" t="str">
        <f ca="1">IFERROR(__xludf.DUMMYFUNCTION("""COMPUTED_VALUE"""),"")</f>
        <v/>
      </c>
      <c r="AF83" s="120"/>
      <c r="AG83" s="162"/>
      <c r="AH83" s="120"/>
    </row>
    <row r="84" spans="1:34" ht="13.2">
      <c r="A84" s="142"/>
      <c r="B84" s="142"/>
      <c r="C84" s="142"/>
      <c r="D84" s="142"/>
      <c r="E84" s="174"/>
      <c r="F84" s="174"/>
      <c r="G84" s="175"/>
      <c r="H84" s="175"/>
      <c r="I84" s="170"/>
      <c r="J84" s="170"/>
      <c r="K84" s="147"/>
      <c r="L84" s="147"/>
      <c r="M84" s="170"/>
      <c r="N84" s="170"/>
      <c r="O84" s="133"/>
      <c r="P84" s="133"/>
      <c r="Q84" s="151"/>
      <c r="R84" s="151"/>
      <c r="S84" s="151"/>
      <c r="T84" s="120"/>
      <c r="U84" s="163" t="str">
        <f ca="1">IFERROR(__xludf.DUMMYFUNCTION("""COMPUTED_VALUE"""),"Wakefield Chapel")</f>
        <v>Wakefield Chapel</v>
      </c>
      <c r="V84" s="151" t="str">
        <f ca="1">IFERROR(__xludf.DUMMYFUNCTION("""COMPUTED_VALUE"""),"at")</f>
        <v>at</v>
      </c>
      <c r="W84" s="151" t="str">
        <f ca="1">IFERROR(__xludf.DUMMYFUNCTION("""COMPUTED_VALUE"""),"Highlands Swim")</f>
        <v>Highlands Swim</v>
      </c>
      <c r="X84" s="151"/>
      <c r="Y84" s="151"/>
      <c r="Z84" s="120"/>
      <c r="AA84" s="165">
        <f ca="1">IFERROR(__xludf.DUMMYFUNCTION("""COMPUTED_VALUE"""),41)</f>
        <v>41</v>
      </c>
      <c r="AB84" s="171">
        <f ca="1">IFERROR(__xludf.DUMMYFUNCTION("""COMPUTED_VALUE"""),44383)</f>
        <v>44383</v>
      </c>
      <c r="AC84" s="151" t="str">
        <f ca="1">IFERROR(__xludf.DUMMYFUNCTION("""COMPUTED_VALUE"""),"20210706-41")</f>
        <v>20210706-41</v>
      </c>
      <c r="AD84" s="151" t="str">
        <f ca="1">IFERROR(__xludf.DUMMYFUNCTION("""COMPUTED_VALUE"""),"HS-Highlands Swim")</f>
        <v>HS-Highlands Swim</v>
      </c>
      <c r="AE84" s="151" t="str">
        <f ca="1">IFERROR(__xludf.DUMMYFUNCTION("""COMPUTED_VALUE"""),"WC-Wakefield Chapel")</f>
        <v>WC-Wakefield Chapel</v>
      </c>
      <c r="AF84" s="120"/>
      <c r="AG84" s="153"/>
      <c r="AH84" s="120"/>
    </row>
    <row r="85" spans="1:34" ht="13.2">
      <c r="A85" s="142"/>
      <c r="B85" s="142"/>
      <c r="C85" s="142"/>
      <c r="D85" s="142"/>
      <c r="E85" s="174"/>
      <c r="F85" s="174"/>
      <c r="G85" s="175"/>
      <c r="H85" s="175"/>
      <c r="I85" s="170"/>
      <c r="J85" s="170"/>
      <c r="K85" s="147"/>
      <c r="L85" s="147"/>
      <c r="M85" s="170"/>
      <c r="N85" s="170"/>
      <c r="O85" s="133"/>
      <c r="P85" s="133"/>
      <c r="Q85" s="157"/>
      <c r="R85" s="157"/>
      <c r="S85" s="157"/>
      <c r="T85" s="120"/>
      <c r="U85" s="158" t="str">
        <f ca="1">IFERROR(__xludf.DUMMYFUNCTION("""COMPUTED_VALUE"""),"Chesterbrook")</f>
        <v>Chesterbrook</v>
      </c>
      <c r="V85" s="157" t="str">
        <f ca="1">IFERROR(__xludf.DUMMYFUNCTION("""COMPUTED_VALUE"""),"at")</f>
        <v>at</v>
      </c>
      <c r="W85" s="157" t="str">
        <f ca="1">IFERROR(__xludf.DUMMYFUNCTION("""COMPUTED_VALUE"""),"Tuckahoe")</f>
        <v>Tuckahoe</v>
      </c>
      <c r="X85" s="157"/>
      <c r="Y85" s="157"/>
      <c r="Z85" s="120"/>
      <c r="AA85" s="167">
        <f ca="1">IFERROR(__xludf.DUMMYFUNCTION("""COMPUTED_VALUE"""),42)</f>
        <v>42</v>
      </c>
      <c r="AB85" s="168">
        <f ca="1">IFERROR(__xludf.DUMMYFUNCTION("""COMPUTED_VALUE"""),44383)</f>
        <v>44383</v>
      </c>
      <c r="AC85" s="157" t="str">
        <f ca="1">IFERROR(__xludf.DUMMYFUNCTION("""COMPUTED_VALUE"""),"20210706-42")</f>
        <v>20210706-42</v>
      </c>
      <c r="AD85" s="157" t="str">
        <f ca="1">IFERROR(__xludf.DUMMYFUNCTION("""COMPUTED_VALUE"""),"T-Tuckahoe")</f>
        <v>T-Tuckahoe</v>
      </c>
      <c r="AE85" s="157" t="str">
        <f ca="1">IFERROR(__xludf.DUMMYFUNCTION("""COMPUTED_VALUE"""),"CB-Chesterbrook")</f>
        <v>CB-Chesterbrook</v>
      </c>
      <c r="AF85" s="120"/>
      <c r="AG85" s="162"/>
      <c r="AH85" s="120"/>
    </row>
    <row r="86" spans="1:34" ht="13.2">
      <c r="A86" s="142"/>
      <c r="B86" s="142"/>
      <c r="C86" s="142"/>
      <c r="D86" s="142"/>
      <c r="E86" s="174"/>
      <c r="F86" s="174"/>
      <c r="G86" s="175"/>
      <c r="H86" s="175"/>
      <c r="I86" s="170"/>
      <c r="J86" s="170"/>
      <c r="K86" s="147"/>
      <c r="L86" s="147"/>
      <c r="M86" s="170"/>
      <c r="N86" s="170"/>
      <c r="O86" s="133"/>
      <c r="P86" s="133"/>
      <c r="Q86" s="151"/>
      <c r="R86" s="151"/>
      <c r="S86" s="151"/>
      <c r="T86" s="120"/>
      <c r="U86" s="163" t="str">
        <f ca="1">IFERROR(__xludf.DUMMYFUNCTION("""COMPUTED_VALUE"""),"Hayfield Farm")</f>
        <v>Hayfield Farm</v>
      </c>
      <c r="V86" s="151" t="str">
        <f ca="1">IFERROR(__xludf.DUMMYFUNCTION("""COMPUTED_VALUE"""),"at")</f>
        <v>at</v>
      </c>
      <c r="W86" s="151" t="str">
        <f ca="1">IFERROR(__xludf.DUMMYFUNCTION("""COMPUTED_VALUE"""),"Dominion Hills")</f>
        <v>Dominion Hills</v>
      </c>
      <c r="X86" s="151"/>
      <c r="Y86" s="151"/>
      <c r="Z86" s="120"/>
      <c r="AA86" s="165">
        <f ca="1">IFERROR(__xludf.DUMMYFUNCTION("""COMPUTED_VALUE"""),43)</f>
        <v>43</v>
      </c>
      <c r="AB86" s="171">
        <f ca="1">IFERROR(__xludf.DUMMYFUNCTION("""COMPUTED_VALUE"""),44383)</f>
        <v>44383</v>
      </c>
      <c r="AC86" s="151" t="str">
        <f ca="1">IFERROR(__xludf.DUMMYFUNCTION("""COMPUTED_VALUE"""),"20210706-43")</f>
        <v>20210706-43</v>
      </c>
      <c r="AD86" s="151" t="str">
        <f ca="1">IFERROR(__xludf.DUMMYFUNCTION("""COMPUTED_VALUE"""),"DH-Dominion Hills")</f>
        <v>DH-Dominion Hills</v>
      </c>
      <c r="AE86" s="151" t="str">
        <f ca="1">IFERROR(__xludf.DUMMYFUNCTION("""COMPUTED_VALUE"""),"HF-Hayfield Farm")</f>
        <v>HF-Hayfield Farm</v>
      </c>
      <c r="AF86" s="120"/>
      <c r="AG86" s="153"/>
      <c r="AH86" s="120"/>
    </row>
    <row r="87" spans="1:34" ht="13.2">
      <c r="A87" s="142"/>
      <c r="B87" s="142"/>
      <c r="C87" s="142"/>
      <c r="D87" s="142"/>
      <c r="E87" s="174"/>
      <c r="F87" s="174"/>
      <c r="G87" s="175"/>
      <c r="H87" s="175"/>
      <c r="I87" s="170"/>
      <c r="J87" s="170"/>
      <c r="K87" s="147"/>
      <c r="L87" s="147"/>
      <c r="M87" s="170"/>
      <c r="N87" s="170"/>
      <c r="O87" s="133"/>
      <c r="P87" s="133"/>
      <c r="Q87" s="157"/>
      <c r="R87" s="157"/>
      <c r="S87" s="157"/>
      <c r="T87" s="120"/>
      <c r="U87" s="158" t="str">
        <f ca="1">IFERROR(__xludf.DUMMYFUNCTION("""COMPUTED_VALUE"""),"Division V")</f>
        <v>Division V</v>
      </c>
      <c r="V87" s="157"/>
      <c r="W87" s="157"/>
      <c r="X87" s="157"/>
      <c r="Y87" s="157"/>
      <c r="Z87" s="120"/>
      <c r="AA87" s="167">
        <f ca="1">IFERROR(__xludf.DUMMYFUNCTION("""COMPUTED_VALUE"""),5)</f>
        <v>5</v>
      </c>
      <c r="AB87" s="168">
        <f ca="1">IFERROR(__xludf.DUMMYFUNCTION("""COMPUTED_VALUE"""),44383)</f>
        <v>44383</v>
      </c>
      <c r="AC87" s="157" t="str">
        <f ca="1">IFERROR(__xludf.DUMMYFUNCTION("""COMPUTED_VALUE"""),"")</f>
        <v/>
      </c>
      <c r="AD87" s="157" t="str">
        <f ca="1">IFERROR(__xludf.DUMMYFUNCTION("""COMPUTED_VALUE"""),"")</f>
        <v/>
      </c>
      <c r="AE87" s="157" t="str">
        <f ca="1">IFERROR(__xludf.DUMMYFUNCTION("""COMPUTED_VALUE"""),"")</f>
        <v/>
      </c>
      <c r="AF87" s="120"/>
      <c r="AG87" s="162"/>
      <c r="AH87" s="120"/>
    </row>
    <row r="88" spans="1:34" ht="13.2">
      <c r="A88" s="142"/>
      <c r="B88" s="142"/>
      <c r="C88" s="142"/>
      <c r="D88" s="142"/>
      <c r="E88" s="174"/>
      <c r="F88" s="174"/>
      <c r="G88" s="175"/>
      <c r="H88" s="175"/>
      <c r="I88" s="170"/>
      <c r="J88" s="170"/>
      <c r="K88" s="147"/>
      <c r="L88" s="147"/>
      <c r="M88" s="170"/>
      <c r="N88" s="170"/>
      <c r="O88" s="133"/>
      <c r="P88" s="133"/>
      <c r="Q88" s="151"/>
      <c r="R88" s="151"/>
      <c r="S88" s="151"/>
      <c r="T88" s="120"/>
      <c r="U88" s="163" t="str">
        <f ca="1">IFERROR(__xludf.DUMMYFUNCTION("""COMPUTED_VALUE"""),"Crosspointe")</f>
        <v>Crosspointe</v>
      </c>
      <c r="V88" s="151" t="str">
        <f ca="1">IFERROR(__xludf.DUMMYFUNCTION("""COMPUTED_VALUE"""),"at")</f>
        <v>at</v>
      </c>
      <c r="W88" s="151" t="str">
        <f ca="1">IFERROR(__xludf.DUMMYFUNCTION("""COMPUTED_VALUE"""),"Lakeview")</f>
        <v>Lakeview</v>
      </c>
      <c r="X88" s="151"/>
      <c r="Y88" s="151"/>
      <c r="Z88" s="120"/>
      <c r="AA88" s="165">
        <f ca="1">IFERROR(__xludf.DUMMYFUNCTION("""COMPUTED_VALUE"""),51)</f>
        <v>51</v>
      </c>
      <c r="AB88" s="171">
        <f ca="1">IFERROR(__xludf.DUMMYFUNCTION("""COMPUTED_VALUE"""),44383)</f>
        <v>44383</v>
      </c>
      <c r="AC88" s="151" t="str">
        <f ca="1">IFERROR(__xludf.DUMMYFUNCTION("""COMPUTED_VALUE"""),"20210706-51")</f>
        <v>20210706-51</v>
      </c>
      <c r="AD88" s="151" t="str">
        <f ca="1">IFERROR(__xludf.DUMMYFUNCTION("""COMPUTED_VALUE"""),"LV-Lakeview")</f>
        <v>LV-Lakeview</v>
      </c>
      <c r="AE88" s="151" t="str">
        <f ca="1">IFERROR(__xludf.DUMMYFUNCTION("""COMPUTED_VALUE"""),"CP-Crosspointe")</f>
        <v>CP-Crosspointe</v>
      </c>
      <c r="AF88" s="120"/>
      <c r="AG88" s="153"/>
      <c r="AH88" s="120"/>
    </row>
    <row r="89" spans="1:34" ht="13.2">
      <c r="A89" s="142"/>
      <c r="B89" s="142"/>
      <c r="C89" s="142"/>
      <c r="D89" s="142"/>
      <c r="E89" s="174"/>
      <c r="F89" s="174"/>
      <c r="G89" s="175"/>
      <c r="H89" s="175"/>
      <c r="I89" s="170"/>
      <c r="J89" s="170"/>
      <c r="K89" s="147"/>
      <c r="L89" s="147"/>
      <c r="M89" s="170"/>
      <c r="N89" s="170"/>
      <c r="O89" s="133"/>
      <c r="P89" s="133"/>
      <c r="Q89" s="157"/>
      <c r="R89" s="157"/>
      <c r="S89" s="157"/>
      <c r="T89" s="120"/>
      <c r="U89" s="158" t="str">
        <f ca="1">IFERROR(__xludf.DUMMYFUNCTION("""COMPUTED_VALUE"""),"Rolling Hills")</f>
        <v>Rolling Hills</v>
      </c>
      <c r="V89" s="157" t="str">
        <f ca="1">IFERROR(__xludf.DUMMYFUNCTION("""COMPUTED_VALUE"""),"at")</f>
        <v>at</v>
      </c>
      <c r="W89" s="157" t="str">
        <f ca="1">IFERROR(__xludf.DUMMYFUNCTION("""COMPUTED_VALUE"""),"Sleepy Hollow B &amp; R")</f>
        <v>Sleepy Hollow B &amp; R</v>
      </c>
      <c r="X89" s="157"/>
      <c r="Y89" s="157"/>
      <c r="Z89" s="120"/>
      <c r="AA89" s="167">
        <f ca="1">IFERROR(__xludf.DUMMYFUNCTION("""COMPUTED_VALUE"""),52)</f>
        <v>52</v>
      </c>
      <c r="AB89" s="168">
        <f ca="1">IFERROR(__xludf.DUMMYFUNCTION("""COMPUTED_VALUE"""),44383)</f>
        <v>44383</v>
      </c>
      <c r="AC89" s="157" t="str">
        <f ca="1">IFERROR(__xludf.DUMMYFUNCTION("""COMPUTED_VALUE"""),"20210706-52")</f>
        <v>20210706-52</v>
      </c>
      <c r="AD89" s="157" t="str">
        <f ca="1">IFERROR(__xludf.DUMMYFUNCTION("""COMPUTED_VALUE"""),"SHB-Sleepy Hollow Bath")</f>
        <v>SHB-Sleepy Hollow Bath</v>
      </c>
      <c r="AE89" s="157" t="str">
        <f ca="1">IFERROR(__xludf.DUMMYFUNCTION("""COMPUTED_VALUE"""),"RH-Rolling Hills")</f>
        <v>RH-Rolling Hills</v>
      </c>
      <c r="AF89" s="120"/>
      <c r="AG89" s="162"/>
      <c r="AH89" s="120"/>
    </row>
    <row r="90" spans="1:34" ht="13.2">
      <c r="A90" s="142"/>
      <c r="B90" s="142"/>
      <c r="C90" s="142"/>
      <c r="D90" s="142"/>
      <c r="E90" s="174"/>
      <c r="F90" s="174"/>
      <c r="G90" s="175"/>
      <c r="H90" s="175"/>
      <c r="I90" s="170"/>
      <c r="J90" s="170"/>
      <c r="K90" s="147"/>
      <c r="L90" s="147"/>
      <c r="M90" s="170"/>
      <c r="N90" s="170"/>
      <c r="O90" s="133"/>
      <c r="P90" s="133"/>
      <c r="Q90" s="151"/>
      <c r="R90" s="151"/>
      <c r="S90" s="151"/>
      <c r="T90" s="120"/>
      <c r="U90" s="163" t="str">
        <f ca="1">IFERROR(__xludf.DUMMYFUNCTION("""COMPUTED_VALUE"""),"Ravensworth Farm")</f>
        <v>Ravensworth Farm</v>
      </c>
      <c r="V90" s="151" t="str">
        <f ca="1">IFERROR(__xludf.DUMMYFUNCTION("""COMPUTED_VALUE"""),"at")</f>
        <v>at</v>
      </c>
      <c r="W90" s="151" t="str">
        <f ca="1">IFERROR(__xludf.DUMMYFUNCTION("""COMPUTED_VALUE"""),"Camelot")</f>
        <v>Camelot</v>
      </c>
      <c r="X90" s="151"/>
      <c r="Y90" s="151"/>
      <c r="Z90" s="120"/>
      <c r="AA90" s="165">
        <f ca="1">IFERROR(__xludf.DUMMYFUNCTION("""COMPUTED_VALUE"""),53)</f>
        <v>53</v>
      </c>
      <c r="AB90" s="171">
        <f ca="1">IFERROR(__xludf.DUMMYFUNCTION("""COMPUTED_VALUE"""),44383)</f>
        <v>44383</v>
      </c>
      <c r="AC90" s="151" t="str">
        <f ca="1">IFERROR(__xludf.DUMMYFUNCTION("""COMPUTED_VALUE"""),"20210706-53")</f>
        <v>20210706-53</v>
      </c>
      <c r="AD90" s="151" t="str">
        <f ca="1">IFERROR(__xludf.DUMMYFUNCTION("""COMPUTED_VALUE"""),"CCC-Camelot Community Club")</f>
        <v>CCC-Camelot Community Club</v>
      </c>
      <c r="AE90" s="151" t="str">
        <f ca="1">IFERROR(__xludf.DUMMYFUNCTION("""COMPUTED_VALUE"""),"R-Ravensworth Farm")</f>
        <v>R-Ravensworth Farm</v>
      </c>
      <c r="AF90" s="120"/>
      <c r="AG90" s="153"/>
      <c r="AH90" s="120"/>
    </row>
    <row r="91" spans="1:34" ht="13.2">
      <c r="A91" s="142"/>
      <c r="B91" s="142"/>
      <c r="C91" s="142"/>
      <c r="D91" s="142"/>
      <c r="E91" s="174"/>
      <c r="F91" s="174"/>
      <c r="G91" s="175"/>
      <c r="H91" s="175"/>
      <c r="I91" s="170"/>
      <c r="J91" s="170"/>
      <c r="K91" s="147"/>
      <c r="L91" s="147"/>
      <c r="M91" s="170"/>
      <c r="N91" s="170"/>
      <c r="O91" s="133"/>
      <c r="P91" s="133"/>
      <c r="Q91" s="157"/>
      <c r="R91" s="157"/>
      <c r="S91" s="157"/>
      <c r="T91" s="120"/>
      <c r="U91" s="158" t="str">
        <f ca="1">IFERROR(__xludf.DUMMYFUNCTION("""COMPUTED_VALUE"""),"Division VI")</f>
        <v>Division VI</v>
      </c>
      <c r="V91" s="157"/>
      <c r="W91" s="157"/>
      <c r="X91" s="157"/>
      <c r="Y91" s="157"/>
      <c r="Z91" s="120"/>
      <c r="AA91" s="167">
        <f ca="1">IFERROR(__xludf.DUMMYFUNCTION("""COMPUTED_VALUE"""),6)</f>
        <v>6</v>
      </c>
      <c r="AB91" s="168">
        <f ca="1">IFERROR(__xludf.DUMMYFUNCTION("""COMPUTED_VALUE"""),44383)</f>
        <v>44383</v>
      </c>
      <c r="AC91" s="157" t="str">
        <f ca="1">IFERROR(__xludf.DUMMYFUNCTION("""COMPUTED_VALUE"""),"")</f>
        <v/>
      </c>
      <c r="AD91" s="157" t="str">
        <f ca="1">IFERROR(__xludf.DUMMYFUNCTION("""COMPUTED_VALUE"""),"")</f>
        <v/>
      </c>
      <c r="AE91" s="157" t="str">
        <f ca="1">IFERROR(__xludf.DUMMYFUNCTION("""COMPUTED_VALUE"""),"")</f>
        <v/>
      </c>
      <c r="AF91" s="120"/>
      <c r="AG91" s="162"/>
      <c r="AH91" s="120"/>
    </row>
    <row r="92" spans="1:34" ht="13.2">
      <c r="A92" s="142"/>
      <c r="B92" s="142"/>
      <c r="C92" s="142"/>
      <c r="D92" s="142"/>
      <c r="E92" s="174"/>
      <c r="F92" s="174"/>
      <c r="G92" s="175"/>
      <c r="H92" s="175"/>
      <c r="I92" s="170"/>
      <c r="J92" s="170"/>
      <c r="K92" s="147"/>
      <c r="L92" s="147"/>
      <c r="M92" s="170"/>
      <c r="N92" s="170"/>
      <c r="O92" s="133"/>
      <c r="P92" s="133"/>
      <c r="Q92" s="151"/>
      <c r="R92" s="151"/>
      <c r="S92" s="151"/>
      <c r="T92" s="120"/>
      <c r="U92" s="163" t="str">
        <f ca="1">IFERROR(__xludf.DUMMYFUNCTION("""COMPUTED_VALUE"""),"Orange Hunt")</f>
        <v>Orange Hunt</v>
      </c>
      <c r="V92" s="151" t="str">
        <f ca="1">IFERROR(__xludf.DUMMYFUNCTION("""COMPUTED_VALUE"""),"at")</f>
        <v>at</v>
      </c>
      <c r="W92" s="151" t="str">
        <f ca="1">IFERROR(__xludf.DUMMYFUNCTION("""COMPUTED_VALUE"""),"Highland Park")</f>
        <v>Highland Park</v>
      </c>
      <c r="X92" s="151"/>
      <c r="Y92" s="151"/>
      <c r="Z92" s="120"/>
      <c r="AA92" s="165">
        <f ca="1">IFERROR(__xludf.DUMMYFUNCTION("""COMPUTED_VALUE"""),61)</f>
        <v>61</v>
      </c>
      <c r="AB92" s="171">
        <f ca="1">IFERROR(__xludf.DUMMYFUNCTION("""COMPUTED_VALUE"""),44383)</f>
        <v>44383</v>
      </c>
      <c r="AC92" s="151" t="str">
        <f ca="1">IFERROR(__xludf.DUMMYFUNCTION("""COMPUTED_VALUE"""),"20210706-61")</f>
        <v>20210706-61</v>
      </c>
      <c r="AD92" s="151" t="str">
        <f ca="1">IFERROR(__xludf.DUMMYFUNCTION("""COMPUTED_VALUE"""),"HP-Highland Park")</f>
        <v>HP-Highland Park</v>
      </c>
      <c r="AE92" s="151" t="str">
        <f ca="1">IFERROR(__xludf.DUMMYFUNCTION("""COMPUTED_VALUE"""),"OH-Orange Hunt")</f>
        <v>OH-Orange Hunt</v>
      </c>
      <c r="AF92" s="120"/>
      <c r="AG92" s="153"/>
      <c r="AH92" s="120"/>
    </row>
    <row r="93" spans="1:34" ht="13.2">
      <c r="A93" s="142"/>
      <c r="B93" s="142"/>
      <c r="C93" s="142"/>
      <c r="D93" s="142"/>
      <c r="E93" s="174"/>
      <c r="F93" s="174"/>
      <c r="G93" s="175"/>
      <c r="H93" s="175"/>
      <c r="I93" s="170"/>
      <c r="J93" s="170"/>
      <c r="K93" s="147"/>
      <c r="L93" s="147"/>
      <c r="M93" s="170"/>
      <c r="N93" s="170"/>
      <c r="O93" s="133"/>
      <c r="P93" s="133"/>
      <c r="Q93" s="157"/>
      <c r="R93" s="157"/>
      <c r="S93" s="157"/>
      <c r="T93" s="120"/>
      <c r="U93" s="158" t="str">
        <f ca="1">IFERROR(__xludf.DUMMYFUNCTION("""COMPUTED_VALUE"""),"Parliament")</f>
        <v>Parliament</v>
      </c>
      <c r="V93" s="157" t="str">
        <f ca="1">IFERROR(__xludf.DUMMYFUNCTION("""COMPUTED_VALUE"""),"at")</f>
        <v>at</v>
      </c>
      <c r="W93" s="157" t="str">
        <f ca="1">IFERROR(__xludf.DUMMYFUNCTION("""COMPUTED_VALUE"""),"Greenbriar")</f>
        <v>Greenbriar</v>
      </c>
      <c r="X93" s="157"/>
      <c r="Y93" s="157"/>
      <c r="Z93" s="120"/>
      <c r="AA93" s="167">
        <f ca="1">IFERROR(__xludf.DUMMYFUNCTION("""COMPUTED_VALUE"""),62)</f>
        <v>62</v>
      </c>
      <c r="AB93" s="168">
        <f ca="1">IFERROR(__xludf.DUMMYFUNCTION("""COMPUTED_VALUE"""),44383)</f>
        <v>44383</v>
      </c>
      <c r="AC93" s="157" t="str">
        <f ca="1">IFERROR(__xludf.DUMMYFUNCTION("""COMPUTED_VALUE"""),"20210706-62")</f>
        <v>20210706-62</v>
      </c>
      <c r="AD93" s="157" t="str">
        <f ca="1">IFERROR(__xludf.DUMMYFUNCTION("""COMPUTED_VALUE"""),"G-Greenbriar")</f>
        <v>G-Greenbriar</v>
      </c>
      <c r="AE93" s="157" t="str">
        <f ca="1">IFERROR(__xludf.DUMMYFUNCTION("""COMPUTED_VALUE"""),"PAR-Parliament")</f>
        <v>PAR-Parliament</v>
      </c>
      <c r="AF93" s="120"/>
      <c r="AG93" s="162"/>
      <c r="AH93" s="120"/>
    </row>
    <row r="94" spans="1:34" ht="13.2">
      <c r="A94" s="142"/>
      <c r="B94" s="142"/>
      <c r="C94" s="142"/>
      <c r="D94" s="142"/>
      <c r="E94" s="174"/>
      <c r="F94" s="174"/>
      <c r="G94" s="175"/>
      <c r="H94" s="175"/>
      <c r="I94" s="170"/>
      <c r="J94" s="170"/>
      <c r="K94" s="147"/>
      <c r="L94" s="147"/>
      <c r="M94" s="170"/>
      <c r="N94" s="170"/>
      <c r="O94" s="133"/>
      <c r="P94" s="133"/>
      <c r="Q94" s="151"/>
      <c r="R94" s="151"/>
      <c r="S94" s="151"/>
      <c r="T94" s="120"/>
      <c r="U94" s="163" t="str">
        <f ca="1">IFERROR(__xludf.DUMMYFUNCTION("""COMPUTED_VALUE"""),"Cardinal Hill")</f>
        <v>Cardinal Hill</v>
      </c>
      <c r="V94" s="151" t="str">
        <f ca="1">IFERROR(__xludf.DUMMYFUNCTION("""COMPUTED_VALUE"""),"at")</f>
        <v>at</v>
      </c>
      <c r="W94" s="151" t="str">
        <f ca="1">IFERROR(__xludf.DUMMYFUNCTION("""COMPUTED_VALUE"""),"Fairfax Station")</f>
        <v>Fairfax Station</v>
      </c>
      <c r="X94" s="151"/>
      <c r="Y94" s="151"/>
      <c r="Z94" s="120"/>
      <c r="AA94" s="165">
        <f ca="1">IFERROR(__xludf.DUMMYFUNCTION("""COMPUTED_VALUE"""),63)</f>
        <v>63</v>
      </c>
      <c r="AB94" s="171">
        <f ca="1">IFERROR(__xludf.DUMMYFUNCTION("""COMPUTED_VALUE"""),44383)</f>
        <v>44383</v>
      </c>
      <c r="AC94" s="151" t="str">
        <f ca="1">IFERROR(__xludf.DUMMYFUNCTION("""COMPUTED_VALUE"""),"20210706-63")</f>
        <v>20210706-63</v>
      </c>
      <c r="AD94" s="151" t="str">
        <f ca="1">IFERROR(__xludf.DUMMYFUNCTION("""COMPUTED_VALUE"""),"FS-Fairfax Station")</f>
        <v>FS-Fairfax Station</v>
      </c>
      <c r="AE94" s="151" t="str">
        <f ca="1">IFERROR(__xludf.DUMMYFUNCTION("""COMPUTED_VALUE"""),"CH-Cardinal Hill")</f>
        <v>CH-Cardinal Hill</v>
      </c>
      <c r="AF94" s="120"/>
      <c r="AG94" s="153"/>
      <c r="AH94" s="120"/>
    </row>
    <row r="95" spans="1:34" ht="13.2">
      <c r="A95" s="142"/>
      <c r="B95" s="142"/>
      <c r="C95" s="142"/>
      <c r="D95" s="142"/>
      <c r="E95" s="174"/>
      <c r="F95" s="174"/>
      <c r="G95" s="175"/>
      <c r="H95" s="175"/>
      <c r="I95" s="170"/>
      <c r="J95" s="170"/>
      <c r="K95" s="147"/>
      <c r="L95" s="147"/>
      <c r="M95" s="170"/>
      <c r="N95" s="170"/>
      <c r="O95" s="133"/>
      <c r="P95" s="133"/>
      <c r="Q95" s="157"/>
      <c r="R95" s="157"/>
      <c r="S95" s="157"/>
      <c r="T95" s="120"/>
      <c r="U95" s="158" t="str">
        <f ca="1">IFERROR(__xludf.DUMMYFUNCTION("""COMPUTED_VALUE"""),"Division VII")</f>
        <v>Division VII</v>
      </c>
      <c r="V95" s="157"/>
      <c r="W95" s="157"/>
      <c r="X95" s="157"/>
      <c r="Y95" s="157"/>
      <c r="Z95" s="120"/>
      <c r="AA95" s="167">
        <f ca="1">IFERROR(__xludf.DUMMYFUNCTION("""COMPUTED_VALUE"""),7)</f>
        <v>7</v>
      </c>
      <c r="AB95" s="168">
        <f ca="1">IFERROR(__xludf.DUMMYFUNCTION("""COMPUTED_VALUE"""),44383)</f>
        <v>44383</v>
      </c>
      <c r="AC95" s="157" t="str">
        <f ca="1">IFERROR(__xludf.DUMMYFUNCTION("""COMPUTED_VALUE"""),"")</f>
        <v/>
      </c>
      <c r="AD95" s="157" t="str">
        <f ca="1">IFERROR(__xludf.DUMMYFUNCTION("""COMPUTED_VALUE"""),"")</f>
        <v/>
      </c>
      <c r="AE95" s="157" t="str">
        <f ca="1">IFERROR(__xludf.DUMMYFUNCTION("""COMPUTED_VALUE"""),"")</f>
        <v/>
      </c>
      <c r="AF95" s="120"/>
      <c r="AG95" s="162"/>
      <c r="AH95" s="120"/>
    </row>
    <row r="96" spans="1:34" ht="13.2">
      <c r="A96" s="142"/>
      <c r="B96" s="142"/>
      <c r="C96" s="142"/>
      <c r="D96" s="142"/>
      <c r="E96" s="174"/>
      <c r="F96" s="174"/>
      <c r="G96" s="175"/>
      <c r="H96" s="175"/>
      <c r="I96" s="170"/>
      <c r="J96" s="170"/>
      <c r="K96" s="147"/>
      <c r="L96" s="147"/>
      <c r="M96" s="170"/>
      <c r="N96" s="170"/>
      <c r="O96" s="133"/>
      <c r="P96" s="133"/>
      <c r="Q96" s="151"/>
      <c r="R96" s="151"/>
      <c r="S96" s="151"/>
      <c r="T96" s="120"/>
      <c r="U96" s="163" t="str">
        <f ca="1">IFERROR(__xludf.DUMMYFUNCTION("""COMPUTED_VALUE"""),"Mantua")</f>
        <v>Mantua</v>
      </c>
      <c r="V96" s="151" t="str">
        <f ca="1">IFERROR(__xludf.DUMMYFUNCTION("""COMPUTED_VALUE"""),"at")</f>
        <v>at</v>
      </c>
      <c r="W96" s="151" t="str">
        <f ca="1">IFERROR(__xludf.DUMMYFUNCTION("""COMPUTED_VALUE"""),"Stratford")</f>
        <v>Stratford</v>
      </c>
      <c r="X96" s="151"/>
      <c r="Y96" s="151"/>
      <c r="Z96" s="120"/>
      <c r="AA96" s="165">
        <f ca="1">IFERROR(__xludf.DUMMYFUNCTION("""COMPUTED_VALUE"""),71)</f>
        <v>71</v>
      </c>
      <c r="AB96" s="171">
        <f ca="1">IFERROR(__xludf.DUMMYFUNCTION("""COMPUTED_VALUE"""),44383)</f>
        <v>44383</v>
      </c>
      <c r="AC96" s="151" t="str">
        <f ca="1">IFERROR(__xludf.DUMMYFUNCTION("""COMPUTED_VALUE"""),"20210706-71")</f>
        <v>20210706-71</v>
      </c>
      <c r="AD96" s="151" t="str">
        <f ca="1">IFERROR(__xludf.DUMMYFUNCTION("""COMPUTED_VALUE"""),"SRA-Stratford Rec Association")</f>
        <v>SRA-Stratford Rec Association</v>
      </c>
      <c r="AE96" s="151" t="str">
        <f ca="1">IFERROR(__xludf.DUMMYFUNCTION("""COMPUTED_VALUE"""),"M-Mantua")</f>
        <v>M-Mantua</v>
      </c>
      <c r="AF96" s="120"/>
      <c r="AG96" s="153"/>
      <c r="AH96" s="120"/>
    </row>
    <row r="97" spans="1:34" ht="13.2">
      <c r="A97" s="142"/>
      <c r="B97" s="142"/>
      <c r="C97" s="142"/>
      <c r="D97" s="142"/>
      <c r="E97" s="174"/>
      <c r="F97" s="174"/>
      <c r="G97" s="175"/>
      <c r="H97" s="175"/>
      <c r="I97" s="170"/>
      <c r="J97" s="170"/>
      <c r="K97" s="147"/>
      <c r="L97" s="147"/>
      <c r="M97" s="170"/>
      <c r="N97" s="170"/>
      <c r="O97" s="133"/>
      <c r="P97" s="133"/>
      <c r="Q97" s="157"/>
      <c r="R97" s="157"/>
      <c r="S97" s="157"/>
      <c r="T97" s="120"/>
      <c r="U97" s="158" t="str">
        <f ca="1">IFERROR(__xludf.DUMMYFUNCTION("""COMPUTED_VALUE"""),"Springboard")</f>
        <v>Springboard</v>
      </c>
      <c r="V97" s="157" t="str">
        <f ca="1">IFERROR(__xludf.DUMMYFUNCTION("""COMPUTED_VALUE"""),"at")</f>
        <v>at</v>
      </c>
      <c r="W97" s="157" t="str">
        <f ca="1">IFERROR(__xludf.DUMMYFUNCTION("""COMPUTED_VALUE"""),"Hamlet")</f>
        <v>Hamlet</v>
      </c>
      <c r="X97" s="157"/>
      <c r="Y97" s="157"/>
      <c r="Z97" s="120"/>
      <c r="AA97" s="167">
        <f ca="1">IFERROR(__xludf.DUMMYFUNCTION("""COMPUTED_VALUE"""),72)</f>
        <v>72</v>
      </c>
      <c r="AB97" s="168">
        <f ca="1">IFERROR(__xludf.DUMMYFUNCTION("""COMPUTED_VALUE"""),44383)</f>
        <v>44383</v>
      </c>
      <c r="AC97" s="157" t="str">
        <f ca="1">IFERROR(__xludf.DUMMYFUNCTION("""COMPUTED_VALUE"""),"20210706-72")</f>
        <v>20210706-72</v>
      </c>
      <c r="AD97" s="157" t="str">
        <f ca="1">IFERROR(__xludf.DUMMYFUNCTION("""COMPUTED_VALUE"""),"HSC-Hamlet Swim")</f>
        <v>HSC-Hamlet Swim</v>
      </c>
      <c r="AE97" s="157" t="str">
        <f ca="1">IFERROR(__xludf.DUMMYFUNCTION("""COMPUTED_VALUE"""),"SB-Springboard Recreration Club")</f>
        <v>SB-Springboard Recreration Club</v>
      </c>
      <c r="AF97" s="120"/>
      <c r="AG97" s="162"/>
      <c r="AH97" s="120"/>
    </row>
    <row r="98" spans="1:34" ht="13.2">
      <c r="A98" s="142"/>
      <c r="B98" s="142"/>
      <c r="C98" s="142"/>
      <c r="D98" s="142"/>
      <c r="E98" s="174"/>
      <c r="F98" s="174"/>
      <c r="G98" s="175"/>
      <c r="H98" s="175"/>
      <c r="I98" s="170"/>
      <c r="J98" s="170"/>
      <c r="K98" s="147"/>
      <c r="L98" s="147"/>
      <c r="M98" s="170"/>
      <c r="N98" s="170"/>
      <c r="O98" s="133"/>
      <c r="P98" s="133"/>
      <c r="Q98" s="151"/>
      <c r="R98" s="151"/>
      <c r="S98" s="151"/>
      <c r="T98" s="120"/>
      <c r="U98" s="163" t="str">
        <f ca="1">IFERROR(__xludf.DUMMYFUNCTION("""COMPUTED_VALUE"""),"Rutherford")</f>
        <v>Rutherford</v>
      </c>
      <c r="V98" s="151" t="str">
        <f ca="1">IFERROR(__xludf.DUMMYFUNCTION("""COMPUTED_VALUE"""),"at")</f>
        <v>at</v>
      </c>
      <c r="W98" s="151" t="str">
        <f ca="1">IFERROR(__xludf.DUMMYFUNCTION("""COMPUTED_VALUE"""),"Woodley")</f>
        <v>Woodley</v>
      </c>
      <c r="X98" s="151"/>
      <c r="Y98" s="151"/>
      <c r="Z98" s="120"/>
      <c r="AA98" s="165">
        <f ca="1">IFERROR(__xludf.DUMMYFUNCTION("""COMPUTED_VALUE"""),73)</f>
        <v>73</v>
      </c>
      <c r="AB98" s="171">
        <f ca="1">IFERROR(__xludf.DUMMYFUNCTION("""COMPUTED_VALUE"""),44383)</f>
        <v>44383</v>
      </c>
      <c r="AC98" s="151" t="str">
        <f ca="1">IFERROR(__xludf.DUMMYFUNCTION("""COMPUTED_VALUE"""),"20210706-73")</f>
        <v>20210706-73</v>
      </c>
      <c r="AD98" s="151" t="str">
        <f ca="1">IFERROR(__xludf.DUMMYFUNCTION("""COMPUTED_VALUE"""),"W-Woodley")</f>
        <v>W-Woodley</v>
      </c>
      <c r="AE98" s="151" t="str">
        <f ca="1">IFERROR(__xludf.DUMMYFUNCTION("""COMPUTED_VALUE"""),"RFD-Rutherford")</f>
        <v>RFD-Rutherford</v>
      </c>
      <c r="AF98" s="120"/>
      <c r="AG98" s="153"/>
      <c r="AH98" s="120"/>
    </row>
    <row r="99" spans="1:34" ht="13.2">
      <c r="A99" s="142"/>
      <c r="B99" s="142"/>
      <c r="C99" s="142"/>
      <c r="D99" s="142"/>
      <c r="E99" s="174"/>
      <c r="F99" s="174"/>
      <c r="G99" s="175"/>
      <c r="H99" s="175"/>
      <c r="I99" s="170"/>
      <c r="J99" s="170"/>
      <c r="K99" s="147"/>
      <c r="L99" s="147"/>
      <c r="M99" s="170"/>
      <c r="N99" s="170"/>
      <c r="O99" s="133"/>
      <c r="P99" s="133"/>
      <c r="Q99" s="157"/>
      <c r="R99" s="157"/>
      <c r="S99" s="157"/>
      <c r="T99" s="120"/>
      <c r="U99" s="158" t="str">
        <f ca="1">IFERROR(__xludf.DUMMYFUNCTION("""COMPUTED_VALUE"""),"Division VIII")</f>
        <v>Division VIII</v>
      </c>
      <c r="V99" s="157"/>
      <c r="W99" s="157"/>
      <c r="X99" s="157"/>
      <c r="Y99" s="157"/>
      <c r="Z99" s="120"/>
      <c r="AA99" s="167">
        <f ca="1">IFERROR(__xludf.DUMMYFUNCTION("""COMPUTED_VALUE"""),8)</f>
        <v>8</v>
      </c>
      <c r="AB99" s="168">
        <f ca="1">IFERROR(__xludf.DUMMYFUNCTION("""COMPUTED_VALUE"""),44383)</f>
        <v>44383</v>
      </c>
      <c r="AC99" s="157" t="str">
        <f ca="1">IFERROR(__xludf.DUMMYFUNCTION("""COMPUTED_VALUE"""),"")</f>
        <v/>
      </c>
      <c r="AD99" s="157" t="str">
        <f ca="1">IFERROR(__xludf.DUMMYFUNCTION("""COMPUTED_VALUE"""),"")</f>
        <v/>
      </c>
      <c r="AE99" s="157" t="str">
        <f ca="1">IFERROR(__xludf.DUMMYFUNCTION("""COMPUTED_VALUE"""),"")</f>
        <v/>
      </c>
      <c r="AF99" s="120"/>
      <c r="AG99" s="162"/>
      <c r="AH99" s="120"/>
    </row>
    <row r="100" spans="1:34" ht="13.2">
      <c r="A100" s="142"/>
      <c r="B100" s="142"/>
      <c r="C100" s="142"/>
      <c r="D100" s="142"/>
      <c r="E100" s="174"/>
      <c r="F100" s="174"/>
      <c r="G100" s="175"/>
      <c r="H100" s="175"/>
      <c r="I100" s="170"/>
      <c r="J100" s="170"/>
      <c r="K100" s="147"/>
      <c r="L100" s="147"/>
      <c r="M100" s="170"/>
      <c r="N100" s="170"/>
      <c r="O100" s="133"/>
      <c r="P100" s="133"/>
      <c r="Q100" s="151"/>
      <c r="R100" s="151"/>
      <c r="S100" s="151"/>
      <c r="T100" s="120"/>
      <c r="U100" s="163" t="str">
        <f ca="1">IFERROR(__xludf.DUMMYFUNCTION("""COMPUTED_VALUE"""),"Commonwealth")</f>
        <v>Commonwealth</v>
      </c>
      <c r="V100" s="151" t="str">
        <f ca="1">IFERROR(__xludf.DUMMYFUNCTION("""COMPUTED_VALUE"""),"at")</f>
        <v>at</v>
      </c>
      <c r="W100" s="151" t="str">
        <f ca="1">IFERROR(__xludf.DUMMYFUNCTION("""COMPUTED_VALUE"""),"Ilda Community")</f>
        <v>Ilda Community</v>
      </c>
      <c r="X100" s="151"/>
      <c r="Y100" s="151"/>
      <c r="Z100" s="120"/>
      <c r="AA100" s="165">
        <f ca="1">IFERROR(__xludf.DUMMYFUNCTION("""COMPUTED_VALUE"""),81)</f>
        <v>81</v>
      </c>
      <c r="AB100" s="171">
        <f ca="1">IFERROR(__xludf.DUMMYFUNCTION("""COMPUTED_VALUE"""),44383)</f>
        <v>44383</v>
      </c>
      <c r="AC100" s="151" t="str">
        <f ca="1">IFERROR(__xludf.DUMMYFUNCTION("""COMPUTED_VALUE"""),"20210706-81")</f>
        <v>20210706-81</v>
      </c>
      <c r="AD100" s="151" t="str">
        <f ca="1">IFERROR(__xludf.DUMMYFUNCTION("""COMPUTED_VALUE"""),"IC-Ilda Community")</f>
        <v>IC-Ilda Community</v>
      </c>
      <c r="AE100" s="151" t="str">
        <f ca="1">IFERROR(__xludf.DUMMYFUNCTION("""COMPUTED_VALUE"""),"CSC-Commonwealth Swim Club")</f>
        <v>CSC-Commonwealth Swim Club</v>
      </c>
      <c r="AF100" s="120"/>
      <c r="AG100" s="153"/>
      <c r="AH100" s="120"/>
    </row>
    <row r="101" spans="1:34" ht="13.2">
      <c r="A101" s="142"/>
      <c r="B101" s="142"/>
      <c r="C101" s="142"/>
      <c r="D101" s="142"/>
      <c r="E101" s="174"/>
      <c r="F101" s="174"/>
      <c r="G101" s="175"/>
      <c r="H101" s="175"/>
      <c r="I101" s="170"/>
      <c r="J101" s="170"/>
      <c r="K101" s="147"/>
      <c r="L101" s="147"/>
      <c r="M101" s="170"/>
      <c r="N101" s="170"/>
      <c r="O101" s="133"/>
      <c r="P101" s="133"/>
      <c r="Q101" s="157"/>
      <c r="R101" s="157"/>
      <c r="S101" s="157"/>
      <c r="T101" s="120"/>
      <c r="U101" s="158" t="str">
        <f ca="1">IFERROR(__xludf.DUMMYFUNCTION("""COMPUTED_VALUE"""),"Annandale")</f>
        <v>Annandale</v>
      </c>
      <c r="V101" s="157" t="str">
        <f ca="1">IFERROR(__xludf.DUMMYFUNCTION("""COMPUTED_VALUE"""),"at")</f>
        <v>at</v>
      </c>
      <c r="W101" s="157" t="str">
        <f ca="1">IFERROR(__xludf.DUMMYFUNCTION("""COMPUTED_VALUE"""),"Springfield")</f>
        <v>Springfield</v>
      </c>
      <c r="X101" s="157"/>
      <c r="Y101" s="157"/>
      <c r="Z101" s="120"/>
      <c r="AA101" s="167">
        <f ca="1">IFERROR(__xludf.DUMMYFUNCTION("""COMPUTED_VALUE"""),82)</f>
        <v>82</v>
      </c>
      <c r="AB101" s="168">
        <f ca="1">IFERROR(__xludf.DUMMYFUNCTION("""COMPUTED_VALUE"""),44383)</f>
        <v>44383</v>
      </c>
      <c r="AC101" s="157" t="str">
        <f ca="1">IFERROR(__xludf.DUMMYFUNCTION("""COMPUTED_VALUE"""),"20210706-82")</f>
        <v>20210706-82</v>
      </c>
      <c r="AD101" s="157" t="str">
        <f ca="1">IFERROR(__xludf.DUMMYFUNCTION("""COMPUTED_VALUE"""),"S-Springfield")</f>
        <v>S-Springfield</v>
      </c>
      <c r="AE101" s="157" t="str">
        <f ca="1">IFERROR(__xludf.DUMMYFUNCTION("""COMPUTED_VALUE"""),"A-Annandale")</f>
        <v>A-Annandale</v>
      </c>
      <c r="AF101" s="120"/>
      <c r="AG101" s="162"/>
      <c r="AH101" s="120"/>
    </row>
    <row r="102" spans="1:34" ht="13.2">
      <c r="A102" s="142"/>
      <c r="B102" s="142"/>
      <c r="C102" s="142"/>
      <c r="D102" s="142"/>
      <c r="E102" s="174"/>
      <c r="F102" s="174"/>
      <c r="G102" s="175"/>
      <c r="H102" s="175"/>
      <c r="I102" s="170"/>
      <c r="J102" s="170"/>
      <c r="K102" s="147"/>
      <c r="L102" s="147"/>
      <c r="M102" s="170"/>
      <c r="N102" s="170"/>
      <c r="O102" s="133"/>
      <c r="P102" s="133"/>
      <c r="Q102" s="151"/>
      <c r="R102" s="151"/>
      <c r="S102" s="151"/>
      <c r="T102" s="120"/>
      <c r="U102" s="163" t="str">
        <f ca="1">IFERROR(__xludf.DUMMYFUNCTION("""COMPUTED_VALUE"""),"North Springfield")</f>
        <v>North Springfield</v>
      </c>
      <c r="V102" s="151" t="str">
        <f ca="1">IFERROR(__xludf.DUMMYFUNCTION("""COMPUTED_VALUE"""),"at")</f>
        <v>at</v>
      </c>
      <c r="W102" s="151" t="str">
        <f ca="1">IFERROR(__xludf.DUMMYFUNCTION("""COMPUTED_VALUE"""),"Parklawn")</f>
        <v>Parklawn</v>
      </c>
      <c r="X102" s="151"/>
      <c r="Y102" s="151"/>
      <c r="Z102" s="120"/>
      <c r="AA102" s="165">
        <f ca="1">IFERROR(__xludf.DUMMYFUNCTION("""COMPUTED_VALUE"""),83)</f>
        <v>83</v>
      </c>
      <c r="AB102" s="171">
        <f ca="1">IFERROR(__xludf.DUMMYFUNCTION("""COMPUTED_VALUE"""),44383)</f>
        <v>44383</v>
      </c>
      <c r="AC102" s="151" t="str">
        <f ca="1">IFERROR(__xludf.DUMMYFUNCTION("""COMPUTED_VALUE"""),"20210706-83")</f>
        <v>20210706-83</v>
      </c>
      <c r="AD102" s="151" t="str">
        <f ca="1">IFERROR(__xludf.DUMMYFUNCTION("""COMPUTED_VALUE"""),"PL-Parklawn")</f>
        <v>PL-Parklawn</v>
      </c>
      <c r="AE102" s="151" t="str">
        <f ca="1">IFERROR(__xludf.DUMMYFUNCTION("""COMPUTED_VALUE"""),"NS-North Springfield")</f>
        <v>NS-North Springfield</v>
      </c>
      <c r="AF102" s="120"/>
      <c r="AG102" s="153"/>
      <c r="AH102" s="120"/>
    </row>
    <row r="103" spans="1:34" ht="13.2">
      <c r="A103" s="142"/>
      <c r="B103" s="142"/>
      <c r="C103" s="142"/>
      <c r="D103" s="142"/>
      <c r="E103" s="174"/>
      <c r="F103" s="174"/>
      <c r="G103" s="175"/>
      <c r="H103" s="175"/>
      <c r="I103" s="170"/>
      <c r="J103" s="170"/>
      <c r="K103" s="147"/>
      <c r="L103" s="147"/>
      <c r="M103" s="170"/>
      <c r="N103" s="170"/>
      <c r="O103" s="133"/>
      <c r="P103" s="133"/>
      <c r="Q103" s="157"/>
      <c r="R103" s="157"/>
      <c r="S103" s="157"/>
      <c r="T103" s="120"/>
      <c r="U103" s="158">
        <f ca="1">IFERROR(__xludf.DUMMYFUNCTION("""COMPUTED_VALUE"""),44390)</f>
        <v>44390</v>
      </c>
      <c r="V103" s="157" t="str">
        <f ca="1">IFERROR(__xludf.DUMMYFUNCTION("""COMPUTED_VALUE""")," ")</f>
        <v xml:space="preserve"> </v>
      </c>
      <c r="W103" s="157" t="str">
        <f ca="1">IFERROR(__xludf.DUMMYFUNCTION("""COMPUTED_VALUE""")," ")</f>
        <v xml:space="preserve"> </v>
      </c>
      <c r="X103" s="157"/>
      <c r="Y103" s="157"/>
      <c r="Z103" s="120"/>
      <c r="AA103" s="167">
        <f ca="1">IFERROR(__xludf.DUMMYFUNCTION("""COMPUTED_VALUE"""),1)</f>
        <v>1</v>
      </c>
      <c r="AB103" s="168">
        <f ca="1">IFERROR(__xludf.DUMMYFUNCTION("""COMPUTED_VALUE"""),44390)</f>
        <v>44390</v>
      </c>
      <c r="AC103" s="157" t="str">
        <f ca="1">IFERROR(__xludf.DUMMYFUNCTION("""COMPUTED_VALUE"""),"")</f>
        <v/>
      </c>
      <c r="AD103" s="157" t="str">
        <f ca="1">IFERROR(__xludf.DUMMYFUNCTION("""COMPUTED_VALUE"""),"")</f>
        <v/>
      </c>
      <c r="AE103" s="157" t="str">
        <f ca="1">IFERROR(__xludf.DUMMYFUNCTION("""COMPUTED_VALUE"""),"")</f>
        <v/>
      </c>
      <c r="AF103" s="120"/>
      <c r="AG103" s="162"/>
      <c r="AH103" s="120"/>
    </row>
    <row r="104" spans="1:34" ht="13.2">
      <c r="A104" s="142"/>
      <c r="B104" s="142"/>
      <c r="C104" s="142"/>
      <c r="D104" s="142"/>
      <c r="E104" s="174"/>
      <c r="F104" s="174"/>
      <c r="G104" s="175"/>
      <c r="H104" s="175"/>
      <c r="I104" s="170"/>
      <c r="J104" s="170"/>
      <c r="K104" s="147"/>
      <c r="L104" s="147"/>
      <c r="M104" s="170"/>
      <c r="N104" s="170"/>
      <c r="O104" s="133"/>
      <c r="P104" s="133"/>
      <c r="Q104" s="151"/>
      <c r="R104" s="151"/>
      <c r="S104" s="151"/>
      <c r="T104" s="120"/>
      <c r="U104" s="163" t="str">
        <f ca="1">IFERROR(__xludf.DUMMYFUNCTION("""COMPUTED_VALUE"""),"Vienna Woods")</f>
        <v>Vienna Woods</v>
      </c>
      <c r="V104" s="151" t="str">
        <f ca="1">IFERROR(__xludf.DUMMYFUNCTION("""COMPUTED_VALUE"""),"at")</f>
        <v>at</v>
      </c>
      <c r="W104" s="151" t="str">
        <f ca="1">IFERROR(__xludf.DUMMYFUNCTION("""COMPUTED_VALUE"""),"Truro")</f>
        <v>Truro</v>
      </c>
      <c r="X104" s="151"/>
      <c r="Y104" s="151"/>
      <c r="Z104" s="120"/>
      <c r="AA104" s="165">
        <f ca="1">IFERROR(__xludf.DUMMYFUNCTION("""COMPUTED_VALUE"""),11)</f>
        <v>11</v>
      </c>
      <c r="AB104" s="171">
        <f ca="1">IFERROR(__xludf.DUMMYFUNCTION("""COMPUTED_VALUE"""),44390)</f>
        <v>44390</v>
      </c>
      <c r="AC104" s="151" t="str">
        <f ca="1">IFERROR(__xludf.DUMMYFUNCTION("""COMPUTED_VALUE"""),"20210713-11")</f>
        <v>20210713-11</v>
      </c>
      <c r="AD104" s="151" t="str">
        <f ca="1">IFERROR(__xludf.DUMMYFUNCTION("""COMPUTED_VALUE"""),"THA-Truro Homes Assn")</f>
        <v>THA-Truro Homes Assn</v>
      </c>
      <c r="AE104" s="151" t="str">
        <f ca="1">IFERROR(__xludf.DUMMYFUNCTION("""COMPUTED_VALUE"""),"VW-Vienna Woods")</f>
        <v>VW-Vienna Woods</v>
      </c>
      <c r="AF104" s="120"/>
      <c r="AG104" s="153"/>
      <c r="AH104" s="120"/>
    </row>
    <row r="105" spans="1:34" ht="13.2">
      <c r="A105" s="142"/>
      <c r="B105" s="142"/>
      <c r="C105" s="142"/>
      <c r="D105" s="142"/>
      <c r="E105" s="174"/>
      <c r="F105" s="174"/>
      <c r="G105" s="175"/>
      <c r="H105" s="175"/>
      <c r="I105" s="170"/>
      <c r="J105" s="170"/>
      <c r="K105" s="147"/>
      <c r="L105" s="147"/>
      <c r="M105" s="170"/>
      <c r="N105" s="170"/>
      <c r="O105" s="133"/>
      <c r="P105" s="133"/>
      <c r="Q105" s="157"/>
      <c r="R105" s="157"/>
      <c r="S105" s="157"/>
      <c r="T105" s="120"/>
      <c r="U105" s="158" t="str">
        <f ca="1">IFERROR(__xludf.DUMMYFUNCTION("""COMPUTED_VALUE"""),"Old Keene Mill")</f>
        <v>Old Keene Mill</v>
      </c>
      <c r="V105" s="157" t="str">
        <f ca="1">IFERROR(__xludf.DUMMYFUNCTION("""COMPUTED_VALUE"""),"at")</f>
        <v>at</v>
      </c>
      <c r="W105" s="157" t="str">
        <f ca="1">IFERROR(__xludf.DUMMYFUNCTION("""COMPUTED_VALUE"""),"Dunn Loring")</f>
        <v>Dunn Loring</v>
      </c>
      <c r="X105" s="157"/>
      <c r="Y105" s="157"/>
      <c r="Z105" s="120"/>
      <c r="AA105" s="167">
        <f ca="1">IFERROR(__xludf.DUMMYFUNCTION("""COMPUTED_VALUE"""),12)</f>
        <v>12</v>
      </c>
      <c r="AB105" s="168">
        <f ca="1">IFERROR(__xludf.DUMMYFUNCTION("""COMPUTED_VALUE"""),44390)</f>
        <v>44390</v>
      </c>
      <c r="AC105" s="157" t="str">
        <f ca="1">IFERROR(__xludf.DUMMYFUNCTION("""COMPUTED_VALUE"""),"20210713-12")</f>
        <v>20210713-12</v>
      </c>
      <c r="AD105" s="157" t="str">
        <f ca="1">IFERROR(__xludf.DUMMYFUNCTION("""COMPUTED_VALUE"""),"DL-Dunn Loring")</f>
        <v>DL-Dunn Loring</v>
      </c>
      <c r="AE105" s="157" t="str">
        <f ca="1">IFERROR(__xludf.DUMMYFUNCTION("""COMPUTED_VALUE"""),"OKM-Old Keene Mill")</f>
        <v>OKM-Old Keene Mill</v>
      </c>
      <c r="AF105" s="120"/>
      <c r="AG105" s="162"/>
      <c r="AH105" s="120"/>
    </row>
    <row r="106" spans="1:34" ht="13.2">
      <c r="A106" s="142"/>
      <c r="B106" s="142"/>
      <c r="C106" s="142"/>
      <c r="D106" s="142"/>
      <c r="E106" s="174"/>
      <c r="F106" s="174"/>
      <c r="G106" s="175"/>
      <c r="H106" s="175"/>
      <c r="I106" s="170"/>
      <c r="J106" s="170"/>
      <c r="K106" s="147"/>
      <c r="L106" s="147"/>
      <c r="M106" s="170"/>
      <c r="N106" s="170"/>
      <c r="O106" s="133"/>
      <c r="P106" s="133"/>
      <c r="Q106" s="151"/>
      <c r="R106" s="151"/>
      <c r="S106" s="151"/>
      <c r="T106" s="120"/>
      <c r="U106" s="163" t="str">
        <f ca="1">IFERROR(__xludf.DUMMYFUNCTION("""COMPUTED_VALUE"""),"Overlee")</f>
        <v>Overlee</v>
      </c>
      <c r="V106" s="151" t="str">
        <f ca="1">IFERROR(__xludf.DUMMYFUNCTION("""COMPUTED_VALUE"""),"at")</f>
        <v>at</v>
      </c>
      <c r="W106" s="151" t="str">
        <f ca="1">IFERROR(__xludf.DUMMYFUNCTION("""COMPUTED_VALUE"""),"Sideburn Run")</f>
        <v>Sideburn Run</v>
      </c>
      <c r="X106" s="151"/>
      <c r="Y106" s="151"/>
      <c r="Z106" s="120"/>
      <c r="AA106" s="165">
        <f ca="1">IFERROR(__xludf.DUMMYFUNCTION("""COMPUTED_VALUE"""),13)</f>
        <v>13</v>
      </c>
      <c r="AB106" s="171">
        <f ca="1">IFERROR(__xludf.DUMMYFUNCTION("""COMPUTED_VALUE"""),44390)</f>
        <v>44390</v>
      </c>
      <c r="AC106" s="151" t="str">
        <f ca="1">IFERROR(__xludf.DUMMYFUNCTION("""COMPUTED_VALUE"""),"20210713-13")</f>
        <v>20210713-13</v>
      </c>
      <c r="AD106" s="151" t="str">
        <f ca="1">IFERROR(__xludf.DUMMYFUNCTION("""COMPUTED_VALUE"""),"SR-Sideburn Run")</f>
        <v>SR-Sideburn Run</v>
      </c>
      <c r="AE106" s="151" t="str">
        <f ca="1">IFERROR(__xludf.DUMMYFUNCTION("""COMPUTED_VALUE"""),"O-Overlee")</f>
        <v>O-Overlee</v>
      </c>
      <c r="AF106" s="120"/>
      <c r="AG106" s="153"/>
      <c r="AH106" s="120"/>
    </row>
    <row r="107" spans="1:34" ht="13.2">
      <c r="A107" s="142"/>
      <c r="B107" s="142"/>
      <c r="C107" s="142"/>
      <c r="D107" s="142"/>
      <c r="E107" s="174"/>
      <c r="F107" s="174"/>
      <c r="G107" s="175"/>
      <c r="H107" s="175"/>
      <c r="I107" s="170"/>
      <c r="J107" s="170"/>
      <c r="K107" s="147"/>
      <c r="L107" s="147"/>
      <c r="M107" s="170"/>
      <c r="N107" s="170"/>
      <c r="O107" s="133"/>
      <c r="P107" s="133"/>
      <c r="Q107" s="157"/>
      <c r="R107" s="157"/>
      <c r="S107" s="157"/>
      <c r="T107" s="120"/>
      <c r="U107" s="158" t="str">
        <f ca="1">IFERROR(__xludf.DUMMYFUNCTION("""COMPUTED_VALUE"""),"Division II")</f>
        <v>Division II</v>
      </c>
      <c r="V107" s="157"/>
      <c r="W107" s="157"/>
      <c r="X107" s="157"/>
      <c r="Y107" s="157"/>
      <c r="Z107" s="120"/>
      <c r="AA107" s="167">
        <f ca="1">IFERROR(__xludf.DUMMYFUNCTION("""COMPUTED_VALUE"""),2)</f>
        <v>2</v>
      </c>
      <c r="AB107" s="168">
        <f ca="1">IFERROR(__xludf.DUMMYFUNCTION("""COMPUTED_VALUE"""),44390)</f>
        <v>44390</v>
      </c>
      <c r="AC107" s="157" t="str">
        <f ca="1">IFERROR(__xludf.DUMMYFUNCTION("""COMPUTED_VALUE"""),"")</f>
        <v/>
      </c>
      <c r="AD107" s="157" t="str">
        <f ca="1">IFERROR(__xludf.DUMMYFUNCTION("""COMPUTED_VALUE"""),"")</f>
        <v/>
      </c>
      <c r="AE107" s="157" t="str">
        <f ca="1">IFERROR(__xludf.DUMMYFUNCTION("""COMPUTED_VALUE"""),"")</f>
        <v/>
      </c>
      <c r="AF107" s="120"/>
      <c r="AG107" s="162"/>
      <c r="AH107" s="120"/>
    </row>
    <row r="108" spans="1:34" ht="13.2">
      <c r="A108" s="142"/>
      <c r="B108" s="142"/>
      <c r="C108" s="142"/>
      <c r="D108" s="142"/>
      <c r="E108" s="174"/>
      <c r="F108" s="174"/>
      <c r="G108" s="175"/>
      <c r="H108" s="175"/>
      <c r="I108" s="170"/>
      <c r="J108" s="170"/>
      <c r="K108" s="147"/>
      <c r="L108" s="147"/>
      <c r="M108" s="170"/>
      <c r="N108" s="170"/>
      <c r="O108" s="133"/>
      <c r="P108" s="133"/>
      <c r="Q108" s="151"/>
      <c r="R108" s="151"/>
      <c r="S108" s="151"/>
      <c r="T108" s="120"/>
      <c r="U108" s="163" t="str">
        <f ca="1">IFERROR(__xludf.DUMMYFUNCTION("""COMPUTED_VALUE"""),"Walden Glen")</f>
        <v>Walden Glen</v>
      </c>
      <c r="V108" s="151" t="str">
        <f ca="1">IFERROR(__xludf.DUMMYFUNCTION("""COMPUTED_VALUE"""),"at")</f>
        <v>at</v>
      </c>
      <c r="W108" s="151" t="str">
        <f ca="1">IFERROR(__xludf.DUMMYFUNCTION("""COMPUTED_VALUE"""),"Great Falls")</f>
        <v>Great Falls</v>
      </c>
      <c r="X108" s="151"/>
      <c r="Y108" s="151"/>
      <c r="Z108" s="120"/>
      <c r="AA108" s="165">
        <f ca="1">IFERROR(__xludf.DUMMYFUNCTION("""COMPUTED_VALUE"""),21)</f>
        <v>21</v>
      </c>
      <c r="AB108" s="171">
        <f ca="1">IFERROR(__xludf.DUMMYFUNCTION("""COMPUTED_VALUE"""),44390)</f>
        <v>44390</v>
      </c>
      <c r="AC108" s="151" t="str">
        <f ca="1">IFERROR(__xludf.DUMMYFUNCTION("""COMPUTED_VALUE"""),"20210713-21")</f>
        <v>20210713-21</v>
      </c>
      <c r="AD108" s="151" t="str">
        <f ca="1">IFERROR(__xludf.DUMMYFUNCTION("""COMPUTED_VALUE"""),"GF-Great Falls")</f>
        <v>GF-Great Falls</v>
      </c>
      <c r="AE108" s="151" t="str">
        <f ca="1">IFERROR(__xludf.DUMMYFUNCTION("""COMPUTED_VALUE"""),"WG-Walden Glen")</f>
        <v>WG-Walden Glen</v>
      </c>
      <c r="AF108" s="120"/>
      <c r="AG108" s="153"/>
      <c r="AH108" s="120"/>
    </row>
    <row r="109" spans="1:34" ht="13.2">
      <c r="A109" s="142"/>
      <c r="B109" s="142"/>
      <c r="C109" s="142"/>
      <c r="D109" s="142"/>
      <c r="E109" s="174"/>
      <c r="F109" s="174"/>
      <c r="G109" s="175"/>
      <c r="H109" s="175"/>
      <c r="I109" s="170"/>
      <c r="J109" s="170"/>
      <c r="K109" s="147"/>
      <c r="L109" s="147"/>
      <c r="M109" s="170"/>
      <c r="N109" s="170"/>
      <c r="O109" s="133"/>
      <c r="P109" s="133"/>
      <c r="Q109" s="157"/>
      <c r="R109" s="157"/>
      <c r="S109" s="157"/>
      <c r="T109" s="120"/>
      <c r="U109" s="158" t="str">
        <f ca="1">IFERROR(__xludf.DUMMYFUNCTION("""COMPUTED_VALUE"""),"Oakton")</f>
        <v>Oakton</v>
      </c>
      <c r="V109" s="157" t="str">
        <f ca="1">IFERROR(__xludf.DUMMYFUNCTION("""COMPUTED_VALUE"""),"at")</f>
        <v>at</v>
      </c>
      <c r="W109" s="157" t="str">
        <f ca="1">IFERROR(__xludf.DUMMYFUNCTION("""COMPUTED_VALUE"""),"Kent Gardens")</f>
        <v>Kent Gardens</v>
      </c>
      <c r="X109" s="157"/>
      <c r="Y109" s="157"/>
      <c r="Z109" s="120"/>
      <c r="AA109" s="167">
        <f ca="1">IFERROR(__xludf.DUMMYFUNCTION("""COMPUTED_VALUE"""),22)</f>
        <v>22</v>
      </c>
      <c r="AB109" s="168">
        <f ca="1">IFERROR(__xludf.DUMMYFUNCTION("""COMPUTED_VALUE"""),44390)</f>
        <v>44390</v>
      </c>
      <c r="AC109" s="157" t="str">
        <f ca="1">IFERROR(__xludf.DUMMYFUNCTION("""COMPUTED_VALUE"""),"20210713-22")</f>
        <v>20210713-22</v>
      </c>
      <c r="AD109" s="157" t="str">
        <f ca="1">IFERROR(__xludf.DUMMYFUNCTION("""COMPUTED_VALUE"""),"KG-Kent Gardens")</f>
        <v>KG-Kent Gardens</v>
      </c>
      <c r="AE109" s="157" t="str">
        <f ca="1">IFERROR(__xludf.DUMMYFUNCTION("""COMPUTED_VALUE"""),"OAK-Oakton")</f>
        <v>OAK-Oakton</v>
      </c>
      <c r="AF109" s="120"/>
      <c r="AG109" s="162"/>
      <c r="AH109" s="120"/>
    </row>
    <row r="110" spans="1:34" ht="13.2">
      <c r="A110" s="142"/>
      <c r="B110" s="142"/>
      <c r="C110" s="142"/>
      <c r="D110" s="142"/>
      <c r="E110" s="174"/>
      <c r="F110" s="174"/>
      <c r="G110" s="175"/>
      <c r="H110" s="175"/>
      <c r="I110" s="170"/>
      <c r="J110" s="170"/>
      <c r="K110" s="147"/>
      <c r="L110" s="147"/>
      <c r="M110" s="170"/>
      <c r="N110" s="170"/>
      <c r="O110" s="133"/>
      <c r="P110" s="133"/>
      <c r="Q110" s="151"/>
      <c r="R110" s="151"/>
      <c r="S110" s="151"/>
      <c r="T110" s="120"/>
      <c r="U110" s="163" t="str">
        <f ca="1">IFERROR(__xludf.DUMMYFUNCTION("""COMPUTED_VALUE"""),"Fairfax")</f>
        <v>Fairfax</v>
      </c>
      <c r="V110" s="151" t="str">
        <f ca="1">IFERROR(__xludf.DUMMYFUNCTION("""COMPUTED_VALUE"""),"at")</f>
        <v>at</v>
      </c>
      <c r="W110" s="151" t="str">
        <f ca="1">IFERROR(__xludf.DUMMYFUNCTION("""COMPUTED_VALUE"""),"Mansion House")</f>
        <v>Mansion House</v>
      </c>
      <c r="X110" s="151"/>
      <c r="Y110" s="151"/>
      <c r="Z110" s="120"/>
      <c r="AA110" s="165">
        <f ca="1">IFERROR(__xludf.DUMMYFUNCTION("""COMPUTED_VALUE"""),23)</f>
        <v>23</v>
      </c>
      <c r="AB110" s="171">
        <f ca="1">IFERROR(__xludf.DUMMYFUNCTION("""COMPUTED_VALUE"""),44390)</f>
        <v>44390</v>
      </c>
      <c r="AC110" s="151" t="str">
        <f ca="1">IFERROR(__xludf.DUMMYFUNCTION("""COMPUTED_VALUE"""),"20210713-23")</f>
        <v>20210713-23</v>
      </c>
      <c r="AD110" s="151" t="str">
        <f ca="1">IFERROR(__xludf.DUMMYFUNCTION("""COMPUTED_VALUE"""),"MHC-Mansion House")</f>
        <v>MHC-Mansion House</v>
      </c>
      <c r="AE110" s="151" t="str">
        <f ca="1">IFERROR(__xludf.DUMMYFUNCTION("""COMPUTED_VALUE"""),"F-Fairfax")</f>
        <v>F-Fairfax</v>
      </c>
      <c r="AF110" s="120"/>
      <c r="AG110" s="153"/>
      <c r="AH110" s="120"/>
    </row>
    <row r="111" spans="1:34" ht="13.2">
      <c r="A111" s="142"/>
      <c r="B111" s="142"/>
      <c r="C111" s="142"/>
      <c r="D111" s="142"/>
      <c r="E111" s="174"/>
      <c r="F111" s="174"/>
      <c r="G111" s="175"/>
      <c r="H111" s="175"/>
      <c r="I111" s="170"/>
      <c r="J111" s="170"/>
      <c r="K111" s="147"/>
      <c r="L111" s="147"/>
      <c r="M111" s="170"/>
      <c r="N111" s="170"/>
      <c r="O111" s="133"/>
      <c r="P111" s="133"/>
      <c r="Q111" s="157"/>
      <c r="R111" s="157"/>
      <c r="S111" s="157"/>
      <c r="T111" s="120"/>
      <c r="U111" s="158" t="str">
        <f ca="1">IFERROR(__xludf.DUMMYFUNCTION("""COMPUTED_VALUE"""),"Division III")</f>
        <v>Division III</v>
      </c>
      <c r="V111" s="157"/>
      <c r="W111" s="157"/>
      <c r="X111" s="157"/>
      <c r="Y111" s="157"/>
      <c r="Z111" s="120"/>
      <c r="AA111" s="167">
        <f ca="1">IFERROR(__xludf.DUMMYFUNCTION("""COMPUTED_VALUE"""),3)</f>
        <v>3</v>
      </c>
      <c r="AB111" s="168">
        <f ca="1">IFERROR(__xludf.DUMMYFUNCTION("""COMPUTED_VALUE"""),44390)</f>
        <v>44390</v>
      </c>
      <c r="AC111" s="157" t="str">
        <f ca="1">IFERROR(__xludf.DUMMYFUNCTION("""COMPUTED_VALUE"""),"")</f>
        <v/>
      </c>
      <c r="AD111" s="157" t="str">
        <f ca="1">IFERROR(__xludf.DUMMYFUNCTION("""COMPUTED_VALUE"""),"")</f>
        <v/>
      </c>
      <c r="AE111" s="157" t="str">
        <f ca="1">IFERROR(__xludf.DUMMYFUNCTION("""COMPUTED_VALUE"""),"")</f>
        <v/>
      </c>
      <c r="AF111" s="120"/>
      <c r="AG111" s="162"/>
      <c r="AH111" s="120"/>
    </row>
    <row r="112" spans="1:34" ht="13.2">
      <c r="A112" s="142"/>
      <c r="B112" s="142"/>
      <c r="C112" s="142"/>
      <c r="D112" s="142"/>
      <c r="E112" s="174"/>
      <c r="F112" s="174"/>
      <c r="G112" s="175"/>
      <c r="H112" s="175"/>
      <c r="I112" s="170"/>
      <c r="J112" s="170"/>
      <c r="K112" s="147"/>
      <c r="L112" s="147"/>
      <c r="M112" s="170"/>
      <c r="N112" s="170"/>
      <c r="O112" s="133"/>
      <c r="P112" s="133"/>
      <c r="Q112" s="151"/>
      <c r="R112" s="151"/>
      <c r="S112" s="151"/>
      <c r="T112" s="120"/>
      <c r="U112" s="163" t="str">
        <f ca="1">IFERROR(__xludf.DUMMYFUNCTION("""COMPUTED_VALUE"""),"Arlington Forest")</f>
        <v>Arlington Forest</v>
      </c>
      <c r="V112" s="151" t="str">
        <f ca="1">IFERROR(__xludf.DUMMYFUNCTION("""COMPUTED_VALUE"""),"at")</f>
        <v>at</v>
      </c>
      <c r="W112" s="151" t="str">
        <f ca="1">IFERROR(__xludf.DUMMYFUNCTION("""COMPUTED_VALUE"""),"Donaldson Run")</f>
        <v>Donaldson Run</v>
      </c>
      <c r="X112" s="151"/>
      <c r="Y112" s="151"/>
      <c r="Z112" s="120"/>
      <c r="AA112" s="165">
        <f ca="1">IFERROR(__xludf.DUMMYFUNCTION("""COMPUTED_VALUE"""),31)</f>
        <v>31</v>
      </c>
      <c r="AB112" s="171">
        <f ca="1">IFERROR(__xludf.DUMMYFUNCTION("""COMPUTED_VALUE"""),44390)</f>
        <v>44390</v>
      </c>
      <c r="AC112" s="151" t="str">
        <f ca="1">IFERROR(__xludf.DUMMYFUNCTION("""COMPUTED_VALUE"""),"20210713-31")</f>
        <v>20210713-31</v>
      </c>
      <c r="AD112" s="151" t="str">
        <f ca="1">IFERROR(__xludf.DUMMYFUNCTION("""COMPUTED_VALUE"""),"DR-Donaldson Run")</f>
        <v>DR-Donaldson Run</v>
      </c>
      <c r="AE112" s="151" t="str">
        <f ca="1">IFERROR(__xludf.DUMMYFUNCTION("""COMPUTED_VALUE"""),"AF-Arlington Forest")</f>
        <v>AF-Arlington Forest</v>
      </c>
      <c r="AF112" s="120"/>
      <c r="AG112" s="153"/>
      <c r="AH112" s="120"/>
    </row>
    <row r="113" spans="1:34" ht="13.2">
      <c r="A113" s="142"/>
      <c r="B113" s="142"/>
      <c r="C113" s="142"/>
      <c r="D113" s="142"/>
      <c r="E113" s="174"/>
      <c r="F113" s="174"/>
      <c r="G113" s="175"/>
      <c r="H113" s="175"/>
      <c r="I113" s="170"/>
      <c r="J113" s="170"/>
      <c r="K113" s="147"/>
      <c r="L113" s="147"/>
      <c r="M113" s="170"/>
      <c r="N113" s="170"/>
      <c r="O113" s="133"/>
      <c r="P113" s="133"/>
      <c r="Q113" s="157"/>
      <c r="R113" s="157"/>
      <c r="S113" s="157"/>
      <c r="T113" s="120"/>
      <c r="U113" s="158" t="str">
        <f ca="1">IFERROR(__xludf.DUMMYFUNCTION("""COMPUTED_VALUE"""),"Lee Graham")</f>
        <v>Lee Graham</v>
      </c>
      <c r="V113" s="157" t="str">
        <f ca="1">IFERROR(__xludf.DUMMYFUNCTION("""COMPUTED_VALUE"""),"at")</f>
        <v>at</v>
      </c>
      <c r="W113" s="157" t="str">
        <f ca="1">IFERROR(__xludf.DUMMYFUNCTION("""COMPUTED_VALUE"""),"Pinecrest")</f>
        <v>Pinecrest</v>
      </c>
      <c r="X113" s="157"/>
      <c r="Y113" s="157"/>
      <c r="Z113" s="120"/>
      <c r="AA113" s="167">
        <f ca="1">IFERROR(__xludf.DUMMYFUNCTION("""COMPUTED_VALUE"""),32)</f>
        <v>32</v>
      </c>
      <c r="AB113" s="168">
        <f ca="1">IFERROR(__xludf.DUMMYFUNCTION("""COMPUTED_VALUE"""),44390)</f>
        <v>44390</v>
      </c>
      <c r="AC113" s="157" t="str">
        <f ca="1">IFERROR(__xludf.DUMMYFUNCTION("""COMPUTED_VALUE"""),"20210713-32")</f>
        <v>20210713-32</v>
      </c>
      <c r="AD113" s="157" t="str">
        <f ca="1">IFERROR(__xludf.DUMMYFUNCTION("""COMPUTED_VALUE"""),"PC-Pinecrest")</f>
        <v>PC-Pinecrest</v>
      </c>
      <c r="AE113" s="157" t="str">
        <f ca="1">IFERROR(__xludf.DUMMYFUNCTION("""COMPUTED_VALUE"""),"LG-Lee Graham")</f>
        <v>LG-Lee Graham</v>
      </c>
      <c r="AF113" s="120"/>
      <c r="AG113" s="162"/>
      <c r="AH113" s="120"/>
    </row>
    <row r="114" spans="1:34" ht="13.2">
      <c r="A114" s="142"/>
      <c r="B114" s="142"/>
      <c r="C114" s="142"/>
      <c r="D114" s="142"/>
      <c r="E114" s="174"/>
      <c r="F114" s="174"/>
      <c r="G114" s="175"/>
      <c r="H114" s="175"/>
      <c r="I114" s="170"/>
      <c r="J114" s="170"/>
      <c r="K114" s="147"/>
      <c r="L114" s="147"/>
      <c r="M114" s="170"/>
      <c r="N114" s="170"/>
      <c r="O114" s="133"/>
      <c r="P114" s="133"/>
      <c r="Q114" s="151"/>
      <c r="R114" s="151"/>
      <c r="S114" s="151"/>
      <c r="T114" s="120"/>
      <c r="U114" s="163" t="str">
        <f ca="1">IFERROR(__xludf.DUMMYFUNCTION("""COMPUTED_VALUE"""),"Sleepy Hollow Rec")</f>
        <v>Sleepy Hollow Rec</v>
      </c>
      <c r="V114" s="151" t="str">
        <f ca="1">IFERROR(__xludf.DUMMYFUNCTION("""COMPUTED_VALUE"""),"at")</f>
        <v>at</v>
      </c>
      <c r="W114" s="151" t="str">
        <f ca="1">IFERROR(__xludf.DUMMYFUNCTION("""COMPUTED_VALUE"""),"Hunt Valley")</f>
        <v>Hunt Valley</v>
      </c>
      <c r="X114" s="151"/>
      <c r="Y114" s="151"/>
      <c r="Z114" s="120"/>
      <c r="AA114" s="165">
        <f ca="1">IFERROR(__xludf.DUMMYFUNCTION("""COMPUTED_VALUE"""),33)</f>
        <v>33</v>
      </c>
      <c r="AB114" s="171">
        <f ca="1">IFERROR(__xludf.DUMMYFUNCTION("""COMPUTED_VALUE"""),44390)</f>
        <v>44390</v>
      </c>
      <c r="AC114" s="151" t="str">
        <f ca="1">IFERROR(__xludf.DUMMYFUNCTION("""COMPUTED_VALUE"""),"20210713-33")</f>
        <v>20210713-33</v>
      </c>
      <c r="AD114" s="151" t="str">
        <f ca="1">IFERROR(__xludf.DUMMYFUNCTION("""COMPUTED_VALUE"""),"HV-Hunt Valley")</f>
        <v>HV-Hunt Valley</v>
      </c>
      <c r="AE114" s="151" t="str">
        <f ca="1">IFERROR(__xludf.DUMMYFUNCTION("""COMPUTED_VALUE"""),"SHR-Sleepy Hollow Rec")</f>
        <v>SHR-Sleepy Hollow Rec</v>
      </c>
      <c r="AF114" s="120"/>
      <c r="AG114" s="153"/>
      <c r="AH114" s="120"/>
    </row>
    <row r="115" spans="1:34" ht="13.2">
      <c r="A115" s="142"/>
      <c r="B115" s="142"/>
      <c r="C115" s="142"/>
      <c r="D115" s="142"/>
      <c r="E115" s="174"/>
      <c r="F115" s="174"/>
      <c r="G115" s="175"/>
      <c r="H115" s="175"/>
      <c r="I115" s="170"/>
      <c r="J115" s="170"/>
      <c r="K115" s="147"/>
      <c r="L115" s="147"/>
      <c r="M115" s="170"/>
      <c r="N115" s="170"/>
      <c r="O115" s="133"/>
      <c r="P115" s="133"/>
      <c r="Q115" s="157"/>
      <c r="R115" s="157"/>
      <c r="S115" s="157"/>
      <c r="T115" s="120"/>
      <c r="U115" s="158" t="str">
        <f ca="1">IFERROR(__xludf.DUMMYFUNCTION("""COMPUTED_VALUE"""),"Division IV")</f>
        <v>Division IV</v>
      </c>
      <c r="V115" s="157"/>
      <c r="W115" s="157"/>
      <c r="X115" s="157"/>
      <c r="Y115" s="157"/>
      <c r="Z115" s="120"/>
      <c r="AA115" s="167">
        <f ca="1">IFERROR(__xludf.DUMMYFUNCTION("""COMPUTED_VALUE"""),4)</f>
        <v>4</v>
      </c>
      <c r="AB115" s="168">
        <f ca="1">IFERROR(__xludf.DUMMYFUNCTION("""COMPUTED_VALUE"""),44390)</f>
        <v>44390</v>
      </c>
      <c r="AC115" s="157" t="str">
        <f ca="1">IFERROR(__xludf.DUMMYFUNCTION("""COMPUTED_VALUE"""),"")</f>
        <v/>
      </c>
      <c r="AD115" s="157" t="str">
        <f ca="1">IFERROR(__xludf.DUMMYFUNCTION("""COMPUTED_VALUE"""),"")</f>
        <v/>
      </c>
      <c r="AE115" s="157" t="str">
        <f ca="1">IFERROR(__xludf.DUMMYFUNCTION("""COMPUTED_VALUE"""),"")</f>
        <v/>
      </c>
      <c r="AF115" s="120"/>
      <c r="AG115" s="162"/>
      <c r="AH115" s="120"/>
    </row>
    <row r="116" spans="1:34" ht="13.2">
      <c r="A116" s="142"/>
      <c r="B116" s="142"/>
      <c r="C116" s="142"/>
      <c r="D116" s="142"/>
      <c r="E116" s="174"/>
      <c r="F116" s="174"/>
      <c r="G116" s="175"/>
      <c r="H116" s="175"/>
      <c r="I116" s="170"/>
      <c r="J116" s="170"/>
      <c r="K116" s="147"/>
      <c r="L116" s="147"/>
      <c r="M116" s="170"/>
      <c r="N116" s="170"/>
      <c r="O116" s="133"/>
      <c r="P116" s="133"/>
      <c r="Q116" s="151"/>
      <c r="R116" s="151"/>
      <c r="S116" s="151"/>
      <c r="T116" s="120"/>
      <c r="U116" s="163" t="str">
        <f ca="1">IFERROR(__xludf.DUMMYFUNCTION("""COMPUTED_VALUE"""),"Highlands Swim")</f>
        <v>Highlands Swim</v>
      </c>
      <c r="V116" s="151" t="str">
        <f ca="1">IFERROR(__xludf.DUMMYFUNCTION("""COMPUTED_VALUE"""),"at")</f>
        <v>at</v>
      </c>
      <c r="W116" s="151" t="str">
        <f ca="1">IFERROR(__xludf.DUMMYFUNCTION("""COMPUTED_VALUE"""),"Hayfield Farm")</f>
        <v>Hayfield Farm</v>
      </c>
      <c r="X116" s="151"/>
      <c r="Y116" s="151"/>
      <c r="Z116" s="120"/>
      <c r="AA116" s="165">
        <f ca="1">IFERROR(__xludf.DUMMYFUNCTION("""COMPUTED_VALUE"""),41)</f>
        <v>41</v>
      </c>
      <c r="AB116" s="171">
        <f ca="1">IFERROR(__xludf.DUMMYFUNCTION("""COMPUTED_VALUE"""),44390)</f>
        <v>44390</v>
      </c>
      <c r="AC116" s="151" t="str">
        <f ca="1">IFERROR(__xludf.DUMMYFUNCTION("""COMPUTED_VALUE"""),"20210713-41")</f>
        <v>20210713-41</v>
      </c>
      <c r="AD116" s="151" t="str">
        <f ca="1">IFERROR(__xludf.DUMMYFUNCTION("""COMPUTED_VALUE"""),"HF-Hayfield Farm")</f>
        <v>HF-Hayfield Farm</v>
      </c>
      <c r="AE116" s="151" t="str">
        <f ca="1">IFERROR(__xludf.DUMMYFUNCTION("""COMPUTED_VALUE"""),"HS-Highlands Swim")</f>
        <v>HS-Highlands Swim</v>
      </c>
      <c r="AF116" s="120"/>
      <c r="AG116" s="153"/>
      <c r="AH116" s="120"/>
    </row>
    <row r="117" spans="1:34" ht="13.2">
      <c r="A117" s="142"/>
      <c r="B117" s="142"/>
      <c r="C117" s="142"/>
      <c r="D117" s="142"/>
      <c r="E117" s="174"/>
      <c r="F117" s="174"/>
      <c r="G117" s="175"/>
      <c r="H117" s="175"/>
      <c r="I117" s="170"/>
      <c r="J117" s="170"/>
      <c r="K117" s="147"/>
      <c r="L117" s="147"/>
      <c r="M117" s="170"/>
      <c r="N117" s="170"/>
      <c r="O117" s="133"/>
      <c r="P117" s="133"/>
      <c r="Q117" s="157"/>
      <c r="R117" s="157"/>
      <c r="S117" s="157"/>
      <c r="T117" s="120"/>
      <c r="U117" s="158" t="str">
        <f ca="1">IFERROR(__xludf.DUMMYFUNCTION("""COMPUTED_VALUE"""),"Tuckahoe")</f>
        <v>Tuckahoe</v>
      </c>
      <c r="V117" s="157" t="str">
        <f ca="1">IFERROR(__xludf.DUMMYFUNCTION("""COMPUTED_VALUE"""),"at")</f>
        <v>at</v>
      </c>
      <c r="W117" s="157" t="str">
        <f ca="1">IFERROR(__xludf.DUMMYFUNCTION("""COMPUTED_VALUE"""),"Wakefield Chapel")</f>
        <v>Wakefield Chapel</v>
      </c>
      <c r="X117" s="157"/>
      <c r="Y117" s="157"/>
      <c r="Z117" s="120"/>
      <c r="AA117" s="167">
        <f ca="1">IFERROR(__xludf.DUMMYFUNCTION("""COMPUTED_VALUE"""),42)</f>
        <v>42</v>
      </c>
      <c r="AB117" s="168">
        <f ca="1">IFERROR(__xludf.DUMMYFUNCTION("""COMPUTED_VALUE"""),44390)</f>
        <v>44390</v>
      </c>
      <c r="AC117" s="157" t="str">
        <f ca="1">IFERROR(__xludf.DUMMYFUNCTION("""COMPUTED_VALUE"""),"20210713-42")</f>
        <v>20210713-42</v>
      </c>
      <c r="AD117" s="157" t="str">
        <f ca="1">IFERROR(__xludf.DUMMYFUNCTION("""COMPUTED_VALUE"""),"WC-Wakefield Chapel")</f>
        <v>WC-Wakefield Chapel</v>
      </c>
      <c r="AE117" s="157" t="str">
        <f ca="1">IFERROR(__xludf.DUMMYFUNCTION("""COMPUTED_VALUE"""),"T-Tuckahoe")</f>
        <v>T-Tuckahoe</v>
      </c>
      <c r="AF117" s="120"/>
      <c r="AG117" s="162"/>
      <c r="AH117" s="120"/>
    </row>
    <row r="118" spans="1:34" ht="13.2">
      <c r="A118" s="142"/>
      <c r="B118" s="142"/>
      <c r="C118" s="142"/>
      <c r="D118" s="142"/>
      <c r="E118" s="174"/>
      <c r="F118" s="174"/>
      <c r="G118" s="175"/>
      <c r="H118" s="175"/>
      <c r="I118" s="170"/>
      <c r="J118" s="170"/>
      <c r="K118" s="147"/>
      <c r="L118" s="147"/>
      <c r="M118" s="170"/>
      <c r="N118" s="170"/>
      <c r="O118" s="133"/>
      <c r="P118" s="133"/>
      <c r="Q118" s="151"/>
      <c r="R118" s="151"/>
      <c r="S118" s="151"/>
      <c r="T118" s="120"/>
      <c r="U118" s="163" t="str">
        <f ca="1">IFERROR(__xludf.DUMMYFUNCTION("""COMPUTED_VALUE"""),"Dominion Hills")</f>
        <v>Dominion Hills</v>
      </c>
      <c r="V118" s="151" t="str">
        <f ca="1">IFERROR(__xludf.DUMMYFUNCTION("""COMPUTED_VALUE"""),"at")</f>
        <v>at</v>
      </c>
      <c r="W118" s="151" t="str">
        <f ca="1">IFERROR(__xludf.DUMMYFUNCTION("""COMPUTED_VALUE"""),"Chesterbrook")</f>
        <v>Chesterbrook</v>
      </c>
      <c r="X118" s="151"/>
      <c r="Y118" s="151"/>
      <c r="Z118" s="120"/>
      <c r="AA118" s="165">
        <f ca="1">IFERROR(__xludf.DUMMYFUNCTION("""COMPUTED_VALUE"""),43)</f>
        <v>43</v>
      </c>
      <c r="AB118" s="171">
        <f ca="1">IFERROR(__xludf.DUMMYFUNCTION("""COMPUTED_VALUE"""),44390)</f>
        <v>44390</v>
      </c>
      <c r="AC118" s="151" t="str">
        <f ca="1">IFERROR(__xludf.DUMMYFUNCTION("""COMPUTED_VALUE"""),"20210713-43")</f>
        <v>20210713-43</v>
      </c>
      <c r="AD118" s="151" t="str">
        <f ca="1">IFERROR(__xludf.DUMMYFUNCTION("""COMPUTED_VALUE"""),"CB-Chesterbrook")</f>
        <v>CB-Chesterbrook</v>
      </c>
      <c r="AE118" s="151" t="str">
        <f ca="1">IFERROR(__xludf.DUMMYFUNCTION("""COMPUTED_VALUE"""),"DH-Dominion Hills")</f>
        <v>DH-Dominion Hills</v>
      </c>
      <c r="AF118" s="120"/>
      <c r="AG118" s="153"/>
      <c r="AH118" s="120"/>
    </row>
    <row r="119" spans="1:34" ht="13.2">
      <c r="A119" s="142"/>
      <c r="B119" s="142"/>
      <c r="C119" s="142"/>
      <c r="D119" s="142"/>
      <c r="E119" s="174"/>
      <c r="F119" s="174"/>
      <c r="G119" s="175"/>
      <c r="H119" s="175"/>
      <c r="I119" s="170"/>
      <c r="J119" s="170"/>
      <c r="K119" s="147"/>
      <c r="L119" s="147"/>
      <c r="M119" s="170"/>
      <c r="N119" s="170"/>
      <c r="O119" s="133"/>
      <c r="P119" s="133"/>
      <c r="Q119" s="157"/>
      <c r="R119" s="157"/>
      <c r="S119" s="157"/>
      <c r="T119" s="120"/>
      <c r="U119" s="158" t="str">
        <f ca="1">IFERROR(__xludf.DUMMYFUNCTION("""COMPUTED_VALUE"""),"Division V")</f>
        <v>Division V</v>
      </c>
      <c r="V119" s="157"/>
      <c r="W119" s="157"/>
      <c r="X119" s="157"/>
      <c r="Y119" s="157"/>
      <c r="Z119" s="120"/>
      <c r="AA119" s="167">
        <f ca="1">IFERROR(__xludf.DUMMYFUNCTION("""COMPUTED_VALUE"""),5)</f>
        <v>5</v>
      </c>
      <c r="AB119" s="168">
        <f ca="1">IFERROR(__xludf.DUMMYFUNCTION("""COMPUTED_VALUE"""),44390)</f>
        <v>44390</v>
      </c>
      <c r="AC119" s="157" t="str">
        <f ca="1">IFERROR(__xludf.DUMMYFUNCTION("""COMPUTED_VALUE"""),"")</f>
        <v/>
      </c>
      <c r="AD119" s="157" t="str">
        <f ca="1">IFERROR(__xludf.DUMMYFUNCTION("""COMPUTED_VALUE"""),"")</f>
        <v/>
      </c>
      <c r="AE119" s="157" t="str">
        <f ca="1">IFERROR(__xludf.DUMMYFUNCTION("""COMPUTED_VALUE"""),"")</f>
        <v/>
      </c>
      <c r="AF119" s="120"/>
      <c r="AG119" s="162"/>
      <c r="AH119" s="120"/>
    </row>
    <row r="120" spans="1:34" ht="13.2">
      <c r="A120" s="142"/>
      <c r="B120" s="142"/>
      <c r="C120" s="142"/>
      <c r="D120" s="142"/>
      <c r="E120" s="174"/>
      <c r="F120" s="174"/>
      <c r="G120" s="175"/>
      <c r="H120" s="175"/>
      <c r="I120" s="170"/>
      <c r="J120" s="170"/>
      <c r="K120" s="147"/>
      <c r="L120" s="147"/>
      <c r="M120" s="170"/>
      <c r="N120" s="170"/>
      <c r="O120" s="133"/>
      <c r="P120" s="133"/>
      <c r="Q120" s="151"/>
      <c r="R120" s="151"/>
      <c r="S120" s="151"/>
      <c r="T120" s="120"/>
      <c r="U120" s="163" t="str">
        <f ca="1">IFERROR(__xludf.DUMMYFUNCTION("""COMPUTED_VALUE"""),"Lakeview")</f>
        <v>Lakeview</v>
      </c>
      <c r="V120" s="151" t="str">
        <f ca="1">IFERROR(__xludf.DUMMYFUNCTION("""COMPUTED_VALUE"""),"at")</f>
        <v>at</v>
      </c>
      <c r="W120" s="151" t="str">
        <f ca="1">IFERROR(__xludf.DUMMYFUNCTION("""COMPUTED_VALUE"""),"Ravensworth Farm")</f>
        <v>Ravensworth Farm</v>
      </c>
      <c r="X120" s="151"/>
      <c r="Y120" s="151"/>
      <c r="Z120" s="120"/>
      <c r="AA120" s="165">
        <f ca="1">IFERROR(__xludf.DUMMYFUNCTION("""COMPUTED_VALUE"""),51)</f>
        <v>51</v>
      </c>
      <c r="AB120" s="171">
        <f ca="1">IFERROR(__xludf.DUMMYFUNCTION("""COMPUTED_VALUE"""),44390)</f>
        <v>44390</v>
      </c>
      <c r="AC120" s="151" t="str">
        <f ca="1">IFERROR(__xludf.DUMMYFUNCTION("""COMPUTED_VALUE"""),"20210713-51")</f>
        <v>20210713-51</v>
      </c>
      <c r="AD120" s="151" t="str">
        <f ca="1">IFERROR(__xludf.DUMMYFUNCTION("""COMPUTED_VALUE"""),"R-Ravensworth Farm")</f>
        <v>R-Ravensworth Farm</v>
      </c>
      <c r="AE120" s="151" t="str">
        <f ca="1">IFERROR(__xludf.DUMMYFUNCTION("""COMPUTED_VALUE"""),"LV-Lakeview")</f>
        <v>LV-Lakeview</v>
      </c>
      <c r="AF120" s="120"/>
      <c r="AG120" s="153"/>
      <c r="AH120" s="120"/>
    </row>
    <row r="121" spans="1:34" ht="13.2">
      <c r="A121" s="142"/>
      <c r="B121" s="142"/>
      <c r="C121" s="142"/>
      <c r="D121" s="142"/>
      <c r="E121" s="174"/>
      <c r="F121" s="174"/>
      <c r="G121" s="175"/>
      <c r="H121" s="175"/>
      <c r="I121" s="170"/>
      <c r="J121" s="170"/>
      <c r="K121" s="147"/>
      <c r="L121" s="147"/>
      <c r="M121" s="170"/>
      <c r="N121" s="170"/>
      <c r="O121" s="133"/>
      <c r="P121" s="133"/>
      <c r="Q121" s="157"/>
      <c r="R121" s="157"/>
      <c r="S121" s="157"/>
      <c r="T121" s="120"/>
      <c r="U121" s="158" t="str">
        <f ca="1">IFERROR(__xludf.DUMMYFUNCTION("""COMPUTED_VALUE"""),"Sleepy Hollow B &amp; R")</f>
        <v>Sleepy Hollow B &amp; R</v>
      </c>
      <c r="V121" s="157" t="str">
        <f ca="1">IFERROR(__xludf.DUMMYFUNCTION("""COMPUTED_VALUE"""),"at")</f>
        <v>at</v>
      </c>
      <c r="W121" s="157" t="str">
        <f ca="1">IFERROR(__xludf.DUMMYFUNCTION("""COMPUTED_VALUE"""),"Crosspointe")</f>
        <v>Crosspointe</v>
      </c>
      <c r="X121" s="157"/>
      <c r="Y121" s="157"/>
      <c r="Z121" s="120"/>
      <c r="AA121" s="167">
        <f ca="1">IFERROR(__xludf.DUMMYFUNCTION("""COMPUTED_VALUE"""),52)</f>
        <v>52</v>
      </c>
      <c r="AB121" s="168">
        <f ca="1">IFERROR(__xludf.DUMMYFUNCTION("""COMPUTED_VALUE"""),44390)</f>
        <v>44390</v>
      </c>
      <c r="AC121" s="157" t="str">
        <f ca="1">IFERROR(__xludf.DUMMYFUNCTION("""COMPUTED_VALUE"""),"20210713-52")</f>
        <v>20210713-52</v>
      </c>
      <c r="AD121" s="157" t="str">
        <f ca="1">IFERROR(__xludf.DUMMYFUNCTION("""COMPUTED_VALUE"""),"CP-Crosspointe")</f>
        <v>CP-Crosspointe</v>
      </c>
      <c r="AE121" s="157" t="str">
        <f ca="1">IFERROR(__xludf.DUMMYFUNCTION("""COMPUTED_VALUE"""),"SHB-Sleepy Hollow Bath")</f>
        <v>SHB-Sleepy Hollow Bath</v>
      </c>
      <c r="AF121" s="120"/>
      <c r="AG121" s="162"/>
      <c r="AH121" s="120"/>
    </row>
    <row r="122" spans="1:34" ht="13.2">
      <c r="A122" s="142"/>
      <c r="B122" s="142"/>
      <c r="C122" s="142"/>
      <c r="D122" s="142"/>
      <c r="E122" s="174"/>
      <c r="F122" s="174"/>
      <c r="G122" s="175"/>
      <c r="H122" s="175"/>
      <c r="I122" s="170"/>
      <c r="J122" s="170"/>
      <c r="K122" s="147"/>
      <c r="L122" s="147"/>
      <c r="M122" s="170"/>
      <c r="N122" s="170"/>
      <c r="O122" s="133"/>
      <c r="P122" s="133"/>
      <c r="Q122" s="151"/>
      <c r="R122" s="151"/>
      <c r="S122" s="151"/>
      <c r="T122" s="120"/>
      <c r="U122" s="163" t="str">
        <f ca="1">IFERROR(__xludf.DUMMYFUNCTION("""COMPUTED_VALUE"""),"Camelot")</f>
        <v>Camelot</v>
      </c>
      <c r="V122" s="151" t="str">
        <f ca="1">IFERROR(__xludf.DUMMYFUNCTION("""COMPUTED_VALUE"""),"at")</f>
        <v>at</v>
      </c>
      <c r="W122" s="151" t="str">
        <f ca="1">IFERROR(__xludf.DUMMYFUNCTION("""COMPUTED_VALUE"""),"Rolling Hills")</f>
        <v>Rolling Hills</v>
      </c>
      <c r="X122" s="151"/>
      <c r="Y122" s="151"/>
      <c r="Z122" s="120"/>
      <c r="AA122" s="165">
        <f ca="1">IFERROR(__xludf.DUMMYFUNCTION("""COMPUTED_VALUE"""),53)</f>
        <v>53</v>
      </c>
      <c r="AB122" s="171">
        <f ca="1">IFERROR(__xludf.DUMMYFUNCTION("""COMPUTED_VALUE"""),44390)</f>
        <v>44390</v>
      </c>
      <c r="AC122" s="151" t="str">
        <f ca="1">IFERROR(__xludf.DUMMYFUNCTION("""COMPUTED_VALUE"""),"20210713-53")</f>
        <v>20210713-53</v>
      </c>
      <c r="AD122" s="151" t="str">
        <f ca="1">IFERROR(__xludf.DUMMYFUNCTION("""COMPUTED_VALUE"""),"RH-Rolling Hills")</f>
        <v>RH-Rolling Hills</v>
      </c>
      <c r="AE122" s="151" t="str">
        <f ca="1">IFERROR(__xludf.DUMMYFUNCTION("""COMPUTED_VALUE"""),"CCC-Camelot Community Club")</f>
        <v>CCC-Camelot Community Club</v>
      </c>
      <c r="AF122" s="120"/>
      <c r="AG122" s="153"/>
      <c r="AH122" s="120"/>
    </row>
    <row r="123" spans="1:34" ht="13.2">
      <c r="A123" s="142"/>
      <c r="B123" s="142"/>
      <c r="C123" s="142"/>
      <c r="D123" s="142"/>
      <c r="E123" s="174"/>
      <c r="F123" s="174"/>
      <c r="G123" s="175"/>
      <c r="H123" s="175"/>
      <c r="I123" s="170"/>
      <c r="J123" s="170"/>
      <c r="K123" s="147"/>
      <c r="L123" s="147"/>
      <c r="M123" s="170"/>
      <c r="N123" s="170"/>
      <c r="O123" s="133"/>
      <c r="P123" s="133"/>
      <c r="Q123" s="157"/>
      <c r="R123" s="157"/>
      <c r="S123" s="157"/>
      <c r="T123" s="120"/>
      <c r="U123" s="158" t="str">
        <f ca="1">IFERROR(__xludf.DUMMYFUNCTION("""COMPUTED_VALUE"""),"Division VI")</f>
        <v>Division VI</v>
      </c>
      <c r="V123" s="157"/>
      <c r="W123" s="157"/>
      <c r="X123" s="157"/>
      <c r="Y123" s="157"/>
      <c r="Z123" s="120"/>
      <c r="AA123" s="167">
        <f ca="1">IFERROR(__xludf.DUMMYFUNCTION("""COMPUTED_VALUE"""),6)</f>
        <v>6</v>
      </c>
      <c r="AB123" s="168">
        <f ca="1">IFERROR(__xludf.DUMMYFUNCTION("""COMPUTED_VALUE"""),44390)</f>
        <v>44390</v>
      </c>
      <c r="AC123" s="157" t="str">
        <f ca="1">IFERROR(__xludf.DUMMYFUNCTION("""COMPUTED_VALUE"""),"")</f>
        <v/>
      </c>
      <c r="AD123" s="157" t="str">
        <f ca="1">IFERROR(__xludf.DUMMYFUNCTION("""COMPUTED_VALUE"""),"")</f>
        <v/>
      </c>
      <c r="AE123" s="157" t="str">
        <f ca="1">IFERROR(__xludf.DUMMYFUNCTION("""COMPUTED_VALUE"""),"")</f>
        <v/>
      </c>
      <c r="AF123" s="120"/>
      <c r="AG123" s="162"/>
      <c r="AH123" s="120"/>
    </row>
    <row r="124" spans="1:34" ht="13.2">
      <c r="A124" s="142"/>
      <c r="B124" s="142"/>
      <c r="C124" s="142"/>
      <c r="D124" s="142"/>
      <c r="E124" s="174"/>
      <c r="F124" s="174"/>
      <c r="G124" s="175"/>
      <c r="H124" s="175"/>
      <c r="I124" s="170"/>
      <c r="J124" s="170"/>
      <c r="K124" s="147"/>
      <c r="L124" s="147"/>
      <c r="M124" s="170"/>
      <c r="N124" s="170"/>
      <c r="O124" s="133"/>
      <c r="P124" s="133"/>
      <c r="Q124" s="151"/>
      <c r="R124" s="151"/>
      <c r="S124" s="151"/>
      <c r="T124" s="120"/>
      <c r="U124" s="163" t="str">
        <f ca="1">IFERROR(__xludf.DUMMYFUNCTION("""COMPUTED_VALUE"""),"Highland Park")</f>
        <v>Highland Park</v>
      </c>
      <c r="V124" s="151" t="str">
        <f ca="1">IFERROR(__xludf.DUMMYFUNCTION("""COMPUTED_VALUE"""),"at")</f>
        <v>at</v>
      </c>
      <c r="W124" s="151" t="str">
        <f ca="1">IFERROR(__xludf.DUMMYFUNCTION("""COMPUTED_VALUE"""),"Cardinal Hill")</f>
        <v>Cardinal Hill</v>
      </c>
      <c r="X124" s="151"/>
      <c r="Y124" s="151"/>
      <c r="Z124" s="120"/>
      <c r="AA124" s="165">
        <f ca="1">IFERROR(__xludf.DUMMYFUNCTION("""COMPUTED_VALUE"""),61)</f>
        <v>61</v>
      </c>
      <c r="AB124" s="171">
        <f ca="1">IFERROR(__xludf.DUMMYFUNCTION("""COMPUTED_VALUE"""),44390)</f>
        <v>44390</v>
      </c>
      <c r="AC124" s="151" t="str">
        <f ca="1">IFERROR(__xludf.DUMMYFUNCTION("""COMPUTED_VALUE"""),"20210713-61")</f>
        <v>20210713-61</v>
      </c>
      <c r="AD124" s="151" t="str">
        <f ca="1">IFERROR(__xludf.DUMMYFUNCTION("""COMPUTED_VALUE"""),"CH-Cardinal Hill")</f>
        <v>CH-Cardinal Hill</v>
      </c>
      <c r="AE124" s="151" t="str">
        <f ca="1">IFERROR(__xludf.DUMMYFUNCTION("""COMPUTED_VALUE"""),"HP-Highland Park")</f>
        <v>HP-Highland Park</v>
      </c>
      <c r="AF124" s="120"/>
      <c r="AG124" s="153"/>
      <c r="AH124" s="120"/>
    </row>
    <row r="125" spans="1:34" ht="13.2">
      <c r="A125" s="142"/>
      <c r="B125" s="142"/>
      <c r="C125" s="142"/>
      <c r="D125" s="142"/>
      <c r="E125" s="174"/>
      <c r="F125" s="174"/>
      <c r="G125" s="175"/>
      <c r="H125" s="175"/>
      <c r="I125" s="170"/>
      <c r="J125" s="170"/>
      <c r="K125" s="147"/>
      <c r="L125" s="147"/>
      <c r="M125" s="170"/>
      <c r="N125" s="170"/>
      <c r="O125" s="133"/>
      <c r="P125" s="133"/>
      <c r="Q125" s="157"/>
      <c r="R125" s="157"/>
      <c r="S125" s="157"/>
      <c r="T125" s="120"/>
      <c r="U125" s="158" t="str">
        <f ca="1">IFERROR(__xludf.DUMMYFUNCTION("""COMPUTED_VALUE"""),"Greenbriar")</f>
        <v>Greenbriar</v>
      </c>
      <c r="V125" s="157" t="str">
        <f ca="1">IFERROR(__xludf.DUMMYFUNCTION("""COMPUTED_VALUE"""),"at")</f>
        <v>at</v>
      </c>
      <c r="W125" s="157" t="str">
        <f ca="1">IFERROR(__xludf.DUMMYFUNCTION("""COMPUTED_VALUE"""),"Orange Hunt")</f>
        <v>Orange Hunt</v>
      </c>
      <c r="X125" s="157"/>
      <c r="Y125" s="157"/>
      <c r="Z125" s="120"/>
      <c r="AA125" s="167">
        <f ca="1">IFERROR(__xludf.DUMMYFUNCTION("""COMPUTED_VALUE"""),62)</f>
        <v>62</v>
      </c>
      <c r="AB125" s="168">
        <f ca="1">IFERROR(__xludf.DUMMYFUNCTION("""COMPUTED_VALUE"""),44390)</f>
        <v>44390</v>
      </c>
      <c r="AC125" s="157" t="str">
        <f ca="1">IFERROR(__xludf.DUMMYFUNCTION("""COMPUTED_VALUE"""),"20210713-62")</f>
        <v>20210713-62</v>
      </c>
      <c r="AD125" s="157" t="str">
        <f ca="1">IFERROR(__xludf.DUMMYFUNCTION("""COMPUTED_VALUE"""),"OH-Orange Hunt")</f>
        <v>OH-Orange Hunt</v>
      </c>
      <c r="AE125" s="157" t="str">
        <f ca="1">IFERROR(__xludf.DUMMYFUNCTION("""COMPUTED_VALUE"""),"G-Greenbriar")</f>
        <v>G-Greenbriar</v>
      </c>
      <c r="AF125" s="120"/>
      <c r="AG125" s="162"/>
      <c r="AH125" s="120"/>
    </row>
    <row r="126" spans="1:34" ht="13.2">
      <c r="A126" s="142"/>
      <c r="B126" s="142"/>
      <c r="C126" s="142"/>
      <c r="D126" s="142"/>
      <c r="E126" s="174"/>
      <c r="F126" s="174"/>
      <c r="G126" s="175"/>
      <c r="H126" s="175"/>
      <c r="I126" s="170"/>
      <c r="J126" s="170"/>
      <c r="K126" s="147"/>
      <c r="L126" s="147"/>
      <c r="M126" s="170"/>
      <c r="N126" s="170"/>
      <c r="O126" s="133"/>
      <c r="P126" s="133"/>
      <c r="Q126" s="151"/>
      <c r="R126" s="151"/>
      <c r="S126" s="151"/>
      <c r="T126" s="120"/>
      <c r="U126" s="163" t="str">
        <f ca="1">IFERROR(__xludf.DUMMYFUNCTION("""COMPUTED_VALUE"""),"Fairfax Station")</f>
        <v>Fairfax Station</v>
      </c>
      <c r="V126" s="151" t="str">
        <f ca="1">IFERROR(__xludf.DUMMYFUNCTION("""COMPUTED_VALUE"""),"at")</f>
        <v>at</v>
      </c>
      <c r="W126" s="151" t="str">
        <f ca="1">IFERROR(__xludf.DUMMYFUNCTION("""COMPUTED_VALUE"""),"Parliament")</f>
        <v>Parliament</v>
      </c>
      <c r="X126" s="151"/>
      <c r="Y126" s="151"/>
      <c r="Z126" s="120"/>
      <c r="AA126" s="165">
        <f ca="1">IFERROR(__xludf.DUMMYFUNCTION("""COMPUTED_VALUE"""),63)</f>
        <v>63</v>
      </c>
      <c r="AB126" s="171">
        <f ca="1">IFERROR(__xludf.DUMMYFUNCTION("""COMPUTED_VALUE"""),44390)</f>
        <v>44390</v>
      </c>
      <c r="AC126" s="151" t="str">
        <f ca="1">IFERROR(__xludf.DUMMYFUNCTION("""COMPUTED_VALUE"""),"20210713-63")</f>
        <v>20210713-63</v>
      </c>
      <c r="AD126" s="151" t="str">
        <f ca="1">IFERROR(__xludf.DUMMYFUNCTION("""COMPUTED_VALUE"""),"PAR-Parliament")</f>
        <v>PAR-Parliament</v>
      </c>
      <c r="AE126" s="151" t="str">
        <f ca="1">IFERROR(__xludf.DUMMYFUNCTION("""COMPUTED_VALUE"""),"FS-Fairfax Station")</f>
        <v>FS-Fairfax Station</v>
      </c>
      <c r="AF126" s="120"/>
      <c r="AG126" s="153"/>
      <c r="AH126" s="120"/>
    </row>
    <row r="127" spans="1:34" ht="13.2">
      <c r="A127" s="142"/>
      <c r="B127" s="142"/>
      <c r="C127" s="142"/>
      <c r="D127" s="142"/>
      <c r="E127" s="174"/>
      <c r="F127" s="174"/>
      <c r="G127" s="175"/>
      <c r="H127" s="175"/>
      <c r="I127" s="170"/>
      <c r="J127" s="170"/>
      <c r="K127" s="147"/>
      <c r="L127" s="147"/>
      <c r="M127" s="170"/>
      <c r="N127" s="170"/>
      <c r="O127" s="133"/>
      <c r="P127" s="133"/>
      <c r="Q127" s="157"/>
      <c r="R127" s="157"/>
      <c r="S127" s="157"/>
      <c r="T127" s="120"/>
      <c r="U127" s="158" t="str">
        <f ca="1">IFERROR(__xludf.DUMMYFUNCTION("""COMPUTED_VALUE"""),"Division VII")</f>
        <v>Division VII</v>
      </c>
      <c r="V127" s="157"/>
      <c r="W127" s="157"/>
      <c r="X127" s="157"/>
      <c r="Y127" s="157"/>
      <c r="Z127" s="120"/>
      <c r="AA127" s="167">
        <f ca="1">IFERROR(__xludf.DUMMYFUNCTION("""COMPUTED_VALUE"""),7)</f>
        <v>7</v>
      </c>
      <c r="AB127" s="168">
        <f ca="1">IFERROR(__xludf.DUMMYFUNCTION("""COMPUTED_VALUE"""),44390)</f>
        <v>44390</v>
      </c>
      <c r="AC127" s="157" t="str">
        <f ca="1">IFERROR(__xludf.DUMMYFUNCTION("""COMPUTED_VALUE"""),"")</f>
        <v/>
      </c>
      <c r="AD127" s="157" t="str">
        <f ca="1">IFERROR(__xludf.DUMMYFUNCTION("""COMPUTED_VALUE"""),"")</f>
        <v/>
      </c>
      <c r="AE127" s="157" t="str">
        <f ca="1">IFERROR(__xludf.DUMMYFUNCTION("""COMPUTED_VALUE"""),"")</f>
        <v/>
      </c>
      <c r="AF127" s="120"/>
      <c r="AG127" s="162"/>
      <c r="AH127" s="120"/>
    </row>
    <row r="128" spans="1:34" ht="13.2">
      <c r="A128" s="142"/>
      <c r="B128" s="142"/>
      <c r="C128" s="142"/>
      <c r="D128" s="142"/>
      <c r="E128" s="174"/>
      <c r="F128" s="174"/>
      <c r="G128" s="175"/>
      <c r="H128" s="175"/>
      <c r="I128" s="170"/>
      <c r="J128" s="170"/>
      <c r="K128" s="147"/>
      <c r="L128" s="147"/>
      <c r="M128" s="170"/>
      <c r="N128" s="170"/>
      <c r="O128" s="133"/>
      <c r="P128" s="133"/>
      <c r="Q128" s="151"/>
      <c r="R128" s="151"/>
      <c r="S128" s="151"/>
      <c r="T128" s="120"/>
      <c r="U128" s="163" t="str">
        <f ca="1">IFERROR(__xludf.DUMMYFUNCTION("""COMPUTED_VALUE"""),"Stratford")</f>
        <v>Stratford</v>
      </c>
      <c r="V128" s="151" t="str">
        <f ca="1">IFERROR(__xludf.DUMMYFUNCTION("""COMPUTED_VALUE"""),"at")</f>
        <v>at</v>
      </c>
      <c r="W128" s="151" t="str">
        <f ca="1">IFERROR(__xludf.DUMMYFUNCTION("""COMPUTED_VALUE"""),"Rutherford")</f>
        <v>Rutherford</v>
      </c>
      <c r="X128" s="151"/>
      <c r="Y128" s="151"/>
      <c r="Z128" s="120"/>
      <c r="AA128" s="165">
        <f ca="1">IFERROR(__xludf.DUMMYFUNCTION("""COMPUTED_VALUE"""),71)</f>
        <v>71</v>
      </c>
      <c r="AB128" s="171">
        <f ca="1">IFERROR(__xludf.DUMMYFUNCTION("""COMPUTED_VALUE"""),44390)</f>
        <v>44390</v>
      </c>
      <c r="AC128" s="151" t="str">
        <f ca="1">IFERROR(__xludf.DUMMYFUNCTION("""COMPUTED_VALUE"""),"20210713-71")</f>
        <v>20210713-71</v>
      </c>
      <c r="AD128" s="151" t="str">
        <f ca="1">IFERROR(__xludf.DUMMYFUNCTION("""COMPUTED_VALUE"""),"RFD-Rutherford")</f>
        <v>RFD-Rutherford</v>
      </c>
      <c r="AE128" s="151" t="str">
        <f ca="1">IFERROR(__xludf.DUMMYFUNCTION("""COMPUTED_VALUE"""),"SRA-Stratford Rec Association")</f>
        <v>SRA-Stratford Rec Association</v>
      </c>
      <c r="AF128" s="120"/>
      <c r="AG128" s="153"/>
      <c r="AH128" s="120"/>
    </row>
    <row r="129" spans="1:34" ht="13.2">
      <c r="A129" s="142"/>
      <c r="B129" s="142"/>
      <c r="C129" s="142"/>
      <c r="D129" s="142"/>
      <c r="E129" s="174"/>
      <c r="F129" s="174"/>
      <c r="G129" s="175"/>
      <c r="H129" s="175"/>
      <c r="I129" s="170"/>
      <c r="J129" s="170"/>
      <c r="K129" s="147"/>
      <c r="L129" s="147"/>
      <c r="M129" s="170"/>
      <c r="N129" s="170"/>
      <c r="O129" s="133"/>
      <c r="P129" s="133"/>
      <c r="Q129" s="157"/>
      <c r="R129" s="157"/>
      <c r="S129" s="157"/>
      <c r="T129" s="120"/>
      <c r="U129" s="158" t="str">
        <f ca="1">IFERROR(__xludf.DUMMYFUNCTION("""COMPUTED_VALUE"""),"Hamlet")</f>
        <v>Hamlet</v>
      </c>
      <c r="V129" s="157" t="str">
        <f ca="1">IFERROR(__xludf.DUMMYFUNCTION("""COMPUTED_VALUE"""),"at")</f>
        <v>at</v>
      </c>
      <c r="W129" s="157" t="str">
        <f ca="1">IFERROR(__xludf.DUMMYFUNCTION("""COMPUTED_VALUE"""),"Mantua")</f>
        <v>Mantua</v>
      </c>
      <c r="X129" s="157"/>
      <c r="Y129" s="157"/>
      <c r="Z129" s="120"/>
      <c r="AA129" s="167">
        <f ca="1">IFERROR(__xludf.DUMMYFUNCTION("""COMPUTED_VALUE"""),72)</f>
        <v>72</v>
      </c>
      <c r="AB129" s="168">
        <f ca="1">IFERROR(__xludf.DUMMYFUNCTION("""COMPUTED_VALUE"""),44390)</f>
        <v>44390</v>
      </c>
      <c r="AC129" s="157" t="str">
        <f ca="1">IFERROR(__xludf.DUMMYFUNCTION("""COMPUTED_VALUE"""),"20210713-72")</f>
        <v>20210713-72</v>
      </c>
      <c r="AD129" s="157" t="str">
        <f ca="1">IFERROR(__xludf.DUMMYFUNCTION("""COMPUTED_VALUE"""),"M-Mantua")</f>
        <v>M-Mantua</v>
      </c>
      <c r="AE129" s="157" t="str">
        <f ca="1">IFERROR(__xludf.DUMMYFUNCTION("""COMPUTED_VALUE"""),"HSC-Hamlet Swim")</f>
        <v>HSC-Hamlet Swim</v>
      </c>
      <c r="AF129" s="120"/>
      <c r="AG129" s="162"/>
      <c r="AH129" s="120"/>
    </row>
    <row r="130" spans="1:34" ht="13.2">
      <c r="A130" s="142"/>
      <c r="B130" s="142"/>
      <c r="C130" s="142"/>
      <c r="D130" s="142"/>
      <c r="E130" s="174"/>
      <c r="F130" s="174"/>
      <c r="G130" s="175"/>
      <c r="H130" s="175"/>
      <c r="I130" s="170"/>
      <c r="J130" s="170"/>
      <c r="K130" s="147"/>
      <c r="L130" s="147"/>
      <c r="M130" s="170"/>
      <c r="N130" s="170"/>
      <c r="O130" s="133"/>
      <c r="P130" s="133"/>
      <c r="Q130" s="151"/>
      <c r="R130" s="151"/>
      <c r="S130" s="151"/>
      <c r="T130" s="120"/>
      <c r="U130" s="163" t="str">
        <f ca="1">IFERROR(__xludf.DUMMYFUNCTION("""COMPUTED_VALUE"""),"Woodley")</f>
        <v>Woodley</v>
      </c>
      <c r="V130" s="151" t="str">
        <f ca="1">IFERROR(__xludf.DUMMYFUNCTION("""COMPUTED_VALUE"""),"at")</f>
        <v>at</v>
      </c>
      <c r="W130" s="151" t="str">
        <f ca="1">IFERROR(__xludf.DUMMYFUNCTION("""COMPUTED_VALUE"""),"Springboard")</f>
        <v>Springboard</v>
      </c>
      <c r="X130" s="151"/>
      <c r="Y130" s="151"/>
      <c r="Z130" s="120"/>
      <c r="AA130" s="165">
        <f ca="1">IFERROR(__xludf.DUMMYFUNCTION("""COMPUTED_VALUE"""),73)</f>
        <v>73</v>
      </c>
      <c r="AB130" s="171">
        <f ca="1">IFERROR(__xludf.DUMMYFUNCTION("""COMPUTED_VALUE"""),44390)</f>
        <v>44390</v>
      </c>
      <c r="AC130" s="151" t="str">
        <f ca="1">IFERROR(__xludf.DUMMYFUNCTION("""COMPUTED_VALUE"""),"20210713-73")</f>
        <v>20210713-73</v>
      </c>
      <c r="AD130" s="151" t="str">
        <f ca="1">IFERROR(__xludf.DUMMYFUNCTION("""COMPUTED_VALUE"""),"SB-Springboard Recreration Club")</f>
        <v>SB-Springboard Recreration Club</v>
      </c>
      <c r="AE130" s="151" t="str">
        <f ca="1">IFERROR(__xludf.DUMMYFUNCTION("""COMPUTED_VALUE"""),"W-Woodley")</f>
        <v>W-Woodley</v>
      </c>
      <c r="AF130" s="120"/>
      <c r="AG130" s="153"/>
      <c r="AH130" s="120"/>
    </row>
    <row r="131" spans="1:34" ht="13.2">
      <c r="A131" s="142"/>
      <c r="B131" s="142"/>
      <c r="C131" s="142"/>
      <c r="D131" s="142"/>
      <c r="E131" s="174"/>
      <c r="F131" s="174"/>
      <c r="G131" s="175"/>
      <c r="H131" s="175"/>
      <c r="I131" s="170"/>
      <c r="J131" s="170"/>
      <c r="K131" s="147"/>
      <c r="L131" s="147"/>
      <c r="M131" s="170"/>
      <c r="N131" s="170"/>
      <c r="O131" s="133"/>
      <c r="P131" s="133"/>
      <c r="Q131" s="157"/>
      <c r="R131" s="157"/>
      <c r="S131" s="157"/>
      <c r="T131" s="120"/>
      <c r="U131" s="158" t="str">
        <f ca="1">IFERROR(__xludf.DUMMYFUNCTION("""COMPUTED_VALUE"""),"Division VIII")</f>
        <v>Division VIII</v>
      </c>
      <c r="V131" s="157"/>
      <c r="W131" s="157"/>
      <c r="X131" s="157"/>
      <c r="Y131" s="157"/>
      <c r="Z131" s="120"/>
      <c r="AA131" s="167">
        <f ca="1">IFERROR(__xludf.DUMMYFUNCTION("""COMPUTED_VALUE"""),8)</f>
        <v>8</v>
      </c>
      <c r="AB131" s="168">
        <f ca="1">IFERROR(__xludf.DUMMYFUNCTION("""COMPUTED_VALUE"""),44390)</f>
        <v>44390</v>
      </c>
      <c r="AC131" s="157" t="str">
        <f ca="1">IFERROR(__xludf.DUMMYFUNCTION("""COMPUTED_VALUE"""),"")</f>
        <v/>
      </c>
      <c r="AD131" s="157" t="str">
        <f ca="1">IFERROR(__xludf.DUMMYFUNCTION("""COMPUTED_VALUE"""),"")</f>
        <v/>
      </c>
      <c r="AE131" s="157" t="str">
        <f ca="1">IFERROR(__xludf.DUMMYFUNCTION("""COMPUTED_VALUE"""),"")</f>
        <v/>
      </c>
      <c r="AF131" s="120"/>
      <c r="AG131" s="162"/>
      <c r="AH131" s="120"/>
    </row>
    <row r="132" spans="1:34" ht="13.2">
      <c r="A132" s="142"/>
      <c r="B132" s="142"/>
      <c r="C132" s="142"/>
      <c r="D132" s="142"/>
      <c r="E132" s="174"/>
      <c r="F132" s="174"/>
      <c r="G132" s="175"/>
      <c r="H132" s="175"/>
      <c r="I132" s="170"/>
      <c r="J132" s="170"/>
      <c r="K132" s="147"/>
      <c r="L132" s="147"/>
      <c r="M132" s="170"/>
      <c r="N132" s="170"/>
      <c r="O132" s="133"/>
      <c r="P132" s="133"/>
      <c r="Q132" s="151"/>
      <c r="R132" s="151"/>
      <c r="S132" s="151"/>
      <c r="T132" s="120"/>
      <c r="U132" s="163" t="str">
        <f ca="1">IFERROR(__xludf.DUMMYFUNCTION("""COMPUTED_VALUE"""),"Ilda Community")</f>
        <v>Ilda Community</v>
      </c>
      <c r="V132" s="151" t="str">
        <f ca="1">IFERROR(__xludf.DUMMYFUNCTION("""COMPUTED_VALUE"""),"at")</f>
        <v>at</v>
      </c>
      <c r="W132" s="151" t="str">
        <f ca="1">IFERROR(__xludf.DUMMYFUNCTION("""COMPUTED_VALUE"""),"North Springfield")</f>
        <v>North Springfield</v>
      </c>
      <c r="X132" s="151"/>
      <c r="Y132" s="151"/>
      <c r="Z132" s="120"/>
      <c r="AA132" s="165">
        <f ca="1">IFERROR(__xludf.DUMMYFUNCTION("""COMPUTED_VALUE"""),81)</f>
        <v>81</v>
      </c>
      <c r="AB132" s="171">
        <f ca="1">IFERROR(__xludf.DUMMYFUNCTION("""COMPUTED_VALUE"""),44390)</f>
        <v>44390</v>
      </c>
      <c r="AC132" s="151" t="str">
        <f ca="1">IFERROR(__xludf.DUMMYFUNCTION("""COMPUTED_VALUE"""),"20210713-81")</f>
        <v>20210713-81</v>
      </c>
      <c r="AD132" s="151" t="str">
        <f ca="1">IFERROR(__xludf.DUMMYFUNCTION("""COMPUTED_VALUE"""),"NS-North Springfield")</f>
        <v>NS-North Springfield</v>
      </c>
      <c r="AE132" s="151" t="str">
        <f ca="1">IFERROR(__xludf.DUMMYFUNCTION("""COMPUTED_VALUE"""),"IC-Ilda Community")</f>
        <v>IC-Ilda Community</v>
      </c>
      <c r="AF132" s="120"/>
      <c r="AG132" s="153"/>
      <c r="AH132" s="120"/>
    </row>
    <row r="133" spans="1:34" ht="13.2">
      <c r="A133" s="142"/>
      <c r="B133" s="142"/>
      <c r="C133" s="142"/>
      <c r="D133" s="142"/>
      <c r="E133" s="174"/>
      <c r="F133" s="174"/>
      <c r="G133" s="175"/>
      <c r="H133" s="175"/>
      <c r="I133" s="170"/>
      <c r="J133" s="170"/>
      <c r="K133" s="147"/>
      <c r="L133" s="147"/>
      <c r="M133" s="170"/>
      <c r="N133" s="170"/>
      <c r="O133" s="133"/>
      <c r="P133" s="133"/>
      <c r="Q133" s="157"/>
      <c r="R133" s="157"/>
      <c r="S133" s="157"/>
      <c r="T133" s="120"/>
      <c r="U133" s="158" t="str">
        <f ca="1">IFERROR(__xludf.DUMMYFUNCTION("""COMPUTED_VALUE"""),"Springfield")</f>
        <v>Springfield</v>
      </c>
      <c r="V133" s="157" t="str">
        <f ca="1">IFERROR(__xludf.DUMMYFUNCTION("""COMPUTED_VALUE"""),"at")</f>
        <v>at</v>
      </c>
      <c r="W133" s="157" t="str">
        <f ca="1">IFERROR(__xludf.DUMMYFUNCTION("""COMPUTED_VALUE"""),"Commonwealth")</f>
        <v>Commonwealth</v>
      </c>
      <c r="X133" s="157"/>
      <c r="Y133" s="157"/>
      <c r="Z133" s="120"/>
      <c r="AA133" s="167">
        <f ca="1">IFERROR(__xludf.DUMMYFUNCTION("""COMPUTED_VALUE"""),82)</f>
        <v>82</v>
      </c>
      <c r="AB133" s="168">
        <f ca="1">IFERROR(__xludf.DUMMYFUNCTION("""COMPUTED_VALUE"""),44390)</f>
        <v>44390</v>
      </c>
      <c r="AC133" s="157" t="str">
        <f ca="1">IFERROR(__xludf.DUMMYFUNCTION("""COMPUTED_VALUE"""),"20210713-82")</f>
        <v>20210713-82</v>
      </c>
      <c r="AD133" s="157" t="str">
        <f ca="1">IFERROR(__xludf.DUMMYFUNCTION("""COMPUTED_VALUE"""),"CSC-Commonwealth Swim Club")</f>
        <v>CSC-Commonwealth Swim Club</v>
      </c>
      <c r="AE133" s="157" t="str">
        <f ca="1">IFERROR(__xludf.DUMMYFUNCTION("""COMPUTED_VALUE"""),"S-Springfield")</f>
        <v>S-Springfield</v>
      </c>
      <c r="AF133" s="120"/>
      <c r="AG133" s="162"/>
      <c r="AH133" s="120"/>
    </row>
    <row r="134" spans="1:34" ht="13.2">
      <c r="A134" s="142"/>
      <c r="B134" s="142"/>
      <c r="C134" s="142"/>
      <c r="D134" s="142"/>
      <c r="E134" s="174"/>
      <c r="F134" s="174"/>
      <c r="G134" s="175"/>
      <c r="H134" s="175"/>
      <c r="I134" s="170"/>
      <c r="J134" s="170"/>
      <c r="K134" s="147"/>
      <c r="L134" s="147"/>
      <c r="M134" s="170"/>
      <c r="N134" s="170"/>
      <c r="O134" s="133"/>
      <c r="P134" s="133"/>
      <c r="Q134" s="151"/>
      <c r="R134" s="151"/>
      <c r="S134" s="151"/>
      <c r="T134" s="120"/>
      <c r="U134" s="163" t="str">
        <f ca="1">IFERROR(__xludf.DUMMYFUNCTION("""COMPUTED_VALUE"""),"Parklawn")</f>
        <v>Parklawn</v>
      </c>
      <c r="V134" s="151" t="str">
        <f ca="1">IFERROR(__xludf.DUMMYFUNCTION("""COMPUTED_VALUE"""),"at")</f>
        <v>at</v>
      </c>
      <c r="W134" s="151" t="str">
        <f ca="1">IFERROR(__xludf.DUMMYFUNCTION("""COMPUTED_VALUE"""),"Annandale")</f>
        <v>Annandale</v>
      </c>
      <c r="X134" s="151"/>
      <c r="Y134" s="151"/>
      <c r="Z134" s="120"/>
      <c r="AA134" s="165">
        <f ca="1">IFERROR(__xludf.DUMMYFUNCTION("""COMPUTED_VALUE"""),83)</f>
        <v>83</v>
      </c>
      <c r="AB134" s="171">
        <f ca="1">IFERROR(__xludf.DUMMYFUNCTION("""COMPUTED_VALUE"""),44390)</f>
        <v>44390</v>
      </c>
      <c r="AC134" s="151" t="str">
        <f ca="1">IFERROR(__xludf.DUMMYFUNCTION("""COMPUTED_VALUE"""),"20210713-83")</f>
        <v>20210713-83</v>
      </c>
      <c r="AD134" s="151" t="str">
        <f ca="1">IFERROR(__xludf.DUMMYFUNCTION("""COMPUTED_VALUE"""),"A-Annandale")</f>
        <v>A-Annandale</v>
      </c>
      <c r="AE134" s="151" t="str">
        <f ca="1">IFERROR(__xludf.DUMMYFUNCTION("""COMPUTED_VALUE"""),"PL-Parklawn")</f>
        <v>PL-Parklawn</v>
      </c>
      <c r="AF134" s="120"/>
      <c r="AG134" s="153"/>
      <c r="AH134" s="120"/>
    </row>
    <row r="135" spans="1:34" ht="13.2">
      <c r="A135" s="142"/>
      <c r="B135" s="142"/>
      <c r="C135" s="142"/>
      <c r="D135" s="142"/>
      <c r="E135" s="174"/>
      <c r="F135" s="174"/>
      <c r="G135" s="175"/>
      <c r="H135" s="175"/>
      <c r="I135" s="170"/>
      <c r="J135" s="170"/>
      <c r="K135" s="147"/>
      <c r="L135" s="147"/>
      <c r="M135" s="170"/>
      <c r="N135" s="170"/>
      <c r="O135" s="133"/>
      <c r="P135" s="133"/>
      <c r="Q135" s="157"/>
      <c r="R135" s="157"/>
      <c r="S135" s="157"/>
      <c r="T135" s="120"/>
      <c r="U135" s="158">
        <f ca="1">IFERROR(__xludf.DUMMYFUNCTION("""COMPUTED_VALUE"""),44397)</f>
        <v>44397</v>
      </c>
      <c r="V135" s="157" t="str">
        <f ca="1">IFERROR(__xludf.DUMMYFUNCTION("""COMPUTED_VALUE""")," ")</f>
        <v xml:space="preserve"> </v>
      </c>
      <c r="W135" s="157" t="str">
        <f ca="1">IFERROR(__xludf.DUMMYFUNCTION("""COMPUTED_VALUE""")," ")</f>
        <v xml:space="preserve"> </v>
      </c>
      <c r="X135" s="157"/>
      <c r="Y135" s="157"/>
      <c r="Z135" s="120"/>
      <c r="AA135" s="167">
        <f ca="1">IFERROR(__xludf.DUMMYFUNCTION("""COMPUTED_VALUE"""),1)</f>
        <v>1</v>
      </c>
      <c r="AB135" s="168">
        <f ca="1">IFERROR(__xludf.DUMMYFUNCTION("""COMPUTED_VALUE"""),44397)</f>
        <v>44397</v>
      </c>
      <c r="AC135" s="157" t="str">
        <f ca="1">IFERROR(__xludf.DUMMYFUNCTION("""COMPUTED_VALUE"""),"")</f>
        <v/>
      </c>
      <c r="AD135" s="157" t="str">
        <f ca="1">IFERROR(__xludf.DUMMYFUNCTION("""COMPUTED_VALUE"""),"")</f>
        <v/>
      </c>
      <c r="AE135" s="157" t="str">
        <f ca="1">IFERROR(__xludf.DUMMYFUNCTION("""COMPUTED_VALUE"""),"")</f>
        <v/>
      </c>
      <c r="AF135" s="120"/>
      <c r="AG135" s="162"/>
      <c r="AH135" s="120"/>
    </row>
    <row r="136" spans="1:34" ht="13.2">
      <c r="A136" s="142"/>
      <c r="B136" s="142"/>
      <c r="C136" s="142"/>
      <c r="D136" s="142"/>
      <c r="E136" s="174"/>
      <c r="F136" s="174"/>
      <c r="G136" s="175"/>
      <c r="H136" s="175"/>
      <c r="I136" s="170"/>
      <c r="J136" s="170"/>
      <c r="K136" s="147"/>
      <c r="L136" s="147"/>
      <c r="M136" s="170"/>
      <c r="N136" s="170"/>
      <c r="O136" s="133"/>
      <c r="P136" s="133"/>
      <c r="Q136" s="151"/>
      <c r="R136" s="151"/>
      <c r="S136" s="151"/>
      <c r="T136" s="120"/>
      <c r="U136" s="163" t="str">
        <f ca="1">IFERROR(__xludf.DUMMYFUNCTION("""COMPUTED_VALUE"""),"Vienna Woods")</f>
        <v>Vienna Woods</v>
      </c>
      <c r="V136" s="151" t="str">
        <f ca="1">IFERROR(__xludf.DUMMYFUNCTION("""COMPUTED_VALUE"""),"at")</f>
        <v>at</v>
      </c>
      <c r="W136" s="151" t="str">
        <f ca="1">IFERROR(__xludf.DUMMYFUNCTION("""COMPUTED_VALUE"""),"Old Keene Mill")</f>
        <v>Old Keene Mill</v>
      </c>
      <c r="X136" s="151"/>
      <c r="Y136" s="151"/>
      <c r="Z136" s="120"/>
      <c r="AA136" s="165">
        <f ca="1">IFERROR(__xludf.DUMMYFUNCTION("""COMPUTED_VALUE"""),11)</f>
        <v>11</v>
      </c>
      <c r="AB136" s="171">
        <f ca="1">IFERROR(__xludf.DUMMYFUNCTION("""COMPUTED_VALUE"""),44397)</f>
        <v>44397</v>
      </c>
      <c r="AC136" s="151" t="str">
        <f ca="1">IFERROR(__xludf.DUMMYFUNCTION("""COMPUTED_VALUE"""),"20210720-11")</f>
        <v>20210720-11</v>
      </c>
      <c r="AD136" s="151" t="str">
        <f ca="1">IFERROR(__xludf.DUMMYFUNCTION("""COMPUTED_VALUE"""),"OKM-Old Keene Mill")</f>
        <v>OKM-Old Keene Mill</v>
      </c>
      <c r="AE136" s="151" t="str">
        <f ca="1">IFERROR(__xludf.DUMMYFUNCTION("""COMPUTED_VALUE"""),"VW-Vienna Woods")</f>
        <v>VW-Vienna Woods</v>
      </c>
      <c r="AF136" s="120"/>
      <c r="AG136" s="153"/>
      <c r="AH136" s="120"/>
    </row>
    <row r="137" spans="1:34" ht="13.2">
      <c r="A137" s="142"/>
      <c r="B137" s="142"/>
      <c r="C137" s="142"/>
      <c r="D137" s="142"/>
      <c r="E137" s="174"/>
      <c r="F137" s="174"/>
      <c r="G137" s="175"/>
      <c r="H137" s="175"/>
      <c r="I137" s="170"/>
      <c r="J137" s="170"/>
      <c r="K137" s="147"/>
      <c r="L137" s="147"/>
      <c r="M137" s="170"/>
      <c r="N137" s="170"/>
      <c r="O137" s="133"/>
      <c r="P137" s="133"/>
      <c r="Q137" s="157"/>
      <c r="R137" s="157"/>
      <c r="S137" s="157"/>
      <c r="T137" s="120"/>
      <c r="U137" s="158" t="str">
        <f ca="1">IFERROR(__xludf.DUMMYFUNCTION("""COMPUTED_VALUE"""),"Truro")</f>
        <v>Truro</v>
      </c>
      <c r="V137" s="157" t="str">
        <f ca="1">IFERROR(__xludf.DUMMYFUNCTION("""COMPUTED_VALUE"""),"at")</f>
        <v>at</v>
      </c>
      <c r="W137" s="157" t="str">
        <f ca="1">IFERROR(__xludf.DUMMYFUNCTION("""COMPUTED_VALUE"""),"Sideburn Run")</f>
        <v>Sideburn Run</v>
      </c>
      <c r="X137" s="157"/>
      <c r="Y137" s="157"/>
      <c r="Z137" s="120"/>
      <c r="AA137" s="167">
        <f ca="1">IFERROR(__xludf.DUMMYFUNCTION("""COMPUTED_VALUE"""),12)</f>
        <v>12</v>
      </c>
      <c r="AB137" s="168">
        <f ca="1">IFERROR(__xludf.DUMMYFUNCTION("""COMPUTED_VALUE"""),44397)</f>
        <v>44397</v>
      </c>
      <c r="AC137" s="157" t="str">
        <f ca="1">IFERROR(__xludf.DUMMYFUNCTION("""COMPUTED_VALUE"""),"20210720-12")</f>
        <v>20210720-12</v>
      </c>
      <c r="AD137" s="157" t="str">
        <f ca="1">IFERROR(__xludf.DUMMYFUNCTION("""COMPUTED_VALUE"""),"SR-Sideburn Run")</f>
        <v>SR-Sideburn Run</v>
      </c>
      <c r="AE137" s="157" t="str">
        <f ca="1">IFERROR(__xludf.DUMMYFUNCTION("""COMPUTED_VALUE"""),"THA-Truro Homes Assn")</f>
        <v>THA-Truro Homes Assn</v>
      </c>
      <c r="AF137" s="120"/>
      <c r="AG137" s="162"/>
      <c r="AH137" s="120"/>
    </row>
    <row r="138" spans="1:34" ht="13.2">
      <c r="A138" s="142"/>
      <c r="B138" s="142"/>
      <c r="C138" s="142"/>
      <c r="D138" s="142"/>
      <c r="E138" s="174"/>
      <c r="F138" s="174"/>
      <c r="G138" s="175"/>
      <c r="H138" s="175"/>
      <c r="I138" s="170"/>
      <c r="J138" s="170"/>
      <c r="K138" s="147"/>
      <c r="L138" s="147"/>
      <c r="M138" s="170"/>
      <c r="N138" s="170"/>
      <c r="O138" s="133"/>
      <c r="P138" s="133"/>
      <c r="Q138" s="151"/>
      <c r="R138" s="151"/>
      <c r="S138" s="151"/>
      <c r="T138" s="120"/>
      <c r="U138" s="163" t="str">
        <f ca="1">IFERROR(__xludf.DUMMYFUNCTION("""COMPUTED_VALUE"""),"Dunn Loring")</f>
        <v>Dunn Loring</v>
      </c>
      <c r="V138" s="151" t="str">
        <f ca="1">IFERROR(__xludf.DUMMYFUNCTION("""COMPUTED_VALUE"""),"at")</f>
        <v>at</v>
      </c>
      <c r="W138" s="151" t="str">
        <f ca="1">IFERROR(__xludf.DUMMYFUNCTION("""COMPUTED_VALUE"""),"Overlee")</f>
        <v>Overlee</v>
      </c>
      <c r="X138" s="151"/>
      <c r="Y138" s="151"/>
      <c r="Z138" s="120"/>
      <c r="AA138" s="165">
        <f ca="1">IFERROR(__xludf.DUMMYFUNCTION("""COMPUTED_VALUE"""),13)</f>
        <v>13</v>
      </c>
      <c r="AB138" s="171">
        <f ca="1">IFERROR(__xludf.DUMMYFUNCTION("""COMPUTED_VALUE"""),44397)</f>
        <v>44397</v>
      </c>
      <c r="AC138" s="151" t="str">
        <f ca="1">IFERROR(__xludf.DUMMYFUNCTION("""COMPUTED_VALUE"""),"20210720-13")</f>
        <v>20210720-13</v>
      </c>
      <c r="AD138" s="151" t="str">
        <f ca="1">IFERROR(__xludf.DUMMYFUNCTION("""COMPUTED_VALUE"""),"O-Overlee")</f>
        <v>O-Overlee</v>
      </c>
      <c r="AE138" s="151" t="str">
        <f ca="1">IFERROR(__xludf.DUMMYFUNCTION("""COMPUTED_VALUE"""),"DL-Dunn Loring")</f>
        <v>DL-Dunn Loring</v>
      </c>
      <c r="AF138" s="120"/>
      <c r="AG138" s="153"/>
      <c r="AH138" s="120"/>
    </row>
    <row r="139" spans="1:34" ht="13.2">
      <c r="A139" s="142"/>
      <c r="B139" s="142"/>
      <c r="C139" s="142"/>
      <c r="D139" s="142"/>
      <c r="E139" s="174"/>
      <c r="F139" s="174"/>
      <c r="G139" s="175"/>
      <c r="H139" s="175"/>
      <c r="I139" s="170"/>
      <c r="J139" s="170"/>
      <c r="K139" s="147"/>
      <c r="L139" s="147"/>
      <c r="M139" s="170"/>
      <c r="N139" s="170"/>
      <c r="O139" s="133"/>
      <c r="P139" s="133"/>
      <c r="Q139" s="157"/>
      <c r="R139" s="157"/>
      <c r="S139" s="157"/>
      <c r="T139" s="120"/>
      <c r="U139" s="158" t="str">
        <f ca="1">IFERROR(__xludf.DUMMYFUNCTION("""COMPUTED_VALUE"""),"Division II")</f>
        <v>Division II</v>
      </c>
      <c r="V139" s="157"/>
      <c r="W139" s="157"/>
      <c r="X139" s="157"/>
      <c r="Y139" s="157"/>
      <c r="Z139" s="120"/>
      <c r="AA139" s="167">
        <f ca="1">IFERROR(__xludf.DUMMYFUNCTION("""COMPUTED_VALUE"""),2)</f>
        <v>2</v>
      </c>
      <c r="AB139" s="168">
        <f ca="1">IFERROR(__xludf.DUMMYFUNCTION("""COMPUTED_VALUE"""),44397)</f>
        <v>44397</v>
      </c>
      <c r="AC139" s="157" t="str">
        <f ca="1">IFERROR(__xludf.DUMMYFUNCTION("""COMPUTED_VALUE"""),"")</f>
        <v/>
      </c>
      <c r="AD139" s="157" t="str">
        <f ca="1">IFERROR(__xludf.DUMMYFUNCTION("""COMPUTED_VALUE"""),"")</f>
        <v/>
      </c>
      <c r="AE139" s="157" t="str">
        <f ca="1">IFERROR(__xludf.DUMMYFUNCTION("""COMPUTED_VALUE"""),"")</f>
        <v/>
      </c>
      <c r="AF139" s="120"/>
      <c r="AG139" s="162"/>
      <c r="AH139" s="120"/>
    </row>
    <row r="140" spans="1:34" ht="13.2">
      <c r="A140" s="142"/>
      <c r="B140" s="142"/>
      <c r="C140" s="142"/>
      <c r="D140" s="142"/>
      <c r="E140" s="174"/>
      <c r="F140" s="174"/>
      <c r="G140" s="175"/>
      <c r="H140" s="175"/>
      <c r="I140" s="170"/>
      <c r="J140" s="170"/>
      <c r="K140" s="147"/>
      <c r="L140" s="147"/>
      <c r="M140" s="170"/>
      <c r="N140" s="170"/>
      <c r="O140" s="133"/>
      <c r="P140" s="133"/>
      <c r="Q140" s="151"/>
      <c r="R140" s="151"/>
      <c r="S140" s="151"/>
      <c r="T140" s="120"/>
      <c r="U140" s="163" t="str">
        <f ca="1">IFERROR(__xludf.DUMMYFUNCTION("""COMPUTED_VALUE"""),"Walden Glen")</f>
        <v>Walden Glen</v>
      </c>
      <c r="V140" s="151" t="str">
        <f ca="1">IFERROR(__xludf.DUMMYFUNCTION("""COMPUTED_VALUE"""),"at")</f>
        <v>at</v>
      </c>
      <c r="W140" s="151" t="str">
        <f ca="1">IFERROR(__xludf.DUMMYFUNCTION("""COMPUTED_VALUE"""),"Oakton")</f>
        <v>Oakton</v>
      </c>
      <c r="X140" s="151"/>
      <c r="Y140" s="151"/>
      <c r="Z140" s="120"/>
      <c r="AA140" s="165">
        <f ca="1">IFERROR(__xludf.DUMMYFUNCTION("""COMPUTED_VALUE"""),21)</f>
        <v>21</v>
      </c>
      <c r="AB140" s="171">
        <f ca="1">IFERROR(__xludf.DUMMYFUNCTION("""COMPUTED_VALUE"""),44397)</f>
        <v>44397</v>
      </c>
      <c r="AC140" s="151" t="str">
        <f ca="1">IFERROR(__xludf.DUMMYFUNCTION("""COMPUTED_VALUE"""),"20210720-21")</f>
        <v>20210720-21</v>
      </c>
      <c r="AD140" s="151" t="str">
        <f ca="1">IFERROR(__xludf.DUMMYFUNCTION("""COMPUTED_VALUE"""),"OAK-Oakton")</f>
        <v>OAK-Oakton</v>
      </c>
      <c r="AE140" s="151" t="str">
        <f ca="1">IFERROR(__xludf.DUMMYFUNCTION("""COMPUTED_VALUE"""),"WG-Walden Glen")</f>
        <v>WG-Walden Glen</v>
      </c>
      <c r="AF140" s="120"/>
      <c r="AG140" s="153"/>
      <c r="AH140" s="120"/>
    </row>
    <row r="141" spans="1:34" ht="13.2">
      <c r="A141" s="142"/>
      <c r="B141" s="142"/>
      <c r="C141" s="142"/>
      <c r="D141" s="142"/>
      <c r="E141" s="174"/>
      <c r="F141" s="174"/>
      <c r="G141" s="175"/>
      <c r="H141" s="175"/>
      <c r="I141" s="170"/>
      <c r="J141" s="170"/>
      <c r="K141" s="147"/>
      <c r="L141" s="147"/>
      <c r="M141" s="170"/>
      <c r="N141" s="170"/>
      <c r="O141" s="133"/>
      <c r="P141" s="133"/>
      <c r="Q141" s="157"/>
      <c r="R141" s="157"/>
      <c r="S141" s="157"/>
      <c r="T141" s="120"/>
      <c r="U141" s="158" t="str">
        <f ca="1">IFERROR(__xludf.DUMMYFUNCTION("""COMPUTED_VALUE"""),"Great Falls")</f>
        <v>Great Falls</v>
      </c>
      <c r="V141" s="157" t="str">
        <f ca="1">IFERROR(__xludf.DUMMYFUNCTION("""COMPUTED_VALUE"""),"at")</f>
        <v>at</v>
      </c>
      <c r="W141" s="157" t="str">
        <f ca="1">IFERROR(__xludf.DUMMYFUNCTION("""COMPUTED_VALUE"""),"Mansion House")</f>
        <v>Mansion House</v>
      </c>
      <c r="X141" s="157"/>
      <c r="Y141" s="157"/>
      <c r="Z141" s="120"/>
      <c r="AA141" s="167">
        <f ca="1">IFERROR(__xludf.DUMMYFUNCTION("""COMPUTED_VALUE"""),22)</f>
        <v>22</v>
      </c>
      <c r="AB141" s="168">
        <f ca="1">IFERROR(__xludf.DUMMYFUNCTION("""COMPUTED_VALUE"""),44397)</f>
        <v>44397</v>
      </c>
      <c r="AC141" s="157" t="str">
        <f ca="1">IFERROR(__xludf.DUMMYFUNCTION("""COMPUTED_VALUE"""),"20210720-22")</f>
        <v>20210720-22</v>
      </c>
      <c r="AD141" s="157" t="str">
        <f ca="1">IFERROR(__xludf.DUMMYFUNCTION("""COMPUTED_VALUE"""),"MHC-Mansion House")</f>
        <v>MHC-Mansion House</v>
      </c>
      <c r="AE141" s="157" t="str">
        <f ca="1">IFERROR(__xludf.DUMMYFUNCTION("""COMPUTED_VALUE"""),"GF-Great Falls")</f>
        <v>GF-Great Falls</v>
      </c>
      <c r="AF141" s="120"/>
      <c r="AG141" s="162"/>
      <c r="AH141" s="120"/>
    </row>
    <row r="142" spans="1:34" ht="13.2">
      <c r="A142" s="142"/>
      <c r="B142" s="142"/>
      <c r="C142" s="142"/>
      <c r="D142" s="142"/>
      <c r="E142" s="174"/>
      <c r="F142" s="174"/>
      <c r="G142" s="175"/>
      <c r="H142" s="175"/>
      <c r="I142" s="170"/>
      <c r="J142" s="170"/>
      <c r="K142" s="147"/>
      <c r="L142" s="147"/>
      <c r="M142" s="170"/>
      <c r="N142" s="170"/>
      <c r="O142" s="133"/>
      <c r="P142" s="133"/>
      <c r="Q142" s="151"/>
      <c r="R142" s="151"/>
      <c r="S142" s="151"/>
      <c r="T142" s="120"/>
      <c r="U142" s="163" t="str">
        <f ca="1">IFERROR(__xludf.DUMMYFUNCTION("""COMPUTED_VALUE"""),"Kent Gardens")</f>
        <v>Kent Gardens</v>
      </c>
      <c r="V142" s="151" t="str">
        <f ca="1">IFERROR(__xludf.DUMMYFUNCTION("""COMPUTED_VALUE"""),"at")</f>
        <v>at</v>
      </c>
      <c r="W142" s="151" t="str">
        <f ca="1">IFERROR(__xludf.DUMMYFUNCTION("""COMPUTED_VALUE"""),"Fairfax")</f>
        <v>Fairfax</v>
      </c>
      <c r="X142" s="151"/>
      <c r="Y142" s="151"/>
      <c r="Z142" s="120"/>
      <c r="AA142" s="165">
        <f ca="1">IFERROR(__xludf.DUMMYFUNCTION("""COMPUTED_VALUE"""),23)</f>
        <v>23</v>
      </c>
      <c r="AB142" s="171">
        <f ca="1">IFERROR(__xludf.DUMMYFUNCTION("""COMPUTED_VALUE"""),44397)</f>
        <v>44397</v>
      </c>
      <c r="AC142" s="151" t="str">
        <f ca="1">IFERROR(__xludf.DUMMYFUNCTION("""COMPUTED_VALUE"""),"20210720-23")</f>
        <v>20210720-23</v>
      </c>
      <c r="AD142" s="151" t="str">
        <f ca="1">IFERROR(__xludf.DUMMYFUNCTION("""COMPUTED_VALUE"""),"F-Fairfax")</f>
        <v>F-Fairfax</v>
      </c>
      <c r="AE142" s="151" t="str">
        <f ca="1">IFERROR(__xludf.DUMMYFUNCTION("""COMPUTED_VALUE"""),"KG-Kent Gardens")</f>
        <v>KG-Kent Gardens</v>
      </c>
      <c r="AF142" s="120"/>
      <c r="AG142" s="153"/>
      <c r="AH142" s="120"/>
    </row>
    <row r="143" spans="1:34" ht="13.2">
      <c r="A143" s="142"/>
      <c r="B143" s="142"/>
      <c r="C143" s="142"/>
      <c r="D143" s="142"/>
      <c r="E143" s="174"/>
      <c r="F143" s="174"/>
      <c r="G143" s="175"/>
      <c r="H143" s="175"/>
      <c r="I143" s="170"/>
      <c r="J143" s="170"/>
      <c r="K143" s="147"/>
      <c r="L143" s="147"/>
      <c r="M143" s="170"/>
      <c r="N143" s="170"/>
      <c r="O143" s="133"/>
      <c r="P143" s="133"/>
      <c r="Q143" s="157"/>
      <c r="R143" s="157"/>
      <c r="S143" s="157"/>
      <c r="T143" s="120"/>
      <c r="U143" s="158" t="str">
        <f ca="1">IFERROR(__xludf.DUMMYFUNCTION("""COMPUTED_VALUE"""),"Division III")</f>
        <v>Division III</v>
      </c>
      <c r="V143" s="157"/>
      <c r="W143" s="157"/>
      <c r="X143" s="157"/>
      <c r="Y143" s="157"/>
      <c r="Z143" s="120"/>
      <c r="AA143" s="167">
        <f ca="1">IFERROR(__xludf.DUMMYFUNCTION("""COMPUTED_VALUE"""),3)</f>
        <v>3</v>
      </c>
      <c r="AB143" s="168">
        <f ca="1">IFERROR(__xludf.DUMMYFUNCTION("""COMPUTED_VALUE"""),44397)</f>
        <v>44397</v>
      </c>
      <c r="AC143" s="157" t="str">
        <f ca="1">IFERROR(__xludf.DUMMYFUNCTION("""COMPUTED_VALUE"""),"")</f>
        <v/>
      </c>
      <c r="AD143" s="157" t="str">
        <f ca="1">IFERROR(__xludf.DUMMYFUNCTION("""COMPUTED_VALUE"""),"")</f>
        <v/>
      </c>
      <c r="AE143" s="157" t="str">
        <f ca="1">IFERROR(__xludf.DUMMYFUNCTION("""COMPUTED_VALUE"""),"")</f>
        <v/>
      </c>
      <c r="AF143" s="120"/>
      <c r="AG143" s="162"/>
      <c r="AH143" s="120"/>
    </row>
    <row r="144" spans="1:34" ht="13.2">
      <c r="A144" s="142"/>
      <c r="B144" s="142"/>
      <c r="C144" s="142"/>
      <c r="D144" s="142"/>
      <c r="E144" s="174"/>
      <c r="F144" s="174"/>
      <c r="G144" s="175"/>
      <c r="H144" s="175"/>
      <c r="I144" s="170"/>
      <c r="J144" s="170"/>
      <c r="K144" s="147"/>
      <c r="L144" s="147"/>
      <c r="M144" s="170"/>
      <c r="N144" s="170"/>
      <c r="O144" s="133"/>
      <c r="P144" s="133"/>
      <c r="Q144" s="151"/>
      <c r="R144" s="151"/>
      <c r="S144" s="151"/>
      <c r="T144" s="120"/>
      <c r="U144" s="163" t="str">
        <f ca="1">IFERROR(__xludf.DUMMYFUNCTION("""COMPUTED_VALUE"""),"Arlington Forest")</f>
        <v>Arlington Forest</v>
      </c>
      <c r="V144" s="151" t="str">
        <f ca="1">IFERROR(__xludf.DUMMYFUNCTION("""COMPUTED_VALUE"""),"at")</f>
        <v>at</v>
      </c>
      <c r="W144" s="151" t="str">
        <f ca="1">IFERROR(__xludf.DUMMYFUNCTION("""COMPUTED_VALUE"""),"Lee Graham")</f>
        <v>Lee Graham</v>
      </c>
      <c r="X144" s="151"/>
      <c r="Y144" s="151"/>
      <c r="Z144" s="120"/>
      <c r="AA144" s="165">
        <f ca="1">IFERROR(__xludf.DUMMYFUNCTION("""COMPUTED_VALUE"""),31)</f>
        <v>31</v>
      </c>
      <c r="AB144" s="171">
        <f ca="1">IFERROR(__xludf.DUMMYFUNCTION("""COMPUTED_VALUE"""),44397)</f>
        <v>44397</v>
      </c>
      <c r="AC144" s="151" t="str">
        <f ca="1">IFERROR(__xludf.DUMMYFUNCTION("""COMPUTED_VALUE"""),"20210720-31")</f>
        <v>20210720-31</v>
      </c>
      <c r="AD144" s="151" t="str">
        <f ca="1">IFERROR(__xludf.DUMMYFUNCTION("""COMPUTED_VALUE"""),"LG-Lee Graham")</f>
        <v>LG-Lee Graham</v>
      </c>
      <c r="AE144" s="151" t="str">
        <f ca="1">IFERROR(__xludf.DUMMYFUNCTION("""COMPUTED_VALUE"""),"AF-Arlington Forest")</f>
        <v>AF-Arlington Forest</v>
      </c>
      <c r="AF144" s="120"/>
      <c r="AG144" s="153"/>
      <c r="AH144" s="120"/>
    </row>
    <row r="145" spans="1:34" ht="13.2">
      <c r="A145" s="142"/>
      <c r="B145" s="142"/>
      <c r="C145" s="142"/>
      <c r="D145" s="142"/>
      <c r="E145" s="174"/>
      <c r="F145" s="174"/>
      <c r="G145" s="175"/>
      <c r="H145" s="175"/>
      <c r="I145" s="170"/>
      <c r="J145" s="170"/>
      <c r="K145" s="147"/>
      <c r="L145" s="147"/>
      <c r="M145" s="170"/>
      <c r="N145" s="170"/>
      <c r="O145" s="133"/>
      <c r="P145" s="133"/>
      <c r="Q145" s="157"/>
      <c r="R145" s="157"/>
      <c r="S145" s="157"/>
      <c r="T145" s="120"/>
      <c r="U145" s="158" t="str">
        <f ca="1">IFERROR(__xludf.DUMMYFUNCTION("""COMPUTED_VALUE"""),"Donaldson Run")</f>
        <v>Donaldson Run</v>
      </c>
      <c r="V145" s="157" t="str">
        <f ca="1">IFERROR(__xludf.DUMMYFUNCTION("""COMPUTED_VALUE"""),"at")</f>
        <v>at</v>
      </c>
      <c r="W145" s="157" t="str">
        <f ca="1">IFERROR(__xludf.DUMMYFUNCTION("""COMPUTED_VALUE"""),"Hunt Valley")</f>
        <v>Hunt Valley</v>
      </c>
      <c r="X145" s="157"/>
      <c r="Y145" s="157"/>
      <c r="Z145" s="120"/>
      <c r="AA145" s="167">
        <f ca="1">IFERROR(__xludf.DUMMYFUNCTION("""COMPUTED_VALUE"""),32)</f>
        <v>32</v>
      </c>
      <c r="AB145" s="168">
        <f ca="1">IFERROR(__xludf.DUMMYFUNCTION("""COMPUTED_VALUE"""),44397)</f>
        <v>44397</v>
      </c>
      <c r="AC145" s="157" t="str">
        <f ca="1">IFERROR(__xludf.DUMMYFUNCTION("""COMPUTED_VALUE"""),"20210720-32")</f>
        <v>20210720-32</v>
      </c>
      <c r="AD145" s="157" t="str">
        <f ca="1">IFERROR(__xludf.DUMMYFUNCTION("""COMPUTED_VALUE"""),"HV-Hunt Valley")</f>
        <v>HV-Hunt Valley</v>
      </c>
      <c r="AE145" s="157" t="str">
        <f ca="1">IFERROR(__xludf.DUMMYFUNCTION("""COMPUTED_VALUE"""),"DR-Donaldson Run")</f>
        <v>DR-Donaldson Run</v>
      </c>
      <c r="AF145" s="120"/>
      <c r="AG145" s="162"/>
      <c r="AH145" s="120"/>
    </row>
    <row r="146" spans="1:34" ht="13.2">
      <c r="A146" s="142"/>
      <c r="B146" s="142"/>
      <c r="C146" s="142"/>
      <c r="D146" s="142"/>
      <c r="E146" s="174"/>
      <c r="F146" s="174"/>
      <c r="G146" s="175"/>
      <c r="H146" s="175"/>
      <c r="I146" s="170"/>
      <c r="J146" s="170"/>
      <c r="K146" s="147"/>
      <c r="L146" s="147"/>
      <c r="M146" s="170"/>
      <c r="N146" s="170"/>
      <c r="O146" s="133"/>
      <c r="P146" s="133"/>
      <c r="Q146" s="151"/>
      <c r="R146" s="151"/>
      <c r="S146" s="151"/>
      <c r="T146" s="120"/>
      <c r="U146" s="163" t="str">
        <f ca="1">IFERROR(__xludf.DUMMYFUNCTION("""COMPUTED_VALUE"""),"Pinecrest")</f>
        <v>Pinecrest</v>
      </c>
      <c r="V146" s="151" t="str">
        <f ca="1">IFERROR(__xludf.DUMMYFUNCTION("""COMPUTED_VALUE"""),"at")</f>
        <v>at</v>
      </c>
      <c r="W146" s="151" t="str">
        <f ca="1">IFERROR(__xludf.DUMMYFUNCTION("""COMPUTED_VALUE"""),"Sleepy Hollow Rec")</f>
        <v>Sleepy Hollow Rec</v>
      </c>
      <c r="X146" s="151"/>
      <c r="Y146" s="151"/>
      <c r="Z146" s="120"/>
      <c r="AA146" s="165">
        <f ca="1">IFERROR(__xludf.DUMMYFUNCTION("""COMPUTED_VALUE"""),33)</f>
        <v>33</v>
      </c>
      <c r="AB146" s="171">
        <f ca="1">IFERROR(__xludf.DUMMYFUNCTION("""COMPUTED_VALUE"""),44397)</f>
        <v>44397</v>
      </c>
      <c r="AC146" s="151" t="str">
        <f ca="1">IFERROR(__xludf.DUMMYFUNCTION("""COMPUTED_VALUE"""),"20210720-33")</f>
        <v>20210720-33</v>
      </c>
      <c r="AD146" s="151" t="str">
        <f ca="1">IFERROR(__xludf.DUMMYFUNCTION("""COMPUTED_VALUE"""),"SHR-Sleepy Hollow Rec")</f>
        <v>SHR-Sleepy Hollow Rec</v>
      </c>
      <c r="AE146" s="151" t="str">
        <f ca="1">IFERROR(__xludf.DUMMYFUNCTION("""COMPUTED_VALUE"""),"PC-Pinecrest")</f>
        <v>PC-Pinecrest</v>
      </c>
      <c r="AF146" s="120"/>
      <c r="AG146" s="153"/>
      <c r="AH146" s="120"/>
    </row>
    <row r="147" spans="1:34" ht="13.2">
      <c r="A147" s="142"/>
      <c r="B147" s="142"/>
      <c r="C147" s="142"/>
      <c r="D147" s="142"/>
      <c r="E147" s="174"/>
      <c r="F147" s="174"/>
      <c r="G147" s="175"/>
      <c r="H147" s="175"/>
      <c r="I147" s="170"/>
      <c r="J147" s="170"/>
      <c r="K147" s="147"/>
      <c r="L147" s="147"/>
      <c r="M147" s="170"/>
      <c r="N147" s="170"/>
      <c r="O147" s="133"/>
      <c r="P147" s="133"/>
      <c r="Q147" s="157"/>
      <c r="R147" s="157"/>
      <c r="S147" s="157"/>
      <c r="T147" s="120"/>
      <c r="U147" s="158" t="str">
        <f ca="1">IFERROR(__xludf.DUMMYFUNCTION("""COMPUTED_VALUE"""),"Division IV")</f>
        <v>Division IV</v>
      </c>
      <c r="V147" s="157"/>
      <c r="W147" s="157"/>
      <c r="X147" s="157"/>
      <c r="Y147" s="157"/>
      <c r="Z147" s="120"/>
      <c r="AA147" s="167">
        <f ca="1">IFERROR(__xludf.DUMMYFUNCTION("""COMPUTED_VALUE"""),4)</f>
        <v>4</v>
      </c>
      <c r="AB147" s="168">
        <f ca="1">IFERROR(__xludf.DUMMYFUNCTION("""COMPUTED_VALUE"""),44397)</f>
        <v>44397</v>
      </c>
      <c r="AC147" s="157" t="str">
        <f ca="1">IFERROR(__xludf.DUMMYFUNCTION("""COMPUTED_VALUE"""),"")</f>
        <v/>
      </c>
      <c r="AD147" s="157" t="str">
        <f ca="1">IFERROR(__xludf.DUMMYFUNCTION("""COMPUTED_VALUE"""),"")</f>
        <v/>
      </c>
      <c r="AE147" s="157" t="str">
        <f ca="1">IFERROR(__xludf.DUMMYFUNCTION("""COMPUTED_VALUE"""),"")</f>
        <v/>
      </c>
      <c r="AF147" s="120"/>
      <c r="AG147" s="162"/>
      <c r="AH147" s="120"/>
    </row>
    <row r="148" spans="1:34" ht="13.2">
      <c r="A148" s="142"/>
      <c r="B148" s="142"/>
      <c r="C148" s="142"/>
      <c r="D148" s="142"/>
      <c r="E148" s="174"/>
      <c r="F148" s="174"/>
      <c r="G148" s="175"/>
      <c r="H148" s="175"/>
      <c r="I148" s="170"/>
      <c r="J148" s="170"/>
      <c r="K148" s="147"/>
      <c r="L148" s="147"/>
      <c r="M148" s="170"/>
      <c r="N148" s="170"/>
      <c r="O148" s="133"/>
      <c r="P148" s="133"/>
      <c r="Q148" s="151"/>
      <c r="R148" s="151"/>
      <c r="S148" s="151"/>
      <c r="T148" s="120"/>
      <c r="U148" s="163" t="str">
        <f ca="1">IFERROR(__xludf.DUMMYFUNCTION("""COMPUTED_VALUE"""),"Highlands Swim")</f>
        <v>Highlands Swim</v>
      </c>
      <c r="V148" s="151" t="str">
        <f ca="1">IFERROR(__xludf.DUMMYFUNCTION("""COMPUTED_VALUE"""),"at")</f>
        <v>at</v>
      </c>
      <c r="W148" s="151" t="str">
        <f ca="1">IFERROR(__xludf.DUMMYFUNCTION("""COMPUTED_VALUE"""),"Tuckahoe")</f>
        <v>Tuckahoe</v>
      </c>
      <c r="X148" s="151"/>
      <c r="Y148" s="151"/>
      <c r="Z148" s="120"/>
      <c r="AA148" s="165">
        <f ca="1">IFERROR(__xludf.DUMMYFUNCTION("""COMPUTED_VALUE"""),41)</f>
        <v>41</v>
      </c>
      <c r="AB148" s="171">
        <f ca="1">IFERROR(__xludf.DUMMYFUNCTION("""COMPUTED_VALUE"""),44397)</f>
        <v>44397</v>
      </c>
      <c r="AC148" s="151" t="str">
        <f ca="1">IFERROR(__xludf.DUMMYFUNCTION("""COMPUTED_VALUE"""),"20210720-41")</f>
        <v>20210720-41</v>
      </c>
      <c r="AD148" s="151" t="str">
        <f ca="1">IFERROR(__xludf.DUMMYFUNCTION("""COMPUTED_VALUE"""),"T-Tuckahoe")</f>
        <v>T-Tuckahoe</v>
      </c>
      <c r="AE148" s="151" t="str">
        <f ca="1">IFERROR(__xludf.DUMMYFUNCTION("""COMPUTED_VALUE"""),"HS-Highlands Swim")</f>
        <v>HS-Highlands Swim</v>
      </c>
      <c r="AF148" s="120"/>
      <c r="AG148" s="153"/>
      <c r="AH148" s="120"/>
    </row>
    <row r="149" spans="1:34" ht="13.2">
      <c r="A149" s="142"/>
      <c r="B149" s="142"/>
      <c r="C149" s="142"/>
      <c r="D149" s="142"/>
      <c r="E149" s="174"/>
      <c r="F149" s="174"/>
      <c r="G149" s="175"/>
      <c r="H149" s="175"/>
      <c r="I149" s="170"/>
      <c r="J149" s="170"/>
      <c r="K149" s="147"/>
      <c r="L149" s="147"/>
      <c r="M149" s="170"/>
      <c r="N149" s="170"/>
      <c r="O149" s="133"/>
      <c r="P149" s="133"/>
      <c r="Q149" s="157"/>
      <c r="R149" s="157"/>
      <c r="S149" s="157"/>
      <c r="T149" s="120"/>
      <c r="U149" s="158" t="str">
        <f ca="1">IFERROR(__xludf.DUMMYFUNCTION("""COMPUTED_VALUE"""),"Hayfield Farm")</f>
        <v>Hayfield Farm</v>
      </c>
      <c r="V149" s="157" t="str">
        <f ca="1">IFERROR(__xludf.DUMMYFUNCTION("""COMPUTED_VALUE"""),"at")</f>
        <v>at</v>
      </c>
      <c r="W149" s="157" t="str">
        <f ca="1">IFERROR(__xludf.DUMMYFUNCTION("""COMPUTED_VALUE"""),"Chesterbrook")</f>
        <v>Chesterbrook</v>
      </c>
      <c r="X149" s="157"/>
      <c r="Y149" s="157"/>
      <c r="Z149" s="120"/>
      <c r="AA149" s="167">
        <f ca="1">IFERROR(__xludf.DUMMYFUNCTION("""COMPUTED_VALUE"""),42)</f>
        <v>42</v>
      </c>
      <c r="AB149" s="168">
        <f ca="1">IFERROR(__xludf.DUMMYFUNCTION("""COMPUTED_VALUE"""),44397)</f>
        <v>44397</v>
      </c>
      <c r="AC149" s="157" t="str">
        <f ca="1">IFERROR(__xludf.DUMMYFUNCTION("""COMPUTED_VALUE"""),"20210720-42")</f>
        <v>20210720-42</v>
      </c>
      <c r="AD149" s="157" t="str">
        <f ca="1">IFERROR(__xludf.DUMMYFUNCTION("""COMPUTED_VALUE"""),"CB-Chesterbrook")</f>
        <v>CB-Chesterbrook</v>
      </c>
      <c r="AE149" s="157" t="str">
        <f ca="1">IFERROR(__xludf.DUMMYFUNCTION("""COMPUTED_VALUE"""),"HF-Hayfield Farm")</f>
        <v>HF-Hayfield Farm</v>
      </c>
      <c r="AF149" s="120"/>
      <c r="AG149" s="162"/>
      <c r="AH149" s="120"/>
    </row>
    <row r="150" spans="1:34" ht="13.2">
      <c r="A150" s="142"/>
      <c r="B150" s="142"/>
      <c r="C150" s="142"/>
      <c r="D150" s="142"/>
      <c r="E150" s="174"/>
      <c r="F150" s="174"/>
      <c r="G150" s="175"/>
      <c r="H150" s="175"/>
      <c r="I150" s="170"/>
      <c r="J150" s="170"/>
      <c r="K150" s="147"/>
      <c r="L150" s="147"/>
      <c r="M150" s="170"/>
      <c r="N150" s="170"/>
      <c r="O150" s="133"/>
      <c r="P150" s="133"/>
      <c r="Q150" s="151"/>
      <c r="R150" s="151"/>
      <c r="S150" s="151"/>
      <c r="T150" s="120"/>
      <c r="U150" s="163" t="str">
        <f ca="1">IFERROR(__xludf.DUMMYFUNCTION("""COMPUTED_VALUE"""),"Wakefield Chapel")</f>
        <v>Wakefield Chapel</v>
      </c>
      <c r="V150" s="151" t="str">
        <f ca="1">IFERROR(__xludf.DUMMYFUNCTION("""COMPUTED_VALUE"""),"at")</f>
        <v>at</v>
      </c>
      <c r="W150" s="151" t="str">
        <f ca="1">IFERROR(__xludf.DUMMYFUNCTION("""COMPUTED_VALUE"""),"Dominion Hills")</f>
        <v>Dominion Hills</v>
      </c>
      <c r="X150" s="151"/>
      <c r="Y150" s="151"/>
      <c r="Z150" s="120"/>
      <c r="AA150" s="165">
        <f ca="1">IFERROR(__xludf.DUMMYFUNCTION("""COMPUTED_VALUE"""),43)</f>
        <v>43</v>
      </c>
      <c r="AB150" s="171">
        <f ca="1">IFERROR(__xludf.DUMMYFUNCTION("""COMPUTED_VALUE"""),44397)</f>
        <v>44397</v>
      </c>
      <c r="AC150" s="151" t="str">
        <f ca="1">IFERROR(__xludf.DUMMYFUNCTION("""COMPUTED_VALUE"""),"20210720-43")</f>
        <v>20210720-43</v>
      </c>
      <c r="AD150" s="151" t="str">
        <f ca="1">IFERROR(__xludf.DUMMYFUNCTION("""COMPUTED_VALUE"""),"DH-Dominion Hills")</f>
        <v>DH-Dominion Hills</v>
      </c>
      <c r="AE150" s="151" t="str">
        <f ca="1">IFERROR(__xludf.DUMMYFUNCTION("""COMPUTED_VALUE"""),"WC-Wakefield Chapel")</f>
        <v>WC-Wakefield Chapel</v>
      </c>
      <c r="AF150" s="120"/>
      <c r="AG150" s="153"/>
      <c r="AH150" s="120"/>
    </row>
    <row r="151" spans="1:34" ht="13.2">
      <c r="A151" s="142"/>
      <c r="B151" s="142"/>
      <c r="C151" s="142"/>
      <c r="D151" s="142"/>
      <c r="E151" s="174"/>
      <c r="F151" s="174"/>
      <c r="G151" s="175"/>
      <c r="H151" s="175"/>
      <c r="I151" s="170"/>
      <c r="J151" s="170"/>
      <c r="K151" s="147"/>
      <c r="L151" s="147"/>
      <c r="M151" s="170"/>
      <c r="N151" s="170"/>
      <c r="O151" s="133"/>
      <c r="P151" s="133"/>
      <c r="Q151" s="157"/>
      <c r="R151" s="157"/>
      <c r="S151" s="157"/>
      <c r="T151" s="120"/>
      <c r="U151" s="158" t="str">
        <f ca="1">IFERROR(__xludf.DUMMYFUNCTION("""COMPUTED_VALUE"""),"Division V")</f>
        <v>Division V</v>
      </c>
      <c r="V151" s="157"/>
      <c r="W151" s="157"/>
      <c r="X151" s="157"/>
      <c r="Y151" s="157"/>
      <c r="Z151" s="120"/>
      <c r="AA151" s="167">
        <f ca="1">IFERROR(__xludf.DUMMYFUNCTION("""COMPUTED_VALUE"""),5)</f>
        <v>5</v>
      </c>
      <c r="AB151" s="168">
        <f ca="1">IFERROR(__xludf.DUMMYFUNCTION("""COMPUTED_VALUE"""),44397)</f>
        <v>44397</v>
      </c>
      <c r="AC151" s="157" t="str">
        <f ca="1">IFERROR(__xludf.DUMMYFUNCTION("""COMPUTED_VALUE"""),"")</f>
        <v/>
      </c>
      <c r="AD151" s="157" t="str">
        <f ca="1">IFERROR(__xludf.DUMMYFUNCTION("""COMPUTED_VALUE"""),"")</f>
        <v/>
      </c>
      <c r="AE151" s="157" t="str">
        <f ca="1">IFERROR(__xludf.DUMMYFUNCTION("""COMPUTED_VALUE"""),"")</f>
        <v/>
      </c>
      <c r="AF151" s="120"/>
      <c r="AG151" s="162"/>
      <c r="AH151" s="120"/>
    </row>
    <row r="152" spans="1:34" ht="13.2">
      <c r="A152" s="142"/>
      <c r="B152" s="142"/>
      <c r="C152" s="142"/>
      <c r="D152" s="142"/>
      <c r="E152" s="174"/>
      <c r="F152" s="174"/>
      <c r="G152" s="175"/>
      <c r="H152" s="175"/>
      <c r="I152" s="170"/>
      <c r="J152" s="170"/>
      <c r="K152" s="147"/>
      <c r="L152" s="147"/>
      <c r="M152" s="170"/>
      <c r="N152" s="170"/>
      <c r="O152" s="133"/>
      <c r="P152" s="133"/>
      <c r="Q152" s="151"/>
      <c r="R152" s="151"/>
      <c r="S152" s="151"/>
      <c r="T152" s="120"/>
      <c r="U152" s="163" t="str">
        <f ca="1">IFERROR(__xludf.DUMMYFUNCTION("""COMPUTED_VALUE"""),"Lakeview")</f>
        <v>Lakeview</v>
      </c>
      <c r="V152" s="151" t="str">
        <f ca="1">IFERROR(__xludf.DUMMYFUNCTION("""COMPUTED_VALUE"""),"at")</f>
        <v>at</v>
      </c>
      <c r="W152" s="151" t="str">
        <f ca="1">IFERROR(__xludf.DUMMYFUNCTION("""COMPUTED_VALUE"""),"Sleepy Hollow B &amp; R")</f>
        <v>Sleepy Hollow B &amp; R</v>
      </c>
      <c r="X152" s="151"/>
      <c r="Y152" s="151"/>
      <c r="Z152" s="120"/>
      <c r="AA152" s="165">
        <f ca="1">IFERROR(__xludf.DUMMYFUNCTION("""COMPUTED_VALUE"""),51)</f>
        <v>51</v>
      </c>
      <c r="AB152" s="171">
        <f ca="1">IFERROR(__xludf.DUMMYFUNCTION("""COMPUTED_VALUE"""),44397)</f>
        <v>44397</v>
      </c>
      <c r="AC152" s="151" t="str">
        <f ca="1">IFERROR(__xludf.DUMMYFUNCTION("""COMPUTED_VALUE"""),"20210720-51")</f>
        <v>20210720-51</v>
      </c>
      <c r="AD152" s="151" t="str">
        <f ca="1">IFERROR(__xludf.DUMMYFUNCTION("""COMPUTED_VALUE"""),"SHB-Sleepy Hollow Bath")</f>
        <v>SHB-Sleepy Hollow Bath</v>
      </c>
      <c r="AE152" s="151" t="str">
        <f ca="1">IFERROR(__xludf.DUMMYFUNCTION("""COMPUTED_VALUE"""),"LV-Lakeview")</f>
        <v>LV-Lakeview</v>
      </c>
      <c r="AF152" s="120"/>
      <c r="AG152" s="153"/>
      <c r="AH152" s="120"/>
    </row>
    <row r="153" spans="1:34" ht="13.2">
      <c r="A153" s="142"/>
      <c r="B153" s="142"/>
      <c r="C153" s="142"/>
      <c r="D153" s="142"/>
      <c r="E153" s="174"/>
      <c r="F153" s="174"/>
      <c r="G153" s="175"/>
      <c r="H153" s="175"/>
      <c r="I153" s="170"/>
      <c r="J153" s="170"/>
      <c r="K153" s="147"/>
      <c r="L153" s="147"/>
      <c r="M153" s="170"/>
      <c r="N153" s="170"/>
      <c r="O153" s="133"/>
      <c r="P153" s="133"/>
      <c r="Q153" s="157"/>
      <c r="R153" s="157"/>
      <c r="S153" s="157"/>
      <c r="T153" s="120"/>
      <c r="U153" s="158" t="str">
        <f ca="1">IFERROR(__xludf.DUMMYFUNCTION("""COMPUTED_VALUE"""),"Ravensworth Farm")</f>
        <v>Ravensworth Farm</v>
      </c>
      <c r="V153" s="157" t="str">
        <f ca="1">IFERROR(__xludf.DUMMYFUNCTION("""COMPUTED_VALUE"""),"at")</f>
        <v>at</v>
      </c>
      <c r="W153" s="157" t="str">
        <f ca="1">IFERROR(__xludf.DUMMYFUNCTION("""COMPUTED_VALUE"""),"Rolling Hills")</f>
        <v>Rolling Hills</v>
      </c>
      <c r="X153" s="157"/>
      <c r="Y153" s="157"/>
      <c r="Z153" s="120"/>
      <c r="AA153" s="167">
        <f ca="1">IFERROR(__xludf.DUMMYFUNCTION("""COMPUTED_VALUE"""),52)</f>
        <v>52</v>
      </c>
      <c r="AB153" s="168">
        <f ca="1">IFERROR(__xludf.DUMMYFUNCTION("""COMPUTED_VALUE"""),44397)</f>
        <v>44397</v>
      </c>
      <c r="AC153" s="157" t="str">
        <f ca="1">IFERROR(__xludf.DUMMYFUNCTION("""COMPUTED_VALUE"""),"20210720-52")</f>
        <v>20210720-52</v>
      </c>
      <c r="AD153" s="157" t="str">
        <f ca="1">IFERROR(__xludf.DUMMYFUNCTION("""COMPUTED_VALUE"""),"RH-Rolling Hills")</f>
        <v>RH-Rolling Hills</v>
      </c>
      <c r="AE153" s="157" t="str">
        <f ca="1">IFERROR(__xludf.DUMMYFUNCTION("""COMPUTED_VALUE"""),"R-Ravensworth Farm")</f>
        <v>R-Ravensworth Farm</v>
      </c>
      <c r="AF153" s="120"/>
      <c r="AG153" s="162"/>
      <c r="AH153" s="120"/>
    </row>
    <row r="154" spans="1:34" ht="13.2">
      <c r="A154" s="142"/>
      <c r="B154" s="142"/>
      <c r="C154" s="142"/>
      <c r="D154" s="142"/>
      <c r="E154" s="174"/>
      <c r="F154" s="174"/>
      <c r="G154" s="175"/>
      <c r="H154" s="175"/>
      <c r="I154" s="170"/>
      <c r="J154" s="170"/>
      <c r="K154" s="147"/>
      <c r="L154" s="147"/>
      <c r="M154" s="170"/>
      <c r="N154" s="170"/>
      <c r="O154" s="133"/>
      <c r="P154" s="133"/>
      <c r="Q154" s="151"/>
      <c r="R154" s="151"/>
      <c r="S154" s="151"/>
      <c r="T154" s="120"/>
      <c r="U154" s="163" t="str">
        <f ca="1">IFERROR(__xludf.DUMMYFUNCTION("""COMPUTED_VALUE"""),"Crosspointe")</f>
        <v>Crosspointe</v>
      </c>
      <c r="V154" s="151" t="str">
        <f ca="1">IFERROR(__xludf.DUMMYFUNCTION("""COMPUTED_VALUE"""),"at")</f>
        <v>at</v>
      </c>
      <c r="W154" s="151" t="str">
        <f ca="1">IFERROR(__xludf.DUMMYFUNCTION("""COMPUTED_VALUE"""),"Camelot")</f>
        <v>Camelot</v>
      </c>
      <c r="X154" s="151"/>
      <c r="Y154" s="151"/>
      <c r="Z154" s="120"/>
      <c r="AA154" s="165">
        <f ca="1">IFERROR(__xludf.DUMMYFUNCTION("""COMPUTED_VALUE"""),53)</f>
        <v>53</v>
      </c>
      <c r="AB154" s="171">
        <f ca="1">IFERROR(__xludf.DUMMYFUNCTION("""COMPUTED_VALUE"""),44397)</f>
        <v>44397</v>
      </c>
      <c r="AC154" s="151" t="str">
        <f ca="1">IFERROR(__xludf.DUMMYFUNCTION("""COMPUTED_VALUE"""),"20210720-53")</f>
        <v>20210720-53</v>
      </c>
      <c r="AD154" s="151" t="str">
        <f ca="1">IFERROR(__xludf.DUMMYFUNCTION("""COMPUTED_VALUE"""),"CCC-Camelot Community Club")</f>
        <v>CCC-Camelot Community Club</v>
      </c>
      <c r="AE154" s="151" t="str">
        <f ca="1">IFERROR(__xludf.DUMMYFUNCTION("""COMPUTED_VALUE"""),"CP-Crosspointe")</f>
        <v>CP-Crosspointe</v>
      </c>
      <c r="AF154" s="120"/>
      <c r="AG154" s="153"/>
      <c r="AH154" s="120"/>
    </row>
    <row r="155" spans="1:34" ht="13.2">
      <c r="A155" s="142"/>
      <c r="B155" s="142"/>
      <c r="C155" s="142"/>
      <c r="D155" s="142"/>
      <c r="E155" s="174"/>
      <c r="F155" s="174"/>
      <c r="G155" s="175"/>
      <c r="H155" s="175"/>
      <c r="I155" s="170"/>
      <c r="J155" s="170"/>
      <c r="K155" s="147"/>
      <c r="L155" s="147"/>
      <c r="M155" s="170"/>
      <c r="N155" s="170"/>
      <c r="O155" s="133"/>
      <c r="P155" s="133"/>
      <c r="Q155" s="157"/>
      <c r="R155" s="157"/>
      <c r="S155" s="157"/>
      <c r="T155" s="120"/>
      <c r="U155" s="158" t="str">
        <f ca="1">IFERROR(__xludf.DUMMYFUNCTION("""COMPUTED_VALUE"""),"Division VI")</f>
        <v>Division VI</v>
      </c>
      <c r="V155" s="157"/>
      <c r="W155" s="157"/>
      <c r="X155" s="157"/>
      <c r="Y155" s="157"/>
      <c r="Z155" s="120"/>
      <c r="AA155" s="167">
        <f ca="1">IFERROR(__xludf.DUMMYFUNCTION("""COMPUTED_VALUE"""),6)</f>
        <v>6</v>
      </c>
      <c r="AB155" s="168">
        <f ca="1">IFERROR(__xludf.DUMMYFUNCTION("""COMPUTED_VALUE"""),44397)</f>
        <v>44397</v>
      </c>
      <c r="AC155" s="157" t="str">
        <f ca="1">IFERROR(__xludf.DUMMYFUNCTION("""COMPUTED_VALUE"""),"")</f>
        <v/>
      </c>
      <c r="AD155" s="157" t="str">
        <f ca="1">IFERROR(__xludf.DUMMYFUNCTION("""COMPUTED_VALUE"""),"")</f>
        <v/>
      </c>
      <c r="AE155" s="157" t="str">
        <f ca="1">IFERROR(__xludf.DUMMYFUNCTION("""COMPUTED_VALUE"""),"")</f>
        <v/>
      </c>
      <c r="AF155" s="120"/>
      <c r="AG155" s="162"/>
      <c r="AH155" s="120"/>
    </row>
    <row r="156" spans="1:34" ht="13.2">
      <c r="A156" s="142"/>
      <c r="B156" s="142"/>
      <c r="C156" s="142"/>
      <c r="D156" s="142"/>
      <c r="E156" s="174"/>
      <c r="F156" s="174"/>
      <c r="G156" s="175"/>
      <c r="H156" s="175"/>
      <c r="I156" s="170"/>
      <c r="J156" s="170"/>
      <c r="K156" s="147"/>
      <c r="L156" s="147"/>
      <c r="M156" s="170"/>
      <c r="N156" s="170"/>
      <c r="O156" s="133"/>
      <c r="P156" s="133"/>
      <c r="Q156" s="151"/>
      <c r="R156" s="151"/>
      <c r="S156" s="151"/>
      <c r="T156" s="120"/>
      <c r="U156" s="163" t="str">
        <f ca="1">IFERROR(__xludf.DUMMYFUNCTION("""COMPUTED_VALUE"""),"Highland Park")</f>
        <v>Highland Park</v>
      </c>
      <c r="V156" s="151" t="str">
        <f ca="1">IFERROR(__xludf.DUMMYFUNCTION("""COMPUTED_VALUE"""),"at")</f>
        <v>at</v>
      </c>
      <c r="W156" s="151" t="str">
        <f ca="1">IFERROR(__xludf.DUMMYFUNCTION("""COMPUTED_VALUE"""),"Greenbriar")</f>
        <v>Greenbriar</v>
      </c>
      <c r="X156" s="151"/>
      <c r="Y156" s="151"/>
      <c r="Z156" s="120"/>
      <c r="AA156" s="165">
        <f ca="1">IFERROR(__xludf.DUMMYFUNCTION("""COMPUTED_VALUE"""),61)</f>
        <v>61</v>
      </c>
      <c r="AB156" s="171">
        <f ca="1">IFERROR(__xludf.DUMMYFUNCTION("""COMPUTED_VALUE"""),44397)</f>
        <v>44397</v>
      </c>
      <c r="AC156" s="151" t="str">
        <f ca="1">IFERROR(__xludf.DUMMYFUNCTION("""COMPUTED_VALUE"""),"20210720-61")</f>
        <v>20210720-61</v>
      </c>
      <c r="AD156" s="151" t="str">
        <f ca="1">IFERROR(__xludf.DUMMYFUNCTION("""COMPUTED_VALUE"""),"G-Greenbriar")</f>
        <v>G-Greenbriar</v>
      </c>
      <c r="AE156" s="151" t="str">
        <f ca="1">IFERROR(__xludf.DUMMYFUNCTION("""COMPUTED_VALUE"""),"HP-Highland Park")</f>
        <v>HP-Highland Park</v>
      </c>
      <c r="AF156" s="120"/>
      <c r="AG156" s="153"/>
      <c r="AH156" s="120"/>
    </row>
    <row r="157" spans="1:34" ht="13.2">
      <c r="A157" s="142"/>
      <c r="B157" s="142"/>
      <c r="C157" s="142"/>
      <c r="D157" s="142"/>
      <c r="E157" s="174"/>
      <c r="F157" s="174"/>
      <c r="G157" s="175"/>
      <c r="H157" s="175"/>
      <c r="I157" s="170"/>
      <c r="J157" s="170"/>
      <c r="K157" s="147"/>
      <c r="L157" s="147"/>
      <c r="M157" s="170"/>
      <c r="N157" s="170"/>
      <c r="O157" s="133"/>
      <c r="P157" s="133"/>
      <c r="Q157" s="157"/>
      <c r="R157" s="157"/>
      <c r="S157" s="157"/>
      <c r="T157" s="120"/>
      <c r="U157" s="158" t="str">
        <f ca="1">IFERROR(__xludf.DUMMYFUNCTION("""COMPUTED_VALUE"""),"Cardinal Hill")</f>
        <v>Cardinal Hill</v>
      </c>
      <c r="V157" s="157" t="str">
        <f ca="1">IFERROR(__xludf.DUMMYFUNCTION("""COMPUTED_VALUE"""),"at")</f>
        <v>at</v>
      </c>
      <c r="W157" s="157" t="str">
        <f ca="1">IFERROR(__xludf.DUMMYFUNCTION("""COMPUTED_VALUE"""),"Parliament")</f>
        <v>Parliament</v>
      </c>
      <c r="X157" s="157"/>
      <c r="Y157" s="157"/>
      <c r="Z157" s="120"/>
      <c r="AA157" s="167">
        <f ca="1">IFERROR(__xludf.DUMMYFUNCTION("""COMPUTED_VALUE"""),62)</f>
        <v>62</v>
      </c>
      <c r="AB157" s="168">
        <f ca="1">IFERROR(__xludf.DUMMYFUNCTION("""COMPUTED_VALUE"""),44397)</f>
        <v>44397</v>
      </c>
      <c r="AC157" s="157" t="str">
        <f ca="1">IFERROR(__xludf.DUMMYFUNCTION("""COMPUTED_VALUE"""),"20210720-62")</f>
        <v>20210720-62</v>
      </c>
      <c r="AD157" s="157" t="str">
        <f ca="1">IFERROR(__xludf.DUMMYFUNCTION("""COMPUTED_VALUE"""),"PAR-Parliament")</f>
        <v>PAR-Parliament</v>
      </c>
      <c r="AE157" s="157" t="str">
        <f ca="1">IFERROR(__xludf.DUMMYFUNCTION("""COMPUTED_VALUE"""),"CH-Cardinal Hill")</f>
        <v>CH-Cardinal Hill</v>
      </c>
      <c r="AF157" s="120"/>
      <c r="AG157" s="162"/>
      <c r="AH157" s="120"/>
    </row>
    <row r="158" spans="1:34" ht="13.2">
      <c r="A158" s="142"/>
      <c r="B158" s="142"/>
      <c r="C158" s="142"/>
      <c r="D158" s="142"/>
      <c r="E158" s="174"/>
      <c r="F158" s="174"/>
      <c r="G158" s="175"/>
      <c r="H158" s="175"/>
      <c r="I158" s="170"/>
      <c r="J158" s="170"/>
      <c r="K158" s="147"/>
      <c r="L158" s="147"/>
      <c r="M158" s="170"/>
      <c r="N158" s="170"/>
      <c r="O158" s="133"/>
      <c r="P158" s="133"/>
      <c r="Q158" s="151"/>
      <c r="R158" s="151"/>
      <c r="S158" s="151"/>
      <c r="T158" s="120"/>
      <c r="U158" s="163" t="str">
        <f ca="1">IFERROR(__xludf.DUMMYFUNCTION("""COMPUTED_VALUE"""),"Orange Hunt")</f>
        <v>Orange Hunt</v>
      </c>
      <c r="V158" s="151" t="str">
        <f ca="1">IFERROR(__xludf.DUMMYFUNCTION("""COMPUTED_VALUE"""),"at")</f>
        <v>at</v>
      </c>
      <c r="W158" s="151" t="str">
        <f ca="1">IFERROR(__xludf.DUMMYFUNCTION("""COMPUTED_VALUE"""),"Fairfax Station")</f>
        <v>Fairfax Station</v>
      </c>
      <c r="X158" s="151"/>
      <c r="Y158" s="151"/>
      <c r="Z158" s="120"/>
      <c r="AA158" s="165">
        <f ca="1">IFERROR(__xludf.DUMMYFUNCTION("""COMPUTED_VALUE"""),63)</f>
        <v>63</v>
      </c>
      <c r="AB158" s="171">
        <f ca="1">IFERROR(__xludf.DUMMYFUNCTION("""COMPUTED_VALUE"""),44397)</f>
        <v>44397</v>
      </c>
      <c r="AC158" s="151" t="str">
        <f ca="1">IFERROR(__xludf.DUMMYFUNCTION("""COMPUTED_VALUE"""),"20210720-63")</f>
        <v>20210720-63</v>
      </c>
      <c r="AD158" s="151" t="str">
        <f ca="1">IFERROR(__xludf.DUMMYFUNCTION("""COMPUTED_VALUE"""),"FS-Fairfax Station")</f>
        <v>FS-Fairfax Station</v>
      </c>
      <c r="AE158" s="151" t="str">
        <f ca="1">IFERROR(__xludf.DUMMYFUNCTION("""COMPUTED_VALUE"""),"OH-Orange Hunt")</f>
        <v>OH-Orange Hunt</v>
      </c>
      <c r="AF158" s="120"/>
      <c r="AG158" s="153"/>
      <c r="AH158" s="120"/>
    </row>
    <row r="159" spans="1:34" ht="13.2">
      <c r="A159" s="142"/>
      <c r="B159" s="142"/>
      <c r="C159" s="142"/>
      <c r="D159" s="142"/>
      <c r="E159" s="174"/>
      <c r="F159" s="174"/>
      <c r="G159" s="175"/>
      <c r="H159" s="175"/>
      <c r="I159" s="170"/>
      <c r="J159" s="170"/>
      <c r="K159" s="147"/>
      <c r="L159" s="147"/>
      <c r="M159" s="170"/>
      <c r="N159" s="170"/>
      <c r="O159" s="133"/>
      <c r="P159" s="133"/>
      <c r="Q159" s="157"/>
      <c r="R159" s="157"/>
      <c r="S159" s="157"/>
      <c r="T159" s="120"/>
      <c r="U159" s="158" t="str">
        <f ca="1">IFERROR(__xludf.DUMMYFUNCTION("""COMPUTED_VALUE"""),"Division VII")</f>
        <v>Division VII</v>
      </c>
      <c r="V159" s="157"/>
      <c r="W159" s="157"/>
      <c r="X159" s="157"/>
      <c r="Y159" s="157"/>
      <c r="Z159" s="120"/>
      <c r="AA159" s="167">
        <f ca="1">IFERROR(__xludf.DUMMYFUNCTION("""COMPUTED_VALUE"""),7)</f>
        <v>7</v>
      </c>
      <c r="AB159" s="168">
        <f ca="1">IFERROR(__xludf.DUMMYFUNCTION("""COMPUTED_VALUE"""),44397)</f>
        <v>44397</v>
      </c>
      <c r="AC159" s="157" t="str">
        <f ca="1">IFERROR(__xludf.DUMMYFUNCTION("""COMPUTED_VALUE"""),"")</f>
        <v/>
      </c>
      <c r="AD159" s="157" t="str">
        <f ca="1">IFERROR(__xludf.DUMMYFUNCTION("""COMPUTED_VALUE"""),"")</f>
        <v/>
      </c>
      <c r="AE159" s="157" t="str">
        <f ca="1">IFERROR(__xludf.DUMMYFUNCTION("""COMPUTED_VALUE"""),"")</f>
        <v/>
      </c>
      <c r="AF159" s="120"/>
      <c r="AG159" s="162"/>
      <c r="AH159" s="120"/>
    </row>
    <row r="160" spans="1:34" ht="13.2">
      <c r="A160" s="142"/>
      <c r="B160" s="142"/>
      <c r="C160" s="142"/>
      <c r="D160" s="142"/>
      <c r="E160" s="174"/>
      <c r="F160" s="174"/>
      <c r="G160" s="175"/>
      <c r="H160" s="175"/>
      <c r="I160" s="170"/>
      <c r="J160" s="170"/>
      <c r="K160" s="147"/>
      <c r="L160" s="147"/>
      <c r="M160" s="170"/>
      <c r="N160" s="170"/>
      <c r="O160" s="133"/>
      <c r="P160" s="133"/>
      <c r="Q160" s="151"/>
      <c r="R160" s="151"/>
      <c r="S160" s="151"/>
      <c r="T160" s="120"/>
      <c r="U160" s="163" t="str">
        <f ca="1">IFERROR(__xludf.DUMMYFUNCTION("""COMPUTED_VALUE"""),"Stratford")</f>
        <v>Stratford</v>
      </c>
      <c r="V160" s="151" t="str">
        <f ca="1">IFERROR(__xludf.DUMMYFUNCTION("""COMPUTED_VALUE"""),"at")</f>
        <v>at</v>
      </c>
      <c r="W160" s="151" t="str">
        <f ca="1">IFERROR(__xludf.DUMMYFUNCTION("""COMPUTED_VALUE"""),"Hamlet")</f>
        <v>Hamlet</v>
      </c>
      <c r="X160" s="151"/>
      <c r="Y160" s="151"/>
      <c r="Z160" s="120"/>
      <c r="AA160" s="165">
        <f ca="1">IFERROR(__xludf.DUMMYFUNCTION("""COMPUTED_VALUE"""),71)</f>
        <v>71</v>
      </c>
      <c r="AB160" s="171">
        <f ca="1">IFERROR(__xludf.DUMMYFUNCTION("""COMPUTED_VALUE"""),44397)</f>
        <v>44397</v>
      </c>
      <c r="AC160" s="151" t="str">
        <f ca="1">IFERROR(__xludf.DUMMYFUNCTION("""COMPUTED_VALUE"""),"20210720-71")</f>
        <v>20210720-71</v>
      </c>
      <c r="AD160" s="151" t="str">
        <f ca="1">IFERROR(__xludf.DUMMYFUNCTION("""COMPUTED_VALUE"""),"HSC-Hamlet Swim")</f>
        <v>HSC-Hamlet Swim</v>
      </c>
      <c r="AE160" s="151" t="str">
        <f ca="1">IFERROR(__xludf.DUMMYFUNCTION("""COMPUTED_VALUE"""),"SRA-Stratford Rec Association")</f>
        <v>SRA-Stratford Rec Association</v>
      </c>
      <c r="AF160" s="120"/>
      <c r="AG160" s="153"/>
      <c r="AH160" s="120"/>
    </row>
    <row r="161" spans="1:34" ht="13.2">
      <c r="A161" s="142"/>
      <c r="B161" s="142"/>
      <c r="C161" s="142"/>
      <c r="D161" s="142"/>
      <c r="E161" s="174"/>
      <c r="F161" s="174"/>
      <c r="G161" s="175"/>
      <c r="H161" s="175"/>
      <c r="I161" s="170"/>
      <c r="J161" s="170"/>
      <c r="K161" s="147"/>
      <c r="L161" s="147"/>
      <c r="M161" s="170"/>
      <c r="N161" s="170"/>
      <c r="O161" s="133"/>
      <c r="P161" s="133"/>
      <c r="Q161" s="157"/>
      <c r="R161" s="157"/>
      <c r="S161" s="157"/>
      <c r="T161" s="120"/>
      <c r="U161" s="158" t="str">
        <f ca="1">IFERROR(__xludf.DUMMYFUNCTION("""COMPUTED_VALUE"""),"Rutherford")</f>
        <v>Rutherford</v>
      </c>
      <c r="V161" s="157" t="str">
        <f ca="1">IFERROR(__xludf.DUMMYFUNCTION("""COMPUTED_VALUE"""),"at")</f>
        <v>at</v>
      </c>
      <c r="W161" s="157" t="str">
        <f ca="1">IFERROR(__xludf.DUMMYFUNCTION("""COMPUTED_VALUE"""),"Springboard")</f>
        <v>Springboard</v>
      </c>
      <c r="X161" s="157"/>
      <c r="Y161" s="157"/>
      <c r="Z161" s="120"/>
      <c r="AA161" s="167">
        <f ca="1">IFERROR(__xludf.DUMMYFUNCTION("""COMPUTED_VALUE"""),72)</f>
        <v>72</v>
      </c>
      <c r="AB161" s="168">
        <f ca="1">IFERROR(__xludf.DUMMYFUNCTION("""COMPUTED_VALUE"""),44397)</f>
        <v>44397</v>
      </c>
      <c r="AC161" s="157" t="str">
        <f ca="1">IFERROR(__xludf.DUMMYFUNCTION("""COMPUTED_VALUE"""),"20210720-72")</f>
        <v>20210720-72</v>
      </c>
      <c r="AD161" s="157" t="str">
        <f ca="1">IFERROR(__xludf.DUMMYFUNCTION("""COMPUTED_VALUE"""),"SB-Springboard Recreration Club")</f>
        <v>SB-Springboard Recreration Club</v>
      </c>
      <c r="AE161" s="157" t="str">
        <f ca="1">IFERROR(__xludf.DUMMYFUNCTION("""COMPUTED_VALUE"""),"RFD-Rutherford")</f>
        <v>RFD-Rutherford</v>
      </c>
      <c r="AF161" s="120"/>
      <c r="AG161" s="162"/>
      <c r="AH161" s="120"/>
    </row>
    <row r="162" spans="1:34" ht="13.2">
      <c r="A162" s="142"/>
      <c r="B162" s="142"/>
      <c r="C162" s="142"/>
      <c r="D162" s="142"/>
      <c r="E162" s="174"/>
      <c r="F162" s="174"/>
      <c r="G162" s="175"/>
      <c r="H162" s="175"/>
      <c r="I162" s="170"/>
      <c r="J162" s="170"/>
      <c r="K162" s="147"/>
      <c r="L162" s="147"/>
      <c r="M162" s="170"/>
      <c r="N162" s="170"/>
      <c r="O162" s="133"/>
      <c r="P162" s="133"/>
      <c r="Q162" s="151"/>
      <c r="R162" s="151"/>
      <c r="S162" s="151"/>
      <c r="T162" s="120"/>
      <c r="U162" s="163" t="str">
        <f ca="1">IFERROR(__xludf.DUMMYFUNCTION("""COMPUTED_VALUE"""),"Mantua")</f>
        <v>Mantua</v>
      </c>
      <c r="V162" s="151" t="str">
        <f ca="1">IFERROR(__xludf.DUMMYFUNCTION("""COMPUTED_VALUE"""),"at")</f>
        <v>at</v>
      </c>
      <c r="W162" s="151" t="str">
        <f ca="1">IFERROR(__xludf.DUMMYFUNCTION("""COMPUTED_VALUE"""),"Woodley")</f>
        <v>Woodley</v>
      </c>
      <c r="X162" s="151"/>
      <c r="Y162" s="151"/>
      <c r="Z162" s="120"/>
      <c r="AA162" s="165">
        <f ca="1">IFERROR(__xludf.DUMMYFUNCTION("""COMPUTED_VALUE"""),73)</f>
        <v>73</v>
      </c>
      <c r="AB162" s="171">
        <f ca="1">IFERROR(__xludf.DUMMYFUNCTION("""COMPUTED_VALUE"""),44397)</f>
        <v>44397</v>
      </c>
      <c r="AC162" s="151" t="str">
        <f ca="1">IFERROR(__xludf.DUMMYFUNCTION("""COMPUTED_VALUE"""),"20210720-73")</f>
        <v>20210720-73</v>
      </c>
      <c r="AD162" s="151" t="str">
        <f ca="1">IFERROR(__xludf.DUMMYFUNCTION("""COMPUTED_VALUE"""),"W-Woodley")</f>
        <v>W-Woodley</v>
      </c>
      <c r="AE162" s="151" t="str">
        <f ca="1">IFERROR(__xludf.DUMMYFUNCTION("""COMPUTED_VALUE"""),"M-Mantua")</f>
        <v>M-Mantua</v>
      </c>
      <c r="AF162" s="120"/>
      <c r="AG162" s="153"/>
      <c r="AH162" s="120"/>
    </row>
    <row r="163" spans="1:34" ht="13.2">
      <c r="A163" s="142"/>
      <c r="B163" s="142"/>
      <c r="C163" s="142"/>
      <c r="D163" s="142"/>
      <c r="E163" s="174"/>
      <c r="F163" s="174"/>
      <c r="G163" s="175"/>
      <c r="H163" s="175"/>
      <c r="I163" s="170"/>
      <c r="J163" s="170"/>
      <c r="K163" s="147"/>
      <c r="L163" s="147"/>
      <c r="M163" s="170"/>
      <c r="N163" s="170"/>
      <c r="O163" s="133"/>
      <c r="P163" s="133"/>
      <c r="Q163" s="157"/>
      <c r="R163" s="157"/>
      <c r="S163" s="157"/>
      <c r="T163" s="120"/>
      <c r="U163" s="158" t="str">
        <f ca="1">IFERROR(__xludf.DUMMYFUNCTION("""COMPUTED_VALUE"""),"Division VIII")</f>
        <v>Division VIII</v>
      </c>
      <c r="V163" s="157"/>
      <c r="W163" s="157"/>
      <c r="X163" s="157"/>
      <c r="Y163" s="157"/>
      <c r="Z163" s="120"/>
      <c r="AA163" s="167">
        <f ca="1">IFERROR(__xludf.DUMMYFUNCTION("""COMPUTED_VALUE"""),8)</f>
        <v>8</v>
      </c>
      <c r="AB163" s="168">
        <f ca="1">IFERROR(__xludf.DUMMYFUNCTION("""COMPUTED_VALUE"""),44397)</f>
        <v>44397</v>
      </c>
      <c r="AC163" s="157" t="str">
        <f ca="1">IFERROR(__xludf.DUMMYFUNCTION("""COMPUTED_VALUE"""),"")</f>
        <v/>
      </c>
      <c r="AD163" s="157" t="str">
        <f ca="1">IFERROR(__xludf.DUMMYFUNCTION("""COMPUTED_VALUE"""),"")</f>
        <v/>
      </c>
      <c r="AE163" s="157" t="str">
        <f ca="1">IFERROR(__xludf.DUMMYFUNCTION("""COMPUTED_VALUE"""),"")</f>
        <v/>
      </c>
      <c r="AF163" s="120"/>
      <c r="AG163" s="162"/>
      <c r="AH163" s="120"/>
    </row>
    <row r="164" spans="1:34" ht="13.2">
      <c r="A164" s="142"/>
      <c r="B164" s="142"/>
      <c r="C164" s="142"/>
      <c r="D164" s="142"/>
      <c r="E164" s="174"/>
      <c r="F164" s="174"/>
      <c r="G164" s="175"/>
      <c r="H164" s="175"/>
      <c r="I164" s="170"/>
      <c r="J164" s="170"/>
      <c r="K164" s="147"/>
      <c r="L164" s="147"/>
      <c r="M164" s="170"/>
      <c r="N164" s="170"/>
      <c r="O164" s="133"/>
      <c r="P164" s="133"/>
      <c r="Q164" s="151"/>
      <c r="R164" s="151"/>
      <c r="S164" s="151"/>
      <c r="T164" s="120"/>
      <c r="U164" s="163" t="str">
        <f ca="1">IFERROR(__xludf.DUMMYFUNCTION("""COMPUTED_VALUE"""),"Ilda Community")</f>
        <v>Ilda Community</v>
      </c>
      <c r="V164" s="151" t="str">
        <f ca="1">IFERROR(__xludf.DUMMYFUNCTION("""COMPUTED_VALUE"""),"at")</f>
        <v>at</v>
      </c>
      <c r="W164" s="151" t="str">
        <f ca="1">IFERROR(__xludf.DUMMYFUNCTION("""COMPUTED_VALUE"""),"Springfield")</f>
        <v>Springfield</v>
      </c>
      <c r="X164" s="151"/>
      <c r="Y164" s="151"/>
      <c r="Z164" s="120"/>
      <c r="AA164" s="165">
        <f ca="1">IFERROR(__xludf.DUMMYFUNCTION("""COMPUTED_VALUE"""),81)</f>
        <v>81</v>
      </c>
      <c r="AB164" s="171">
        <f ca="1">IFERROR(__xludf.DUMMYFUNCTION("""COMPUTED_VALUE"""),44397)</f>
        <v>44397</v>
      </c>
      <c r="AC164" s="151" t="str">
        <f ca="1">IFERROR(__xludf.DUMMYFUNCTION("""COMPUTED_VALUE"""),"20210720-81")</f>
        <v>20210720-81</v>
      </c>
      <c r="AD164" s="151" t="str">
        <f ca="1">IFERROR(__xludf.DUMMYFUNCTION("""COMPUTED_VALUE"""),"S-Springfield")</f>
        <v>S-Springfield</v>
      </c>
      <c r="AE164" s="151" t="str">
        <f ca="1">IFERROR(__xludf.DUMMYFUNCTION("""COMPUTED_VALUE"""),"IC-Ilda Community")</f>
        <v>IC-Ilda Community</v>
      </c>
      <c r="AF164" s="120"/>
      <c r="AG164" s="153"/>
      <c r="AH164" s="120"/>
    </row>
    <row r="165" spans="1:34" ht="13.2">
      <c r="A165" s="142"/>
      <c r="B165" s="142"/>
      <c r="C165" s="142"/>
      <c r="D165" s="142"/>
      <c r="E165" s="174"/>
      <c r="F165" s="174"/>
      <c r="G165" s="175"/>
      <c r="H165" s="175"/>
      <c r="I165" s="170"/>
      <c r="J165" s="170"/>
      <c r="K165" s="147"/>
      <c r="L165" s="147"/>
      <c r="M165" s="170"/>
      <c r="N165" s="170"/>
      <c r="O165" s="133"/>
      <c r="P165" s="133"/>
      <c r="Q165" s="157"/>
      <c r="R165" s="157"/>
      <c r="S165" s="157"/>
      <c r="T165" s="120"/>
      <c r="U165" s="158" t="str">
        <f ca="1">IFERROR(__xludf.DUMMYFUNCTION("""COMPUTED_VALUE"""),"North Springfield")</f>
        <v>North Springfield</v>
      </c>
      <c r="V165" s="157" t="str">
        <f ca="1">IFERROR(__xludf.DUMMYFUNCTION("""COMPUTED_VALUE"""),"at")</f>
        <v>at</v>
      </c>
      <c r="W165" s="157" t="str">
        <f ca="1">IFERROR(__xludf.DUMMYFUNCTION("""COMPUTED_VALUE"""),"Annandale")</f>
        <v>Annandale</v>
      </c>
      <c r="X165" s="157"/>
      <c r="Y165" s="157"/>
      <c r="Z165" s="120"/>
      <c r="AA165" s="167">
        <f ca="1">IFERROR(__xludf.DUMMYFUNCTION("""COMPUTED_VALUE"""),82)</f>
        <v>82</v>
      </c>
      <c r="AB165" s="168">
        <f ca="1">IFERROR(__xludf.DUMMYFUNCTION("""COMPUTED_VALUE"""),44397)</f>
        <v>44397</v>
      </c>
      <c r="AC165" s="157" t="str">
        <f ca="1">IFERROR(__xludf.DUMMYFUNCTION("""COMPUTED_VALUE"""),"20210720-82")</f>
        <v>20210720-82</v>
      </c>
      <c r="AD165" s="157" t="str">
        <f ca="1">IFERROR(__xludf.DUMMYFUNCTION("""COMPUTED_VALUE"""),"A-Annandale")</f>
        <v>A-Annandale</v>
      </c>
      <c r="AE165" s="157" t="str">
        <f ca="1">IFERROR(__xludf.DUMMYFUNCTION("""COMPUTED_VALUE"""),"NS-North Springfield")</f>
        <v>NS-North Springfield</v>
      </c>
      <c r="AF165" s="120"/>
      <c r="AG165" s="162"/>
      <c r="AH165" s="120"/>
    </row>
    <row r="166" spans="1:34" ht="13.2">
      <c r="A166" s="142"/>
      <c r="B166" s="142"/>
      <c r="C166" s="142"/>
      <c r="D166" s="142"/>
      <c r="E166" s="174"/>
      <c r="F166" s="174"/>
      <c r="G166" s="175"/>
      <c r="H166" s="175"/>
      <c r="I166" s="170"/>
      <c r="J166" s="170"/>
      <c r="K166" s="147"/>
      <c r="L166" s="147"/>
      <c r="M166" s="170"/>
      <c r="N166" s="170"/>
      <c r="O166" s="133"/>
      <c r="P166" s="133"/>
      <c r="Q166" s="151"/>
      <c r="R166" s="151"/>
      <c r="S166" s="151"/>
      <c r="T166" s="120"/>
      <c r="U166" s="163" t="str">
        <f ca="1">IFERROR(__xludf.DUMMYFUNCTION("""COMPUTED_VALUE"""),"Commonwealth")</f>
        <v>Commonwealth</v>
      </c>
      <c r="V166" s="151" t="str">
        <f ca="1">IFERROR(__xludf.DUMMYFUNCTION("""COMPUTED_VALUE"""),"at")</f>
        <v>at</v>
      </c>
      <c r="W166" s="151" t="str">
        <f ca="1">IFERROR(__xludf.DUMMYFUNCTION("""COMPUTED_VALUE"""),"Parklawn")</f>
        <v>Parklawn</v>
      </c>
      <c r="X166" s="151"/>
      <c r="Y166" s="151"/>
      <c r="Z166" s="120"/>
      <c r="AA166" s="165">
        <f ca="1">IFERROR(__xludf.DUMMYFUNCTION("""COMPUTED_VALUE"""),83)</f>
        <v>83</v>
      </c>
      <c r="AB166" s="171">
        <f ca="1">IFERROR(__xludf.DUMMYFUNCTION("""COMPUTED_VALUE"""),44397)</f>
        <v>44397</v>
      </c>
      <c r="AC166" s="151" t="str">
        <f ca="1">IFERROR(__xludf.DUMMYFUNCTION("""COMPUTED_VALUE"""),"20210720-83")</f>
        <v>20210720-83</v>
      </c>
      <c r="AD166" s="151" t="str">
        <f ca="1">IFERROR(__xludf.DUMMYFUNCTION("""COMPUTED_VALUE"""),"PL-Parklawn")</f>
        <v>PL-Parklawn</v>
      </c>
      <c r="AE166" s="151" t="str">
        <f ca="1">IFERROR(__xludf.DUMMYFUNCTION("""COMPUTED_VALUE"""),"CSC-Commonwealth Swim Club")</f>
        <v>CSC-Commonwealth Swim Club</v>
      </c>
      <c r="AF166" s="120"/>
      <c r="AG166" s="153"/>
      <c r="AH166" s="120"/>
    </row>
    <row r="167" spans="1:34" ht="13.2">
      <c r="A167" s="142"/>
      <c r="B167" s="142"/>
      <c r="C167" s="142"/>
      <c r="D167" s="142"/>
      <c r="E167" s="174"/>
      <c r="F167" s="174"/>
      <c r="G167" s="175"/>
      <c r="H167" s="175"/>
      <c r="I167" s="170"/>
      <c r="J167" s="170"/>
      <c r="K167" s="147"/>
      <c r="L167" s="147"/>
      <c r="M167" s="170"/>
      <c r="N167" s="170"/>
      <c r="O167" s="133"/>
      <c r="P167" s="133"/>
      <c r="Q167" s="157"/>
      <c r="R167" s="157"/>
      <c r="S167" s="157"/>
      <c r="T167" s="120"/>
      <c r="U167" s="158"/>
      <c r="V167" s="157"/>
      <c r="W167" s="157"/>
      <c r="X167" s="157"/>
      <c r="Y167" s="157"/>
      <c r="Z167" s="120"/>
      <c r="AA167" s="167" t="str">
        <f ca="1">IFERROR(__xludf.DUMMYFUNCTION("""COMPUTED_VALUE"""),"")</f>
        <v/>
      </c>
      <c r="AB167" s="161" t="str">
        <f ca="1">IFERROR(__xludf.DUMMYFUNCTION("""COMPUTED_VALUE"""),"")</f>
        <v/>
      </c>
      <c r="AC167" s="157" t="str">
        <f ca="1">IFERROR(__xludf.DUMMYFUNCTION("""COMPUTED_VALUE"""),"")</f>
        <v/>
      </c>
      <c r="AD167" s="157" t="str">
        <f ca="1">IFERROR(__xludf.DUMMYFUNCTION("""COMPUTED_VALUE"""),"")</f>
        <v/>
      </c>
      <c r="AE167" s="157" t="str">
        <f ca="1">IFERROR(__xludf.DUMMYFUNCTION("""COMPUTED_VALUE"""),"")</f>
        <v/>
      </c>
      <c r="AF167" s="120"/>
      <c r="AG167" s="162"/>
      <c r="AH167" s="120"/>
    </row>
    <row r="168" spans="1:34" ht="13.2">
      <c r="A168" s="142"/>
      <c r="B168" s="142"/>
      <c r="C168" s="142"/>
      <c r="D168" s="142"/>
      <c r="E168" s="174"/>
      <c r="F168" s="174"/>
      <c r="G168" s="175"/>
      <c r="H168" s="175"/>
      <c r="I168" s="170"/>
      <c r="J168" s="170"/>
      <c r="K168" s="147"/>
      <c r="L168" s="147"/>
      <c r="M168" s="170"/>
      <c r="N168" s="170"/>
      <c r="O168" s="133"/>
      <c r="P168" s="133"/>
      <c r="Q168" s="151"/>
      <c r="R168" s="151"/>
      <c r="S168" s="151"/>
      <c r="T168" s="120"/>
      <c r="U168" s="163"/>
      <c r="V168" s="151"/>
      <c r="W168" s="151"/>
      <c r="X168" s="151"/>
      <c r="Y168" s="151"/>
      <c r="Z168" s="120"/>
      <c r="AA168" s="165" t="str">
        <f ca="1">IFERROR(__xludf.DUMMYFUNCTION("""COMPUTED_VALUE"""),"")</f>
        <v/>
      </c>
      <c r="AB168" s="166" t="str">
        <f ca="1">IFERROR(__xludf.DUMMYFUNCTION("""COMPUTED_VALUE"""),"")</f>
        <v/>
      </c>
      <c r="AC168" s="151" t="str">
        <f ca="1">IFERROR(__xludf.DUMMYFUNCTION("""COMPUTED_VALUE"""),"")</f>
        <v/>
      </c>
      <c r="AD168" s="151" t="str">
        <f ca="1">IFERROR(__xludf.DUMMYFUNCTION("""COMPUTED_VALUE"""),"")</f>
        <v/>
      </c>
      <c r="AE168" s="151" t="str">
        <f ca="1">IFERROR(__xludf.DUMMYFUNCTION("""COMPUTED_VALUE"""),"")</f>
        <v/>
      </c>
      <c r="AF168" s="120"/>
      <c r="AG168" s="153"/>
      <c r="AH168" s="120"/>
    </row>
    <row r="169" spans="1:34" ht="13.2">
      <c r="A169" s="142"/>
      <c r="B169" s="142"/>
      <c r="C169" s="142"/>
      <c r="D169" s="142"/>
      <c r="E169" s="174"/>
      <c r="F169" s="174"/>
      <c r="G169" s="175"/>
      <c r="H169" s="175"/>
      <c r="I169" s="170"/>
      <c r="J169" s="170"/>
      <c r="K169" s="147"/>
      <c r="L169" s="147"/>
      <c r="M169" s="170"/>
      <c r="N169" s="170"/>
      <c r="O169" s="133"/>
      <c r="P169" s="133"/>
      <c r="Q169" s="157"/>
      <c r="R169" s="157"/>
      <c r="S169" s="157"/>
      <c r="T169" s="120"/>
      <c r="U169" s="158"/>
      <c r="V169" s="157"/>
      <c r="W169" s="157"/>
      <c r="X169" s="157"/>
      <c r="Y169" s="157"/>
      <c r="Z169" s="120"/>
      <c r="AA169" s="167" t="str">
        <f ca="1">IFERROR(__xludf.DUMMYFUNCTION("""COMPUTED_VALUE"""),"")</f>
        <v/>
      </c>
      <c r="AB169" s="161" t="str">
        <f ca="1">IFERROR(__xludf.DUMMYFUNCTION("""COMPUTED_VALUE"""),"")</f>
        <v/>
      </c>
      <c r="AC169" s="157" t="str">
        <f ca="1">IFERROR(__xludf.DUMMYFUNCTION("""COMPUTED_VALUE"""),"")</f>
        <v/>
      </c>
      <c r="AD169" s="157" t="str">
        <f ca="1">IFERROR(__xludf.DUMMYFUNCTION("""COMPUTED_VALUE"""),"")</f>
        <v/>
      </c>
      <c r="AE169" s="157" t="str">
        <f ca="1">IFERROR(__xludf.DUMMYFUNCTION("""COMPUTED_VALUE"""),"")</f>
        <v/>
      </c>
      <c r="AF169" s="120"/>
      <c r="AG169" s="162"/>
      <c r="AH169" s="120"/>
    </row>
    <row r="170" spans="1:34" ht="13.2">
      <c r="A170" s="142"/>
      <c r="B170" s="142"/>
      <c r="C170" s="142"/>
      <c r="D170" s="142"/>
      <c r="E170" s="174"/>
      <c r="F170" s="174"/>
      <c r="G170" s="175"/>
      <c r="H170" s="175"/>
      <c r="I170" s="170"/>
      <c r="J170" s="170"/>
      <c r="K170" s="147"/>
      <c r="L170" s="147"/>
      <c r="M170" s="170"/>
      <c r="N170" s="170"/>
      <c r="O170" s="133"/>
      <c r="P170" s="133"/>
      <c r="Q170" s="151"/>
      <c r="R170" s="151"/>
      <c r="S170" s="151"/>
      <c r="T170" s="120"/>
      <c r="U170" s="163"/>
      <c r="V170" s="151"/>
      <c r="W170" s="151"/>
      <c r="X170" s="151"/>
      <c r="Y170" s="151"/>
      <c r="Z170" s="120"/>
      <c r="AA170" s="165" t="str">
        <f ca="1">IFERROR(__xludf.DUMMYFUNCTION("""COMPUTED_VALUE"""),"")</f>
        <v/>
      </c>
      <c r="AB170" s="166" t="str">
        <f ca="1">IFERROR(__xludf.DUMMYFUNCTION("""COMPUTED_VALUE"""),"")</f>
        <v/>
      </c>
      <c r="AC170" s="151" t="str">
        <f ca="1">IFERROR(__xludf.DUMMYFUNCTION("""COMPUTED_VALUE"""),"")</f>
        <v/>
      </c>
      <c r="AD170" s="151" t="str">
        <f ca="1">IFERROR(__xludf.DUMMYFUNCTION("""COMPUTED_VALUE"""),"")</f>
        <v/>
      </c>
      <c r="AE170" s="151" t="str">
        <f ca="1">IFERROR(__xludf.DUMMYFUNCTION("""COMPUTED_VALUE"""),"")</f>
        <v/>
      </c>
      <c r="AF170" s="120"/>
      <c r="AG170" s="153"/>
      <c r="AH170" s="120"/>
    </row>
    <row r="171" spans="1:34" ht="13.2">
      <c r="A171" s="142"/>
      <c r="B171" s="142"/>
      <c r="C171" s="142"/>
      <c r="D171" s="142"/>
      <c r="E171" s="174"/>
      <c r="F171" s="174"/>
      <c r="G171" s="175"/>
      <c r="H171" s="175"/>
      <c r="I171" s="170"/>
      <c r="J171" s="170"/>
      <c r="K171" s="147"/>
      <c r="L171" s="147"/>
      <c r="M171" s="170"/>
      <c r="N171" s="170"/>
      <c r="O171" s="133"/>
      <c r="P171" s="133"/>
      <c r="Q171" s="157"/>
      <c r="R171" s="157"/>
      <c r="S171" s="157"/>
      <c r="T171" s="120"/>
      <c r="U171" s="158"/>
      <c r="V171" s="157"/>
      <c r="W171" s="157"/>
      <c r="X171" s="157"/>
      <c r="Y171" s="157"/>
      <c r="Z171" s="120"/>
      <c r="AA171" s="167" t="str">
        <f ca="1">IFERROR(__xludf.DUMMYFUNCTION("""COMPUTED_VALUE"""),"")</f>
        <v/>
      </c>
      <c r="AB171" s="161" t="str">
        <f ca="1">IFERROR(__xludf.DUMMYFUNCTION("""COMPUTED_VALUE"""),"")</f>
        <v/>
      </c>
      <c r="AC171" s="157" t="str">
        <f ca="1">IFERROR(__xludf.DUMMYFUNCTION("""COMPUTED_VALUE"""),"")</f>
        <v/>
      </c>
      <c r="AD171" s="157" t="str">
        <f ca="1">IFERROR(__xludf.DUMMYFUNCTION("""COMPUTED_VALUE"""),"")</f>
        <v/>
      </c>
      <c r="AE171" s="157" t="str">
        <f ca="1">IFERROR(__xludf.DUMMYFUNCTION("""COMPUTED_VALUE"""),"")</f>
        <v/>
      </c>
      <c r="AF171" s="120"/>
      <c r="AG171" s="162"/>
      <c r="AH171" s="120"/>
    </row>
    <row r="172" spans="1:34" ht="13.2">
      <c r="A172" s="142"/>
      <c r="B172" s="142"/>
      <c r="C172" s="142"/>
      <c r="D172" s="142"/>
      <c r="E172" s="174"/>
      <c r="F172" s="174"/>
      <c r="G172" s="175"/>
      <c r="H172" s="175"/>
      <c r="I172" s="170"/>
      <c r="J172" s="170"/>
      <c r="K172" s="147"/>
      <c r="L172" s="147"/>
      <c r="M172" s="170"/>
      <c r="N172" s="170"/>
      <c r="O172" s="133"/>
      <c r="P172" s="133"/>
      <c r="Q172" s="151"/>
      <c r="R172" s="151"/>
      <c r="S172" s="151"/>
      <c r="T172" s="120"/>
      <c r="U172" s="163"/>
      <c r="V172" s="151"/>
      <c r="W172" s="151"/>
      <c r="X172" s="151"/>
      <c r="Y172" s="151"/>
      <c r="Z172" s="120"/>
      <c r="AA172" s="165" t="str">
        <f ca="1">IFERROR(__xludf.DUMMYFUNCTION("""COMPUTED_VALUE"""),"")</f>
        <v/>
      </c>
      <c r="AB172" s="166" t="str">
        <f ca="1">IFERROR(__xludf.DUMMYFUNCTION("""COMPUTED_VALUE"""),"")</f>
        <v/>
      </c>
      <c r="AC172" s="151" t="str">
        <f ca="1">IFERROR(__xludf.DUMMYFUNCTION("""COMPUTED_VALUE"""),"")</f>
        <v/>
      </c>
      <c r="AD172" s="151" t="str">
        <f ca="1">IFERROR(__xludf.DUMMYFUNCTION("""COMPUTED_VALUE"""),"")</f>
        <v/>
      </c>
      <c r="AE172" s="151" t="str">
        <f ca="1">IFERROR(__xludf.DUMMYFUNCTION("""COMPUTED_VALUE"""),"")</f>
        <v/>
      </c>
      <c r="AF172" s="120"/>
      <c r="AG172" s="153"/>
      <c r="AH172" s="120"/>
    </row>
    <row r="173" spans="1:34" ht="13.2">
      <c r="A173" s="142"/>
      <c r="B173" s="142"/>
      <c r="C173" s="142"/>
      <c r="D173" s="142"/>
      <c r="E173" s="174"/>
      <c r="F173" s="174"/>
      <c r="G173" s="175"/>
      <c r="H173" s="175"/>
      <c r="I173" s="170"/>
      <c r="J173" s="170"/>
      <c r="K173" s="147"/>
      <c r="L173" s="147"/>
      <c r="M173" s="170"/>
      <c r="N173" s="170"/>
      <c r="O173" s="133"/>
      <c r="P173" s="133"/>
      <c r="Q173" s="157"/>
      <c r="R173" s="157"/>
      <c r="S173" s="157"/>
      <c r="T173" s="120"/>
      <c r="U173" s="158"/>
      <c r="V173" s="157"/>
      <c r="W173" s="157"/>
      <c r="X173" s="157"/>
      <c r="Y173" s="157"/>
      <c r="Z173" s="120"/>
      <c r="AA173" s="167" t="str">
        <f ca="1">IFERROR(__xludf.DUMMYFUNCTION("""COMPUTED_VALUE"""),"")</f>
        <v/>
      </c>
      <c r="AB173" s="161" t="str">
        <f ca="1">IFERROR(__xludf.DUMMYFUNCTION("""COMPUTED_VALUE"""),"")</f>
        <v/>
      </c>
      <c r="AC173" s="157" t="str">
        <f ca="1">IFERROR(__xludf.DUMMYFUNCTION("""COMPUTED_VALUE"""),"")</f>
        <v/>
      </c>
      <c r="AD173" s="157" t="str">
        <f ca="1">IFERROR(__xludf.DUMMYFUNCTION("""COMPUTED_VALUE"""),"")</f>
        <v/>
      </c>
      <c r="AE173" s="157" t="str">
        <f ca="1">IFERROR(__xludf.DUMMYFUNCTION("""COMPUTED_VALUE"""),"")</f>
        <v/>
      </c>
      <c r="AF173" s="120"/>
      <c r="AG173" s="162"/>
      <c r="AH173" s="120"/>
    </row>
    <row r="174" spans="1:34" ht="13.2">
      <c r="A174" s="142"/>
      <c r="B174" s="142"/>
      <c r="C174" s="142"/>
      <c r="D174" s="142"/>
      <c r="E174" s="174"/>
      <c r="F174" s="174"/>
      <c r="G174" s="175"/>
      <c r="H174" s="175"/>
      <c r="I174" s="170"/>
      <c r="J174" s="170"/>
      <c r="K174" s="147"/>
      <c r="L174" s="147"/>
      <c r="M174" s="170"/>
      <c r="N174" s="170"/>
      <c r="O174" s="133"/>
      <c r="P174" s="133"/>
      <c r="Q174" s="151"/>
      <c r="R174" s="151"/>
      <c r="S174" s="151"/>
      <c r="T174" s="120"/>
      <c r="U174" s="163"/>
      <c r="V174" s="151"/>
      <c r="W174" s="151"/>
      <c r="X174" s="151"/>
      <c r="Y174" s="151"/>
      <c r="Z174" s="120"/>
      <c r="AA174" s="165" t="str">
        <f ca="1">IFERROR(__xludf.DUMMYFUNCTION("""COMPUTED_VALUE"""),"")</f>
        <v/>
      </c>
      <c r="AB174" s="166" t="str">
        <f ca="1">IFERROR(__xludf.DUMMYFUNCTION("""COMPUTED_VALUE"""),"")</f>
        <v/>
      </c>
      <c r="AC174" s="151" t="str">
        <f ca="1">IFERROR(__xludf.DUMMYFUNCTION("""COMPUTED_VALUE"""),"")</f>
        <v/>
      </c>
      <c r="AD174" s="151" t="str">
        <f ca="1">IFERROR(__xludf.DUMMYFUNCTION("""COMPUTED_VALUE"""),"")</f>
        <v/>
      </c>
      <c r="AE174" s="151" t="str">
        <f ca="1">IFERROR(__xludf.DUMMYFUNCTION("""COMPUTED_VALUE"""),"")</f>
        <v/>
      </c>
      <c r="AF174" s="120"/>
      <c r="AG174" s="153"/>
      <c r="AH174" s="120"/>
    </row>
    <row r="175" spans="1:34" ht="13.2">
      <c r="A175" s="142"/>
      <c r="B175" s="142"/>
      <c r="C175" s="142"/>
      <c r="D175" s="142"/>
      <c r="E175" s="174"/>
      <c r="F175" s="174"/>
      <c r="G175" s="175"/>
      <c r="H175" s="175"/>
      <c r="I175" s="170"/>
      <c r="J175" s="170"/>
      <c r="K175" s="147"/>
      <c r="L175" s="147"/>
      <c r="M175" s="170"/>
      <c r="N175" s="170"/>
      <c r="O175" s="133"/>
      <c r="P175" s="133"/>
      <c r="Q175" s="157"/>
      <c r="R175" s="157"/>
      <c r="S175" s="157"/>
      <c r="T175" s="120"/>
      <c r="U175" s="158"/>
      <c r="V175" s="157"/>
      <c r="W175" s="157"/>
      <c r="X175" s="157"/>
      <c r="Y175" s="157"/>
      <c r="Z175" s="120"/>
      <c r="AA175" s="167" t="str">
        <f ca="1">IFERROR(__xludf.DUMMYFUNCTION("""COMPUTED_VALUE"""),"")</f>
        <v/>
      </c>
      <c r="AB175" s="161" t="str">
        <f ca="1">IFERROR(__xludf.DUMMYFUNCTION("""COMPUTED_VALUE"""),"")</f>
        <v/>
      </c>
      <c r="AC175" s="157" t="str">
        <f ca="1">IFERROR(__xludf.DUMMYFUNCTION("""COMPUTED_VALUE"""),"")</f>
        <v/>
      </c>
      <c r="AD175" s="157" t="str">
        <f ca="1">IFERROR(__xludf.DUMMYFUNCTION("""COMPUTED_VALUE"""),"")</f>
        <v/>
      </c>
      <c r="AE175" s="157" t="str">
        <f ca="1">IFERROR(__xludf.DUMMYFUNCTION("""COMPUTED_VALUE"""),"")</f>
        <v/>
      </c>
      <c r="AF175" s="120"/>
      <c r="AG175" s="162"/>
      <c r="AH175" s="120"/>
    </row>
    <row r="176" spans="1:34" ht="13.2">
      <c r="A176" s="142"/>
      <c r="B176" s="142"/>
      <c r="C176" s="142"/>
      <c r="D176" s="142"/>
      <c r="E176" s="174"/>
      <c r="F176" s="174"/>
      <c r="G176" s="175"/>
      <c r="H176" s="175"/>
      <c r="I176" s="170"/>
      <c r="J176" s="170"/>
      <c r="K176" s="147"/>
      <c r="L176" s="147"/>
      <c r="M176" s="170"/>
      <c r="N176" s="170"/>
      <c r="O176" s="133"/>
      <c r="P176" s="133"/>
      <c r="Q176" s="151"/>
      <c r="R176" s="151"/>
      <c r="S176" s="151"/>
      <c r="T176" s="120"/>
      <c r="U176" s="163"/>
      <c r="V176" s="151"/>
      <c r="W176" s="151"/>
      <c r="X176" s="151"/>
      <c r="Y176" s="151"/>
      <c r="Z176" s="120"/>
      <c r="AA176" s="165" t="str">
        <f ca="1">IFERROR(__xludf.DUMMYFUNCTION("""COMPUTED_VALUE"""),"")</f>
        <v/>
      </c>
      <c r="AB176" s="166" t="str">
        <f ca="1">IFERROR(__xludf.DUMMYFUNCTION("""COMPUTED_VALUE"""),"")</f>
        <v/>
      </c>
      <c r="AC176" s="151" t="str">
        <f ca="1">IFERROR(__xludf.DUMMYFUNCTION("""COMPUTED_VALUE"""),"")</f>
        <v/>
      </c>
      <c r="AD176" s="151" t="str">
        <f ca="1">IFERROR(__xludf.DUMMYFUNCTION("""COMPUTED_VALUE"""),"")</f>
        <v/>
      </c>
      <c r="AE176" s="151" t="str">
        <f ca="1">IFERROR(__xludf.DUMMYFUNCTION("""COMPUTED_VALUE"""),"")</f>
        <v/>
      </c>
      <c r="AF176" s="120"/>
      <c r="AG176" s="153"/>
      <c r="AH176" s="120"/>
    </row>
    <row r="177" spans="1:34" ht="13.2">
      <c r="A177" s="142"/>
      <c r="B177" s="142"/>
      <c r="C177" s="142"/>
      <c r="D177" s="142"/>
      <c r="E177" s="174"/>
      <c r="F177" s="174"/>
      <c r="G177" s="175"/>
      <c r="H177" s="175"/>
      <c r="I177" s="170"/>
      <c r="J177" s="170"/>
      <c r="K177" s="147"/>
      <c r="L177" s="147"/>
      <c r="M177" s="170"/>
      <c r="N177" s="170"/>
      <c r="O177" s="133"/>
      <c r="P177" s="133"/>
      <c r="Q177" s="157"/>
      <c r="R177" s="157"/>
      <c r="S177" s="157"/>
      <c r="T177" s="120"/>
      <c r="U177" s="158"/>
      <c r="V177" s="157"/>
      <c r="W177" s="157"/>
      <c r="X177" s="157"/>
      <c r="Y177" s="157"/>
      <c r="Z177" s="120"/>
      <c r="AA177" s="167" t="str">
        <f ca="1">IFERROR(__xludf.DUMMYFUNCTION("""COMPUTED_VALUE"""),"")</f>
        <v/>
      </c>
      <c r="AB177" s="161" t="str">
        <f ca="1">IFERROR(__xludf.DUMMYFUNCTION("""COMPUTED_VALUE"""),"")</f>
        <v/>
      </c>
      <c r="AC177" s="157" t="str">
        <f ca="1">IFERROR(__xludf.DUMMYFUNCTION("""COMPUTED_VALUE"""),"")</f>
        <v/>
      </c>
      <c r="AD177" s="157" t="str">
        <f ca="1">IFERROR(__xludf.DUMMYFUNCTION("""COMPUTED_VALUE"""),"")</f>
        <v/>
      </c>
      <c r="AE177" s="157" t="str">
        <f ca="1">IFERROR(__xludf.DUMMYFUNCTION("""COMPUTED_VALUE"""),"")</f>
        <v/>
      </c>
      <c r="AF177" s="120"/>
      <c r="AG177" s="162"/>
      <c r="AH177" s="120"/>
    </row>
    <row r="178" spans="1:34" ht="13.2">
      <c r="A178" s="142"/>
      <c r="B178" s="142"/>
      <c r="C178" s="142"/>
      <c r="D178" s="142"/>
      <c r="E178" s="174"/>
      <c r="F178" s="174"/>
      <c r="G178" s="175"/>
      <c r="H178" s="175"/>
      <c r="I178" s="170"/>
      <c r="J178" s="170"/>
      <c r="K178" s="147"/>
      <c r="L178" s="147"/>
      <c r="M178" s="170"/>
      <c r="N178" s="170"/>
      <c r="O178" s="133"/>
      <c r="P178" s="133"/>
      <c r="Q178" s="151"/>
      <c r="R178" s="151"/>
      <c r="S178" s="151"/>
      <c r="T178" s="120"/>
      <c r="U178" s="163"/>
      <c r="V178" s="151"/>
      <c r="W178" s="151"/>
      <c r="X178" s="151"/>
      <c r="Y178" s="151"/>
      <c r="Z178" s="120"/>
      <c r="AA178" s="165" t="str">
        <f ca="1">IFERROR(__xludf.DUMMYFUNCTION("""COMPUTED_VALUE"""),"")</f>
        <v/>
      </c>
      <c r="AB178" s="166" t="str">
        <f ca="1">IFERROR(__xludf.DUMMYFUNCTION("""COMPUTED_VALUE"""),"")</f>
        <v/>
      </c>
      <c r="AC178" s="151" t="str">
        <f ca="1">IFERROR(__xludf.DUMMYFUNCTION("""COMPUTED_VALUE"""),"")</f>
        <v/>
      </c>
      <c r="AD178" s="151" t="str">
        <f ca="1">IFERROR(__xludf.DUMMYFUNCTION("""COMPUTED_VALUE"""),"")</f>
        <v/>
      </c>
      <c r="AE178" s="151" t="str">
        <f ca="1">IFERROR(__xludf.DUMMYFUNCTION("""COMPUTED_VALUE"""),"")</f>
        <v/>
      </c>
      <c r="AF178" s="120"/>
      <c r="AG178" s="153"/>
      <c r="AH178" s="120"/>
    </row>
    <row r="179" spans="1:34" ht="13.2">
      <c r="A179" s="142"/>
      <c r="B179" s="142"/>
      <c r="C179" s="142"/>
      <c r="D179" s="142"/>
      <c r="E179" s="174"/>
      <c r="F179" s="174"/>
      <c r="G179" s="175"/>
      <c r="H179" s="175"/>
      <c r="I179" s="170"/>
      <c r="J179" s="170"/>
      <c r="K179" s="147"/>
      <c r="L179" s="147"/>
      <c r="M179" s="170"/>
      <c r="N179" s="170"/>
      <c r="O179" s="133"/>
      <c r="P179" s="133"/>
      <c r="Q179" s="157"/>
      <c r="R179" s="157"/>
      <c r="S179" s="157"/>
      <c r="T179" s="120"/>
      <c r="U179" s="158"/>
      <c r="V179" s="157"/>
      <c r="W179" s="157"/>
      <c r="X179" s="157"/>
      <c r="Y179" s="157"/>
      <c r="Z179" s="120"/>
      <c r="AA179" s="167" t="str">
        <f ca="1">IFERROR(__xludf.DUMMYFUNCTION("""COMPUTED_VALUE"""),"")</f>
        <v/>
      </c>
      <c r="AB179" s="161" t="str">
        <f ca="1">IFERROR(__xludf.DUMMYFUNCTION("""COMPUTED_VALUE"""),"")</f>
        <v/>
      </c>
      <c r="AC179" s="157" t="str">
        <f ca="1">IFERROR(__xludf.DUMMYFUNCTION("""COMPUTED_VALUE"""),"")</f>
        <v/>
      </c>
      <c r="AD179" s="157" t="str">
        <f ca="1">IFERROR(__xludf.DUMMYFUNCTION("""COMPUTED_VALUE"""),"")</f>
        <v/>
      </c>
      <c r="AE179" s="157" t="str">
        <f ca="1">IFERROR(__xludf.DUMMYFUNCTION("""COMPUTED_VALUE"""),"")</f>
        <v/>
      </c>
      <c r="AF179" s="120"/>
      <c r="AG179" s="162"/>
      <c r="AH179" s="120"/>
    </row>
    <row r="180" spans="1:34" ht="13.2">
      <c r="A180" s="142"/>
      <c r="B180" s="142"/>
      <c r="C180" s="142"/>
      <c r="D180" s="142"/>
      <c r="E180" s="174"/>
      <c r="F180" s="174"/>
      <c r="G180" s="175"/>
      <c r="H180" s="175"/>
      <c r="I180" s="170"/>
      <c r="J180" s="170"/>
      <c r="K180" s="147"/>
      <c r="L180" s="147"/>
      <c r="M180" s="170"/>
      <c r="N180" s="170"/>
      <c r="O180" s="133"/>
      <c r="P180" s="133"/>
      <c r="Q180" s="151"/>
      <c r="R180" s="151"/>
      <c r="S180" s="151"/>
      <c r="T180" s="120"/>
      <c r="U180" s="163"/>
      <c r="V180" s="151"/>
      <c r="W180" s="151"/>
      <c r="X180" s="151"/>
      <c r="Y180" s="151"/>
      <c r="Z180" s="120"/>
      <c r="AA180" s="165" t="str">
        <f ca="1">IFERROR(__xludf.DUMMYFUNCTION("""COMPUTED_VALUE"""),"")</f>
        <v/>
      </c>
      <c r="AB180" s="166" t="str">
        <f ca="1">IFERROR(__xludf.DUMMYFUNCTION("""COMPUTED_VALUE"""),"")</f>
        <v/>
      </c>
      <c r="AC180" s="151" t="str">
        <f ca="1">IFERROR(__xludf.DUMMYFUNCTION("""COMPUTED_VALUE"""),"")</f>
        <v/>
      </c>
      <c r="AD180" s="151" t="str">
        <f ca="1">IFERROR(__xludf.DUMMYFUNCTION("""COMPUTED_VALUE"""),"")</f>
        <v/>
      </c>
      <c r="AE180" s="151" t="str">
        <f ca="1">IFERROR(__xludf.DUMMYFUNCTION("""COMPUTED_VALUE"""),"")</f>
        <v/>
      </c>
      <c r="AF180" s="120"/>
      <c r="AG180" s="153"/>
      <c r="AH180" s="120"/>
    </row>
    <row r="181" spans="1:34" ht="13.2">
      <c r="A181" s="142"/>
      <c r="B181" s="142"/>
      <c r="C181" s="142"/>
      <c r="D181" s="142"/>
      <c r="E181" s="174"/>
      <c r="F181" s="174"/>
      <c r="G181" s="175"/>
      <c r="H181" s="175"/>
      <c r="I181" s="170"/>
      <c r="J181" s="170"/>
      <c r="K181" s="147"/>
      <c r="L181" s="147"/>
      <c r="M181" s="170"/>
      <c r="N181" s="170"/>
      <c r="O181" s="133"/>
      <c r="P181" s="133"/>
      <c r="Q181" s="157"/>
      <c r="R181" s="157"/>
      <c r="S181" s="157"/>
      <c r="T181" s="120"/>
      <c r="U181" s="176"/>
      <c r="V181" s="176"/>
      <c r="W181" s="176"/>
      <c r="X181" s="176"/>
      <c r="Y181" s="176"/>
      <c r="Z181" s="120"/>
      <c r="AA181" s="177" t="str">
        <f ca="1">IFERROR(__xludf.DUMMYFUNCTION("""COMPUTED_VALUE"""),"")</f>
        <v/>
      </c>
      <c r="AB181" s="177" t="str">
        <f ca="1">IFERROR(__xludf.DUMMYFUNCTION("""COMPUTED_VALUE"""),"")</f>
        <v/>
      </c>
      <c r="AC181" s="177" t="str">
        <f ca="1">IFERROR(__xludf.DUMMYFUNCTION("""COMPUTED_VALUE"""),"")</f>
        <v/>
      </c>
      <c r="AD181" s="177" t="str">
        <f ca="1">IFERROR(__xludf.DUMMYFUNCTION("""COMPUTED_VALUE"""),"")</f>
        <v/>
      </c>
      <c r="AE181" s="177" t="str">
        <f ca="1">IFERROR(__xludf.DUMMYFUNCTION("""COMPUTED_VALUE"""),"")</f>
        <v/>
      </c>
      <c r="AF181" s="120"/>
      <c r="AG181" s="167"/>
      <c r="AH181" s="120"/>
    </row>
    <row r="182" spans="1:34" ht="13.2">
      <c r="A182" s="142"/>
      <c r="B182" s="142"/>
      <c r="C182" s="142"/>
      <c r="D182" s="142"/>
      <c r="E182" s="174"/>
      <c r="F182" s="174"/>
      <c r="G182" s="175"/>
      <c r="H182" s="175"/>
      <c r="I182" s="170"/>
      <c r="J182" s="170"/>
      <c r="K182" s="147"/>
      <c r="L182" s="147"/>
      <c r="M182" s="170"/>
      <c r="N182" s="170"/>
      <c r="O182" s="133"/>
      <c r="P182" s="133"/>
      <c r="Q182" s="151"/>
      <c r="R182" s="151"/>
      <c r="S182" s="151"/>
      <c r="T182" s="120"/>
      <c r="U182" s="230"/>
      <c r="V182" s="194"/>
      <c r="W182" s="194"/>
      <c r="X182" s="194"/>
      <c r="Y182" s="194"/>
      <c r="Z182" s="120"/>
      <c r="AA182" s="230" t="str">
        <f ca="1">IFERROR(__xludf.DUMMYFUNCTION("""COMPUTED_VALUE"""),"")</f>
        <v/>
      </c>
      <c r="AB182" s="194"/>
      <c r="AC182" s="194"/>
      <c r="AD182" s="194"/>
      <c r="AE182" s="194"/>
      <c r="AF182" s="120"/>
      <c r="AG182" s="165"/>
      <c r="AH182" s="120"/>
    </row>
    <row r="183" spans="1:34" ht="13.2">
      <c r="A183" s="142"/>
      <c r="B183" s="142"/>
      <c r="C183" s="142"/>
      <c r="D183" s="142"/>
      <c r="E183" s="174"/>
      <c r="F183" s="174"/>
      <c r="G183" s="175"/>
      <c r="H183" s="175"/>
      <c r="I183" s="170"/>
      <c r="J183" s="170"/>
      <c r="K183" s="147"/>
      <c r="L183" s="147"/>
      <c r="M183" s="170"/>
      <c r="N183" s="170"/>
      <c r="O183" s="133"/>
      <c r="P183" s="133"/>
      <c r="Q183" s="157"/>
      <c r="R183" s="157"/>
      <c r="S183" s="157"/>
      <c r="T183" s="120"/>
      <c r="U183" s="178"/>
      <c r="V183" s="157"/>
      <c r="W183" s="179"/>
      <c r="X183" s="157"/>
      <c r="Y183" s="157"/>
      <c r="Z183" s="120"/>
      <c r="AA183" s="179"/>
      <c r="AB183" s="179"/>
      <c r="AC183" s="179"/>
      <c r="AD183" s="179"/>
      <c r="AE183" s="179"/>
      <c r="AF183" s="120"/>
      <c r="AG183" s="180"/>
      <c r="AH183" s="120"/>
    </row>
    <row r="184" spans="1:34" ht="17.399999999999999">
      <c r="A184" s="142"/>
      <c r="B184" s="142"/>
      <c r="C184" s="142"/>
      <c r="D184" s="142"/>
      <c r="E184" s="174"/>
      <c r="F184" s="174"/>
      <c r="G184" s="175"/>
      <c r="H184" s="175"/>
      <c r="I184" s="170"/>
      <c r="J184" s="170"/>
      <c r="K184" s="147"/>
      <c r="L184" s="147"/>
      <c r="M184" s="170"/>
      <c r="N184" s="170"/>
      <c r="O184" s="133"/>
      <c r="P184" s="133"/>
      <c r="Q184" s="151"/>
      <c r="R184" s="151"/>
      <c r="S184" s="151"/>
      <c r="T184" s="120"/>
      <c r="U184" s="181"/>
      <c r="V184" s="151"/>
      <c r="W184" s="151"/>
      <c r="X184" s="151"/>
      <c r="Y184" s="151"/>
      <c r="Z184" s="120"/>
      <c r="AA184" s="151"/>
      <c r="AB184" s="151"/>
      <c r="AC184" s="151"/>
      <c r="AD184" s="151"/>
      <c r="AE184" s="151"/>
      <c r="AF184" s="120"/>
      <c r="AG184" s="153"/>
      <c r="AH184" s="120"/>
    </row>
    <row r="185" spans="1:34" ht="13.2">
      <c r="A185" s="142"/>
      <c r="B185" s="142"/>
      <c r="C185" s="142"/>
      <c r="D185" s="142"/>
      <c r="E185" s="174"/>
      <c r="F185" s="174"/>
      <c r="G185" s="175"/>
      <c r="H185" s="175"/>
      <c r="I185" s="170"/>
      <c r="J185" s="170"/>
      <c r="K185" s="147"/>
      <c r="L185" s="147"/>
      <c r="M185" s="170"/>
      <c r="N185" s="170"/>
      <c r="O185" s="133"/>
      <c r="P185" s="133"/>
      <c r="Q185" s="157"/>
      <c r="R185" s="157"/>
      <c r="S185" s="157"/>
      <c r="T185" s="120"/>
      <c r="U185" s="158"/>
      <c r="V185" s="157"/>
      <c r="W185" s="157"/>
      <c r="X185" s="159"/>
      <c r="Y185" s="157"/>
      <c r="Z185" s="120"/>
      <c r="AA185" s="160"/>
      <c r="AB185" s="161"/>
      <c r="AC185" s="161"/>
      <c r="AD185" s="157"/>
      <c r="AE185" s="157"/>
      <c r="AF185" s="120"/>
      <c r="AG185" s="162"/>
      <c r="AH185" s="120"/>
    </row>
    <row r="186" spans="1:34" ht="13.2">
      <c r="A186" s="142"/>
      <c r="B186" s="142"/>
      <c r="C186" s="142"/>
      <c r="D186" s="142"/>
      <c r="E186" s="174"/>
      <c r="F186" s="174"/>
      <c r="G186" s="175"/>
      <c r="H186" s="175"/>
      <c r="I186" s="170"/>
      <c r="J186" s="170"/>
      <c r="K186" s="147"/>
      <c r="L186" s="147"/>
      <c r="M186" s="170"/>
      <c r="N186" s="170"/>
      <c r="O186" s="133"/>
      <c r="P186" s="133"/>
      <c r="Q186" s="151"/>
      <c r="R186" s="151"/>
      <c r="S186" s="151"/>
      <c r="T186" s="120"/>
      <c r="U186" s="163"/>
      <c r="V186" s="151"/>
      <c r="W186" s="151"/>
      <c r="X186" s="164"/>
      <c r="Y186" s="151"/>
      <c r="Z186" s="120"/>
      <c r="AA186" s="165"/>
      <c r="AB186" s="166"/>
      <c r="AC186" s="166"/>
      <c r="AD186" s="166"/>
      <c r="AE186" s="166"/>
      <c r="AF186" s="120"/>
      <c r="AG186" s="153"/>
      <c r="AH186" s="120"/>
    </row>
    <row r="187" spans="1:34" ht="13.2">
      <c r="A187" s="142"/>
      <c r="B187" s="142"/>
      <c r="C187" s="142"/>
      <c r="D187" s="142"/>
      <c r="E187" s="174"/>
      <c r="F187" s="174"/>
      <c r="G187" s="175"/>
      <c r="H187" s="175"/>
      <c r="I187" s="170"/>
      <c r="J187" s="170"/>
      <c r="K187" s="147"/>
      <c r="L187" s="147"/>
      <c r="M187" s="170"/>
      <c r="N187" s="170"/>
      <c r="O187" s="133"/>
      <c r="P187" s="133"/>
      <c r="Q187" s="157"/>
      <c r="R187" s="157"/>
      <c r="S187" s="157"/>
      <c r="T187" s="120"/>
      <c r="U187" s="158"/>
      <c r="V187" s="157"/>
      <c r="W187" s="157"/>
      <c r="X187" s="159"/>
      <c r="Y187" s="157"/>
      <c r="Z187" s="120"/>
      <c r="AA187" s="167"/>
      <c r="AB187" s="161"/>
      <c r="AC187" s="161"/>
      <c r="AD187" s="161"/>
      <c r="AE187" s="161"/>
      <c r="AF187" s="120"/>
      <c r="AG187" s="162"/>
      <c r="AH187" s="120"/>
    </row>
    <row r="188" spans="1:34" ht="13.2">
      <c r="A188" s="142"/>
      <c r="B188" s="142"/>
      <c r="C188" s="142"/>
      <c r="D188" s="142"/>
      <c r="E188" s="174"/>
      <c r="F188" s="174"/>
      <c r="G188" s="175"/>
      <c r="H188" s="175"/>
      <c r="I188" s="170"/>
      <c r="J188" s="170"/>
      <c r="K188" s="147"/>
      <c r="L188" s="147"/>
      <c r="M188" s="170"/>
      <c r="N188" s="170"/>
      <c r="O188" s="133"/>
      <c r="P188" s="133"/>
      <c r="Q188" s="151"/>
      <c r="R188" s="151"/>
      <c r="S188" s="151"/>
      <c r="T188" s="120"/>
      <c r="U188" s="163"/>
      <c r="V188" s="151"/>
      <c r="W188" s="151"/>
      <c r="X188" s="164"/>
      <c r="Y188" s="151"/>
      <c r="Z188" s="120"/>
      <c r="AA188" s="165"/>
      <c r="AB188" s="166"/>
      <c r="AC188" s="166"/>
      <c r="AD188" s="166"/>
      <c r="AE188" s="166"/>
      <c r="AF188" s="120"/>
      <c r="AG188" s="153"/>
      <c r="AH188" s="120"/>
    </row>
    <row r="189" spans="1:34" ht="13.2">
      <c r="A189" s="142"/>
      <c r="B189" s="142"/>
      <c r="C189" s="142"/>
      <c r="D189" s="142"/>
      <c r="E189" s="174"/>
      <c r="F189" s="174"/>
      <c r="G189" s="175"/>
      <c r="H189" s="175"/>
      <c r="I189" s="170"/>
      <c r="J189" s="170"/>
      <c r="K189" s="147"/>
      <c r="L189" s="147"/>
      <c r="M189" s="170"/>
      <c r="N189" s="170"/>
      <c r="O189" s="133"/>
      <c r="P189" s="133"/>
      <c r="Q189" s="157"/>
      <c r="R189" s="157"/>
      <c r="S189" s="157"/>
      <c r="T189" s="120"/>
      <c r="U189" s="158"/>
      <c r="V189" s="157"/>
      <c r="W189" s="157"/>
      <c r="X189" s="159"/>
      <c r="Y189" s="157"/>
      <c r="Z189" s="120"/>
      <c r="AA189" s="167"/>
      <c r="AB189" s="161"/>
      <c r="AC189" s="161"/>
      <c r="AD189" s="161"/>
      <c r="AE189" s="161"/>
      <c r="AF189" s="120"/>
      <c r="AG189" s="162"/>
      <c r="AH189" s="120"/>
    </row>
    <row r="190" spans="1:34" ht="13.2">
      <c r="A190" s="142"/>
      <c r="B190" s="142"/>
      <c r="C190" s="142"/>
      <c r="D190" s="142"/>
      <c r="E190" s="174"/>
      <c r="F190" s="174"/>
      <c r="G190" s="175"/>
      <c r="H190" s="175"/>
      <c r="I190" s="170"/>
      <c r="J190" s="170"/>
      <c r="K190" s="147"/>
      <c r="L190" s="147"/>
      <c r="M190" s="170"/>
      <c r="N190" s="170"/>
      <c r="O190" s="133"/>
      <c r="P190" s="133"/>
      <c r="Q190" s="151"/>
      <c r="R190" s="151"/>
      <c r="S190" s="151"/>
      <c r="T190" s="120"/>
      <c r="U190" s="163"/>
      <c r="V190" s="151"/>
      <c r="W190" s="151"/>
      <c r="X190" s="164"/>
      <c r="Y190" s="151"/>
      <c r="Z190" s="120"/>
      <c r="AA190" s="165"/>
      <c r="AB190" s="166"/>
      <c r="AC190" s="166"/>
      <c r="AD190" s="166"/>
      <c r="AE190" s="166"/>
      <c r="AF190" s="120"/>
      <c r="AG190" s="153"/>
      <c r="AH190" s="120"/>
    </row>
    <row r="191" spans="1:34" ht="13.2">
      <c r="A191" s="142"/>
      <c r="B191" s="142"/>
      <c r="C191" s="142"/>
      <c r="D191" s="142"/>
      <c r="E191" s="174"/>
      <c r="F191" s="174"/>
      <c r="G191" s="175"/>
      <c r="H191" s="175"/>
      <c r="I191" s="170"/>
      <c r="J191" s="170"/>
      <c r="K191" s="147"/>
      <c r="L191" s="147"/>
      <c r="M191" s="170"/>
      <c r="N191" s="170"/>
      <c r="O191" s="133"/>
      <c r="P191" s="133"/>
      <c r="Q191" s="157"/>
      <c r="R191" s="157"/>
      <c r="S191" s="157"/>
      <c r="T191" s="120"/>
      <c r="U191" s="158"/>
      <c r="V191" s="157"/>
      <c r="W191" s="157"/>
      <c r="X191" s="159"/>
      <c r="Y191" s="157"/>
      <c r="Z191" s="120"/>
      <c r="AA191" s="167"/>
      <c r="AB191" s="161"/>
      <c r="AC191" s="161"/>
      <c r="AD191" s="161"/>
      <c r="AE191" s="161"/>
      <c r="AF191" s="120"/>
      <c r="AG191" s="162"/>
      <c r="AH191" s="120"/>
    </row>
    <row r="192" spans="1:34" ht="13.2">
      <c r="A192" s="142"/>
      <c r="B192" s="142"/>
      <c r="C192" s="142"/>
      <c r="D192" s="142"/>
      <c r="E192" s="174"/>
      <c r="F192" s="174"/>
      <c r="G192" s="175"/>
      <c r="H192" s="175"/>
      <c r="I192" s="170"/>
      <c r="J192" s="170"/>
      <c r="K192" s="147"/>
      <c r="L192" s="147"/>
      <c r="M192" s="170"/>
      <c r="N192" s="170"/>
      <c r="O192" s="133"/>
      <c r="P192" s="133"/>
      <c r="Q192" s="151"/>
      <c r="R192" s="151"/>
      <c r="S192" s="151"/>
      <c r="T192" s="120"/>
      <c r="U192" s="163"/>
      <c r="V192" s="151"/>
      <c r="W192" s="151"/>
      <c r="X192" s="164"/>
      <c r="Y192" s="151"/>
      <c r="Z192" s="120"/>
      <c r="AA192" s="165"/>
      <c r="AB192" s="166"/>
      <c r="AC192" s="166"/>
      <c r="AD192" s="166"/>
      <c r="AE192" s="166"/>
      <c r="AF192" s="120"/>
      <c r="AG192" s="153"/>
      <c r="AH192" s="120"/>
    </row>
    <row r="193" spans="1:34" ht="13.2">
      <c r="A193" s="142"/>
      <c r="B193" s="142"/>
      <c r="C193" s="142"/>
      <c r="D193" s="142"/>
      <c r="E193" s="174"/>
      <c r="F193" s="174"/>
      <c r="G193" s="175"/>
      <c r="H193" s="175"/>
      <c r="I193" s="170"/>
      <c r="J193" s="170"/>
      <c r="K193" s="147"/>
      <c r="L193" s="147"/>
      <c r="M193" s="170"/>
      <c r="N193" s="170"/>
      <c r="O193" s="133"/>
      <c r="P193" s="133"/>
      <c r="Q193" s="157"/>
      <c r="R193" s="157"/>
      <c r="S193" s="157"/>
      <c r="T193" s="120"/>
      <c r="U193" s="158"/>
      <c r="V193" s="157"/>
      <c r="W193" s="157"/>
      <c r="X193" s="159"/>
      <c r="Y193" s="157"/>
      <c r="Z193" s="120"/>
      <c r="AA193" s="167"/>
      <c r="AB193" s="161"/>
      <c r="AC193" s="161"/>
      <c r="AD193" s="161"/>
      <c r="AE193" s="161"/>
      <c r="AF193" s="120"/>
      <c r="AG193" s="162"/>
      <c r="AH193" s="120"/>
    </row>
    <row r="194" spans="1:34" ht="13.2">
      <c r="A194" s="142"/>
      <c r="B194" s="142"/>
      <c r="C194" s="142"/>
      <c r="D194" s="142"/>
      <c r="E194" s="174"/>
      <c r="F194" s="174"/>
      <c r="G194" s="175"/>
      <c r="H194" s="175"/>
      <c r="I194" s="170"/>
      <c r="J194" s="170"/>
      <c r="K194" s="147"/>
      <c r="L194" s="147"/>
      <c r="M194" s="170"/>
      <c r="N194" s="170"/>
      <c r="O194" s="133"/>
      <c r="P194" s="133"/>
      <c r="Q194" s="151"/>
      <c r="R194" s="151"/>
      <c r="S194" s="151"/>
      <c r="T194" s="120"/>
      <c r="U194" s="163"/>
      <c r="V194" s="151"/>
      <c r="W194" s="151"/>
      <c r="X194" s="164"/>
      <c r="Y194" s="151"/>
      <c r="Z194" s="120"/>
      <c r="AA194" s="165"/>
      <c r="AB194" s="166"/>
      <c r="AC194" s="166"/>
      <c r="AD194" s="166"/>
      <c r="AE194" s="166"/>
      <c r="AF194" s="120"/>
      <c r="AG194" s="153"/>
      <c r="AH194" s="120"/>
    </row>
    <row r="195" spans="1:34" ht="13.2">
      <c r="A195" s="142"/>
      <c r="B195" s="142"/>
      <c r="C195" s="142"/>
      <c r="D195" s="142"/>
      <c r="E195" s="174"/>
      <c r="F195" s="174"/>
      <c r="G195" s="175"/>
      <c r="H195" s="175"/>
      <c r="I195" s="170"/>
      <c r="J195" s="170"/>
      <c r="K195" s="147"/>
      <c r="L195" s="147"/>
      <c r="M195" s="170"/>
      <c r="N195" s="170"/>
      <c r="O195" s="133"/>
      <c r="P195" s="133"/>
      <c r="Q195" s="157"/>
      <c r="R195" s="157"/>
      <c r="S195" s="157"/>
      <c r="T195" s="120"/>
      <c r="U195" s="158"/>
      <c r="V195" s="157"/>
      <c r="W195" s="157"/>
      <c r="X195" s="159"/>
      <c r="Y195" s="157"/>
      <c r="Z195" s="120"/>
      <c r="AA195" s="167"/>
      <c r="AB195" s="161"/>
      <c r="AC195" s="161"/>
      <c r="AD195" s="161"/>
      <c r="AE195" s="161"/>
      <c r="AF195" s="120"/>
      <c r="AG195" s="162"/>
      <c r="AH195" s="120"/>
    </row>
    <row r="196" spans="1:34" ht="13.2">
      <c r="A196" s="142"/>
      <c r="B196" s="142"/>
      <c r="C196" s="142"/>
      <c r="D196" s="142"/>
      <c r="E196" s="174"/>
      <c r="F196" s="174"/>
      <c r="G196" s="175"/>
      <c r="H196" s="175"/>
      <c r="I196" s="170"/>
      <c r="J196" s="170"/>
      <c r="K196" s="147"/>
      <c r="L196" s="147"/>
      <c r="M196" s="170"/>
      <c r="N196" s="170"/>
      <c r="O196" s="133"/>
      <c r="P196" s="133"/>
      <c r="Q196" s="151"/>
      <c r="R196" s="151"/>
      <c r="S196" s="151"/>
      <c r="T196" s="120"/>
      <c r="U196" s="163"/>
      <c r="V196" s="151"/>
      <c r="W196" s="151"/>
      <c r="X196" s="164"/>
      <c r="Y196" s="151"/>
      <c r="Z196" s="120"/>
      <c r="AA196" s="165"/>
      <c r="AB196" s="166"/>
      <c r="AC196" s="166"/>
      <c r="AD196" s="166"/>
      <c r="AE196" s="166"/>
      <c r="AF196" s="120"/>
      <c r="AG196" s="153"/>
      <c r="AH196" s="120"/>
    </row>
    <row r="197" spans="1:34" ht="13.2">
      <c r="A197" s="142"/>
      <c r="B197" s="142"/>
      <c r="C197" s="142"/>
      <c r="D197" s="142"/>
      <c r="E197" s="174"/>
      <c r="F197" s="174"/>
      <c r="G197" s="175"/>
      <c r="H197" s="175"/>
      <c r="I197" s="170"/>
      <c r="J197" s="170"/>
      <c r="K197" s="147"/>
      <c r="L197" s="147"/>
      <c r="M197" s="170"/>
      <c r="N197" s="170"/>
      <c r="O197" s="133"/>
      <c r="P197" s="133"/>
      <c r="Q197" s="157"/>
      <c r="R197" s="157"/>
      <c r="S197" s="157"/>
      <c r="T197" s="120"/>
      <c r="U197" s="158"/>
      <c r="V197" s="157"/>
      <c r="W197" s="157"/>
      <c r="X197" s="159"/>
      <c r="Y197" s="157"/>
      <c r="Z197" s="120"/>
      <c r="AA197" s="167"/>
      <c r="AB197" s="161"/>
      <c r="AC197" s="161"/>
      <c r="AD197" s="161"/>
      <c r="AE197" s="161"/>
      <c r="AF197" s="120"/>
      <c r="AG197" s="162"/>
      <c r="AH197" s="120"/>
    </row>
    <row r="198" spans="1:34" ht="13.2">
      <c r="A198" s="142"/>
      <c r="B198" s="142"/>
      <c r="C198" s="142"/>
      <c r="D198" s="142"/>
      <c r="E198" s="174"/>
      <c r="F198" s="174"/>
      <c r="G198" s="175"/>
      <c r="H198" s="175"/>
      <c r="I198" s="170"/>
      <c r="J198" s="170"/>
      <c r="K198" s="147"/>
      <c r="L198" s="147"/>
      <c r="M198" s="170"/>
      <c r="N198" s="170"/>
      <c r="O198" s="133"/>
      <c r="P198" s="133"/>
      <c r="Q198" s="151"/>
      <c r="R198" s="151"/>
      <c r="S198" s="151"/>
      <c r="T198" s="120"/>
      <c r="U198" s="163"/>
      <c r="V198" s="151"/>
      <c r="W198" s="151"/>
      <c r="X198" s="164"/>
      <c r="Y198" s="151"/>
      <c r="Z198" s="120"/>
      <c r="AA198" s="165"/>
      <c r="AB198" s="166"/>
      <c r="AC198" s="166"/>
      <c r="AD198" s="166"/>
      <c r="AE198" s="166"/>
      <c r="AF198" s="120"/>
      <c r="AG198" s="153"/>
      <c r="AH198" s="120"/>
    </row>
    <row r="199" spans="1:34" ht="13.2">
      <c r="A199" s="142"/>
      <c r="B199" s="142"/>
      <c r="C199" s="142"/>
      <c r="D199" s="142"/>
      <c r="E199" s="174"/>
      <c r="F199" s="174"/>
      <c r="G199" s="175"/>
      <c r="H199" s="175"/>
      <c r="I199" s="170"/>
      <c r="J199" s="170"/>
      <c r="K199" s="147"/>
      <c r="L199" s="147"/>
      <c r="M199" s="170"/>
      <c r="N199" s="170"/>
      <c r="O199" s="133"/>
      <c r="P199" s="133"/>
      <c r="Q199" s="157"/>
      <c r="R199" s="157"/>
      <c r="S199" s="157"/>
      <c r="T199" s="120"/>
      <c r="U199" s="158"/>
      <c r="V199" s="157"/>
      <c r="W199" s="157"/>
      <c r="X199" s="159"/>
      <c r="Y199" s="157"/>
      <c r="Z199" s="120"/>
      <c r="AA199" s="167"/>
      <c r="AB199" s="161"/>
      <c r="AC199" s="161"/>
      <c r="AD199" s="161"/>
      <c r="AE199" s="161"/>
      <c r="AF199" s="120"/>
      <c r="AG199" s="162"/>
      <c r="AH199" s="120"/>
    </row>
    <row r="200" spans="1:34" ht="13.2">
      <c r="A200" s="142"/>
      <c r="B200" s="142"/>
      <c r="C200" s="142"/>
      <c r="D200" s="142"/>
      <c r="E200" s="174"/>
      <c r="F200" s="174"/>
      <c r="G200" s="175"/>
      <c r="H200" s="175"/>
      <c r="I200" s="170"/>
      <c r="J200" s="170"/>
      <c r="K200" s="147"/>
      <c r="L200" s="147"/>
      <c r="M200" s="170"/>
      <c r="N200" s="170"/>
      <c r="O200" s="133"/>
      <c r="P200" s="133"/>
      <c r="Q200" s="151"/>
      <c r="R200" s="151"/>
      <c r="S200" s="151"/>
      <c r="T200" s="120"/>
      <c r="U200" s="163"/>
      <c r="V200" s="151"/>
      <c r="W200" s="151"/>
      <c r="X200" s="164"/>
      <c r="Y200" s="151"/>
      <c r="Z200" s="120"/>
      <c r="AA200" s="165"/>
      <c r="AB200" s="166"/>
      <c r="AC200" s="166"/>
      <c r="AD200" s="166"/>
      <c r="AE200" s="166"/>
      <c r="AF200" s="120"/>
      <c r="AG200" s="153"/>
      <c r="AH200" s="120"/>
    </row>
    <row r="201" spans="1:34" ht="13.2">
      <c r="A201" s="142"/>
      <c r="B201" s="142"/>
      <c r="C201" s="142"/>
      <c r="D201" s="142"/>
      <c r="E201" s="174"/>
      <c r="F201" s="174"/>
      <c r="G201" s="175"/>
      <c r="H201" s="175"/>
      <c r="I201" s="170"/>
      <c r="J201" s="170"/>
      <c r="K201" s="147"/>
      <c r="L201" s="147"/>
      <c r="M201" s="170"/>
      <c r="N201" s="170"/>
      <c r="O201" s="133"/>
      <c r="P201" s="133"/>
      <c r="Q201" s="157"/>
      <c r="R201" s="157"/>
      <c r="S201" s="157"/>
      <c r="T201" s="120"/>
      <c r="U201" s="158"/>
      <c r="V201" s="157"/>
      <c r="W201" s="157"/>
      <c r="X201" s="159"/>
      <c r="Y201" s="157"/>
      <c r="Z201" s="120"/>
      <c r="AA201" s="167"/>
      <c r="AB201" s="161"/>
      <c r="AC201" s="161"/>
      <c r="AD201" s="161"/>
      <c r="AE201" s="161"/>
      <c r="AF201" s="120"/>
      <c r="AG201" s="162"/>
      <c r="AH201" s="120"/>
    </row>
    <row r="202" spans="1:34" ht="13.2">
      <c r="A202" s="142"/>
      <c r="B202" s="142"/>
      <c r="C202" s="142"/>
      <c r="D202" s="142"/>
      <c r="E202" s="174"/>
      <c r="F202" s="174"/>
      <c r="G202" s="175"/>
      <c r="H202" s="175"/>
      <c r="I202" s="170"/>
      <c r="J202" s="170"/>
      <c r="K202" s="147"/>
      <c r="L202" s="147"/>
      <c r="M202" s="170"/>
      <c r="N202" s="170"/>
      <c r="O202" s="133"/>
      <c r="P202" s="133"/>
      <c r="Q202" s="151"/>
      <c r="R202" s="151"/>
      <c r="S202" s="151"/>
      <c r="T202" s="120"/>
      <c r="U202" s="163"/>
      <c r="V202" s="151"/>
      <c r="W202" s="151"/>
      <c r="X202" s="164"/>
      <c r="Y202" s="151"/>
      <c r="Z202" s="120"/>
      <c r="AA202" s="165"/>
      <c r="AB202" s="166"/>
      <c r="AC202" s="166"/>
      <c r="AD202" s="166"/>
      <c r="AE202" s="166"/>
      <c r="AF202" s="120"/>
      <c r="AG202" s="153"/>
      <c r="AH202" s="120"/>
    </row>
    <row r="203" spans="1:34" ht="13.2">
      <c r="A203" s="142"/>
      <c r="B203" s="142"/>
      <c r="C203" s="142"/>
      <c r="D203" s="142"/>
      <c r="E203" s="174"/>
      <c r="F203" s="174"/>
      <c r="G203" s="175"/>
      <c r="H203" s="175"/>
      <c r="I203" s="170"/>
      <c r="J203" s="170"/>
      <c r="K203" s="147"/>
      <c r="L203" s="147"/>
      <c r="M203" s="170"/>
      <c r="N203" s="170"/>
      <c r="O203" s="133"/>
      <c r="P203" s="133"/>
      <c r="Q203" s="157"/>
      <c r="R203" s="157"/>
      <c r="S203" s="157"/>
      <c r="T203" s="120"/>
      <c r="U203" s="158"/>
      <c r="X203" s="159"/>
      <c r="Z203" s="120"/>
      <c r="AA203" s="167"/>
      <c r="AB203" s="161"/>
      <c r="AC203" s="161"/>
      <c r="AD203" s="161"/>
      <c r="AE203" s="161"/>
      <c r="AF203" s="120"/>
      <c r="AG203" s="162"/>
      <c r="AH203" s="120"/>
    </row>
    <row r="204" spans="1:34" ht="13.2">
      <c r="A204" s="142"/>
      <c r="B204" s="142"/>
      <c r="C204" s="142"/>
      <c r="D204" s="142"/>
      <c r="E204" s="174"/>
      <c r="F204" s="174"/>
      <c r="G204" s="175"/>
      <c r="H204" s="175"/>
      <c r="I204" s="170"/>
      <c r="J204" s="170"/>
      <c r="K204" s="147"/>
      <c r="L204" s="147"/>
      <c r="M204" s="170"/>
      <c r="N204" s="170"/>
      <c r="O204" s="133"/>
      <c r="P204" s="133"/>
      <c r="Q204" s="151"/>
      <c r="R204" s="151"/>
      <c r="S204" s="151"/>
      <c r="T204" s="120"/>
      <c r="U204" s="163"/>
      <c r="X204" s="164"/>
      <c r="Z204" s="120"/>
      <c r="AA204" s="165"/>
      <c r="AB204" s="166"/>
      <c r="AC204" s="166"/>
      <c r="AD204" s="166"/>
      <c r="AE204" s="166"/>
      <c r="AF204" s="120"/>
      <c r="AG204" s="153"/>
      <c r="AH204" s="120"/>
    </row>
    <row r="205" spans="1:34" ht="13.2">
      <c r="A205" s="142"/>
      <c r="B205" s="142"/>
      <c r="C205" s="142"/>
      <c r="D205" s="142"/>
      <c r="E205" s="174"/>
      <c r="F205" s="174"/>
      <c r="G205" s="175"/>
      <c r="H205" s="175"/>
      <c r="I205" s="170"/>
      <c r="J205" s="170"/>
      <c r="K205" s="147"/>
      <c r="L205" s="147"/>
      <c r="M205" s="170"/>
      <c r="N205" s="170"/>
      <c r="O205" s="133"/>
      <c r="P205" s="133"/>
      <c r="Q205" s="157"/>
      <c r="R205" s="157"/>
      <c r="S205" s="157"/>
      <c r="T205" s="120"/>
      <c r="U205" s="158"/>
      <c r="X205" s="159"/>
      <c r="Z205" s="120"/>
      <c r="AA205" s="167"/>
      <c r="AB205" s="161"/>
      <c r="AC205" s="161"/>
      <c r="AD205" s="161"/>
      <c r="AE205" s="161"/>
      <c r="AF205" s="120"/>
      <c r="AG205" s="162"/>
      <c r="AH205" s="120"/>
    </row>
    <row r="206" spans="1:34" ht="13.2">
      <c r="A206" s="142"/>
      <c r="B206" s="142"/>
      <c r="C206" s="142"/>
      <c r="D206" s="142"/>
      <c r="E206" s="174"/>
      <c r="F206" s="174"/>
      <c r="G206" s="175"/>
      <c r="H206" s="175"/>
      <c r="I206" s="170"/>
      <c r="J206" s="170"/>
      <c r="K206" s="147"/>
      <c r="L206" s="147"/>
      <c r="M206" s="170"/>
      <c r="N206" s="170"/>
      <c r="O206" s="133"/>
      <c r="P206" s="133"/>
      <c r="Q206" s="151"/>
      <c r="R206" s="151"/>
      <c r="S206" s="151"/>
      <c r="T206" s="120"/>
      <c r="U206" s="163"/>
      <c r="X206" s="164"/>
      <c r="Z206" s="120"/>
      <c r="AA206" s="165"/>
      <c r="AB206" s="166"/>
      <c r="AC206" s="166"/>
      <c r="AD206" s="166"/>
      <c r="AE206" s="166"/>
      <c r="AF206" s="120"/>
      <c r="AG206" s="153"/>
      <c r="AH206" s="120"/>
    </row>
    <row r="207" spans="1:34" ht="13.2">
      <c r="A207" s="142"/>
      <c r="B207" s="142"/>
      <c r="C207" s="142"/>
      <c r="D207" s="142"/>
      <c r="E207" s="174"/>
      <c r="F207" s="174"/>
      <c r="G207" s="175"/>
      <c r="H207" s="175"/>
      <c r="I207" s="170"/>
      <c r="J207" s="170"/>
      <c r="K207" s="147"/>
      <c r="L207" s="147"/>
      <c r="M207" s="170"/>
      <c r="N207" s="170"/>
      <c r="O207" s="133"/>
      <c r="P207" s="133"/>
      <c r="Q207" s="157"/>
      <c r="R207" s="157"/>
      <c r="S207" s="157"/>
      <c r="T207" s="120"/>
      <c r="U207" s="158"/>
      <c r="X207" s="159"/>
      <c r="Z207" s="120"/>
      <c r="AA207" s="167"/>
      <c r="AB207" s="161"/>
      <c r="AC207" s="161"/>
      <c r="AD207" s="161"/>
      <c r="AE207" s="161"/>
      <c r="AF207" s="120"/>
      <c r="AG207" s="162"/>
      <c r="AH207" s="120"/>
    </row>
    <row r="208" spans="1:34" ht="13.2">
      <c r="A208" s="142"/>
      <c r="B208" s="142"/>
      <c r="C208" s="142"/>
      <c r="D208" s="142"/>
      <c r="E208" s="174"/>
      <c r="F208" s="174"/>
      <c r="G208" s="175"/>
      <c r="H208" s="175"/>
      <c r="I208" s="170"/>
      <c r="J208" s="170"/>
      <c r="K208" s="147"/>
      <c r="L208" s="147"/>
      <c r="M208" s="170"/>
      <c r="N208" s="170"/>
      <c r="O208" s="133"/>
      <c r="P208" s="133"/>
      <c r="Q208" s="151"/>
      <c r="R208" s="151"/>
      <c r="S208" s="151"/>
      <c r="T208" s="120"/>
      <c r="U208" s="163"/>
      <c r="X208" s="164"/>
      <c r="Z208" s="120"/>
      <c r="AA208" s="165"/>
      <c r="AB208" s="166"/>
      <c r="AC208" s="166"/>
      <c r="AD208" s="166"/>
      <c r="AE208" s="166"/>
      <c r="AF208" s="120"/>
      <c r="AG208" s="153"/>
      <c r="AH208" s="120"/>
    </row>
    <row r="209" spans="1:34" ht="13.2">
      <c r="A209" s="142"/>
      <c r="B209" s="142"/>
      <c r="C209" s="142"/>
      <c r="D209" s="142"/>
      <c r="E209" s="174"/>
      <c r="F209" s="174"/>
      <c r="G209" s="175"/>
      <c r="H209" s="175"/>
      <c r="I209" s="170"/>
      <c r="J209" s="170"/>
      <c r="K209" s="147"/>
      <c r="L209" s="147"/>
      <c r="M209" s="170"/>
      <c r="N209" s="170"/>
      <c r="O209" s="133"/>
      <c r="P209" s="133"/>
      <c r="Q209" s="157"/>
      <c r="R209" s="157"/>
      <c r="S209" s="157"/>
      <c r="T209" s="120"/>
      <c r="U209" s="158"/>
      <c r="X209" s="159"/>
      <c r="Z209" s="120"/>
      <c r="AA209" s="167"/>
      <c r="AB209" s="161"/>
      <c r="AC209" s="161"/>
      <c r="AD209" s="161"/>
      <c r="AE209" s="161"/>
      <c r="AF209" s="120"/>
      <c r="AG209" s="162"/>
      <c r="AH209" s="120"/>
    </row>
    <row r="210" spans="1:34" ht="13.2">
      <c r="A210" s="142"/>
      <c r="B210" s="142"/>
      <c r="C210" s="142"/>
      <c r="D210" s="142"/>
      <c r="E210" s="174"/>
      <c r="F210" s="174"/>
      <c r="G210" s="175"/>
      <c r="H210" s="175"/>
      <c r="I210" s="170"/>
      <c r="J210" s="170"/>
      <c r="K210" s="147"/>
      <c r="L210" s="147"/>
      <c r="M210" s="170"/>
      <c r="N210" s="170"/>
      <c r="O210" s="133"/>
      <c r="P210" s="133"/>
      <c r="Q210" s="151"/>
      <c r="R210" s="151"/>
      <c r="S210" s="151"/>
      <c r="T210" s="120"/>
      <c r="U210" s="163"/>
      <c r="X210" s="164"/>
      <c r="Z210" s="120"/>
      <c r="AA210" s="165"/>
      <c r="AB210" s="166"/>
      <c r="AC210" s="166"/>
      <c r="AD210" s="166"/>
      <c r="AE210" s="166"/>
      <c r="AF210" s="120"/>
      <c r="AG210" s="153"/>
      <c r="AH210" s="120"/>
    </row>
    <row r="211" spans="1:34" ht="13.2">
      <c r="A211" s="142"/>
      <c r="B211" s="142"/>
      <c r="C211" s="142"/>
      <c r="D211" s="142"/>
      <c r="E211" s="174"/>
      <c r="F211" s="174"/>
      <c r="G211" s="175"/>
      <c r="H211" s="175"/>
      <c r="I211" s="170"/>
      <c r="J211" s="170"/>
      <c r="K211" s="147"/>
      <c r="L211" s="147"/>
      <c r="M211" s="170"/>
      <c r="N211" s="170"/>
      <c r="O211" s="133"/>
      <c r="P211" s="133"/>
      <c r="Q211" s="157"/>
      <c r="R211" s="157"/>
      <c r="S211" s="157"/>
      <c r="T211" s="120"/>
      <c r="U211" s="158"/>
      <c r="X211" s="159"/>
      <c r="Z211" s="120"/>
      <c r="AA211" s="167"/>
      <c r="AB211" s="161"/>
      <c r="AC211" s="161"/>
      <c r="AD211" s="161"/>
      <c r="AE211" s="161"/>
      <c r="AF211" s="120"/>
      <c r="AG211" s="162"/>
      <c r="AH211" s="120"/>
    </row>
    <row r="212" spans="1:34" ht="13.2">
      <c r="A212" s="142"/>
      <c r="B212" s="142"/>
      <c r="C212" s="142"/>
      <c r="D212" s="142"/>
      <c r="E212" s="174"/>
      <c r="F212" s="174"/>
      <c r="G212" s="175"/>
      <c r="H212" s="175"/>
      <c r="I212" s="170"/>
      <c r="J212" s="170"/>
      <c r="K212" s="147"/>
      <c r="L212" s="147"/>
      <c r="M212" s="170"/>
      <c r="N212" s="170"/>
      <c r="O212" s="133"/>
      <c r="P212" s="133"/>
      <c r="Q212" s="151"/>
      <c r="R212" s="151"/>
      <c r="S212" s="151"/>
      <c r="T212" s="120"/>
      <c r="U212" s="163"/>
      <c r="X212" s="164"/>
      <c r="Z212" s="120"/>
      <c r="AA212" s="165"/>
      <c r="AB212" s="166"/>
      <c r="AC212" s="166"/>
      <c r="AD212" s="166"/>
      <c r="AE212" s="166"/>
      <c r="AF212" s="120"/>
      <c r="AG212" s="153"/>
      <c r="AH212" s="120"/>
    </row>
    <row r="213" spans="1:34" ht="13.2">
      <c r="A213" s="142"/>
      <c r="B213" s="142"/>
      <c r="C213" s="142"/>
      <c r="D213" s="142"/>
      <c r="E213" s="174"/>
      <c r="F213" s="174"/>
      <c r="G213" s="175"/>
      <c r="H213" s="175"/>
      <c r="I213" s="170"/>
      <c r="J213" s="170"/>
      <c r="K213" s="147"/>
      <c r="L213" s="147"/>
      <c r="M213" s="170"/>
      <c r="N213" s="170"/>
      <c r="O213" s="133"/>
      <c r="P213" s="133"/>
      <c r="Q213" s="157"/>
      <c r="R213" s="157"/>
      <c r="S213" s="157"/>
      <c r="T213" s="120"/>
      <c r="U213" s="158"/>
      <c r="X213" s="159"/>
      <c r="Z213" s="120"/>
      <c r="AA213" s="167"/>
      <c r="AB213" s="161"/>
      <c r="AC213" s="161"/>
      <c r="AD213" s="161"/>
      <c r="AE213" s="161"/>
      <c r="AF213" s="120"/>
      <c r="AG213" s="162"/>
      <c r="AH213" s="120"/>
    </row>
    <row r="214" spans="1:34" ht="13.2">
      <c r="A214" s="142"/>
      <c r="B214" s="142"/>
      <c r="C214" s="142"/>
      <c r="D214" s="142"/>
      <c r="E214" s="174"/>
      <c r="F214" s="174"/>
      <c r="G214" s="175"/>
      <c r="H214" s="175"/>
      <c r="I214" s="170"/>
      <c r="J214" s="170"/>
      <c r="K214" s="147"/>
      <c r="L214" s="147"/>
      <c r="M214" s="170"/>
      <c r="N214" s="170"/>
      <c r="O214" s="133"/>
      <c r="P214" s="133"/>
      <c r="Q214" s="151"/>
      <c r="R214" s="151"/>
      <c r="S214" s="151"/>
      <c r="T214" s="120"/>
      <c r="U214" s="163"/>
      <c r="X214" s="164"/>
      <c r="Z214" s="120"/>
      <c r="AA214" s="165"/>
      <c r="AB214" s="166"/>
      <c r="AC214" s="166"/>
      <c r="AD214" s="166"/>
      <c r="AE214" s="166"/>
      <c r="AF214" s="120"/>
      <c r="AG214" s="153"/>
      <c r="AH214" s="120"/>
    </row>
    <row r="215" spans="1:34" ht="13.2">
      <c r="A215" s="142"/>
      <c r="B215" s="142"/>
      <c r="C215" s="142"/>
      <c r="D215" s="142"/>
      <c r="E215" s="174"/>
      <c r="F215" s="174"/>
      <c r="G215" s="175"/>
      <c r="H215" s="175"/>
      <c r="I215" s="170"/>
      <c r="J215" s="170"/>
      <c r="K215" s="147"/>
      <c r="L215" s="147"/>
      <c r="M215" s="170"/>
      <c r="N215" s="170"/>
      <c r="O215" s="133"/>
      <c r="P215" s="133"/>
      <c r="Q215" s="157"/>
      <c r="R215" s="157"/>
      <c r="S215" s="157"/>
      <c r="T215" s="120"/>
      <c r="U215" s="158"/>
      <c r="X215" s="159"/>
      <c r="Z215" s="120"/>
      <c r="AA215" s="167"/>
      <c r="AB215" s="161"/>
      <c r="AC215" s="161"/>
      <c r="AD215" s="161"/>
      <c r="AE215" s="161"/>
      <c r="AF215" s="120"/>
      <c r="AG215" s="162"/>
      <c r="AH215" s="120"/>
    </row>
    <row r="216" spans="1:34" ht="13.2">
      <c r="A216" s="142"/>
      <c r="B216" s="142"/>
      <c r="C216" s="142"/>
      <c r="D216" s="142"/>
      <c r="E216" s="174"/>
      <c r="F216" s="174"/>
      <c r="G216" s="175"/>
      <c r="H216" s="175"/>
      <c r="I216" s="170"/>
      <c r="J216" s="170"/>
      <c r="K216" s="147"/>
      <c r="L216" s="147"/>
      <c r="M216" s="170"/>
      <c r="N216" s="170"/>
      <c r="O216" s="133"/>
      <c r="P216" s="133"/>
      <c r="Q216" s="151"/>
      <c r="R216" s="151"/>
      <c r="S216" s="151"/>
      <c r="T216" s="120"/>
      <c r="U216" s="163"/>
      <c r="X216" s="164"/>
      <c r="Z216" s="120"/>
      <c r="AA216" s="165"/>
      <c r="AB216" s="166"/>
      <c r="AC216" s="166"/>
      <c r="AD216" s="166"/>
      <c r="AE216" s="166"/>
      <c r="AF216" s="120"/>
      <c r="AG216" s="153"/>
      <c r="AH216" s="120"/>
    </row>
    <row r="217" spans="1:34" ht="13.2">
      <c r="A217" s="142"/>
      <c r="B217" s="142"/>
      <c r="C217" s="142"/>
      <c r="D217" s="142"/>
      <c r="E217" s="174"/>
      <c r="F217" s="174"/>
      <c r="G217" s="175"/>
      <c r="H217" s="175"/>
      <c r="I217" s="170"/>
      <c r="J217" s="170"/>
      <c r="K217" s="147"/>
      <c r="L217" s="147"/>
      <c r="M217" s="170"/>
      <c r="N217" s="170"/>
      <c r="O217" s="133"/>
      <c r="P217" s="133"/>
      <c r="Q217" s="157"/>
      <c r="R217" s="157"/>
      <c r="S217" s="157"/>
      <c r="T217" s="120"/>
      <c r="U217" s="158"/>
      <c r="X217" s="159"/>
      <c r="Z217" s="120"/>
      <c r="AA217" s="167"/>
      <c r="AB217" s="161"/>
      <c r="AC217" s="161"/>
      <c r="AD217" s="161"/>
      <c r="AE217" s="161"/>
      <c r="AF217" s="120"/>
      <c r="AG217" s="162"/>
      <c r="AH217" s="120"/>
    </row>
    <row r="218" spans="1:34" ht="13.2">
      <c r="A218" s="142"/>
      <c r="B218" s="142"/>
      <c r="C218" s="142"/>
      <c r="D218" s="142"/>
      <c r="E218" s="174"/>
      <c r="F218" s="174"/>
      <c r="G218" s="175"/>
      <c r="H218" s="175"/>
      <c r="I218" s="170"/>
      <c r="J218" s="170"/>
      <c r="K218" s="147"/>
      <c r="L218" s="147"/>
      <c r="M218" s="170"/>
      <c r="N218" s="170"/>
      <c r="O218" s="133"/>
      <c r="P218" s="133"/>
      <c r="Q218" s="151"/>
      <c r="R218" s="151"/>
      <c r="S218" s="151"/>
      <c r="T218" s="120"/>
      <c r="U218" s="163"/>
      <c r="X218" s="164"/>
      <c r="Z218" s="120"/>
      <c r="AA218" s="165"/>
      <c r="AB218" s="166"/>
      <c r="AC218" s="166"/>
      <c r="AD218" s="166"/>
      <c r="AE218" s="166"/>
      <c r="AF218" s="120"/>
      <c r="AG218" s="153"/>
      <c r="AH218" s="120"/>
    </row>
    <row r="219" spans="1:34" ht="13.2">
      <c r="A219" s="142"/>
      <c r="B219" s="142"/>
      <c r="C219" s="142"/>
      <c r="D219" s="142"/>
      <c r="E219" s="174"/>
      <c r="F219" s="174"/>
      <c r="G219" s="175"/>
      <c r="H219" s="175"/>
      <c r="I219" s="170"/>
      <c r="J219" s="170"/>
      <c r="K219" s="147"/>
      <c r="L219" s="147"/>
      <c r="M219" s="170"/>
      <c r="N219" s="170"/>
      <c r="O219" s="133"/>
      <c r="P219" s="133"/>
      <c r="Q219" s="157"/>
      <c r="R219" s="157"/>
      <c r="S219" s="157"/>
      <c r="T219" s="120"/>
      <c r="U219" s="158"/>
      <c r="X219" s="159"/>
      <c r="Z219" s="120"/>
      <c r="AA219" s="167"/>
      <c r="AB219" s="161"/>
      <c r="AC219" s="161"/>
      <c r="AD219" s="161"/>
      <c r="AE219" s="161"/>
      <c r="AF219" s="120"/>
      <c r="AG219" s="162"/>
      <c r="AH219" s="120"/>
    </row>
    <row r="220" spans="1:34" ht="13.2">
      <c r="A220" s="142"/>
      <c r="B220" s="142"/>
      <c r="C220" s="142"/>
      <c r="D220" s="142"/>
      <c r="E220" s="174"/>
      <c r="F220" s="174"/>
      <c r="G220" s="175"/>
      <c r="H220" s="175"/>
      <c r="I220" s="170"/>
      <c r="J220" s="170"/>
      <c r="K220" s="147"/>
      <c r="L220" s="147"/>
      <c r="M220" s="170"/>
      <c r="N220" s="170"/>
      <c r="O220" s="133"/>
      <c r="P220" s="133"/>
      <c r="Q220" s="151"/>
      <c r="R220" s="151"/>
      <c r="S220" s="151"/>
      <c r="T220" s="120"/>
      <c r="U220" s="163"/>
      <c r="X220" s="164"/>
      <c r="Z220" s="120"/>
      <c r="AA220" s="165"/>
      <c r="AB220" s="166"/>
      <c r="AC220" s="166"/>
      <c r="AD220" s="166"/>
      <c r="AE220" s="166"/>
      <c r="AF220" s="120"/>
      <c r="AG220" s="153"/>
      <c r="AH220" s="120"/>
    </row>
    <row r="221" spans="1:34" ht="13.2">
      <c r="A221" s="142"/>
      <c r="B221" s="142"/>
      <c r="C221" s="142"/>
      <c r="D221" s="142"/>
      <c r="E221" s="174"/>
      <c r="F221" s="174"/>
      <c r="G221" s="175"/>
      <c r="H221" s="175"/>
      <c r="I221" s="170"/>
      <c r="J221" s="170"/>
      <c r="K221" s="147"/>
      <c r="L221" s="147"/>
      <c r="M221" s="170"/>
      <c r="N221" s="170"/>
      <c r="O221" s="133"/>
      <c r="P221" s="133"/>
      <c r="Q221" s="157"/>
      <c r="R221" s="157"/>
      <c r="S221" s="157"/>
      <c r="T221" s="120"/>
      <c r="U221" s="158"/>
      <c r="X221" s="159"/>
      <c r="Z221" s="120"/>
      <c r="AA221" s="167"/>
      <c r="AB221" s="161"/>
      <c r="AC221" s="161"/>
      <c r="AD221" s="161"/>
      <c r="AE221" s="161"/>
      <c r="AF221" s="120"/>
      <c r="AG221" s="162"/>
      <c r="AH221" s="120"/>
    </row>
    <row r="222" spans="1:34" ht="13.2">
      <c r="A222" s="142"/>
      <c r="B222" s="142"/>
      <c r="C222" s="142"/>
      <c r="D222" s="142"/>
      <c r="E222" s="174"/>
      <c r="F222" s="174"/>
      <c r="G222" s="175"/>
      <c r="H222" s="175"/>
      <c r="I222" s="170"/>
      <c r="J222" s="170"/>
      <c r="K222" s="147"/>
      <c r="L222" s="147"/>
      <c r="M222" s="170"/>
      <c r="N222" s="170"/>
      <c r="O222" s="133"/>
      <c r="P222" s="133"/>
      <c r="Q222" s="151"/>
      <c r="R222" s="151"/>
      <c r="S222" s="151"/>
      <c r="T222" s="120"/>
      <c r="U222" s="163"/>
      <c r="X222" s="164"/>
      <c r="Z222" s="120"/>
      <c r="AA222" s="165"/>
      <c r="AB222" s="166"/>
      <c r="AC222" s="166"/>
      <c r="AD222" s="166"/>
      <c r="AE222" s="166"/>
      <c r="AF222" s="120"/>
      <c r="AG222" s="153"/>
      <c r="AH222" s="120"/>
    </row>
    <row r="223" spans="1:34" ht="13.2">
      <c r="A223" s="142"/>
      <c r="B223" s="142"/>
      <c r="C223" s="142"/>
      <c r="D223" s="142"/>
      <c r="E223" s="174"/>
      <c r="F223" s="174"/>
      <c r="G223" s="175"/>
      <c r="H223" s="175"/>
      <c r="I223" s="170"/>
      <c r="J223" s="170"/>
      <c r="K223" s="147"/>
      <c r="L223" s="147"/>
      <c r="M223" s="170"/>
      <c r="N223" s="170"/>
      <c r="O223" s="133"/>
      <c r="P223" s="133"/>
      <c r="Q223" s="157"/>
      <c r="R223" s="157"/>
      <c r="S223" s="157"/>
      <c r="T223" s="120"/>
      <c r="U223" s="158"/>
      <c r="X223" s="159"/>
      <c r="Z223" s="120"/>
      <c r="AA223" s="167"/>
      <c r="AB223" s="161"/>
      <c r="AC223" s="161"/>
      <c r="AD223" s="161"/>
      <c r="AE223" s="161"/>
      <c r="AF223" s="120"/>
      <c r="AG223" s="162"/>
      <c r="AH223" s="120"/>
    </row>
    <row r="224" spans="1:34" ht="13.2">
      <c r="A224" s="142"/>
      <c r="B224" s="142"/>
      <c r="C224" s="142"/>
      <c r="D224" s="142"/>
      <c r="E224" s="174"/>
      <c r="F224" s="174"/>
      <c r="G224" s="175"/>
      <c r="H224" s="175"/>
      <c r="I224" s="170"/>
      <c r="J224" s="170"/>
      <c r="K224" s="147"/>
      <c r="L224" s="147"/>
      <c r="M224" s="170"/>
      <c r="N224" s="170"/>
      <c r="O224" s="133"/>
      <c r="P224" s="133"/>
      <c r="Q224" s="151"/>
      <c r="R224" s="151"/>
      <c r="S224" s="151"/>
      <c r="T224" s="120"/>
      <c r="U224" s="163"/>
      <c r="X224" s="164"/>
      <c r="Z224" s="120"/>
      <c r="AA224" s="165"/>
      <c r="AB224" s="166"/>
      <c r="AC224" s="166"/>
      <c r="AD224" s="166"/>
      <c r="AE224" s="166"/>
      <c r="AF224" s="120"/>
      <c r="AG224" s="153"/>
      <c r="AH224" s="120"/>
    </row>
    <row r="225" spans="1:34" ht="13.2">
      <c r="A225" s="142"/>
      <c r="B225" s="142"/>
      <c r="C225" s="142"/>
      <c r="D225" s="142"/>
      <c r="E225" s="174"/>
      <c r="F225" s="174"/>
      <c r="G225" s="175"/>
      <c r="H225" s="175"/>
      <c r="I225" s="170"/>
      <c r="J225" s="170"/>
      <c r="K225" s="147"/>
      <c r="L225" s="147"/>
      <c r="M225" s="170"/>
      <c r="N225" s="170"/>
      <c r="O225" s="133"/>
      <c r="P225" s="133"/>
      <c r="Q225" s="157"/>
      <c r="R225" s="157"/>
      <c r="S225" s="157"/>
      <c r="T225" s="120"/>
      <c r="U225" s="158"/>
      <c r="X225" s="159"/>
      <c r="Z225" s="120"/>
      <c r="AA225" s="167"/>
      <c r="AB225" s="161"/>
      <c r="AC225" s="161"/>
      <c r="AD225" s="161"/>
      <c r="AE225" s="161"/>
      <c r="AF225" s="120"/>
      <c r="AG225" s="162"/>
      <c r="AH225" s="120"/>
    </row>
    <row r="226" spans="1:34" ht="13.2">
      <c r="A226" s="142"/>
      <c r="B226" s="142"/>
      <c r="C226" s="142"/>
      <c r="D226" s="142"/>
      <c r="E226" s="174"/>
      <c r="F226" s="174"/>
      <c r="G226" s="175"/>
      <c r="H226" s="175"/>
      <c r="I226" s="170"/>
      <c r="J226" s="170"/>
      <c r="K226" s="147"/>
      <c r="L226" s="147"/>
      <c r="M226" s="170"/>
      <c r="N226" s="170"/>
      <c r="O226" s="133"/>
      <c r="P226" s="133"/>
      <c r="Q226" s="151"/>
      <c r="R226" s="151"/>
      <c r="S226" s="151"/>
      <c r="T226" s="120"/>
      <c r="U226" s="163"/>
      <c r="X226" s="164"/>
      <c r="Z226" s="120"/>
      <c r="AA226" s="165"/>
      <c r="AB226" s="166"/>
      <c r="AC226" s="166"/>
      <c r="AD226" s="166"/>
      <c r="AE226" s="166"/>
      <c r="AF226" s="120"/>
      <c r="AG226" s="153"/>
      <c r="AH226" s="120"/>
    </row>
    <row r="227" spans="1:34" ht="13.2">
      <c r="A227" s="142"/>
      <c r="B227" s="142"/>
      <c r="C227" s="142"/>
      <c r="D227" s="142"/>
      <c r="E227" s="174"/>
      <c r="F227" s="174"/>
      <c r="G227" s="175"/>
      <c r="H227" s="175"/>
      <c r="I227" s="170"/>
      <c r="J227" s="170"/>
      <c r="K227" s="147"/>
      <c r="L227" s="147"/>
      <c r="M227" s="170"/>
      <c r="N227" s="170"/>
      <c r="O227" s="133"/>
      <c r="P227" s="133"/>
      <c r="Q227" s="157"/>
      <c r="R227" s="157"/>
      <c r="S227" s="157"/>
      <c r="T227" s="120"/>
      <c r="U227" s="158"/>
      <c r="X227" s="159"/>
      <c r="Z227" s="120"/>
      <c r="AA227" s="167"/>
      <c r="AB227" s="161"/>
      <c r="AC227" s="161"/>
      <c r="AD227" s="161"/>
      <c r="AE227" s="161"/>
      <c r="AF227" s="120"/>
      <c r="AG227" s="162"/>
      <c r="AH227" s="120"/>
    </row>
    <row r="228" spans="1:34" ht="13.2">
      <c r="A228" s="142"/>
      <c r="B228" s="142"/>
      <c r="C228" s="142"/>
      <c r="D228" s="142"/>
      <c r="E228" s="174"/>
      <c r="F228" s="174"/>
      <c r="G228" s="175"/>
      <c r="H228" s="175"/>
      <c r="I228" s="170"/>
      <c r="J228" s="170"/>
      <c r="K228" s="147"/>
      <c r="L228" s="147"/>
      <c r="M228" s="170"/>
      <c r="N228" s="170"/>
      <c r="O228" s="133"/>
      <c r="P228" s="133"/>
      <c r="Q228" s="151"/>
      <c r="R228" s="151"/>
      <c r="S228" s="151"/>
      <c r="T228" s="120"/>
      <c r="U228" s="163"/>
      <c r="X228" s="164"/>
      <c r="Z228" s="120"/>
      <c r="AA228" s="165"/>
      <c r="AB228" s="166"/>
      <c r="AC228" s="166"/>
      <c r="AD228" s="166"/>
      <c r="AE228" s="166"/>
      <c r="AF228" s="120"/>
      <c r="AG228" s="153"/>
      <c r="AH228" s="120"/>
    </row>
    <row r="229" spans="1:34" ht="13.2">
      <c r="A229" s="142"/>
      <c r="B229" s="142"/>
      <c r="C229" s="142"/>
      <c r="D229" s="142"/>
      <c r="E229" s="174"/>
      <c r="F229" s="174"/>
      <c r="G229" s="175"/>
      <c r="H229" s="175"/>
      <c r="I229" s="170"/>
      <c r="J229" s="170"/>
      <c r="K229" s="147"/>
      <c r="L229" s="147"/>
      <c r="M229" s="170"/>
      <c r="N229" s="170"/>
      <c r="O229" s="133"/>
      <c r="P229" s="133"/>
      <c r="Q229" s="157"/>
      <c r="R229" s="157"/>
      <c r="S229" s="157"/>
      <c r="T229" s="120"/>
      <c r="U229" s="158"/>
      <c r="X229" s="159"/>
      <c r="Z229" s="120"/>
      <c r="AA229" s="167"/>
      <c r="AB229" s="161"/>
      <c r="AC229" s="161"/>
      <c r="AD229" s="161"/>
      <c r="AE229" s="161"/>
      <c r="AF229" s="120"/>
      <c r="AG229" s="162"/>
      <c r="AH229" s="120"/>
    </row>
    <row r="230" spans="1:34" ht="13.2">
      <c r="A230" s="142"/>
      <c r="B230" s="142"/>
      <c r="C230" s="142"/>
      <c r="D230" s="142"/>
      <c r="E230" s="174"/>
      <c r="F230" s="174"/>
      <c r="G230" s="175"/>
      <c r="H230" s="175"/>
      <c r="I230" s="170"/>
      <c r="J230" s="170"/>
      <c r="K230" s="147"/>
      <c r="L230" s="147"/>
      <c r="M230" s="170"/>
      <c r="N230" s="170"/>
      <c r="O230" s="133"/>
      <c r="P230" s="133"/>
      <c r="Q230" s="151"/>
      <c r="R230" s="151"/>
      <c r="S230" s="151"/>
      <c r="T230" s="120"/>
      <c r="U230" s="163"/>
      <c r="X230" s="164"/>
      <c r="Z230" s="120"/>
      <c r="AA230" s="165"/>
      <c r="AB230" s="166"/>
      <c r="AC230" s="166"/>
      <c r="AD230" s="166"/>
      <c r="AE230" s="166"/>
      <c r="AF230" s="120"/>
      <c r="AG230" s="153"/>
      <c r="AH230" s="120"/>
    </row>
    <row r="231" spans="1:34" ht="13.2">
      <c r="A231" s="142"/>
      <c r="B231" s="142"/>
      <c r="C231" s="142"/>
      <c r="D231" s="142"/>
      <c r="E231" s="174"/>
      <c r="F231" s="174"/>
      <c r="G231" s="175"/>
      <c r="H231" s="175"/>
      <c r="I231" s="170"/>
      <c r="J231" s="170"/>
      <c r="K231" s="147"/>
      <c r="L231" s="147"/>
      <c r="M231" s="170"/>
      <c r="N231" s="170"/>
      <c r="O231" s="133"/>
      <c r="P231" s="133"/>
      <c r="Q231" s="157"/>
      <c r="R231" s="157"/>
      <c r="S231" s="157"/>
      <c r="T231" s="120"/>
      <c r="U231" s="158"/>
      <c r="X231" s="159"/>
      <c r="Z231" s="120"/>
      <c r="AA231" s="167"/>
      <c r="AB231" s="161"/>
      <c r="AC231" s="161"/>
      <c r="AD231" s="161"/>
      <c r="AE231" s="161"/>
      <c r="AF231" s="120"/>
      <c r="AG231" s="162"/>
      <c r="AH231" s="120"/>
    </row>
    <row r="232" spans="1:34" ht="13.2">
      <c r="A232" s="142"/>
      <c r="B232" s="142"/>
      <c r="C232" s="142"/>
      <c r="D232" s="142"/>
      <c r="E232" s="174"/>
      <c r="F232" s="174"/>
      <c r="G232" s="175"/>
      <c r="H232" s="175"/>
      <c r="I232" s="170"/>
      <c r="J232" s="170"/>
      <c r="K232" s="147"/>
      <c r="L232" s="147"/>
      <c r="M232" s="170"/>
      <c r="N232" s="170"/>
      <c r="O232" s="133"/>
      <c r="P232" s="133"/>
      <c r="Q232" s="151"/>
      <c r="R232" s="151"/>
      <c r="S232" s="151"/>
      <c r="T232" s="120"/>
      <c r="U232" s="163"/>
      <c r="X232" s="164"/>
      <c r="Z232" s="120"/>
      <c r="AA232" s="165"/>
      <c r="AB232" s="166"/>
      <c r="AC232" s="166"/>
      <c r="AD232" s="166"/>
      <c r="AE232" s="166"/>
      <c r="AF232" s="120"/>
      <c r="AG232" s="153"/>
      <c r="AH232" s="120"/>
    </row>
    <row r="233" spans="1:34" ht="13.2">
      <c r="A233" s="142"/>
      <c r="B233" s="142"/>
      <c r="C233" s="142"/>
      <c r="D233" s="142"/>
      <c r="E233" s="174"/>
      <c r="F233" s="174"/>
      <c r="G233" s="175"/>
      <c r="H233" s="175"/>
      <c r="I233" s="170"/>
      <c r="J233" s="170"/>
      <c r="K233" s="147"/>
      <c r="L233" s="147"/>
      <c r="M233" s="170"/>
      <c r="N233" s="170"/>
      <c r="O233" s="133"/>
      <c r="P233" s="133"/>
      <c r="Q233" s="157"/>
      <c r="R233" s="157"/>
      <c r="S233" s="157"/>
      <c r="T233" s="120"/>
      <c r="U233" s="158"/>
      <c r="X233" s="159"/>
      <c r="Z233" s="120"/>
      <c r="AA233" s="167"/>
      <c r="AB233" s="161"/>
      <c r="AC233" s="161"/>
      <c r="AD233" s="161"/>
      <c r="AE233" s="161"/>
      <c r="AF233" s="120"/>
      <c r="AG233" s="162"/>
      <c r="AH233" s="120"/>
    </row>
    <row r="234" spans="1:34" ht="13.2">
      <c r="A234" s="142"/>
      <c r="B234" s="142"/>
      <c r="C234" s="142"/>
      <c r="D234" s="142"/>
      <c r="E234" s="174"/>
      <c r="F234" s="174"/>
      <c r="G234" s="175"/>
      <c r="H234" s="175"/>
      <c r="I234" s="170"/>
      <c r="J234" s="170"/>
      <c r="K234" s="147"/>
      <c r="L234" s="147"/>
      <c r="M234" s="170"/>
      <c r="N234" s="170"/>
      <c r="O234" s="133"/>
      <c r="P234" s="133"/>
      <c r="Q234" s="151"/>
      <c r="R234" s="151"/>
      <c r="S234" s="151"/>
      <c r="T234" s="120"/>
      <c r="U234" s="163"/>
      <c r="X234" s="164"/>
      <c r="Z234" s="120"/>
      <c r="AA234" s="165"/>
      <c r="AB234" s="166"/>
      <c r="AC234" s="166"/>
      <c r="AD234" s="166"/>
      <c r="AE234" s="166"/>
      <c r="AF234" s="120"/>
      <c r="AG234" s="153"/>
      <c r="AH234" s="120"/>
    </row>
    <row r="235" spans="1:34" ht="13.2">
      <c r="A235" s="142"/>
      <c r="B235" s="142"/>
      <c r="C235" s="142"/>
      <c r="D235" s="142"/>
      <c r="E235" s="174"/>
      <c r="F235" s="174"/>
      <c r="G235" s="175"/>
      <c r="H235" s="175"/>
      <c r="I235" s="170"/>
      <c r="J235" s="170"/>
      <c r="K235" s="147"/>
      <c r="L235" s="147"/>
      <c r="M235" s="170"/>
      <c r="N235" s="170"/>
      <c r="O235" s="133"/>
      <c r="P235" s="133"/>
      <c r="Q235" s="157"/>
      <c r="R235" s="157"/>
      <c r="S235" s="157"/>
      <c r="T235" s="120"/>
      <c r="U235" s="158"/>
      <c r="X235" s="159"/>
      <c r="Z235" s="120"/>
      <c r="AA235" s="167"/>
      <c r="AB235" s="161"/>
      <c r="AC235" s="161"/>
      <c r="AD235" s="161"/>
      <c r="AE235" s="161"/>
      <c r="AF235" s="120"/>
      <c r="AG235" s="162"/>
      <c r="AH235" s="120"/>
    </row>
    <row r="236" spans="1:34" ht="13.2">
      <c r="A236" s="142"/>
      <c r="B236" s="142"/>
      <c r="C236" s="142"/>
      <c r="D236" s="142"/>
      <c r="E236" s="174"/>
      <c r="F236" s="174"/>
      <c r="G236" s="175"/>
      <c r="H236" s="175"/>
      <c r="I236" s="170"/>
      <c r="J236" s="170"/>
      <c r="K236" s="147"/>
      <c r="L236" s="147"/>
      <c r="M236" s="170"/>
      <c r="N236" s="170"/>
      <c r="O236" s="133"/>
      <c r="P236" s="133"/>
      <c r="Q236" s="151"/>
      <c r="R236" s="151"/>
      <c r="S236" s="151"/>
      <c r="T236" s="120"/>
      <c r="U236" s="163"/>
      <c r="X236" s="164"/>
      <c r="Z236" s="120"/>
      <c r="AA236" s="165"/>
      <c r="AB236" s="166"/>
      <c r="AC236" s="166"/>
      <c r="AD236" s="166"/>
      <c r="AE236" s="166"/>
      <c r="AF236" s="120"/>
      <c r="AG236" s="153"/>
      <c r="AH236" s="120"/>
    </row>
    <row r="237" spans="1:34" ht="13.2">
      <c r="A237" s="142"/>
      <c r="B237" s="142"/>
      <c r="C237" s="142"/>
      <c r="D237" s="142"/>
      <c r="E237" s="174"/>
      <c r="F237" s="174"/>
      <c r="G237" s="175"/>
      <c r="H237" s="175"/>
      <c r="I237" s="170"/>
      <c r="J237" s="170"/>
      <c r="K237" s="147"/>
      <c r="L237" s="147"/>
      <c r="M237" s="170"/>
      <c r="N237" s="170"/>
      <c r="O237" s="133"/>
      <c r="P237" s="133"/>
      <c r="Q237" s="157"/>
      <c r="R237" s="157"/>
      <c r="S237" s="157"/>
      <c r="T237" s="120"/>
      <c r="U237" s="158"/>
      <c r="X237" s="159"/>
      <c r="Z237" s="120"/>
      <c r="AA237" s="167"/>
      <c r="AB237" s="161"/>
      <c r="AC237" s="161"/>
      <c r="AD237" s="161"/>
      <c r="AE237" s="161"/>
      <c r="AF237" s="120"/>
      <c r="AG237" s="162"/>
      <c r="AH237" s="120"/>
    </row>
    <row r="238" spans="1:34" ht="13.2">
      <c r="A238" s="142"/>
      <c r="B238" s="142"/>
      <c r="C238" s="142"/>
      <c r="D238" s="142"/>
      <c r="E238" s="174"/>
      <c r="F238" s="174"/>
      <c r="G238" s="175"/>
      <c r="H238" s="175"/>
      <c r="I238" s="170"/>
      <c r="J238" s="170"/>
      <c r="K238" s="147"/>
      <c r="L238" s="147"/>
      <c r="M238" s="170"/>
      <c r="N238" s="170"/>
      <c r="O238" s="133"/>
      <c r="P238" s="133"/>
      <c r="Q238" s="151"/>
      <c r="R238" s="151"/>
      <c r="S238" s="151"/>
      <c r="T238" s="120"/>
      <c r="U238" s="163"/>
      <c r="X238" s="164"/>
      <c r="Z238" s="120"/>
      <c r="AA238" s="165"/>
      <c r="AB238" s="166"/>
      <c r="AC238" s="166"/>
      <c r="AD238" s="166"/>
      <c r="AE238" s="166"/>
      <c r="AF238" s="120"/>
      <c r="AG238" s="153"/>
      <c r="AH238" s="120"/>
    </row>
    <row r="239" spans="1:34" ht="13.2">
      <c r="A239" s="142"/>
      <c r="B239" s="142"/>
      <c r="C239" s="142"/>
      <c r="D239" s="142"/>
      <c r="E239" s="174"/>
      <c r="F239" s="174"/>
      <c r="G239" s="175"/>
      <c r="H239" s="175"/>
      <c r="I239" s="170"/>
      <c r="J239" s="170"/>
      <c r="K239" s="147"/>
      <c r="L239" s="147"/>
      <c r="M239" s="170"/>
      <c r="N239" s="170"/>
      <c r="O239" s="133"/>
      <c r="P239" s="133"/>
      <c r="Q239" s="157"/>
      <c r="R239" s="157"/>
      <c r="S239" s="157"/>
      <c r="T239" s="120"/>
      <c r="U239" s="158"/>
      <c r="X239" s="159"/>
      <c r="Z239" s="120"/>
      <c r="AA239" s="167"/>
      <c r="AB239" s="161"/>
      <c r="AC239" s="161"/>
      <c r="AD239" s="161"/>
      <c r="AE239" s="161"/>
      <c r="AF239" s="120"/>
      <c r="AG239" s="162"/>
      <c r="AH239" s="120"/>
    </row>
    <row r="240" spans="1:34" ht="13.2">
      <c r="A240" s="142"/>
      <c r="B240" s="142"/>
      <c r="C240" s="142"/>
      <c r="D240" s="142"/>
      <c r="E240" s="174"/>
      <c r="F240" s="174"/>
      <c r="G240" s="175"/>
      <c r="H240" s="175"/>
      <c r="I240" s="170"/>
      <c r="J240" s="170"/>
      <c r="K240" s="147"/>
      <c r="L240" s="147"/>
      <c r="M240" s="170"/>
      <c r="N240" s="170"/>
      <c r="O240" s="133"/>
      <c r="P240" s="133"/>
      <c r="Q240" s="151"/>
      <c r="R240" s="151"/>
      <c r="S240" s="151"/>
      <c r="T240" s="120"/>
      <c r="U240" s="163"/>
      <c r="X240" s="164"/>
      <c r="Z240" s="120"/>
      <c r="AA240" s="165"/>
      <c r="AB240" s="166"/>
      <c r="AC240" s="166"/>
      <c r="AD240" s="166"/>
      <c r="AE240" s="166"/>
      <c r="AF240" s="120"/>
      <c r="AG240" s="153"/>
      <c r="AH240" s="120"/>
    </row>
    <row r="241" spans="1:34" ht="13.2">
      <c r="A241" s="142"/>
      <c r="B241" s="142"/>
      <c r="C241" s="142"/>
      <c r="D241" s="142"/>
      <c r="E241" s="174"/>
      <c r="F241" s="174"/>
      <c r="G241" s="175"/>
      <c r="H241" s="175"/>
      <c r="I241" s="170"/>
      <c r="J241" s="170"/>
      <c r="K241" s="147"/>
      <c r="L241" s="147"/>
      <c r="M241" s="170"/>
      <c r="N241" s="170"/>
      <c r="O241" s="133"/>
      <c r="P241" s="133"/>
      <c r="Q241" s="157"/>
      <c r="R241" s="157"/>
      <c r="S241" s="157"/>
      <c r="T241" s="120"/>
      <c r="U241" s="158"/>
      <c r="X241" s="159"/>
      <c r="Z241" s="120"/>
      <c r="AA241" s="167"/>
      <c r="AB241" s="161"/>
      <c r="AC241" s="161"/>
      <c r="AD241" s="161"/>
      <c r="AE241" s="161"/>
      <c r="AF241" s="120"/>
      <c r="AG241" s="162"/>
      <c r="AH241" s="120"/>
    </row>
    <row r="242" spans="1:34" ht="13.2">
      <c r="A242" s="142"/>
      <c r="B242" s="142"/>
      <c r="C242" s="142"/>
      <c r="D242" s="142"/>
      <c r="E242" s="174"/>
      <c r="F242" s="174"/>
      <c r="G242" s="175"/>
      <c r="H242" s="175"/>
      <c r="I242" s="170"/>
      <c r="J242" s="170"/>
      <c r="K242" s="147"/>
      <c r="L242" s="147"/>
      <c r="M242" s="170"/>
      <c r="N242" s="170"/>
      <c r="O242" s="133"/>
      <c r="P242" s="133"/>
      <c r="Q242" s="151"/>
      <c r="R242" s="151"/>
      <c r="S242" s="151"/>
      <c r="T242" s="120"/>
      <c r="U242" s="163"/>
      <c r="X242" s="164"/>
      <c r="Z242" s="120"/>
      <c r="AA242" s="165"/>
      <c r="AB242" s="166"/>
      <c r="AC242" s="166"/>
      <c r="AD242" s="166"/>
      <c r="AE242" s="166"/>
      <c r="AF242" s="120"/>
      <c r="AG242" s="153"/>
      <c r="AH242" s="120"/>
    </row>
    <row r="243" spans="1:34" ht="13.2">
      <c r="A243" s="142"/>
      <c r="B243" s="142"/>
      <c r="C243" s="142"/>
      <c r="D243" s="142"/>
      <c r="E243" s="174"/>
      <c r="F243" s="174"/>
      <c r="G243" s="175"/>
      <c r="H243" s="175"/>
      <c r="I243" s="170"/>
      <c r="J243" s="170"/>
      <c r="K243" s="147"/>
      <c r="L243" s="147"/>
      <c r="M243" s="170"/>
      <c r="N243" s="170"/>
      <c r="O243" s="133"/>
      <c r="P243" s="133"/>
      <c r="Q243" s="157"/>
      <c r="R243" s="157"/>
      <c r="S243" s="157"/>
      <c r="T243" s="120"/>
      <c r="U243" s="158"/>
      <c r="Z243" s="120"/>
      <c r="AA243" s="167"/>
      <c r="AB243" s="161"/>
      <c r="AC243" s="161"/>
      <c r="AF243" s="120"/>
      <c r="AG243" s="162"/>
      <c r="AH243" s="120"/>
    </row>
    <row r="244" spans="1:34" ht="13.2">
      <c r="A244" s="142"/>
      <c r="B244" s="142"/>
      <c r="C244" s="142"/>
      <c r="D244" s="142"/>
      <c r="E244" s="174"/>
      <c r="F244" s="174"/>
      <c r="G244" s="175"/>
      <c r="H244" s="175"/>
      <c r="I244" s="170"/>
      <c r="J244" s="170"/>
      <c r="K244" s="147"/>
      <c r="L244" s="147"/>
      <c r="M244" s="170"/>
      <c r="N244" s="170"/>
      <c r="O244" s="133"/>
      <c r="P244" s="133"/>
      <c r="Q244" s="151"/>
      <c r="R244" s="151"/>
      <c r="S244" s="151"/>
      <c r="T244" s="120"/>
      <c r="U244" s="163"/>
      <c r="Z244" s="120"/>
      <c r="AA244" s="165"/>
      <c r="AB244" s="166"/>
      <c r="AC244" s="166"/>
      <c r="AF244" s="120"/>
      <c r="AG244" s="153"/>
      <c r="AH244" s="120"/>
    </row>
    <row r="245" spans="1:34" ht="13.2">
      <c r="A245" s="142"/>
      <c r="B245" s="142"/>
      <c r="C245" s="142"/>
      <c r="D245" s="142"/>
      <c r="E245" s="174"/>
      <c r="F245" s="174"/>
      <c r="G245" s="175"/>
      <c r="H245" s="175"/>
      <c r="I245" s="170"/>
      <c r="J245" s="170"/>
      <c r="K245" s="147"/>
      <c r="L245" s="147"/>
      <c r="M245" s="170"/>
      <c r="N245" s="170"/>
      <c r="O245" s="133"/>
      <c r="P245" s="133"/>
      <c r="Q245" s="157"/>
      <c r="R245" s="157"/>
      <c r="S245" s="157"/>
      <c r="T245" s="120"/>
      <c r="U245" s="158"/>
      <c r="Z245" s="120"/>
      <c r="AA245" s="167"/>
      <c r="AB245" s="161"/>
      <c r="AC245" s="161"/>
      <c r="AF245" s="120"/>
      <c r="AG245" s="162"/>
      <c r="AH245" s="120"/>
    </row>
    <row r="246" spans="1:34" ht="13.2">
      <c r="A246" s="142"/>
      <c r="B246" s="142"/>
      <c r="C246" s="142"/>
      <c r="D246" s="142"/>
      <c r="E246" s="174"/>
      <c r="F246" s="174"/>
      <c r="G246" s="175"/>
      <c r="H246" s="175"/>
      <c r="I246" s="170"/>
      <c r="J246" s="170"/>
      <c r="K246" s="147"/>
      <c r="L246" s="147"/>
      <c r="M246" s="170"/>
      <c r="N246" s="170"/>
      <c r="O246" s="133"/>
      <c r="P246" s="133"/>
      <c r="Q246" s="151"/>
      <c r="R246" s="151"/>
      <c r="S246" s="151"/>
      <c r="T246" s="120"/>
      <c r="U246" s="163"/>
      <c r="Z246" s="120"/>
      <c r="AA246" s="165"/>
      <c r="AB246" s="166"/>
      <c r="AC246" s="166"/>
      <c r="AF246" s="120"/>
      <c r="AG246" s="153"/>
      <c r="AH246" s="120"/>
    </row>
    <row r="247" spans="1:34" ht="13.2">
      <c r="A247" s="142"/>
      <c r="B247" s="142"/>
      <c r="C247" s="142"/>
      <c r="D247" s="142"/>
      <c r="E247" s="174"/>
      <c r="F247" s="174"/>
      <c r="G247" s="175"/>
      <c r="H247" s="175"/>
      <c r="I247" s="170"/>
      <c r="J247" s="170"/>
      <c r="K247" s="147"/>
      <c r="L247" s="147"/>
      <c r="M247" s="170"/>
      <c r="N247" s="170"/>
      <c r="O247" s="133"/>
      <c r="P247" s="133"/>
      <c r="Q247" s="157"/>
      <c r="R247" s="157"/>
      <c r="S247" s="157"/>
      <c r="T247" s="120"/>
      <c r="U247" s="158"/>
      <c r="Z247" s="120"/>
      <c r="AA247" s="167"/>
      <c r="AB247" s="161"/>
      <c r="AC247" s="161"/>
      <c r="AF247" s="120"/>
      <c r="AG247" s="162"/>
      <c r="AH247" s="120"/>
    </row>
    <row r="248" spans="1:34" ht="13.2">
      <c r="A248" s="142"/>
      <c r="B248" s="142"/>
      <c r="C248" s="142"/>
      <c r="D248" s="142"/>
      <c r="E248" s="174"/>
      <c r="F248" s="174"/>
      <c r="G248" s="175"/>
      <c r="H248" s="175"/>
      <c r="I248" s="170"/>
      <c r="J248" s="170"/>
      <c r="K248" s="147"/>
      <c r="L248" s="147"/>
      <c r="M248" s="170"/>
      <c r="N248" s="170"/>
      <c r="O248" s="133"/>
      <c r="P248" s="133"/>
      <c r="Q248" s="151"/>
      <c r="R248" s="151"/>
      <c r="S248" s="151"/>
      <c r="T248" s="120"/>
      <c r="U248" s="163"/>
      <c r="Z248" s="120"/>
      <c r="AA248" s="165"/>
      <c r="AB248" s="166"/>
      <c r="AC248" s="166"/>
      <c r="AF248" s="120"/>
      <c r="AG248" s="153"/>
      <c r="AH248" s="120"/>
    </row>
    <row r="249" spans="1:34" ht="13.2">
      <c r="A249" s="142"/>
      <c r="B249" s="142"/>
      <c r="C249" s="142"/>
      <c r="D249" s="142"/>
      <c r="E249" s="174"/>
      <c r="F249" s="174"/>
      <c r="G249" s="175"/>
      <c r="H249" s="175"/>
      <c r="I249" s="170"/>
      <c r="J249" s="170"/>
      <c r="K249" s="147"/>
      <c r="L249" s="147"/>
      <c r="M249" s="170"/>
      <c r="N249" s="170"/>
      <c r="O249" s="133"/>
      <c r="P249" s="133"/>
      <c r="Q249" s="157"/>
      <c r="R249" s="157"/>
      <c r="S249" s="157"/>
      <c r="T249" s="120"/>
      <c r="U249" s="158"/>
      <c r="Z249" s="120"/>
      <c r="AA249" s="167"/>
      <c r="AB249" s="161"/>
      <c r="AC249" s="161"/>
      <c r="AF249" s="120"/>
      <c r="AG249" s="162"/>
      <c r="AH249" s="120"/>
    </row>
    <row r="250" spans="1:34" ht="13.2">
      <c r="A250" s="142"/>
      <c r="B250" s="142"/>
      <c r="C250" s="142"/>
      <c r="D250" s="142"/>
      <c r="E250" s="174"/>
      <c r="F250" s="174"/>
      <c r="G250" s="175"/>
      <c r="H250" s="175"/>
      <c r="I250" s="170"/>
      <c r="J250" s="170"/>
      <c r="K250" s="147"/>
      <c r="L250" s="147"/>
      <c r="M250" s="170"/>
      <c r="N250" s="170"/>
      <c r="O250" s="133"/>
      <c r="P250" s="133"/>
      <c r="Q250" s="151"/>
      <c r="R250" s="151"/>
      <c r="S250" s="151"/>
      <c r="T250" s="120"/>
      <c r="U250" s="163"/>
      <c r="Z250" s="120"/>
      <c r="AA250" s="165"/>
      <c r="AB250" s="166"/>
      <c r="AF250" s="120"/>
      <c r="AG250" s="153"/>
      <c r="AH250" s="120"/>
    </row>
    <row r="251" spans="1:34" ht="13.2">
      <c r="A251" s="142"/>
      <c r="B251" s="142"/>
      <c r="C251" s="142"/>
      <c r="D251" s="142"/>
      <c r="E251" s="174"/>
      <c r="F251" s="174"/>
      <c r="G251" s="175"/>
      <c r="H251" s="175"/>
      <c r="I251" s="170"/>
      <c r="J251" s="170"/>
      <c r="K251" s="147"/>
      <c r="L251" s="147"/>
      <c r="M251" s="170"/>
      <c r="N251" s="170"/>
      <c r="O251" s="133"/>
      <c r="P251" s="133"/>
      <c r="Q251" s="157"/>
      <c r="R251" s="157"/>
      <c r="S251" s="157"/>
      <c r="T251" s="120"/>
      <c r="U251" s="158"/>
      <c r="Z251" s="120"/>
      <c r="AA251" s="167"/>
      <c r="AB251" s="161"/>
      <c r="AF251" s="120"/>
      <c r="AG251" s="162"/>
      <c r="AH251" s="120"/>
    </row>
    <row r="252" spans="1:34" ht="13.2">
      <c r="A252" s="142"/>
      <c r="B252" s="142"/>
      <c r="C252" s="142"/>
      <c r="D252" s="142"/>
      <c r="E252" s="174"/>
      <c r="F252" s="174"/>
      <c r="G252" s="175"/>
      <c r="H252" s="175"/>
      <c r="I252" s="170"/>
      <c r="J252" s="170"/>
      <c r="K252" s="147"/>
      <c r="L252" s="147"/>
      <c r="M252" s="170"/>
      <c r="N252" s="170"/>
      <c r="O252" s="133"/>
      <c r="P252" s="133"/>
      <c r="Q252" s="151"/>
      <c r="R252" s="151"/>
      <c r="S252" s="151"/>
      <c r="T252" s="120"/>
      <c r="U252" s="163"/>
      <c r="Z252" s="120"/>
      <c r="AA252" s="165"/>
      <c r="AB252" s="166"/>
      <c r="AF252" s="120"/>
      <c r="AG252" s="153"/>
      <c r="AH252" s="120"/>
    </row>
    <row r="253" spans="1:34" ht="13.2">
      <c r="A253" s="142"/>
      <c r="B253" s="142"/>
      <c r="C253" s="142"/>
      <c r="D253" s="142"/>
      <c r="E253" s="174"/>
      <c r="F253" s="174"/>
      <c r="G253" s="175"/>
      <c r="H253" s="175"/>
      <c r="I253" s="170"/>
      <c r="J253" s="170"/>
      <c r="K253" s="147"/>
      <c r="L253" s="147"/>
      <c r="M253" s="170"/>
      <c r="N253" s="170"/>
      <c r="O253" s="133"/>
      <c r="P253" s="133"/>
      <c r="Q253" s="157"/>
      <c r="R253" s="157"/>
      <c r="S253" s="157"/>
      <c r="T253" s="120"/>
      <c r="U253" s="158"/>
      <c r="Z253" s="120"/>
      <c r="AA253" s="167"/>
      <c r="AB253" s="161"/>
      <c r="AF253" s="120"/>
      <c r="AG253" s="162"/>
      <c r="AH253" s="120"/>
    </row>
    <row r="254" spans="1:34" ht="13.2">
      <c r="A254" s="142"/>
      <c r="B254" s="142"/>
      <c r="C254" s="142"/>
      <c r="D254" s="142"/>
      <c r="E254" s="174"/>
      <c r="F254" s="174"/>
      <c r="G254" s="175"/>
      <c r="H254" s="175"/>
      <c r="I254" s="170"/>
      <c r="J254" s="170"/>
      <c r="K254" s="147"/>
      <c r="L254" s="147"/>
      <c r="M254" s="170"/>
      <c r="N254" s="170"/>
      <c r="O254" s="133"/>
      <c r="P254" s="133"/>
      <c r="Q254" s="151"/>
      <c r="R254" s="151"/>
      <c r="S254" s="151"/>
      <c r="T254" s="120"/>
      <c r="U254" s="163"/>
      <c r="Z254" s="120"/>
      <c r="AA254" s="165"/>
      <c r="AB254" s="166"/>
      <c r="AF254" s="120"/>
      <c r="AG254" s="153"/>
      <c r="AH254" s="120"/>
    </row>
    <row r="255" spans="1:34" ht="13.2">
      <c r="A255" s="142"/>
      <c r="B255" s="142"/>
      <c r="C255" s="142"/>
      <c r="D255" s="142"/>
      <c r="E255" s="174"/>
      <c r="F255" s="174"/>
      <c r="G255" s="175"/>
      <c r="H255" s="175"/>
      <c r="I255" s="170"/>
      <c r="J255" s="170"/>
      <c r="K255" s="147"/>
      <c r="L255" s="147"/>
      <c r="M255" s="170"/>
      <c r="N255" s="170"/>
      <c r="O255" s="133"/>
      <c r="P255" s="133"/>
      <c r="Q255" s="157"/>
      <c r="R255" s="157"/>
      <c r="S255" s="157"/>
      <c r="T255" s="120"/>
      <c r="U255" s="158"/>
      <c r="Z255" s="120"/>
      <c r="AA255" s="167"/>
      <c r="AB255" s="161"/>
      <c r="AF255" s="120"/>
      <c r="AG255" s="162"/>
      <c r="AH255" s="120"/>
    </row>
    <row r="256" spans="1:34" ht="13.2">
      <c r="A256" s="142"/>
      <c r="B256" s="142"/>
      <c r="C256" s="142"/>
      <c r="D256" s="142"/>
      <c r="E256" s="174"/>
      <c r="F256" s="174"/>
      <c r="G256" s="175"/>
      <c r="H256" s="175"/>
      <c r="I256" s="170"/>
      <c r="J256" s="170"/>
      <c r="K256" s="147"/>
      <c r="L256" s="147"/>
      <c r="M256" s="170"/>
      <c r="N256" s="170"/>
      <c r="O256" s="133"/>
      <c r="P256" s="133"/>
      <c r="Q256" s="151"/>
      <c r="R256" s="151"/>
      <c r="S256" s="151"/>
      <c r="T256" s="120"/>
      <c r="U256" s="163"/>
      <c r="Z256" s="120"/>
      <c r="AA256" s="165"/>
      <c r="AB256" s="166"/>
      <c r="AF256" s="120"/>
      <c r="AG256" s="153"/>
      <c r="AH256" s="120"/>
    </row>
    <row r="257" spans="1:34" ht="13.2">
      <c r="A257" s="142"/>
      <c r="B257" s="142"/>
      <c r="C257" s="142"/>
      <c r="D257" s="142"/>
      <c r="E257" s="174"/>
      <c r="F257" s="174"/>
      <c r="G257" s="175"/>
      <c r="H257" s="175"/>
      <c r="I257" s="170"/>
      <c r="J257" s="170"/>
      <c r="K257" s="147"/>
      <c r="L257" s="147"/>
      <c r="M257" s="170"/>
      <c r="N257" s="170"/>
      <c r="O257" s="133"/>
      <c r="P257" s="133"/>
      <c r="Q257" s="157"/>
      <c r="R257" s="157"/>
      <c r="S257" s="157"/>
      <c r="T257" s="120"/>
      <c r="U257" s="158"/>
      <c r="Z257" s="120"/>
      <c r="AA257" s="167"/>
      <c r="AB257" s="161"/>
      <c r="AF257" s="120"/>
      <c r="AG257" s="162"/>
      <c r="AH257" s="120"/>
    </row>
    <row r="258" spans="1:34" ht="13.2">
      <c r="A258" s="142"/>
      <c r="B258" s="142"/>
      <c r="C258" s="142"/>
      <c r="D258" s="142"/>
      <c r="E258" s="174"/>
      <c r="F258" s="174"/>
      <c r="G258" s="175"/>
      <c r="H258" s="175"/>
      <c r="I258" s="170"/>
      <c r="J258" s="170"/>
      <c r="K258" s="147"/>
      <c r="L258" s="147"/>
      <c r="M258" s="170"/>
      <c r="N258" s="170"/>
      <c r="O258" s="133"/>
      <c r="P258" s="133"/>
      <c r="Q258" s="151"/>
      <c r="R258" s="151"/>
      <c r="S258" s="151"/>
      <c r="T258" s="120"/>
      <c r="U258" s="163"/>
      <c r="Z258" s="120"/>
      <c r="AA258" s="165"/>
      <c r="AB258" s="166"/>
      <c r="AF258" s="120"/>
      <c r="AG258" s="153"/>
      <c r="AH258" s="120"/>
    </row>
    <row r="259" spans="1:34" ht="13.2">
      <c r="A259" s="142"/>
      <c r="B259" s="142"/>
      <c r="C259" s="142"/>
      <c r="D259" s="142"/>
      <c r="E259" s="174"/>
      <c r="F259" s="174"/>
      <c r="G259" s="175"/>
      <c r="H259" s="175"/>
      <c r="I259" s="170"/>
      <c r="J259" s="170"/>
      <c r="K259" s="147"/>
      <c r="L259" s="147"/>
      <c r="M259" s="170"/>
      <c r="N259" s="170"/>
      <c r="O259" s="133"/>
      <c r="P259" s="133"/>
      <c r="Q259" s="157"/>
      <c r="R259" s="157"/>
      <c r="S259" s="157"/>
      <c r="T259" s="120"/>
      <c r="U259" s="158"/>
      <c r="Z259" s="120"/>
      <c r="AA259" s="167"/>
      <c r="AB259" s="161"/>
      <c r="AF259" s="120"/>
      <c r="AG259" s="162"/>
      <c r="AH259" s="120"/>
    </row>
    <row r="260" spans="1:34" ht="13.2">
      <c r="A260" s="142"/>
      <c r="B260" s="142"/>
      <c r="C260" s="142"/>
      <c r="D260" s="142"/>
      <c r="E260" s="174"/>
      <c r="F260" s="174"/>
      <c r="G260" s="175"/>
      <c r="H260" s="175"/>
      <c r="I260" s="170"/>
      <c r="J260" s="170"/>
      <c r="K260" s="147"/>
      <c r="L260" s="147"/>
      <c r="M260" s="170"/>
      <c r="N260" s="170"/>
      <c r="O260" s="133"/>
      <c r="P260" s="133"/>
      <c r="Q260" s="151"/>
      <c r="R260" s="151"/>
      <c r="S260" s="151"/>
      <c r="T260" s="120"/>
      <c r="U260" s="163"/>
      <c r="Z260" s="120"/>
      <c r="AA260" s="165"/>
      <c r="AB260" s="166"/>
      <c r="AF260" s="120"/>
      <c r="AG260" s="153"/>
      <c r="AH260" s="120"/>
    </row>
    <row r="261" spans="1:34" ht="13.2">
      <c r="A261" s="142"/>
      <c r="B261" s="142"/>
      <c r="C261" s="142"/>
      <c r="D261" s="142"/>
      <c r="E261" s="174"/>
      <c r="F261" s="174"/>
      <c r="G261" s="175"/>
      <c r="H261" s="175"/>
      <c r="I261" s="170"/>
      <c r="J261" s="170"/>
      <c r="K261" s="147"/>
      <c r="L261" s="147"/>
      <c r="M261" s="170"/>
      <c r="N261" s="170"/>
      <c r="O261" s="133"/>
      <c r="P261" s="133"/>
      <c r="Q261" s="157"/>
      <c r="R261" s="157"/>
      <c r="S261" s="157"/>
      <c r="T261" s="120"/>
      <c r="U261" s="158"/>
      <c r="Z261" s="120"/>
      <c r="AA261" s="167"/>
      <c r="AB261" s="161"/>
      <c r="AF261" s="120"/>
      <c r="AG261" s="162"/>
      <c r="AH261" s="120"/>
    </row>
    <row r="262" spans="1:34" ht="13.2">
      <c r="A262" s="142"/>
      <c r="B262" s="142"/>
      <c r="C262" s="142"/>
      <c r="D262" s="142"/>
      <c r="E262" s="174"/>
      <c r="F262" s="174"/>
      <c r="G262" s="175"/>
      <c r="H262" s="175"/>
      <c r="I262" s="170"/>
      <c r="J262" s="170"/>
      <c r="K262" s="147"/>
      <c r="L262" s="147"/>
      <c r="M262" s="170"/>
      <c r="N262" s="170"/>
      <c r="O262" s="133"/>
      <c r="P262" s="133"/>
      <c r="Q262" s="151"/>
      <c r="R262" s="151"/>
      <c r="S262" s="151"/>
      <c r="T262" s="120"/>
      <c r="U262" s="163"/>
      <c r="Z262" s="120"/>
      <c r="AA262" s="165"/>
      <c r="AB262" s="166"/>
      <c r="AF262" s="120"/>
      <c r="AG262" s="153"/>
      <c r="AH262" s="120"/>
    </row>
    <row r="263" spans="1:34" ht="13.2">
      <c r="A263" s="142"/>
      <c r="B263" s="142"/>
      <c r="C263" s="142"/>
      <c r="D263" s="142"/>
      <c r="E263" s="174"/>
      <c r="F263" s="174"/>
      <c r="G263" s="175"/>
      <c r="H263" s="175"/>
      <c r="I263" s="170"/>
      <c r="J263" s="170"/>
      <c r="K263" s="147"/>
      <c r="L263" s="147"/>
      <c r="M263" s="170"/>
      <c r="N263" s="170"/>
      <c r="O263" s="133"/>
      <c r="P263" s="133"/>
      <c r="Q263" s="157"/>
      <c r="R263" s="157"/>
      <c r="S263" s="157"/>
      <c r="T263" s="120"/>
      <c r="U263" s="158"/>
      <c r="Z263" s="120"/>
      <c r="AA263" s="167"/>
      <c r="AB263" s="161"/>
      <c r="AF263" s="120"/>
      <c r="AG263" s="162"/>
      <c r="AH263" s="120"/>
    </row>
    <row r="264" spans="1:34" ht="13.2">
      <c r="A264" s="142"/>
      <c r="B264" s="142"/>
      <c r="C264" s="142"/>
      <c r="D264" s="142"/>
      <c r="E264" s="174"/>
      <c r="F264" s="174"/>
      <c r="G264" s="175"/>
      <c r="H264" s="175"/>
      <c r="I264" s="170"/>
      <c r="J264" s="170"/>
      <c r="K264" s="147"/>
      <c r="L264" s="147"/>
      <c r="M264" s="170"/>
      <c r="N264" s="170"/>
      <c r="O264" s="133"/>
      <c r="P264" s="133"/>
      <c r="Q264" s="151"/>
      <c r="R264" s="151"/>
      <c r="S264" s="151"/>
      <c r="T264" s="120"/>
      <c r="U264" s="163"/>
      <c r="Z264" s="120"/>
      <c r="AA264" s="165"/>
      <c r="AB264" s="166"/>
      <c r="AF264" s="120"/>
      <c r="AG264" s="153"/>
      <c r="AH264" s="120"/>
    </row>
    <row r="265" spans="1:34" ht="13.2">
      <c r="A265" s="142"/>
      <c r="B265" s="142"/>
      <c r="C265" s="142"/>
      <c r="D265" s="142"/>
      <c r="E265" s="174"/>
      <c r="F265" s="174"/>
      <c r="G265" s="175"/>
      <c r="H265" s="175"/>
      <c r="I265" s="170"/>
      <c r="J265" s="170"/>
      <c r="K265" s="147"/>
      <c r="L265" s="147"/>
      <c r="M265" s="170"/>
      <c r="N265" s="170"/>
      <c r="O265" s="133"/>
      <c r="P265" s="133"/>
      <c r="Q265" s="157"/>
      <c r="R265" s="157"/>
      <c r="S265" s="157"/>
      <c r="T265" s="120"/>
      <c r="U265" s="158"/>
      <c r="Z265" s="120"/>
      <c r="AA265" s="167"/>
      <c r="AB265" s="161"/>
      <c r="AF265" s="120"/>
      <c r="AG265" s="162"/>
      <c r="AH265" s="120"/>
    </row>
    <row r="266" spans="1:34" ht="13.2">
      <c r="A266" s="142"/>
      <c r="B266" s="142"/>
      <c r="C266" s="142"/>
      <c r="D266" s="142"/>
      <c r="E266" s="174"/>
      <c r="F266" s="174"/>
      <c r="G266" s="175"/>
      <c r="H266" s="175"/>
      <c r="I266" s="170"/>
      <c r="J266" s="170"/>
      <c r="K266" s="147"/>
      <c r="L266" s="147"/>
      <c r="M266" s="170"/>
      <c r="N266" s="170"/>
      <c r="O266" s="133"/>
      <c r="P266" s="133"/>
      <c r="Q266" s="151"/>
      <c r="R266" s="151"/>
      <c r="S266" s="151"/>
      <c r="T266" s="120"/>
      <c r="U266" s="163"/>
      <c r="Z266" s="120"/>
      <c r="AA266" s="165"/>
      <c r="AB266" s="166"/>
      <c r="AF266" s="120"/>
      <c r="AG266" s="153"/>
      <c r="AH266" s="120"/>
    </row>
    <row r="267" spans="1:34" ht="13.2">
      <c r="A267" s="142"/>
      <c r="B267" s="142"/>
      <c r="C267" s="142"/>
      <c r="D267" s="142"/>
      <c r="E267" s="174"/>
      <c r="F267" s="174"/>
      <c r="G267" s="175"/>
      <c r="H267" s="175"/>
      <c r="I267" s="170"/>
      <c r="J267" s="170"/>
      <c r="K267" s="147"/>
      <c r="L267" s="147"/>
      <c r="M267" s="170"/>
      <c r="N267" s="170"/>
      <c r="O267" s="133"/>
      <c r="P267" s="133"/>
      <c r="Q267" s="157"/>
      <c r="R267" s="157"/>
      <c r="S267" s="157"/>
      <c r="T267" s="120"/>
      <c r="U267" s="158"/>
      <c r="Z267" s="120"/>
      <c r="AA267" s="167"/>
      <c r="AB267" s="161"/>
      <c r="AF267" s="120"/>
      <c r="AG267" s="162"/>
      <c r="AH267" s="120"/>
    </row>
    <row r="268" spans="1:34" ht="13.2">
      <c r="A268" s="142"/>
      <c r="B268" s="142"/>
      <c r="C268" s="142"/>
      <c r="D268" s="142"/>
      <c r="E268" s="174"/>
      <c r="F268" s="174"/>
      <c r="G268" s="175"/>
      <c r="H268" s="175"/>
      <c r="I268" s="170"/>
      <c r="J268" s="170"/>
      <c r="K268" s="147"/>
      <c r="L268" s="147"/>
      <c r="M268" s="170"/>
      <c r="N268" s="170"/>
      <c r="O268" s="133"/>
      <c r="P268" s="133"/>
      <c r="Q268" s="151"/>
      <c r="R268" s="151"/>
      <c r="S268" s="151"/>
      <c r="T268" s="120"/>
      <c r="U268" s="163"/>
      <c r="Z268" s="120"/>
      <c r="AA268" s="165"/>
      <c r="AB268" s="166"/>
      <c r="AF268" s="120"/>
      <c r="AG268" s="153"/>
      <c r="AH268" s="120"/>
    </row>
    <row r="269" spans="1:34" ht="13.2">
      <c r="A269" s="142"/>
      <c r="B269" s="142"/>
      <c r="C269" s="142"/>
      <c r="D269" s="142"/>
      <c r="E269" s="174"/>
      <c r="F269" s="174"/>
      <c r="G269" s="175"/>
      <c r="H269" s="175"/>
      <c r="I269" s="170"/>
      <c r="J269" s="170"/>
      <c r="K269" s="147"/>
      <c r="L269" s="147"/>
      <c r="M269" s="170"/>
      <c r="N269" s="170"/>
      <c r="O269" s="133"/>
      <c r="P269" s="133"/>
      <c r="Q269" s="157"/>
      <c r="R269" s="157"/>
      <c r="S269" s="157"/>
      <c r="T269" s="120"/>
      <c r="U269" s="158"/>
      <c r="Z269" s="120"/>
      <c r="AA269" s="167"/>
      <c r="AB269" s="161"/>
      <c r="AF269" s="120"/>
      <c r="AG269" s="162"/>
      <c r="AH269" s="120"/>
    </row>
    <row r="270" spans="1:34" ht="13.2">
      <c r="A270" s="142"/>
      <c r="B270" s="142"/>
      <c r="C270" s="142"/>
      <c r="D270" s="142"/>
      <c r="E270" s="174"/>
      <c r="F270" s="174"/>
      <c r="G270" s="175"/>
      <c r="H270" s="175"/>
      <c r="I270" s="170"/>
      <c r="J270" s="170"/>
      <c r="K270" s="147"/>
      <c r="L270" s="147"/>
      <c r="M270" s="170"/>
      <c r="N270" s="170"/>
      <c r="O270" s="133"/>
      <c r="P270" s="133"/>
      <c r="Q270" s="151"/>
      <c r="R270" s="151"/>
      <c r="S270" s="151"/>
      <c r="T270" s="120"/>
      <c r="U270" s="163"/>
      <c r="Z270" s="120"/>
      <c r="AA270" s="165"/>
      <c r="AB270" s="166"/>
      <c r="AF270" s="120"/>
      <c r="AG270" s="153"/>
      <c r="AH270" s="120"/>
    </row>
    <row r="271" spans="1:34" ht="13.2">
      <c r="A271" s="142"/>
      <c r="B271" s="142"/>
      <c r="C271" s="142"/>
      <c r="D271" s="142"/>
      <c r="E271" s="174"/>
      <c r="F271" s="174"/>
      <c r="G271" s="175"/>
      <c r="H271" s="175"/>
      <c r="I271" s="170"/>
      <c r="J271" s="170"/>
      <c r="K271" s="147"/>
      <c r="L271" s="147"/>
      <c r="M271" s="170"/>
      <c r="N271" s="170"/>
      <c r="O271" s="133"/>
      <c r="P271" s="133"/>
      <c r="Q271" s="157"/>
      <c r="R271" s="157"/>
      <c r="S271" s="157"/>
      <c r="T271" s="120"/>
      <c r="U271" s="158"/>
      <c r="Z271" s="120"/>
      <c r="AA271" s="167"/>
      <c r="AB271" s="161"/>
      <c r="AF271" s="120"/>
      <c r="AG271" s="162"/>
      <c r="AH271" s="120"/>
    </row>
    <row r="272" spans="1:34" ht="13.2">
      <c r="A272" s="142"/>
      <c r="B272" s="142"/>
      <c r="C272" s="142"/>
      <c r="D272" s="142"/>
      <c r="E272" s="174"/>
      <c r="F272" s="174"/>
      <c r="G272" s="175"/>
      <c r="H272" s="175"/>
      <c r="I272" s="170"/>
      <c r="J272" s="170"/>
      <c r="K272" s="147"/>
      <c r="L272" s="147"/>
      <c r="M272" s="170"/>
      <c r="N272" s="170"/>
      <c r="O272" s="133"/>
      <c r="P272" s="133"/>
      <c r="Q272" s="151"/>
      <c r="R272" s="151"/>
      <c r="S272" s="151"/>
      <c r="T272" s="120"/>
      <c r="U272" s="163"/>
      <c r="Z272" s="120"/>
      <c r="AA272" s="165"/>
      <c r="AB272" s="166"/>
      <c r="AF272" s="120"/>
      <c r="AG272" s="153"/>
      <c r="AH272" s="120"/>
    </row>
    <row r="273" spans="1:34" ht="13.2">
      <c r="A273" s="142"/>
      <c r="B273" s="142"/>
      <c r="C273" s="142"/>
      <c r="D273" s="142"/>
      <c r="E273" s="174"/>
      <c r="F273" s="174"/>
      <c r="G273" s="175"/>
      <c r="H273" s="175"/>
      <c r="I273" s="170"/>
      <c r="J273" s="170"/>
      <c r="K273" s="147"/>
      <c r="L273" s="147"/>
      <c r="M273" s="170"/>
      <c r="N273" s="170"/>
      <c r="O273" s="133"/>
      <c r="P273" s="133"/>
      <c r="Q273" s="157"/>
      <c r="R273" s="157"/>
      <c r="S273" s="157"/>
      <c r="T273" s="120"/>
      <c r="U273" s="158"/>
      <c r="Z273" s="120"/>
      <c r="AA273" s="167"/>
      <c r="AB273" s="161"/>
      <c r="AF273" s="120"/>
      <c r="AG273" s="162"/>
      <c r="AH273" s="120"/>
    </row>
    <row r="274" spans="1:34" ht="13.2">
      <c r="A274" s="142"/>
      <c r="B274" s="142"/>
      <c r="C274" s="142"/>
      <c r="D274" s="142"/>
      <c r="E274" s="174"/>
      <c r="F274" s="174"/>
      <c r="G274" s="175"/>
      <c r="H274" s="175"/>
      <c r="I274" s="170"/>
      <c r="J274" s="170"/>
      <c r="K274" s="147"/>
      <c r="L274" s="147"/>
      <c r="M274" s="170"/>
      <c r="N274" s="170"/>
      <c r="O274" s="133"/>
      <c r="P274" s="133"/>
      <c r="Q274" s="151"/>
      <c r="R274" s="151"/>
      <c r="S274" s="151"/>
      <c r="T274" s="120"/>
      <c r="U274" s="163"/>
      <c r="Z274" s="120"/>
      <c r="AA274" s="165"/>
      <c r="AB274" s="166"/>
      <c r="AF274" s="120"/>
      <c r="AG274" s="153"/>
      <c r="AH274" s="120"/>
    </row>
    <row r="275" spans="1:34" ht="13.2">
      <c r="A275" s="142"/>
      <c r="B275" s="142"/>
      <c r="C275" s="142"/>
      <c r="D275" s="142"/>
      <c r="E275" s="174"/>
      <c r="F275" s="174"/>
      <c r="G275" s="175"/>
      <c r="H275" s="175"/>
      <c r="I275" s="170"/>
      <c r="J275" s="170"/>
      <c r="K275" s="147"/>
      <c r="L275" s="147"/>
      <c r="M275" s="170"/>
      <c r="N275" s="170"/>
      <c r="O275" s="133"/>
      <c r="P275" s="133"/>
      <c r="Q275" s="157"/>
      <c r="R275" s="157"/>
      <c r="S275" s="157"/>
      <c r="T275" s="120"/>
      <c r="U275" s="158"/>
      <c r="Z275" s="120"/>
      <c r="AA275" s="167"/>
      <c r="AB275" s="161"/>
      <c r="AF275" s="120"/>
      <c r="AG275" s="162"/>
      <c r="AH275" s="120"/>
    </row>
    <row r="276" spans="1:34" ht="13.2">
      <c r="A276" s="142"/>
      <c r="B276" s="142"/>
      <c r="C276" s="142"/>
      <c r="D276" s="142"/>
      <c r="E276" s="174"/>
      <c r="F276" s="174"/>
      <c r="G276" s="175"/>
      <c r="H276" s="175"/>
      <c r="I276" s="170"/>
      <c r="J276" s="170"/>
      <c r="K276" s="147"/>
      <c r="L276" s="147"/>
      <c r="M276" s="170"/>
      <c r="N276" s="170"/>
      <c r="O276" s="133"/>
      <c r="P276" s="133"/>
      <c r="Q276" s="151"/>
      <c r="R276" s="151"/>
      <c r="S276" s="151"/>
      <c r="T276" s="120"/>
      <c r="U276" s="163"/>
      <c r="Z276" s="120"/>
      <c r="AA276" s="165"/>
      <c r="AB276" s="166"/>
      <c r="AF276" s="120"/>
      <c r="AG276" s="153"/>
      <c r="AH276" s="120"/>
    </row>
    <row r="277" spans="1:34" ht="13.2">
      <c r="A277" s="142"/>
      <c r="B277" s="142"/>
      <c r="C277" s="142"/>
      <c r="D277" s="142"/>
      <c r="E277" s="174"/>
      <c r="F277" s="174"/>
      <c r="G277" s="175"/>
      <c r="H277" s="175"/>
      <c r="I277" s="170"/>
      <c r="J277" s="170"/>
      <c r="K277" s="147"/>
      <c r="L277" s="147"/>
      <c r="M277" s="170"/>
      <c r="N277" s="170"/>
      <c r="O277" s="133"/>
      <c r="P277" s="133"/>
      <c r="Q277" s="157"/>
      <c r="R277" s="157"/>
      <c r="S277" s="157"/>
      <c r="T277" s="120"/>
      <c r="U277" s="158"/>
      <c r="Z277" s="120"/>
      <c r="AA277" s="167"/>
      <c r="AB277" s="161"/>
      <c r="AF277" s="120"/>
      <c r="AG277" s="162"/>
      <c r="AH277" s="120"/>
    </row>
    <row r="278" spans="1:34" ht="13.2">
      <c r="A278" s="142"/>
      <c r="B278" s="142"/>
      <c r="C278" s="142"/>
      <c r="D278" s="142"/>
      <c r="E278" s="174"/>
      <c r="F278" s="174"/>
      <c r="G278" s="175"/>
      <c r="H278" s="175"/>
      <c r="I278" s="170"/>
      <c r="J278" s="170"/>
      <c r="K278" s="147"/>
      <c r="L278" s="147"/>
      <c r="M278" s="170"/>
      <c r="N278" s="170"/>
      <c r="O278" s="133"/>
      <c r="P278" s="133"/>
      <c r="Q278" s="151"/>
      <c r="R278" s="151"/>
      <c r="S278" s="151"/>
      <c r="T278" s="120"/>
      <c r="U278" s="163"/>
      <c r="Z278" s="120"/>
      <c r="AA278" s="165"/>
      <c r="AB278" s="166"/>
      <c r="AF278" s="120"/>
      <c r="AG278" s="153"/>
      <c r="AH278" s="120"/>
    </row>
    <row r="279" spans="1:34" ht="13.2">
      <c r="A279" s="142"/>
      <c r="B279" s="142"/>
      <c r="C279" s="142"/>
      <c r="D279" s="142"/>
      <c r="E279" s="174"/>
      <c r="F279" s="174"/>
      <c r="G279" s="175"/>
      <c r="H279" s="175"/>
      <c r="I279" s="170"/>
      <c r="J279" s="170"/>
      <c r="K279" s="147"/>
      <c r="L279" s="147"/>
      <c r="M279" s="170"/>
      <c r="N279" s="170"/>
      <c r="O279" s="133"/>
      <c r="P279" s="133"/>
      <c r="Q279" s="157"/>
      <c r="R279" s="157"/>
      <c r="S279" s="157"/>
      <c r="T279" s="120"/>
      <c r="U279" s="158"/>
      <c r="Z279" s="120"/>
      <c r="AA279" s="167"/>
      <c r="AB279" s="161"/>
      <c r="AF279" s="120"/>
      <c r="AG279" s="162"/>
      <c r="AH279" s="120"/>
    </row>
    <row r="280" spans="1:34" ht="13.2">
      <c r="A280" s="142"/>
      <c r="B280" s="142"/>
      <c r="C280" s="142"/>
      <c r="D280" s="142"/>
      <c r="E280" s="174"/>
      <c r="F280" s="174"/>
      <c r="G280" s="175"/>
      <c r="H280" s="175"/>
      <c r="I280" s="170"/>
      <c r="J280" s="170"/>
      <c r="K280" s="147"/>
      <c r="L280" s="147"/>
      <c r="M280" s="170"/>
      <c r="N280" s="170"/>
      <c r="O280" s="133"/>
      <c r="P280" s="133"/>
      <c r="Q280" s="151"/>
      <c r="R280" s="151"/>
      <c r="S280" s="151"/>
      <c r="T280" s="120"/>
      <c r="U280" s="163"/>
      <c r="Z280" s="120"/>
      <c r="AA280" s="165"/>
      <c r="AB280" s="166"/>
      <c r="AF280" s="120"/>
      <c r="AG280" s="153"/>
      <c r="AH280" s="120"/>
    </row>
    <row r="281" spans="1:34" ht="13.2">
      <c r="A281" s="142"/>
      <c r="B281" s="142"/>
      <c r="C281" s="142"/>
      <c r="D281" s="142"/>
      <c r="E281" s="174"/>
      <c r="F281" s="174"/>
      <c r="G281" s="175"/>
      <c r="H281" s="175"/>
      <c r="I281" s="170"/>
      <c r="J281" s="170"/>
      <c r="K281" s="147"/>
      <c r="L281" s="147"/>
      <c r="M281" s="170"/>
      <c r="N281" s="170"/>
      <c r="O281" s="133"/>
      <c r="P281" s="133"/>
      <c r="Q281" s="157"/>
      <c r="R281" s="157"/>
      <c r="S281" s="157"/>
      <c r="T281" s="120"/>
      <c r="U281" s="158"/>
      <c r="Z281" s="120"/>
      <c r="AA281" s="167"/>
      <c r="AB281" s="161"/>
      <c r="AF281" s="120"/>
      <c r="AG281" s="162"/>
      <c r="AH281" s="120"/>
    </row>
    <row r="282" spans="1:34" ht="13.2">
      <c r="A282" s="142"/>
      <c r="B282" s="142"/>
      <c r="C282" s="142"/>
      <c r="D282" s="142"/>
      <c r="E282" s="174"/>
      <c r="F282" s="174"/>
      <c r="G282" s="175"/>
      <c r="H282" s="175"/>
      <c r="I282" s="170"/>
      <c r="J282" s="170"/>
      <c r="K282" s="147"/>
      <c r="L282" s="147"/>
      <c r="M282" s="170"/>
      <c r="N282" s="170"/>
      <c r="O282" s="133"/>
      <c r="P282" s="133"/>
      <c r="Q282" s="151"/>
      <c r="R282" s="151"/>
      <c r="S282" s="151"/>
      <c r="T282" s="120"/>
      <c r="U282" s="163"/>
      <c r="Z282" s="120"/>
      <c r="AA282" s="165"/>
      <c r="AB282" s="166"/>
      <c r="AF282" s="120"/>
      <c r="AG282" s="153"/>
      <c r="AH282" s="120"/>
    </row>
    <row r="283" spans="1:34" ht="13.2">
      <c r="A283" s="142"/>
      <c r="B283" s="142"/>
      <c r="C283" s="142"/>
      <c r="D283" s="142"/>
      <c r="E283" s="174"/>
      <c r="F283" s="174"/>
      <c r="G283" s="175"/>
      <c r="H283" s="175"/>
      <c r="I283" s="170"/>
      <c r="J283" s="170"/>
      <c r="K283" s="147"/>
      <c r="L283" s="147"/>
      <c r="M283" s="170"/>
      <c r="N283" s="170"/>
      <c r="O283" s="133"/>
      <c r="P283" s="133"/>
      <c r="Q283" s="157"/>
      <c r="R283" s="157"/>
      <c r="S283" s="157"/>
      <c r="T283" s="120"/>
      <c r="U283" s="158"/>
      <c r="Z283" s="120"/>
      <c r="AA283" s="167"/>
      <c r="AB283" s="161"/>
      <c r="AF283" s="120"/>
      <c r="AG283" s="162"/>
      <c r="AH283" s="120"/>
    </row>
    <row r="284" spans="1:34" ht="13.2">
      <c r="A284" s="142"/>
      <c r="B284" s="142"/>
      <c r="C284" s="142"/>
      <c r="D284" s="142"/>
      <c r="E284" s="174"/>
      <c r="F284" s="174"/>
      <c r="G284" s="175"/>
      <c r="H284" s="175"/>
      <c r="I284" s="170"/>
      <c r="J284" s="170"/>
      <c r="K284" s="147"/>
      <c r="L284" s="147"/>
      <c r="M284" s="170"/>
      <c r="N284" s="170"/>
      <c r="O284" s="133"/>
      <c r="P284" s="133"/>
      <c r="Q284" s="151"/>
      <c r="R284" s="151"/>
      <c r="S284" s="151"/>
      <c r="T284" s="120"/>
      <c r="U284" s="163"/>
      <c r="Z284" s="120"/>
      <c r="AA284" s="165"/>
      <c r="AB284" s="166"/>
      <c r="AF284" s="120"/>
      <c r="AG284" s="153"/>
      <c r="AH284" s="120"/>
    </row>
    <row r="285" spans="1:34" ht="13.2">
      <c r="A285" s="142"/>
      <c r="B285" s="142"/>
      <c r="C285" s="142"/>
      <c r="D285" s="142"/>
      <c r="E285" s="174"/>
      <c r="F285" s="174"/>
      <c r="G285" s="175"/>
      <c r="H285" s="175"/>
      <c r="I285" s="170"/>
      <c r="J285" s="170"/>
      <c r="K285" s="147"/>
      <c r="L285" s="147"/>
      <c r="M285" s="170"/>
      <c r="N285" s="170"/>
      <c r="O285" s="133"/>
      <c r="P285" s="133"/>
      <c r="Q285" s="157"/>
      <c r="R285" s="157"/>
      <c r="S285" s="157"/>
      <c r="T285" s="120"/>
      <c r="U285" s="158"/>
      <c r="Z285" s="120"/>
      <c r="AA285" s="167"/>
      <c r="AB285" s="161"/>
      <c r="AF285" s="120"/>
      <c r="AG285" s="162"/>
      <c r="AH285" s="120"/>
    </row>
    <row r="286" spans="1:34" ht="13.2">
      <c r="A286" s="142"/>
      <c r="B286" s="142"/>
      <c r="C286" s="142"/>
      <c r="D286" s="142"/>
      <c r="E286" s="174"/>
      <c r="F286" s="174"/>
      <c r="G286" s="175"/>
      <c r="H286" s="175"/>
      <c r="I286" s="170"/>
      <c r="J286" s="170"/>
      <c r="K286" s="147"/>
      <c r="L286" s="147"/>
      <c r="M286" s="170"/>
      <c r="N286" s="170"/>
      <c r="O286" s="133"/>
      <c r="P286" s="133"/>
      <c r="Q286" s="151"/>
      <c r="R286" s="151"/>
      <c r="S286" s="151"/>
      <c r="T286" s="120"/>
      <c r="U286" s="163"/>
      <c r="Z286" s="120"/>
      <c r="AA286" s="165"/>
      <c r="AB286" s="166"/>
      <c r="AF286" s="120"/>
      <c r="AG286" s="153"/>
      <c r="AH286" s="120"/>
    </row>
    <row r="287" spans="1:34" ht="13.2">
      <c r="A287" s="142"/>
      <c r="B287" s="142"/>
      <c r="C287" s="142"/>
      <c r="D287" s="142"/>
      <c r="E287" s="174"/>
      <c r="F287" s="174"/>
      <c r="G287" s="175"/>
      <c r="H287" s="175"/>
      <c r="I287" s="170"/>
      <c r="J287" s="170"/>
      <c r="K287" s="147"/>
      <c r="L287" s="147"/>
      <c r="M287" s="170"/>
      <c r="N287" s="170"/>
      <c r="O287" s="133"/>
      <c r="P287" s="133"/>
      <c r="Q287" s="157"/>
      <c r="R287" s="157"/>
      <c r="S287" s="157"/>
      <c r="T287" s="120"/>
      <c r="U287" s="158"/>
      <c r="Z287" s="120"/>
      <c r="AA287" s="167"/>
      <c r="AB287" s="161"/>
      <c r="AF287" s="120"/>
      <c r="AG287" s="162"/>
      <c r="AH287" s="120"/>
    </row>
    <row r="288" spans="1:34" ht="13.2">
      <c r="A288" s="142"/>
      <c r="B288" s="142"/>
      <c r="C288" s="142"/>
      <c r="D288" s="142"/>
      <c r="E288" s="174"/>
      <c r="F288" s="174"/>
      <c r="G288" s="175"/>
      <c r="H288" s="175"/>
      <c r="I288" s="170"/>
      <c r="J288" s="170"/>
      <c r="K288" s="147"/>
      <c r="L288" s="147"/>
      <c r="M288" s="170"/>
      <c r="N288" s="170"/>
      <c r="O288" s="133"/>
      <c r="P288" s="133"/>
      <c r="Q288" s="151"/>
      <c r="R288" s="151"/>
      <c r="S288" s="151"/>
      <c r="T288" s="120"/>
      <c r="U288" s="163"/>
      <c r="Z288" s="120"/>
      <c r="AA288" s="165"/>
      <c r="AB288" s="166"/>
      <c r="AF288" s="120"/>
      <c r="AG288" s="153"/>
      <c r="AH288" s="120"/>
    </row>
    <row r="289" spans="1:34" ht="13.2">
      <c r="A289" s="142"/>
      <c r="B289" s="142"/>
      <c r="C289" s="142"/>
      <c r="D289" s="142"/>
      <c r="E289" s="174"/>
      <c r="F289" s="174"/>
      <c r="G289" s="175"/>
      <c r="H289" s="175"/>
      <c r="I289" s="170"/>
      <c r="J289" s="170"/>
      <c r="K289" s="147"/>
      <c r="L289" s="147"/>
      <c r="M289" s="170"/>
      <c r="N289" s="170"/>
      <c r="O289" s="133"/>
      <c r="P289" s="133"/>
      <c r="Q289" s="157"/>
      <c r="R289" s="157"/>
      <c r="S289" s="157"/>
      <c r="T289" s="120"/>
      <c r="U289" s="158"/>
      <c r="Z289" s="120"/>
      <c r="AA289" s="167"/>
      <c r="AB289" s="161"/>
      <c r="AF289" s="120"/>
      <c r="AG289" s="162"/>
      <c r="AH289" s="120"/>
    </row>
    <row r="290" spans="1:34" ht="13.2">
      <c r="A290" s="142"/>
      <c r="B290" s="142"/>
      <c r="C290" s="142"/>
      <c r="D290" s="142"/>
      <c r="E290" s="174"/>
      <c r="F290" s="174"/>
      <c r="G290" s="175"/>
      <c r="H290" s="175"/>
      <c r="I290" s="170"/>
      <c r="J290" s="170"/>
      <c r="K290" s="147"/>
      <c r="L290" s="147"/>
      <c r="M290" s="170"/>
      <c r="N290" s="170"/>
      <c r="O290" s="133"/>
      <c r="P290" s="133"/>
      <c r="Q290" s="151"/>
      <c r="R290" s="151"/>
      <c r="S290" s="151"/>
      <c r="T290" s="120"/>
      <c r="U290" s="163"/>
      <c r="Z290" s="120"/>
      <c r="AA290" s="165"/>
      <c r="AB290" s="166"/>
      <c r="AF290" s="120"/>
      <c r="AG290" s="153"/>
      <c r="AH290" s="120"/>
    </row>
    <row r="291" spans="1:34" ht="13.2">
      <c r="A291" s="142"/>
      <c r="B291" s="142"/>
      <c r="C291" s="142"/>
      <c r="D291" s="142"/>
      <c r="E291" s="174"/>
      <c r="F291" s="174"/>
      <c r="G291" s="175"/>
      <c r="H291" s="175"/>
      <c r="I291" s="170"/>
      <c r="J291" s="170"/>
      <c r="K291" s="147"/>
      <c r="L291" s="147"/>
      <c r="M291" s="170"/>
      <c r="N291" s="170"/>
      <c r="O291" s="133"/>
      <c r="P291" s="133"/>
      <c r="Q291" s="157"/>
      <c r="R291" s="157"/>
      <c r="S291" s="157"/>
      <c r="T291" s="120"/>
      <c r="U291" s="158"/>
      <c r="Z291" s="120"/>
      <c r="AA291" s="167"/>
      <c r="AB291" s="161"/>
      <c r="AF291" s="120"/>
      <c r="AG291" s="162"/>
      <c r="AH291" s="120"/>
    </row>
    <row r="292" spans="1:34" ht="13.2">
      <c r="A292" s="142"/>
      <c r="B292" s="142"/>
      <c r="C292" s="142"/>
      <c r="D292" s="142"/>
      <c r="E292" s="174"/>
      <c r="F292" s="174"/>
      <c r="G292" s="175"/>
      <c r="H292" s="175"/>
      <c r="I292" s="170"/>
      <c r="J292" s="170"/>
      <c r="K292" s="147"/>
      <c r="L292" s="147"/>
      <c r="M292" s="170"/>
      <c r="N292" s="170"/>
      <c r="O292" s="133"/>
      <c r="P292" s="133"/>
      <c r="Q292" s="151"/>
      <c r="R292" s="151"/>
      <c r="S292" s="151"/>
      <c r="T292" s="120"/>
      <c r="U292" s="163"/>
      <c r="Z292" s="120"/>
      <c r="AA292" s="165"/>
      <c r="AB292" s="166"/>
      <c r="AF292" s="120"/>
      <c r="AG292" s="153"/>
      <c r="AH292" s="120"/>
    </row>
    <row r="293" spans="1:34" ht="13.2">
      <c r="A293" s="142"/>
      <c r="B293" s="142"/>
      <c r="C293" s="142"/>
      <c r="D293" s="142"/>
      <c r="E293" s="174"/>
      <c r="F293" s="174"/>
      <c r="G293" s="175"/>
      <c r="H293" s="175"/>
      <c r="I293" s="170"/>
      <c r="J293" s="170"/>
      <c r="K293" s="147"/>
      <c r="L293" s="147"/>
      <c r="M293" s="170"/>
      <c r="N293" s="170"/>
      <c r="O293" s="133"/>
      <c r="P293" s="133"/>
      <c r="Q293" s="157"/>
      <c r="R293" s="157"/>
      <c r="S293" s="157"/>
      <c r="T293" s="120"/>
      <c r="U293" s="158"/>
      <c r="Z293" s="120"/>
      <c r="AA293" s="167"/>
      <c r="AB293" s="161"/>
      <c r="AF293" s="120"/>
      <c r="AG293" s="162"/>
      <c r="AH293" s="120"/>
    </row>
    <row r="294" spans="1:34" ht="13.2">
      <c r="A294" s="142"/>
      <c r="B294" s="142"/>
      <c r="C294" s="142"/>
      <c r="D294" s="142"/>
      <c r="E294" s="174"/>
      <c r="F294" s="174"/>
      <c r="G294" s="175"/>
      <c r="H294" s="175"/>
      <c r="I294" s="170"/>
      <c r="J294" s="170"/>
      <c r="K294" s="147"/>
      <c r="L294" s="147"/>
      <c r="M294" s="170"/>
      <c r="N294" s="170"/>
      <c r="O294" s="133"/>
      <c r="P294" s="133"/>
      <c r="Q294" s="151"/>
      <c r="R294" s="151"/>
      <c r="S294" s="151"/>
      <c r="T294" s="120"/>
      <c r="U294" s="163"/>
      <c r="Z294" s="120"/>
      <c r="AA294" s="165"/>
      <c r="AB294" s="166"/>
      <c r="AF294" s="120"/>
      <c r="AG294" s="153"/>
      <c r="AH294" s="120"/>
    </row>
    <row r="295" spans="1:34" ht="13.2">
      <c r="A295" s="142"/>
      <c r="B295" s="142"/>
      <c r="C295" s="142"/>
      <c r="D295" s="142"/>
      <c r="E295" s="174"/>
      <c r="F295" s="174"/>
      <c r="G295" s="175"/>
      <c r="H295" s="175"/>
      <c r="I295" s="170"/>
      <c r="J295" s="170"/>
      <c r="K295" s="147"/>
      <c r="L295" s="147"/>
      <c r="M295" s="170"/>
      <c r="N295" s="170"/>
      <c r="O295" s="133"/>
      <c r="P295" s="133"/>
      <c r="Q295" s="157"/>
      <c r="R295" s="157"/>
      <c r="S295" s="157"/>
      <c r="T295" s="120"/>
      <c r="U295" s="158"/>
      <c r="Z295" s="120"/>
      <c r="AA295" s="167"/>
      <c r="AB295" s="161"/>
      <c r="AF295" s="120"/>
      <c r="AG295" s="162"/>
      <c r="AH295" s="120"/>
    </row>
    <row r="296" spans="1:34" ht="13.2">
      <c r="A296" s="142"/>
      <c r="B296" s="142"/>
      <c r="C296" s="142"/>
      <c r="D296" s="142"/>
      <c r="E296" s="174"/>
      <c r="F296" s="174"/>
      <c r="G296" s="175"/>
      <c r="H296" s="175"/>
      <c r="I296" s="170"/>
      <c r="J296" s="170"/>
      <c r="K296" s="147"/>
      <c r="L296" s="147"/>
      <c r="M296" s="170"/>
      <c r="N296" s="170"/>
      <c r="O296" s="133"/>
      <c r="P296" s="133"/>
      <c r="Q296" s="151"/>
      <c r="R296" s="151"/>
      <c r="S296" s="151"/>
      <c r="T296" s="120"/>
      <c r="U296" s="163"/>
      <c r="Z296" s="120"/>
      <c r="AA296" s="165"/>
      <c r="AB296" s="166"/>
      <c r="AF296" s="120"/>
      <c r="AG296" s="153"/>
      <c r="AH296" s="120"/>
    </row>
    <row r="297" spans="1:34" ht="13.2">
      <c r="A297" s="142"/>
      <c r="B297" s="142"/>
      <c r="C297" s="142"/>
      <c r="D297" s="142"/>
      <c r="E297" s="174"/>
      <c r="F297" s="174"/>
      <c r="G297" s="175"/>
      <c r="H297" s="175"/>
      <c r="I297" s="170"/>
      <c r="J297" s="170"/>
      <c r="K297" s="147"/>
      <c r="L297" s="147"/>
      <c r="M297" s="170"/>
      <c r="N297" s="170"/>
      <c r="O297" s="133"/>
      <c r="P297" s="133"/>
      <c r="Q297" s="157"/>
      <c r="R297" s="157"/>
      <c r="S297" s="157"/>
      <c r="T297" s="120"/>
      <c r="U297" s="158"/>
      <c r="Z297" s="120"/>
      <c r="AA297" s="167"/>
      <c r="AB297" s="161"/>
      <c r="AF297" s="120"/>
      <c r="AG297" s="162"/>
      <c r="AH297" s="120"/>
    </row>
    <row r="298" spans="1:34" ht="13.2">
      <c r="A298" s="142"/>
      <c r="B298" s="142"/>
      <c r="C298" s="142"/>
      <c r="D298" s="142"/>
      <c r="E298" s="174"/>
      <c r="F298" s="174"/>
      <c r="G298" s="175"/>
      <c r="H298" s="175"/>
      <c r="I298" s="170"/>
      <c r="J298" s="170"/>
      <c r="K298" s="147"/>
      <c r="L298" s="147"/>
      <c r="M298" s="170"/>
      <c r="N298" s="170"/>
      <c r="O298" s="133"/>
      <c r="P298" s="133"/>
      <c r="Q298" s="151"/>
      <c r="R298" s="151"/>
      <c r="S298" s="151"/>
      <c r="T298" s="120"/>
      <c r="U298" s="163"/>
      <c r="Z298" s="120"/>
      <c r="AA298" s="165"/>
      <c r="AB298" s="166"/>
      <c r="AF298" s="120"/>
      <c r="AG298" s="153"/>
      <c r="AH298" s="120"/>
    </row>
    <row r="299" spans="1:34" ht="13.2">
      <c r="A299" s="142"/>
      <c r="B299" s="142"/>
      <c r="C299" s="142"/>
      <c r="D299" s="142"/>
      <c r="E299" s="174"/>
      <c r="F299" s="174"/>
      <c r="G299" s="175"/>
      <c r="H299" s="175"/>
      <c r="I299" s="170"/>
      <c r="J299" s="170"/>
      <c r="K299" s="147"/>
      <c r="L299" s="147"/>
      <c r="M299" s="170"/>
      <c r="N299" s="170"/>
      <c r="O299" s="133"/>
      <c r="P299" s="133"/>
      <c r="Q299" s="157"/>
      <c r="R299" s="157"/>
      <c r="S299" s="157"/>
      <c r="T299" s="120"/>
      <c r="U299" s="158"/>
      <c r="Z299" s="120"/>
      <c r="AA299" s="167"/>
      <c r="AB299" s="161"/>
      <c r="AF299" s="120"/>
      <c r="AG299" s="162"/>
      <c r="AH299" s="120"/>
    </row>
    <row r="300" spans="1:34" ht="13.2">
      <c r="A300" s="142"/>
      <c r="B300" s="142"/>
      <c r="C300" s="142"/>
      <c r="D300" s="142"/>
      <c r="E300" s="174"/>
      <c r="F300" s="174"/>
      <c r="G300" s="175"/>
      <c r="H300" s="175"/>
      <c r="I300" s="170"/>
      <c r="J300" s="170"/>
      <c r="K300" s="147"/>
      <c r="L300" s="147"/>
      <c r="M300" s="170"/>
      <c r="N300" s="170"/>
      <c r="O300" s="133"/>
      <c r="P300" s="133"/>
      <c r="Q300" s="151"/>
      <c r="R300" s="151"/>
      <c r="S300" s="151"/>
      <c r="T300" s="120"/>
      <c r="U300" s="163"/>
      <c r="Z300" s="120"/>
      <c r="AA300" s="165"/>
      <c r="AB300" s="166"/>
      <c r="AF300" s="120"/>
      <c r="AG300" s="153"/>
      <c r="AH300" s="120"/>
    </row>
    <row r="301" spans="1:34" ht="13.2">
      <c r="A301" s="142"/>
      <c r="B301" s="142"/>
      <c r="C301" s="142"/>
      <c r="D301" s="142"/>
      <c r="E301" s="174"/>
      <c r="F301" s="174"/>
      <c r="G301" s="175"/>
      <c r="H301" s="175"/>
      <c r="I301" s="170"/>
      <c r="J301" s="170"/>
      <c r="K301" s="147"/>
      <c r="L301" s="147"/>
      <c r="M301" s="170"/>
      <c r="N301" s="170"/>
      <c r="O301" s="133"/>
      <c r="P301" s="133"/>
      <c r="Q301" s="157"/>
      <c r="R301" s="157"/>
      <c r="S301" s="157"/>
      <c r="T301" s="120"/>
      <c r="U301" s="158"/>
      <c r="Z301" s="120"/>
      <c r="AA301" s="167"/>
      <c r="AB301" s="161"/>
      <c r="AF301" s="120"/>
      <c r="AG301" s="162"/>
      <c r="AH301" s="120"/>
    </row>
    <row r="302" spans="1:34" ht="13.2">
      <c r="A302" s="142"/>
      <c r="B302" s="142"/>
      <c r="C302" s="142"/>
      <c r="D302" s="142"/>
      <c r="E302" s="174"/>
      <c r="F302" s="174"/>
      <c r="G302" s="175"/>
      <c r="H302" s="175"/>
      <c r="I302" s="170"/>
      <c r="J302" s="170"/>
      <c r="K302" s="147"/>
      <c r="L302" s="147"/>
      <c r="M302" s="170"/>
      <c r="N302" s="170"/>
      <c r="O302" s="133"/>
      <c r="P302" s="133"/>
      <c r="Q302" s="151"/>
      <c r="R302" s="151"/>
      <c r="S302" s="151"/>
      <c r="T302" s="120"/>
      <c r="U302" s="163"/>
      <c r="Z302" s="120"/>
      <c r="AA302" s="165"/>
      <c r="AB302" s="166"/>
      <c r="AF302" s="120"/>
      <c r="AG302" s="153"/>
      <c r="AH302" s="120"/>
    </row>
    <row r="303" spans="1:34" ht="13.2">
      <c r="A303" s="142"/>
      <c r="B303" s="142"/>
      <c r="C303" s="142"/>
      <c r="D303" s="142"/>
      <c r="E303" s="174"/>
      <c r="F303" s="174"/>
      <c r="G303" s="175"/>
      <c r="H303" s="175"/>
      <c r="I303" s="170"/>
      <c r="J303" s="170"/>
      <c r="K303" s="147"/>
      <c r="L303" s="147"/>
      <c r="M303" s="170"/>
      <c r="N303" s="170"/>
      <c r="O303" s="133"/>
      <c r="P303" s="133"/>
      <c r="Q303" s="157"/>
      <c r="R303" s="157"/>
      <c r="S303" s="157"/>
      <c r="T303" s="120"/>
      <c r="U303" s="158"/>
      <c r="Z303" s="120"/>
      <c r="AA303" s="167"/>
      <c r="AB303" s="161"/>
      <c r="AF303" s="120"/>
      <c r="AG303" s="162"/>
      <c r="AH303" s="120"/>
    </row>
    <row r="304" spans="1:34" ht="13.2">
      <c r="A304" s="142"/>
      <c r="B304" s="142"/>
      <c r="C304" s="142"/>
      <c r="D304" s="142"/>
      <c r="E304" s="174"/>
      <c r="F304" s="174"/>
      <c r="G304" s="175"/>
      <c r="H304" s="175"/>
      <c r="I304" s="170"/>
      <c r="J304" s="170"/>
      <c r="K304" s="147"/>
      <c r="L304" s="147"/>
      <c r="M304" s="170"/>
      <c r="N304" s="170"/>
      <c r="O304" s="133"/>
      <c r="P304" s="133"/>
      <c r="Q304" s="151"/>
      <c r="R304" s="151"/>
      <c r="S304" s="151"/>
      <c r="T304" s="120"/>
      <c r="U304" s="163"/>
      <c r="Z304" s="120"/>
      <c r="AA304" s="165"/>
      <c r="AB304" s="166"/>
      <c r="AF304" s="120"/>
      <c r="AG304" s="153"/>
      <c r="AH304" s="120"/>
    </row>
    <row r="305" spans="1:34" ht="13.2">
      <c r="A305" s="142"/>
      <c r="B305" s="142"/>
      <c r="C305" s="142"/>
      <c r="D305" s="142"/>
      <c r="E305" s="174"/>
      <c r="F305" s="174"/>
      <c r="G305" s="175"/>
      <c r="H305" s="175"/>
      <c r="I305" s="170"/>
      <c r="J305" s="170"/>
      <c r="K305" s="147"/>
      <c r="L305" s="147"/>
      <c r="M305" s="170"/>
      <c r="N305" s="170"/>
      <c r="O305" s="133"/>
      <c r="P305" s="133"/>
      <c r="Q305" s="157"/>
      <c r="R305" s="157"/>
      <c r="S305" s="157"/>
      <c r="T305" s="120"/>
      <c r="U305" s="158"/>
      <c r="Z305" s="120"/>
      <c r="AA305" s="167"/>
      <c r="AB305" s="161"/>
      <c r="AF305" s="120"/>
      <c r="AG305" s="162"/>
      <c r="AH305" s="120"/>
    </row>
    <row r="306" spans="1:34" ht="13.2">
      <c r="A306" s="142"/>
      <c r="B306" s="142"/>
      <c r="C306" s="142"/>
      <c r="D306" s="142"/>
      <c r="E306" s="174"/>
      <c r="F306" s="174"/>
      <c r="G306" s="175"/>
      <c r="H306" s="175"/>
      <c r="I306" s="170"/>
      <c r="J306" s="170"/>
      <c r="K306" s="147"/>
      <c r="L306" s="147"/>
      <c r="M306" s="170"/>
      <c r="N306" s="170"/>
      <c r="O306" s="133"/>
      <c r="P306" s="133"/>
      <c r="Q306" s="151"/>
      <c r="R306" s="151"/>
      <c r="S306" s="151"/>
      <c r="T306" s="120"/>
      <c r="U306" s="163"/>
      <c r="Z306" s="120"/>
      <c r="AA306" s="165"/>
      <c r="AB306" s="166"/>
      <c r="AF306" s="120"/>
      <c r="AG306" s="153"/>
      <c r="AH306" s="120"/>
    </row>
    <row r="307" spans="1:34" ht="13.2">
      <c r="A307" s="142"/>
      <c r="B307" s="142"/>
      <c r="C307" s="142"/>
      <c r="D307" s="142"/>
      <c r="E307" s="174"/>
      <c r="F307" s="174"/>
      <c r="G307" s="175"/>
      <c r="H307" s="175"/>
      <c r="I307" s="170"/>
      <c r="J307" s="170"/>
      <c r="K307" s="147"/>
      <c r="L307" s="147"/>
      <c r="M307" s="170"/>
      <c r="N307" s="170"/>
      <c r="O307" s="133"/>
      <c r="P307" s="133"/>
      <c r="Q307" s="157"/>
      <c r="R307" s="157"/>
      <c r="S307" s="157"/>
      <c r="T307" s="120"/>
      <c r="U307" s="158"/>
      <c r="Z307" s="120"/>
      <c r="AA307" s="167"/>
      <c r="AB307" s="161"/>
      <c r="AF307" s="120"/>
      <c r="AG307" s="162"/>
      <c r="AH307" s="120"/>
    </row>
    <row r="308" spans="1:34" ht="13.2">
      <c r="A308" s="142"/>
      <c r="B308" s="142"/>
      <c r="C308" s="142"/>
      <c r="D308" s="142"/>
      <c r="E308" s="174"/>
      <c r="F308" s="174"/>
      <c r="G308" s="175"/>
      <c r="H308" s="175"/>
      <c r="I308" s="170"/>
      <c r="J308" s="170"/>
      <c r="K308" s="147"/>
      <c r="L308" s="147"/>
      <c r="M308" s="170"/>
      <c r="N308" s="170"/>
      <c r="O308" s="133"/>
      <c r="P308" s="133"/>
      <c r="Q308" s="151"/>
      <c r="R308" s="151"/>
      <c r="S308" s="151"/>
      <c r="T308" s="120"/>
      <c r="U308" s="163"/>
      <c r="Z308" s="120"/>
      <c r="AA308" s="165"/>
      <c r="AB308" s="166"/>
      <c r="AF308" s="120"/>
      <c r="AG308" s="153"/>
      <c r="AH308" s="120"/>
    </row>
    <row r="309" spans="1:34" ht="13.2">
      <c r="A309" s="142"/>
      <c r="B309" s="142"/>
      <c r="C309" s="142"/>
      <c r="D309" s="142"/>
      <c r="E309" s="174"/>
      <c r="F309" s="174"/>
      <c r="G309" s="175"/>
      <c r="H309" s="175"/>
      <c r="I309" s="170"/>
      <c r="J309" s="170"/>
      <c r="K309" s="147"/>
      <c r="L309" s="147"/>
      <c r="M309" s="170"/>
      <c r="N309" s="170"/>
      <c r="O309" s="133"/>
      <c r="P309" s="133"/>
      <c r="Q309" s="157"/>
      <c r="R309" s="157"/>
      <c r="S309" s="157"/>
      <c r="T309" s="120"/>
      <c r="U309" s="158"/>
      <c r="Z309" s="120"/>
      <c r="AA309" s="167"/>
      <c r="AB309" s="161"/>
      <c r="AF309" s="120"/>
      <c r="AG309" s="162"/>
      <c r="AH309" s="120"/>
    </row>
    <row r="310" spans="1:34" ht="13.2">
      <c r="A310" s="142"/>
      <c r="B310" s="142"/>
      <c r="C310" s="142"/>
      <c r="D310" s="142"/>
      <c r="E310" s="174"/>
      <c r="F310" s="174"/>
      <c r="G310" s="175"/>
      <c r="H310" s="175"/>
      <c r="I310" s="170"/>
      <c r="J310" s="170"/>
      <c r="K310" s="147"/>
      <c r="L310" s="147"/>
      <c r="M310" s="170"/>
      <c r="N310" s="170"/>
      <c r="O310" s="133"/>
      <c r="P310" s="133"/>
      <c r="Q310" s="151"/>
      <c r="R310" s="151"/>
      <c r="S310" s="151"/>
      <c r="T310" s="120"/>
      <c r="U310" s="163"/>
      <c r="Z310" s="120"/>
      <c r="AA310" s="165"/>
      <c r="AB310" s="166"/>
      <c r="AF310" s="120"/>
      <c r="AG310" s="153"/>
      <c r="AH310" s="120"/>
    </row>
    <row r="311" spans="1:34" ht="13.2">
      <c r="A311" s="142"/>
      <c r="B311" s="142"/>
      <c r="C311" s="142"/>
      <c r="D311" s="142"/>
      <c r="E311" s="174"/>
      <c r="F311" s="174"/>
      <c r="G311" s="175"/>
      <c r="H311" s="175"/>
      <c r="I311" s="170"/>
      <c r="J311" s="170"/>
      <c r="K311" s="147"/>
      <c r="L311" s="147"/>
      <c r="M311" s="170"/>
      <c r="N311" s="170"/>
      <c r="O311" s="133"/>
      <c r="P311" s="133"/>
      <c r="Q311" s="157"/>
      <c r="R311" s="157"/>
      <c r="S311" s="157"/>
      <c r="T311" s="120"/>
      <c r="U311" s="158"/>
      <c r="Z311" s="120"/>
      <c r="AA311" s="167"/>
      <c r="AB311" s="161"/>
      <c r="AF311" s="120"/>
      <c r="AG311" s="162"/>
      <c r="AH311" s="120"/>
    </row>
    <row r="312" spans="1:34" ht="13.2">
      <c r="A312" s="142"/>
      <c r="B312" s="142"/>
      <c r="C312" s="142"/>
      <c r="D312" s="142"/>
      <c r="E312" s="174"/>
      <c r="F312" s="174"/>
      <c r="G312" s="175"/>
      <c r="H312" s="175"/>
      <c r="I312" s="170"/>
      <c r="J312" s="170"/>
      <c r="K312" s="147"/>
      <c r="L312" s="147"/>
      <c r="M312" s="170"/>
      <c r="N312" s="170"/>
      <c r="O312" s="133"/>
      <c r="P312" s="133"/>
      <c r="Q312" s="151"/>
      <c r="R312" s="151"/>
      <c r="S312" s="151"/>
      <c r="T312" s="120"/>
      <c r="U312" s="163"/>
      <c r="Z312" s="120"/>
      <c r="AA312" s="165"/>
      <c r="AB312" s="166"/>
      <c r="AF312" s="120"/>
      <c r="AG312" s="153"/>
      <c r="AH312" s="120"/>
    </row>
    <row r="313" spans="1:34" ht="13.2">
      <c r="A313" s="142"/>
      <c r="B313" s="142"/>
      <c r="C313" s="142"/>
      <c r="D313" s="142"/>
      <c r="E313" s="174"/>
      <c r="F313" s="174"/>
      <c r="G313" s="175"/>
      <c r="H313" s="175"/>
      <c r="I313" s="170"/>
      <c r="J313" s="170"/>
      <c r="K313" s="147"/>
      <c r="L313" s="147"/>
      <c r="M313" s="170"/>
      <c r="N313" s="170"/>
      <c r="O313" s="133"/>
      <c r="P313" s="133"/>
      <c r="Q313" s="157"/>
      <c r="R313" s="157"/>
      <c r="S313" s="157"/>
      <c r="T313" s="120"/>
      <c r="U313" s="158"/>
      <c r="Z313" s="120"/>
      <c r="AA313" s="167"/>
      <c r="AB313" s="161"/>
      <c r="AF313" s="120"/>
      <c r="AG313" s="162"/>
      <c r="AH313" s="120"/>
    </row>
    <row r="314" spans="1:34" ht="13.2">
      <c r="A314" s="142"/>
      <c r="B314" s="142"/>
      <c r="C314" s="142"/>
      <c r="D314" s="142"/>
      <c r="E314" s="174"/>
      <c r="F314" s="174"/>
      <c r="G314" s="175"/>
      <c r="H314" s="175"/>
      <c r="I314" s="170"/>
      <c r="J314" s="170"/>
      <c r="K314" s="147"/>
      <c r="L314" s="147"/>
      <c r="M314" s="170"/>
      <c r="N314" s="170"/>
      <c r="O314" s="133"/>
      <c r="P314" s="133"/>
      <c r="Q314" s="151"/>
      <c r="R314" s="151"/>
      <c r="S314" s="151"/>
      <c r="T314" s="120"/>
      <c r="U314" s="163"/>
      <c r="Z314" s="120"/>
      <c r="AA314" s="165"/>
      <c r="AB314" s="166"/>
      <c r="AF314" s="120"/>
      <c r="AG314" s="153"/>
      <c r="AH314" s="120"/>
    </row>
    <row r="315" spans="1:34" ht="13.2">
      <c r="A315" s="142"/>
      <c r="B315" s="142"/>
      <c r="C315" s="142"/>
      <c r="D315" s="142"/>
      <c r="E315" s="174"/>
      <c r="F315" s="174"/>
      <c r="G315" s="175"/>
      <c r="H315" s="175"/>
      <c r="I315" s="170"/>
      <c r="J315" s="170"/>
      <c r="K315" s="147"/>
      <c r="L315" s="147"/>
      <c r="M315" s="170"/>
      <c r="N315" s="170"/>
      <c r="O315" s="133"/>
      <c r="P315" s="133"/>
      <c r="Q315" s="157"/>
      <c r="R315" s="157"/>
      <c r="S315" s="157"/>
      <c r="T315" s="120"/>
      <c r="U315" s="158"/>
      <c r="Z315" s="120"/>
      <c r="AA315" s="167"/>
      <c r="AB315" s="161"/>
      <c r="AF315" s="120"/>
      <c r="AG315" s="162"/>
      <c r="AH315" s="120"/>
    </row>
    <row r="316" spans="1:34" ht="13.2">
      <c r="A316" s="142"/>
      <c r="B316" s="142"/>
      <c r="C316" s="142"/>
      <c r="D316" s="142"/>
      <c r="E316" s="174"/>
      <c r="F316" s="174"/>
      <c r="G316" s="175"/>
      <c r="H316" s="175"/>
      <c r="I316" s="170"/>
      <c r="J316" s="170"/>
      <c r="K316" s="147"/>
      <c r="L316" s="147"/>
      <c r="M316" s="170"/>
      <c r="N316" s="170"/>
      <c r="O316" s="133"/>
      <c r="P316" s="133"/>
      <c r="Q316" s="151"/>
      <c r="R316" s="151"/>
      <c r="S316" s="151"/>
      <c r="T316" s="120"/>
      <c r="U316" s="163"/>
      <c r="Z316" s="120"/>
      <c r="AA316" s="165"/>
      <c r="AB316" s="166"/>
      <c r="AF316" s="120"/>
      <c r="AG316" s="153"/>
      <c r="AH316" s="120"/>
    </row>
    <row r="317" spans="1:34" ht="13.2">
      <c r="A317" s="142"/>
      <c r="B317" s="142"/>
      <c r="C317" s="142"/>
      <c r="D317" s="142"/>
      <c r="E317" s="174"/>
      <c r="F317" s="174"/>
      <c r="G317" s="175"/>
      <c r="H317" s="175"/>
      <c r="I317" s="170"/>
      <c r="J317" s="170"/>
      <c r="K317" s="147"/>
      <c r="L317" s="147"/>
      <c r="M317" s="170"/>
      <c r="N317" s="170"/>
      <c r="O317" s="133"/>
      <c r="P317" s="133"/>
      <c r="Q317" s="157"/>
      <c r="R317" s="157"/>
      <c r="S317" s="157"/>
      <c r="T317" s="120"/>
      <c r="U317" s="158"/>
      <c r="Z317" s="120"/>
      <c r="AA317" s="167"/>
      <c r="AB317" s="161"/>
      <c r="AF317" s="120"/>
      <c r="AG317" s="162"/>
      <c r="AH317" s="120"/>
    </row>
    <row r="318" spans="1:34" ht="13.2">
      <c r="A318" s="142"/>
      <c r="B318" s="142"/>
      <c r="C318" s="142"/>
      <c r="D318" s="142"/>
      <c r="E318" s="174"/>
      <c r="F318" s="174"/>
      <c r="G318" s="175"/>
      <c r="H318" s="175"/>
      <c r="I318" s="170"/>
      <c r="J318" s="170"/>
      <c r="K318" s="147"/>
      <c r="L318" s="147"/>
      <c r="M318" s="170"/>
      <c r="N318" s="170"/>
      <c r="O318" s="133"/>
      <c r="P318" s="133"/>
      <c r="Q318" s="151"/>
      <c r="R318" s="151"/>
      <c r="S318" s="151"/>
      <c r="T318" s="120"/>
      <c r="U318" s="163"/>
      <c r="Z318" s="120"/>
      <c r="AA318" s="165"/>
      <c r="AB318" s="166"/>
      <c r="AF318" s="120"/>
      <c r="AG318" s="153"/>
      <c r="AH318" s="120"/>
    </row>
    <row r="319" spans="1:34" ht="13.2">
      <c r="A319" s="142"/>
      <c r="B319" s="142"/>
      <c r="C319" s="142"/>
      <c r="D319" s="142"/>
      <c r="E319" s="174"/>
      <c r="F319" s="174"/>
      <c r="G319" s="175"/>
      <c r="H319" s="175"/>
      <c r="I319" s="170"/>
      <c r="J319" s="170"/>
      <c r="K319" s="147"/>
      <c r="L319" s="147"/>
      <c r="M319" s="170"/>
      <c r="N319" s="170"/>
      <c r="O319" s="133"/>
      <c r="P319" s="133"/>
      <c r="Q319" s="157"/>
      <c r="R319" s="157"/>
      <c r="S319" s="157"/>
      <c r="T319" s="120"/>
      <c r="U319" s="158"/>
      <c r="Z319" s="120"/>
      <c r="AA319" s="167"/>
      <c r="AB319" s="161"/>
      <c r="AF319" s="120"/>
      <c r="AG319" s="162"/>
      <c r="AH319" s="120"/>
    </row>
    <row r="320" spans="1:34" ht="13.2">
      <c r="A320" s="142"/>
      <c r="B320" s="142"/>
      <c r="C320" s="142"/>
      <c r="D320" s="142"/>
      <c r="E320" s="174"/>
      <c r="F320" s="174"/>
      <c r="G320" s="175"/>
      <c r="H320" s="175"/>
      <c r="I320" s="170"/>
      <c r="J320" s="170"/>
      <c r="K320" s="147"/>
      <c r="L320" s="147"/>
      <c r="M320" s="170"/>
      <c r="N320" s="170"/>
      <c r="O320" s="133"/>
      <c r="P320" s="133"/>
      <c r="Q320" s="151"/>
      <c r="R320" s="151"/>
      <c r="S320" s="151"/>
      <c r="T320" s="120"/>
      <c r="U320" s="163"/>
      <c r="Z320" s="120"/>
      <c r="AA320" s="165"/>
      <c r="AB320" s="166"/>
      <c r="AF320" s="120"/>
      <c r="AG320" s="153"/>
      <c r="AH320" s="120"/>
    </row>
    <row r="321" spans="1:34" ht="13.2">
      <c r="A321" s="142"/>
      <c r="B321" s="142"/>
      <c r="C321" s="142"/>
      <c r="D321" s="142"/>
      <c r="E321" s="174"/>
      <c r="F321" s="174"/>
      <c r="G321" s="175"/>
      <c r="H321" s="175"/>
      <c r="I321" s="170"/>
      <c r="J321" s="170"/>
      <c r="K321" s="147"/>
      <c r="L321" s="147"/>
      <c r="M321" s="170"/>
      <c r="N321" s="170"/>
      <c r="O321" s="133"/>
      <c r="P321" s="133"/>
      <c r="Q321" s="157"/>
      <c r="R321" s="157"/>
      <c r="S321" s="157"/>
      <c r="T321" s="120"/>
      <c r="U321" s="158"/>
      <c r="Z321" s="120"/>
      <c r="AA321" s="167"/>
      <c r="AB321" s="161"/>
      <c r="AF321" s="120"/>
      <c r="AG321" s="162"/>
      <c r="AH321" s="120"/>
    </row>
    <row r="322" spans="1:34" ht="13.2">
      <c r="A322" s="142"/>
      <c r="B322" s="142"/>
      <c r="C322" s="142"/>
      <c r="D322" s="142"/>
      <c r="E322" s="174"/>
      <c r="F322" s="174"/>
      <c r="G322" s="175"/>
      <c r="H322" s="175"/>
      <c r="I322" s="170"/>
      <c r="J322" s="170"/>
      <c r="K322" s="147"/>
      <c r="L322" s="147"/>
      <c r="M322" s="170"/>
      <c r="N322" s="170"/>
      <c r="O322" s="133"/>
      <c r="P322" s="133"/>
      <c r="Q322" s="151"/>
      <c r="R322" s="151"/>
      <c r="S322" s="151"/>
      <c r="T322" s="120"/>
      <c r="U322" s="163"/>
      <c r="Z322" s="120"/>
      <c r="AA322" s="165"/>
      <c r="AB322" s="166"/>
      <c r="AF322" s="120"/>
      <c r="AG322" s="153"/>
      <c r="AH322" s="120"/>
    </row>
    <row r="323" spans="1:34" ht="13.2">
      <c r="A323" s="142"/>
      <c r="B323" s="142"/>
      <c r="C323" s="142"/>
      <c r="D323" s="142"/>
      <c r="E323" s="174"/>
      <c r="F323" s="174"/>
      <c r="G323" s="175"/>
      <c r="H323" s="175"/>
      <c r="I323" s="170"/>
      <c r="J323" s="170"/>
      <c r="K323" s="147"/>
      <c r="L323" s="147"/>
      <c r="M323" s="170"/>
      <c r="N323" s="170"/>
      <c r="O323" s="133"/>
      <c r="P323" s="133"/>
      <c r="Q323" s="157"/>
      <c r="R323" s="157"/>
      <c r="S323" s="157"/>
      <c r="T323" s="120"/>
      <c r="U323" s="158"/>
      <c r="Z323" s="120"/>
      <c r="AA323" s="167"/>
      <c r="AB323" s="161"/>
      <c r="AF323" s="120"/>
      <c r="AG323" s="162"/>
      <c r="AH323" s="120"/>
    </row>
    <row r="324" spans="1:34" ht="13.2">
      <c r="A324" s="142"/>
      <c r="B324" s="142"/>
      <c r="C324" s="142"/>
      <c r="D324" s="142"/>
      <c r="E324" s="174"/>
      <c r="F324" s="174"/>
      <c r="G324" s="175"/>
      <c r="H324" s="175"/>
      <c r="I324" s="170"/>
      <c r="J324" s="170"/>
      <c r="K324" s="147"/>
      <c r="L324" s="147"/>
      <c r="M324" s="170"/>
      <c r="N324" s="170"/>
      <c r="O324" s="133"/>
      <c r="P324" s="133"/>
      <c r="Q324" s="151"/>
      <c r="R324" s="151"/>
      <c r="S324" s="151"/>
      <c r="T324" s="120"/>
      <c r="U324" s="163"/>
      <c r="Z324" s="120"/>
      <c r="AA324" s="165"/>
      <c r="AB324" s="166"/>
      <c r="AF324" s="120"/>
      <c r="AG324" s="153"/>
      <c r="AH324" s="120"/>
    </row>
    <row r="325" spans="1:34" ht="13.2">
      <c r="A325" s="142"/>
      <c r="B325" s="142"/>
      <c r="C325" s="142"/>
      <c r="D325" s="142"/>
      <c r="E325" s="174"/>
      <c r="F325" s="174"/>
      <c r="G325" s="175"/>
      <c r="H325" s="175"/>
      <c r="I325" s="170"/>
      <c r="J325" s="170"/>
      <c r="K325" s="147"/>
      <c r="L325" s="147"/>
      <c r="M325" s="170"/>
      <c r="N325" s="170"/>
      <c r="O325" s="133"/>
      <c r="P325" s="133"/>
      <c r="Q325" s="157"/>
      <c r="R325" s="157"/>
      <c r="S325" s="157"/>
      <c r="T325" s="120"/>
      <c r="U325" s="158"/>
      <c r="Z325" s="120"/>
      <c r="AA325" s="167"/>
      <c r="AB325" s="161"/>
      <c r="AF325" s="120"/>
      <c r="AG325" s="162"/>
      <c r="AH325" s="120"/>
    </row>
    <row r="326" spans="1:34" ht="13.2">
      <c r="A326" s="142"/>
      <c r="B326" s="142"/>
      <c r="C326" s="142"/>
      <c r="D326" s="142"/>
      <c r="E326" s="174"/>
      <c r="F326" s="174"/>
      <c r="G326" s="175"/>
      <c r="H326" s="175"/>
      <c r="I326" s="170"/>
      <c r="J326" s="170"/>
      <c r="K326" s="147"/>
      <c r="L326" s="147"/>
      <c r="M326" s="170"/>
      <c r="N326" s="170"/>
      <c r="O326" s="133"/>
      <c r="P326" s="133"/>
      <c r="Q326" s="151"/>
      <c r="R326" s="151"/>
      <c r="S326" s="151"/>
      <c r="T326" s="120"/>
      <c r="U326" s="163"/>
      <c r="Z326" s="120"/>
      <c r="AA326" s="165"/>
      <c r="AB326" s="166"/>
      <c r="AF326" s="120"/>
      <c r="AG326" s="153"/>
      <c r="AH326" s="120"/>
    </row>
    <row r="327" spans="1:34" ht="13.2">
      <c r="A327" s="142"/>
      <c r="B327" s="142"/>
      <c r="C327" s="142"/>
      <c r="D327" s="142"/>
      <c r="E327" s="174"/>
      <c r="F327" s="174"/>
      <c r="G327" s="175"/>
      <c r="H327" s="175"/>
      <c r="I327" s="170"/>
      <c r="J327" s="170"/>
      <c r="K327" s="147"/>
      <c r="L327" s="147"/>
      <c r="M327" s="170"/>
      <c r="N327" s="170"/>
      <c r="O327" s="133"/>
      <c r="P327" s="133"/>
      <c r="Q327" s="157"/>
      <c r="R327" s="157"/>
      <c r="S327" s="157"/>
      <c r="T327" s="120"/>
      <c r="U327" s="158"/>
      <c r="Z327" s="120"/>
      <c r="AA327" s="167"/>
      <c r="AB327" s="161"/>
      <c r="AF327" s="120"/>
      <c r="AG327" s="162"/>
      <c r="AH327" s="120"/>
    </row>
    <row r="328" spans="1:34" ht="13.2">
      <c r="A328" s="142"/>
      <c r="B328" s="142"/>
      <c r="C328" s="142"/>
      <c r="D328" s="142"/>
      <c r="E328" s="174"/>
      <c r="F328" s="174"/>
      <c r="G328" s="175"/>
      <c r="H328" s="175"/>
      <c r="I328" s="170"/>
      <c r="J328" s="170"/>
      <c r="K328" s="147"/>
      <c r="L328" s="147"/>
      <c r="M328" s="170"/>
      <c r="N328" s="170"/>
      <c r="O328" s="133"/>
      <c r="P328" s="133"/>
      <c r="Q328" s="151"/>
      <c r="R328" s="151"/>
      <c r="S328" s="151"/>
      <c r="T328" s="120"/>
      <c r="U328" s="163"/>
      <c r="Z328" s="120"/>
      <c r="AA328" s="165"/>
      <c r="AB328" s="166"/>
      <c r="AF328" s="120"/>
      <c r="AG328" s="153"/>
      <c r="AH328" s="120"/>
    </row>
    <row r="329" spans="1:34" ht="13.2">
      <c r="A329" s="142"/>
      <c r="B329" s="142"/>
      <c r="C329" s="142"/>
      <c r="D329" s="142"/>
      <c r="E329" s="174"/>
      <c r="F329" s="174"/>
      <c r="G329" s="175"/>
      <c r="H329" s="175"/>
      <c r="I329" s="170"/>
      <c r="J329" s="170"/>
      <c r="K329" s="147"/>
      <c r="L329" s="147"/>
      <c r="M329" s="170"/>
      <c r="N329" s="170"/>
      <c r="O329" s="133"/>
      <c r="P329" s="133"/>
      <c r="Q329" s="157"/>
      <c r="R329" s="157"/>
      <c r="S329" s="157"/>
      <c r="T329" s="120"/>
      <c r="U329" s="158"/>
      <c r="Z329" s="120"/>
      <c r="AA329" s="167"/>
      <c r="AB329" s="161"/>
      <c r="AF329" s="120"/>
      <c r="AG329" s="162"/>
      <c r="AH329" s="120"/>
    </row>
    <row r="330" spans="1:34" ht="13.2">
      <c r="A330" s="142"/>
      <c r="B330" s="142"/>
      <c r="C330" s="142"/>
      <c r="D330" s="142"/>
      <c r="E330" s="174"/>
      <c r="F330" s="174"/>
      <c r="G330" s="175"/>
      <c r="H330" s="175"/>
      <c r="I330" s="170"/>
      <c r="J330" s="170"/>
      <c r="K330" s="147"/>
      <c r="L330" s="147"/>
      <c r="M330" s="170"/>
      <c r="N330" s="170"/>
      <c r="O330" s="133"/>
      <c r="P330" s="133"/>
      <c r="Q330" s="151"/>
      <c r="R330" s="151"/>
      <c r="S330" s="151"/>
      <c r="T330" s="120"/>
      <c r="U330" s="163"/>
      <c r="Z330" s="120"/>
      <c r="AA330" s="165"/>
      <c r="AB330" s="166"/>
      <c r="AF330" s="120"/>
      <c r="AG330" s="153"/>
      <c r="AH330" s="120"/>
    </row>
    <row r="331" spans="1:34" ht="13.2">
      <c r="A331" s="142"/>
      <c r="B331" s="142"/>
      <c r="C331" s="142"/>
      <c r="D331" s="142"/>
      <c r="E331" s="174"/>
      <c r="F331" s="174"/>
      <c r="G331" s="175"/>
      <c r="H331" s="175"/>
      <c r="I331" s="170"/>
      <c r="J331" s="170"/>
      <c r="K331" s="147"/>
      <c r="L331" s="147"/>
      <c r="M331" s="170"/>
      <c r="N331" s="170"/>
      <c r="O331" s="133"/>
      <c r="P331" s="133"/>
      <c r="Q331" s="157"/>
      <c r="R331" s="157"/>
      <c r="S331" s="157"/>
      <c r="T331" s="120"/>
      <c r="U331" s="158"/>
      <c r="Z331" s="120"/>
      <c r="AA331" s="167"/>
      <c r="AB331" s="161"/>
      <c r="AF331" s="120"/>
      <c r="AG331" s="162"/>
      <c r="AH331" s="120"/>
    </row>
    <row r="332" spans="1:34" ht="13.2">
      <c r="A332" s="142"/>
      <c r="B332" s="142"/>
      <c r="C332" s="142"/>
      <c r="D332" s="142"/>
      <c r="E332" s="174"/>
      <c r="F332" s="174"/>
      <c r="G332" s="175"/>
      <c r="H332" s="175"/>
      <c r="I332" s="170"/>
      <c r="J332" s="170"/>
      <c r="K332" s="147"/>
      <c r="L332" s="147"/>
      <c r="M332" s="170"/>
      <c r="N332" s="170"/>
      <c r="O332" s="133"/>
      <c r="P332" s="133"/>
      <c r="Q332" s="151"/>
      <c r="R332" s="151"/>
      <c r="S332" s="151"/>
      <c r="T332" s="120"/>
      <c r="U332" s="163"/>
      <c r="Z332" s="120"/>
      <c r="AA332" s="165"/>
      <c r="AB332" s="166"/>
      <c r="AF332" s="120"/>
      <c r="AG332" s="153"/>
      <c r="AH332" s="120"/>
    </row>
    <row r="333" spans="1:34" ht="13.2">
      <c r="A333" s="142"/>
      <c r="B333" s="142"/>
      <c r="C333" s="142"/>
      <c r="D333" s="142"/>
      <c r="E333" s="174"/>
      <c r="F333" s="174"/>
      <c r="G333" s="175"/>
      <c r="H333" s="175"/>
      <c r="I333" s="170"/>
      <c r="J333" s="170"/>
      <c r="K333" s="147"/>
      <c r="L333" s="147"/>
      <c r="M333" s="170"/>
      <c r="N333" s="170"/>
      <c r="O333" s="133"/>
      <c r="P333" s="133"/>
      <c r="Q333" s="157"/>
      <c r="R333" s="157"/>
      <c r="S333" s="157"/>
      <c r="T333" s="120"/>
      <c r="U333" s="158"/>
      <c r="Z333" s="120"/>
      <c r="AA333" s="167"/>
      <c r="AB333" s="161"/>
      <c r="AF333" s="120"/>
      <c r="AG333" s="162"/>
      <c r="AH333" s="120"/>
    </row>
    <row r="334" spans="1:34" ht="13.2">
      <c r="A334" s="142"/>
      <c r="B334" s="142"/>
      <c r="C334" s="142"/>
      <c r="D334" s="142"/>
      <c r="E334" s="174"/>
      <c r="F334" s="174"/>
      <c r="G334" s="175"/>
      <c r="H334" s="175"/>
      <c r="I334" s="170"/>
      <c r="J334" s="170"/>
      <c r="K334" s="147"/>
      <c r="L334" s="147"/>
      <c r="M334" s="170"/>
      <c r="N334" s="170"/>
      <c r="O334" s="133"/>
      <c r="P334" s="133"/>
      <c r="Q334" s="151"/>
      <c r="R334" s="151"/>
      <c r="S334" s="151"/>
      <c r="T334" s="120"/>
      <c r="U334" s="163"/>
      <c r="Z334" s="120"/>
      <c r="AA334" s="165"/>
      <c r="AB334" s="166"/>
      <c r="AF334" s="120"/>
      <c r="AG334" s="153"/>
      <c r="AH334" s="120"/>
    </row>
    <row r="335" spans="1:34" ht="13.2">
      <c r="A335" s="142"/>
      <c r="B335" s="142"/>
      <c r="C335" s="142"/>
      <c r="D335" s="142"/>
      <c r="E335" s="174"/>
      <c r="F335" s="174"/>
      <c r="G335" s="175"/>
      <c r="H335" s="175"/>
      <c r="I335" s="170"/>
      <c r="J335" s="170"/>
      <c r="K335" s="147"/>
      <c r="L335" s="147"/>
      <c r="M335" s="170"/>
      <c r="N335" s="170"/>
      <c r="O335" s="133"/>
      <c r="P335" s="133"/>
      <c r="Q335" s="157"/>
      <c r="R335" s="157"/>
      <c r="S335" s="157"/>
      <c r="T335" s="120"/>
      <c r="U335" s="158"/>
      <c r="Z335" s="120"/>
      <c r="AA335" s="167"/>
      <c r="AB335" s="161"/>
      <c r="AF335" s="120"/>
      <c r="AG335" s="162"/>
      <c r="AH335" s="120"/>
    </row>
    <row r="336" spans="1:34" ht="13.2">
      <c r="A336" s="142"/>
      <c r="B336" s="142"/>
      <c r="C336" s="142"/>
      <c r="D336" s="142"/>
      <c r="E336" s="174"/>
      <c r="F336" s="174"/>
      <c r="G336" s="175"/>
      <c r="H336" s="175"/>
      <c r="I336" s="170"/>
      <c r="J336" s="170"/>
      <c r="K336" s="147"/>
      <c r="L336" s="147"/>
      <c r="M336" s="170"/>
      <c r="N336" s="170"/>
      <c r="O336" s="133"/>
      <c r="P336" s="133"/>
      <c r="Q336" s="151"/>
      <c r="R336" s="151"/>
      <c r="S336" s="151"/>
      <c r="T336" s="120"/>
      <c r="U336" s="163"/>
      <c r="Z336" s="120"/>
      <c r="AA336" s="165"/>
      <c r="AB336" s="166"/>
      <c r="AF336" s="120"/>
      <c r="AG336" s="153"/>
      <c r="AH336" s="120"/>
    </row>
    <row r="337" spans="1:34" ht="13.2">
      <c r="A337" s="142"/>
      <c r="B337" s="142"/>
      <c r="C337" s="142"/>
      <c r="D337" s="142"/>
      <c r="E337" s="174"/>
      <c r="F337" s="174"/>
      <c r="G337" s="175"/>
      <c r="H337" s="175"/>
      <c r="I337" s="170"/>
      <c r="J337" s="170"/>
      <c r="K337" s="147"/>
      <c r="L337" s="147"/>
      <c r="M337" s="170"/>
      <c r="N337" s="170"/>
      <c r="O337" s="133"/>
      <c r="P337" s="133"/>
      <c r="Q337" s="157"/>
      <c r="R337" s="157"/>
      <c r="S337" s="157"/>
      <c r="T337" s="120"/>
      <c r="U337" s="158"/>
      <c r="Z337" s="120"/>
      <c r="AA337" s="167"/>
      <c r="AB337" s="161"/>
      <c r="AF337" s="120"/>
      <c r="AG337" s="162"/>
      <c r="AH337" s="120"/>
    </row>
    <row r="338" spans="1:34" ht="13.2">
      <c r="A338" s="142"/>
      <c r="B338" s="142"/>
      <c r="C338" s="142"/>
      <c r="D338" s="142"/>
      <c r="E338" s="174"/>
      <c r="F338" s="174"/>
      <c r="G338" s="175"/>
      <c r="H338" s="175"/>
      <c r="I338" s="170"/>
      <c r="J338" s="170"/>
      <c r="K338" s="147"/>
      <c r="L338" s="147"/>
      <c r="M338" s="170"/>
      <c r="N338" s="170"/>
      <c r="O338" s="133"/>
      <c r="P338" s="133"/>
      <c r="Q338" s="151"/>
      <c r="R338" s="151"/>
      <c r="S338" s="151"/>
      <c r="T338" s="120"/>
      <c r="U338" s="163"/>
      <c r="Z338" s="120"/>
      <c r="AA338" s="165"/>
      <c r="AB338" s="166"/>
      <c r="AF338" s="120"/>
      <c r="AG338" s="153"/>
      <c r="AH338" s="120"/>
    </row>
    <row r="339" spans="1:34" ht="13.2">
      <c r="A339" s="142"/>
      <c r="B339" s="142"/>
      <c r="C339" s="142"/>
      <c r="D339" s="142"/>
      <c r="E339" s="174"/>
      <c r="F339" s="174"/>
      <c r="G339" s="175"/>
      <c r="H339" s="175"/>
      <c r="I339" s="170"/>
      <c r="J339" s="170"/>
      <c r="K339" s="147"/>
      <c r="L339" s="147"/>
      <c r="M339" s="170"/>
      <c r="N339" s="170"/>
      <c r="O339" s="133"/>
      <c r="P339" s="133"/>
      <c r="Q339" s="157"/>
      <c r="R339" s="157"/>
      <c r="S339" s="157"/>
      <c r="T339" s="120"/>
      <c r="U339" s="158"/>
      <c r="Z339" s="120"/>
      <c r="AA339" s="167"/>
      <c r="AB339" s="161"/>
      <c r="AF339" s="120"/>
      <c r="AG339" s="162"/>
      <c r="AH339" s="120"/>
    </row>
    <row r="340" spans="1:34" ht="13.2">
      <c r="A340" s="142"/>
      <c r="B340" s="142"/>
      <c r="C340" s="142"/>
      <c r="D340" s="142"/>
      <c r="E340" s="174"/>
      <c r="F340" s="174"/>
      <c r="G340" s="175"/>
      <c r="H340" s="175"/>
      <c r="I340" s="170"/>
      <c r="J340" s="170"/>
      <c r="K340" s="147"/>
      <c r="L340" s="147"/>
      <c r="M340" s="170"/>
      <c r="N340" s="170"/>
      <c r="O340" s="133"/>
      <c r="P340" s="133"/>
      <c r="Q340" s="151"/>
      <c r="R340" s="151"/>
      <c r="S340" s="151"/>
      <c r="T340" s="120"/>
      <c r="U340" s="163"/>
      <c r="Z340" s="120"/>
      <c r="AA340" s="165"/>
      <c r="AB340" s="166"/>
      <c r="AF340" s="120"/>
      <c r="AG340" s="153"/>
      <c r="AH340" s="120"/>
    </row>
    <row r="341" spans="1:34" ht="13.2">
      <c r="A341" s="142"/>
      <c r="B341" s="142"/>
      <c r="C341" s="142"/>
      <c r="D341" s="142"/>
      <c r="E341" s="174"/>
      <c r="F341" s="174"/>
      <c r="G341" s="175"/>
      <c r="H341" s="175"/>
      <c r="I341" s="170"/>
      <c r="J341" s="170"/>
      <c r="K341" s="147"/>
      <c r="L341" s="147"/>
      <c r="M341" s="170"/>
      <c r="N341" s="170"/>
      <c r="O341" s="133"/>
      <c r="P341" s="133"/>
      <c r="Q341" s="157"/>
      <c r="R341" s="157"/>
      <c r="S341" s="157"/>
      <c r="T341" s="120"/>
      <c r="U341" s="158"/>
      <c r="Z341" s="120"/>
      <c r="AA341" s="167"/>
      <c r="AB341" s="161"/>
      <c r="AF341" s="120"/>
      <c r="AG341" s="162"/>
      <c r="AH341" s="120"/>
    </row>
    <row r="342" spans="1:34" ht="13.2">
      <c r="A342" s="142"/>
      <c r="B342" s="142"/>
      <c r="C342" s="142"/>
      <c r="D342" s="142"/>
      <c r="E342" s="174"/>
      <c r="F342" s="174"/>
      <c r="G342" s="175"/>
      <c r="H342" s="175"/>
      <c r="I342" s="170"/>
      <c r="J342" s="170"/>
      <c r="K342" s="147"/>
      <c r="L342" s="147"/>
      <c r="M342" s="170"/>
      <c r="N342" s="170"/>
      <c r="O342" s="133"/>
      <c r="P342" s="133"/>
      <c r="Q342" s="151"/>
      <c r="R342" s="151"/>
      <c r="S342" s="151"/>
      <c r="T342" s="120"/>
      <c r="U342" s="163"/>
      <c r="Z342" s="120"/>
      <c r="AA342" s="165"/>
      <c r="AB342" s="166"/>
      <c r="AF342" s="120"/>
      <c r="AG342" s="153"/>
      <c r="AH342" s="120"/>
    </row>
    <row r="343" spans="1:34" ht="13.2">
      <c r="A343" s="142"/>
      <c r="B343" s="142"/>
      <c r="C343" s="142"/>
      <c r="D343" s="142"/>
      <c r="E343" s="174"/>
      <c r="F343" s="174"/>
      <c r="G343" s="175"/>
      <c r="H343" s="175"/>
      <c r="I343" s="170"/>
      <c r="J343" s="170"/>
      <c r="K343" s="147"/>
      <c r="L343" s="147"/>
      <c r="M343" s="170"/>
      <c r="N343" s="170"/>
      <c r="O343" s="133"/>
      <c r="P343" s="133"/>
      <c r="Q343" s="157"/>
      <c r="R343" s="157"/>
      <c r="S343" s="157"/>
      <c r="T343" s="120"/>
      <c r="U343" s="158"/>
      <c r="Z343" s="120"/>
      <c r="AA343" s="167"/>
      <c r="AB343" s="161"/>
      <c r="AF343" s="120"/>
      <c r="AG343" s="162"/>
      <c r="AH343" s="120"/>
    </row>
    <row r="344" spans="1:34" ht="13.2">
      <c r="A344" s="142"/>
      <c r="B344" s="142"/>
      <c r="C344" s="142"/>
      <c r="D344" s="142"/>
      <c r="E344" s="174"/>
      <c r="F344" s="174"/>
      <c r="G344" s="175"/>
      <c r="H344" s="175"/>
      <c r="I344" s="170"/>
      <c r="J344" s="170"/>
      <c r="K344" s="147"/>
      <c r="L344" s="147"/>
      <c r="M344" s="170"/>
      <c r="N344" s="170"/>
      <c r="O344" s="133"/>
      <c r="P344" s="133"/>
      <c r="Q344" s="151"/>
      <c r="R344" s="151"/>
      <c r="S344" s="151"/>
      <c r="T344" s="120"/>
      <c r="U344" s="163"/>
      <c r="Z344" s="120"/>
      <c r="AA344" s="165"/>
      <c r="AB344" s="166"/>
      <c r="AF344" s="120"/>
      <c r="AG344" s="153"/>
      <c r="AH344" s="120"/>
    </row>
    <row r="345" spans="1:34" ht="13.2">
      <c r="A345" s="142"/>
      <c r="B345" s="142"/>
      <c r="C345" s="142"/>
      <c r="D345" s="142"/>
      <c r="E345" s="174"/>
      <c r="F345" s="174"/>
      <c r="G345" s="175"/>
      <c r="H345" s="175"/>
      <c r="I345" s="170"/>
      <c r="J345" s="170"/>
      <c r="K345" s="147"/>
      <c r="L345" s="147"/>
      <c r="M345" s="170"/>
      <c r="N345" s="170"/>
      <c r="O345" s="133"/>
      <c r="P345" s="133"/>
      <c r="Q345" s="157"/>
      <c r="R345" s="157"/>
      <c r="S345" s="157"/>
      <c r="T345" s="120"/>
      <c r="U345" s="158"/>
      <c r="Z345" s="120"/>
      <c r="AA345" s="167"/>
      <c r="AB345" s="161"/>
      <c r="AF345" s="120"/>
      <c r="AG345" s="162"/>
      <c r="AH345" s="120"/>
    </row>
    <row r="346" spans="1:34" ht="13.2">
      <c r="A346" s="142"/>
      <c r="B346" s="142"/>
      <c r="C346" s="142"/>
      <c r="D346" s="142"/>
      <c r="E346" s="174"/>
      <c r="F346" s="174"/>
      <c r="G346" s="175"/>
      <c r="H346" s="175"/>
      <c r="I346" s="170"/>
      <c r="J346" s="170"/>
      <c r="K346" s="147"/>
      <c r="L346" s="147"/>
      <c r="M346" s="170"/>
      <c r="N346" s="170"/>
      <c r="O346" s="133"/>
      <c r="P346" s="133"/>
      <c r="Q346" s="151"/>
      <c r="R346" s="151"/>
      <c r="S346" s="151"/>
      <c r="T346" s="120"/>
      <c r="U346" s="163"/>
      <c r="Z346" s="120"/>
      <c r="AA346" s="165"/>
      <c r="AB346" s="166"/>
      <c r="AF346" s="120"/>
      <c r="AG346" s="153"/>
      <c r="AH346" s="120"/>
    </row>
    <row r="347" spans="1:34" ht="13.2">
      <c r="A347" s="142"/>
      <c r="B347" s="142"/>
      <c r="C347" s="142"/>
      <c r="D347" s="142"/>
      <c r="E347" s="174"/>
      <c r="F347" s="174"/>
      <c r="G347" s="175"/>
      <c r="H347" s="175"/>
      <c r="I347" s="170"/>
      <c r="J347" s="170"/>
      <c r="K347" s="147"/>
      <c r="L347" s="147"/>
      <c r="M347" s="170"/>
      <c r="N347" s="170"/>
      <c r="O347" s="133"/>
      <c r="P347" s="133"/>
      <c r="Q347" s="157"/>
      <c r="R347" s="157"/>
      <c r="S347" s="157"/>
      <c r="T347" s="120"/>
      <c r="U347" s="158"/>
      <c r="Z347" s="120"/>
      <c r="AA347" s="167"/>
      <c r="AB347" s="161"/>
      <c r="AF347" s="120"/>
      <c r="AG347" s="162"/>
      <c r="AH347" s="120"/>
    </row>
    <row r="348" spans="1:34" ht="13.2">
      <c r="A348" s="142"/>
      <c r="B348" s="142"/>
      <c r="C348" s="142"/>
      <c r="D348" s="142"/>
      <c r="E348" s="174"/>
      <c r="F348" s="174"/>
      <c r="G348" s="175"/>
      <c r="H348" s="175"/>
      <c r="I348" s="170"/>
      <c r="J348" s="170"/>
      <c r="K348" s="147"/>
      <c r="L348" s="147"/>
      <c r="M348" s="170"/>
      <c r="N348" s="170"/>
      <c r="O348" s="133"/>
      <c r="P348" s="133"/>
      <c r="Q348" s="151"/>
      <c r="R348" s="151"/>
      <c r="S348" s="151"/>
      <c r="T348" s="120"/>
      <c r="U348" s="163"/>
      <c r="Z348" s="120"/>
      <c r="AA348" s="165"/>
      <c r="AB348" s="166"/>
      <c r="AF348" s="120"/>
      <c r="AG348" s="153"/>
      <c r="AH348" s="120"/>
    </row>
    <row r="349" spans="1:34" ht="13.2">
      <c r="A349" s="142"/>
      <c r="B349" s="142"/>
      <c r="C349" s="142"/>
      <c r="D349" s="142"/>
      <c r="E349" s="174"/>
      <c r="F349" s="174"/>
      <c r="G349" s="175"/>
      <c r="H349" s="175"/>
      <c r="I349" s="170"/>
      <c r="J349" s="170"/>
      <c r="K349" s="147"/>
      <c r="L349" s="147"/>
      <c r="M349" s="170"/>
      <c r="N349" s="170"/>
      <c r="O349" s="133"/>
      <c r="P349" s="133"/>
      <c r="Q349" s="157"/>
      <c r="R349" s="157"/>
      <c r="S349" s="157"/>
      <c r="T349" s="120"/>
      <c r="U349" s="158"/>
      <c r="Z349" s="120"/>
      <c r="AA349" s="167"/>
      <c r="AB349" s="161"/>
      <c r="AF349" s="120"/>
      <c r="AG349" s="162"/>
      <c r="AH349" s="120"/>
    </row>
    <row r="350" spans="1:34" ht="13.2">
      <c r="A350" s="142"/>
      <c r="B350" s="142"/>
      <c r="C350" s="142"/>
      <c r="D350" s="142"/>
      <c r="E350" s="174"/>
      <c r="F350" s="174"/>
      <c r="G350" s="175"/>
      <c r="H350" s="175"/>
      <c r="I350" s="170"/>
      <c r="J350" s="170"/>
      <c r="K350" s="147"/>
      <c r="L350" s="147"/>
      <c r="M350" s="170"/>
      <c r="N350" s="170"/>
      <c r="O350" s="133"/>
      <c r="P350" s="133"/>
      <c r="Q350" s="151"/>
      <c r="R350" s="151"/>
      <c r="S350" s="151"/>
      <c r="T350" s="120"/>
      <c r="U350" s="163"/>
      <c r="Z350" s="120"/>
      <c r="AA350" s="165"/>
      <c r="AB350" s="166"/>
      <c r="AF350" s="120"/>
      <c r="AG350" s="153"/>
      <c r="AH350" s="120"/>
    </row>
    <row r="351" spans="1:34" ht="13.2">
      <c r="A351" s="142"/>
      <c r="B351" s="142"/>
      <c r="C351" s="142"/>
      <c r="D351" s="142"/>
      <c r="E351" s="174"/>
      <c r="F351" s="174"/>
      <c r="G351" s="175"/>
      <c r="H351" s="175"/>
      <c r="I351" s="170"/>
      <c r="J351" s="170"/>
      <c r="K351" s="147"/>
      <c r="L351" s="147"/>
      <c r="M351" s="170"/>
      <c r="N351" s="170"/>
      <c r="O351" s="133"/>
      <c r="P351" s="133"/>
      <c r="Q351" s="157"/>
      <c r="R351" s="157"/>
      <c r="S351" s="157"/>
      <c r="T351" s="120"/>
      <c r="U351" s="158"/>
      <c r="Z351" s="120"/>
      <c r="AA351" s="167"/>
      <c r="AB351" s="161"/>
      <c r="AF351" s="120"/>
      <c r="AG351" s="162"/>
      <c r="AH351" s="120"/>
    </row>
    <row r="352" spans="1:34" ht="13.2">
      <c r="A352" s="142"/>
      <c r="B352" s="142"/>
      <c r="C352" s="142"/>
      <c r="D352" s="142"/>
      <c r="E352" s="174"/>
      <c r="F352" s="174"/>
      <c r="G352" s="175"/>
      <c r="H352" s="175"/>
      <c r="I352" s="170"/>
      <c r="J352" s="170"/>
      <c r="K352" s="147"/>
      <c r="L352" s="147"/>
      <c r="M352" s="170"/>
      <c r="N352" s="170"/>
      <c r="O352" s="133"/>
      <c r="P352" s="133"/>
      <c r="Q352" s="151"/>
      <c r="R352" s="151"/>
      <c r="S352" s="151"/>
      <c r="T352" s="120"/>
      <c r="U352" s="163"/>
      <c r="Z352" s="120"/>
      <c r="AA352" s="165"/>
      <c r="AB352" s="166"/>
      <c r="AF352" s="120"/>
      <c r="AG352" s="153"/>
      <c r="AH352" s="120"/>
    </row>
    <row r="353" spans="1:34" ht="13.2">
      <c r="A353" s="142"/>
      <c r="B353" s="142"/>
      <c r="C353" s="142"/>
      <c r="D353" s="142"/>
      <c r="E353" s="174"/>
      <c r="F353" s="174"/>
      <c r="G353" s="175"/>
      <c r="H353" s="175"/>
      <c r="I353" s="170"/>
      <c r="J353" s="170"/>
      <c r="K353" s="147"/>
      <c r="L353" s="147"/>
      <c r="M353" s="170"/>
      <c r="N353" s="170"/>
      <c r="O353" s="133"/>
      <c r="P353" s="133"/>
      <c r="Q353" s="157"/>
      <c r="R353" s="157"/>
      <c r="S353" s="157"/>
      <c r="T353" s="120"/>
      <c r="U353" s="158"/>
      <c r="Z353" s="120"/>
      <c r="AA353" s="167"/>
      <c r="AB353" s="161"/>
      <c r="AF353" s="120"/>
      <c r="AG353" s="162"/>
      <c r="AH353" s="120"/>
    </row>
    <row r="354" spans="1:34" ht="13.2">
      <c r="A354" s="142"/>
      <c r="B354" s="142"/>
      <c r="C354" s="142"/>
      <c r="D354" s="142"/>
      <c r="E354" s="174"/>
      <c r="F354" s="174"/>
      <c r="G354" s="175"/>
      <c r="H354" s="175"/>
      <c r="I354" s="170"/>
      <c r="J354" s="170"/>
      <c r="K354" s="147"/>
      <c r="L354" s="147"/>
      <c r="M354" s="170"/>
      <c r="N354" s="170"/>
      <c r="O354" s="133"/>
      <c r="P354" s="133"/>
      <c r="Q354" s="151"/>
      <c r="R354" s="151"/>
      <c r="S354" s="151"/>
      <c r="T354" s="120"/>
      <c r="U354" s="163"/>
      <c r="Z354" s="120"/>
      <c r="AA354" s="165"/>
      <c r="AB354" s="166"/>
      <c r="AF354" s="120"/>
      <c r="AG354" s="153"/>
      <c r="AH354" s="120"/>
    </row>
    <row r="355" spans="1:34" ht="13.2">
      <c r="A355" s="142"/>
      <c r="B355" s="142"/>
      <c r="C355" s="142"/>
      <c r="D355" s="142"/>
      <c r="E355" s="174"/>
      <c r="F355" s="174"/>
      <c r="G355" s="175"/>
      <c r="H355" s="175"/>
      <c r="I355" s="170"/>
      <c r="J355" s="170"/>
      <c r="K355" s="147"/>
      <c r="L355" s="147"/>
      <c r="M355" s="170"/>
      <c r="N355" s="170"/>
      <c r="O355" s="133"/>
      <c r="P355" s="133"/>
      <c r="Q355" s="157"/>
      <c r="R355" s="157"/>
      <c r="S355" s="157"/>
      <c r="T355" s="120"/>
      <c r="U355" s="158"/>
      <c r="Z355" s="120"/>
      <c r="AA355" s="167"/>
      <c r="AB355" s="161"/>
      <c r="AF355" s="120"/>
      <c r="AG355" s="162"/>
      <c r="AH355" s="120"/>
    </row>
    <row r="356" spans="1:34" ht="13.2">
      <c r="A356" s="142"/>
      <c r="B356" s="142"/>
      <c r="C356" s="142"/>
      <c r="D356" s="142"/>
      <c r="E356" s="174"/>
      <c r="F356" s="174"/>
      <c r="G356" s="175"/>
      <c r="H356" s="175"/>
      <c r="I356" s="170"/>
      <c r="J356" s="170"/>
      <c r="K356" s="147"/>
      <c r="L356" s="147"/>
      <c r="M356" s="170"/>
      <c r="N356" s="170"/>
      <c r="O356" s="133"/>
      <c r="P356" s="133"/>
      <c r="Q356" s="151"/>
      <c r="R356" s="151"/>
      <c r="S356" s="151"/>
      <c r="T356" s="120"/>
      <c r="U356" s="163"/>
      <c r="Z356" s="120"/>
      <c r="AA356" s="165"/>
      <c r="AB356" s="166"/>
      <c r="AF356" s="120"/>
      <c r="AG356" s="153"/>
      <c r="AH356" s="120"/>
    </row>
    <row r="357" spans="1:34" ht="13.2">
      <c r="A357" s="142"/>
      <c r="B357" s="142"/>
      <c r="C357" s="142"/>
      <c r="D357" s="142"/>
      <c r="E357" s="174"/>
      <c r="F357" s="174"/>
      <c r="G357" s="175"/>
      <c r="H357" s="175"/>
      <c r="I357" s="170"/>
      <c r="J357" s="170"/>
      <c r="K357" s="147"/>
      <c r="L357" s="147"/>
      <c r="M357" s="170"/>
      <c r="N357" s="170"/>
      <c r="O357" s="133"/>
      <c r="P357" s="133"/>
      <c r="Q357" s="157"/>
      <c r="R357" s="157"/>
      <c r="S357" s="157"/>
      <c r="T357" s="120"/>
      <c r="U357" s="158"/>
      <c r="Z357" s="120"/>
      <c r="AA357" s="167"/>
      <c r="AB357" s="161"/>
      <c r="AF357" s="120"/>
      <c r="AG357" s="162"/>
      <c r="AH357" s="120"/>
    </row>
    <row r="358" spans="1:34" ht="13.2">
      <c r="A358" s="142"/>
      <c r="B358" s="142"/>
      <c r="C358" s="142"/>
      <c r="D358" s="142"/>
      <c r="E358" s="174"/>
      <c r="F358" s="174"/>
      <c r="G358" s="175"/>
      <c r="H358" s="175"/>
      <c r="I358" s="170"/>
      <c r="J358" s="170"/>
      <c r="K358" s="147"/>
      <c r="L358" s="147"/>
      <c r="M358" s="170"/>
      <c r="N358" s="170"/>
      <c r="O358" s="133"/>
      <c r="P358" s="133"/>
      <c r="Q358" s="151"/>
      <c r="R358" s="151"/>
      <c r="S358" s="151"/>
      <c r="T358" s="120"/>
      <c r="U358" s="163"/>
      <c r="Z358" s="120"/>
      <c r="AA358" s="165"/>
      <c r="AB358" s="166"/>
      <c r="AF358" s="120"/>
      <c r="AG358" s="153"/>
      <c r="AH358" s="120"/>
    </row>
    <row r="359" spans="1:34" ht="13.2">
      <c r="A359" s="142"/>
      <c r="B359" s="142"/>
      <c r="C359" s="142"/>
      <c r="D359" s="142"/>
      <c r="E359" s="174"/>
      <c r="F359" s="174"/>
      <c r="G359" s="175"/>
      <c r="H359" s="175"/>
      <c r="I359" s="170"/>
      <c r="J359" s="170"/>
      <c r="K359" s="147"/>
      <c r="L359" s="147"/>
      <c r="M359" s="170"/>
      <c r="N359" s="170"/>
      <c r="O359" s="133"/>
      <c r="P359" s="133"/>
      <c r="Q359" s="157"/>
      <c r="R359" s="157"/>
      <c r="S359" s="157"/>
      <c r="T359" s="120"/>
      <c r="U359" s="158"/>
      <c r="Z359" s="120"/>
      <c r="AA359" s="167"/>
      <c r="AB359" s="161"/>
      <c r="AF359" s="120"/>
      <c r="AG359" s="162"/>
      <c r="AH359" s="120"/>
    </row>
    <row r="360" spans="1:34" ht="13.2">
      <c r="A360" s="142"/>
      <c r="B360" s="142"/>
      <c r="C360" s="142"/>
      <c r="D360" s="142"/>
      <c r="E360" s="174"/>
      <c r="F360" s="174"/>
      <c r="G360" s="175"/>
      <c r="H360" s="175"/>
      <c r="I360" s="170"/>
      <c r="J360" s="170"/>
      <c r="K360" s="147"/>
      <c r="L360" s="147"/>
      <c r="M360" s="170"/>
      <c r="N360" s="170"/>
      <c r="O360" s="133"/>
      <c r="P360" s="133"/>
      <c r="Q360" s="151"/>
      <c r="R360" s="151"/>
      <c r="S360" s="151"/>
      <c r="T360" s="120"/>
      <c r="U360" s="163"/>
      <c r="Z360" s="120"/>
      <c r="AA360" s="165"/>
      <c r="AB360" s="166"/>
      <c r="AF360" s="120"/>
      <c r="AG360" s="153"/>
      <c r="AH360" s="120"/>
    </row>
    <row r="361" spans="1:34" ht="13.2">
      <c r="A361" s="142"/>
      <c r="B361" s="142"/>
      <c r="C361" s="142"/>
      <c r="D361" s="142"/>
      <c r="E361" s="174"/>
      <c r="F361" s="174"/>
      <c r="G361" s="175"/>
      <c r="H361" s="175"/>
      <c r="I361" s="170"/>
      <c r="J361" s="170"/>
      <c r="K361" s="147"/>
      <c r="L361" s="147"/>
      <c r="M361" s="170"/>
      <c r="N361" s="170"/>
      <c r="O361" s="133"/>
      <c r="P361" s="133"/>
      <c r="Q361" s="157"/>
      <c r="R361" s="157"/>
      <c r="S361" s="157"/>
    </row>
    <row r="362" spans="1:34" ht="13.2">
      <c r="A362" s="142"/>
      <c r="B362" s="142"/>
      <c r="C362" s="142"/>
      <c r="D362" s="142"/>
      <c r="E362" s="174"/>
      <c r="F362" s="174"/>
      <c r="G362" s="175"/>
      <c r="H362" s="175"/>
      <c r="I362" s="170"/>
      <c r="J362" s="170"/>
      <c r="K362" s="147"/>
      <c r="L362" s="147"/>
      <c r="M362" s="170"/>
      <c r="N362" s="170"/>
      <c r="O362" s="133"/>
      <c r="P362" s="133"/>
      <c r="Q362" s="151"/>
      <c r="R362" s="151"/>
      <c r="S362" s="151"/>
    </row>
    <row r="363" spans="1:34" ht="13.2">
      <c r="A363" s="142"/>
      <c r="B363" s="142"/>
      <c r="C363" s="142"/>
      <c r="D363" s="142"/>
      <c r="E363" s="174"/>
      <c r="F363" s="174"/>
      <c r="G363" s="175"/>
      <c r="H363" s="175"/>
      <c r="I363" s="170"/>
      <c r="J363" s="170"/>
      <c r="K363" s="147"/>
      <c r="L363" s="147"/>
      <c r="M363" s="170"/>
      <c r="N363" s="170"/>
      <c r="O363" s="133"/>
      <c r="P363" s="133"/>
      <c r="Q363" s="157"/>
      <c r="R363" s="157"/>
      <c r="S363" s="157"/>
    </row>
    <row r="364" spans="1:34" ht="13.2">
      <c r="A364" s="142"/>
      <c r="B364" s="142"/>
      <c r="C364" s="142"/>
      <c r="D364" s="142"/>
      <c r="E364" s="174"/>
      <c r="F364" s="174"/>
      <c r="G364" s="175"/>
      <c r="H364" s="175"/>
      <c r="I364" s="170"/>
      <c r="J364" s="170"/>
      <c r="K364" s="147"/>
      <c r="L364" s="147"/>
      <c r="M364" s="170"/>
      <c r="N364" s="170"/>
      <c r="O364" s="133"/>
      <c r="P364" s="133"/>
      <c r="Q364" s="151"/>
      <c r="R364" s="151"/>
      <c r="S364" s="151"/>
    </row>
    <row r="365" spans="1:34" ht="13.2">
      <c r="A365" s="142"/>
      <c r="B365" s="142"/>
      <c r="C365" s="142"/>
      <c r="D365" s="142"/>
      <c r="E365" s="174"/>
      <c r="F365" s="174"/>
      <c r="G365" s="175"/>
      <c r="H365" s="175"/>
      <c r="I365" s="170"/>
      <c r="J365" s="170"/>
      <c r="K365" s="147"/>
      <c r="L365" s="147"/>
      <c r="M365" s="170"/>
      <c r="N365" s="170"/>
      <c r="O365" s="133"/>
      <c r="P365" s="133"/>
      <c r="Q365" s="157"/>
      <c r="R365" s="157"/>
      <c r="S365" s="157"/>
    </row>
    <row r="366" spans="1:34" ht="13.2">
      <c r="A366" s="142"/>
      <c r="B366" s="142"/>
      <c r="C366" s="142"/>
      <c r="D366" s="142"/>
      <c r="E366" s="174"/>
      <c r="F366" s="174"/>
      <c r="G366" s="175"/>
      <c r="H366" s="175"/>
      <c r="I366" s="170"/>
      <c r="J366" s="170"/>
      <c r="K366" s="147"/>
      <c r="L366" s="147"/>
      <c r="M366" s="170"/>
      <c r="N366" s="170"/>
      <c r="O366" s="133"/>
      <c r="P366" s="133"/>
      <c r="Q366" s="151"/>
      <c r="R366" s="151"/>
      <c r="S366" s="151"/>
    </row>
    <row r="367" spans="1:34" ht="13.2">
      <c r="A367" s="142"/>
      <c r="B367" s="142"/>
      <c r="C367" s="142"/>
      <c r="D367" s="142"/>
      <c r="E367" s="174"/>
      <c r="F367" s="174"/>
      <c r="G367" s="175"/>
      <c r="H367" s="175"/>
      <c r="I367" s="170"/>
      <c r="J367" s="170"/>
      <c r="K367" s="147"/>
      <c r="L367" s="147"/>
      <c r="M367" s="170"/>
      <c r="N367" s="170"/>
      <c r="O367" s="133"/>
      <c r="P367" s="133"/>
      <c r="Q367" s="157"/>
      <c r="R367" s="157"/>
      <c r="S367" s="157"/>
    </row>
    <row r="368" spans="1:34" ht="13.2">
      <c r="A368" s="142"/>
      <c r="B368" s="142"/>
      <c r="C368" s="142"/>
      <c r="D368" s="142"/>
      <c r="E368" s="174"/>
      <c r="F368" s="174"/>
      <c r="G368" s="175"/>
      <c r="H368" s="175"/>
      <c r="I368" s="170"/>
      <c r="J368" s="170"/>
      <c r="K368" s="147"/>
      <c r="L368" s="147"/>
      <c r="M368" s="170"/>
      <c r="N368" s="170"/>
      <c r="O368" s="133"/>
      <c r="P368" s="133"/>
      <c r="Q368" s="151"/>
      <c r="R368" s="151"/>
      <c r="S368" s="151"/>
    </row>
    <row r="369" spans="1:19" ht="13.2">
      <c r="A369" s="142"/>
      <c r="B369" s="142"/>
      <c r="C369" s="142"/>
      <c r="D369" s="142"/>
      <c r="E369" s="174"/>
      <c r="F369" s="174"/>
      <c r="G369" s="175"/>
      <c r="H369" s="175"/>
      <c r="I369" s="170"/>
      <c r="J369" s="170"/>
      <c r="K369" s="147"/>
      <c r="L369" s="147"/>
      <c r="M369" s="170"/>
      <c r="N369" s="170"/>
      <c r="O369" s="133"/>
      <c r="P369" s="133"/>
      <c r="Q369" s="157"/>
      <c r="R369" s="157"/>
      <c r="S369" s="157"/>
    </row>
    <row r="370" spans="1:19" ht="13.2">
      <c r="A370" s="142"/>
      <c r="B370" s="142"/>
      <c r="C370" s="142"/>
      <c r="D370" s="142"/>
      <c r="E370" s="174"/>
      <c r="F370" s="174"/>
      <c r="G370" s="175"/>
      <c r="H370" s="175"/>
      <c r="I370" s="170"/>
      <c r="J370" s="170"/>
      <c r="K370" s="147"/>
      <c r="L370" s="147"/>
      <c r="M370" s="170"/>
      <c r="N370" s="170"/>
      <c r="O370" s="133"/>
      <c r="P370" s="133"/>
      <c r="Q370" s="151"/>
      <c r="R370" s="151"/>
      <c r="S370" s="151"/>
    </row>
    <row r="371" spans="1:19" ht="13.2">
      <c r="A371" s="142"/>
      <c r="B371" s="142"/>
      <c r="C371" s="142"/>
      <c r="D371" s="142"/>
      <c r="E371" s="174"/>
      <c r="F371" s="174"/>
      <c r="G371" s="175"/>
      <c r="H371" s="175"/>
      <c r="I371" s="170"/>
      <c r="J371" s="170"/>
      <c r="K371" s="147"/>
      <c r="L371" s="147"/>
      <c r="M371" s="170"/>
      <c r="N371" s="170"/>
      <c r="O371" s="133"/>
      <c r="P371" s="133"/>
      <c r="Q371" s="157"/>
      <c r="R371" s="157"/>
      <c r="S371" s="157"/>
    </row>
    <row r="372" spans="1:19" ht="13.2">
      <c r="A372" s="142"/>
      <c r="B372" s="142"/>
      <c r="C372" s="142"/>
      <c r="D372" s="142"/>
      <c r="E372" s="174"/>
      <c r="F372" s="174"/>
      <c r="G372" s="175"/>
      <c r="H372" s="175"/>
      <c r="I372" s="170"/>
      <c r="J372" s="170"/>
      <c r="K372" s="147"/>
      <c r="L372" s="147"/>
      <c r="M372" s="170"/>
      <c r="N372" s="170"/>
      <c r="O372" s="133"/>
      <c r="P372" s="133"/>
      <c r="Q372" s="151"/>
      <c r="R372" s="151"/>
      <c r="S372" s="151"/>
    </row>
    <row r="373" spans="1:19" ht="13.2">
      <c r="A373" s="142"/>
      <c r="B373" s="142"/>
      <c r="C373" s="142"/>
      <c r="D373" s="142"/>
      <c r="E373" s="174"/>
      <c r="F373" s="174"/>
      <c r="G373" s="175"/>
      <c r="H373" s="175"/>
      <c r="I373" s="170"/>
      <c r="J373" s="170"/>
      <c r="K373" s="147"/>
      <c r="L373" s="147"/>
      <c r="M373" s="170"/>
      <c r="N373" s="170"/>
      <c r="O373" s="133"/>
      <c r="P373" s="133"/>
      <c r="Q373" s="157"/>
      <c r="R373" s="157"/>
      <c r="S373" s="157"/>
    </row>
    <row r="374" spans="1:19" ht="13.2">
      <c r="A374" s="142"/>
      <c r="B374" s="142"/>
      <c r="C374" s="142"/>
      <c r="D374" s="142"/>
      <c r="E374" s="174"/>
      <c r="F374" s="174"/>
      <c r="G374" s="175"/>
      <c r="H374" s="175"/>
      <c r="I374" s="170"/>
      <c r="J374" s="170"/>
      <c r="K374" s="147"/>
      <c r="L374" s="147"/>
      <c r="M374" s="170"/>
      <c r="N374" s="170"/>
      <c r="O374" s="133"/>
      <c r="P374" s="133"/>
      <c r="Q374" s="151"/>
      <c r="R374" s="151"/>
      <c r="S374" s="151"/>
    </row>
    <row r="375" spans="1:19" ht="13.2">
      <c r="A375" s="142"/>
      <c r="B375" s="142"/>
      <c r="C375" s="142"/>
      <c r="D375" s="142"/>
      <c r="E375" s="174"/>
      <c r="F375" s="174"/>
      <c r="G375" s="175"/>
      <c r="H375" s="175"/>
      <c r="I375" s="170"/>
      <c r="J375" s="170"/>
      <c r="K375" s="147"/>
      <c r="L375" s="147"/>
      <c r="M375" s="170"/>
      <c r="N375" s="170"/>
      <c r="O375" s="133"/>
      <c r="P375" s="133"/>
      <c r="Q375" s="157"/>
      <c r="R375" s="157"/>
      <c r="S375" s="157"/>
    </row>
    <row r="376" spans="1:19" ht="13.2">
      <c r="A376" s="142"/>
      <c r="B376" s="142"/>
      <c r="C376" s="142"/>
      <c r="D376" s="142"/>
      <c r="E376" s="174"/>
      <c r="F376" s="174"/>
      <c r="G376" s="175"/>
      <c r="H376" s="175"/>
      <c r="I376" s="170"/>
      <c r="J376" s="170"/>
      <c r="K376" s="147"/>
      <c r="L376" s="147"/>
      <c r="M376" s="170"/>
      <c r="N376" s="170"/>
      <c r="O376" s="133"/>
      <c r="P376" s="133"/>
      <c r="Q376" s="151"/>
      <c r="R376" s="151"/>
      <c r="S376" s="151"/>
    </row>
    <row r="377" spans="1:19" ht="13.2">
      <c r="A377" s="142"/>
      <c r="B377" s="142"/>
      <c r="C377" s="142"/>
      <c r="D377" s="142"/>
      <c r="E377" s="174"/>
      <c r="F377" s="174"/>
      <c r="G377" s="175"/>
      <c r="H377" s="175"/>
      <c r="I377" s="170"/>
      <c r="J377" s="170"/>
      <c r="K377" s="147"/>
      <c r="L377" s="147"/>
      <c r="M377" s="170"/>
      <c r="N377" s="170"/>
      <c r="O377" s="133"/>
      <c r="P377" s="133"/>
      <c r="Q377" s="157"/>
      <c r="R377" s="157"/>
      <c r="S377" s="157"/>
    </row>
    <row r="378" spans="1:19" ht="13.2">
      <c r="A378" s="142"/>
      <c r="B378" s="142"/>
      <c r="C378" s="142"/>
      <c r="D378" s="142"/>
      <c r="E378" s="174"/>
      <c r="F378" s="174"/>
      <c r="G378" s="175"/>
      <c r="H378" s="175"/>
      <c r="I378" s="170"/>
      <c r="J378" s="170"/>
      <c r="K378" s="147"/>
      <c r="L378" s="147"/>
      <c r="M378" s="170"/>
      <c r="N378" s="170"/>
      <c r="O378" s="133"/>
      <c r="P378" s="133"/>
      <c r="Q378" s="151"/>
      <c r="R378" s="151"/>
      <c r="S378" s="151"/>
    </row>
    <row r="379" spans="1:19" ht="13.2">
      <c r="A379" s="142"/>
      <c r="B379" s="142"/>
      <c r="C379" s="142"/>
      <c r="D379" s="142"/>
      <c r="E379" s="174"/>
      <c r="F379" s="174"/>
      <c r="G379" s="175"/>
      <c r="H379" s="175"/>
      <c r="I379" s="170"/>
      <c r="J379" s="170"/>
      <c r="K379" s="147"/>
      <c r="L379" s="147"/>
      <c r="M379" s="170"/>
      <c r="N379" s="170"/>
      <c r="O379" s="133"/>
      <c r="P379" s="133"/>
      <c r="Q379" s="157"/>
      <c r="R379" s="157"/>
      <c r="S379" s="157"/>
    </row>
    <row r="380" spans="1:19" ht="13.2">
      <c r="A380" s="142"/>
      <c r="B380" s="142"/>
      <c r="C380" s="142"/>
      <c r="D380" s="142"/>
      <c r="E380" s="174"/>
      <c r="F380" s="174"/>
      <c r="G380" s="175"/>
      <c r="H380" s="175"/>
      <c r="I380" s="170"/>
      <c r="J380" s="170"/>
      <c r="K380" s="147"/>
      <c r="L380" s="147"/>
      <c r="M380" s="170"/>
      <c r="N380" s="170"/>
      <c r="O380" s="133"/>
      <c r="P380" s="133"/>
      <c r="Q380" s="151"/>
      <c r="R380" s="151"/>
      <c r="S380" s="151"/>
    </row>
    <row r="381" spans="1:19" ht="13.2">
      <c r="A381" s="142"/>
      <c r="B381" s="142"/>
      <c r="C381" s="142"/>
      <c r="D381" s="142"/>
      <c r="E381" s="174"/>
      <c r="F381" s="174"/>
      <c r="G381" s="175"/>
      <c r="H381" s="175"/>
      <c r="I381" s="170"/>
      <c r="J381" s="170"/>
      <c r="K381" s="147"/>
      <c r="L381" s="147"/>
      <c r="M381" s="170"/>
      <c r="N381" s="170"/>
      <c r="O381" s="133"/>
      <c r="P381" s="133"/>
      <c r="Q381" s="157"/>
      <c r="R381" s="157"/>
      <c r="S381" s="157"/>
    </row>
    <row r="382" spans="1:19" ht="13.2">
      <c r="A382" s="142"/>
      <c r="B382" s="142"/>
      <c r="C382" s="142"/>
      <c r="D382" s="142"/>
      <c r="E382" s="174"/>
      <c r="F382" s="174"/>
      <c r="G382" s="175"/>
      <c r="H382" s="175"/>
      <c r="I382" s="170"/>
      <c r="J382" s="170"/>
      <c r="K382" s="147"/>
      <c r="L382" s="147"/>
      <c r="M382" s="170"/>
      <c r="N382" s="170"/>
      <c r="O382" s="133"/>
      <c r="P382" s="133"/>
      <c r="Q382" s="151"/>
      <c r="R382" s="151"/>
      <c r="S382" s="151"/>
    </row>
    <row r="383" spans="1:19" ht="13.2">
      <c r="A383" s="142"/>
      <c r="B383" s="142"/>
      <c r="C383" s="142"/>
      <c r="D383" s="142"/>
      <c r="E383" s="174"/>
      <c r="F383" s="174"/>
      <c r="G383" s="175"/>
      <c r="H383" s="175"/>
      <c r="I383" s="170"/>
      <c r="J383" s="170"/>
      <c r="K383" s="147"/>
      <c r="L383" s="147"/>
      <c r="M383" s="170"/>
      <c r="N383" s="170"/>
      <c r="O383" s="133"/>
      <c r="P383" s="133"/>
      <c r="Q383" s="157"/>
      <c r="R383" s="157"/>
      <c r="S383" s="157"/>
    </row>
    <row r="384" spans="1:19" ht="13.2">
      <c r="A384" s="142"/>
      <c r="B384" s="142"/>
      <c r="C384" s="142"/>
      <c r="D384" s="142"/>
      <c r="E384" s="174"/>
      <c r="F384" s="174"/>
      <c r="G384" s="175"/>
      <c r="H384" s="175"/>
      <c r="I384" s="170"/>
      <c r="J384" s="170"/>
      <c r="K384" s="147"/>
      <c r="L384" s="147"/>
      <c r="M384" s="170"/>
      <c r="N384" s="170"/>
      <c r="O384" s="133"/>
      <c r="P384" s="133"/>
      <c r="Q384" s="151"/>
      <c r="R384" s="151"/>
      <c r="S384" s="151"/>
    </row>
    <row r="385" spans="1:19" ht="13.2">
      <c r="A385" s="142"/>
      <c r="B385" s="142"/>
      <c r="C385" s="142"/>
      <c r="D385" s="142"/>
      <c r="E385" s="174"/>
      <c r="F385" s="174"/>
      <c r="G385" s="175"/>
      <c r="H385" s="175"/>
      <c r="I385" s="170"/>
      <c r="J385" s="170"/>
      <c r="K385" s="147"/>
      <c r="L385" s="147"/>
      <c r="M385" s="170"/>
      <c r="N385" s="170"/>
      <c r="O385" s="133"/>
      <c r="P385" s="133"/>
      <c r="Q385" s="157"/>
      <c r="R385" s="157"/>
      <c r="S385" s="157"/>
    </row>
    <row r="386" spans="1:19" ht="13.2">
      <c r="A386" s="142"/>
      <c r="B386" s="142"/>
      <c r="C386" s="142"/>
      <c r="D386" s="142"/>
      <c r="E386" s="174"/>
      <c r="F386" s="174"/>
      <c r="G386" s="175"/>
      <c r="H386" s="175"/>
      <c r="I386" s="170"/>
      <c r="J386" s="170"/>
      <c r="K386" s="147"/>
      <c r="L386" s="147"/>
      <c r="M386" s="170"/>
      <c r="N386" s="170"/>
      <c r="O386" s="133"/>
      <c r="P386" s="133"/>
      <c r="Q386" s="151"/>
      <c r="R386" s="151"/>
      <c r="S386" s="151"/>
    </row>
    <row r="387" spans="1:19" ht="13.2">
      <c r="A387" s="142"/>
      <c r="B387" s="142"/>
      <c r="C387" s="142"/>
      <c r="D387" s="142"/>
      <c r="E387" s="174"/>
      <c r="F387" s="174"/>
      <c r="G387" s="175"/>
      <c r="H387" s="175"/>
      <c r="I387" s="170"/>
      <c r="J387" s="170"/>
      <c r="K387" s="147"/>
      <c r="L387" s="147"/>
      <c r="M387" s="170"/>
      <c r="N387" s="170"/>
      <c r="O387" s="133"/>
      <c r="P387" s="133"/>
      <c r="Q387" s="157"/>
      <c r="R387" s="157"/>
      <c r="S387" s="157"/>
    </row>
    <row r="388" spans="1:19" ht="13.2">
      <c r="A388" s="142"/>
      <c r="B388" s="142"/>
      <c r="C388" s="142"/>
      <c r="D388" s="142"/>
      <c r="E388" s="174"/>
      <c r="F388" s="174"/>
      <c r="G388" s="175"/>
      <c r="H388" s="175"/>
      <c r="I388" s="170"/>
      <c r="J388" s="170"/>
      <c r="K388" s="147"/>
      <c r="L388" s="147"/>
      <c r="M388" s="170"/>
      <c r="N388" s="170"/>
      <c r="O388" s="133"/>
      <c r="P388" s="133"/>
      <c r="Q388" s="151"/>
      <c r="R388" s="151"/>
      <c r="S388" s="151"/>
    </row>
    <row r="389" spans="1:19" ht="13.2">
      <c r="A389" s="142"/>
      <c r="B389" s="142"/>
      <c r="C389" s="142"/>
      <c r="D389" s="142"/>
      <c r="E389" s="174"/>
      <c r="F389" s="174"/>
      <c r="G389" s="175"/>
      <c r="H389" s="175"/>
      <c r="I389" s="170"/>
      <c r="J389" s="170"/>
      <c r="K389" s="147"/>
      <c r="L389" s="147"/>
      <c r="M389" s="170"/>
      <c r="N389" s="170"/>
      <c r="O389" s="133"/>
      <c r="P389" s="133"/>
      <c r="Q389" s="157"/>
      <c r="R389" s="157"/>
      <c r="S389" s="157"/>
    </row>
    <row r="390" spans="1:19" ht="13.2">
      <c r="A390" s="142"/>
      <c r="B390" s="142"/>
      <c r="C390" s="142"/>
      <c r="D390" s="142"/>
      <c r="E390" s="174"/>
      <c r="F390" s="174"/>
      <c r="G390" s="175"/>
      <c r="H390" s="175"/>
      <c r="I390" s="170"/>
      <c r="J390" s="170"/>
      <c r="K390" s="147"/>
      <c r="L390" s="147"/>
      <c r="M390" s="170"/>
      <c r="N390" s="170"/>
      <c r="O390" s="133"/>
      <c r="P390" s="133"/>
      <c r="Q390" s="151"/>
      <c r="R390" s="151"/>
      <c r="S390" s="151"/>
    </row>
    <row r="391" spans="1:19" ht="13.2">
      <c r="A391" s="142"/>
      <c r="B391" s="142"/>
      <c r="C391" s="142"/>
      <c r="D391" s="142"/>
      <c r="E391" s="174"/>
      <c r="F391" s="174"/>
      <c r="G391" s="175"/>
      <c r="H391" s="175"/>
      <c r="I391" s="170"/>
      <c r="J391" s="170"/>
      <c r="K391" s="147"/>
      <c r="L391" s="147"/>
      <c r="M391" s="170"/>
      <c r="N391" s="170"/>
      <c r="O391" s="133"/>
      <c r="P391" s="133"/>
      <c r="Q391" s="157"/>
      <c r="R391" s="157"/>
      <c r="S391" s="157"/>
    </row>
    <row r="392" spans="1:19" ht="13.2">
      <c r="A392" s="142"/>
      <c r="B392" s="142"/>
      <c r="C392" s="142"/>
      <c r="D392" s="142"/>
      <c r="E392" s="174"/>
      <c r="F392" s="174"/>
      <c r="G392" s="175"/>
      <c r="H392" s="175"/>
      <c r="I392" s="170"/>
      <c r="J392" s="170"/>
      <c r="K392" s="147"/>
      <c r="L392" s="147"/>
      <c r="M392" s="170"/>
      <c r="N392" s="170"/>
      <c r="O392" s="133"/>
      <c r="P392" s="133"/>
      <c r="Q392" s="151"/>
      <c r="R392" s="151"/>
      <c r="S392" s="151"/>
    </row>
    <row r="393" spans="1:19" ht="13.2">
      <c r="A393" s="142"/>
      <c r="B393" s="142"/>
      <c r="C393" s="142"/>
      <c r="D393" s="142"/>
      <c r="E393" s="174"/>
      <c r="F393" s="174"/>
      <c r="G393" s="175"/>
      <c r="H393" s="175"/>
      <c r="I393" s="170"/>
      <c r="J393" s="170"/>
      <c r="K393" s="147"/>
      <c r="L393" s="147"/>
      <c r="M393" s="170"/>
      <c r="N393" s="170"/>
      <c r="O393" s="133"/>
      <c r="P393" s="133"/>
      <c r="Q393" s="157"/>
      <c r="R393" s="157"/>
      <c r="S393" s="157"/>
    </row>
    <row r="394" spans="1:19" ht="13.2">
      <c r="A394" s="142"/>
      <c r="B394" s="142"/>
      <c r="C394" s="142"/>
      <c r="D394" s="142"/>
      <c r="E394" s="174"/>
      <c r="F394" s="174"/>
      <c r="G394" s="175"/>
      <c r="H394" s="175"/>
      <c r="I394" s="170"/>
      <c r="J394" s="170"/>
      <c r="K394" s="147"/>
      <c r="L394" s="147"/>
      <c r="M394" s="170"/>
      <c r="N394" s="170"/>
      <c r="O394" s="133"/>
      <c r="P394" s="133"/>
      <c r="Q394" s="151"/>
      <c r="R394" s="151"/>
      <c r="S394" s="151"/>
    </row>
    <row r="395" spans="1:19" ht="13.2">
      <c r="A395" s="142"/>
      <c r="B395" s="142"/>
      <c r="C395" s="142"/>
      <c r="D395" s="142"/>
      <c r="E395" s="174"/>
      <c r="F395" s="174"/>
      <c r="G395" s="175"/>
      <c r="H395" s="175"/>
      <c r="I395" s="170"/>
      <c r="J395" s="170"/>
      <c r="K395" s="147"/>
      <c r="L395" s="147"/>
      <c r="M395" s="170"/>
      <c r="N395" s="170"/>
      <c r="O395" s="133"/>
      <c r="P395" s="133"/>
      <c r="Q395" s="157"/>
      <c r="R395" s="157"/>
      <c r="S395" s="157"/>
    </row>
    <row r="396" spans="1:19" ht="13.2">
      <c r="A396" s="142"/>
      <c r="B396" s="142"/>
      <c r="C396" s="142"/>
      <c r="D396" s="142"/>
      <c r="E396" s="174"/>
      <c r="F396" s="174"/>
      <c r="G396" s="175"/>
      <c r="H396" s="175"/>
      <c r="I396" s="170"/>
      <c r="J396" s="170"/>
      <c r="K396" s="147"/>
      <c r="L396" s="147"/>
      <c r="M396" s="170"/>
      <c r="N396" s="170"/>
      <c r="O396" s="133"/>
      <c r="P396" s="133"/>
      <c r="Q396" s="151"/>
      <c r="R396" s="151"/>
      <c r="S396" s="151"/>
    </row>
    <row r="397" spans="1:19" ht="13.2">
      <c r="A397" s="142"/>
      <c r="B397" s="142"/>
      <c r="C397" s="142"/>
      <c r="D397" s="142"/>
      <c r="E397" s="174"/>
      <c r="F397" s="174"/>
      <c r="G397" s="175"/>
      <c r="H397" s="175"/>
      <c r="I397" s="170"/>
      <c r="J397" s="170"/>
      <c r="K397" s="147"/>
      <c r="L397" s="147"/>
      <c r="M397" s="170"/>
      <c r="N397" s="170"/>
      <c r="O397" s="133"/>
      <c r="P397" s="133"/>
      <c r="Q397" s="157"/>
      <c r="R397" s="157"/>
      <c r="S397" s="157"/>
    </row>
    <row r="398" spans="1:19" ht="13.2">
      <c r="A398" s="142"/>
      <c r="B398" s="142"/>
      <c r="C398" s="142"/>
      <c r="D398" s="142"/>
      <c r="E398" s="174"/>
      <c r="F398" s="174"/>
      <c r="G398" s="175"/>
      <c r="H398" s="175"/>
      <c r="I398" s="170"/>
      <c r="J398" s="170"/>
      <c r="K398" s="147"/>
      <c r="L398" s="147"/>
      <c r="M398" s="170"/>
      <c r="N398" s="170"/>
      <c r="O398" s="133"/>
      <c r="P398" s="133"/>
      <c r="Q398" s="151"/>
      <c r="R398" s="151"/>
      <c r="S398" s="151"/>
    </row>
    <row r="399" spans="1:19" ht="13.2">
      <c r="A399" s="142"/>
      <c r="B399" s="142"/>
      <c r="C399" s="142"/>
      <c r="D399" s="142"/>
      <c r="E399" s="174"/>
      <c r="F399" s="174"/>
      <c r="G399" s="175"/>
      <c r="H399" s="175"/>
      <c r="I399" s="170"/>
      <c r="J399" s="170"/>
      <c r="K399" s="147"/>
      <c r="L399" s="147"/>
      <c r="M399" s="170"/>
      <c r="N399" s="170"/>
      <c r="O399" s="133"/>
      <c r="P399" s="133"/>
      <c r="Q399" s="157"/>
      <c r="R399" s="157"/>
      <c r="S399" s="157"/>
    </row>
    <row r="400" spans="1:19" ht="13.2">
      <c r="A400" s="142"/>
      <c r="B400" s="142"/>
      <c r="C400" s="142"/>
      <c r="D400" s="142"/>
      <c r="E400" s="174"/>
      <c r="F400" s="174"/>
      <c r="G400" s="175"/>
      <c r="H400" s="175"/>
      <c r="I400" s="170"/>
      <c r="J400" s="170"/>
      <c r="K400" s="147"/>
      <c r="L400" s="147"/>
      <c r="M400" s="170"/>
      <c r="N400" s="170"/>
      <c r="O400" s="133"/>
      <c r="P400" s="133"/>
      <c r="Q400" s="151"/>
      <c r="R400" s="151"/>
      <c r="S400" s="151"/>
    </row>
    <row r="401" spans="1:19" ht="13.2">
      <c r="A401" s="142"/>
      <c r="B401" s="142"/>
      <c r="C401" s="142"/>
      <c r="D401" s="142"/>
      <c r="E401" s="174"/>
      <c r="F401" s="174"/>
      <c r="G401" s="175"/>
      <c r="H401" s="175"/>
      <c r="I401" s="170"/>
      <c r="J401" s="170"/>
      <c r="K401" s="147"/>
      <c r="L401" s="147"/>
      <c r="M401" s="170"/>
      <c r="N401" s="170"/>
      <c r="O401" s="133"/>
      <c r="P401" s="133"/>
      <c r="Q401" s="157"/>
      <c r="R401" s="157"/>
      <c r="S401" s="157"/>
    </row>
    <row r="402" spans="1:19" ht="13.2">
      <c r="A402" s="142"/>
      <c r="B402" s="142"/>
      <c r="C402" s="142"/>
      <c r="D402" s="142"/>
      <c r="E402" s="174"/>
      <c r="F402" s="174"/>
      <c r="G402" s="175"/>
      <c r="H402" s="175"/>
      <c r="I402" s="170"/>
      <c r="J402" s="170"/>
      <c r="K402" s="147"/>
      <c r="L402" s="147"/>
      <c r="M402" s="170"/>
      <c r="N402" s="170"/>
      <c r="O402" s="133"/>
      <c r="P402" s="133"/>
      <c r="Q402" s="151"/>
      <c r="R402" s="151"/>
      <c r="S402" s="151"/>
    </row>
    <row r="403" spans="1:19" ht="13.2">
      <c r="A403" s="142"/>
      <c r="B403" s="142"/>
      <c r="C403" s="142"/>
      <c r="D403" s="142"/>
      <c r="E403" s="174"/>
      <c r="F403" s="174"/>
      <c r="G403" s="175"/>
      <c r="H403" s="175"/>
      <c r="I403" s="170"/>
      <c r="J403" s="170"/>
      <c r="K403" s="147"/>
      <c r="L403" s="147"/>
      <c r="M403" s="170"/>
      <c r="N403" s="170"/>
      <c r="O403" s="133"/>
      <c r="P403" s="133"/>
      <c r="Q403" s="157"/>
      <c r="R403" s="157"/>
      <c r="S403" s="157"/>
    </row>
    <row r="404" spans="1:19" ht="13.2">
      <c r="A404" s="142"/>
      <c r="B404" s="142"/>
      <c r="C404" s="142"/>
      <c r="D404" s="142"/>
      <c r="E404" s="174"/>
      <c r="F404" s="174"/>
      <c r="G404" s="175"/>
      <c r="H404" s="175"/>
      <c r="I404" s="170"/>
      <c r="J404" s="170"/>
      <c r="K404" s="147"/>
      <c r="L404" s="147"/>
      <c r="M404" s="170"/>
      <c r="N404" s="170"/>
      <c r="O404" s="133"/>
      <c r="P404" s="133"/>
      <c r="Q404" s="151"/>
      <c r="R404" s="151"/>
      <c r="S404" s="151"/>
    </row>
    <row r="405" spans="1:19" ht="13.2">
      <c r="A405" s="142"/>
      <c r="B405" s="142"/>
      <c r="C405" s="142"/>
      <c r="D405" s="142"/>
      <c r="E405" s="174"/>
      <c r="F405" s="174"/>
      <c r="G405" s="175"/>
      <c r="H405" s="175"/>
      <c r="I405" s="170"/>
      <c r="J405" s="170"/>
      <c r="K405" s="147"/>
      <c r="L405" s="147"/>
      <c r="M405" s="170"/>
      <c r="N405" s="170"/>
      <c r="O405" s="133"/>
      <c r="P405" s="133"/>
      <c r="Q405" s="157"/>
      <c r="R405" s="157"/>
      <c r="S405" s="157"/>
    </row>
    <row r="406" spans="1:19" ht="13.2">
      <c r="A406" s="142"/>
      <c r="B406" s="142"/>
      <c r="C406" s="142"/>
      <c r="D406" s="142"/>
      <c r="E406" s="174"/>
      <c r="F406" s="174"/>
      <c r="G406" s="175"/>
      <c r="H406" s="175"/>
      <c r="I406" s="170"/>
      <c r="J406" s="170"/>
      <c r="K406" s="147"/>
      <c r="L406" s="147"/>
      <c r="M406" s="170"/>
      <c r="N406" s="170"/>
      <c r="O406" s="133"/>
      <c r="P406" s="133"/>
      <c r="Q406" s="151"/>
      <c r="R406" s="151"/>
      <c r="S406" s="151"/>
    </row>
    <row r="407" spans="1:19" ht="13.2">
      <c r="A407" s="142"/>
      <c r="B407" s="142"/>
      <c r="C407" s="142"/>
      <c r="D407" s="142"/>
      <c r="E407" s="174"/>
      <c r="F407" s="174"/>
      <c r="G407" s="175"/>
      <c r="H407" s="175"/>
      <c r="I407" s="170"/>
      <c r="J407" s="170"/>
      <c r="K407" s="147"/>
      <c r="L407" s="147"/>
      <c r="M407" s="170"/>
      <c r="N407" s="170"/>
      <c r="O407" s="133"/>
      <c r="P407" s="133"/>
      <c r="Q407" s="157"/>
      <c r="R407" s="157"/>
      <c r="S407" s="157"/>
    </row>
    <row r="408" spans="1:19" ht="13.2">
      <c r="A408" s="142"/>
      <c r="B408" s="142"/>
      <c r="C408" s="142"/>
      <c r="D408" s="142"/>
      <c r="E408" s="174"/>
      <c r="F408" s="174"/>
      <c r="G408" s="175"/>
      <c r="H408" s="175"/>
      <c r="I408" s="170"/>
      <c r="J408" s="170"/>
      <c r="K408" s="147"/>
      <c r="L408" s="147"/>
      <c r="M408" s="170"/>
      <c r="N408" s="170"/>
      <c r="O408" s="133"/>
      <c r="P408" s="133"/>
      <c r="Q408" s="151"/>
      <c r="R408" s="151"/>
      <c r="S408" s="151"/>
    </row>
    <row r="409" spans="1:19" ht="13.2">
      <c r="A409" s="142"/>
      <c r="B409" s="142"/>
      <c r="C409" s="142"/>
      <c r="D409" s="142"/>
      <c r="E409" s="174"/>
      <c r="F409" s="174"/>
      <c r="G409" s="175"/>
      <c r="H409" s="175"/>
      <c r="I409" s="170"/>
      <c r="J409" s="170"/>
      <c r="K409" s="147"/>
      <c r="L409" s="147"/>
      <c r="M409" s="170"/>
      <c r="N409" s="170"/>
      <c r="O409" s="133"/>
      <c r="P409" s="133"/>
      <c r="Q409" s="157"/>
      <c r="R409" s="157"/>
      <c r="S409" s="157"/>
    </row>
    <row r="410" spans="1:19" ht="13.2">
      <c r="A410" s="142"/>
      <c r="B410" s="142"/>
      <c r="C410" s="142"/>
      <c r="D410" s="142"/>
      <c r="E410" s="174"/>
      <c r="F410" s="174"/>
      <c r="G410" s="175"/>
      <c r="H410" s="175"/>
      <c r="I410" s="170"/>
      <c r="J410" s="170"/>
      <c r="K410" s="147"/>
      <c r="L410" s="147"/>
      <c r="M410" s="170"/>
      <c r="N410" s="170"/>
      <c r="O410" s="133"/>
      <c r="P410" s="133"/>
      <c r="Q410" s="151"/>
      <c r="R410" s="151"/>
      <c r="S410" s="151"/>
    </row>
    <row r="411" spans="1:19" ht="13.2">
      <c r="A411" s="142"/>
      <c r="B411" s="142"/>
      <c r="C411" s="142"/>
      <c r="D411" s="142"/>
      <c r="E411" s="174"/>
      <c r="F411" s="174"/>
      <c r="G411" s="175"/>
      <c r="H411" s="175"/>
      <c r="I411" s="170"/>
      <c r="J411" s="170"/>
      <c r="K411" s="147"/>
      <c r="L411" s="147"/>
      <c r="M411" s="170"/>
      <c r="N411" s="170"/>
      <c r="O411" s="133"/>
      <c r="P411" s="133"/>
      <c r="Q411" s="157"/>
      <c r="R411" s="157"/>
      <c r="S411" s="157"/>
    </row>
    <row r="412" spans="1:19" ht="13.2">
      <c r="A412" s="142"/>
      <c r="B412" s="142"/>
      <c r="C412" s="142"/>
      <c r="D412" s="142"/>
      <c r="E412" s="174"/>
      <c r="F412" s="174"/>
      <c r="G412" s="175"/>
      <c r="H412" s="175"/>
      <c r="I412" s="170"/>
      <c r="J412" s="170"/>
      <c r="K412" s="147"/>
      <c r="L412" s="147"/>
      <c r="M412" s="170"/>
      <c r="N412" s="170"/>
      <c r="O412" s="133"/>
      <c r="P412" s="133"/>
      <c r="Q412" s="151"/>
      <c r="R412" s="151"/>
      <c r="S412" s="151"/>
    </row>
    <row r="413" spans="1:19" ht="13.2">
      <c r="A413" s="142"/>
      <c r="B413" s="142"/>
      <c r="C413" s="142"/>
      <c r="D413" s="142"/>
      <c r="E413" s="174"/>
      <c r="F413" s="174"/>
      <c r="G413" s="175"/>
      <c r="H413" s="175"/>
      <c r="I413" s="170"/>
      <c r="J413" s="170"/>
      <c r="K413" s="147"/>
      <c r="L413" s="147"/>
      <c r="M413" s="170"/>
      <c r="N413" s="170"/>
      <c r="O413" s="133"/>
      <c r="P413" s="133"/>
      <c r="Q413" s="157"/>
      <c r="R413" s="157"/>
      <c r="S413" s="157"/>
    </row>
    <row r="414" spans="1:19" ht="13.2">
      <c r="A414" s="142"/>
      <c r="B414" s="142"/>
      <c r="C414" s="142"/>
      <c r="D414" s="142"/>
      <c r="E414" s="174"/>
      <c r="F414" s="174"/>
      <c r="G414" s="175"/>
      <c r="H414" s="175"/>
      <c r="I414" s="170"/>
      <c r="J414" s="170"/>
      <c r="K414" s="147"/>
      <c r="L414" s="147"/>
      <c r="M414" s="170"/>
      <c r="N414" s="170"/>
      <c r="O414" s="133"/>
      <c r="P414" s="133"/>
      <c r="Q414" s="151"/>
      <c r="R414" s="151"/>
      <c r="S414" s="151"/>
    </row>
    <row r="415" spans="1:19" ht="13.2">
      <c r="A415" s="142"/>
      <c r="B415" s="142"/>
      <c r="C415" s="142"/>
      <c r="D415" s="142"/>
      <c r="E415" s="174"/>
      <c r="F415" s="174"/>
      <c r="G415" s="175"/>
      <c r="H415" s="175"/>
      <c r="I415" s="170"/>
      <c r="J415" s="170"/>
      <c r="K415" s="147"/>
      <c r="L415" s="147"/>
      <c r="M415" s="170"/>
      <c r="N415" s="170"/>
      <c r="O415" s="133"/>
      <c r="P415" s="133"/>
      <c r="Q415" s="157"/>
      <c r="R415" s="157"/>
      <c r="S415" s="157"/>
    </row>
    <row r="416" spans="1:19" ht="13.2">
      <c r="A416" s="142"/>
      <c r="B416" s="142"/>
      <c r="C416" s="142"/>
      <c r="D416" s="142"/>
      <c r="E416" s="174"/>
      <c r="F416" s="174"/>
      <c r="G416" s="175"/>
      <c r="H416" s="175"/>
      <c r="I416" s="170"/>
      <c r="J416" s="170"/>
      <c r="K416" s="147"/>
      <c r="L416" s="147"/>
      <c r="M416" s="170"/>
      <c r="N416" s="170"/>
      <c r="O416" s="133"/>
      <c r="P416" s="133"/>
      <c r="Q416" s="151"/>
      <c r="R416" s="151"/>
      <c r="S416" s="151"/>
    </row>
    <row r="417" spans="1:19" ht="13.2">
      <c r="A417" s="142"/>
      <c r="B417" s="142"/>
      <c r="C417" s="142"/>
      <c r="D417" s="142"/>
      <c r="E417" s="174"/>
      <c r="F417" s="174"/>
      <c r="G417" s="175"/>
      <c r="H417" s="175"/>
      <c r="I417" s="170"/>
      <c r="J417" s="170"/>
      <c r="K417" s="147"/>
      <c r="L417" s="147"/>
      <c r="M417" s="170"/>
      <c r="N417" s="170"/>
      <c r="O417" s="133"/>
      <c r="P417" s="133"/>
      <c r="Q417" s="157"/>
      <c r="R417" s="157"/>
      <c r="S417" s="157"/>
    </row>
    <row r="418" spans="1:19" ht="13.2">
      <c r="A418" s="142"/>
      <c r="B418" s="142"/>
      <c r="C418" s="142"/>
      <c r="D418" s="142"/>
      <c r="E418" s="174"/>
      <c r="F418" s="174"/>
      <c r="G418" s="175"/>
      <c r="H418" s="175"/>
      <c r="I418" s="170"/>
      <c r="J418" s="170"/>
      <c r="K418" s="147"/>
      <c r="L418" s="147"/>
      <c r="M418" s="170"/>
      <c r="N418" s="170"/>
      <c r="O418" s="133"/>
      <c r="P418" s="133"/>
      <c r="Q418" s="151"/>
      <c r="R418" s="151"/>
      <c r="S418" s="151"/>
    </row>
    <row r="419" spans="1:19" ht="13.2">
      <c r="A419" s="142"/>
      <c r="B419" s="142"/>
      <c r="C419" s="142"/>
      <c r="D419" s="142"/>
      <c r="E419" s="174"/>
      <c r="F419" s="174"/>
      <c r="G419" s="175"/>
      <c r="H419" s="175"/>
      <c r="I419" s="170"/>
      <c r="J419" s="170"/>
      <c r="K419" s="147"/>
      <c r="L419" s="147"/>
      <c r="M419" s="170"/>
      <c r="N419" s="170"/>
      <c r="O419" s="133"/>
      <c r="P419" s="133"/>
      <c r="Q419" s="157"/>
      <c r="R419" s="157"/>
      <c r="S419" s="157"/>
    </row>
    <row r="420" spans="1:19" ht="13.2">
      <c r="A420" s="142"/>
      <c r="B420" s="142"/>
      <c r="C420" s="142"/>
      <c r="D420" s="142"/>
      <c r="E420" s="174"/>
      <c r="F420" s="174"/>
      <c r="G420" s="175"/>
      <c r="H420" s="175"/>
      <c r="I420" s="170"/>
      <c r="J420" s="170"/>
      <c r="K420" s="147"/>
      <c r="L420" s="147"/>
      <c r="M420" s="170"/>
      <c r="N420" s="170"/>
      <c r="O420" s="133"/>
      <c r="P420" s="133"/>
      <c r="Q420" s="151"/>
      <c r="R420" s="151"/>
      <c r="S420" s="151"/>
    </row>
    <row r="421" spans="1:19" ht="13.2">
      <c r="A421" s="142"/>
      <c r="B421" s="142"/>
      <c r="C421" s="142"/>
      <c r="D421" s="142"/>
      <c r="E421" s="174"/>
      <c r="F421" s="174"/>
      <c r="G421" s="175"/>
      <c r="H421" s="175"/>
      <c r="I421" s="170"/>
      <c r="J421" s="170"/>
      <c r="K421" s="147"/>
      <c r="L421" s="147"/>
      <c r="M421" s="170"/>
      <c r="N421" s="170"/>
      <c r="O421" s="133"/>
      <c r="P421" s="133"/>
      <c r="Q421" s="157"/>
      <c r="R421" s="157"/>
      <c r="S421" s="157"/>
    </row>
    <row r="422" spans="1:19" ht="13.2">
      <c r="A422" s="142"/>
      <c r="B422" s="142"/>
      <c r="C422" s="142"/>
      <c r="D422" s="142"/>
      <c r="E422" s="174"/>
      <c r="F422" s="174"/>
      <c r="G422" s="175"/>
      <c r="H422" s="175"/>
      <c r="I422" s="170"/>
      <c r="J422" s="170"/>
      <c r="K422" s="147"/>
      <c r="L422" s="147"/>
      <c r="M422" s="170"/>
      <c r="N422" s="170"/>
      <c r="O422" s="133"/>
      <c r="P422" s="133"/>
      <c r="Q422" s="151"/>
      <c r="R422" s="151"/>
      <c r="S422" s="151"/>
    </row>
    <row r="423" spans="1:19" ht="13.2">
      <c r="A423" s="142"/>
      <c r="B423" s="142"/>
      <c r="C423" s="142"/>
      <c r="D423" s="142"/>
      <c r="E423" s="174"/>
      <c r="F423" s="174"/>
      <c r="G423" s="175"/>
      <c r="H423" s="175"/>
      <c r="I423" s="170"/>
      <c r="J423" s="170"/>
      <c r="K423" s="147"/>
      <c r="L423" s="147"/>
      <c r="M423" s="170"/>
      <c r="N423" s="170"/>
      <c r="O423" s="133"/>
      <c r="P423" s="133"/>
      <c r="Q423" s="157"/>
      <c r="R423" s="157"/>
      <c r="S423" s="157"/>
    </row>
    <row r="424" spans="1:19" ht="13.2">
      <c r="A424" s="142"/>
      <c r="B424" s="142"/>
      <c r="C424" s="142"/>
      <c r="D424" s="142"/>
      <c r="E424" s="174"/>
      <c r="F424" s="174"/>
      <c r="G424" s="175"/>
      <c r="H424" s="175"/>
      <c r="I424" s="170"/>
      <c r="J424" s="170"/>
      <c r="K424" s="147"/>
      <c r="L424" s="147"/>
      <c r="M424" s="170"/>
      <c r="N424" s="170"/>
      <c r="O424" s="133"/>
      <c r="P424" s="133"/>
      <c r="Q424" s="151"/>
      <c r="R424" s="151"/>
      <c r="S424" s="151"/>
    </row>
    <row r="425" spans="1:19" ht="13.2">
      <c r="A425" s="142"/>
      <c r="B425" s="142"/>
      <c r="C425" s="142"/>
      <c r="D425" s="142"/>
      <c r="E425" s="174"/>
      <c r="F425" s="174"/>
      <c r="G425" s="175"/>
      <c r="H425" s="175"/>
      <c r="I425" s="170"/>
      <c r="J425" s="170"/>
      <c r="K425" s="147"/>
      <c r="L425" s="147"/>
      <c r="M425" s="170"/>
      <c r="N425" s="170"/>
      <c r="O425" s="133"/>
      <c r="P425" s="133"/>
      <c r="Q425" s="157"/>
      <c r="R425" s="157"/>
      <c r="S425" s="157"/>
    </row>
    <row r="426" spans="1:19" ht="13.2">
      <c r="A426" s="142"/>
      <c r="B426" s="142"/>
      <c r="C426" s="142"/>
      <c r="D426" s="142"/>
      <c r="E426" s="174"/>
      <c r="F426" s="174"/>
      <c r="G426" s="175"/>
      <c r="H426" s="175"/>
      <c r="I426" s="170"/>
      <c r="J426" s="170"/>
      <c r="K426" s="147"/>
      <c r="L426" s="147"/>
      <c r="M426" s="170"/>
      <c r="N426" s="170"/>
      <c r="O426" s="133"/>
      <c r="P426" s="133"/>
      <c r="Q426" s="151"/>
      <c r="R426" s="151"/>
      <c r="S426" s="151"/>
    </row>
    <row r="427" spans="1:19" ht="13.2">
      <c r="A427" s="142"/>
      <c r="B427" s="142"/>
      <c r="C427" s="142"/>
      <c r="D427" s="142"/>
      <c r="E427" s="174"/>
      <c r="F427" s="174"/>
      <c r="G427" s="175"/>
      <c r="H427" s="175"/>
      <c r="I427" s="170"/>
      <c r="J427" s="170"/>
      <c r="K427" s="147"/>
      <c r="L427" s="147"/>
      <c r="M427" s="170"/>
      <c r="N427" s="170"/>
      <c r="O427" s="133"/>
      <c r="P427" s="133"/>
      <c r="Q427" s="157"/>
      <c r="R427" s="157"/>
      <c r="S427" s="157"/>
    </row>
    <row r="428" spans="1:19" ht="13.2">
      <c r="A428" s="142"/>
      <c r="B428" s="142"/>
      <c r="C428" s="142"/>
      <c r="D428" s="142"/>
      <c r="E428" s="174"/>
      <c r="F428" s="174"/>
      <c r="G428" s="175"/>
      <c r="H428" s="175"/>
      <c r="I428" s="170"/>
      <c r="J428" s="170"/>
      <c r="K428" s="147"/>
      <c r="L428" s="147"/>
      <c r="M428" s="170"/>
      <c r="N428" s="170"/>
      <c r="O428" s="133"/>
      <c r="P428" s="133"/>
      <c r="Q428" s="151"/>
      <c r="R428" s="151"/>
      <c r="S428" s="151"/>
    </row>
    <row r="429" spans="1:19" ht="13.2">
      <c r="A429" s="142"/>
      <c r="B429" s="142"/>
      <c r="C429" s="142"/>
      <c r="D429" s="142"/>
      <c r="E429" s="174"/>
      <c r="F429" s="174"/>
      <c r="G429" s="175"/>
      <c r="H429" s="175"/>
      <c r="I429" s="170"/>
      <c r="J429" s="170"/>
      <c r="K429" s="147"/>
      <c r="L429" s="147"/>
      <c r="M429" s="170"/>
      <c r="N429" s="170"/>
      <c r="O429" s="133"/>
      <c r="P429" s="133"/>
      <c r="Q429" s="157"/>
      <c r="R429" s="157"/>
      <c r="S429" s="157"/>
    </row>
    <row r="430" spans="1:19" ht="13.2">
      <c r="A430" s="142"/>
      <c r="B430" s="142"/>
      <c r="C430" s="142"/>
      <c r="D430" s="142"/>
      <c r="E430" s="174"/>
      <c r="F430" s="174"/>
      <c r="G430" s="175"/>
      <c r="H430" s="175"/>
      <c r="I430" s="170"/>
      <c r="J430" s="170"/>
      <c r="K430" s="147"/>
      <c r="L430" s="147"/>
      <c r="M430" s="170"/>
      <c r="N430" s="170"/>
      <c r="O430" s="133"/>
      <c r="P430" s="133"/>
      <c r="Q430" s="151"/>
      <c r="R430" s="151"/>
      <c r="S430" s="151"/>
    </row>
    <row r="431" spans="1:19" ht="13.2">
      <c r="A431" s="142"/>
      <c r="B431" s="142"/>
      <c r="C431" s="142"/>
      <c r="D431" s="142"/>
      <c r="E431" s="174"/>
      <c r="F431" s="174"/>
      <c r="G431" s="175"/>
      <c r="H431" s="175"/>
      <c r="I431" s="170"/>
      <c r="J431" s="170"/>
      <c r="K431" s="147"/>
      <c r="L431" s="147"/>
      <c r="M431" s="170"/>
      <c r="N431" s="170"/>
      <c r="O431" s="133"/>
      <c r="P431" s="133"/>
      <c r="Q431" s="157"/>
      <c r="R431" s="157"/>
      <c r="S431" s="157"/>
    </row>
    <row r="432" spans="1:19" ht="13.2">
      <c r="A432" s="142"/>
      <c r="B432" s="142"/>
      <c r="C432" s="142"/>
      <c r="D432" s="142"/>
      <c r="E432" s="174"/>
      <c r="F432" s="174"/>
      <c r="G432" s="175"/>
      <c r="H432" s="175"/>
      <c r="I432" s="170"/>
      <c r="J432" s="170"/>
      <c r="K432" s="147"/>
      <c r="L432" s="147"/>
      <c r="M432" s="170"/>
      <c r="N432" s="170"/>
      <c r="O432" s="133"/>
      <c r="P432" s="133"/>
      <c r="Q432" s="151"/>
      <c r="R432" s="151"/>
      <c r="S432" s="151"/>
    </row>
    <row r="433" spans="1:19" ht="13.2">
      <c r="A433" s="142"/>
      <c r="B433" s="142"/>
      <c r="C433" s="142"/>
      <c r="D433" s="142"/>
      <c r="E433" s="174"/>
      <c r="F433" s="174"/>
      <c r="G433" s="175"/>
      <c r="H433" s="175"/>
      <c r="I433" s="170"/>
      <c r="J433" s="170"/>
      <c r="K433" s="147"/>
      <c r="L433" s="147"/>
      <c r="M433" s="170"/>
      <c r="N433" s="170"/>
      <c r="O433" s="133"/>
      <c r="P433" s="133"/>
      <c r="Q433" s="157"/>
      <c r="R433" s="157"/>
      <c r="S433" s="157"/>
    </row>
    <row r="434" spans="1:19" ht="13.2">
      <c r="A434" s="142"/>
      <c r="B434" s="142"/>
      <c r="C434" s="142"/>
      <c r="D434" s="142"/>
      <c r="E434" s="174"/>
      <c r="F434" s="174"/>
      <c r="G434" s="175"/>
      <c r="H434" s="175"/>
      <c r="I434" s="170"/>
      <c r="J434" s="170"/>
      <c r="K434" s="147"/>
      <c r="L434" s="147"/>
      <c r="M434" s="170"/>
      <c r="N434" s="170"/>
      <c r="O434" s="133"/>
      <c r="P434" s="133"/>
      <c r="Q434" s="151"/>
      <c r="R434" s="151"/>
      <c r="S434" s="151"/>
    </row>
    <row r="435" spans="1:19" ht="13.2">
      <c r="A435" s="142"/>
      <c r="B435" s="142"/>
      <c r="C435" s="142"/>
      <c r="D435" s="142"/>
      <c r="E435" s="174"/>
      <c r="F435" s="174"/>
      <c r="G435" s="175"/>
      <c r="H435" s="175"/>
      <c r="I435" s="170"/>
      <c r="J435" s="170"/>
      <c r="K435" s="147"/>
      <c r="L435" s="147"/>
      <c r="M435" s="170"/>
      <c r="N435" s="170"/>
      <c r="O435" s="133"/>
      <c r="P435" s="133"/>
      <c r="Q435" s="157"/>
      <c r="R435" s="157"/>
      <c r="S435" s="157"/>
    </row>
    <row r="436" spans="1:19" ht="13.2">
      <c r="A436" s="142"/>
      <c r="B436" s="142"/>
      <c r="C436" s="142"/>
      <c r="D436" s="142"/>
      <c r="E436" s="174"/>
      <c r="F436" s="174"/>
      <c r="G436" s="175"/>
      <c r="H436" s="175"/>
      <c r="I436" s="170"/>
      <c r="J436" s="170"/>
      <c r="K436" s="147"/>
      <c r="L436" s="147"/>
      <c r="M436" s="170"/>
      <c r="N436" s="170"/>
      <c r="O436" s="133"/>
      <c r="P436" s="133"/>
      <c r="Q436" s="151"/>
      <c r="R436" s="151"/>
      <c r="S436" s="151"/>
    </row>
    <row r="437" spans="1:19" ht="13.2">
      <c r="A437" s="142"/>
      <c r="B437" s="142"/>
      <c r="C437" s="142"/>
      <c r="D437" s="142"/>
      <c r="E437" s="174"/>
      <c r="F437" s="174"/>
      <c r="G437" s="175"/>
      <c r="H437" s="175"/>
      <c r="I437" s="170"/>
      <c r="J437" s="170"/>
      <c r="K437" s="147"/>
      <c r="L437" s="147"/>
      <c r="M437" s="170"/>
      <c r="N437" s="170"/>
      <c r="O437" s="133"/>
      <c r="P437" s="133"/>
      <c r="Q437" s="157"/>
      <c r="R437" s="157"/>
      <c r="S437" s="157"/>
    </row>
    <row r="438" spans="1:19" ht="13.2">
      <c r="A438" s="142"/>
      <c r="B438" s="142"/>
      <c r="C438" s="142"/>
      <c r="D438" s="142"/>
      <c r="E438" s="174"/>
      <c r="F438" s="174"/>
      <c r="G438" s="175"/>
      <c r="H438" s="175"/>
      <c r="I438" s="170"/>
      <c r="J438" s="170"/>
      <c r="K438" s="147"/>
      <c r="L438" s="147"/>
      <c r="M438" s="170"/>
      <c r="N438" s="170"/>
      <c r="O438" s="133"/>
      <c r="P438" s="133"/>
      <c r="Q438" s="151"/>
      <c r="R438" s="151"/>
      <c r="S438" s="151"/>
    </row>
    <row r="439" spans="1:19" ht="13.2">
      <c r="A439" s="142"/>
      <c r="B439" s="142"/>
      <c r="C439" s="142"/>
      <c r="D439" s="142"/>
      <c r="E439" s="174"/>
      <c r="F439" s="174"/>
      <c r="G439" s="175"/>
      <c r="H439" s="175"/>
      <c r="I439" s="170"/>
      <c r="J439" s="170"/>
      <c r="K439" s="147"/>
      <c r="L439" s="147"/>
      <c r="M439" s="170"/>
      <c r="N439" s="170"/>
      <c r="O439" s="133"/>
      <c r="P439" s="133"/>
      <c r="Q439" s="157"/>
      <c r="R439" s="157"/>
      <c r="S439" s="157"/>
    </row>
    <row r="440" spans="1:19" ht="13.2">
      <c r="A440" s="142"/>
      <c r="B440" s="142"/>
      <c r="C440" s="142"/>
      <c r="D440" s="142"/>
      <c r="E440" s="174"/>
      <c r="F440" s="174"/>
      <c r="G440" s="175"/>
      <c r="H440" s="175"/>
      <c r="I440" s="170"/>
      <c r="J440" s="170"/>
      <c r="K440" s="147"/>
      <c r="L440" s="147"/>
      <c r="M440" s="170"/>
      <c r="N440" s="170"/>
      <c r="O440" s="133"/>
      <c r="P440" s="133"/>
      <c r="Q440" s="151"/>
      <c r="R440" s="151"/>
      <c r="S440" s="151"/>
    </row>
    <row r="441" spans="1:19" ht="13.2">
      <c r="A441" s="142"/>
      <c r="B441" s="142"/>
      <c r="C441" s="142"/>
      <c r="D441" s="142"/>
      <c r="E441" s="174"/>
      <c r="F441" s="174"/>
      <c r="G441" s="175"/>
      <c r="H441" s="175"/>
      <c r="I441" s="170"/>
      <c r="J441" s="170"/>
      <c r="K441" s="147"/>
      <c r="L441" s="147"/>
      <c r="M441" s="170"/>
      <c r="N441" s="170"/>
      <c r="O441" s="133"/>
      <c r="P441" s="133"/>
      <c r="Q441" s="157"/>
      <c r="R441" s="157"/>
      <c r="S441" s="157"/>
    </row>
    <row r="442" spans="1:19" ht="13.2">
      <c r="A442" s="142"/>
      <c r="B442" s="142"/>
      <c r="C442" s="142"/>
      <c r="D442" s="142"/>
      <c r="E442" s="174"/>
      <c r="F442" s="174"/>
      <c r="G442" s="175"/>
      <c r="H442" s="175"/>
      <c r="I442" s="170"/>
      <c r="J442" s="170"/>
      <c r="K442" s="147"/>
      <c r="L442" s="147"/>
      <c r="M442" s="170"/>
      <c r="N442" s="170"/>
      <c r="O442" s="133"/>
      <c r="P442" s="133"/>
      <c r="Q442" s="151"/>
      <c r="R442" s="151"/>
      <c r="S442" s="151"/>
    </row>
    <row r="443" spans="1:19" ht="13.2">
      <c r="A443" s="142"/>
      <c r="B443" s="142"/>
      <c r="C443" s="142"/>
      <c r="D443" s="142"/>
      <c r="E443" s="174"/>
      <c r="F443" s="174"/>
      <c r="G443" s="175"/>
      <c r="H443" s="175"/>
      <c r="I443" s="170"/>
      <c r="J443" s="170"/>
      <c r="K443" s="147"/>
      <c r="L443" s="147"/>
      <c r="M443" s="170"/>
      <c r="N443" s="170"/>
      <c r="O443" s="133"/>
      <c r="P443" s="133"/>
      <c r="Q443" s="157"/>
      <c r="R443" s="157"/>
      <c r="S443" s="157"/>
    </row>
    <row r="444" spans="1:19" ht="13.2">
      <c r="A444" s="142"/>
      <c r="B444" s="142"/>
      <c r="C444" s="142"/>
      <c r="D444" s="142"/>
      <c r="E444" s="174"/>
      <c r="F444" s="174"/>
      <c r="G444" s="175"/>
      <c r="H444" s="175"/>
      <c r="I444" s="170"/>
      <c r="J444" s="170"/>
      <c r="K444" s="147"/>
      <c r="L444" s="147"/>
      <c r="M444" s="170"/>
      <c r="N444" s="170"/>
      <c r="O444" s="133"/>
      <c r="P444" s="133"/>
      <c r="Q444" s="151"/>
      <c r="R444" s="151"/>
      <c r="S444" s="151"/>
    </row>
    <row r="445" spans="1:19" ht="13.2">
      <c r="A445" s="142"/>
      <c r="B445" s="142"/>
      <c r="C445" s="142"/>
      <c r="D445" s="142"/>
      <c r="E445" s="174"/>
      <c r="F445" s="174"/>
      <c r="G445" s="175"/>
      <c r="H445" s="175"/>
      <c r="I445" s="170"/>
      <c r="J445" s="170"/>
      <c r="K445" s="147"/>
      <c r="L445" s="147"/>
      <c r="M445" s="170"/>
      <c r="N445" s="170"/>
      <c r="O445" s="133"/>
      <c r="P445" s="133"/>
      <c r="Q445" s="157"/>
      <c r="R445" s="157"/>
      <c r="S445" s="157"/>
    </row>
    <row r="446" spans="1:19" ht="13.2">
      <c r="A446" s="142"/>
      <c r="B446" s="142"/>
      <c r="C446" s="142"/>
      <c r="D446" s="142"/>
      <c r="E446" s="174"/>
      <c r="F446" s="174"/>
      <c r="G446" s="175"/>
      <c r="H446" s="175"/>
      <c r="I446" s="170"/>
      <c r="J446" s="170"/>
      <c r="K446" s="147"/>
      <c r="L446" s="147"/>
      <c r="M446" s="170"/>
      <c r="N446" s="170"/>
      <c r="O446" s="133"/>
      <c r="P446" s="133"/>
      <c r="Q446" s="151"/>
      <c r="R446" s="151"/>
      <c r="S446" s="151"/>
    </row>
    <row r="447" spans="1:19" ht="13.2">
      <c r="A447" s="142"/>
      <c r="B447" s="142"/>
      <c r="C447" s="142"/>
      <c r="D447" s="142"/>
      <c r="E447" s="174"/>
      <c r="F447" s="174"/>
      <c r="G447" s="175"/>
      <c r="H447" s="175"/>
      <c r="I447" s="170"/>
      <c r="J447" s="170"/>
      <c r="K447" s="147"/>
      <c r="L447" s="147"/>
      <c r="M447" s="170"/>
      <c r="N447" s="170"/>
      <c r="O447" s="133"/>
      <c r="P447" s="133"/>
      <c r="Q447" s="157"/>
      <c r="R447" s="157"/>
      <c r="S447" s="157"/>
    </row>
    <row r="448" spans="1:19" ht="13.2">
      <c r="A448" s="142"/>
      <c r="B448" s="142"/>
      <c r="C448" s="142"/>
      <c r="D448" s="142"/>
      <c r="E448" s="174"/>
      <c r="F448" s="174"/>
      <c r="G448" s="175"/>
      <c r="H448" s="175"/>
      <c r="I448" s="170"/>
      <c r="J448" s="170"/>
      <c r="K448" s="147"/>
      <c r="L448" s="147"/>
      <c r="M448" s="170"/>
      <c r="N448" s="170"/>
      <c r="O448" s="133"/>
      <c r="P448" s="133"/>
      <c r="Q448" s="151"/>
      <c r="R448" s="151"/>
      <c r="S448" s="151"/>
    </row>
    <row r="449" spans="1:19" ht="13.2">
      <c r="A449" s="142"/>
      <c r="B449" s="142"/>
      <c r="C449" s="142"/>
      <c r="D449" s="142"/>
      <c r="E449" s="174"/>
      <c r="F449" s="174"/>
      <c r="G449" s="175"/>
      <c r="H449" s="175"/>
      <c r="I449" s="170"/>
      <c r="J449" s="170"/>
      <c r="K449" s="147"/>
      <c r="L449" s="147"/>
      <c r="M449" s="170"/>
      <c r="N449" s="170"/>
      <c r="O449" s="133"/>
      <c r="P449" s="133"/>
      <c r="Q449" s="157"/>
      <c r="R449" s="157"/>
      <c r="S449" s="157"/>
    </row>
    <row r="450" spans="1:19" ht="13.2">
      <c r="A450" s="142"/>
      <c r="B450" s="142"/>
      <c r="C450" s="142"/>
      <c r="D450" s="142"/>
      <c r="E450" s="174"/>
      <c r="F450" s="174"/>
      <c r="G450" s="175"/>
      <c r="H450" s="175"/>
      <c r="I450" s="170"/>
      <c r="J450" s="170"/>
      <c r="K450" s="147"/>
      <c r="L450" s="147"/>
      <c r="M450" s="170"/>
      <c r="N450" s="170"/>
      <c r="O450" s="133"/>
      <c r="P450" s="133"/>
      <c r="Q450" s="151"/>
      <c r="R450" s="151"/>
      <c r="S450" s="151"/>
    </row>
    <row r="451" spans="1:19" ht="13.2">
      <c r="A451" s="142"/>
      <c r="B451" s="142"/>
      <c r="C451" s="142"/>
      <c r="D451" s="142"/>
      <c r="E451" s="174"/>
      <c r="F451" s="174"/>
      <c r="G451" s="175"/>
      <c r="H451" s="175"/>
      <c r="I451" s="170"/>
      <c r="J451" s="170"/>
      <c r="K451" s="147"/>
      <c r="L451" s="147"/>
      <c r="M451" s="170"/>
      <c r="N451" s="170"/>
      <c r="O451" s="133"/>
      <c r="P451" s="133"/>
      <c r="Q451" s="157"/>
      <c r="R451" s="157"/>
      <c r="S451" s="157"/>
    </row>
    <row r="452" spans="1:19" ht="13.2">
      <c r="A452" s="142"/>
      <c r="B452" s="142"/>
      <c r="C452" s="142"/>
      <c r="D452" s="142"/>
      <c r="E452" s="174"/>
      <c r="F452" s="174"/>
      <c r="G452" s="175"/>
      <c r="H452" s="175"/>
      <c r="I452" s="170"/>
      <c r="J452" s="170"/>
      <c r="K452" s="147"/>
      <c r="L452" s="147"/>
      <c r="M452" s="170"/>
      <c r="N452" s="170"/>
      <c r="O452" s="133"/>
      <c r="P452" s="133"/>
      <c r="Q452" s="151"/>
      <c r="R452" s="151"/>
      <c r="S452" s="151"/>
    </row>
    <row r="453" spans="1:19" ht="13.2">
      <c r="A453" s="142"/>
      <c r="B453" s="142"/>
      <c r="C453" s="142"/>
      <c r="D453" s="142"/>
      <c r="E453" s="174"/>
      <c r="F453" s="174"/>
      <c r="G453" s="175"/>
      <c r="H453" s="175"/>
      <c r="I453" s="170"/>
      <c r="J453" s="170"/>
      <c r="K453" s="147"/>
      <c r="L453" s="147"/>
      <c r="M453" s="170"/>
      <c r="N453" s="170"/>
      <c r="O453" s="133"/>
      <c r="P453" s="133"/>
      <c r="Q453" s="157"/>
      <c r="R453" s="157"/>
      <c r="S453" s="157"/>
    </row>
    <row r="454" spans="1:19" ht="13.2">
      <c r="A454" s="142"/>
      <c r="B454" s="142"/>
      <c r="C454" s="142"/>
      <c r="D454" s="142"/>
      <c r="E454" s="174"/>
      <c r="F454" s="174"/>
      <c r="G454" s="175"/>
      <c r="H454" s="175"/>
      <c r="I454" s="170"/>
      <c r="J454" s="170"/>
      <c r="K454" s="147"/>
      <c r="L454" s="147"/>
      <c r="M454" s="170"/>
      <c r="N454" s="170"/>
      <c r="O454" s="133"/>
      <c r="P454" s="133"/>
      <c r="Q454" s="151"/>
      <c r="R454" s="151"/>
      <c r="S454" s="151"/>
    </row>
    <row r="455" spans="1:19" ht="13.2">
      <c r="A455" s="142"/>
      <c r="B455" s="142"/>
      <c r="C455" s="142"/>
      <c r="D455" s="142"/>
      <c r="E455" s="174"/>
      <c r="F455" s="174"/>
      <c r="G455" s="175"/>
      <c r="H455" s="175"/>
      <c r="I455" s="170"/>
      <c r="J455" s="170"/>
      <c r="K455" s="147"/>
      <c r="L455" s="147"/>
      <c r="M455" s="170"/>
      <c r="N455" s="170"/>
      <c r="O455" s="133"/>
      <c r="P455" s="133"/>
      <c r="Q455" s="157"/>
      <c r="R455" s="157"/>
      <c r="S455" s="157"/>
    </row>
    <row r="456" spans="1:19" ht="13.2">
      <c r="A456" s="142"/>
      <c r="B456" s="142"/>
      <c r="C456" s="142"/>
      <c r="D456" s="142"/>
      <c r="E456" s="174"/>
      <c r="F456" s="174"/>
      <c r="G456" s="175"/>
      <c r="H456" s="175"/>
      <c r="I456" s="170"/>
      <c r="J456" s="170"/>
      <c r="K456" s="147"/>
      <c r="L456" s="147"/>
      <c r="M456" s="170"/>
      <c r="N456" s="170"/>
      <c r="O456" s="133"/>
      <c r="P456" s="133"/>
      <c r="Q456" s="151"/>
      <c r="R456" s="151"/>
      <c r="S456" s="151"/>
    </row>
    <row r="457" spans="1:19" ht="13.2">
      <c r="A457" s="142"/>
      <c r="B457" s="142"/>
      <c r="C457" s="142"/>
      <c r="D457" s="142"/>
      <c r="E457" s="174"/>
      <c r="F457" s="174"/>
      <c r="G457" s="175"/>
      <c r="H457" s="175"/>
      <c r="I457" s="170"/>
      <c r="J457" s="170"/>
      <c r="K457" s="147"/>
      <c r="L457" s="147"/>
      <c r="M457" s="170"/>
      <c r="N457" s="170"/>
      <c r="O457" s="133"/>
      <c r="P457" s="133"/>
      <c r="Q457" s="157"/>
      <c r="R457" s="157"/>
      <c r="S457" s="157"/>
    </row>
    <row r="458" spans="1:19" ht="13.2">
      <c r="A458" s="142"/>
      <c r="B458" s="142"/>
      <c r="C458" s="142"/>
      <c r="D458" s="142"/>
      <c r="E458" s="174"/>
      <c r="F458" s="174"/>
      <c r="G458" s="175"/>
      <c r="H458" s="175"/>
      <c r="I458" s="170"/>
      <c r="J458" s="170"/>
      <c r="K458" s="147"/>
      <c r="L458" s="147"/>
      <c r="M458" s="170"/>
      <c r="N458" s="170"/>
      <c r="O458" s="133"/>
      <c r="P458" s="133"/>
      <c r="Q458" s="151"/>
      <c r="R458" s="151"/>
      <c r="S458" s="151"/>
    </row>
    <row r="459" spans="1:19" ht="13.2">
      <c r="A459" s="142"/>
      <c r="B459" s="142"/>
      <c r="C459" s="142"/>
      <c r="D459" s="142"/>
      <c r="E459" s="174"/>
      <c r="F459" s="174"/>
      <c r="G459" s="175"/>
      <c r="H459" s="175"/>
      <c r="I459" s="170"/>
      <c r="J459" s="170"/>
      <c r="K459" s="147"/>
      <c r="L459" s="147"/>
      <c r="M459" s="170"/>
      <c r="N459" s="170"/>
      <c r="O459" s="133"/>
      <c r="P459" s="133"/>
      <c r="Q459" s="157"/>
      <c r="R459" s="157"/>
      <c r="S459" s="157"/>
    </row>
    <row r="460" spans="1:19" ht="13.2">
      <c r="A460" s="142"/>
      <c r="B460" s="142"/>
      <c r="C460" s="142"/>
      <c r="D460" s="142"/>
      <c r="E460" s="174"/>
      <c r="F460" s="174"/>
      <c r="G460" s="175"/>
      <c r="H460" s="175"/>
      <c r="I460" s="170"/>
      <c r="J460" s="170"/>
      <c r="K460" s="147"/>
      <c r="L460" s="147"/>
      <c r="M460" s="170"/>
      <c r="N460" s="170"/>
      <c r="O460" s="133"/>
      <c r="P460" s="133"/>
      <c r="Q460" s="151"/>
      <c r="R460" s="151"/>
      <c r="S460" s="151"/>
    </row>
    <row r="461" spans="1:19" ht="13.2">
      <c r="A461" s="142"/>
      <c r="B461" s="142"/>
      <c r="C461" s="142"/>
      <c r="D461" s="142"/>
      <c r="E461" s="174"/>
      <c r="F461" s="174"/>
      <c r="G461" s="175"/>
      <c r="H461" s="175"/>
      <c r="I461" s="170"/>
      <c r="J461" s="170"/>
      <c r="K461" s="147"/>
      <c r="L461" s="147"/>
      <c r="M461" s="170"/>
      <c r="N461" s="170"/>
      <c r="O461" s="133"/>
      <c r="P461" s="133"/>
      <c r="Q461" s="157"/>
      <c r="R461" s="157"/>
      <c r="S461" s="157"/>
    </row>
    <row r="462" spans="1:19" ht="13.2">
      <c r="A462" s="142"/>
      <c r="B462" s="142"/>
      <c r="C462" s="142"/>
      <c r="D462" s="142"/>
      <c r="E462" s="174"/>
      <c r="F462" s="174"/>
      <c r="G462" s="175"/>
      <c r="H462" s="175"/>
      <c r="I462" s="170"/>
      <c r="J462" s="170"/>
      <c r="K462" s="147"/>
      <c r="L462" s="147"/>
      <c r="M462" s="170"/>
      <c r="N462" s="170"/>
      <c r="O462" s="133"/>
      <c r="P462" s="133"/>
      <c r="Q462" s="151"/>
      <c r="R462" s="151"/>
      <c r="S462" s="151"/>
    </row>
    <row r="463" spans="1:19" ht="13.2">
      <c r="A463" s="142"/>
      <c r="B463" s="142"/>
      <c r="C463" s="142"/>
      <c r="D463" s="142"/>
      <c r="E463" s="174"/>
      <c r="F463" s="174"/>
      <c r="G463" s="175"/>
      <c r="H463" s="175"/>
      <c r="I463" s="170"/>
      <c r="J463" s="170"/>
      <c r="K463" s="147"/>
      <c r="L463" s="147"/>
      <c r="M463" s="170"/>
      <c r="N463" s="170"/>
      <c r="O463" s="133"/>
      <c r="P463" s="133"/>
      <c r="Q463" s="157"/>
      <c r="R463" s="157"/>
      <c r="S463" s="157"/>
    </row>
    <row r="464" spans="1:19" ht="13.2">
      <c r="A464" s="142"/>
      <c r="B464" s="142"/>
      <c r="C464" s="142"/>
      <c r="D464" s="142"/>
      <c r="E464" s="174"/>
      <c r="F464" s="174"/>
      <c r="G464" s="175"/>
      <c r="H464" s="175"/>
      <c r="I464" s="170"/>
      <c r="J464" s="170"/>
      <c r="K464" s="147"/>
      <c r="L464" s="147"/>
      <c r="M464" s="170"/>
      <c r="N464" s="170"/>
      <c r="O464" s="133"/>
      <c r="P464" s="133"/>
      <c r="Q464" s="151"/>
      <c r="R464" s="151"/>
      <c r="S464" s="151"/>
    </row>
    <row r="465" spans="1:19" ht="13.2">
      <c r="A465" s="142"/>
      <c r="B465" s="142"/>
      <c r="C465" s="142"/>
      <c r="D465" s="142"/>
      <c r="E465" s="174"/>
      <c r="F465" s="174"/>
      <c r="G465" s="175"/>
      <c r="H465" s="175"/>
      <c r="I465" s="170"/>
      <c r="J465" s="170"/>
      <c r="K465" s="147"/>
      <c r="L465" s="147"/>
      <c r="M465" s="170"/>
      <c r="N465" s="170"/>
      <c r="O465" s="133"/>
      <c r="P465" s="133"/>
      <c r="Q465" s="157"/>
      <c r="R465" s="157"/>
      <c r="S465" s="157"/>
    </row>
    <row r="466" spans="1:19" ht="13.2">
      <c r="A466" s="142"/>
      <c r="B466" s="142"/>
      <c r="C466" s="142"/>
      <c r="D466" s="142"/>
      <c r="E466" s="174"/>
      <c r="F466" s="174"/>
      <c r="G466" s="175"/>
      <c r="H466" s="175"/>
      <c r="I466" s="170"/>
      <c r="J466" s="170"/>
      <c r="K466" s="147"/>
      <c r="L466" s="147"/>
      <c r="M466" s="170"/>
      <c r="N466" s="170"/>
      <c r="O466" s="133"/>
      <c r="P466" s="133"/>
      <c r="Q466" s="151"/>
      <c r="R466" s="151"/>
      <c r="S466" s="151"/>
    </row>
    <row r="467" spans="1:19" ht="13.2">
      <c r="A467" s="142"/>
      <c r="B467" s="142"/>
      <c r="C467" s="142"/>
      <c r="D467" s="142"/>
      <c r="E467" s="174"/>
      <c r="F467" s="174"/>
      <c r="G467" s="175"/>
      <c r="H467" s="175"/>
      <c r="I467" s="170"/>
      <c r="J467" s="170"/>
      <c r="K467" s="147"/>
      <c r="L467" s="147"/>
      <c r="M467" s="170"/>
      <c r="N467" s="170"/>
      <c r="O467" s="133"/>
      <c r="P467" s="133"/>
      <c r="Q467" s="157"/>
      <c r="R467" s="157"/>
      <c r="S467" s="157"/>
    </row>
    <row r="468" spans="1:19" ht="13.2">
      <c r="A468" s="142"/>
      <c r="B468" s="142"/>
      <c r="C468" s="142"/>
      <c r="D468" s="142"/>
      <c r="E468" s="174"/>
      <c r="F468" s="174"/>
      <c r="G468" s="175"/>
      <c r="H468" s="175"/>
      <c r="I468" s="170"/>
      <c r="J468" s="170"/>
      <c r="K468" s="147"/>
      <c r="L468" s="147"/>
      <c r="M468" s="170"/>
      <c r="N468" s="170"/>
      <c r="O468" s="133"/>
      <c r="P468" s="133"/>
      <c r="Q468" s="151"/>
      <c r="R468" s="151"/>
      <c r="S468" s="151"/>
    </row>
    <row r="469" spans="1:19" ht="13.2">
      <c r="A469" s="142"/>
      <c r="B469" s="142"/>
      <c r="C469" s="142"/>
      <c r="D469" s="142"/>
      <c r="E469" s="174"/>
      <c r="F469" s="174"/>
      <c r="G469" s="175"/>
      <c r="H469" s="175"/>
      <c r="I469" s="170"/>
      <c r="J469" s="170"/>
      <c r="K469" s="147"/>
      <c r="L469" s="147"/>
      <c r="M469" s="170"/>
      <c r="N469" s="170"/>
      <c r="O469" s="133"/>
      <c r="P469" s="133"/>
      <c r="Q469" s="157"/>
      <c r="R469" s="157"/>
      <c r="S469" s="157"/>
    </row>
    <row r="470" spans="1:19" ht="13.2">
      <c r="A470" s="142"/>
      <c r="B470" s="142"/>
      <c r="C470" s="142"/>
      <c r="D470" s="142"/>
      <c r="E470" s="174"/>
      <c r="F470" s="174"/>
      <c r="G470" s="175"/>
      <c r="H470" s="175"/>
      <c r="I470" s="170"/>
      <c r="J470" s="170"/>
      <c r="K470" s="147"/>
      <c r="L470" s="147"/>
      <c r="M470" s="170"/>
      <c r="N470" s="170"/>
      <c r="O470" s="133"/>
      <c r="P470" s="133"/>
      <c r="Q470" s="151"/>
      <c r="R470" s="151"/>
      <c r="S470" s="151"/>
    </row>
    <row r="471" spans="1:19" ht="13.2">
      <c r="A471" s="142"/>
      <c r="B471" s="142"/>
      <c r="C471" s="142"/>
      <c r="D471" s="142"/>
      <c r="E471" s="174"/>
      <c r="F471" s="174"/>
      <c r="G471" s="175"/>
      <c r="H471" s="175"/>
      <c r="I471" s="170"/>
      <c r="J471" s="170"/>
      <c r="K471" s="147"/>
      <c r="L471" s="147"/>
      <c r="M471" s="170"/>
      <c r="N471" s="170"/>
      <c r="O471" s="133"/>
      <c r="P471" s="133"/>
      <c r="Q471" s="157"/>
      <c r="R471" s="157"/>
      <c r="S471" s="157"/>
    </row>
    <row r="472" spans="1:19" ht="13.2">
      <c r="A472" s="142"/>
      <c r="B472" s="142"/>
      <c r="C472" s="142"/>
      <c r="D472" s="142"/>
      <c r="E472" s="174"/>
      <c r="F472" s="174"/>
      <c r="G472" s="175"/>
      <c r="H472" s="175"/>
      <c r="I472" s="170"/>
      <c r="J472" s="170"/>
      <c r="K472" s="147"/>
      <c r="L472" s="147"/>
      <c r="M472" s="170"/>
      <c r="N472" s="170"/>
      <c r="O472" s="133"/>
      <c r="P472" s="133"/>
      <c r="Q472" s="151"/>
      <c r="R472" s="151"/>
      <c r="S472" s="151"/>
    </row>
    <row r="473" spans="1:19" ht="13.2">
      <c r="A473" s="142"/>
      <c r="B473" s="142"/>
      <c r="C473" s="142"/>
      <c r="D473" s="142"/>
      <c r="E473" s="174"/>
      <c r="F473" s="174"/>
      <c r="G473" s="175"/>
      <c r="H473" s="175"/>
      <c r="I473" s="170"/>
      <c r="J473" s="170"/>
      <c r="K473" s="147"/>
      <c r="L473" s="147"/>
      <c r="M473" s="170"/>
      <c r="N473" s="170"/>
      <c r="O473" s="133"/>
      <c r="P473" s="133"/>
      <c r="Q473" s="157"/>
      <c r="R473" s="157"/>
      <c r="S473" s="157"/>
    </row>
    <row r="474" spans="1:19" ht="13.2">
      <c r="A474" s="142"/>
      <c r="B474" s="142"/>
      <c r="C474" s="142"/>
      <c r="D474" s="142"/>
      <c r="E474" s="174"/>
      <c r="F474" s="174"/>
      <c r="G474" s="175"/>
      <c r="H474" s="175"/>
      <c r="I474" s="170"/>
      <c r="J474" s="170"/>
      <c r="K474" s="147"/>
      <c r="L474" s="147"/>
      <c r="M474" s="170"/>
      <c r="N474" s="170"/>
      <c r="O474" s="133"/>
      <c r="P474" s="133"/>
      <c r="Q474" s="151"/>
      <c r="R474" s="151"/>
      <c r="S474" s="151"/>
    </row>
    <row r="475" spans="1:19" ht="13.2">
      <c r="A475" s="142"/>
      <c r="B475" s="142"/>
      <c r="C475" s="142"/>
      <c r="D475" s="142"/>
      <c r="E475" s="174"/>
      <c r="F475" s="174"/>
      <c r="G475" s="175"/>
      <c r="H475" s="175"/>
      <c r="I475" s="170"/>
      <c r="J475" s="170"/>
      <c r="K475" s="147"/>
      <c r="L475" s="147"/>
      <c r="M475" s="170"/>
      <c r="N475" s="170"/>
      <c r="O475" s="133"/>
      <c r="P475" s="133"/>
      <c r="Q475" s="157"/>
      <c r="R475" s="157"/>
      <c r="S475" s="157"/>
    </row>
    <row r="476" spans="1:19" ht="13.2">
      <c r="A476" s="142"/>
      <c r="B476" s="142"/>
      <c r="C476" s="142"/>
      <c r="D476" s="142"/>
      <c r="E476" s="174"/>
      <c r="F476" s="174"/>
      <c r="G476" s="175"/>
      <c r="H476" s="175"/>
      <c r="I476" s="170"/>
      <c r="J476" s="170"/>
      <c r="K476" s="147"/>
      <c r="L476" s="147"/>
      <c r="M476" s="170"/>
      <c r="N476" s="170"/>
      <c r="O476" s="133"/>
      <c r="P476" s="133"/>
      <c r="Q476" s="151"/>
      <c r="R476" s="151"/>
      <c r="S476" s="151"/>
    </row>
    <row r="477" spans="1:19" ht="13.2">
      <c r="A477" s="142"/>
      <c r="B477" s="142"/>
      <c r="C477" s="142"/>
      <c r="D477" s="142"/>
      <c r="E477" s="174"/>
      <c r="F477" s="174"/>
      <c r="G477" s="175"/>
      <c r="H477" s="175"/>
      <c r="I477" s="170"/>
      <c r="J477" s="170"/>
      <c r="K477" s="147"/>
      <c r="L477" s="147"/>
      <c r="M477" s="170"/>
      <c r="N477" s="170"/>
      <c r="O477" s="133"/>
      <c r="P477" s="133"/>
      <c r="Q477" s="157"/>
      <c r="R477" s="157"/>
      <c r="S477" s="157"/>
    </row>
    <row r="478" spans="1:19" ht="13.2">
      <c r="A478" s="142"/>
      <c r="B478" s="142"/>
      <c r="C478" s="142"/>
      <c r="D478" s="142"/>
      <c r="E478" s="174"/>
      <c r="F478" s="174"/>
      <c r="G478" s="175"/>
      <c r="H478" s="175"/>
      <c r="I478" s="170"/>
      <c r="J478" s="170"/>
      <c r="K478" s="147"/>
      <c r="L478" s="147"/>
      <c r="M478" s="170"/>
      <c r="N478" s="170"/>
      <c r="O478" s="133"/>
      <c r="P478" s="133"/>
      <c r="Q478" s="151"/>
      <c r="R478" s="151"/>
      <c r="S478" s="151"/>
    </row>
    <row r="479" spans="1:19" ht="13.2">
      <c r="A479" s="142"/>
      <c r="B479" s="142"/>
      <c r="C479" s="142"/>
      <c r="D479" s="142"/>
      <c r="E479" s="174"/>
      <c r="F479" s="174"/>
      <c r="G479" s="175"/>
      <c r="H479" s="175"/>
      <c r="I479" s="170"/>
      <c r="J479" s="170"/>
      <c r="K479" s="147"/>
      <c r="L479" s="147"/>
      <c r="M479" s="170"/>
      <c r="N479" s="170"/>
      <c r="O479" s="133"/>
      <c r="P479" s="133"/>
      <c r="Q479" s="157"/>
      <c r="R479" s="157"/>
      <c r="S479" s="157"/>
    </row>
    <row r="480" spans="1:19" ht="13.2">
      <c r="A480" s="142"/>
      <c r="B480" s="142"/>
      <c r="C480" s="142"/>
      <c r="D480" s="142"/>
      <c r="E480" s="174"/>
      <c r="F480" s="174"/>
      <c r="G480" s="175"/>
      <c r="H480" s="175"/>
      <c r="I480" s="170"/>
      <c r="J480" s="170"/>
      <c r="K480" s="147"/>
      <c r="L480" s="147"/>
      <c r="M480" s="170"/>
      <c r="N480" s="170"/>
      <c r="O480" s="133"/>
      <c r="P480" s="133"/>
      <c r="Q480" s="151"/>
      <c r="R480" s="151"/>
      <c r="S480" s="151"/>
    </row>
    <row r="481" spans="1:19" ht="13.2">
      <c r="A481" s="142"/>
      <c r="B481" s="142"/>
      <c r="C481" s="142"/>
      <c r="D481" s="142"/>
      <c r="E481" s="174"/>
      <c r="F481" s="174"/>
      <c r="G481" s="175"/>
      <c r="H481" s="175"/>
      <c r="I481" s="170"/>
      <c r="J481" s="170"/>
      <c r="K481" s="147"/>
      <c r="L481" s="147"/>
      <c r="M481" s="170"/>
      <c r="N481" s="170"/>
      <c r="O481" s="133"/>
      <c r="P481" s="133"/>
      <c r="Q481" s="157"/>
      <c r="R481" s="157"/>
      <c r="S481" s="157"/>
    </row>
    <row r="482" spans="1:19" ht="13.2">
      <c r="A482" s="142"/>
      <c r="B482" s="142"/>
      <c r="C482" s="142"/>
      <c r="D482" s="142"/>
      <c r="E482" s="174"/>
      <c r="F482" s="174"/>
      <c r="G482" s="175"/>
      <c r="H482" s="175"/>
      <c r="I482" s="170"/>
      <c r="J482" s="170"/>
      <c r="K482" s="147"/>
      <c r="L482" s="147"/>
      <c r="M482" s="170"/>
      <c r="N482" s="170"/>
      <c r="O482" s="133"/>
      <c r="P482" s="133"/>
      <c r="Q482" s="151"/>
      <c r="R482" s="151"/>
      <c r="S482" s="151"/>
    </row>
    <row r="483" spans="1:19" ht="13.2">
      <c r="A483" s="142"/>
      <c r="B483" s="142"/>
      <c r="C483" s="142"/>
      <c r="D483" s="142"/>
      <c r="E483" s="174"/>
      <c r="F483" s="174"/>
      <c r="G483" s="175"/>
      <c r="H483" s="175"/>
      <c r="I483" s="170"/>
      <c r="J483" s="170"/>
      <c r="K483" s="147"/>
      <c r="L483" s="147"/>
      <c r="M483" s="170"/>
      <c r="N483" s="170"/>
      <c r="O483" s="133"/>
      <c r="P483" s="133"/>
      <c r="Q483" s="157"/>
      <c r="R483" s="157"/>
      <c r="S483" s="157"/>
    </row>
    <row r="484" spans="1:19" ht="13.2">
      <c r="A484" s="142"/>
      <c r="B484" s="142"/>
      <c r="C484" s="142"/>
      <c r="D484" s="142"/>
      <c r="E484" s="174"/>
      <c r="F484" s="174"/>
      <c r="G484" s="175"/>
      <c r="H484" s="175"/>
      <c r="I484" s="170"/>
      <c r="J484" s="170"/>
      <c r="K484" s="147"/>
      <c r="L484" s="147"/>
      <c r="M484" s="170"/>
      <c r="N484" s="170"/>
      <c r="O484" s="133"/>
      <c r="P484" s="133"/>
      <c r="Q484" s="151"/>
      <c r="R484" s="151"/>
      <c r="S484" s="151"/>
    </row>
    <row r="485" spans="1:19" ht="13.2">
      <c r="A485" s="142"/>
      <c r="B485" s="142"/>
      <c r="C485" s="142"/>
      <c r="D485" s="142"/>
      <c r="E485" s="174"/>
      <c r="F485" s="174"/>
      <c r="G485" s="175"/>
      <c r="H485" s="175"/>
      <c r="I485" s="170"/>
      <c r="J485" s="170"/>
      <c r="K485" s="147"/>
      <c r="L485" s="147"/>
      <c r="M485" s="170"/>
      <c r="N485" s="170"/>
      <c r="O485" s="133"/>
      <c r="P485" s="133"/>
      <c r="Q485" s="157"/>
      <c r="R485" s="157"/>
      <c r="S485" s="157"/>
    </row>
    <row r="486" spans="1:19" ht="13.2">
      <c r="A486" s="142"/>
      <c r="B486" s="142"/>
      <c r="C486" s="142"/>
      <c r="D486" s="142"/>
      <c r="E486" s="174"/>
      <c r="F486" s="174"/>
      <c r="G486" s="175"/>
      <c r="H486" s="175"/>
      <c r="I486" s="170"/>
      <c r="J486" s="170"/>
      <c r="K486" s="147"/>
      <c r="L486" s="147"/>
      <c r="M486" s="170"/>
      <c r="N486" s="170"/>
      <c r="O486" s="133"/>
      <c r="P486" s="133"/>
      <c r="Q486" s="151"/>
      <c r="R486" s="151"/>
      <c r="S486" s="151"/>
    </row>
    <row r="487" spans="1:19" ht="13.2">
      <c r="A487" s="142"/>
      <c r="B487" s="142"/>
      <c r="C487" s="142"/>
      <c r="D487" s="142"/>
      <c r="E487" s="174"/>
      <c r="F487" s="174"/>
      <c r="G487" s="175"/>
      <c r="H487" s="175"/>
      <c r="I487" s="170"/>
      <c r="J487" s="170"/>
      <c r="K487" s="147"/>
      <c r="L487" s="147"/>
      <c r="M487" s="170"/>
      <c r="N487" s="170"/>
      <c r="O487" s="133"/>
      <c r="P487" s="133"/>
      <c r="Q487" s="157"/>
      <c r="R487" s="157"/>
      <c r="S487" s="157"/>
    </row>
    <row r="488" spans="1:19" ht="13.2">
      <c r="A488" s="142"/>
      <c r="B488" s="142"/>
      <c r="C488" s="142"/>
      <c r="D488" s="142"/>
      <c r="E488" s="174"/>
      <c r="F488" s="174"/>
      <c r="G488" s="175"/>
      <c r="H488" s="175"/>
      <c r="I488" s="170"/>
      <c r="J488" s="170"/>
      <c r="K488" s="147"/>
      <c r="L488" s="147"/>
      <c r="M488" s="170"/>
      <c r="N488" s="170"/>
      <c r="O488" s="133"/>
      <c r="P488" s="133"/>
      <c r="Q488" s="151"/>
      <c r="R488" s="151"/>
      <c r="S488" s="151"/>
    </row>
    <row r="489" spans="1:19" ht="13.2">
      <c r="A489" s="142"/>
      <c r="B489" s="142"/>
      <c r="C489" s="142"/>
      <c r="D489" s="142"/>
      <c r="E489" s="174"/>
      <c r="F489" s="174"/>
      <c r="G489" s="175"/>
      <c r="H489" s="175"/>
      <c r="I489" s="170"/>
      <c r="J489" s="170"/>
      <c r="K489" s="147"/>
      <c r="L489" s="147"/>
      <c r="M489" s="170"/>
      <c r="N489" s="170"/>
      <c r="O489" s="133"/>
      <c r="P489" s="133"/>
      <c r="Q489" s="157"/>
      <c r="R489" s="157"/>
      <c r="S489" s="157"/>
    </row>
    <row r="490" spans="1:19" ht="13.2">
      <c r="A490" s="142"/>
      <c r="B490" s="142"/>
      <c r="C490" s="142"/>
      <c r="D490" s="142"/>
      <c r="E490" s="174"/>
      <c r="F490" s="174"/>
      <c r="G490" s="175"/>
      <c r="H490" s="175"/>
      <c r="I490" s="170"/>
      <c r="J490" s="170"/>
      <c r="K490" s="147"/>
      <c r="L490" s="147"/>
      <c r="M490" s="170"/>
      <c r="N490" s="170"/>
      <c r="O490" s="133"/>
      <c r="P490" s="133"/>
      <c r="Q490" s="151"/>
      <c r="R490" s="151"/>
      <c r="S490" s="151"/>
    </row>
    <row r="491" spans="1:19" ht="13.2">
      <c r="A491" s="142"/>
      <c r="B491" s="142"/>
      <c r="C491" s="142"/>
      <c r="D491" s="142"/>
      <c r="E491" s="174"/>
      <c r="F491" s="174"/>
      <c r="G491" s="175"/>
      <c r="H491" s="175"/>
      <c r="I491" s="170"/>
      <c r="J491" s="170"/>
      <c r="K491" s="147"/>
      <c r="L491" s="147"/>
      <c r="M491" s="170"/>
      <c r="N491" s="170"/>
      <c r="O491" s="133"/>
      <c r="P491" s="133"/>
      <c r="Q491" s="157"/>
      <c r="R491" s="157"/>
      <c r="S491" s="157"/>
    </row>
    <row r="492" spans="1:19" ht="13.2">
      <c r="A492" s="142"/>
      <c r="B492" s="142"/>
      <c r="C492" s="142"/>
      <c r="D492" s="142"/>
      <c r="E492" s="174"/>
      <c r="F492" s="174"/>
      <c r="G492" s="175"/>
      <c r="H492" s="175"/>
      <c r="I492" s="170"/>
      <c r="J492" s="170"/>
      <c r="K492" s="147"/>
      <c r="L492" s="147"/>
      <c r="M492" s="170"/>
      <c r="N492" s="170"/>
      <c r="O492" s="133"/>
      <c r="P492" s="133"/>
      <c r="Q492" s="151"/>
      <c r="R492" s="151"/>
      <c r="S492" s="151"/>
    </row>
    <row r="493" spans="1:19" ht="13.2">
      <c r="A493" s="142"/>
      <c r="B493" s="142"/>
      <c r="C493" s="142"/>
      <c r="D493" s="142"/>
      <c r="E493" s="174"/>
      <c r="F493" s="174"/>
      <c r="G493" s="175"/>
      <c r="H493" s="175"/>
      <c r="I493" s="170"/>
      <c r="J493" s="170"/>
      <c r="K493" s="147"/>
      <c r="L493" s="147"/>
      <c r="M493" s="170"/>
      <c r="N493" s="170"/>
      <c r="O493" s="133"/>
      <c r="P493" s="133"/>
      <c r="Q493" s="157"/>
      <c r="R493" s="157"/>
      <c r="S493" s="157"/>
    </row>
    <row r="494" spans="1:19" ht="13.2">
      <c r="A494" s="142"/>
      <c r="B494" s="142"/>
      <c r="C494" s="142"/>
      <c r="D494" s="142"/>
      <c r="E494" s="174"/>
      <c r="F494" s="174"/>
      <c r="G494" s="175"/>
      <c r="H494" s="175"/>
      <c r="I494" s="170"/>
      <c r="J494" s="170"/>
      <c r="K494" s="147"/>
      <c r="L494" s="147"/>
      <c r="M494" s="170"/>
      <c r="N494" s="170"/>
      <c r="O494" s="133"/>
      <c r="P494" s="133"/>
      <c r="Q494" s="151"/>
      <c r="R494" s="151"/>
      <c r="S494" s="151"/>
    </row>
    <row r="495" spans="1:19" ht="13.2">
      <c r="A495" s="142"/>
      <c r="B495" s="142"/>
      <c r="C495" s="142"/>
      <c r="D495" s="142"/>
      <c r="E495" s="174"/>
      <c r="F495" s="174"/>
      <c r="G495" s="175"/>
      <c r="H495" s="175"/>
      <c r="I495" s="170"/>
      <c r="J495" s="170"/>
      <c r="K495" s="147"/>
      <c r="L495" s="147"/>
      <c r="M495" s="170"/>
      <c r="N495" s="170"/>
      <c r="O495" s="133"/>
      <c r="P495" s="133"/>
      <c r="Q495" s="157"/>
      <c r="R495" s="157"/>
      <c r="S495" s="157"/>
    </row>
    <row r="496" spans="1:19" ht="13.2">
      <c r="A496" s="142"/>
      <c r="B496" s="142"/>
      <c r="C496" s="142"/>
      <c r="D496" s="142"/>
      <c r="E496" s="174"/>
      <c r="F496" s="174"/>
      <c r="G496" s="175"/>
      <c r="H496" s="175"/>
      <c r="I496" s="170"/>
      <c r="J496" s="170"/>
      <c r="K496" s="147"/>
      <c r="L496" s="147"/>
      <c r="M496" s="170"/>
      <c r="N496" s="170"/>
      <c r="O496" s="133"/>
      <c r="P496" s="133"/>
      <c r="Q496" s="151"/>
      <c r="R496" s="151"/>
      <c r="S496" s="151"/>
    </row>
    <row r="497" spans="1:19" ht="13.2">
      <c r="A497" s="142"/>
      <c r="B497" s="142"/>
      <c r="C497" s="142"/>
      <c r="D497" s="142"/>
      <c r="E497" s="174"/>
      <c r="F497" s="174"/>
      <c r="G497" s="175"/>
      <c r="H497" s="175"/>
      <c r="I497" s="170"/>
      <c r="J497" s="170"/>
      <c r="K497" s="147"/>
      <c r="L497" s="147"/>
      <c r="M497" s="170"/>
      <c r="N497" s="170"/>
      <c r="O497" s="133"/>
      <c r="P497" s="133"/>
      <c r="Q497" s="157"/>
      <c r="R497" s="157"/>
      <c r="S497" s="157"/>
    </row>
    <row r="498" spans="1:19" ht="13.2">
      <c r="A498" s="142"/>
      <c r="B498" s="142"/>
      <c r="C498" s="142"/>
      <c r="D498" s="142"/>
      <c r="E498" s="174"/>
      <c r="F498" s="174"/>
      <c r="G498" s="175"/>
      <c r="H498" s="175"/>
      <c r="I498" s="170"/>
      <c r="J498" s="170"/>
      <c r="K498" s="147"/>
      <c r="L498" s="147"/>
      <c r="M498" s="170"/>
      <c r="N498" s="170"/>
      <c r="O498" s="133"/>
      <c r="P498" s="133"/>
      <c r="Q498" s="151"/>
      <c r="R498" s="151"/>
      <c r="S498" s="151"/>
    </row>
    <row r="499" spans="1:19" ht="13.2">
      <c r="A499" s="142"/>
      <c r="B499" s="142"/>
      <c r="C499" s="142"/>
      <c r="D499" s="142"/>
      <c r="E499" s="174"/>
      <c r="F499" s="174"/>
      <c r="G499" s="175"/>
      <c r="H499" s="175"/>
      <c r="I499" s="170"/>
      <c r="J499" s="170"/>
      <c r="K499" s="147"/>
      <c r="L499" s="147"/>
      <c r="M499" s="170"/>
      <c r="N499" s="170"/>
      <c r="O499" s="133"/>
      <c r="P499" s="133"/>
      <c r="Q499" s="157"/>
      <c r="R499" s="157"/>
      <c r="S499" s="157"/>
    </row>
    <row r="500" spans="1:19" ht="13.2">
      <c r="A500" s="142"/>
      <c r="B500" s="142"/>
      <c r="C500" s="142"/>
      <c r="D500" s="142"/>
      <c r="E500" s="174"/>
      <c r="F500" s="174"/>
      <c r="G500" s="175"/>
      <c r="H500" s="175"/>
      <c r="I500" s="170"/>
      <c r="J500" s="170"/>
      <c r="K500" s="147"/>
      <c r="L500" s="147"/>
      <c r="M500" s="170"/>
      <c r="N500" s="170"/>
      <c r="O500" s="133"/>
      <c r="P500" s="133"/>
      <c r="Q500" s="151"/>
      <c r="R500" s="151"/>
      <c r="S500" s="151"/>
    </row>
  </sheetData>
  <mergeCells count="3">
    <mergeCell ref="AA2:AE2"/>
    <mergeCell ref="U182:Y182"/>
    <mergeCell ref="AA182:AE182"/>
  </mergeCells>
  <conditionalFormatting sqref="T5:Y180 Z5:Z360 AA5:AE180 AF5:AF360 T185:Y360 AA185:AE360">
    <cfRule type="expression" dxfId="0" priority="1">
      <formula>isdate($B5)</formula>
    </cfRule>
  </conditionalFormatting>
  <hyperlinks>
    <hyperlink ref="F2" r:id="rId1" xr:uid="{00000000-0004-0000-0600-000000000000}"/>
    <hyperlink ref="P5" r:id="rId2" display="https://docs.google.com/spreadsheets/d/1-JXYCYIAvtmiIJj4y5uFNPzMrtPUC6JAnZaXl789pwQ" xr:uid="{00000000-0004-0000-0600-000001000000}"/>
    <hyperlink ref="P6" r:id="rId3" display="https://docs.google.com/document/d/1x9nXuXcDRG-KBHcaYIxv7seoRzwlefo0-zRuE9Zvp5s/edit?usp=sharing" xr:uid="{00000000-0004-0000-0600-000002000000}"/>
    <hyperlink ref="P7" r:id="rId4" display="https://docs.google.com/spreadsheets/d/1q8hNzk8wlHLSWNRodZyLwN77iP8civFLqlOMw7TVX-E" xr:uid="{00000000-0004-0000-0600-000003000000}"/>
    <hyperlink ref="P8" r:id="rId5" display="https://dive.mynvsl.com/contacts/division-coordinators" xr:uid="{00000000-0004-0000-0600-000004000000}"/>
  </hyperlinks>
  <pageMargins left="0.7" right="0.7" top="0.75" bottom="0.75" header="0.3" footer="0.3"/>
  <tableParts count="7">
    <tablePart r:id="rId6"/>
    <tablePart r:id="rId7"/>
    <tablePart r:id="rId8"/>
    <tablePart r:id="rId9"/>
    <tablePart r:id="rId10"/>
    <tablePart r:id="rId11"/>
    <tablePart r:id="rId1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  <outlinePr summaryBelow="0" summaryRight="0"/>
  </sheetPr>
  <dimension ref="A1:AC101"/>
  <sheetViews>
    <sheetView workbookViewId="0">
      <pane ySplit="2" topLeftCell="A3" activePane="bottomLeft" state="frozen"/>
      <selection pane="bottomLeft" activeCell="B4" sqref="B4"/>
    </sheetView>
  </sheetViews>
  <sheetFormatPr defaultColWidth="14.44140625" defaultRowHeight="15.75" customHeight="1"/>
  <cols>
    <col min="1" max="1" width="8.44140625" customWidth="1"/>
    <col min="2" max="2" width="10.44140625" customWidth="1"/>
    <col min="3" max="4" width="25.33203125" customWidth="1"/>
    <col min="6" max="6" width="28.44140625" customWidth="1"/>
    <col min="7" max="8" width="14.6640625" customWidth="1"/>
    <col min="9" max="9" width="25.88671875" customWidth="1"/>
    <col min="10" max="11" width="14.6640625" customWidth="1"/>
    <col min="12" max="12" width="25.88671875" customWidth="1"/>
    <col min="13" max="14" width="14.6640625" customWidth="1"/>
    <col min="15" max="15" width="25.88671875" customWidth="1"/>
  </cols>
  <sheetData>
    <row r="1" spans="1:29" ht="15.75" customHeight="1">
      <c r="A1" s="115" t="s">
        <v>513</v>
      </c>
      <c r="B1" s="115"/>
      <c r="C1" s="115"/>
      <c r="D1" s="115"/>
      <c r="E1" s="115"/>
      <c r="F1" s="115"/>
      <c r="G1" s="182"/>
      <c r="H1" s="182"/>
      <c r="I1" s="182"/>
      <c r="J1" s="119"/>
      <c r="K1" s="183"/>
      <c r="L1" s="183"/>
      <c r="M1" s="183"/>
      <c r="N1" s="183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</row>
    <row r="2" spans="1:29" ht="15.75" customHeight="1">
      <c r="A2" s="184" t="str">
        <f ca="1">IFERROR(__xludf.DUMMYFUNCTION("importrange(vlookup(""DiverDB"",'Lookup-Generic'!$O:$P,2,0),""Lookup-ClubData!A1:O"")"),"Division")</f>
        <v>Division</v>
      </c>
      <c r="B2" s="185" t="str">
        <f ca="1">IFERROR(__xludf.DUMMYFUNCTION("""COMPUTED_VALUE"""),"TeamCode")</f>
        <v>TeamCode</v>
      </c>
      <c r="C2" s="186" t="str">
        <f ca="1">IFERROR(__xludf.DUMMYFUNCTION("""COMPUTED_VALUE"""),"TeamCodeDropdown")</f>
        <v>TeamCodeDropdown</v>
      </c>
      <c r="D2" s="186" t="str">
        <f ca="1">IFERROR(__xludf.DUMMYFUNCTION("""COMPUTED_VALUE"""),"TeamName")</f>
        <v>TeamName</v>
      </c>
      <c r="E2" s="186" t="str">
        <f ca="1">IFERROR(__xludf.DUMMYFUNCTION("""COMPUTED_VALUE"""),"Nickname")</f>
        <v>Nickname</v>
      </c>
      <c r="F2" s="186" t="str">
        <f ca="1">IFERROR(__xludf.DUMMYFUNCTION("""COMPUTED_VALUE"""),"TeamCodelookup")</f>
        <v>TeamCodelookup</v>
      </c>
      <c r="G2" s="186" t="str">
        <f ca="1">IFERROR(__xludf.DUMMYFUNCTION("""COMPUTED_VALUE"""),"Contact Name1: 47")</f>
        <v>Contact Name1: 47</v>
      </c>
      <c r="H2" s="186" t="str">
        <f ca="1">IFERROR(__xludf.DUMMYFUNCTION("""COMPUTED_VALUE"""),"Contact Phone1: 36")</f>
        <v>Contact Phone1: 36</v>
      </c>
      <c r="I2" s="186" t="str">
        <f ca="1">IFERROR(__xludf.DUMMYFUNCTION("""COMPUTED_VALUE"""),"Contact Email1: 48")</f>
        <v>Contact Email1: 48</v>
      </c>
      <c r="J2" s="187" t="str">
        <f ca="1">IFERROR(__xludf.DUMMYFUNCTION("""COMPUTED_VALUE"""),"Contact Name2: 29")</f>
        <v>Contact Name2: 29</v>
      </c>
      <c r="K2" s="188" t="str">
        <f ca="1">IFERROR(__xludf.DUMMYFUNCTION("""COMPUTED_VALUE"""),"Contact Phone2: 16")</f>
        <v>Contact Phone2: 16</v>
      </c>
      <c r="L2" s="188" t="str">
        <f ca="1">IFERROR(__xludf.DUMMYFUNCTION("""COMPUTED_VALUE"""),"Contact Email2: 33")</f>
        <v>Contact Email2: 33</v>
      </c>
      <c r="M2" s="188" t="str">
        <f ca="1">IFERROR(__xludf.DUMMYFUNCTION("""COMPUTED_VALUE"""),"Contact Name3: 21")</f>
        <v>Contact Name3: 21</v>
      </c>
      <c r="N2" s="188" t="str">
        <f ca="1">IFERROR(__xludf.DUMMYFUNCTION("""COMPUTED_VALUE"""),"Contact Phone3: 9")</f>
        <v>Contact Phone3: 9</v>
      </c>
      <c r="O2" s="187" t="str">
        <f ca="1">IFERROR(__xludf.DUMMYFUNCTION("""COMPUTED_VALUE"""),"Contact Email3: 23")</f>
        <v>Contact Email3: 23</v>
      </c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</row>
    <row r="3" spans="1:29" ht="15.75" customHeight="1">
      <c r="A3" s="123">
        <f ca="1">IFERROR(__xludf.DUMMYFUNCTION("""COMPUTED_VALUE"""),8)</f>
        <v>8</v>
      </c>
      <c r="B3" s="90" t="str">
        <f ca="1">IFERROR(__xludf.DUMMYFUNCTION("""COMPUTED_VALUE"""),"A")</f>
        <v>A</v>
      </c>
      <c r="C3" s="141" t="str">
        <f ca="1">IFERROR(__xludf.DUMMYFUNCTION("""COMPUTED_VALUE"""),"A-Annandale")</f>
        <v>A-Annandale</v>
      </c>
      <c r="D3" s="141" t="str">
        <f ca="1">IFERROR(__xludf.DUMMYFUNCTION("""COMPUTED_VALUE"""),"Annandale")</f>
        <v>Annandale</v>
      </c>
      <c r="E3" s="190" t="str">
        <f ca="1">IFERROR(__xludf.DUMMYFUNCTION("""COMPUTED_VALUE"""),"Annandale")</f>
        <v>Annandale</v>
      </c>
      <c r="F3" s="142" t="str">
        <f ca="1">IFERROR(__xludf.DUMMYFUNCTION("""COMPUTED_VALUE"""),"A-Annandale")</f>
        <v>A-Annandale</v>
      </c>
      <c r="G3" s="190" t="str">
        <f ca="1">IFERROR(__xludf.DUMMYFUNCTION("""COMPUTED_VALUE"""),"Rae Tran")</f>
        <v>Rae Tran</v>
      </c>
      <c r="H3" s="190"/>
      <c r="I3" s="190" t="str">
        <f ca="1">IFERROR(__xludf.DUMMYFUNCTION("""COMPUTED_VALUE"""),"RaeTran@gmail.com")</f>
        <v>RaeTran@gmail.com</v>
      </c>
      <c r="J3" s="191"/>
      <c r="K3" s="190" t="str">
        <f ca="1">IFERROR(__xludf.DUMMYFUNCTION("""COMPUTED_VALUE"""),"")</f>
        <v/>
      </c>
      <c r="L3" s="191" t="str">
        <f ca="1">IFERROR(__xludf.DUMMYFUNCTION("""COMPUTED_VALUE"""),"")</f>
        <v/>
      </c>
      <c r="M3" s="191" t="str">
        <f ca="1">IFERROR(__xludf.DUMMYFUNCTION("""COMPUTED_VALUE"""),"Denise Du")</f>
        <v>Denise Du</v>
      </c>
      <c r="N3" s="190"/>
      <c r="O3" s="142" t="str">
        <f ca="1">IFERROR(__xludf.DUMMYFUNCTION("""COMPUTED_VALUE"""),"denisehdu@gmail.com")</f>
        <v>denisehdu@gmail.com</v>
      </c>
    </row>
    <row r="4" spans="1:29" ht="15.75" customHeight="1">
      <c r="A4" s="123">
        <f ca="1">IFERROR(__xludf.DUMMYFUNCTION("""COMPUTED_VALUE"""),3)</f>
        <v>3</v>
      </c>
      <c r="B4" s="90" t="str">
        <f ca="1">IFERROR(__xludf.DUMMYFUNCTION("""COMPUTED_VALUE"""),"AF")</f>
        <v>AF</v>
      </c>
      <c r="C4" s="141" t="str">
        <f ca="1">IFERROR(__xludf.DUMMYFUNCTION("""COMPUTED_VALUE"""),"AF-Arlington Forest")</f>
        <v>AF-Arlington Forest</v>
      </c>
      <c r="D4" s="141" t="str">
        <f ca="1">IFERROR(__xludf.DUMMYFUNCTION("""COMPUTED_VALUE"""),"Arlington Forest")</f>
        <v>Arlington Forest</v>
      </c>
      <c r="E4" s="190" t="str">
        <f ca="1">IFERROR(__xludf.DUMMYFUNCTION("""COMPUTED_VALUE"""),"Arlington Forest")</f>
        <v>Arlington Forest</v>
      </c>
      <c r="F4" s="142" t="str">
        <f ca="1">IFERROR(__xludf.DUMMYFUNCTION("""COMPUTED_VALUE"""),"AF-Arlington Forest")</f>
        <v>AF-Arlington Forest</v>
      </c>
      <c r="G4" s="192" t="str">
        <f ca="1">IFERROR(__xludf.DUMMYFUNCTION("""COMPUTED_VALUE"""),"Laura Smialowicz")</f>
        <v>Laura Smialowicz</v>
      </c>
      <c r="H4" s="192" t="str">
        <f ca="1">IFERROR(__xludf.DUMMYFUNCTION("""COMPUTED_VALUE"""),"703-408-8076")</f>
        <v>703-408-8076</v>
      </c>
      <c r="I4" s="192" t="str">
        <f ca="1">IFERROR(__xludf.DUMMYFUNCTION("""COMPUTED_VALUE"""),"laura.n.ballou@gmail.com")</f>
        <v>laura.n.ballou@gmail.com</v>
      </c>
      <c r="J4" s="191" t="str">
        <f ca="1">IFERROR(__xludf.DUMMYFUNCTION("""COMPUTED_VALUE"""),"Tom Smialowicz")</f>
        <v>Tom Smialowicz</v>
      </c>
      <c r="K4" s="190" t="str">
        <f ca="1">IFERROR(__xludf.DUMMYFUNCTION("""COMPUTED_VALUE"""),"703-407-6800")</f>
        <v>703-407-6800</v>
      </c>
      <c r="L4" s="191" t="str">
        <f ca="1">IFERROR(__xludf.DUMMYFUNCTION("""COMPUTED_VALUE"""),"tsmialowicz@gmail.com")</f>
        <v>tsmialowicz@gmail.com</v>
      </c>
      <c r="M4" s="191"/>
      <c r="N4" s="190"/>
      <c r="O4" s="142"/>
    </row>
    <row r="5" spans="1:29" ht="15.75" customHeight="1">
      <c r="A5" s="123">
        <f ca="1">IFERROR(__xludf.DUMMYFUNCTION("""COMPUTED_VALUE"""),4)</f>
        <v>4</v>
      </c>
      <c r="B5" s="90" t="str">
        <f ca="1">IFERROR(__xludf.DUMMYFUNCTION("""COMPUTED_VALUE"""),"CB")</f>
        <v>CB</v>
      </c>
      <c r="C5" s="141" t="str">
        <f ca="1">IFERROR(__xludf.DUMMYFUNCTION("""COMPUTED_VALUE"""),"CB-Chesterbrook")</f>
        <v>CB-Chesterbrook</v>
      </c>
      <c r="D5" s="141" t="str">
        <f ca="1">IFERROR(__xludf.DUMMYFUNCTION("""COMPUTED_VALUE"""),"Chesterbrook")</f>
        <v>Chesterbrook</v>
      </c>
      <c r="E5" s="190" t="str">
        <f ca="1">IFERROR(__xludf.DUMMYFUNCTION("""COMPUTED_VALUE"""),"Chesterbrook")</f>
        <v>Chesterbrook</v>
      </c>
      <c r="F5" s="142" t="str">
        <f ca="1">IFERROR(__xludf.DUMMYFUNCTION("""COMPUTED_VALUE"""),"CB-Chesterbrook")</f>
        <v>CB-Chesterbrook</v>
      </c>
      <c r="G5" s="190" t="str">
        <f ca="1">IFERROR(__xludf.DUMMYFUNCTION("""COMPUTED_VALUE"""),"Beth Hogan")</f>
        <v>Beth Hogan</v>
      </c>
      <c r="H5" s="190" t="str">
        <f ca="1">IFERROR(__xludf.DUMMYFUNCTION("""COMPUTED_VALUE"""),"703-237-2421")</f>
        <v>703-237-2421</v>
      </c>
      <c r="I5" s="190" t="str">
        <f ca="1">IFERROR(__xludf.DUMMYFUNCTION("""COMPUTED_VALUE"""),"beth.hogan@gmail.com")</f>
        <v>beth.hogan@gmail.com</v>
      </c>
      <c r="J5" s="191" t="str">
        <f ca="1">IFERROR(__xludf.DUMMYFUNCTION("""COMPUTED_VALUE"""),"Jennifer Lager")</f>
        <v>Jennifer Lager</v>
      </c>
      <c r="K5" s="190"/>
      <c r="L5" s="191" t="str">
        <f ca="1">IFERROR(__xludf.DUMMYFUNCTION("""COMPUTED_VALUE"""),"drjenniferlager@gmail.com")</f>
        <v>drjenniferlager@gmail.com</v>
      </c>
      <c r="M5" s="191" t="str">
        <f ca="1">IFERROR(__xludf.DUMMYFUNCTION("""COMPUTED_VALUE"""),"dave")</f>
        <v>dave</v>
      </c>
      <c r="N5" s="190" t="str">
        <f ca="1">IFERROR(__xludf.DUMMYFUNCTION("""COMPUTED_VALUE"""),"Trotsky")</f>
        <v>Trotsky</v>
      </c>
      <c r="O5" s="142" t="str">
        <f ca="1">IFERROR(__xludf.DUMMYFUNCTION("""COMPUTED_VALUE"""),"datroskey@gmail.com")</f>
        <v>datroskey@gmail.com</v>
      </c>
    </row>
    <row r="6" spans="1:29" ht="15.75" customHeight="1">
      <c r="A6" s="123">
        <f ca="1">IFERROR(__xludf.DUMMYFUNCTION("""COMPUTED_VALUE"""),5)</f>
        <v>5</v>
      </c>
      <c r="B6" s="90" t="str">
        <f ca="1">IFERROR(__xludf.DUMMYFUNCTION("""COMPUTED_VALUE"""),"CCC")</f>
        <v>CCC</v>
      </c>
      <c r="C6" s="141" t="str">
        <f ca="1">IFERROR(__xludf.DUMMYFUNCTION("""COMPUTED_VALUE"""),"CCC-Camelot Community Club")</f>
        <v>CCC-Camelot Community Club</v>
      </c>
      <c r="D6" s="141" t="str">
        <f ca="1">IFERROR(__xludf.DUMMYFUNCTION("""COMPUTED_VALUE"""),"Camelot Community Club")</f>
        <v>Camelot Community Club</v>
      </c>
      <c r="E6" s="190" t="str">
        <f ca="1">IFERROR(__xludf.DUMMYFUNCTION("""COMPUTED_VALUE"""),"Camelot")</f>
        <v>Camelot</v>
      </c>
      <c r="F6" s="142" t="str">
        <f ca="1">IFERROR(__xludf.DUMMYFUNCTION("""COMPUTED_VALUE"""),"CCC-Camelot Community Club")</f>
        <v>CCC-Camelot Community Club</v>
      </c>
      <c r="G6" s="190" t="str">
        <f ca="1">IFERROR(__xludf.DUMMYFUNCTION("""COMPUTED_VALUE"""),"Megan Wells")</f>
        <v>Megan Wells</v>
      </c>
      <c r="H6" s="190" t="str">
        <f ca="1">IFERROR(__xludf.DUMMYFUNCTION("""COMPUTED_VALUE"""),"703-801-5355")</f>
        <v>703-801-5355</v>
      </c>
      <c r="I6" s="190" t="str">
        <f ca="1">IFERROR(__xludf.DUMMYFUNCTION("""COMPUTED_VALUE"""),"camelotdive@gmail.com")</f>
        <v>camelotdive@gmail.com</v>
      </c>
      <c r="J6" s="191" t="str">
        <f ca="1">IFERROR(__xludf.DUMMYFUNCTION("""COMPUTED_VALUE"""),"Bonnie Gagermeier")</f>
        <v>Bonnie Gagermeier</v>
      </c>
      <c r="K6" s="190" t="str">
        <f ca="1">IFERROR(__xludf.DUMMYFUNCTION("""COMPUTED_VALUE"""),"703-867-2661")</f>
        <v>703-867-2661</v>
      </c>
      <c r="L6" s="191" t="str">
        <f ca="1">IFERROR(__xludf.DUMMYFUNCTION("""COMPUTED_VALUE"""),"bgagermeier@gmail.com ")</f>
        <v xml:space="preserve">bgagermeier@gmail.com </v>
      </c>
      <c r="M6" s="191"/>
      <c r="N6" s="190"/>
      <c r="O6" s="142"/>
    </row>
    <row r="7" spans="1:29" ht="15.75" customHeight="1">
      <c r="A7" s="123">
        <f ca="1">IFERROR(__xludf.DUMMYFUNCTION("""COMPUTED_VALUE"""),6)</f>
        <v>6</v>
      </c>
      <c r="B7" s="90" t="str">
        <f ca="1">IFERROR(__xludf.DUMMYFUNCTION("""COMPUTED_VALUE"""),"CH")</f>
        <v>CH</v>
      </c>
      <c r="C7" s="141" t="str">
        <f ca="1">IFERROR(__xludf.DUMMYFUNCTION("""COMPUTED_VALUE"""),"CH-Cardinal Hill")</f>
        <v>CH-Cardinal Hill</v>
      </c>
      <c r="D7" s="141" t="str">
        <f ca="1">IFERROR(__xludf.DUMMYFUNCTION("""COMPUTED_VALUE"""),"Cardinal Hill")</f>
        <v>Cardinal Hill</v>
      </c>
      <c r="E7" s="190" t="str">
        <f ca="1">IFERROR(__xludf.DUMMYFUNCTION("""COMPUTED_VALUE"""),"Cardinal Hill")</f>
        <v>Cardinal Hill</v>
      </c>
      <c r="F7" s="142" t="str">
        <f ca="1">IFERROR(__xludf.DUMMYFUNCTION("""COMPUTED_VALUE"""),"CH-Cardinal Hill")</f>
        <v>CH-Cardinal Hill</v>
      </c>
      <c r="G7" s="190" t="str">
        <f ca="1">IFERROR(__xludf.DUMMYFUNCTION("""COMPUTED_VALUE"""),"Michelle Butler")</f>
        <v>Michelle Butler</v>
      </c>
      <c r="H7" s="190" t="str">
        <f ca="1">IFERROR(__xludf.DUMMYFUNCTION("""COMPUTED_VALUE"""),"917-848-1166")</f>
        <v>917-848-1166</v>
      </c>
      <c r="I7" s="190" t="str">
        <f ca="1">IFERROR(__xludf.DUMMYFUNCTION("""COMPUTED_VALUE"""),"mmclarke@yahoo.com;michellembutler@gmail.com")</f>
        <v>mmclarke@yahoo.com;michellembutler@gmail.com</v>
      </c>
      <c r="J7" s="191" t="str">
        <f ca="1">IFERROR(__xludf.DUMMYFUNCTION("""COMPUTED_VALUE"""),"")</f>
        <v/>
      </c>
      <c r="K7" s="190" t="str">
        <f ca="1">IFERROR(__xludf.DUMMYFUNCTION("""COMPUTED_VALUE"""),"")</f>
        <v/>
      </c>
      <c r="L7" s="191" t="str">
        <f ca="1">IFERROR(__xludf.DUMMYFUNCTION("""COMPUTED_VALUE"""),"sailtricia@gmail.com")</f>
        <v>sailtricia@gmail.com</v>
      </c>
      <c r="M7" s="191"/>
      <c r="N7" s="190"/>
      <c r="O7" s="142"/>
    </row>
    <row r="8" spans="1:29" ht="15.75" customHeight="1">
      <c r="A8" s="123">
        <f ca="1">IFERROR(__xludf.DUMMYFUNCTION("""COMPUTED_VALUE"""),5)</f>
        <v>5</v>
      </c>
      <c r="B8" s="90" t="str">
        <f ca="1">IFERROR(__xludf.DUMMYFUNCTION("""COMPUTED_VALUE"""),"CP")</f>
        <v>CP</v>
      </c>
      <c r="C8" s="141" t="str">
        <f ca="1">IFERROR(__xludf.DUMMYFUNCTION("""COMPUTED_VALUE"""),"CP-Crosspointe")</f>
        <v>CP-Crosspointe</v>
      </c>
      <c r="D8" s="141" t="str">
        <f ca="1">IFERROR(__xludf.DUMMYFUNCTION("""COMPUTED_VALUE"""),"Crosspointe")</f>
        <v>Crosspointe</v>
      </c>
      <c r="E8" s="191" t="str">
        <f ca="1">IFERROR(__xludf.DUMMYFUNCTION("""COMPUTED_VALUE"""),"Crosspointe")</f>
        <v>Crosspointe</v>
      </c>
      <c r="F8" s="142" t="str">
        <f ca="1">IFERROR(__xludf.DUMMYFUNCTION("""COMPUTED_VALUE"""),"CP-Crosspointe")</f>
        <v>CP-Crosspointe</v>
      </c>
      <c r="G8" s="190" t="str">
        <f ca="1">IFERROR(__xludf.DUMMYFUNCTION("""COMPUTED_VALUE"""),"Winsome Lenfert")</f>
        <v>Winsome Lenfert</v>
      </c>
      <c r="H8" s="190" t="str">
        <f ca="1">IFERROR(__xludf.DUMMYFUNCTION("""COMPUTED_VALUE"""),"404-803-3457")</f>
        <v>404-803-3457</v>
      </c>
      <c r="I8" s="190" t="str">
        <f ca="1">IFERROR(__xludf.DUMMYFUNCTION("""COMPUTED_VALUE"""),"cpdiveteamrep@gmail.com")</f>
        <v>cpdiveteamrep@gmail.com</v>
      </c>
      <c r="J8" s="191" t="str">
        <f ca="1">IFERROR(__xludf.DUMMYFUNCTION("""COMPUTED_VALUE"""),"Melissa Milhocko")</f>
        <v>Melissa Milhocko</v>
      </c>
      <c r="K8" s="190"/>
      <c r="L8" s="191" t="str">
        <f ca="1">IFERROR(__xludf.DUMMYFUNCTION("""COMPUTED_VALUE"""),"Mdkuo@yahoo.com")</f>
        <v>Mdkuo@yahoo.com</v>
      </c>
      <c r="M8" s="191"/>
      <c r="N8" s="190"/>
      <c r="O8" s="142"/>
    </row>
    <row r="9" spans="1:29" ht="15.75" customHeight="1">
      <c r="A9" s="123">
        <f ca="1">IFERROR(__xludf.DUMMYFUNCTION("""COMPUTED_VALUE"""),8)</f>
        <v>8</v>
      </c>
      <c r="B9" s="90" t="str">
        <f ca="1">IFERROR(__xludf.DUMMYFUNCTION("""COMPUTED_VALUE"""),"CSC")</f>
        <v>CSC</v>
      </c>
      <c r="C9" s="141" t="str">
        <f ca="1">IFERROR(__xludf.DUMMYFUNCTION("""COMPUTED_VALUE"""),"CSC-Commonwealth Swim Club")</f>
        <v>CSC-Commonwealth Swim Club</v>
      </c>
      <c r="D9" s="141" t="str">
        <f ca="1">IFERROR(__xludf.DUMMYFUNCTION("""COMPUTED_VALUE"""),"Commonwealth Swim Club")</f>
        <v>Commonwealth Swim Club</v>
      </c>
      <c r="E9" s="190" t="str">
        <f ca="1">IFERROR(__xludf.DUMMYFUNCTION("""COMPUTED_VALUE"""),"Commonwealth")</f>
        <v>Commonwealth</v>
      </c>
      <c r="F9" s="142" t="str">
        <f ca="1">IFERROR(__xludf.DUMMYFUNCTION("""COMPUTED_VALUE"""),"CSC-Commonwealth Swim Club")</f>
        <v>CSC-Commonwealth Swim Club</v>
      </c>
      <c r="G9" s="190" t="str">
        <f ca="1">IFERROR(__xludf.DUMMYFUNCTION("""COMPUTED_VALUE"""),"Adrienne Baldree")</f>
        <v>Adrienne Baldree</v>
      </c>
      <c r="H9" s="190"/>
      <c r="I9" s="190" t="str">
        <f ca="1">IFERROR(__xludf.DUMMYFUNCTION("""COMPUTED_VALUE"""),"Adrienne.Baldree@gmail.com")</f>
        <v>Adrienne.Baldree@gmail.com</v>
      </c>
      <c r="J9" s="191" t="str">
        <f ca="1">IFERROR(__xludf.DUMMYFUNCTION("""COMPUTED_VALUE"""),"Jessica")</f>
        <v>Jessica</v>
      </c>
      <c r="K9" s="190" t="str">
        <f ca="1">IFERROR(__xludf.DUMMYFUNCTION("""COMPUTED_VALUE"""),"Flynn")</f>
        <v>Flynn</v>
      </c>
      <c r="L9" s="191" t="str">
        <f ca="1">IFERROR(__xludf.DUMMYFUNCTION("""COMPUTED_VALUE"""),"jbflinn79@gmail.com")</f>
        <v>jbflinn79@gmail.com</v>
      </c>
      <c r="M9" s="191"/>
      <c r="N9" s="190"/>
      <c r="O9" s="142"/>
    </row>
    <row r="10" spans="1:29" ht="15.75" customHeight="1">
      <c r="A10" s="123">
        <f ca="1">IFERROR(__xludf.DUMMYFUNCTION("""COMPUTED_VALUE"""),4)</f>
        <v>4</v>
      </c>
      <c r="B10" s="90" t="str">
        <f ca="1">IFERROR(__xludf.DUMMYFUNCTION("""COMPUTED_VALUE"""),"DH")</f>
        <v>DH</v>
      </c>
      <c r="C10" s="141" t="str">
        <f ca="1">IFERROR(__xludf.DUMMYFUNCTION("""COMPUTED_VALUE"""),"DH-Dominion Hills")</f>
        <v>DH-Dominion Hills</v>
      </c>
      <c r="D10" s="141" t="str">
        <f ca="1">IFERROR(__xludf.DUMMYFUNCTION("""COMPUTED_VALUE"""),"Dominion Hills")</f>
        <v>Dominion Hills</v>
      </c>
      <c r="E10" s="190" t="str">
        <f ca="1">IFERROR(__xludf.DUMMYFUNCTION("""COMPUTED_VALUE"""),"Dominion Hills")</f>
        <v>Dominion Hills</v>
      </c>
      <c r="F10" s="142" t="str">
        <f ca="1">IFERROR(__xludf.DUMMYFUNCTION("""COMPUTED_VALUE"""),"DH-Dominion Hills")</f>
        <v>DH-Dominion Hills</v>
      </c>
      <c r="G10" s="190" t="str">
        <f ca="1">IFERROR(__xludf.DUMMYFUNCTION("""COMPUTED_VALUE"""),"Angela DiBenigno")</f>
        <v>Angela DiBenigno</v>
      </c>
      <c r="H10" s="190" t="str">
        <f ca="1">IFERROR(__xludf.DUMMYFUNCTION("""COMPUTED_VALUE"""),"703-307-4529")</f>
        <v>703-307-4529</v>
      </c>
      <c r="I10" s="190" t="str">
        <f ca="1">IFERROR(__xludf.DUMMYFUNCTION("""COMPUTED_VALUE"""),"tadb1@verizon.net")</f>
        <v>tadb1@verizon.net</v>
      </c>
      <c r="J10" s="191" t="str">
        <f ca="1">IFERROR(__xludf.DUMMYFUNCTION("""COMPUTED_VALUE"""),"Thomas Joyce")</f>
        <v>Thomas Joyce</v>
      </c>
      <c r="K10" s="190" t="str">
        <f ca="1">IFERROR(__xludf.DUMMYFUNCTION("""COMPUTED_VALUE"""),"703-622-8452")</f>
        <v>703-622-8452</v>
      </c>
      <c r="L10" s="191" t="str">
        <f ca="1">IFERROR(__xludf.DUMMYFUNCTION("""COMPUTED_VALUE"""),"tjoyce@outlook.com")</f>
        <v>tjoyce@outlook.com</v>
      </c>
      <c r="M10" s="191"/>
      <c r="N10" s="190"/>
      <c r="O10" s="142"/>
    </row>
    <row r="11" spans="1:29" ht="15.75" customHeight="1">
      <c r="A11" s="123">
        <f ca="1">IFERROR(__xludf.DUMMYFUNCTION("""COMPUTED_VALUE"""),1)</f>
        <v>1</v>
      </c>
      <c r="B11" s="90" t="str">
        <f ca="1">IFERROR(__xludf.DUMMYFUNCTION("""COMPUTED_VALUE"""),"DL")</f>
        <v>DL</v>
      </c>
      <c r="C11" s="141" t="str">
        <f ca="1">IFERROR(__xludf.DUMMYFUNCTION("""COMPUTED_VALUE"""),"DL-Dunn Loring")</f>
        <v>DL-Dunn Loring</v>
      </c>
      <c r="D11" s="141" t="str">
        <f ca="1">IFERROR(__xludf.DUMMYFUNCTION("""COMPUTED_VALUE"""),"Dunn Loring")</f>
        <v>Dunn Loring</v>
      </c>
      <c r="E11" s="190" t="str">
        <f ca="1">IFERROR(__xludf.DUMMYFUNCTION("""COMPUTED_VALUE"""),"Dunn Loring")</f>
        <v>Dunn Loring</v>
      </c>
      <c r="F11" s="142" t="str">
        <f ca="1">IFERROR(__xludf.DUMMYFUNCTION("""COMPUTED_VALUE"""),"DL-Dunn Loring")</f>
        <v>DL-Dunn Loring</v>
      </c>
      <c r="G11" s="190" t="str">
        <f ca="1">IFERROR(__xludf.DUMMYFUNCTION("""COMPUTED_VALUE"""),"Cindy Hatchl")</f>
        <v>Cindy Hatchl</v>
      </c>
      <c r="H11" s="190"/>
      <c r="I11" s="190" t="str">
        <f ca="1">IFERROR(__xludf.DUMMYFUNCTION("""COMPUTED_VALUE"""),"Cindy.hatchl@gmail.com")</f>
        <v>Cindy.hatchl@gmail.com</v>
      </c>
      <c r="J11" s="190" t="str">
        <f ca="1">IFERROR(__xludf.DUMMYFUNCTION("""COMPUTED_VALUE"""),"")</f>
        <v/>
      </c>
      <c r="K11" s="190" t="str">
        <f ca="1">IFERROR(__xludf.DUMMYFUNCTION("""COMPUTED_VALUE"""),"")</f>
        <v/>
      </c>
      <c r="L11" s="191" t="str">
        <f ca="1">IFERROR(__xludf.DUMMYFUNCTION("""COMPUTED_VALUE"""),"")</f>
        <v/>
      </c>
      <c r="M11" s="191" t="str">
        <f ca="1">IFERROR(__xludf.DUMMYFUNCTION("""COMPUTED_VALUE"""),"Sonya Marsden")</f>
        <v>Sonya Marsden</v>
      </c>
      <c r="N11" s="190" t="str">
        <f ca="1">IFERROR(__xludf.DUMMYFUNCTION("""COMPUTED_VALUE"""),"703-919-3616")</f>
        <v>703-919-3616</v>
      </c>
      <c r="O11" s="142" t="str">
        <f ca="1">IFERROR(__xludf.DUMMYFUNCTION("""COMPUTED_VALUE"""),"marsdengirls@gmail.com")</f>
        <v>marsdengirls@gmail.com</v>
      </c>
    </row>
    <row r="12" spans="1:29" ht="15.75" customHeight="1">
      <c r="A12" s="123">
        <f ca="1">IFERROR(__xludf.DUMMYFUNCTION("""COMPUTED_VALUE"""),3)</f>
        <v>3</v>
      </c>
      <c r="B12" s="90" t="str">
        <f ca="1">IFERROR(__xludf.DUMMYFUNCTION("""COMPUTED_VALUE"""),"DR")</f>
        <v>DR</v>
      </c>
      <c r="C12" s="141" t="str">
        <f ca="1">IFERROR(__xludf.DUMMYFUNCTION("""COMPUTED_VALUE"""),"DR-Donaldson Run")</f>
        <v>DR-Donaldson Run</v>
      </c>
      <c r="D12" s="141" t="str">
        <f ca="1">IFERROR(__xludf.DUMMYFUNCTION("""COMPUTED_VALUE"""),"Donaldson Run")</f>
        <v>Donaldson Run</v>
      </c>
      <c r="E12" s="190" t="str">
        <f ca="1">IFERROR(__xludf.DUMMYFUNCTION("""COMPUTED_VALUE"""),"Donaldson Run")</f>
        <v>Donaldson Run</v>
      </c>
      <c r="F12" s="142" t="str">
        <f ca="1">IFERROR(__xludf.DUMMYFUNCTION("""COMPUTED_VALUE"""),"DR-Donaldson Run")</f>
        <v>DR-Donaldson Run</v>
      </c>
      <c r="G12" s="190" t="str">
        <f ca="1">IFERROR(__xludf.DUMMYFUNCTION("""COMPUTED_VALUE"""),"Jennifer Mulchandani")</f>
        <v>Jennifer Mulchandani</v>
      </c>
      <c r="H12" s="190" t="str">
        <f ca="1">IFERROR(__xludf.DUMMYFUNCTION("""COMPUTED_VALUE"""),"703-304-0465")</f>
        <v>703-304-0465</v>
      </c>
      <c r="I12" s="190" t="str">
        <f ca="1">IFERROR(__xludf.DUMMYFUNCTION("""COMPUTED_VALUE"""),"jennifer.mulchandani@gmail.com")</f>
        <v>jennifer.mulchandani@gmail.com</v>
      </c>
      <c r="J12" s="190" t="str">
        <f ca="1">IFERROR(__xludf.DUMMYFUNCTION("""COMPUTED_VALUE"""),"Lesley Reed")</f>
        <v>Lesley Reed</v>
      </c>
      <c r="K12" s="190"/>
      <c r="L12" s="191" t="str">
        <f ca="1">IFERROR(__xludf.DUMMYFUNCTION("""COMPUTED_VALUE"""),"lesleym10@yahoo.com")</f>
        <v>lesleym10@yahoo.com</v>
      </c>
      <c r="M12" s="191"/>
      <c r="N12" s="190"/>
      <c r="O12" s="142"/>
    </row>
    <row r="13" spans="1:29" ht="15.75" customHeight="1">
      <c r="A13" s="123">
        <f ca="1">IFERROR(__xludf.DUMMYFUNCTION("""COMPUTED_VALUE"""),2)</f>
        <v>2</v>
      </c>
      <c r="B13" s="90" t="str">
        <f ca="1">IFERROR(__xludf.DUMMYFUNCTION("""COMPUTED_VALUE"""),"F")</f>
        <v>F</v>
      </c>
      <c r="C13" s="141" t="str">
        <f ca="1">IFERROR(__xludf.DUMMYFUNCTION("""COMPUTED_VALUE"""),"F-Fairfax")</f>
        <v>F-Fairfax</v>
      </c>
      <c r="D13" s="141" t="str">
        <f ca="1">IFERROR(__xludf.DUMMYFUNCTION("""COMPUTED_VALUE"""),"Fairfax")</f>
        <v>Fairfax</v>
      </c>
      <c r="E13" s="190" t="str">
        <f ca="1">IFERROR(__xludf.DUMMYFUNCTION("""COMPUTED_VALUE"""),"Fairfax")</f>
        <v>Fairfax</v>
      </c>
      <c r="F13" s="142" t="str">
        <f ca="1">IFERROR(__xludf.DUMMYFUNCTION("""COMPUTED_VALUE"""),"F-Fairfax")</f>
        <v>F-Fairfax</v>
      </c>
      <c r="G13" s="190" t="str">
        <f ca="1">IFERROR(__xludf.DUMMYFUNCTION("""COMPUTED_VALUE"""),"Matt Rodjom")</f>
        <v>Matt Rodjom</v>
      </c>
      <c r="H13" s="190" t="str">
        <f ca="1">IFERROR(__xludf.DUMMYFUNCTION("""COMPUTED_VALUE"""),"412-849-0554")</f>
        <v>412-849-0554</v>
      </c>
      <c r="I13" s="190" t="str">
        <f ca="1">IFERROR(__xludf.DUMMYFUNCTION("""COMPUTED_VALUE"""),"mrodjom@yahoo.com")</f>
        <v>mrodjom@yahoo.com</v>
      </c>
      <c r="J13" s="190" t="str">
        <f ca="1">IFERROR(__xludf.DUMMYFUNCTION("""COMPUTED_VALUE"""),"")</f>
        <v/>
      </c>
      <c r="K13" s="190" t="str">
        <f ca="1">IFERROR(__xludf.DUMMYFUNCTION("""COMPUTED_VALUE"""),"")</f>
        <v/>
      </c>
      <c r="L13" s="191" t="str">
        <f ca="1">IFERROR(__xludf.DUMMYFUNCTION("""COMPUTED_VALUE"""),"")</f>
        <v/>
      </c>
      <c r="M13" s="191" t="str">
        <f ca="1">IFERROR(__xludf.DUMMYFUNCTION("""COMPUTED_VALUE"""),"Mary Stinnett")</f>
        <v>Mary Stinnett</v>
      </c>
      <c r="N13" s="190" t="str">
        <f ca="1">IFERROR(__xludf.DUMMYFUNCTION("""COMPUTED_VALUE"""),"703-472-4491")</f>
        <v>703-472-4491</v>
      </c>
      <c r="O13" s="142" t="str">
        <f ca="1">IFERROR(__xludf.DUMMYFUNCTION("""COMPUTED_VALUE"""),"marysstinnett@gmail.com")</f>
        <v>marysstinnett@gmail.com</v>
      </c>
    </row>
    <row r="14" spans="1:29" ht="15.75" customHeight="1">
      <c r="A14" s="123">
        <f ca="1">IFERROR(__xludf.DUMMYFUNCTION("""COMPUTED_VALUE"""),6)</f>
        <v>6</v>
      </c>
      <c r="B14" s="90" t="str">
        <f ca="1">IFERROR(__xludf.DUMMYFUNCTION("""COMPUTED_VALUE"""),"FS")</f>
        <v>FS</v>
      </c>
      <c r="C14" s="141" t="str">
        <f ca="1">IFERROR(__xludf.DUMMYFUNCTION("""COMPUTED_VALUE"""),"FS-Fairfax Station")</f>
        <v>FS-Fairfax Station</v>
      </c>
      <c r="D14" s="141" t="str">
        <f ca="1">IFERROR(__xludf.DUMMYFUNCTION("""COMPUTED_VALUE"""),"Fairfax Station")</f>
        <v>Fairfax Station</v>
      </c>
      <c r="E14" s="190" t="str">
        <f ca="1">IFERROR(__xludf.DUMMYFUNCTION("""COMPUTED_VALUE"""),"Fairfax Station")</f>
        <v>Fairfax Station</v>
      </c>
      <c r="F14" s="142" t="str">
        <f ca="1">IFERROR(__xludf.DUMMYFUNCTION("""COMPUTED_VALUE"""),"FS-Fairfax Station")</f>
        <v>FS-Fairfax Station</v>
      </c>
      <c r="G14" s="190" t="str">
        <f ca="1">IFERROR(__xludf.DUMMYFUNCTION("""COMPUTED_VALUE"""),"Paige Schuppin")</f>
        <v>Paige Schuppin</v>
      </c>
      <c r="H14" s="190" t="str">
        <f ca="1">IFERROR(__xludf.DUMMYFUNCTION("""COMPUTED_VALUE"""),"703-622-0243")</f>
        <v>703-622-0243</v>
      </c>
      <c r="I14" s="190" t="str">
        <f ca="1">IFERROR(__xludf.DUMMYFUNCTION("""COMPUTED_VALUE"""),"paige22554@gmail.com")</f>
        <v>paige22554@gmail.com</v>
      </c>
      <c r="J14" s="190" t="str">
        <f ca="1">IFERROR(__xludf.DUMMYFUNCTION("""COMPUTED_VALUE"""),"Leann Parente")</f>
        <v>Leann Parente</v>
      </c>
      <c r="K14" s="190" t="str">
        <f ca="1">IFERROR(__xludf.DUMMYFUNCTION("""COMPUTED_VALUE"""),"908-419-7383")</f>
        <v>908-419-7383</v>
      </c>
      <c r="L14" s="191" t="str">
        <f ca="1">IFERROR(__xludf.DUMMYFUNCTION("""COMPUTED_VALUE"""),"leannparente@gmail.com")</f>
        <v>leannparente@gmail.com</v>
      </c>
      <c r="M14" s="191"/>
      <c r="N14" s="190"/>
      <c r="O14" s="142"/>
    </row>
    <row r="15" spans="1:29" ht="15.75" customHeight="1">
      <c r="A15" s="123">
        <f ca="1">IFERROR(__xludf.DUMMYFUNCTION("""COMPUTED_VALUE"""),6)</f>
        <v>6</v>
      </c>
      <c r="B15" s="90" t="str">
        <f ca="1">IFERROR(__xludf.DUMMYFUNCTION("""COMPUTED_VALUE"""),"G")</f>
        <v>G</v>
      </c>
      <c r="C15" s="141" t="str">
        <f ca="1">IFERROR(__xludf.DUMMYFUNCTION("""COMPUTED_VALUE"""),"G-Greenbriar")</f>
        <v>G-Greenbriar</v>
      </c>
      <c r="D15" s="141" t="str">
        <f ca="1">IFERROR(__xludf.DUMMYFUNCTION("""COMPUTED_VALUE"""),"Greenbriar")</f>
        <v>Greenbriar</v>
      </c>
      <c r="E15" s="190" t="str">
        <f ca="1">IFERROR(__xludf.DUMMYFUNCTION("""COMPUTED_VALUE"""),"Greenbriar")</f>
        <v>Greenbriar</v>
      </c>
      <c r="F15" s="142" t="str">
        <f ca="1">IFERROR(__xludf.DUMMYFUNCTION("""COMPUTED_VALUE"""),"G-Greenbriar")</f>
        <v>G-Greenbriar</v>
      </c>
      <c r="G15" s="190" t="str">
        <f ca="1">IFERROR(__xludf.DUMMYFUNCTION("""COMPUTED_VALUE"""),"Joel Waterfield")</f>
        <v>Joel Waterfield</v>
      </c>
      <c r="H15" s="190"/>
      <c r="I15" s="190" t="str">
        <f ca="1">IFERROR(__xludf.DUMMYFUNCTION("""COMPUTED_VALUE"""),"waterfieldfamily@verizon.net;h2odirt2@gmail.com")</f>
        <v>waterfieldfamily@verizon.net;h2odirt2@gmail.com</v>
      </c>
      <c r="J15" s="190" t="str">
        <f ca="1">IFERROR(__xludf.DUMMYFUNCTION("""COMPUTED_VALUE"""),"Dawn Bray")</f>
        <v>Dawn Bray</v>
      </c>
      <c r="K15" s="190" t="str">
        <f ca="1">IFERROR(__xludf.DUMMYFUNCTION("""COMPUTED_VALUE"""),"703-589-7010")</f>
        <v>703-589-7010</v>
      </c>
      <c r="L15" s="191" t="str">
        <f ca="1">IFERROR(__xludf.DUMMYFUNCTION("""COMPUTED_VALUE"""),"rdbray4@verizon.net")</f>
        <v>rdbray4@verizon.net</v>
      </c>
      <c r="M15" s="191"/>
      <c r="N15" s="190"/>
      <c r="O15" s="142"/>
    </row>
    <row r="16" spans="1:29" ht="15.75" customHeight="1">
      <c r="A16" s="123">
        <f ca="1">IFERROR(__xludf.DUMMYFUNCTION("""COMPUTED_VALUE"""),2)</f>
        <v>2</v>
      </c>
      <c r="B16" s="90" t="str">
        <f ca="1">IFERROR(__xludf.DUMMYFUNCTION("""COMPUTED_VALUE"""),"GF")</f>
        <v>GF</v>
      </c>
      <c r="C16" s="141" t="str">
        <f ca="1">IFERROR(__xludf.DUMMYFUNCTION("""COMPUTED_VALUE"""),"GF-Great Falls")</f>
        <v>GF-Great Falls</v>
      </c>
      <c r="D16" s="141" t="str">
        <f ca="1">IFERROR(__xludf.DUMMYFUNCTION("""COMPUTED_VALUE"""),"Great Falls")</f>
        <v>Great Falls</v>
      </c>
      <c r="E16" s="190" t="str">
        <f ca="1">IFERROR(__xludf.DUMMYFUNCTION("""COMPUTED_VALUE"""),"Great Falls")</f>
        <v>Great Falls</v>
      </c>
      <c r="F16" s="142" t="str">
        <f ca="1">IFERROR(__xludf.DUMMYFUNCTION("""COMPUTED_VALUE"""),"GF-Great Falls")</f>
        <v>GF-Great Falls</v>
      </c>
      <c r="G16" s="190" t="str">
        <f ca="1">IFERROR(__xludf.DUMMYFUNCTION("""COMPUTED_VALUE"""),"Amy Vroom")</f>
        <v>Amy Vroom</v>
      </c>
      <c r="H16" s="190" t="str">
        <f ca="1">IFERROR(__xludf.DUMMYFUNCTION("""COMPUTED_VALUE"""),"703-864-0712")</f>
        <v>703-864-0712</v>
      </c>
      <c r="I16" s="190" t="str">
        <f ca="1">IFERROR(__xludf.DUMMYFUNCTION("""COMPUTED_VALUE"""),"amyvroom@me.com")</f>
        <v>amyvroom@me.com</v>
      </c>
      <c r="J16" s="190" t="str">
        <f ca="1">IFERROR(__xludf.DUMMYFUNCTION("""COMPUTED_VALUE"""),"Lisa Vasiliadis")</f>
        <v>Lisa Vasiliadis</v>
      </c>
      <c r="K16" s="190" t="str">
        <f ca="1">IFERROR(__xludf.DUMMYFUNCTION("""COMPUTED_VALUE"""),"703-915-8690")</f>
        <v>703-915-8690</v>
      </c>
      <c r="L16" s="191" t="str">
        <f ca="1">IFERROR(__xludf.DUMMYFUNCTION("""COMPUTED_VALUE"""),"lisanv@hotmail.com")</f>
        <v>lisanv@hotmail.com</v>
      </c>
      <c r="M16" s="191" t="str">
        <f ca="1">IFERROR(__xludf.DUMMYFUNCTION("""COMPUTED_VALUE"""),"Lisa Vasiliadis")</f>
        <v>Lisa Vasiliadis</v>
      </c>
      <c r="N16" s="190"/>
      <c r="O16" s="142" t="str">
        <f ca="1">IFERROR(__xludf.DUMMYFUNCTION("""COMPUTED_VALUE"""),"lnvasiliadis@gmail.com")</f>
        <v>lnvasiliadis@gmail.com</v>
      </c>
    </row>
    <row r="17" spans="1:15" ht="15.75" customHeight="1">
      <c r="A17" s="123">
        <f ca="1">IFERROR(__xludf.DUMMYFUNCTION("""COMPUTED_VALUE"""),4)</f>
        <v>4</v>
      </c>
      <c r="B17" s="90" t="str">
        <f ca="1">IFERROR(__xludf.DUMMYFUNCTION("""COMPUTED_VALUE"""),"HF")</f>
        <v>HF</v>
      </c>
      <c r="C17" s="141" t="str">
        <f ca="1">IFERROR(__xludf.DUMMYFUNCTION("""COMPUTED_VALUE"""),"HF-Hayfield Farm")</f>
        <v>HF-Hayfield Farm</v>
      </c>
      <c r="D17" s="141" t="str">
        <f ca="1">IFERROR(__xludf.DUMMYFUNCTION("""COMPUTED_VALUE"""),"Hayfield Farm")</f>
        <v>Hayfield Farm</v>
      </c>
      <c r="E17" s="190" t="str">
        <f ca="1">IFERROR(__xludf.DUMMYFUNCTION("""COMPUTED_VALUE"""),"Hayfield Farm")</f>
        <v>Hayfield Farm</v>
      </c>
      <c r="F17" s="142" t="str">
        <f ca="1">IFERROR(__xludf.DUMMYFUNCTION("""COMPUTED_VALUE"""),"HF-Hayfield Farm")</f>
        <v>HF-Hayfield Farm</v>
      </c>
      <c r="G17" s="190" t="str">
        <f ca="1">IFERROR(__xludf.DUMMYFUNCTION("""COMPUTED_VALUE"""),"Mary Mohney")</f>
        <v>Mary Mohney</v>
      </c>
      <c r="H17" s="190" t="str">
        <f ca="1">IFERROR(__xludf.DUMMYFUNCTION("""COMPUTED_VALUE"""),"703-971-3757")</f>
        <v>703-971-3757</v>
      </c>
      <c r="I17" s="190" t="str">
        <f ca="1">IFERROR(__xludf.DUMMYFUNCTION("""COMPUTED_VALUE"""),"mmohney@gmail.com")</f>
        <v>mmohney@gmail.com</v>
      </c>
      <c r="J17" s="190" t="str">
        <f ca="1">IFERROR(__xludf.DUMMYFUNCTION("""COMPUTED_VALUE"""),"")</f>
        <v/>
      </c>
      <c r="K17" s="190" t="str">
        <f ca="1">IFERROR(__xludf.DUMMYFUNCTION("""COMPUTED_VALUE"""),"")</f>
        <v/>
      </c>
      <c r="L17" s="191" t="str">
        <f ca="1">IFERROR(__xludf.DUMMYFUNCTION("""COMPUTED_VALUE"""),"")</f>
        <v/>
      </c>
      <c r="M17" s="191"/>
      <c r="N17" s="190"/>
      <c r="O17" s="142"/>
    </row>
    <row r="18" spans="1:15" ht="15.75" customHeight="1">
      <c r="A18" s="123">
        <f ca="1">IFERROR(__xludf.DUMMYFUNCTION("""COMPUTED_VALUE"""),6)</f>
        <v>6</v>
      </c>
      <c r="B18" s="90" t="str">
        <f ca="1">IFERROR(__xludf.DUMMYFUNCTION("""COMPUTED_VALUE"""),"HP")</f>
        <v>HP</v>
      </c>
      <c r="C18" s="141" t="str">
        <f ca="1">IFERROR(__xludf.DUMMYFUNCTION("""COMPUTED_VALUE"""),"HP-Highland Park")</f>
        <v>HP-Highland Park</v>
      </c>
      <c r="D18" s="141" t="str">
        <f ca="1">IFERROR(__xludf.DUMMYFUNCTION("""COMPUTED_VALUE"""),"Highland Park")</f>
        <v>Highland Park</v>
      </c>
      <c r="E18" s="190" t="str">
        <f ca="1">IFERROR(__xludf.DUMMYFUNCTION("""COMPUTED_VALUE"""),"Highland Park")</f>
        <v>Highland Park</v>
      </c>
      <c r="F18" s="142" t="str">
        <f ca="1">IFERROR(__xludf.DUMMYFUNCTION("""COMPUTED_VALUE"""),"HP-Highland Park")</f>
        <v>HP-Highland Park</v>
      </c>
      <c r="G18" s="190" t="str">
        <f ca="1">IFERROR(__xludf.DUMMYFUNCTION("""COMPUTED_VALUE"""),"Lynette Bertman")</f>
        <v>Lynette Bertman</v>
      </c>
      <c r="H18" s="190" t="str">
        <f ca="1">IFERROR(__xludf.DUMMYFUNCTION("""COMPUTED_VALUE"""),"703-944-6855")</f>
        <v>703-944-6855</v>
      </c>
      <c r="I18" s="190" t="str">
        <f ca="1">IFERROR(__xludf.DUMMYFUNCTION("""COMPUTED_VALUE"""),"mlbertman@msn.com")</f>
        <v>mlbertman@msn.com</v>
      </c>
      <c r="J18" s="190" t="str">
        <f ca="1">IFERROR(__xludf.DUMMYFUNCTION("""COMPUTED_VALUE"""),"")</f>
        <v/>
      </c>
      <c r="K18" s="190" t="str">
        <f ca="1">IFERROR(__xludf.DUMMYFUNCTION("""COMPUTED_VALUE"""),"")</f>
        <v/>
      </c>
      <c r="L18" s="191" t="str">
        <f ca="1">IFERROR(__xludf.DUMMYFUNCTION("""COMPUTED_VALUE"""),"")</f>
        <v/>
      </c>
      <c r="M18" s="191"/>
      <c r="N18" s="190"/>
      <c r="O18" s="142"/>
    </row>
    <row r="19" spans="1:15" ht="15.75" customHeight="1">
      <c r="A19" s="123">
        <f ca="1">IFERROR(__xludf.DUMMYFUNCTION("""COMPUTED_VALUE"""),4)</f>
        <v>4</v>
      </c>
      <c r="B19" s="90" t="str">
        <f ca="1">IFERROR(__xludf.DUMMYFUNCTION("""COMPUTED_VALUE"""),"HS")</f>
        <v>HS</v>
      </c>
      <c r="C19" s="141" t="str">
        <f ca="1">IFERROR(__xludf.DUMMYFUNCTION("""COMPUTED_VALUE"""),"HS-Highlands Swim")</f>
        <v>HS-Highlands Swim</v>
      </c>
      <c r="D19" s="141" t="str">
        <f ca="1">IFERROR(__xludf.DUMMYFUNCTION("""COMPUTED_VALUE"""),"Highlands Swim")</f>
        <v>Highlands Swim</v>
      </c>
      <c r="E19" s="190" t="str">
        <f ca="1">IFERROR(__xludf.DUMMYFUNCTION("""COMPUTED_VALUE"""),"Highlands Swim")</f>
        <v>Highlands Swim</v>
      </c>
      <c r="F19" s="142" t="str">
        <f ca="1">IFERROR(__xludf.DUMMYFUNCTION("""COMPUTED_VALUE"""),"HS-Highlands Swim")</f>
        <v>HS-Highlands Swim</v>
      </c>
      <c r="G19" s="190" t="str">
        <f ca="1">IFERROR(__xludf.DUMMYFUNCTION("""COMPUTED_VALUE"""),"Neil Wills")</f>
        <v>Neil Wills</v>
      </c>
      <c r="H19" s="190" t="str">
        <f ca="1">IFERROR(__xludf.DUMMYFUNCTION("""COMPUTED_VALUE"""),"202-415-2015")</f>
        <v>202-415-2015</v>
      </c>
      <c r="I19" s="190" t="str">
        <f ca="1">IFERROR(__xludf.DUMMYFUNCTION("""COMPUTED_VALUE"""),"highlandsdive@gmail.com")</f>
        <v>highlandsdive@gmail.com</v>
      </c>
      <c r="J19" s="190" t="str">
        <f ca="1">IFERROR(__xludf.DUMMYFUNCTION("""COMPUTED_VALUE"""),"")</f>
        <v/>
      </c>
      <c r="K19" s="190" t="str">
        <f ca="1">IFERROR(__xludf.DUMMYFUNCTION("""COMPUTED_VALUE"""),"")</f>
        <v/>
      </c>
      <c r="L19" s="191" t="str">
        <f ca="1">IFERROR(__xludf.DUMMYFUNCTION("""COMPUTED_VALUE"""),"")</f>
        <v/>
      </c>
      <c r="M19" s="191"/>
      <c r="N19" s="190"/>
      <c r="O19" s="142"/>
    </row>
    <row r="20" spans="1:15" ht="15.75" customHeight="1">
      <c r="A20" s="123">
        <f ca="1">IFERROR(__xludf.DUMMYFUNCTION("""COMPUTED_VALUE"""),7)</f>
        <v>7</v>
      </c>
      <c r="B20" s="90" t="str">
        <f ca="1">IFERROR(__xludf.DUMMYFUNCTION("""COMPUTED_VALUE"""),"HSC")</f>
        <v>HSC</v>
      </c>
      <c r="C20" s="141" t="str">
        <f ca="1">IFERROR(__xludf.DUMMYFUNCTION("""COMPUTED_VALUE"""),"HSC-Hamlet Swim")</f>
        <v>HSC-Hamlet Swim</v>
      </c>
      <c r="D20" s="141" t="str">
        <f ca="1">IFERROR(__xludf.DUMMYFUNCTION("""COMPUTED_VALUE"""),"Hamlet Swim")</f>
        <v>Hamlet Swim</v>
      </c>
      <c r="E20" s="190" t="str">
        <f ca="1">IFERROR(__xludf.DUMMYFUNCTION("""COMPUTED_VALUE"""),"Hamlet")</f>
        <v>Hamlet</v>
      </c>
      <c r="F20" s="142" t="str">
        <f ca="1">IFERROR(__xludf.DUMMYFUNCTION("""COMPUTED_VALUE"""),"HSC-Hamlet Swim")</f>
        <v>HSC-Hamlet Swim</v>
      </c>
      <c r="G20" s="190" t="str">
        <f ca="1">IFERROR(__xludf.DUMMYFUNCTION("""COMPUTED_VALUE"""),"Tony Maull")</f>
        <v>Tony Maull</v>
      </c>
      <c r="H20" s="190"/>
      <c r="I20" s="190" t="str">
        <f ca="1">IFERROR(__xludf.DUMMYFUNCTION("""COMPUTED_VALUE"""),"hamletdiveteam@gmail.com")</f>
        <v>hamletdiveteam@gmail.com</v>
      </c>
      <c r="J20" s="190" t="str">
        <f ca="1">IFERROR(__xludf.DUMMYFUNCTION("""COMPUTED_VALUE"""),"")</f>
        <v/>
      </c>
      <c r="K20" s="190" t="str">
        <f ca="1">IFERROR(__xludf.DUMMYFUNCTION("""COMPUTED_VALUE"""),"")</f>
        <v/>
      </c>
      <c r="L20" s="191" t="str">
        <f ca="1">IFERROR(__xludf.DUMMYFUNCTION("""COMPUTED_VALUE"""),"")</f>
        <v/>
      </c>
      <c r="M20" s="191" t="str">
        <f ca="1">IFERROR(__xludf.DUMMYFUNCTION("""COMPUTED_VALUE"""),"Bill Hauda")</f>
        <v>Bill Hauda</v>
      </c>
      <c r="N20" s="190" t="str">
        <f ca="1">IFERROR(__xludf.DUMMYFUNCTION("""COMPUTED_VALUE"""),"703-967-6798")</f>
        <v>703-967-6798</v>
      </c>
      <c r="O20" s="142" t="str">
        <f ca="1">IFERROR(__xludf.DUMMYFUNCTION("""COMPUTED_VALUE"""),"Haudafamily6@gmail.com")</f>
        <v>Haudafamily6@gmail.com</v>
      </c>
    </row>
    <row r="21" spans="1:15" ht="15.75" customHeight="1">
      <c r="A21" s="123">
        <f ca="1">IFERROR(__xludf.DUMMYFUNCTION("""COMPUTED_VALUE"""),3)</f>
        <v>3</v>
      </c>
      <c r="B21" s="90" t="str">
        <f ca="1">IFERROR(__xludf.DUMMYFUNCTION("""COMPUTED_VALUE"""),"HV")</f>
        <v>HV</v>
      </c>
      <c r="C21" s="141" t="str">
        <f ca="1">IFERROR(__xludf.DUMMYFUNCTION("""COMPUTED_VALUE"""),"HV-Hunt Valley")</f>
        <v>HV-Hunt Valley</v>
      </c>
      <c r="D21" s="141" t="str">
        <f ca="1">IFERROR(__xludf.DUMMYFUNCTION("""COMPUTED_VALUE"""),"Hunt Valley")</f>
        <v>Hunt Valley</v>
      </c>
      <c r="E21" s="190" t="str">
        <f ca="1">IFERROR(__xludf.DUMMYFUNCTION("""COMPUTED_VALUE"""),"Hunt Valley")</f>
        <v>Hunt Valley</v>
      </c>
      <c r="F21" s="142" t="str">
        <f ca="1">IFERROR(__xludf.DUMMYFUNCTION("""COMPUTED_VALUE"""),"HV-Hunt Valley")</f>
        <v>HV-Hunt Valley</v>
      </c>
      <c r="G21" s="190" t="str">
        <f ca="1">IFERROR(__xludf.DUMMYFUNCTION("""COMPUTED_VALUE"""),"Judy Baltas")</f>
        <v>Judy Baltas</v>
      </c>
      <c r="H21" s="190"/>
      <c r="I21" s="190" t="str">
        <f ca="1">IFERROR(__xludf.DUMMYFUNCTION("""COMPUTED_VALUE"""),"judy.baltas@gmail.com")</f>
        <v>judy.baltas@gmail.com</v>
      </c>
      <c r="J21" s="190" t="str">
        <f ca="1">IFERROR(__xludf.DUMMYFUNCTION("""COMPUTED_VALUE"""),"Alicia Ogrodny")</f>
        <v>Alicia Ogrodny</v>
      </c>
      <c r="K21" s="190" t="str">
        <f ca="1">IFERROR(__xludf.DUMMYFUNCTION("""COMPUTED_VALUE"""),"571-234-9871")</f>
        <v>571-234-9871</v>
      </c>
      <c r="L21" s="191" t="str">
        <f ca="1">IFERROR(__xludf.DUMMYFUNCTION("""COMPUTED_VALUE"""),"aogrodnyit@gmail.com")</f>
        <v>aogrodnyit@gmail.com</v>
      </c>
      <c r="M21" s="191"/>
      <c r="N21" s="190"/>
      <c r="O21" s="142"/>
    </row>
    <row r="22" spans="1:15" ht="15.75" customHeight="1">
      <c r="A22" s="123">
        <f ca="1">IFERROR(__xludf.DUMMYFUNCTION("""COMPUTED_VALUE"""),8)</f>
        <v>8</v>
      </c>
      <c r="B22" s="90" t="str">
        <f ca="1">IFERROR(__xludf.DUMMYFUNCTION("""COMPUTED_VALUE"""),"IC")</f>
        <v>IC</v>
      </c>
      <c r="C22" s="141" t="str">
        <f ca="1">IFERROR(__xludf.DUMMYFUNCTION("""COMPUTED_VALUE"""),"IC-Ilda Community")</f>
        <v>IC-Ilda Community</v>
      </c>
      <c r="D22" s="141" t="str">
        <f ca="1">IFERROR(__xludf.DUMMYFUNCTION("""COMPUTED_VALUE"""),"Ilda Community")</f>
        <v>Ilda Community</v>
      </c>
      <c r="E22" s="191" t="str">
        <f ca="1">IFERROR(__xludf.DUMMYFUNCTION("""COMPUTED_VALUE"""),"Ilda Community")</f>
        <v>Ilda Community</v>
      </c>
      <c r="F22" s="142" t="str">
        <f ca="1">IFERROR(__xludf.DUMMYFUNCTION("""COMPUTED_VALUE"""),"IC-Ilda Community")</f>
        <v>IC-Ilda Community</v>
      </c>
      <c r="G22" s="190" t="str">
        <f ca="1">IFERROR(__xludf.DUMMYFUNCTION("""COMPUTED_VALUE"""),"Maureen Bush")</f>
        <v>Maureen Bush</v>
      </c>
      <c r="H22" s="190" t="str">
        <f ca="1">IFERROR(__xludf.DUMMYFUNCTION("""COMPUTED_VALUE"""),"703-346-1357")</f>
        <v>703-346-1357</v>
      </c>
      <c r="I22" s="190" t="str">
        <f ca="1">IFERROR(__xludf.DUMMYFUNCTION("""COMPUTED_VALUE"""),"maureenbushisnice@gmail.com")</f>
        <v>maureenbushisnice@gmail.com</v>
      </c>
      <c r="J22" s="190" t="str">
        <f ca="1">IFERROR(__xludf.DUMMYFUNCTION("""COMPUTED_VALUE"""),"Mandi thornton")</f>
        <v>Mandi thornton</v>
      </c>
      <c r="K22" s="190" t="str">
        <f ca="1">IFERROR(__xludf.DUMMYFUNCTION("""COMPUTED_VALUE"""),"")</f>
        <v/>
      </c>
      <c r="L22" s="191" t="str">
        <f ca="1">IFERROR(__xludf.DUMMYFUNCTION("""COMPUTED_VALUE"""),"thorntonmandiq@gmail.com")</f>
        <v>thorntonmandiq@gmail.com</v>
      </c>
      <c r="M22" s="191"/>
      <c r="N22" s="190"/>
      <c r="O22" s="142"/>
    </row>
    <row r="23" spans="1:15" ht="15.75" customHeight="1">
      <c r="A23" s="123">
        <f ca="1">IFERROR(__xludf.DUMMYFUNCTION("""COMPUTED_VALUE"""),2)</f>
        <v>2</v>
      </c>
      <c r="B23" s="90" t="str">
        <f ca="1">IFERROR(__xludf.DUMMYFUNCTION("""COMPUTED_VALUE"""),"KG")</f>
        <v>KG</v>
      </c>
      <c r="C23" s="141" t="str">
        <f ca="1">IFERROR(__xludf.DUMMYFUNCTION("""COMPUTED_VALUE"""),"KG-Kent Gardens")</f>
        <v>KG-Kent Gardens</v>
      </c>
      <c r="D23" s="141" t="str">
        <f ca="1">IFERROR(__xludf.DUMMYFUNCTION("""COMPUTED_VALUE"""),"Kent Gardens")</f>
        <v>Kent Gardens</v>
      </c>
      <c r="E23" s="190" t="str">
        <f ca="1">IFERROR(__xludf.DUMMYFUNCTION("""COMPUTED_VALUE"""),"Kent Gardens")</f>
        <v>Kent Gardens</v>
      </c>
      <c r="F23" s="142" t="str">
        <f ca="1">IFERROR(__xludf.DUMMYFUNCTION("""COMPUTED_VALUE"""),"KG-Kent Gardens")</f>
        <v>KG-Kent Gardens</v>
      </c>
      <c r="G23" s="190" t="str">
        <f ca="1">IFERROR(__xludf.DUMMYFUNCTION("""COMPUTED_VALUE"""),"Malia Asfour")</f>
        <v>Malia Asfour</v>
      </c>
      <c r="H23" s="190" t="str">
        <f ca="1">IFERROR(__xludf.DUMMYFUNCTION("""COMPUTED_VALUE"""),"703-623-0114")</f>
        <v>703-623-0114</v>
      </c>
      <c r="I23" s="190" t="str">
        <f ca="1">IFERROR(__xludf.DUMMYFUNCTION("""COMPUTED_VALUE"""),"Maliaa@aol.com")</f>
        <v>Maliaa@aol.com</v>
      </c>
      <c r="J23" s="190" t="str">
        <f ca="1">IFERROR(__xludf.DUMMYFUNCTION("""COMPUTED_VALUE"""),"Claudia Tielking")</f>
        <v>Claudia Tielking</v>
      </c>
      <c r="K23" s="190" t="str">
        <f ca="1">IFERROR(__xludf.DUMMYFUNCTION("""COMPUTED_VALUE"""),"703-819-1527")</f>
        <v>703-819-1527</v>
      </c>
      <c r="L23" s="191" t="str">
        <f ca="1">IFERROR(__xludf.DUMMYFUNCTION("""COMPUTED_VALUE"""),"dive@kgrc.org;comtnclimr@gmail.com ")</f>
        <v xml:space="preserve">dive@kgrc.org;comtnclimr@gmail.com </v>
      </c>
      <c r="M23" s="191" t="str">
        <f ca="1">IFERROR(__xludf.DUMMYFUNCTION("""COMPUTED_VALUE"""),"Lori Brown")</f>
        <v>Lori Brown</v>
      </c>
      <c r="N23" s="190"/>
      <c r="O23" s="142" t="str">
        <f ca="1">IFERROR(__xludf.DUMMYFUNCTION("""COMPUTED_VALUE"""),"lorihbrown@gmail.com;cabriojak@gmail.com")</f>
        <v>lorihbrown@gmail.com;cabriojak@gmail.com</v>
      </c>
    </row>
    <row r="24" spans="1:15" ht="15.75" customHeight="1">
      <c r="A24" s="123">
        <f ca="1">IFERROR(__xludf.DUMMYFUNCTION("""COMPUTED_VALUE"""),3)</f>
        <v>3</v>
      </c>
      <c r="B24" s="90" t="str">
        <f ca="1">IFERROR(__xludf.DUMMYFUNCTION("""COMPUTED_VALUE"""),"LG")</f>
        <v>LG</v>
      </c>
      <c r="C24" s="141" t="str">
        <f ca="1">IFERROR(__xludf.DUMMYFUNCTION("""COMPUTED_VALUE"""),"LG-Lee Graham")</f>
        <v>LG-Lee Graham</v>
      </c>
      <c r="D24" s="141" t="str">
        <f ca="1">IFERROR(__xludf.DUMMYFUNCTION("""COMPUTED_VALUE"""),"Lee Graham")</f>
        <v>Lee Graham</v>
      </c>
      <c r="E24" s="190" t="str">
        <f ca="1">IFERROR(__xludf.DUMMYFUNCTION("""COMPUTED_VALUE"""),"Lee Graham")</f>
        <v>Lee Graham</v>
      </c>
      <c r="F24" s="142" t="str">
        <f ca="1">IFERROR(__xludf.DUMMYFUNCTION("""COMPUTED_VALUE"""),"LG-Lee Graham")</f>
        <v>LG-Lee Graham</v>
      </c>
      <c r="G24" s="190" t="str">
        <f ca="1">IFERROR(__xludf.DUMMYFUNCTION("""COMPUTED_VALUE"""),"Alice Mar")</f>
        <v>Alice Mar</v>
      </c>
      <c r="H24" s="190" t="str">
        <f ca="1">IFERROR(__xludf.DUMMYFUNCTION("""COMPUTED_VALUE"""),"703-946-4281")</f>
        <v>703-946-4281</v>
      </c>
      <c r="I24" s="190" t="str">
        <f ca="1">IFERROR(__xludf.DUMMYFUNCTION("""COMPUTED_VALUE"""),"acjhs@juno.com")</f>
        <v>acjhs@juno.com</v>
      </c>
      <c r="J24" s="190" t="str">
        <f ca="1">IFERROR(__xludf.DUMMYFUNCTION("""COMPUTED_VALUE"""),"Camille McCarthy")</f>
        <v>Camille McCarthy</v>
      </c>
      <c r="K24" s="190"/>
      <c r="L24" s="191" t="str">
        <f ca="1">IFERROR(__xludf.DUMMYFUNCTION("""COMPUTED_VALUE"""),"camille_mccarthy@yahoo.ca")</f>
        <v>camille_mccarthy@yahoo.ca</v>
      </c>
      <c r="M24" s="191"/>
      <c r="N24" s="190"/>
      <c r="O24" s="142" t="str">
        <f ca="1">IFERROR(__xludf.DUMMYFUNCTION("""COMPUTED_VALUE"""),"lgdivedolphins@gmail.com")</f>
        <v>lgdivedolphins@gmail.com</v>
      </c>
    </row>
    <row r="25" spans="1:15" ht="15.75" customHeight="1">
      <c r="A25" s="123">
        <f ca="1">IFERROR(__xludf.DUMMYFUNCTION("""COMPUTED_VALUE"""),5)</f>
        <v>5</v>
      </c>
      <c r="B25" s="90" t="str">
        <f ca="1">IFERROR(__xludf.DUMMYFUNCTION("""COMPUTED_VALUE"""),"LV")</f>
        <v>LV</v>
      </c>
      <c r="C25" s="141" t="str">
        <f ca="1">IFERROR(__xludf.DUMMYFUNCTION("""COMPUTED_VALUE"""),"LV-Lakeview")</f>
        <v>LV-Lakeview</v>
      </c>
      <c r="D25" s="141" t="str">
        <f ca="1">IFERROR(__xludf.DUMMYFUNCTION("""COMPUTED_VALUE"""),"Lakeview")</f>
        <v>Lakeview</v>
      </c>
      <c r="E25" s="190" t="str">
        <f ca="1">IFERROR(__xludf.DUMMYFUNCTION("""COMPUTED_VALUE"""),"Lakeview")</f>
        <v>Lakeview</v>
      </c>
      <c r="F25" s="142" t="str">
        <f ca="1">IFERROR(__xludf.DUMMYFUNCTION("""COMPUTED_VALUE"""),"LV-Lakeview")</f>
        <v>LV-Lakeview</v>
      </c>
      <c r="G25" s="190" t="str">
        <f ca="1">IFERROR(__xludf.DUMMYFUNCTION("""COMPUTED_VALUE"""),"Elizabeth ""Biz"" Macaranas")</f>
        <v>Elizabeth "Biz" Macaranas</v>
      </c>
      <c r="H25" s="190" t="str">
        <f ca="1">IFERROR(__xludf.DUMMYFUNCTION("""COMPUTED_VALUE"""),"571-235-1755")</f>
        <v>571-235-1755</v>
      </c>
      <c r="I25" s="190" t="str">
        <f ca="1">IFERROR(__xludf.DUMMYFUNCTION("""COMPUTED_VALUE"""),"lakeview.diveteam@gmail.com")</f>
        <v>lakeview.diveteam@gmail.com</v>
      </c>
      <c r="J25" s="190" t="str">
        <f ca="1">IFERROR(__xludf.DUMMYFUNCTION("""COMPUTED_VALUE"""),"Vicky Palazzo")</f>
        <v>Vicky Palazzo</v>
      </c>
      <c r="K25" s="190" t="str">
        <f ca="1">IFERROR(__xludf.DUMMYFUNCTION("""COMPUTED_VALUE"""),"703-906-4846")</f>
        <v>703-906-4846</v>
      </c>
      <c r="L25" s="191" t="str">
        <f ca="1">IFERROR(__xludf.DUMMYFUNCTION("""COMPUTED_VALUE"""),"vicky.palazzo@gmail.com")</f>
        <v>vicky.palazzo@gmail.com</v>
      </c>
      <c r="M25" s="191" t="str">
        <f ca="1">IFERROR(__xludf.DUMMYFUNCTION("""COMPUTED_VALUE"""),"Susan Mitchell")</f>
        <v>Susan Mitchell</v>
      </c>
      <c r="N25" s="190"/>
      <c r="O25" s="142" t="str">
        <f ca="1">IFERROR(__xludf.DUMMYFUNCTION("""COMPUTED_VALUE"""),"ssmitchell@earthlink.net;susan.mitchell8894@gmail.com")</f>
        <v>ssmitchell@earthlink.net;susan.mitchell8894@gmail.com</v>
      </c>
    </row>
    <row r="26" spans="1:15" ht="15.75" customHeight="1">
      <c r="A26" s="123">
        <f ca="1">IFERROR(__xludf.DUMMYFUNCTION("""COMPUTED_VALUE"""),7)</f>
        <v>7</v>
      </c>
      <c r="B26" s="90" t="str">
        <f ca="1">IFERROR(__xludf.DUMMYFUNCTION("""COMPUTED_VALUE"""),"M")</f>
        <v>M</v>
      </c>
      <c r="C26" s="141" t="str">
        <f ca="1">IFERROR(__xludf.DUMMYFUNCTION("""COMPUTED_VALUE"""),"M-Mantua")</f>
        <v>M-Mantua</v>
      </c>
      <c r="D26" s="141" t="str">
        <f ca="1">IFERROR(__xludf.DUMMYFUNCTION("""COMPUTED_VALUE"""),"Mantua")</f>
        <v>Mantua</v>
      </c>
      <c r="E26" s="190" t="str">
        <f ca="1">IFERROR(__xludf.DUMMYFUNCTION("""COMPUTED_VALUE"""),"Mantua")</f>
        <v>Mantua</v>
      </c>
      <c r="F26" s="142" t="str">
        <f ca="1">IFERROR(__xludf.DUMMYFUNCTION("""COMPUTED_VALUE"""),"M-Mantua")</f>
        <v>M-Mantua</v>
      </c>
      <c r="G26" s="190" t="str">
        <f ca="1">IFERROR(__xludf.DUMMYFUNCTION("""COMPUTED_VALUE"""),"Laura Tetreault")</f>
        <v>Laura Tetreault</v>
      </c>
      <c r="H26" s="190" t="str">
        <f ca="1">IFERROR(__xludf.DUMMYFUNCTION("""COMPUTED_VALUE"""),"703-244-1780")</f>
        <v>703-244-1780</v>
      </c>
      <c r="I26" s="190" t="str">
        <f ca="1">IFERROR(__xludf.DUMMYFUNCTION("""COMPUTED_VALUE"""),"diveteam@mantuastc.org")</f>
        <v>diveteam@mantuastc.org</v>
      </c>
      <c r="J26" s="190" t="str">
        <f ca="1">IFERROR(__xludf.DUMMYFUNCTION("""COMPUTED_VALUE"""),"")</f>
        <v/>
      </c>
      <c r="K26" s="190" t="str">
        <f ca="1">IFERROR(__xludf.DUMMYFUNCTION("""COMPUTED_VALUE"""),"")</f>
        <v/>
      </c>
      <c r="L26" s="191" t="str">
        <f ca="1">IFERROR(__xludf.DUMMYFUNCTION("""COMPUTED_VALUE"""),"")</f>
        <v/>
      </c>
      <c r="M26" s="191"/>
      <c r="N26" s="190"/>
      <c r="O26" s="142"/>
    </row>
    <row r="27" spans="1:15" ht="15.75" customHeight="1">
      <c r="A27" s="123">
        <f ca="1">IFERROR(__xludf.DUMMYFUNCTION("""COMPUTED_VALUE"""),2)</f>
        <v>2</v>
      </c>
      <c r="B27" s="90" t="str">
        <f ca="1">IFERROR(__xludf.DUMMYFUNCTION("""COMPUTED_VALUE"""),"MHC")</f>
        <v>MHC</v>
      </c>
      <c r="C27" s="141" t="str">
        <f ca="1">IFERROR(__xludf.DUMMYFUNCTION("""COMPUTED_VALUE"""),"MHC-Mansion House")</f>
        <v>MHC-Mansion House</v>
      </c>
      <c r="D27" s="141" t="str">
        <f ca="1">IFERROR(__xludf.DUMMYFUNCTION("""COMPUTED_VALUE"""),"Mansion House")</f>
        <v>Mansion House</v>
      </c>
      <c r="E27" s="190" t="str">
        <f ca="1">IFERROR(__xludf.DUMMYFUNCTION("""COMPUTED_VALUE"""),"Mansion House")</f>
        <v>Mansion House</v>
      </c>
      <c r="F27" s="142" t="str">
        <f ca="1">IFERROR(__xludf.DUMMYFUNCTION("""COMPUTED_VALUE"""),"MHC-Mansion House")</f>
        <v>MHC-Mansion House</v>
      </c>
      <c r="G27" s="190" t="str">
        <f ca="1">IFERROR(__xludf.DUMMYFUNCTION("""COMPUTED_VALUE"""),"MacKenzie Duffield")</f>
        <v>MacKenzie Duffield</v>
      </c>
      <c r="H27" s="190" t="str">
        <f ca="1">IFERROR(__xludf.DUMMYFUNCTION("""COMPUTED_VALUE"""),"703-232-6326")</f>
        <v>703-232-6326</v>
      </c>
      <c r="I27" s="190" t="str">
        <f ca="1">IFERROR(__xludf.DUMMYFUNCTION("""COMPUTED_VALUE"""),"diverep@mansionhouseclub.com")</f>
        <v>diverep@mansionhouseclub.com</v>
      </c>
      <c r="J27" s="190" t="str">
        <f ca="1">IFERROR(__xludf.DUMMYFUNCTION("""COMPUTED_VALUE"""),"MacKenzie Duffield")</f>
        <v>MacKenzie Duffield</v>
      </c>
      <c r="K27" s="190" t="str">
        <f ca="1">IFERROR(__xludf.DUMMYFUNCTION("""COMPUTED_VALUE"""),"")</f>
        <v/>
      </c>
      <c r="L27" s="191" t="str">
        <f ca="1">IFERROR(__xludf.DUMMYFUNCTION("""COMPUTED_VALUE"""),"mackenzieduffield@gmail.com")</f>
        <v>mackenzieduffield@gmail.com</v>
      </c>
      <c r="M27" s="191" t="str">
        <f ca="1">IFERROR(__xludf.DUMMYFUNCTION("""COMPUTED_VALUE"""),"Mary Christesen")</f>
        <v>Mary Christesen</v>
      </c>
      <c r="N27" s="190"/>
      <c r="O27" s="142" t="str">
        <f ca="1">IFERROR(__xludf.DUMMYFUNCTION("""COMPUTED_VALUE"""),"christesenmary@gmail.com")</f>
        <v>christesenmary@gmail.com</v>
      </c>
    </row>
    <row r="28" spans="1:15" ht="15.75" customHeight="1">
      <c r="A28" s="123">
        <f ca="1">IFERROR(__xludf.DUMMYFUNCTION("""COMPUTED_VALUE"""),8)</f>
        <v>8</v>
      </c>
      <c r="B28" s="90" t="str">
        <f ca="1">IFERROR(__xludf.DUMMYFUNCTION("""COMPUTED_VALUE"""),"NS")</f>
        <v>NS</v>
      </c>
      <c r="C28" s="141" t="str">
        <f ca="1">IFERROR(__xludf.DUMMYFUNCTION("""COMPUTED_VALUE"""),"NS-North Springfield")</f>
        <v>NS-North Springfield</v>
      </c>
      <c r="D28" s="141" t="str">
        <f ca="1">IFERROR(__xludf.DUMMYFUNCTION("""COMPUTED_VALUE"""),"North Springfield")</f>
        <v>North Springfield</v>
      </c>
      <c r="E28" s="190" t="str">
        <f ca="1">IFERROR(__xludf.DUMMYFUNCTION("""COMPUTED_VALUE"""),"North Springfield")</f>
        <v>North Springfield</v>
      </c>
      <c r="F28" s="142" t="str">
        <f ca="1">IFERROR(__xludf.DUMMYFUNCTION("""COMPUTED_VALUE"""),"NS-North Springfield")</f>
        <v>NS-North Springfield</v>
      </c>
      <c r="G28" s="190" t="str">
        <f ca="1">IFERROR(__xludf.DUMMYFUNCTION("""COMPUTED_VALUE"""),"Celeste Leyhe")</f>
        <v>Celeste Leyhe</v>
      </c>
      <c r="H28" s="190" t="str">
        <f ca="1">IFERROR(__xludf.DUMMYFUNCTION("""COMPUTED_VALUE"""),"703-347-3865")</f>
        <v>703-347-3865</v>
      </c>
      <c r="I28" s="190" t="str">
        <f ca="1">IFERROR(__xludf.DUMMYFUNCTION("""COMPUTED_VALUE"""),"celesteleyhe@yahoo.com")</f>
        <v>celesteleyhe@yahoo.com</v>
      </c>
      <c r="J28" s="190" t="str">
        <f ca="1">IFERROR(__xludf.DUMMYFUNCTION("""COMPUTED_VALUE"""),"")</f>
        <v/>
      </c>
      <c r="K28" s="190" t="str">
        <f ca="1">IFERROR(__xludf.DUMMYFUNCTION("""COMPUTED_VALUE"""),"")</f>
        <v/>
      </c>
      <c r="L28" s="191" t="str">
        <f ca="1">IFERROR(__xludf.DUMMYFUNCTION("""COMPUTED_VALUE"""),"diveemails@gmail.com")</f>
        <v>diveemails@gmail.com</v>
      </c>
      <c r="M28" s="191"/>
      <c r="N28" s="190"/>
      <c r="O28" s="142"/>
    </row>
    <row r="29" spans="1:15" ht="15.75" customHeight="1">
      <c r="A29" s="123">
        <f ca="1">IFERROR(__xludf.DUMMYFUNCTION("""COMPUTED_VALUE"""),1)</f>
        <v>1</v>
      </c>
      <c r="B29" s="90" t="str">
        <f ca="1">IFERROR(__xludf.DUMMYFUNCTION("""COMPUTED_VALUE"""),"O")</f>
        <v>O</v>
      </c>
      <c r="C29" s="141" t="str">
        <f ca="1">IFERROR(__xludf.DUMMYFUNCTION("""COMPUTED_VALUE"""),"O-Overlee")</f>
        <v>O-Overlee</v>
      </c>
      <c r="D29" s="141" t="str">
        <f ca="1">IFERROR(__xludf.DUMMYFUNCTION("""COMPUTED_VALUE"""),"Overlee")</f>
        <v>Overlee</v>
      </c>
      <c r="E29" s="190" t="str">
        <f ca="1">IFERROR(__xludf.DUMMYFUNCTION("""COMPUTED_VALUE"""),"Overlee")</f>
        <v>Overlee</v>
      </c>
      <c r="F29" s="142" t="str">
        <f ca="1">IFERROR(__xludf.DUMMYFUNCTION("""COMPUTED_VALUE"""),"O-Overlee")</f>
        <v>O-Overlee</v>
      </c>
      <c r="G29" s="190" t="str">
        <f ca="1">IFERROR(__xludf.DUMMYFUNCTION("""COMPUTED_VALUE"""),"Whitney Cobey")</f>
        <v>Whitney Cobey</v>
      </c>
      <c r="H29" s="190"/>
      <c r="I29" s="190" t="str">
        <f ca="1">IFERROR(__xludf.DUMMYFUNCTION("""COMPUTED_VALUE"""),"Whitcobey@hotmail.com")</f>
        <v>Whitcobey@hotmail.com</v>
      </c>
      <c r="J29" s="190" t="str">
        <f ca="1">IFERROR(__xludf.DUMMYFUNCTION("""COMPUTED_VALUE"""),"Shalla Ross")</f>
        <v>Shalla Ross</v>
      </c>
      <c r="K29" s="190"/>
      <c r="L29" s="191" t="str">
        <f ca="1">IFERROR(__xludf.DUMMYFUNCTION("""COMPUTED_VALUE"""),"Shalla.Ross@verizon.net;shalla.ross@gmail.com")</f>
        <v>Shalla.Ross@verizon.net;shalla.ross@gmail.com</v>
      </c>
      <c r="M29" s="191" t="str">
        <f ca="1">IFERROR(__xludf.DUMMYFUNCTION("""COMPUTED_VALUE"""),"Deb Cohen")</f>
        <v>Deb Cohen</v>
      </c>
      <c r="N29" s="190" t="str">
        <f ca="1">IFERROR(__xludf.DUMMYFUNCTION("""COMPUTED_VALUE"""),"703-362-0649")</f>
        <v>703-362-0649</v>
      </c>
      <c r="O29" s="142" t="str">
        <f ca="1">IFERROR(__xludf.DUMMYFUNCTION("""COMPUTED_VALUE"""),"debncohen@gmail.com")</f>
        <v>debncohen@gmail.com</v>
      </c>
    </row>
    <row r="30" spans="1:15" ht="15.75" customHeight="1">
      <c r="A30" s="123">
        <f ca="1">IFERROR(__xludf.DUMMYFUNCTION("""COMPUTED_VALUE"""),2)</f>
        <v>2</v>
      </c>
      <c r="B30" s="90" t="str">
        <f ca="1">IFERROR(__xludf.DUMMYFUNCTION("""COMPUTED_VALUE"""),"OAK")</f>
        <v>OAK</v>
      </c>
      <c r="C30" s="141" t="str">
        <f ca="1">IFERROR(__xludf.DUMMYFUNCTION("""COMPUTED_VALUE"""),"OAK-Oakton")</f>
        <v>OAK-Oakton</v>
      </c>
      <c r="D30" s="141" t="str">
        <f ca="1">IFERROR(__xludf.DUMMYFUNCTION("""COMPUTED_VALUE"""),"Oakton")</f>
        <v>Oakton</v>
      </c>
      <c r="E30" s="190" t="str">
        <f ca="1">IFERROR(__xludf.DUMMYFUNCTION("""COMPUTED_VALUE"""),"Oakton")</f>
        <v>Oakton</v>
      </c>
      <c r="F30" s="142" t="str">
        <f ca="1">IFERROR(__xludf.DUMMYFUNCTION("""COMPUTED_VALUE"""),"OAK-Oakton")</f>
        <v>OAK-Oakton</v>
      </c>
      <c r="G30" s="190" t="str">
        <f ca="1">IFERROR(__xludf.DUMMYFUNCTION("""COMPUTED_VALUE"""),"Lisa Vaughan")</f>
        <v>Lisa Vaughan</v>
      </c>
      <c r="H30" s="190" t="str">
        <f ca="1">IFERROR(__xludf.DUMMYFUNCTION("""COMPUTED_VALUE"""),"703-403-0716")</f>
        <v>703-403-0716</v>
      </c>
      <c r="I30" s="190" t="str">
        <f ca="1">IFERROR(__xludf.DUMMYFUNCTION("""COMPUTED_VALUE"""),"JayandLisaVaughan@yahoo.com")</f>
        <v>JayandLisaVaughan@yahoo.com</v>
      </c>
      <c r="J30" s="190" t="str">
        <f ca="1">IFERROR(__xludf.DUMMYFUNCTION("""COMPUTED_VALUE"""),"Susan Estes")</f>
        <v>Susan Estes</v>
      </c>
      <c r="K30" s="190"/>
      <c r="L30" s="191" t="str">
        <f ca="1">IFERROR(__xludf.DUMMYFUNCTION("""COMPUTED_VALUE"""),"susan.brown.estes@gmail.com")</f>
        <v>susan.brown.estes@gmail.com</v>
      </c>
      <c r="M30" s="191" t="str">
        <f ca="1">IFERROR(__xludf.DUMMYFUNCTION("""COMPUTED_VALUE"""),"Lisa")</f>
        <v>Lisa</v>
      </c>
      <c r="N30" s="190"/>
      <c r="O30" s="142" t="str">
        <f ca="1">IFERROR(__xludf.DUMMYFUNCTION("""COMPUTED_VALUE"""),"ottersdivereps@gmail.com")</f>
        <v>ottersdivereps@gmail.com</v>
      </c>
    </row>
    <row r="31" spans="1:15" ht="13.2">
      <c r="A31" s="123">
        <f ca="1">IFERROR(__xludf.DUMMYFUNCTION("""COMPUTED_VALUE"""),6)</f>
        <v>6</v>
      </c>
      <c r="B31" s="90" t="str">
        <f ca="1">IFERROR(__xludf.DUMMYFUNCTION("""COMPUTED_VALUE"""),"OH")</f>
        <v>OH</v>
      </c>
      <c r="C31" s="141" t="str">
        <f ca="1">IFERROR(__xludf.DUMMYFUNCTION("""COMPUTED_VALUE"""),"OH-Orange Hunt")</f>
        <v>OH-Orange Hunt</v>
      </c>
      <c r="D31" s="141" t="str">
        <f ca="1">IFERROR(__xludf.DUMMYFUNCTION("""COMPUTED_VALUE"""),"Orange Hunt")</f>
        <v>Orange Hunt</v>
      </c>
      <c r="E31" s="190" t="str">
        <f ca="1">IFERROR(__xludf.DUMMYFUNCTION("""COMPUTED_VALUE"""),"Orange Hunt")</f>
        <v>Orange Hunt</v>
      </c>
      <c r="F31" s="142" t="str">
        <f ca="1">IFERROR(__xludf.DUMMYFUNCTION("""COMPUTED_VALUE"""),"OH-Orange Hunt")</f>
        <v>OH-Orange Hunt</v>
      </c>
      <c r="G31" s="190" t="str">
        <f ca="1">IFERROR(__xludf.DUMMYFUNCTION("""COMPUTED_VALUE"""),"Katherine McClure")</f>
        <v>Katherine McClure</v>
      </c>
      <c r="H31" s="190"/>
      <c r="I31" s="190" t="str">
        <f ca="1">IFERROR(__xludf.DUMMYFUNCTION("""COMPUTED_VALUE"""),"ksmcclure@gmail.com")</f>
        <v>ksmcclure@gmail.com</v>
      </c>
      <c r="J31" s="190" t="str">
        <f ca="1">IFERROR(__xludf.DUMMYFUNCTION("""COMPUTED_VALUE"""),"Sarah Wolfe")</f>
        <v>Sarah Wolfe</v>
      </c>
      <c r="K31" s="190" t="str">
        <f ca="1">IFERROR(__xludf.DUMMYFUNCTION("""COMPUTED_VALUE"""),"703-789-2981")</f>
        <v>703-789-2981</v>
      </c>
      <c r="L31" s="191" t="str">
        <f ca="1">IFERROR(__xludf.DUMMYFUNCTION("""COMPUTED_VALUE"""),"PanamaForever@aol.com")</f>
        <v>PanamaForever@aol.com</v>
      </c>
      <c r="M31" s="191"/>
      <c r="N31" s="190"/>
      <c r="O31" s="142"/>
    </row>
    <row r="32" spans="1:15" ht="13.2">
      <c r="A32" s="123">
        <f ca="1">IFERROR(__xludf.DUMMYFUNCTION("""COMPUTED_VALUE"""),1)</f>
        <v>1</v>
      </c>
      <c r="B32" s="90" t="str">
        <f ca="1">IFERROR(__xludf.DUMMYFUNCTION("""COMPUTED_VALUE"""),"OKM")</f>
        <v>OKM</v>
      </c>
      <c r="C32" s="141" t="str">
        <f ca="1">IFERROR(__xludf.DUMMYFUNCTION("""COMPUTED_VALUE"""),"OKM-Old Keene Mill")</f>
        <v>OKM-Old Keene Mill</v>
      </c>
      <c r="D32" s="141" t="str">
        <f ca="1">IFERROR(__xludf.DUMMYFUNCTION("""COMPUTED_VALUE"""),"Old Keene Mill")</f>
        <v>Old Keene Mill</v>
      </c>
      <c r="E32" s="190" t="str">
        <f ca="1">IFERROR(__xludf.DUMMYFUNCTION("""COMPUTED_VALUE"""),"Old Keene Mill")</f>
        <v>Old Keene Mill</v>
      </c>
      <c r="F32" s="142" t="str">
        <f ca="1">IFERROR(__xludf.DUMMYFUNCTION("""COMPUTED_VALUE"""),"OKM-Old Keene Mill")</f>
        <v>OKM-Old Keene Mill</v>
      </c>
      <c r="G32" s="190" t="str">
        <f ca="1">IFERROR(__xludf.DUMMYFUNCTION("""COMPUTED_VALUE"""),"Mark Miller")</f>
        <v>Mark Miller</v>
      </c>
      <c r="H32" s="190" t="str">
        <f ca="1">IFERROR(__xludf.DUMMYFUNCTION("""COMPUTED_VALUE"""),"703-304-9656")</f>
        <v>703-304-9656</v>
      </c>
      <c r="I32" s="190" t="str">
        <f ca="1">IFERROR(__xludf.DUMMYFUNCTION("""COMPUTED_VALUE"""),"divingboar@verizon.net")</f>
        <v>divingboar@verizon.net</v>
      </c>
      <c r="J32" s="190" t="str">
        <f ca="1">IFERROR(__xludf.DUMMYFUNCTION("""COMPUTED_VALUE"""),"Veronica Miller")</f>
        <v>Veronica Miller</v>
      </c>
      <c r="K32" s="190"/>
      <c r="L32" s="191" t="str">
        <f ca="1">IFERROR(__xludf.DUMMYFUNCTION("""COMPUTED_VALUE"""),"veronicacmiller2@gmail.com")</f>
        <v>veronicacmiller2@gmail.com</v>
      </c>
      <c r="M32" s="191" t="str">
        <f ca="1">IFERROR(__xludf.DUMMYFUNCTION("""COMPUTED_VALUE"""),"Jogita Dhond")</f>
        <v>Jogita Dhond</v>
      </c>
      <c r="N32" s="190"/>
      <c r="O32" s="142" t="str">
        <f ca="1">IFERROR(__xludf.DUMMYFUNCTION("""COMPUTED_VALUE"""),"Yogita.dhond@gmail.com")</f>
        <v>Yogita.dhond@gmail.com</v>
      </c>
    </row>
    <row r="33" spans="1:15" ht="13.2">
      <c r="A33" s="123">
        <f ca="1">IFERROR(__xludf.DUMMYFUNCTION("""COMPUTED_VALUE"""),8)</f>
        <v>8</v>
      </c>
      <c r="B33" s="90" t="str">
        <f ca="1">IFERROR(__xludf.DUMMYFUNCTION("""COMPUTED_VALUE"""),"PL")</f>
        <v>PL</v>
      </c>
      <c r="C33" s="141" t="str">
        <f ca="1">IFERROR(__xludf.DUMMYFUNCTION("""COMPUTED_VALUE"""),"PL-Parklawn")</f>
        <v>PL-Parklawn</v>
      </c>
      <c r="D33" s="141" t="str">
        <f ca="1">IFERROR(__xludf.DUMMYFUNCTION("""COMPUTED_VALUE"""),"Parklawn")</f>
        <v>Parklawn</v>
      </c>
      <c r="E33" s="190" t="str">
        <f ca="1">IFERROR(__xludf.DUMMYFUNCTION("""COMPUTED_VALUE"""),"Parklawn")</f>
        <v>Parklawn</v>
      </c>
      <c r="F33" s="142" t="str">
        <f ca="1">IFERROR(__xludf.DUMMYFUNCTION("""COMPUTED_VALUE"""),"PL-Parklawn")</f>
        <v>PL-Parklawn</v>
      </c>
      <c r="G33" s="190" t="str">
        <f ca="1">IFERROR(__xludf.DUMMYFUNCTION("""COMPUTED_VALUE"""),"Dave Galway")</f>
        <v>Dave Galway</v>
      </c>
      <c r="H33" s="190"/>
      <c r="I33" s="190" t="str">
        <f ca="1">IFERROR(__xludf.DUMMYFUNCTION("""COMPUTED_VALUE"""),"dave.galway176@gmail.com")</f>
        <v>dave.galway176@gmail.com</v>
      </c>
      <c r="J33" s="190" t="str">
        <f ca="1">IFERROR(__xludf.DUMMYFUNCTION("""COMPUTED_VALUE"""),"")</f>
        <v/>
      </c>
      <c r="K33" s="190" t="str">
        <f ca="1">IFERROR(__xludf.DUMMYFUNCTION("""COMPUTED_VALUE"""),"")</f>
        <v/>
      </c>
      <c r="L33" s="191" t="str">
        <f ca="1">IFERROR(__xludf.DUMMYFUNCTION("""COMPUTED_VALUE"""),"")</f>
        <v/>
      </c>
      <c r="M33" s="191"/>
      <c r="N33" s="190"/>
      <c r="O33" s="142"/>
    </row>
    <row r="34" spans="1:15" ht="13.2">
      <c r="A34" s="123">
        <f ca="1">IFERROR(__xludf.DUMMYFUNCTION("""COMPUTED_VALUE"""),6)</f>
        <v>6</v>
      </c>
      <c r="B34" s="90" t="str">
        <f ca="1">IFERROR(__xludf.DUMMYFUNCTION("""COMPUTED_VALUE"""),"PAR")</f>
        <v>PAR</v>
      </c>
      <c r="C34" s="141" t="str">
        <f ca="1">IFERROR(__xludf.DUMMYFUNCTION("""COMPUTED_VALUE"""),"PAR-Parliament")</f>
        <v>PAR-Parliament</v>
      </c>
      <c r="D34" s="141" t="str">
        <f ca="1">IFERROR(__xludf.DUMMYFUNCTION("""COMPUTED_VALUE"""),"Parliament")</f>
        <v>Parliament</v>
      </c>
      <c r="E34" s="190" t="str">
        <f ca="1">IFERROR(__xludf.DUMMYFUNCTION("""COMPUTED_VALUE"""),"Parliament")</f>
        <v>Parliament</v>
      </c>
      <c r="F34" s="142" t="str">
        <f ca="1">IFERROR(__xludf.DUMMYFUNCTION("""COMPUTED_VALUE"""),"PAR-Parliament")</f>
        <v>PAR-Parliament</v>
      </c>
      <c r="G34" s="190" t="str">
        <f ca="1">IFERROR(__xludf.DUMMYFUNCTION("""COMPUTED_VALUE"""),"Andrea Cate")</f>
        <v>Andrea Cate</v>
      </c>
      <c r="H34" s="190" t="str">
        <f ca="1">IFERROR(__xludf.DUMMYFUNCTION("""COMPUTED_VALUE"""),"808-375-7964")</f>
        <v>808-375-7964</v>
      </c>
      <c r="I34" s="190" t="str">
        <f ca="1">IFERROR(__xludf.DUMMYFUNCTION("""COMPUTED_VALUE"""),"panthersdive@gmail.com")</f>
        <v>panthersdive@gmail.com</v>
      </c>
      <c r="J34" s="190" t="str">
        <f ca="1">IFERROR(__xludf.DUMMYFUNCTION("""COMPUTED_VALUE"""),"")</f>
        <v/>
      </c>
      <c r="K34" s="190" t="str">
        <f ca="1">IFERROR(__xludf.DUMMYFUNCTION("""COMPUTED_VALUE"""),"")</f>
        <v/>
      </c>
      <c r="L34" s="191" t="str">
        <f ca="1">IFERROR(__xludf.DUMMYFUNCTION("""COMPUTED_VALUE"""),"")</f>
        <v/>
      </c>
      <c r="M34" s="191" t="str">
        <f ca="1">IFERROR(__xludf.DUMMYFUNCTION("""COMPUTED_VALUE"""),"Trish Alegre-Smith")</f>
        <v>Trish Alegre-Smith</v>
      </c>
      <c r="N34" s="190" t="str">
        <f ca="1">IFERROR(__xludf.DUMMYFUNCTION("""COMPUTED_VALUE"""),"850-305-9474")</f>
        <v>850-305-9474</v>
      </c>
      <c r="O34" s="142" t="str">
        <f ca="1">IFERROR(__xludf.DUMMYFUNCTION("""COMPUTED_VALUE"""),"ironwoman.77@gmail.com")</f>
        <v>ironwoman.77@gmail.com</v>
      </c>
    </row>
    <row r="35" spans="1:15" ht="13.2">
      <c r="A35" s="123">
        <f ca="1">IFERROR(__xludf.DUMMYFUNCTION("""COMPUTED_VALUE"""),3)</f>
        <v>3</v>
      </c>
      <c r="B35" s="90" t="str">
        <f ca="1">IFERROR(__xludf.DUMMYFUNCTION("""COMPUTED_VALUE"""),"PC")</f>
        <v>PC</v>
      </c>
      <c r="C35" s="141" t="str">
        <f ca="1">IFERROR(__xludf.DUMMYFUNCTION("""COMPUTED_VALUE"""),"PC-Pinecrest")</f>
        <v>PC-Pinecrest</v>
      </c>
      <c r="D35" s="141" t="str">
        <f ca="1">IFERROR(__xludf.DUMMYFUNCTION("""COMPUTED_VALUE"""),"Pinecrest")</f>
        <v>Pinecrest</v>
      </c>
      <c r="E35" s="190" t="str">
        <f ca="1">IFERROR(__xludf.DUMMYFUNCTION("""COMPUTED_VALUE"""),"Pinecrest")</f>
        <v>Pinecrest</v>
      </c>
      <c r="F35" s="142" t="str">
        <f ca="1">IFERROR(__xludf.DUMMYFUNCTION("""COMPUTED_VALUE"""),"PC-Pinecrest")</f>
        <v>PC-Pinecrest</v>
      </c>
      <c r="G35" s="190" t="str">
        <f ca="1">IFERROR(__xludf.DUMMYFUNCTION("""COMPUTED_VALUE"""),"JJ Conner")</f>
        <v>JJ Conner</v>
      </c>
      <c r="H35" s="190" t="str">
        <f ca="1">IFERROR(__xludf.DUMMYFUNCTION("""COMPUTED_VALUE"""),"703-868-4814")</f>
        <v>703-868-4814</v>
      </c>
      <c r="I35" s="190" t="str">
        <f ca="1">IFERROR(__xludf.DUMMYFUNCTION("""COMPUTED_VALUE"""),"jjconner14@verizon.net")</f>
        <v>jjconner14@verizon.net</v>
      </c>
      <c r="J35" s="190" t="str">
        <f ca="1">IFERROR(__xludf.DUMMYFUNCTION("""COMPUTED_VALUE"""),"Jessica Kennedy")</f>
        <v>Jessica Kennedy</v>
      </c>
      <c r="K35" s="190" t="str">
        <f ca="1">IFERROR(__xludf.DUMMYFUNCTION("""COMPUTED_VALUE"""),"571-218-0688")</f>
        <v>571-218-0688</v>
      </c>
      <c r="L35" s="191" t="str">
        <f ca="1">IFERROR(__xludf.DUMMYFUNCTION("""COMPUTED_VALUE"""),"jessicakennedy05@gmail.com")</f>
        <v>jessicakennedy05@gmail.com</v>
      </c>
      <c r="M35" s="191" t="str">
        <f ca="1">IFERROR(__xludf.DUMMYFUNCTION("""COMPUTED_VALUE"""),"JJ Connor")</f>
        <v>JJ Connor</v>
      </c>
      <c r="N35" s="190"/>
      <c r="O35" s="142" t="str">
        <f ca="1">IFERROR(__xludf.DUMMYFUNCTION("""COMPUTED_VALUE"""),"jjconner14@gmail.com")</f>
        <v>jjconner14@gmail.com</v>
      </c>
    </row>
    <row r="36" spans="1:15" ht="13.2">
      <c r="A36" s="123">
        <f ca="1">IFERROR(__xludf.DUMMYFUNCTION("""COMPUTED_VALUE"""),5)</f>
        <v>5</v>
      </c>
      <c r="B36" s="90" t="str">
        <f ca="1">IFERROR(__xludf.DUMMYFUNCTION("""COMPUTED_VALUE"""),"R")</f>
        <v>R</v>
      </c>
      <c r="C36" s="141" t="str">
        <f ca="1">IFERROR(__xludf.DUMMYFUNCTION("""COMPUTED_VALUE"""),"R-Ravensworth Farm")</f>
        <v>R-Ravensworth Farm</v>
      </c>
      <c r="D36" s="141" t="str">
        <f ca="1">IFERROR(__xludf.DUMMYFUNCTION("""COMPUTED_VALUE"""),"Ravensworth Farm")</f>
        <v>Ravensworth Farm</v>
      </c>
      <c r="E36" s="190" t="str">
        <f ca="1">IFERROR(__xludf.DUMMYFUNCTION("""COMPUTED_VALUE"""),"Ravensworth Farm")</f>
        <v>Ravensworth Farm</v>
      </c>
      <c r="F36" s="142" t="str">
        <f ca="1">IFERROR(__xludf.DUMMYFUNCTION("""COMPUTED_VALUE"""),"R-Ravensworth Farm")</f>
        <v>R-Ravensworth Farm</v>
      </c>
      <c r="G36" s="190" t="str">
        <f ca="1">IFERROR(__xludf.DUMMYFUNCTION("""COMPUTED_VALUE"""),"Melinda Young")</f>
        <v>Melinda Young</v>
      </c>
      <c r="H36" s="190" t="str">
        <f ca="1">IFERROR(__xludf.DUMMYFUNCTION("""COMPUTED_VALUE"""),"703-731-7353")</f>
        <v>703-731-7353</v>
      </c>
      <c r="I36" s="190" t="str">
        <f ca="1">IFERROR(__xludf.DUMMYFUNCTION("""COMPUTED_VALUE"""),"melandstu@verizon.net")</f>
        <v>melandstu@verizon.net</v>
      </c>
      <c r="J36" s="190" t="str">
        <f ca="1">IFERROR(__xludf.DUMMYFUNCTION("""COMPUTED_VALUE"""),"Mary Beth Champlin")</f>
        <v>Mary Beth Champlin</v>
      </c>
      <c r="K36" s="190" t="str">
        <f ca="1">IFERROR(__xludf.DUMMYFUNCTION("""COMPUTED_VALUE"""),"240-383-7991")</f>
        <v>240-383-7991</v>
      </c>
      <c r="L36" s="191" t="str">
        <f ca="1">IFERROR(__xludf.DUMMYFUNCTION("""COMPUTED_VALUE"""),"MBChamplin2@yahoo.com")</f>
        <v>MBChamplin2@yahoo.com</v>
      </c>
      <c r="M36" s="191"/>
      <c r="N36" s="190"/>
      <c r="O36" s="142" t="str">
        <f ca="1">IFERROR(__xludf.DUMMYFUNCTION("""COMPUTED_VALUE"""),"mbchamplin@petconnectrescue.org")</f>
        <v>mbchamplin@petconnectrescue.org</v>
      </c>
    </row>
    <row r="37" spans="1:15" ht="13.2">
      <c r="A37" s="123">
        <f ca="1">IFERROR(__xludf.DUMMYFUNCTION("""COMPUTED_VALUE"""),7)</f>
        <v>7</v>
      </c>
      <c r="B37" s="90" t="str">
        <f ca="1">IFERROR(__xludf.DUMMYFUNCTION("""COMPUTED_VALUE"""),"RFD")</f>
        <v>RFD</v>
      </c>
      <c r="C37" s="141" t="str">
        <f ca="1">IFERROR(__xludf.DUMMYFUNCTION("""COMPUTED_VALUE"""),"RFD-Rutherford")</f>
        <v>RFD-Rutherford</v>
      </c>
      <c r="D37" s="141" t="str">
        <f ca="1">IFERROR(__xludf.DUMMYFUNCTION("""COMPUTED_VALUE"""),"Rutherford")</f>
        <v>Rutherford</v>
      </c>
      <c r="E37" s="190" t="str">
        <f ca="1">IFERROR(__xludf.DUMMYFUNCTION("""COMPUTED_VALUE"""),"Rutherford")</f>
        <v>Rutherford</v>
      </c>
      <c r="F37" s="142" t="str">
        <f ca="1">IFERROR(__xludf.DUMMYFUNCTION("""COMPUTED_VALUE"""),"RFD-Rutherford")</f>
        <v>RFD-Rutherford</v>
      </c>
      <c r="G37" s="190" t="str">
        <f ca="1">IFERROR(__xludf.DUMMYFUNCTION("""COMPUTED_VALUE"""),"Chris Wade")</f>
        <v>Chris Wade</v>
      </c>
      <c r="H37" s="190" t="str">
        <f ca="1">IFERROR(__xludf.DUMMYFUNCTION("""COMPUTED_VALUE"""),"571-238-3468")</f>
        <v>571-238-3468</v>
      </c>
      <c r="I37" s="190" t="str">
        <f ca="1">IFERROR(__xludf.DUMMYFUNCTION("""COMPUTED_VALUE"""),"cjwade@gmail.com")</f>
        <v>cjwade@gmail.com</v>
      </c>
      <c r="J37" s="190" t="str">
        <f ca="1">IFERROR(__xludf.DUMMYFUNCTION("""COMPUTED_VALUE"""),"Cheryl Fegan")</f>
        <v>Cheryl Fegan</v>
      </c>
      <c r="K37" s="190" t="str">
        <f ca="1">IFERROR(__xludf.DUMMYFUNCTION("""COMPUTED_VALUE"""),"703-304-8558")</f>
        <v>703-304-8558</v>
      </c>
      <c r="L37" s="191" t="str">
        <f ca="1">IFERROR(__xludf.DUMMYFUNCTION("""COMPUTED_VALUE"""),"candrukonis@hotmail.com")</f>
        <v>candrukonis@hotmail.com</v>
      </c>
      <c r="M37" s="191" t="str">
        <f ca="1">IFERROR(__xludf.DUMMYFUNCTION("""COMPUTED_VALUE"""),"Presley Julio")</f>
        <v>Presley Julio</v>
      </c>
      <c r="N37" s="190" t="str">
        <f ca="1">IFERROR(__xludf.DUMMYFUNCTION("""COMPUTED_VALUE"""),"571-488-0238")</f>
        <v>571-488-0238</v>
      </c>
      <c r="O37" s="142" t="str">
        <f ca="1">IFERROR(__xludf.DUMMYFUNCTION("""COMPUTED_VALUE"""),"Presley.Julio@gmail.com")</f>
        <v>Presley.Julio@gmail.com</v>
      </c>
    </row>
    <row r="38" spans="1:15" ht="13.2">
      <c r="A38" s="123">
        <f ca="1">IFERROR(__xludf.DUMMYFUNCTION("""COMPUTED_VALUE"""),5)</f>
        <v>5</v>
      </c>
      <c r="B38" s="90" t="str">
        <f ca="1">IFERROR(__xludf.DUMMYFUNCTION("""COMPUTED_VALUE"""),"RH")</f>
        <v>RH</v>
      </c>
      <c r="C38" s="141" t="str">
        <f ca="1">IFERROR(__xludf.DUMMYFUNCTION("""COMPUTED_VALUE"""),"RH-Rolling Hills")</f>
        <v>RH-Rolling Hills</v>
      </c>
      <c r="D38" s="141" t="str">
        <f ca="1">IFERROR(__xludf.DUMMYFUNCTION("""COMPUTED_VALUE"""),"Rolling Hills")</f>
        <v>Rolling Hills</v>
      </c>
      <c r="E38" s="190" t="str">
        <f ca="1">IFERROR(__xludf.DUMMYFUNCTION("""COMPUTED_VALUE"""),"Rolling Hills")</f>
        <v>Rolling Hills</v>
      </c>
      <c r="F38" s="142" t="str">
        <f ca="1">IFERROR(__xludf.DUMMYFUNCTION("""COMPUTED_VALUE"""),"RH-Rolling Hills")</f>
        <v>RH-Rolling Hills</v>
      </c>
      <c r="G38" s="190" t="str">
        <f ca="1">IFERROR(__xludf.DUMMYFUNCTION("""COMPUTED_VALUE"""),"Aimee Callahan")</f>
        <v>Aimee Callahan</v>
      </c>
      <c r="H38" s="190" t="str">
        <f ca="1">IFERROR(__xludf.DUMMYFUNCTION("""COMPUTED_VALUE"""),"703-930-6108")</f>
        <v>703-930-6108</v>
      </c>
      <c r="I38" s="190" t="str">
        <f ca="1">IFERROR(__xludf.DUMMYFUNCTION("""COMPUTED_VALUE"""),"aimee@callahanfamily.net")</f>
        <v>aimee@callahanfamily.net</v>
      </c>
      <c r="J38" s="190" t="str">
        <f ca="1">IFERROR(__xludf.DUMMYFUNCTION("""COMPUTED_VALUE"""),"")</f>
        <v/>
      </c>
      <c r="K38" s="190" t="str">
        <f ca="1">IFERROR(__xludf.DUMMYFUNCTION("""COMPUTED_VALUE"""),"")</f>
        <v/>
      </c>
      <c r="L38" s="191" t="str">
        <f ca="1">IFERROR(__xludf.DUMMYFUNCTION("""COMPUTED_VALUE"""),"rhscdiveteamrep@gmail.com")</f>
        <v>rhscdiveteamrep@gmail.com</v>
      </c>
      <c r="M38" s="191"/>
      <c r="N38" s="190"/>
      <c r="O38" s="142"/>
    </row>
    <row r="39" spans="1:15" ht="13.2">
      <c r="A39" s="123">
        <f ca="1">IFERROR(__xludf.DUMMYFUNCTION("""COMPUTED_VALUE"""),8)</f>
        <v>8</v>
      </c>
      <c r="B39" s="90" t="str">
        <f ca="1">IFERROR(__xludf.DUMMYFUNCTION("""COMPUTED_VALUE"""),"S")</f>
        <v>S</v>
      </c>
      <c r="C39" s="141" t="str">
        <f ca="1">IFERROR(__xludf.DUMMYFUNCTION("""COMPUTED_VALUE"""),"S-Springfield")</f>
        <v>S-Springfield</v>
      </c>
      <c r="D39" s="141" t="str">
        <f ca="1">IFERROR(__xludf.DUMMYFUNCTION("""COMPUTED_VALUE"""),"Springfield")</f>
        <v>Springfield</v>
      </c>
      <c r="E39" s="191" t="str">
        <f ca="1">IFERROR(__xludf.DUMMYFUNCTION("""COMPUTED_VALUE"""),"Springfield")</f>
        <v>Springfield</v>
      </c>
      <c r="F39" s="142" t="str">
        <f ca="1">IFERROR(__xludf.DUMMYFUNCTION("""COMPUTED_VALUE"""),"S-Springfield")</f>
        <v>S-Springfield</v>
      </c>
      <c r="G39" s="190" t="str">
        <f ca="1">IFERROR(__xludf.DUMMYFUNCTION("""COMPUTED_VALUE"""),"Kristin Garcia")</f>
        <v>Kristin Garcia</v>
      </c>
      <c r="H39" s="190" t="str">
        <f ca="1">IFERROR(__xludf.DUMMYFUNCTION("""COMPUTED_VALUE"""),"202-550-7101")</f>
        <v>202-550-7101</v>
      </c>
      <c r="I39" s="190" t="str">
        <f ca="1">IFERROR(__xludf.DUMMYFUNCTION("""COMPUTED_VALUE"""),"krisgarcia15@gmail.com")</f>
        <v>krisgarcia15@gmail.com</v>
      </c>
      <c r="J39" s="190" t="str">
        <f ca="1">IFERROR(__xludf.DUMMYFUNCTION("""COMPUTED_VALUE"""),"")</f>
        <v/>
      </c>
      <c r="K39" s="190" t="str">
        <f ca="1">IFERROR(__xludf.DUMMYFUNCTION("""COMPUTED_VALUE"""),"")</f>
        <v/>
      </c>
      <c r="L39" s="191" t="str">
        <f ca="1">IFERROR(__xludf.DUMMYFUNCTION("""COMPUTED_VALUE"""),"")</f>
        <v/>
      </c>
      <c r="M39" s="191" t="str">
        <f ca="1">IFERROR(__xludf.DUMMYFUNCTION("""COMPUTED_VALUE"""),"Kris Garcia")</f>
        <v>Kris Garcia</v>
      </c>
      <c r="N39" s="190"/>
      <c r="O39" s="142" t="str">
        <f ca="1">IFERROR(__xludf.DUMMYFUNCTION("""COMPUTED_VALUE"""),"krisgarcia15@gmail.com")</f>
        <v>krisgarcia15@gmail.com</v>
      </c>
    </row>
    <row r="40" spans="1:15" ht="13.2">
      <c r="A40" s="123">
        <f ca="1">IFERROR(__xludf.DUMMYFUNCTION("""COMPUTED_VALUE"""),7)</f>
        <v>7</v>
      </c>
      <c r="B40" s="90" t="str">
        <f ca="1">IFERROR(__xludf.DUMMYFUNCTION("""COMPUTED_VALUE"""),"SB")</f>
        <v>SB</v>
      </c>
      <c r="C40" s="141" t="str">
        <f ca="1">IFERROR(__xludf.DUMMYFUNCTION("""COMPUTED_VALUE"""),"SB-Springboard Recreration Club")</f>
        <v>SB-Springboard Recreration Club</v>
      </c>
      <c r="D40" s="141" t="str">
        <f ca="1">IFERROR(__xludf.DUMMYFUNCTION("""COMPUTED_VALUE"""),"Springboard Recreration Club")</f>
        <v>Springboard Recreration Club</v>
      </c>
      <c r="E40" s="191" t="str">
        <f ca="1">IFERROR(__xludf.DUMMYFUNCTION("""COMPUTED_VALUE"""),"Springboard")</f>
        <v>Springboard</v>
      </c>
      <c r="F40" s="142" t="str">
        <f ca="1">IFERROR(__xludf.DUMMYFUNCTION("""COMPUTED_VALUE"""),"SB-Springboard Recreration Club")</f>
        <v>SB-Springboard Recreration Club</v>
      </c>
      <c r="G40" s="190" t="str">
        <f ca="1">IFERROR(__xludf.DUMMYFUNCTION("""COMPUTED_VALUE"""),"Carol Davis")</f>
        <v>Carol Davis</v>
      </c>
      <c r="H40" s="190" t="str">
        <f ca="1">IFERROR(__xludf.DUMMYFUNCTION("""COMPUTED_VALUE"""),"703-338-4242")</f>
        <v>703-338-4242</v>
      </c>
      <c r="I40" s="190" t="str">
        <f ca="1">IFERROR(__xludf.DUMMYFUNCTION("""COMPUTED_VALUE"""),"caroldavis1988@yahoo.com")</f>
        <v>caroldavis1988@yahoo.com</v>
      </c>
      <c r="J40" s="190" t="str">
        <f ca="1">IFERROR(__xludf.DUMMYFUNCTION("""COMPUTED_VALUE"""),"Carylin Waterval")</f>
        <v>Carylin Waterval</v>
      </c>
      <c r="K40" s="190" t="str">
        <f ca="1">IFERROR(__xludf.DUMMYFUNCTION("""COMPUTED_VALUE"""),"703-507-6651")</f>
        <v>703-507-6651</v>
      </c>
      <c r="L40" s="191" t="str">
        <f ca="1">IFERROR(__xludf.DUMMYFUNCTION("""COMPUTED_VALUE"""),"carylin_mother2@yahoo.com")</f>
        <v>carylin_mother2@yahoo.com</v>
      </c>
      <c r="M40" s="191"/>
      <c r="N40" s="190"/>
      <c r="O40" s="142"/>
    </row>
    <row r="41" spans="1:15" ht="13.2">
      <c r="A41" s="123">
        <f ca="1">IFERROR(__xludf.DUMMYFUNCTION("""COMPUTED_VALUE"""),5)</f>
        <v>5</v>
      </c>
      <c r="B41" s="90" t="str">
        <f ca="1">IFERROR(__xludf.DUMMYFUNCTION("""COMPUTED_VALUE"""),"SHB")</f>
        <v>SHB</v>
      </c>
      <c r="C41" s="141" t="str">
        <f ca="1">IFERROR(__xludf.DUMMYFUNCTION("""COMPUTED_VALUE"""),"SHB-Sleepy Hollow Bath")</f>
        <v>SHB-Sleepy Hollow Bath</v>
      </c>
      <c r="D41" s="141" t="str">
        <f ca="1">IFERROR(__xludf.DUMMYFUNCTION("""COMPUTED_VALUE"""),"Sleepy Hollow Bath")</f>
        <v>Sleepy Hollow Bath</v>
      </c>
      <c r="E41" s="190" t="str">
        <f ca="1">IFERROR(__xludf.DUMMYFUNCTION("""COMPUTED_VALUE"""),"Sleepy Hollow B &amp; R")</f>
        <v>Sleepy Hollow B &amp; R</v>
      </c>
      <c r="F41" s="142" t="str">
        <f ca="1">IFERROR(__xludf.DUMMYFUNCTION("""COMPUTED_VALUE"""),"SHB-Sleepy Hollow Bath")</f>
        <v>SHB-Sleepy Hollow Bath</v>
      </c>
      <c r="G41" s="190" t="str">
        <f ca="1">IFERROR(__xludf.DUMMYFUNCTION("""COMPUTED_VALUE"""),"James Wilkins")</f>
        <v>James Wilkins</v>
      </c>
      <c r="H41" s="190"/>
      <c r="I41" s="190" t="str">
        <f ca="1">IFERROR(__xludf.DUMMYFUNCTION("""COMPUTED_VALUE"""),"diving@shbr.org")</f>
        <v>diving@shbr.org</v>
      </c>
      <c r="J41" s="190" t="str">
        <f ca="1">IFERROR(__xludf.DUMMYFUNCTION("""COMPUTED_VALUE"""),"")</f>
        <v/>
      </c>
      <c r="K41" s="190" t="str">
        <f ca="1">IFERROR(__xludf.DUMMYFUNCTION("""COMPUTED_VALUE"""),"")</f>
        <v/>
      </c>
      <c r="L41" s="191" t="str">
        <f ca="1">IFERROR(__xludf.DUMMYFUNCTION("""COMPUTED_VALUE"""),"shbrdiving@gmail.com")</f>
        <v>shbrdiving@gmail.com</v>
      </c>
      <c r="M41" s="191"/>
      <c r="N41" s="190"/>
      <c r="O41" s="142"/>
    </row>
    <row r="42" spans="1:15" ht="13.2">
      <c r="A42" s="123">
        <f ca="1">IFERROR(__xludf.DUMMYFUNCTION("""COMPUTED_VALUE"""),3)</f>
        <v>3</v>
      </c>
      <c r="B42" s="90" t="str">
        <f ca="1">IFERROR(__xludf.DUMMYFUNCTION("""COMPUTED_VALUE"""),"SHR")</f>
        <v>SHR</v>
      </c>
      <c r="C42" s="141" t="str">
        <f ca="1">IFERROR(__xludf.DUMMYFUNCTION("""COMPUTED_VALUE"""),"SHR-Sleepy Hollow Rec")</f>
        <v>SHR-Sleepy Hollow Rec</v>
      </c>
      <c r="D42" s="141" t="str">
        <f ca="1">IFERROR(__xludf.DUMMYFUNCTION("""COMPUTED_VALUE"""),"Sleepy Hollow Rec")</f>
        <v>Sleepy Hollow Rec</v>
      </c>
      <c r="E42" s="190" t="str">
        <f ca="1">IFERROR(__xludf.DUMMYFUNCTION("""COMPUTED_VALUE"""),"Sleepy Hollow Rec")</f>
        <v>Sleepy Hollow Rec</v>
      </c>
      <c r="F42" s="142" t="str">
        <f ca="1">IFERROR(__xludf.DUMMYFUNCTION("""COMPUTED_VALUE"""),"SHR-Sleepy Hollow Rec")</f>
        <v>SHR-Sleepy Hollow Rec</v>
      </c>
      <c r="G42" s="190" t="str">
        <f ca="1">IFERROR(__xludf.DUMMYFUNCTION("""COMPUTED_VALUE"""),"Sheri Crotty")</f>
        <v>Sheri Crotty</v>
      </c>
      <c r="H42" s="190" t="str">
        <f ca="1">IFERROR(__xludf.DUMMYFUNCTION("""COMPUTED_VALUE"""),"703-914-2777")</f>
        <v>703-914-2777</v>
      </c>
      <c r="I42" s="190" t="str">
        <f ca="1">IFERROR(__xludf.DUMMYFUNCTION("""COMPUTED_VALUE"""),"crottycrew@hotmail.com")</f>
        <v>crottycrew@hotmail.com</v>
      </c>
      <c r="J42" s="190" t="str">
        <f ca="1">IFERROR(__xludf.DUMMYFUNCTION("""COMPUTED_VALUE"""),"Kelly Bletsis")</f>
        <v>Kelly Bletsis</v>
      </c>
      <c r="K42" s="190" t="str">
        <f ca="1">IFERROR(__xludf.DUMMYFUNCTION("""COMPUTED_VALUE"""),"")</f>
        <v/>
      </c>
      <c r="L42" s="191" t="str">
        <f ca="1">IFERROR(__xludf.DUMMYFUNCTION("""COMPUTED_VALUE"""),"kbletsis@yahoo.com")</f>
        <v>kbletsis@yahoo.com</v>
      </c>
      <c r="M42" s="191" t="str">
        <f ca="1">IFERROR(__xludf.DUMMYFUNCTION("""COMPUTED_VALUE"""),"Will Heim")</f>
        <v>Will Heim</v>
      </c>
      <c r="N42" s="190" t="str">
        <f ca="1">IFERROR(__xludf.DUMMYFUNCTION("""COMPUTED_VALUE"""),"703-403-8679")</f>
        <v>703-403-8679</v>
      </c>
      <c r="O42" s="142" t="str">
        <f ca="1">IFERROR(__xludf.DUMMYFUNCTION("""COMPUTED_VALUE"""),"vilheim@hotmail.com")</f>
        <v>vilheim@hotmail.com</v>
      </c>
    </row>
    <row r="43" spans="1:15" ht="13.2">
      <c r="A43" s="123">
        <f ca="1">IFERROR(__xludf.DUMMYFUNCTION("""COMPUTED_VALUE"""),1)</f>
        <v>1</v>
      </c>
      <c r="B43" s="90" t="str">
        <f ca="1">IFERROR(__xludf.DUMMYFUNCTION("""COMPUTED_VALUE"""),"SR")</f>
        <v>SR</v>
      </c>
      <c r="C43" s="141" t="str">
        <f ca="1">IFERROR(__xludf.DUMMYFUNCTION("""COMPUTED_VALUE"""),"SR-Sideburn Run")</f>
        <v>SR-Sideburn Run</v>
      </c>
      <c r="D43" s="141" t="str">
        <f ca="1">IFERROR(__xludf.DUMMYFUNCTION("""COMPUTED_VALUE"""),"Sideburn Run")</f>
        <v>Sideburn Run</v>
      </c>
      <c r="E43" s="191" t="str">
        <f ca="1">IFERROR(__xludf.DUMMYFUNCTION("""COMPUTED_VALUE"""),"Sideburn Run")</f>
        <v>Sideburn Run</v>
      </c>
      <c r="F43" s="142" t="str">
        <f ca="1">IFERROR(__xludf.DUMMYFUNCTION("""COMPUTED_VALUE"""),"SR-Sideburn Run")</f>
        <v>SR-Sideburn Run</v>
      </c>
      <c r="G43" s="190"/>
      <c r="H43" s="190"/>
      <c r="I43" s="190" t="str">
        <f ca="1">IFERROR(__xludf.DUMMYFUNCTION("""COMPUTED_VALUE"""),"jamespmchugh@gmail.com")</f>
        <v>jamespmchugh@gmail.com</v>
      </c>
      <c r="J43" s="190" t="str">
        <f ca="1">IFERROR(__xludf.DUMMYFUNCTION("""COMPUTED_VALUE"""),"Marian LIttleton ")</f>
        <v xml:space="preserve">Marian LIttleton </v>
      </c>
      <c r="K43" s="190" t="str">
        <f ca="1">IFERROR(__xludf.DUMMYFUNCTION("""COMPUTED_VALUE"""),"703-597-2990")</f>
        <v>703-597-2990</v>
      </c>
      <c r="L43" s="191" t="str">
        <f ca="1">IFERROR(__xludf.DUMMYFUNCTION("""COMPUTED_VALUE"""),"marianlittleton@gmail.com")</f>
        <v>marianlittleton@gmail.com</v>
      </c>
      <c r="M43" s="191" t="str">
        <f ca="1">IFERROR(__xludf.DUMMYFUNCTION("""COMPUTED_VALUE"""),"Jim McHugh ")</f>
        <v xml:space="preserve">Jim McHugh </v>
      </c>
      <c r="N43" s="190" t="str">
        <f ca="1">IFERROR(__xludf.DUMMYFUNCTION("""COMPUTED_VALUE"""),"703-334-1313")</f>
        <v>703-334-1313</v>
      </c>
      <c r="O43" s="142" t="str">
        <f ca="1">IFERROR(__xludf.DUMMYFUNCTION("""COMPUTED_VALUE"""),"jamespmchugh@gmail.com")</f>
        <v>jamespmchugh@gmail.com</v>
      </c>
    </row>
    <row r="44" spans="1:15" ht="13.2">
      <c r="A44" s="123">
        <f ca="1">IFERROR(__xludf.DUMMYFUNCTION("""COMPUTED_VALUE"""),7)</f>
        <v>7</v>
      </c>
      <c r="B44" s="90" t="str">
        <f ca="1">IFERROR(__xludf.DUMMYFUNCTION("""COMPUTED_VALUE"""),"SRA")</f>
        <v>SRA</v>
      </c>
      <c r="C44" s="141" t="str">
        <f ca="1">IFERROR(__xludf.DUMMYFUNCTION("""COMPUTED_VALUE"""),"SRA-Stratford Rec Association")</f>
        <v>SRA-Stratford Rec Association</v>
      </c>
      <c r="D44" s="141" t="str">
        <f ca="1">IFERROR(__xludf.DUMMYFUNCTION("""COMPUTED_VALUE"""),"Stratford Rec Association")</f>
        <v>Stratford Rec Association</v>
      </c>
      <c r="E44" s="190" t="str">
        <f ca="1">IFERROR(__xludf.DUMMYFUNCTION("""COMPUTED_VALUE"""),"Stratford")</f>
        <v>Stratford</v>
      </c>
      <c r="F44" s="142" t="str">
        <f ca="1">IFERROR(__xludf.DUMMYFUNCTION("""COMPUTED_VALUE"""),"SRA-Stratford Rec Association")</f>
        <v>SRA-Stratford Rec Association</v>
      </c>
      <c r="G44" s="190" t="str">
        <f ca="1">IFERROR(__xludf.DUMMYFUNCTION("""COMPUTED_VALUE"""),"Peggy Dinkel")</f>
        <v>Peggy Dinkel</v>
      </c>
      <c r="H44" s="190" t="str">
        <f ca="1">IFERROR(__xludf.DUMMYFUNCTION("""COMPUTED_VALUE"""),"703-244-8197")</f>
        <v>703-244-8197</v>
      </c>
      <c r="I44" s="190" t="str">
        <f ca="1">IFERROR(__xludf.DUMMYFUNCTION("""COMPUTED_VALUE"""),"divesra@gmail.com")</f>
        <v>divesra@gmail.com</v>
      </c>
      <c r="J44" s="190" t="str">
        <f ca="1">IFERROR(__xludf.DUMMYFUNCTION("""COMPUTED_VALUE"""),"")</f>
        <v/>
      </c>
      <c r="K44" s="190" t="str">
        <f ca="1">IFERROR(__xludf.DUMMYFUNCTION("""COMPUTED_VALUE"""),"")</f>
        <v/>
      </c>
      <c r="L44" s="191" t="str">
        <f ca="1">IFERROR(__xludf.DUMMYFUNCTION("""COMPUTED_VALUE"""),"")</f>
        <v/>
      </c>
      <c r="M44" s="191"/>
      <c r="N44" s="190"/>
      <c r="O44" s="142"/>
    </row>
    <row r="45" spans="1:15" ht="13.2">
      <c r="A45" s="123">
        <f ca="1">IFERROR(__xludf.DUMMYFUNCTION("""COMPUTED_VALUE"""),4)</f>
        <v>4</v>
      </c>
      <c r="B45" s="90" t="str">
        <f ca="1">IFERROR(__xludf.DUMMYFUNCTION("""COMPUTED_VALUE"""),"T")</f>
        <v>T</v>
      </c>
      <c r="C45" s="141" t="str">
        <f ca="1">IFERROR(__xludf.DUMMYFUNCTION("""COMPUTED_VALUE"""),"T-Tuckahoe")</f>
        <v>T-Tuckahoe</v>
      </c>
      <c r="D45" s="141" t="str">
        <f ca="1">IFERROR(__xludf.DUMMYFUNCTION("""COMPUTED_VALUE"""),"Tuckahoe")</f>
        <v>Tuckahoe</v>
      </c>
      <c r="E45" s="190" t="str">
        <f ca="1">IFERROR(__xludf.DUMMYFUNCTION("""COMPUTED_VALUE"""),"Tuckahoe")</f>
        <v>Tuckahoe</v>
      </c>
      <c r="F45" s="142" t="str">
        <f ca="1">IFERROR(__xludf.DUMMYFUNCTION("""COMPUTED_VALUE"""),"T-Tuckahoe")</f>
        <v>T-Tuckahoe</v>
      </c>
      <c r="G45" s="190" t="str">
        <f ca="1">IFERROR(__xludf.DUMMYFUNCTION("""COMPUTED_VALUE"""),"Saira Smith")</f>
        <v>Saira Smith</v>
      </c>
      <c r="H45" s="190" t="str">
        <f ca="1">IFERROR(__xludf.DUMMYFUNCTION("""COMPUTED_VALUE"""),"415-271-2487")</f>
        <v>415-271-2487</v>
      </c>
      <c r="I45" s="190" t="str">
        <f ca="1">IFERROR(__xludf.DUMMYFUNCTION("""COMPUTED_VALUE"""),"dive@tuckahoe.club")</f>
        <v>dive@tuckahoe.club</v>
      </c>
      <c r="J45" s="190" t="str">
        <f ca="1">IFERROR(__xludf.DUMMYFUNCTION("""COMPUTED_VALUE"""),"Shannon Eagan")</f>
        <v>Shannon Eagan</v>
      </c>
      <c r="K45" s="190"/>
      <c r="L45" s="191" t="str">
        <f ca="1">IFERROR(__xludf.DUMMYFUNCTION("""COMPUTED_VALUE"""),"wvdive@gmail.com")</f>
        <v>wvdive@gmail.com</v>
      </c>
      <c r="M45" s="191" t="str">
        <f ca="1">IFERROR(__xludf.DUMMYFUNCTION("""COMPUTED_VALUE"""),"Shannon Eagan")</f>
        <v>Shannon Eagan</v>
      </c>
      <c r="N45" s="190"/>
      <c r="O45" s="142" t="str">
        <f ca="1">IFERROR(__xludf.DUMMYFUNCTION("""COMPUTED_VALUE"""),"wvdive@gmail.com")</f>
        <v>wvdive@gmail.com</v>
      </c>
    </row>
    <row r="46" spans="1:15" ht="13.2">
      <c r="A46" s="123">
        <f ca="1">IFERROR(__xludf.DUMMYFUNCTION("""COMPUTED_VALUE"""),1)</f>
        <v>1</v>
      </c>
      <c r="B46" s="90" t="str">
        <f ca="1">IFERROR(__xludf.DUMMYFUNCTION("""COMPUTED_VALUE"""),"THA")</f>
        <v>THA</v>
      </c>
      <c r="C46" s="141" t="str">
        <f ca="1">IFERROR(__xludf.DUMMYFUNCTION("""COMPUTED_VALUE"""),"THA-Truro Homes Assn")</f>
        <v>THA-Truro Homes Assn</v>
      </c>
      <c r="D46" s="141" t="str">
        <f ca="1">IFERROR(__xludf.DUMMYFUNCTION("""COMPUTED_VALUE"""),"Truro Homes Assn")</f>
        <v>Truro Homes Assn</v>
      </c>
      <c r="E46" s="190" t="str">
        <f ca="1">IFERROR(__xludf.DUMMYFUNCTION("""COMPUTED_VALUE"""),"Truro")</f>
        <v>Truro</v>
      </c>
      <c r="F46" s="142" t="str">
        <f ca="1">IFERROR(__xludf.DUMMYFUNCTION("""COMPUTED_VALUE"""),"THA-Truro Homes Assn")</f>
        <v>THA-Truro Homes Assn</v>
      </c>
      <c r="G46" s="190" t="str">
        <f ca="1">IFERROR(__xludf.DUMMYFUNCTION("""COMPUTED_VALUE"""),"Andrew Albosta")</f>
        <v>Andrew Albosta</v>
      </c>
      <c r="H46" s="190" t="str">
        <f ca="1">IFERROR(__xludf.DUMMYFUNCTION("""COMPUTED_VALUE"""),"571-239-9693")</f>
        <v>571-239-9693</v>
      </c>
      <c r="I46" s="190" t="str">
        <f ca="1">IFERROR(__xludf.DUMMYFUNCTION("""COMPUTED_VALUE"""),"albosta@gmail.com")</f>
        <v>albosta@gmail.com</v>
      </c>
      <c r="J46" s="190" t="str">
        <f ca="1">IFERROR(__xludf.DUMMYFUNCTION("""COMPUTED_VALUE"""),"Mike Mangan")</f>
        <v>Mike Mangan</v>
      </c>
      <c r="K46" s="190"/>
      <c r="L46" s="191" t="str">
        <f ca="1">IFERROR(__xludf.DUMMYFUNCTION("""COMPUTED_VALUE"""),"bruinxctnf@aol.com;webberxctnf@gmail.com ")</f>
        <v xml:space="preserve">bruinxctnf@aol.com;webberxctnf@gmail.com </v>
      </c>
      <c r="M46" s="191" t="str">
        <f ca="1">IFERROR(__xludf.DUMMYFUNCTION("""COMPUTED_VALUE"""),"Andrew Albosta")</f>
        <v>Andrew Albosta</v>
      </c>
      <c r="N46" s="190"/>
      <c r="O46" s="142" t="str">
        <f ca="1">IFERROR(__xludf.DUMMYFUNCTION("""COMPUTED_VALUE"""),"dive@trurohomes.org")</f>
        <v>dive@trurohomes.org</v>
      </c>
    </row>
    <row r="47" spans="1:15" ht="13.2">
      <c r="A47" s="123">
        <f ca="1">IFERROR(__xludf.DUMMYFUNCTION("""COMPUTED_VALUE"""),1)</f>
        <v>1</v>
      </c>
      <c r="B47" s="90" t="str">
        <f ca="1">IFERROR(__xludf.DUMMYFUNCTION("""COMPUTED_VALUE"""),"VW")</f>
        <v>VW</v>
      </c>
      <c r="C47" s="141" t="str">
        <f ca="1">IFERROR(__xludf.DUMMYFUNCTION("""COMPUTED_VALUE"""),"VW-Vienna Woods")</f>
        <v>VW-Vienna Woods</v>
      </c>
      <c r="D47" s="141" t="str">
        <f ca="1">IFERROR(__xludf.DUMMYFUNCTION("""COMPUTED_VALUE"""),"Vienna Woods")</f>
        <v>Vienna Woods</v>
      </c>
      <c r="E47" s="190" t="str">
        <f ca="1">IFERROR(__xludf.DUMMYFUNCTION("""COMPUTED_VALUE"""),"Vienna Woods")</f>
        <v>Vienna Woods</v>
      </c>
      <c r="F47" s="142" t="str">
        <f ca="1">IFERROR(__xludf.DUMMYFUNCTION("""COMPUTED_VALUE"""),"VW-Vienna Woods")</f>
        <v>VW-Vienna Woods</v>
      </c>
      <c r="G47" s="190" t="str">
        <f ca="1">IFERROR(__xludf.DUMMYFUNCTION("""COMPUTED_VALUE"""),"Rachel Paci")</f>
        <v>Rachel Paci</v>
      </c>
      <c r="H47" s="190" t="str">
        <f ca="1">IFERROR(__xludf.DUMMYFUNCTION("""COMPUTED_VALUE"""),"703-975-6425")</f>
        <v>703-975-6425</v>
      </c>
      <c r="I47" s="190" t="str">
        <f ca="1">IFERROR(__xludf.DUMMYFUNCTION("""COMPUTED_VALUE"""),"rachelpaci@gmail.com")</f>
        <v>rachelpaci@gmail.com</v>
      </c>
      <c r="J47" s="190" t="str">
        <f ca="1">IFERROR(__xludf.DUMMYFUNCTION("""COMPUTED_VALUE"""),"")</f>
        <v/>
      </c>
      <c r="K47" s="190" t="str">
        <f ca="1">IFERROR(__xludf.DUMMYFUNCTION("""COMPUTED_VALUE"""),"")</f>
        <v/>
      </c>
      <c r="L47" s="191" t="str">
        <f ca="1">IFERROR(__xludf.DUMMYFUNCTION("""COMPUTED_VALUE"""),"")</f>
        <v/>
      </c>
      <c r="M47" s="191"/>
      <c r="N47" s="190"/>
      <c r="O47" s="142"/>
    </row>
    <row r="48" spans="1:15" ht="13.2">
      <c r="A48" s="123">
        <f ca="1">IFERROR(__xludf.DUMMYFUNCTION("""COMPUTED_VALUE"""),7)</f>
        <v>7</v>
      </c>
      <c r="B48" s="90" t="str">
        <f ca="1">IFERROR(__xludf.DUMMYFUNCTION("""COMPUTED_VALUE"""),"W")</f>
        <v>W</v>
      </c>
      <c r="C48" s="141" t="str">
        <f ca="1">IFERROR(__xludf.DUMMYFUNCTION("""COMPUTED_VALUE"""),"W-Woodley")</f>
        <v>W-Woodley</v>
      </c>
      <c r="D48" s="141" t="str">
        <f ca="1">IFERROR(__xludf.DUMMYFUNCTION("""COMPUTED_VALUE"""),"Woodley")</f>
        <v>Woodley</v>
      </c>
      <c r="E48" s="190" t="str">
        <f ca="1">IFERROR(__xludf.DUMMYFUNCTION("""COMPUTED_VALUE"""),"Woodley")</f>
        <v>Woodley</v>
      </c>
      <c r="F48" s="142" t="str">
        <f ca="1">IFERROR(__xludf.DUMMYFUNCTION("""COMPUTED_VALUE"""),"W-Woodley")</f>
        <v>W-Woodley</v>
      </c>
      <c r="G48" s="190" t="str">
        <f ca="1">IFERROR(__xludf.DUMMYFUNCTION("""COMPUTED_VALUE"""),"Emily Hoover")</f>
        <v>Emily Hoover</v>
      </c>
      <c r="H48" s="190"/>
      <c r="I48" s="190" t="str">
        <f ca="1">IFERROR(__xludf.DUMMYFUNCTION("""COMPUTED_VALUE"""),"woodleydiverep@gmail.com")</f>
        <v>woodleydiverep@gmail.com</v>
      </c>
      <c r="J48" s="190" t="str">
        <f ca="1">IFERROR(__xludf.DUMMYFUNCTION("""COMPUTED_VALUE"""),"")</f>
        <v/>
      </c>
      <c r="K48" s="190" t="str">
        <f ca="1">IFERROR(__xludf.DUMMYFUNCTION("""COMPUTED_VALUE"""),"")</f>
        <v/>
      </c>
      <c r="L48" s="191" t="str">
        <f ca="1">IFERROR(__xludf.DUMMYFUNCTION("""COMPUTED_VALUE"""),"")</f>
        <v/>
      </c>
      <c r="M48" s="191"/>
      <c r="N48" s="190"/>
      <c r="O48" s="142"/>
    </row>
    <row r="49" spans="1:15" ht="13.2">
      <c r="A49" s="123">
        <f ca="1">IFERROR(__xludf.DUMMYFUNCTION("""COMPUTED_VALUE"""),4)</f>
        <v>4</v>
      </c>
      <c r="B49" s="90" t="str">
        <f ca="1">IFERROR(__xludf.DUMMYFUNCTION("""COMPUTED_VALUE"""),"WC")</f>
        <v>WC</v>
      </c>
      <c r="C49" s="141" t="str">
        <f ca="1">IFERROR(__xludf.DUMMYFUNCTION("""COMPUTED_VALUE"""),"WC-Wakefield Chapel")</f>
        <v>WC-Wakefield Chapel</v>
      </c>
      <c r="D49" s="141" t="str">
        <f ca="1">IFERROR(__xludf.DUMMYFUNCTION("""COMPUTED_VALUE"""),"Wakefield Chapel")</f>
        <v>Wakefield Chapel</v>
      </c>
      <c r="E49" s="190" t="str">
        <f ca="1">IFERROR(__xludf.DUMMYFUNCTION("""COMPUTED_VALUE"""),"Wakefield Chapel")</f>
        <v>Wakefield Chapel</v>
      </c>
      <c r="F49" s="142" t="str">
        <f ca="1">IFERROR(__xludf.DUMMYFUNCTION("""COMPUTED_VALUE"""),"WC-Wakefield Chapel")</f>
        <v>WC-Wakefield Chapel</v>
      </c>
      <c r="G49" s="190" t="str">
        <f ca="1">IFERROR(__xludf.DUMMYFUNCTION("""COMPUTED_VALUE"""),"David Grannis")</f>
        <v>David Grannis</v>
      </c>
      <c r="H49" s="190" t="str">
        <f ca="1">IFERROR(__xludf.DUMMYFUNCTION("""COMPUTED_VALUE"""),"202-365-6651")</f>
        <v>202-365-6651</v>
      </c>
      <c r="I49" s="190" t="str">
        <f ca="1">IFERROR(__xludf.DUMMYFUNCTION("""COMPUTED_VALUE"""),"dagrannis@gmail.com")</f>
        <v>dagrannis@gmail.com</v>
      </c>
      <c r="J49" s="190" t="str">
        <f ca="1">IFERROR(__xludf.DUMMYFUNCTION("""COMPUTED_VALUE"""),"")</f>
        <v/>
      </c>
      <c r="K49" s="190" t="str">
        <f ca="1">IFERROR(__xludf.DUMMYFUNCTION("""COMPUTED_VALUE"""),"")</f>
        <v/>
      </c>
      <c r="L49" s="191" t="str">
        <f ca="1">IFERROR(__xludf.DUMMYFUNCTION("""COMPUTED_VALUE"""),"")</f>
        <v/>
      </c>
      <c r="M49" s="191"/>
      <c r="N49" s="190"/>
      <c r="O49" s="142"/>
    </row>
    <row r="50" spans="1:15" ht="13.2">
      <c r="A50" s="86">
        <f ca="1">IFERROR(__xludf.DUMMYFUNCTION("""COMPUTED_VALUE"""),2)</f>
        <v>2</v>
      </c>
      <c r="B50" s="90" t="str">
        <f ca="1">IFERROR(__xludf.DUMMYFUNCTION("""COMPUTED_VALUE"""),"WG")</f>
        <v>WG</v>
      </c>
      <c r="C50" s="141" t="str">
        <f ca="1">IFERROR(__xludf.DUMMYFUNCTION("""COMPUTED_VALUE"""),"WG-Walden Glen")</f>
        <v>WG-Walden Glen</v>
      </c>
      <c r="D50" s="141" t="str">
        <f ca="1">IFERROR(__xludf.DUMMYFUNCTION("""COMPUTED_VALUE"""),"Walden Glen")</f>
        <v>Walden Glen</v>
      </c>
      <c r="E50" s="190" t="str">
        <f ca="1">IFERROR(__xludf.DUMMYFUNCTION("""COMPUTED_VALUE"""),"Walden Glen")</f>
        <v>Walden Glen</v>
      </c>
      <c r="F50" s="142" t="str">
        <f ca="1">IFERROR(__xludf.DUMMYFUNCTION("""COMPUTED_VALUE"""),"WG-Walden Glen")</f>
        <v>WG-Walden Glen</v>
      </c>
      <c r="G50" s="142" t="str">
        <f ca="1">IFERROR(__xludf.DUMMYFUNCTION("""COMPUTED_VALUE"""),"Kathleen Moyer")</f>
        <v>Kathleen Moyer</v>
      </c>
      <c r="H50" s="142" t="str">
        <f ca="1">IFERROR(__xludf.DUMMYFUNCTION("""COMPUTED_VALUE"""),"703-638-4711")</f>
        <v>703-638-4711</v>
      </c>
      <c r="I50" s="142" t="str">
        <f ca="1">IFERROR(__xludf.DUMMYFUNCTION("""COMPUTED_VALUE"""),"kathmoyer39@gmail.com ")</f>
        <v xml:space="preserve">kathmoyer39@gmail.com </v>
      </c>
      <c r="J50" s="142" t="str">
        <f ca="1">IFERROR(__xludf.DUMMYFUNCTION("""COMPUTED_VALUE"""),"Karen Uribarri-Tibaluzo")</f>
        <v>Karen Uribarri-Tibaluzo</v>
      </c>
      <c r="K50" s="142" t="str">
        <f ca="1">IFERROR(__xludf.DUMMYFUNCTION("""COMPUTED_VALUE"""),"")</f>
        <v/>
      </c>
      <c r="L50" s="142" t="str">
        <f ca="1">IFERROR(__xludf.DUMMYFUNCTION("""COMPUTED_VALUE"""),"ktibabuzo@gmail.com")</f>
        <v>ktibabuzo@gmail.com</v>
      </c>
      <c r="M50" s="142" t="str">
        <f ca="1">IFERROR(__xludf.DUMMYFUNCTION("""COMPUTED_VALUE"""),"Joey Rabe")</f>
        <v>Joey Rabe</v>
      </c>
      <c r="N50" s="142"/>
      <c r="O50" s="142" t="str">
        <f ca="1">IFERROR(__xludf.DUMMYFUNCTION("""COMPUTED_VALUE"""),"jar.rabe24@gmail.com")</f>
        <v>jar.rabe24@gmail.com</v>
      </c>
    </row>
    <row r="51" spans="1:15" ht="13.2">
      <c r="A51" s="86"/>
      <c r="C51" s="142" t="str">
        <f ca="1">IFERROR(__xludf.DUMMYFUNCTION("""COMPUTED_VALUE"""),"")</f>
        <v/>
      </c>
      <c r="D51" s="142"/>
      <c r="E51" s="142"/>
      <c r="F51" s="142" t="str">
        <f ca="1">IFERROR(__xludf.DUMMYFUNCTION("""COMPUTED_VALUE"""),"")</f>
        <v/>
      </c>
      <c r="G51" s="142"/>
      <c r="H51" s="142"/>
      <c r="I51" s="142"/>
      <c r="J51" s="142"/>
      <c r="K51" s="142"/>
      <c r="L51" s="142"/>
      <c r="M51" s="142"/>
      <c r="N51" s="142"/>
      <c r="O51" s="142"/>
    </row>
    <row r="52" spans="1:15" ht="13.2">
      <c r="A52" s="86"/>
      <c r="C52" s="142" t="str">
        <f ca="1">IFERROR(__xludf.DUMMYFUNCTION("""COMPUTED_VALUE"""),"")</f>
        <v/>
      </c>
      <c r="D52" s="142"/>
      <c r="E52" s="142"/>
      <c r="F52" s="142" t="str">
        <f ca="1">IFERROR(__xludf.DUMMYFUNCTION("""COMPUTED_VALUE"""),"")</f>
        <v/>
      </c>
      <c r="G52" s="142"/>
      <c r="H52" s="142"/>
      <c r="I52" s="142"/>
      <c r="J52" s="142"/>
      <c r="K52" s="142"/>
      <c r="L52" s="142"/>
      <c r="M52" s="142"/>
      <c r="N52" s="142"/>
      <c r="O52" s="142"/>
    </row>
    <row r="53" spans="1:15" ht="13.2">
      <c r="A53" s="86"/>
      <c r="C53" s="142" t="str">
        <f ca="1">IFERROR(__xludf.DUMMYFUNCTION("""COMPUTED_VALUE"""),"")</f>
        <v/>
      </c>
      <c r="D53" s="142"/>
      <c r="E53" s="142"/>
      <c r="F53" s="142" t="str">
        <f ca="1">IFERROR(__xludf.DUMMYFUNCTION("""COMPUTED_VALUE"""),"")</f>
        <v/>
      </c>
      <c r="G53" s="142"/>
      <c r="H53" s="142"/>
      <c r="I53" s="142"/>
      <c r="J53" s="142"/>
      <c r="K53" s="142"/>
      <c r="L53" s="142"/>
      <c r="M53" s="142"/>
      <c r="N53" s="142"/>
      <c r="O53" s="142"/>
    </row>
    <row r="54" spans="1:15" ht="13.2">
      <c r="A54" s="86"/>
      <c r="C54" s="142" t="str">
        <f ca="1">IFERROR(__xludf.DUMMYFUNCTION("""COMPUTED_VALUE"""),"")</f>
        <v/>
      </c>
      <c r="D54" s="142"/>
      <c r="E54" s="142"/>
      <c r="F54" s="142" t="str">
        <f ca="1">IFERROR(__xludf.DUMMYFUNCTION("""COMPUTED_VALUE"""),"")</f>
        <v/>
      </c>
      <c r="G54" s="142"/>
      <c r="H54" s="142"/>
      <c r="I54" s="142"/>
      <c r="J54" s="142"/>
      <c r="K54" s="142"/>
      <c r="L54" s="142"/>
      <c r="M54" s="142"/>
      <c r="N54" s="142"/>
      <c r="O54" s="142"/>
    </row>
    <row r="55" spans="1:15" ht="13.2">
      <c r="A55" s="86"/>
      <c r="C55" s="142" t="str">
        <f ca="1">IFERROR(__xludf.DUMMYFUNCTION("""COMPUTED_VALUE"""),"")</f>
        <v/>
      </c>
      <c r="D55" s="142"/>
      <c r="E55" s="142"/>
      <c r="F55" s="142" t="str">
        <f ca="1">IFERROR(__xludf.DUMMYFUNCTION("""COMPUTED_VALUE"""),"")</f>
        <v/>
      </c>
      <c r="G55" s="142"/>
      <c r="H55" s="142"/>
      <c r="I55" s="142"/>
      <c r="J55" s="142"/>
      <c r="K55" s="142"/>
      <c r="L55" s="142"/>
      <c r="M55" s="142"/>
      <c r="N55" s="142"/>
      <c r="O55" s="142"/>
    </row>
    <row r="56" spans="1:15" ht="13.2">
      <c r="A56" s="86"/>
      <c r="C56" s="142" t="str">
        <f ca="1">IFERROR(__xludf.DUMMYFUNCTION("""COMPUTED_VALUE"""),"")</f>
        <v/>
      </c>
      <c r="D56" s="142"/>
      <c r="E56" s="142"/>
      <c r="F56" s="142" t="str">
        <f ca="1">IFERROR(__xludf.DUMMYFUNCTION("""COMPUTED_VALUE"""),"")</f>
        <v/>
      </c>
      <c r="G56" s="142"/>
      <c r="H56" s="142"/>
      <c r="I56" s="142"/>
      <c r="J56" s="142"/>
      <c r="K56" s="142"/>
      <c r="L56" s="142"/>
      <c r="M56" s="142"/>
      <c r="N56" s="142"/>
      <c r="O56" s="142"/>
    </row>
    <row r="57" spans="1:15" ht="13.2">
      <c r="A57" s="86"/>
      <c r="C57" s="142" t="str">
        <f ca="1">IFERROR(__xludf.DUMMYFUNCTION("""COMPUTED_VALUE"""),"")</f>
        <v/>
      </c>
      <c r="D57" s="142"/>
      <c r="E57" s="142"/>
      <c r="F57" s="142" t="str">
        <f ca="1">IFERROR(__xludf.DUMMYFUNCTION("""COMPUTED_VALUE"""),"")</f>
        <v/>
      </c>
      <c r="G57" s="142"/>
      <c r="H57" s="142"/>
      <c r="I57" s="142"/>
      <c r="J57" s="142"/>
      <c r="K57" s="142"/>
      <c r="L57" s="142"/>
      <c r="M57" s="142"/>
      <c r="N57" s="142"/>
      <c r="O57" s="142"/>
    </row>
    <row r="58" spans="1:15" ht="13.2">
      <c r="A58" s="86"/>
      <c r="C58" s="142" t="str">
        <f ca="1">IFERROR(__xludf.DUMMYFUNCTION("""COMPUTED_VALUE"""),"")</f>
        <v/>
      </c>
      <c r="D58" s="142"/>
      <c r="E58" s="142"/>
      <c r="F58" s="142" t="str">
        <f ca="1">IFERROR(__xludf.DUMMYFUNCTION("""COMPUTED_VALUE"""),"")</f>
        <v/>
      </c>
      <c r="G58" s="142"/>
      <c r="H58" s="142"/>
      <c r="I58" s="142"/>
      <c r="J58" s="142"/>
      <c r="K58" s="142"/>
      <c r="L58" s="142"/>
      <c r="M58" s="142"/>
      <c r="N58" s="142"/>
      <c r="O58" s="142"/>
    </row>
    <row r="59" spans="1:15" ht="13.2">
      <c r="A59" s="86"/>
      <c r="C59" s="142" t="str">
        <f ca="1">IFERROR(__xludf.DUMMYFUNCTION("""COMPUTED_VALUE"""),"")</f>
        <v/>
      </c>
      <c r="D59" s="142"/>
      <c r="E59" s="142"/>
      <c r="F59" s="142" t="str">
        <f ca="1">IFERROR(__xludf.DUMMYFUNCTION("""COMPUTED_VALUE"""),"")</f>
        <v/>
      </c>
      <c r="G59" s="142"/>
      <c r="H59" s="142"/>
      <c r="I59" s="142"/>
      <c r="J59" s="142"/>
      <c r="K59" s="142"/>
      <c r="L59" s="142"/>
      <c r="M59" s="142"/>
      <c r="N59" s="142"/>
      <c r="O59" s="142"/>
    </row>
    <row r="60" spans="1:15" ht="13.2">
      <c r="A60" s="86"/>
      <c r="C60" s="142" t="str">
        <f ca="1">IFERROR(__xludf.DUMMYFUNCTION("""COMPUTED_VALUE"""),"")</f>
        <v/>
      </c>
      <c r="D60" s="142"/>
      <c r="E60" s="142"/>
      <c r="F60" s="142" t="str">
        <f ca="1">IFERROR(__xludf.DUMMYFUNCTION("""COMPUTED_VALUE"""),"")</f>
        <v/>
      </c>
      <c r="G60" s="142"/>
      <c r="H60" s="142"/>
      <c r="I60" s="142"/>
      <c r="J60" s="142"/>
      <c r="K60" s="142"/>
      <c r="L60" s="142"/>
      <c r="M60" s="142"/>
      <c r="N60" s="142"/>
      <c r="O60" s="142"/>
    </row>
    <row r="61" spans="1:15" ht="13.2">
      <c r="A61" s="86"/>
      <c r="C61" s="142" t="str">
        <f ca="1">IFERROR(__xludf.DUMMYFUNCTION("""COMPUTED_VALUE"""),"")</f>
        <v/>
      </c>
      <c r="D61" s="142"/>
      <c r="E61" s="142"/>
      <c r="F61" s="142" t="str">
        <f ca="1">IFERROR(__xludf.DUMMYFUNCTION("""COMPUTED_VALUE"""),"")</f>
        <v/>
      </c>
      <c r="G61" s="142"/>
      <c r="H61" s="142"/>
      <c r="I61" s="142"/>
      <c r="J61" s="142"/>
      <c r="K61" s="142"/>
      <c r="L61" s="142"/>
      <c r="M61" s="142"/>
      <c r="N61" s="142"/>
      <c r="O61" s="142"/>
    </row>
    <row r="62" spans="1:15" ht="13.2">
      <c r="A62" s="86"/>
      <c r="C62" s="142" t="str">
        <f ca="1">IFERROR(__xludf.DUMMYFUNCTION("""COMPUTED_VALUE"""),"")</f>
        <v/>
      </c>
      <c r="D62" s="142"/>
      <c r="E62" s="142"/>
      <c r="F62" s="142" t="str">
        <f ca="1">IFERROR(__xludf.DUMMYFUNCTION("""COMPUTED_VALUE"""),"")</f>
        <v/>
      </c>
      <c r="G62" s="142"/>
      <c r="H62" s="142"/>
      <c r="I62" s="142"/>
      <c r="J62" s="142"/>
      <c r="K62" s="142"/>
      <c r="L62" s="142"/>
      <c r="M62" s="142"/>
      <c r="N62" s="142"/>
      <c r="O62" s="142"/>
    </row>
    <row r="63" spans="1:15" ht="13.2">
      <c r="A63" s="86"/>
      <c r="C63" s="142" t="str">
        <f ca="1">IFERROR(__xludf.DUMMYFUNCTION("""COMPUTED_VALUE"""),"")</f>
        <v/>
      </c>
      <c r="D63" s="142"/>
      <c r="E63" s="142"/>
      <c r="F63" s="142" t="str">
        <f ca="1">IFERROR(__xludf.DUMMYFUNCTION("""COMPUTED_VALUE"""),"")</f>
        <v/>
      </c>
      <c r="G63" s="142"/>
      <c r="H63" s="142"/>
      <c r="I63" s="142"/>
      <c r="J63" s="142"/>
      <c r="K63" s="142"/>
      <c r="L63" s="142"/>
      <c r="M63" s="142"/>
      <c r="N63" s="142"/>
      <c r="O63" s="142"/>
    </row>
    <row r="64" spans="1:15" ht="13.2">
      <c r="A64" s="86"/>
      <c r="C64" s="142" t="str">
        <f ca="1">IFERROR(__xludf.DUMMYFUNCTION("""COMPUTED_VALUE"""),"")</f>
        <v/>
      </c>
      <c r="D64" s="142"/>
      <c r="E64" s="142"/>
      <c r="F64" s="142" t="str">
        <f ca="1">IFERROR(__xludf.DUMMYFUNCTION("""COMPUTED_VALUE"""),"")</f>
        <v/>
      </c>
      <c r="G64" s="142"/>
      <c r="H64" s="142"/>
      <c r="I64" s="142"/>
      <c r="J64" s="142"/>
      <c r="K64" s="142"/>
      <c r="L64" s="142"/>
      <c r="M64" s="142"/>
      <c r="N64" s="142"/>
      <c r="O64" s="142"/>
    </row>
    <row r="65" spans="1:15" ht="13.2">
      <c r="A65" s="86"/>
      <c r="C65" s="142" t="str">
        <f ca="1">IFERROR(__xludf.DUMMYFUNCTION("""COMPUTED_VALUE"""),"")</f>
        <v/>
      </c>
      <c r="D65" s="142"/>
      <c r="E65" s="142"/>
      <c r="F65" s="142" t="str">
        <f ca="1">IFERROR(__xludf.DUMMYFUNCTION("""COMPUTED_VALUE"""),"")</f>
        <v/>
      </c>
      <c r="G65" s="142"/>
      <c r="H65" s="142"/>
      <c r="I65" s="142"/>
      <c r="J65" s="142"/>
      <c r="K65" s="142"/>
      <c r="L65" s="142"/>
      <c r="M65" s="142"/>
      <c r="N65" s="142"/>
      <c r="O65" s="142"/>
    </row>
    <row r="66" spans="1:15" ht="13.2">
      <c r="A66" s="86"/>
      <c r="C66" s="142" t="str">
        <f ca="1">IFERROR(__xludf.DUMMYFUNCTION("""COMPUTED_VALUE"""),"")</f>
        <v/>
      </c>
      <c r="D66" s="142"/>
      <c r="E66" s="142"/>
      <c r="F66" s="142" t="str">
        <f ca="1">IFERROR(__xludf.DUMMYFUNCTION("""COMPUTED_VALUE"""),"")</f>
        <v/>
      </c>
      <c r="G66" s="142"/>
      <c r="H66" s="142"/>
      <c r="I66" s="142"/>
      <c r="J66" s="142"/>
      <c r="K66" s="142"/>
      <c r="L66" s="142"/>
      <c r="M66" s="142"/>
      <c r="N66" s="142"/>
      <c r="O66" s="142"/>
    </row>
    <row r="67" spans="1:15" ht="13.2">
      <c r="A67" s="86"/>
      <c r="C67" s="142" t="str">
        <f ca="1">IFERROR(__xludf.DUMMYFUNCTION("""COMPUTED_VALUE"""),"")</f>
        <v/>
      </c>
      <c r="D67" s="142"/>
      <c r="E67" s="142"/>
      <c r="F67" s="142" t="str">
        <f ca="1">IFERROR(__xludf.DUMMYFUNCTION("""COMPUTED_VALUE"""),"")</f>
        <v/>
      </c>
      <c r="G67" s="142"/>
      <c r="H67" s="142"/>
      <c r="I67" s="142"/>
      <c r="J67" s="142"/>
      <c r="K67" s="142"/>
      <c r="L67" s="142"/>
      <c r="M67" s="142"/>
      <c r="N67" s="142"/>
      <c r="O67" s="142"/>
    </row>
    <row r="68" spans="1:15" ht="13.2">
      <c r="A68" s="86"/>
      <c r="C68" s="142" t="str">
        <f ca="1">IFERROR(__xludf.DUMMYFUNCTION("""COMPUTED_VALUE"""),"")</f>
        <v/>
      </c>
      <c r="D68" s="142"/>
      <c r="E68" s="142"/>
      <c r="F68" s="142" t="str">
        <f ca="1">IFERROR(__xludf.DUMMYFUNCTION("""COMPUTED_VALUE"""),"")</f>
        <v/>
      </c>
      <c r="G68" s="142"/>
      <c r="H68" s="142"/>
      <c r="I68" s="142"/>
      <c r="J68" s="142"/>
      <c r="K68" s="142"/>
      <c r="L68" s="142"/>
      <c r="M68" s="142"/>
      <c r="N68" s="142"/>
      <c r="O68" s="142"/>
    </row>
    <row r="69" spans="1:15" ht="13.2">
      <c r="A69" s="86"/>
      <c r="C69" s="142" t="str">
        <f ca="1">IFERROR(__xludf.DUMMYFUNCTION("""COMPUTED_VALUE"""),"")</f>
        <v/>
      </c>
      <c r="D69" s="142"/>
      <c r="E69" s="142"/>
      <c r="F69" s="142" t="str">
        <f ca="1">IFERROR(__xludf.DUMMYFUNCTION("""COMPUTED_VALUE"""),"")</f>
        <v/>
      </c>
      <c r="G69" s="142"/>
      <c r="H69" s="142"/>
      <c r="I69" s="142"/>
      <c r="J69" s="142"/>
      <c r="K69" s="142"/>
      <c r="L69" s="142"/>
      <c r="M69" s="142"/>
      <c r="N69" s="142"/>
      <c r="O69" s="142"/>
    </row>
    <row r="70" spans="1:15" ht="13.2">
      <c r="A70" s="86"/>
      <c r="C70" s="142" t="str">
        <f ca="1">IFERROR(__xludf.DUMMYFUNCTION("""COMPUTED_VALUE"""),"")</f>
        <v/>
      </c>
      <c r="D70" s="142"/>
      <c r="E70" s="142"/>
      <c r="F70" s="142" t="str">
        <f ca="1">IFERROR(__xludf.DUMMYFUNCTION("""COMPUTED_VALUE"""),"")</f>
        <v/>
      </c>
      <c r="G70" s="142"/>
      <c r="H70" s="142"/>
      <c r="I70" s="142"/>
      <c r="J70" s="142"/>
      <c r="K70" s="142"/>
      <c r="L70" s="142"/>
      <c r="M70" s="142"/>
      <c r="N70" s="142"/>
      <c r="O70" s="142"/>
    </row>
    <row r="71" spans="1:15" ht="13.2">
      <c r="A71" s="86"/>
      <c r="C71" s="142" t="str">
        <f ca="1">IFERROR(__xludf.DUMMYFUNCTION("""COMPUTED_VALUE"""),"")</f>
        <v/>
      </c>
      <c r="D71" s="142"/>
      <c r="E71" s="142"/>
      <c r="F71" s="142" t="str">
        <f ca="1">IFERROR(__xludf.DUMMYFUNCTION("""COMPUTED_VALUE"""),"")</f>
        <v/>
      </c>
      <c r="G71" s="142"/>
      <c r="H71" s="142"/>
      <c r="I71" s="142"/>
      <c r="J71" s="142"/>
      <c r="K71" s="142"/>
      <c r="L71" s="142"/>
      <c r="M71" s="142"/>
      <c r="N71" s="142"/>
      <c r="O71" s="142"/>
    </row>
    <row r="72" spans="1:15" ht="13.2">
      <c r="A72" s="86"/>
      <c r="C72" s="142" t="str">
        <f ca="1">IFERROR(__xludf.DUMMYFUNCTION("""COMPUTED_VALUE"""),"")</f>
        <v/>
      </c>
      <c r="D72" s="142"/>
      <c r="E72" s="142"/>
      <c r="F72" s="142" t="str">
        <f ca="1">IFERROR(__xludf.DUMMYFUNCTION("""COMPUTED_VALUE"""),"")</f>
        <v/>
      </c>
      <c r="G72" s="142"/>
      <c r="H72" s="142"/>
      <c r="I72" s="142"/>
      <c r="J72" s="142"/>
      <c r="K72" s="142"/>
      <c r="L72" s="142"/>
      <c r="M72" s="142"/>
      <c r="N72" s="142"/>
      <c r="O72" s="142"/>
    </row>
    <row r="73" spans="1:15" ht="13.2">
      <c r="A73" s="86"/>
      <c r="C73" s="142" t="str">
        <f ca="1">IFERROR(__xludf.DUMMYFUNCTION("""COMPUTED_VALUE"""),"")</f>
        <v/>
      </c>
      <c r="D73" s="142"/>
      <c r="E73" s="142"/>
      <c r="F73" s="142" t="str">
        <f ca="1">IFERROR(__xludf.DUMMYFUNCTION("""COMPUTED_VALUE"""),"")</f>
        <v/>
      </c>
      <c r="G73" s="142"/>
      <c r="H73" s="142"/>
      <c r="I73" s="142"/>
      <c r="J73" s="142"/>
      <c r="K73" s="142"/>
      <c r="L73" s="142"/>
      <c r="M73" s="142"/>
      <c r="N73" s="142"/>
      <c r="O73" s="142"/>
    </row>
    <row r="74" spans="1:15" ht="13.2">
      <c r="A74" s="86"/>
      <c r="C74" s="142" t="str">
        <f ca="1">IFERROR(__xludf.DUMMYFUNCTION("""COMPUTED_VALUE"""),"")</f>
        <v/>
      </c>
      <c r="D74" s="142"/>
      <c r="E74" s="142"/>
      <c r="F74" s="142" t="str">
        <f ca="1">IFERROR(__xludf.DUMMYFUNCTION("""COMPUTED_VALUE"""),"")</f>
        <v/>
      </c>
      <c r="G74" s="142"/>
      <c r="H74" s="142"/>
      <c r="I74" s="142"/>
      <c r="J74" s="142"/>
      <c r="K74" s="142"/>
      <c r="L74" s="142"/>
      <c r="M74" s="142"/>
      <c r="N74" s="142"/>
      <c r="O74" s="142"/>
    </row>
    <row r="75" spans="1:15" ht="13.2">
      <c r="A75" s="86"/>
      <c r="C75" s="142" t="str">
        <f ca="1">IFERROR(__xludf.DUMMYFUNCTION("""COMPUTED_VALUE"""),"")</f>
        <v/>
      </c>
      <c r="D75" s="142"/>
      <c r="E75" s="142"/>
      <c r="F75" s="142" t="str">
        <f ca="1">IFERROR(__xludf.DUMMYFUNCTION("""COMPUTED_VALUE"""),"")</f>
        <v/>
      </c>
      <c r="G75" s="142"/>
      <c r="H75" s="142"/>
      <c r="I75" s="142"/>
      <c r="J75" s="142"/>
      <c r="K75" s="142"/>
      <c r="L75" s="142"/>
      <c r="M75" s="142"/>
      <c r="N75" s="142"/>
      <c r="O75" s="142"/>
    </row>
    <row r="76" spans="1:15" ht="13.2">
      <c r="A76" s="86"/>
      <c r="C76" s="142" t="str">
        <f ca="1">IFERROR(__xludf.DUMMYFUNCTION("""COMPUTED_VALUE"""),"")</f>
        <v/>
      </c>
      <c r="D76" s="142"/>
      <c r="E76" s="142"/>
      <c r="F76" s="142" t="str">
        <f ca="1">IFERROR(__xludf.DUMMYFUNCTION("""COMPUTED_VALUE"""),"")</f>
        <v/>
      </c>
      <c r="G76" s="142"/>
      <c r="H76" s="142"/>
      <c r="I76" s="142"/>
      <c r="J76" s="142"/>
      <c r="K76" s="142"/>
      <c r="L76" s="142"/>
      <c r="M76" s="142"/>
      <c r="N76" s="142"/>
      <c r="O76" s="142"/>
    </row>
    <row r="77" spans="1:15" ht="13.2">
      <c r="A77" s="86"/>
      <c r="C77" s="142" t="str">
        <f ca="1">IFERROR(__xludf.DUMMYFUNCTION("""COMPUTED_VALUE"""),"")</f>
        <v/>
      </c>
      <c r="D77" s="142"/>
      <c r="E77" s="142"/>
      <c r="F77" s="142" t="str">
        <f ca="1">IFERROR(__xludf.DUMMYFUNCTION("""COMPUTED_VALUE"""),"")</f>
        <v/>
      </c>
      <c r="G77" s="142"/>
      <c r="H77" s="142"/>
      <c r="I77" s="142"/>
      <c r="J77" s="142"/>
      <c r="K77" s="142"/>
      <c r="L77" s="142"/>
      <c r="M77" s="142"/>
      <c r="N77" s="142"/>
      <c r="O77" s="142"/>
    </row>
    <row r="78" spans="1:15" ht="13.2">
      <c r="A78" s="86"/>
      <c r="C78" s="142" t="str">
        <f ca="1">IFERROR(__xludf.DUMMYFUNCTION("""COMPUTED_VALUE"""),"")</f>
        <v/>
      </c>
      <c r="D78" s="142"/>
      <c r="E78" s="142"/>
      <c r="F78" s="142" t="str">
        <f ca="1">IFERROR(__xludf.DUMMYFUNCTION("""COMPUTED_VALUE"""),"")</f>
        <v/>
      </c>
      <c r="G78" s="142"/>
      <c r="H78" s="142"/>
      <c r="I78" s="142"/>
      <c r="J78" s="142"/>
      <c r="K78" s="142"/>
      <c r="L78" s="142"/>
      <c r="M78" s="142"/>
      <c r="N78" s="142"/>
      <c r="O78" s="142"/>
    </row>
    <row r="79" spans="1:15" ht="13.2">
      <c r="A79" s="86"/>
      <c r="C79" s="142" t="str">
        <f ca="1">IFERROR(__xludf.DUMMYFUNCTION("""COMPUTED_VALUE"""),"")</f>
        <v/>
      </c>
      <c r="D79" s="142"/>
      <c r="E79" s="142"/>
      <c r="F79" s="142" t="str">
        <f ca="1">IFERROR(__xludf.DUMMYFUNCTION("""COMPUTED_VALUE"""),"")</f>
        <v/>
      </c>
      <c r="G79" s="142"/>
      <c r="H79" s="142"/>
      <c r="I79" s="142"/>
      <c r="J79" s="142"/>
      <c r="K79" s="142"/>
      <c r="L79" s="142"/>
      <c r="M79" s="142"/>
      <c r="N79" s="142"/>
      <c r="O79" s="142"/>
    </row>
    <row r="80" spans="1:15" ht="13.2">
      <c r="A80" s="86"/>
      <c r="C80" s="142" t="str">
        <f ca="1">IFERROR(__xludf.DUMMYFUNCTION("""COMPUTED_VALUE"""),"")</f>
        <v/>
      </c>
      <c r="D80" s="142"/>
      <c r="E80" s="142"/>
      <c r="F80" s="142" t="str">
        <f ca="1">IFERROR(__xludf.DUMMYFUNCTION("""COMPUTED_VALUE"""),"")</f>
        <v/>
      </c>
      <c r="G80" s="142"/>
      <c r="H80" s="142"/>
      <c r="I80" s="142"/>
      <c r="J80" s="142"/>
      <c r="K80" s="142"/>
      <c r="L80" s="142"/>
      <c r="M80" s="142"/>
      <c r="N80" s="142"/>
      <c r="O80" s="142"/>
    </row>
    <row r="81" spans="1:15" ht="13.2">
      <c r="A81" s="86"/>
      <c r="C81" s="142" t="str">
        <f ca="1">IFERROR(__xludf.DUMMYFUNCTION("""COMPUTED_VALUE"""),"")</f>
        <v/>
      </c>
      <c r="D81" s="142"/>
      <c r="E81" s="142"/>
      <c r="F81" s="142" t="str">
        <f ca="1">IFERROR(__xludf.DUMMYFUNCTION("""COMPUTED_VALUE"""),"")</f>
        <v/>
      </c>
      <c r="G81" s="142"/>
      <c r="H81" s="142"/>
      <c r="I81" s="142"/>
      <c r="J81" s="142"/>
      <c r="K81" s="142"/>
      <c r="L81" s="142"/>
      <c r="M81" s="142"/>
      <c r="N81" s="142"/>
      <c r="O81" s="142"/>
    </row>
    <row r="82" spans="1:15" ht="13.2">
      <c r="A82" s="86"/>
      <c r="C82" s="142" t="str">
        <f ca="1">IFERROR(__xludf.DUMMYFUNCTION("""COMPUTED_VALUE"""),"")</f>
        <v/>
      </c>
      <c r="D82" s="142"/>
      <c r="E82" s="142"/>
      <c r="F82" s="142" t="str">
        <f ca="1">IFERROR(__xludf.DUMMYFUNCTION("""COMPUTED_VALUE"""),"")</f>
        <v/>
      </c>
      <c r="G82" s="142"/>
      <c r="H82" s="142"/>
      <c r="I82" s="142"/>
      <c r="J82" s="142"/>
      <c r="K82" s="142"/>
      <c r="L82" s="142"/>
      <c r="M82" s="142"/>
      <c r="N82" s="142"/>
      <c r="O82" s="142"/>
    </row>
    <row r="83" spans="1:15" ht="13.2">
      <c r="A83" s="86"/>
      <c r="C83" s="142" t="str">
        <f ca="1">IFERROR(__xludf.DUMMYFUNCTION("""COMPUTED_VALUE"""),"")</f>
        <v/>
      </c>
      <c r="D83" s="142"/>
      <c r="E83" s="142"/>
      <c r="F83" s="142" t="str">
        <f ca="1">IFERROR(__xludf.DUMMYFUNCTION("""COMPUTED_VALUE"""),"")</f>
        <v/>
      </c>
      <c r="G83" s="142"/>
      <c r="H83" s="142"/>
      <c r="I83" s="142"/>
      <c r="J83" s="142"/>
      <c r="K83" s="142"/>
      <c r="L83" s="142"/>
      <c r="M83" s="142"/>
      <c r="N83" s="142"/>
      <c r="O83" s="142"/>
    </row>
    <row r="84" spans="1:15" ht="13.2">
      <c r="A84" s="86"/>
      <c r="C84" s="142" t="str">
        <f ca="1">IFERROR(__xludf.DUMMYFUNCTION("""COMPUTED_VALUE"""),"")</f>
        <v/>
      </c>
      <c r="D84" s="142"/>
      <c r="E84" s="142"/>
      <c r="F84" s="142" t="str">
        <f ca="1">IFERROR(__xludf.DUMMYFUNCTION("""COMPUTED_VALUE"""),"")</f>
        <v/>
      </c>
      <c r="G84" s="142"/>
      <c r="H84" s="142"/>
      <c r="I84" s="142"/>
      <c r="J84" s="142"/>
      <c r="K84" s="142"/>
      <c r="L84" s="142"/>
      <c r="M84" s="142"/>
      <c r="N84" s="142"/>
      <c r="O84" s="142"/>
    </row>
    <row r="85" spans="1:15" ht="13.2">
      <c r="A85" s="86"/>
      <c r="C85" s="142" t="str">
        <f ca="1">IFERROR(__xludf.DUMMYFUNCTION("""COMPUTED_VALUE"""),"")</f>
        <v/>
      </c>
      <c r="D85" s="142"/>
      <c r="E85" s="142"/>
      <c r="F85" s="142" t="str">
        <f ca="1">IFERROR(__xludf.DUMMYFUNCTION("""COMPUTED_VALUE"""),"")</f>
        <v/>
      </c>
      <c r="G85" s="142"/>
      <c r="H85" s="142"/>
      <c r="I85" s="142"/>
      <c r="J85" s="142"/>
      <c r="K85" s="142"/>
      <c r="L85" s="142"/>
      <c r="M85" s="142"/>
      <c r="N85" s="142"/>
      <c r="O85" s="142"/>
    </row>
    <row r="86" spans="1:15" ht="13.2">
      <c r="A86" s="86"/>
      <c r="C86" s="142" t="str">
        <f ca="1">IFERROR(__xludf.DUMMYFUNCTION("""COMPUTED_VALUE"""),"")</f>
        <v/>
      </c>
      <c r="D86" s="142"/>
      <c r="E86" s="142"/>
      <c r="F86" s="142" t="str">
        <f ca="1">IFERROR(__xludf.DUMMYFUNCTION("""COMPUTED_VALUE"""),"")</f>
        <v/>
      </c>
      <c r="G86" s="142"/>
      <c r="H86" s="142"/>
      <c r="I86" s="142"/>
      <c r="J86" s="142"/>
      <c r="K86" s="142"/>
      <c r="L86" s="142"/>
      <c r="M86" s="142"/>
      <c r="N86" s="142"/>
      <c r="O86" s="142"/>
    </row>
    <row r="87" spans="1:15" ht="13.2">
      <c r="A87" s="86"/>
      <c r="C87" s="142" t="str">
        <f ca="1">IFERROR(__xludf.DUMMYFUNCTION("""COMPUTED_VALUE"""),"")</f>
        <v/>
      </c>
      <c r="D87" s="142"/>
      <c r="E87" s="142"/>
      <c r="F87" s="142" t="str">
        <f ca="1">IFERROR(__xludf.DUMMYFUNCTION("""COMPUTED_VALUE"""),"")</f>
        <v/>
      </c>
      <c r="G87" s="142"/>
      <c r="H87" s="142"/>
      <c r="I87" s="142"/>
      <c r="J87" s="142"/>
      <c r="K87" s="142"/>
      <c r="L87" s="142"/>
      <c r="M87" s="142"/>
      <c r="N87" s="142"/>
      <c r="O87" s="142"/>
    </row>
    <row r="88" spans="1:15" ht="13.2">
      <c r="A88" s="86"/>
      <c r="C88" s="142" t="str">
        <f ca="1">IFERROR(__xludf.DUMMYFUNCTION("""COMPUTED_VALUE"""),"")</f>
        <v/>
      </c>
      <c r="D88" s="142"/>
      <c r="E88" s="142"/>
      <c r="F88" s="142" t="str">
        <f ca="1">IFERROR(__xludf.DUMMYFUNCTION("""COMPUTED_VALUE"""),"")</f>
        <v/>
      </c>
      <c r="G88" s="142"/>
      <c r="H88" s="142"/>
      <c r="I88" s="142"/>
      <c r="J88" s="142"/>
      <c r="K88" s="142"/>
      <c r="L88" s="142"/>
      <c r="M88" s="142"/>
      <c r="N88" s="142"/>
      <c r="O88" s="142"/>
    </row>
    <row r="89" spans="1:15" ht="13.2">
      <c r="A89" s="86"/>
      <c r="C89" s="142" t="str">
        <f ca="1">IFERROR(__xludf.DUMMYFUNCTION("""COMPUTED_VALUE"""),"")</f>
        <v/>
      </c>
      <c r="D89" s="142"/>
      <c r="E89" s="142"/>
      <c r="F89" s="142" t="str">
        <f ca="1">IFERROR(__xludf.DUMMYFUNCTION("""COMPUTED_VALUE"""),"")</f>
        <v/>
      </c>
      <c r="G89" s="142"/>
      <c r="H89" s="142"/>
      <c r="I89" s="142"/>
      <c r="J89" s="142"/>
      <c r="K89" s="142"/>
      <c r="L89" s="142"/>
      <c r="M89" s="142"/>
      <c r="N89" s="142"/>
      <c r="O89" s="142"/>
    </row>
    <row r="90" spans="1:15" ht="13.2">
      <c r="A90" s="86"/>
      <c r="C90" s="142" t="str">
        <f ca="1">IFERROR(__xludf.DUMMYFUNCTION("""COMPUTED_VALUE"""),"")</f>
        <v/>
      </c>
      <c r="D90" s="142"/>
      <c r="E90" s="142"/>
      <c r="F90" s="142" t="str">
        <f ca="1">IFERROR(__xludf.DUMMYFUNCTION("""COMPUTED_VALUE"""),"")</f>
        <v/>
      </c>
      <c r="G90" s="142"/>
      <c r="H90" s="142"/>
      <c r="I90" s="142"/>
      <c r="J90" s="142"/>
      <c r="K90" s="142"/>
      <c r="L90" s="142"/>
      <c r="M90" s="142"/>
      <c r="N90" s="142"/>
      <c r="O90" s="142"/>
    </row>
    <row r="91" spans="1:15" ht="13.2">
      <c r="A91" s="86"/>
      <c r="C91" s="142" t="str">
        <f ca="1">IFERROR(__xludf.DUMMYFUNCTION("""COMPUTED_VALUE"""),"")</f>
        <v/>
      </c>
      <c r="D91" s="142"/>
      <c r="E91" s="142"/>
      <c r="F91" s="142" t="str">
        <f ca="1">IFERROR(__xludf.DUMMYFUNCTION("""COMPUTED_VALUE"""),"")</f>
        <v/>
      </c>
      <c r="G91" s="142"/>
      <c r="H91" s="142"/>
      <c r="I91" s="142"/>
      <c r="J91" s="142"/>
      <c r="K91" s="142"/>
      <c r="L91" s="142"/>
      <c r="M91" s="142"/>
      <c r="N91" s="142"/>
      <c r="O91" s="142"/>
    </row>
    <row r="92" spans="1:15" ht="13.2">
      <c r="A92" s="86"/>
      <c r="C92" s="142" t="str">
        <f ca="1">IFERROR(__xludf.DUMMYFUNCTION("""COMPUTED_VALUE"""),"")</f>
        <v/>
      </c>
      <c r="D92" s="142"/>
      <c r="E92" s="142"/>
      <c r="F92" s="142" t="str">
        <f ca="1">IFERROR(__xludf.DUMMYFUNCTION("""COMPUTED_VALUE"""),"")</f>
        <v/>
      </c>
      <c r="G92" s="142"/>
      <c r="H92" s="142"/>
      <c r="I92" s="142"/>
      <c r="J92" s="142"/>
      <c r="K92" s="142"/>
      <c r="L92" s="142"/>
      <c r="M92" s="142"/>
      <c r="N92" s="142"/>
      <c r="O92" s="142"/>
    </row>
    <row r="93" spans="1:15" ht="13.2">
      <c r="A93" s="86"/>
      <c r="C93" s="142" t="str">
        <f ca="1">IFERROR(__xludf.DUMMYFUNCTION("""COMPUTED_VALUE"""),"")</f>
        <v/>
      </c>
      <c r="D93" s="142"/>
      <c r="E93" s="142"/>
      <c r="F93" s="142" t="str">
        <f ca="1">IFERROR(__xludf.DUMMYFUNCTION("""COMPUTED_VALUE"""),"")</f>
        <v/>
      </c>
      <c r="G93" s="142"/>
      <c r="H93" s="142"/>
      <c r="I93" s="142"/>
      <c r="J93" s="142"/>
      <c r="K93" s="142"/>
      <c r="L93" s="142"/>
      <c r="M93" s="142"/>
      <c r="N93" s="142"/>
      <c r="O93" s="142"/>
    </row>
    <row r="94" spans="1:15" ht="13.2">
      <c r="A94" s="86"/>
      <c r="C94" s="142" t="str">
        <f ca="1">IFERROR(__xludf.DUMMYFUNCTION("""COMPUTED_VALUE"""),"")</f>
        <v/>
      </c>
      <c r="D94" s="142"/>
      <c r="E94" s="142"/>
      <c r="F94" s="142" t="str">
        <f ca="1">IFERROR(__xludf.DUMMYFUNCTION("""COMPUTED_VALUE"""),"")</f>
        <v/>
      </c>
      <c r="G94" s="142"/>
      <c r="H94" s="142"/>
      <c r="I94" s="142"/>
      <c r="J94" s="142"/>
      <c r="K94" s="142"/>
      <c r="L94" s="142"/>
      <c r="M94" s="142"/>
      <c r="N94" s="142"/>
      <c r="O94" s="142"/>
    </row>
    <row r="95" spans="1:15" ht="13.2">
      <c r="A95" s="86"/>
      <c r="C95" s="142" t="str">
        <f ca="1">IFERROR(__xludf.DUMMYFUNCTION("""COMPUTED_VALUE"""),"")</f>
        <v/>
      </c>
      <c r="D95" s="142"/>
      <c r="E95" s="142"/>
      <c r="F95" s="142" t="str">
        <f ca="1">IFERROR(__xludf.DUMMYFUNCTION("""COMPUTED_VALUE"""),"")</f>
        <v/>
      </c>
      <c r="G95" s="142"/>
      <c r="H95" s="142"/>
      <c r="I95" s="142"/>
      <c r="J95" s="142"/>
      <c r="K95" s="142"/>
      <c r="L95" s="142"/>
      <c r="M95" s="142"/>
      <c r="N95" s="142"/>
      <c r="O95" s="142"/>
    </row>
    <row r="96" spans="1:15" ht="13.2">
      <c r="A96" s="86"/>
      <c r="C96" s="142" t="str">
        <f ca="1">IFERROR(__xludf.DUMMYFUNCTION("""COMPUTED_VALUE"""),"")</f>
        <v/>
      </c>
      <c r="D96" s="142"/>
      <c r="E96" s="142"/>
      <c r="F96" s="142" t="str">
        <f ca="1">IFERROR(__xludf.DUMMYFUNCTION("""COMPUTED_VALUE"""),"")</f>
        <v/>
      </c>
      <c r="G96" s="142"/>
      <c r="H96" s="142"/>
      <c r="I96" s="142"/>
      <c r="J96" s="142"/>
      <c r="K96" s="142"/>
      <c r="L96" s="142"/>
      <c r="M96" s="142"/>
      <c r="N96" s="142"/>
      <c r="O96" s="142"/>
    </row>
    <row r="97" spans="1:15" ht="13.2">
      <c r="A97" s="86"/>
      <c r="C97" s="142" t="str">
        <f ca="1">IFERROR(__xludf.DUMMYFUNCTION("""COMPUTED_VALUE"""),"")</f>
        <v/>
      </c>
      <c r="D97" s="142"/>
      <c r="E97" s="142"/>
      <c r="F97" s="142" t="str">
        <f ca="1">IFERROR(__xludf.DUMMYFUNCTION("""COMPUTED_VALUE"""),"")</f>
        <v/>
      </c>
      <c r="G97" s="142"/>
      <c r="H97" s="142"/>
      <c r="I97" s="142"/>
      <c r="J97" s="142"/>
      <c r="K97" s="142"/>
      <c r="L97" s="142"/>
      <c r="M97" s="142"/>
      <c r="N97" s="142"/>
      <c r="O97" s="142"/>
    </row>
    <row r="98" spans="1:15" ht="13.2">
      <c r="A98" s="86"/>
      <c r="C98" s="142" t="str">
        <f ca="1">IFERROR(__xludf.DUMMYFUNCTION("""COMPUTED_VALUE"""),"")</f>
        <v/>
      </c>
      <c r="D98" s="142"/>
      <c r="E98" s="142"/>
      <c r="F98" s="142" t="str">
        <f ca="1">IFERROR(__xludf.DUMMYFUNCTION("""COMPUTED_VALUE"""),"")</f>
        <v/>
      </c>
      <c r="G98" s="142"/>
      <c r="H98" s="142"/>
      <c r="I98" s="142"/>
      <c r="J98" s="142"/>
      <c r="K98" s="142"/>
      <c r="L98" s="142"/>
      <c r="M98" s="142"/>
      <c r="N98" s="142"/>
      <c r="O98" s="142"/>
    </row>
    <row r="99" spans="1:15" ht="13.2">
      <c r="A99" s="86"/>
      <c r="C99" s="142" t="str">
        <f ca="1">IFERROR(__xludf.DUMMYFUNCTION("""COMPUTED_VALUE"""),"")</f>
        <v/>
      </c>
      <c r="D99" s="142"/>
      <c r="E99" s="142"/>
      <c r="F99" s="142" t="str">
        <f ca="1">IFERROR(__xludf.DUMMYFUNCTION("""COMPUTED_VALUE"""),"")</f>
        <v/>
      </c>
      <c r="G99" s="142"/>
      <c r="H99" s="142"/>
      <c r="I99" s="142"/>
      <c r="J99" s="142"/>
      <c r="K99" s="142"/>
      <c r="L99" s="142"/>
      <c r="M99" s="142"/>
      <c r="N99" s="142"/>
      <c r="O99" s="142"/>
    </row>
    <row r="100" spans="1:15" ht="13.2">
      <c r="A100" s="86"/>
      <c r="C100" s="142" t="str">
        <f ca="1">IFERROR(__xludf.DUMMYFUNCTION("""COMPUTED_VALUE"""),"")</f>
        <v/>
      </c>
      <c r="D100" s="142"/>
      <c r="E100" s="142"/>
      <c r="F100" s="142" t="str">
        <f ca="1">IFERROR(__xludf.DUMMYFUNCTION("""COMPUTED_VALUE"""),"")</f>
        <v/>
      </c>
      <c r="G100" s="142"/>
      <c r="H100" s="142"/>
      <c r="I100" s="142"/>
      <c r="J100" s="142"/>
      <c r="K100" s="142"/>
      <c r="L100" s="142"/>
      <c r="M100" s="142"/>
      <c r="N100" s="142"/>
      <c r="O100" s="142"/>
    </row>
    <row r="101" spans="1:15" ht="13.2">
      <c r="A101" s="86"/>
      <c r="C101" s="142" t="str">
        <f ca="1">IFERROR(__xludf.DUMMYFUNCTION("""COMPUTED_VALUE"""),"")</f>
        <v/>
      </c>
      <c r="D101" s="142"/>
      <c r="E101" s="142"/>
      <c r="F101" s="142" t="str">
        <f ca="1">IFERROR(__xludf.DUMMYFUNCTION("""COMPUTED_VALUE"""),"")</f>
        <v/>
      </c>
      <c r="G101" s="142"/>
      <c r="H101" s="142"/>
      <c r="I101" s="142"/>
      <c r="J101" s="142"/>
      <c r="K101" s="142"/>
      <c r="L101" s="142"/>
      <c r="M101" s="142"/>
      <c r="N101" s="142"/>
      <c r="O101" s="142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MeetResults</vt:lpstr>
      <vt:lpstr>Lookup-DiverRoster</vt:lpstr>
      <vt:lpstr>Lookup-Schedule</vt:lpstr>
      <vt:lpstr>CJScoresSummary</vt:lpstr>
      <vt:lpstr>Lookup-Generic</vt:lpstr>
      <vt:lpstr>Lookup-ClubData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2021-11-14T20:24:42Z</dcterms:created>
  <dcterms:modified xsi:type="dcterms:W3CDTF">2021-11-14T20:24:43Z</dcterms:modified>
</cp:coreProperties>
</file>